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pmpa-fs3\pgm-dlc$\CPRE\_CONCORRENCIA\2026\CE 50-2026 - RUA GIRUA\"/>
    </mc:Choice>
  </mc:AlternateContent>
  <xr:revisionPtr revIDLastSave="0" documentId="8_{1A548009-3A89-44CA-B2FB-940985D2F714}" xr6:coauthVersionLast="47" xr6:coauthVersionMax="47" xr10:uidLastSave="{00000000-0000-0000-0000-000000000000}"/>
  <bookViews>
    <workbookView xWindow="-23148" yWindow="-108" windowWidth="23256" windowHeight="12456" tabRatio="500" xr2:uid="{00000000-000D-0000-FFFF-FFFF00000000}"/>
  </bookViews>
  <sheets>
    <sheet name="dados" sheetId="1" r:id="rId1"/>
    <sheet name="orcamento" sheetId="2" r:id="rId2"/>
    <sheet name="composicoes" sheetId="3" r:id="rId3"/>
    <sheet name="tabelas" sheetId="4" r:id="rId4"/>
    <sheet name="cronograma" sheetId="5" r:id="rId5"/>
    <sheet name="curva ABC" sheetId="6" r:id="rId6"/>
    <sheet name="indice reajuste" sheetId="28" r:id="rId7"/>
    <sheet name="BDI" sheetId="7" r:id="rId8"/>
    <sheet name="encargos" sheetId="8" r:id="rId9"/>
    <sheet name="DMT" sheetId="14" r:id="rId10"/>
    <sheet name="quant_pavim" sheetId="10" r:id="rId11"/>
    <sheet name="quant_drenagem" sheetId="27" r:id="rId12"/>
    <sheet name="empolamentos" sheetId="19" r:id="rId13"/>
    <sheet name="SINAPI-comp" sheetId="21" state="hidden" r:id="rId14"/>
    <sheet name="SINAPI-insumo" sheetId="22" state="hidden" r:id="rId15"/>
    <sheet name="SINAPI-%MO" sheetId="23" state="hidden" r:id="rId16"/>
    <sheet name="Identificação-TCE" sheetId="24" state="hidden" r:id="rId17"/>
    <sheet name="Orçamento-TCE" sheetId="25" state="hidden" r:id="rId18"/>
    <sheet name="Proposta-TCE" sheetId="26" state="hidden" r:id="rId19"/>
  </sheets>
  <definedNames>
    <definedName name="_xlnm._FilterDatabase" localSheetId="2" hidden="1">composicoes!$B$1:$B$633</definedName>
    <definedName name="_xlnm._FilterDatabase" localSheetId="1" hidden="1">orcamento!$E$1:$E$198</definedName>
    <definedName name="_xlnm._FilterDatabase" localSheetId="17" hidden="1">'Orçamento-TCE'!$K$1:$K$195</definedName>
    <definedName name="_xlnm._FilterDatabase" localSheetId="18" hidden="1">'Proposta-TCE'!$H$1:$H$195</definedName>
    <definedName name="_xlnm.Print_Area" localSheetId="7">BDI!#REF!</definedName>
    <definedName name="_xlnm.Print_Area" localSheetId="2">composicoes!$A$1:$K$471</definedName>
    <definedName name="_xlnm.Print_Area" localSheetId="8">encargos!$A$1:$F$48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L21" i="4" l="1"/>
  <c r="L20" i="4"/>
  <c r="B138" i="6" l="1"/>
  <c r="C48" i="6" s="1"/>
  <c r="A13" i="26"/>
  <c r="I13" i="26"/>
  <c r="A14" i="26"/>
  <c r="I14" i="26"/>
  <c r="A15" i="26"/>
  <c r="I15" i="26"/>
  <c r="A16" i="26"/>
  <c r="I16" i="26"/>
  <c r="A17" i="26"/>
  <c r="I17" i="26"/>
  <c r="A20" i="26"/>
  <c r="E20" i="26"/>
  <c r="I20" i="26"/>
  <c r="A21" i="26"/>
  <c r="I21" i="26"/>
  <c r="A22" i="26"/>
  <c r="I22" i="26"/>
  <c r="A23" i="26"/>
  <c r="E23" i="26"/>
  <c r="I23" i="26"/>
  <c r="A24" i="26"/>
  <c r="I24" i="26"/>
  <c r="A26" i="26"/>
  <c r="I26" i="26"/>
  <c r="A27" i="26"/>
  <c r="I27" i="26"/>
  <c r="A28" i="26"/>
  <c r="I28" i="26"/>
  <c r="A29" i="26"/>
  <c r="I29" i="26"/>
  <c r="A30" i="26"/>
  <c r="I30" i="26"/>
  <c r="A31" i="26"/>
  <c r="I31" i="26"/>
  <c r="A33" i="26"/>
  <c r="I33" i="26"/>
  <c r="A35" i="26"/>
  <c r="E35" i="26"/>
  <c r="I35" i="26"/>
  <c r="A37" i="26"/>
  <c r="I37" i="26"/>
  <c r="A38" i="26"/>
  <c r="I38" i="26"/>
  <c r="A39" i="26"/>
  <c r="E39" i="26"/>
  <c r="I39" i="26"/>
  <c r="A41" i="26"/>
  <c r="I41" i="26"/>
  <c r="A43" i="26"/>
  <c r="I43" i="26"/>
  <c r="A44" i="26"/>
  <c r="I44" i="26"/>
  <c r="A46" i="26"/>
  <c r="I46" i="26"/>
  <c r="A47" i="26"/>
  <c r="C47" i="26"/>
  <c r="I47" i="26"/>
  <c r="A48" i="26"/>
  <c r="I48" i="26"/>
  <c r="A50" i="26"/>
  <c r="I50" i="26"/>
  <c r="A51" i="26"/>
  <c r="I51" i="26"/>
  <c r="A52" i="26"/>
  <c r="I52" i="26"/>
  <c r="A53" i="26"/>
  <c r="I53" i="26"/>
  <c r="A55" i="26"/>
  <c r="I55" i="26"/>
  <c r="A56" i="26"/>
  <c r="I56" i="26"/>
  <c r="A57" i="26"/>
  <c r="I57" i="26"/>
  <c r="A58" i="26"/>
  <c r="I58" i="26"/>
  <c r="A59" i="26"/>
  <c r="I59" i="26"/>
  <c r="A60" i="26"/>
  <c r="C60" i="26"/>
  <c r="I60" i="26"/>
  <c r="A61" i="26"/>
  <c r="I61" i="26"/>
  <c r="A62" i="26"/>
  <c r="I62" i="26"/>
  <c r="A63" i="26"/>
  <c r="I63" i="26"/>
  <c r="A64" i="26"/>
  <c r="I64" i="26"/>
  <c r="A65" i="26"/>
  <c r="I65" i="26"/>
  <c r="A66" i="26"/>
  <c r="I66" i="26"/>
  <c r="A67" i="26"/>
  <c r="I67" i="26"/>
  <c r="A68" i="26"/>
  <c r="I68" i="26"/>
  <c r="A69" i="26"/>
  <c r="E69" i="26"/>
  <c r="I69" i="26"/>
  <c r="A70" i="26"/>
  <c r="I70" i="26"/>
  <c r="A71" i="26"/>
  <c r="I71" i="26"/>
  <c r="A72" i="26"/>
  <c r="I72" i="26"/>
  <c r="A73" i="26"/>
  <c r="I73" i="26"/>
  <c r="A74" i="26"/>
  <c r="I74" i="26"/>
  <c r="A75" i="26"/>
  <c r="I75" i="26"/>
  <c r="A76" i="26"/>
  <c r="I76" i="26"/>
  <c r="A77" i="26"/>
  <c r="I77" i="26"/>
  <c r="A78" i="26"/>
  <c r="I78" i="26"/>
  <c r="A79" i="26"/>
  <c r="I79" i="26"/>
  <c r="A80" i="26"/>
  <c r="I80" i="26"/>
  <c r="A81" i="26"/>
  <c r="I81" i="26"/>
  <c r="A82" i="26"/>
  <c r="I82" i="26"/>
  <c r="A83" i="26"/>
  <c r="I83" i="26"/>
  <c r="A84" i="26"/>
  <c r="I84" i="26"/>
  <c r="A85" i="26"/>
  <c r="I85" i="26"/>
  <c r="A86" i="26"/>
  <c r="I86" i="26"/>
  <c r="A87" i="26"/>
  <c r="I87" i="26"/>
  <c r="A88" i="26"/>
  <c r="I88" i="26"/>
  <c r="A89" i="26"/>
  <c r="I89" i="26"/>
  <c r="A91" i="26"/>
  <c r="I91" i="26"/>
  <c r="A92" i="26"/>
  <c r="I92" i="26"/>
  <c r="A93" i="26"/>
  <c r="I93" i="26"/>
  <c r="A94" i="26"/>
  <c r="I94" i="26"/>
  <c r="A95" i="26"/>
  <c r="I95" i="26"/>
  <c r="A96" i="26"/>
  <c r="I96" i="26"/>
  <c r="A97" i="26"/>
  <c r="I97" i="26"/>
  <c r="A99" i="26"/>
  <c r="I99" i="26"/>
  <c r="A100" i="26"/>
  <c r="I100" i="26"/>
  <c r="A101" i="26"/>
  <c r="I101" i="26"/>
  <c r="A102" i="26"/>
  <c r="I102" i="26"/>
  <c r="A103" i="26"/>
  <c r="I103" i="26"/>
  <c r="A105" i="26"/>
  <c r="I105" i="26"/>
  <c r="A106" i="26"/>
  <c r="C106" i="26"/>
  <c r="I106" i="26"/>
  <c r="A107" i="26"/>
  <c r="I107" i="26"/>
  <c r="A108" i="26"/>
  <c r="I108" i="26"/>
  <c r="A109" i="26"/>
  <c r="I109" i="26"/>
  <c r="A110" i="26"/>
  <c r="I110" i="26"/>
  <c r="A111" i="26"/>
  <c r="I111" i="26"/>
  <c r="A112" i="26"/>
  <c r="I112" i="26"/>
  <c r="A113" i="26"/>
  <c r="I113" i="26"/>
  <c r="A114" i="26"/>
  <c r="I114" i="26"/>
  <c r="A115" i="26"/>
  <c r="I115" i="26"/>
  <c r="A116" i="26"/>
  <c r="I116" i="26"/>
  <c r="A117" i="26"/>
  <c r="I117" i="26"/>
  <c r="A118" i="26"/>
  <c r="I118" i="26"/>
  <c r="A119" i="26"/>
  <c r="I119" i="26"/>
  <c r="A121" i="26"/>
  <c r="I121" i="26"/>
  <c r="A122" i="26"/>
  <c r="I122" i="26"/>
  <c r="A123" i="26"/>
  <c r="I123" i="26"/>
  <c r="A124" i="26"/>
  <c r="I124" i="26"/>
  <c r="A125" i="26"/>
  <c r="I125" i="26"/>
  <c r="A126" i="26"/>
  <c r="I126" i="26"/>
  <c r="A127" i="26"/>
  <c r="I127" i="26"/>
  <c r="A128" i="26"/>
  <c r="I128" i="26"/>
  <c r="A129" i="26"/>
  <c r="I129" i="26"/>
  <c r="A131" i="26"/>
  <c r="C131" i="26"/>
  <c r="I131" i="26"/>
  <c r="A132" i="26"/>
  <c r="I132" i="26"/>
  <c r="A133" i="26"/>
  <c r="I133" i="26"/>
  <c r="A134" i="26"/>
  <c r="I134" i="26"/>
  <c r="A135" i="26"/>
  <c r="C135" i="26"/>
  <c r="I135" i="26"/>
  <c r="A136" i="26"/>
  <c r="I136" i="26"/>
  <c r="A137" i="26"/>
  <c r="I137" i="26"/>
  <c r="A139" i="26"/>
  <c r="I139" i="26"/>
  <c r="A140" i="26"/>
  <c r="I140" i="26"/>
  <c r="A141" i="26"/>
  <c r="I141" i="26"/>
  <c r="A142" i="26"/>
  <c r="I142" i="26"/>
  <c r="A143" i="26"/>
  <c r="I143" i="26"/>
  <c r="A144" i="26"/>
  <c r="I144" i="26"/>
  <c r="A145" i="26"/>
  <c r="I145" i="26"/>
  <c r="A146" i="26"/>
  <c r="I146" i="26"/>
  <c r="A147" i="26"/>
  <c r="I147" i="26"/>
  <c r="A149" i="26"/>
  <c r="I149" i="26"/>
  <c r="A150" i="26"/>
  <c r="I150" i="26"/>
  <c r="A151" i="26"/>
  <c r="I151" i="26"/>
  <c r="A152" i="26"/>
  <c r="I152" i="26"/>
  <c r="A153" i="26"/>
  <c r="I153" i="26"/>
  <c r="A154" i="26"/>
  <c r="I154" i="26"/>
  <c r="A155" i="26"/>
  <c r="I155" i="26"/>
  <c r="A156" i="26"/>
  <c r="I156" i="26"/>
  <c r="A157" i="26"/>
  <c r="I157" i="26"/>
  <c r="A159" i="26"/>
  <c r="I159" i="26"/>
  <c r="A160" i="26"/>
  <c r="I160" i="26"/>
  <c r="A161" i="26"/>
  <c r="I161" i="26"/>
  <c r="A162" i="26"/>
  <c r="I162" i="26"/>
  <c r="A164" i="26"/>
  <c r="I164" i="26"/>
  <c r="A165" i="26"/>
  <c r="I165" i="26"/>
  <c r="A166" i="26"/>
  <c r="I166" i="26"/>
  <c r="A167" i="26"/>
  <c r="I167" i="26"/>
  <c r="A168" i="26"/>
  <c r="I168" i="26"/>
  <c r="A169" i="26"/>
  <c r="I169" i="26"/>
  <c r="A170" i="26"/>
  <c r="I170" i="26"/>
  <c r="A171" i="26"/>
  <c r="I171" i="26"/>
  <c r="A172" i="26"/>
  <c r="I172" i="26"/>
  <c r="A173" i="26"/>
  <c r="I173" i="26"/>
  <c r="A174" i="26"/>
  <c r="I174" i="26"/>
  <c r="A176" i="26"/>
  <c r="I176" i="26"/>
  <c r="A177" i="26"/>
  <c r="I177" i="26"/>
  <c r="A178" i="26"/>
  <c r="I178" i="26"/>
  <c r="A179" i="26"/>
  <c r="I179" i="26"/>
  <c r="A180" i="26"/>
  <c r="I180" i="26"/>
  <c r="A181" i="26"/>
  <c r="I181" i="26"/>
  <c r="A182" i="26"/>
  <c r="I182" i="26"/>
  <c r="A183" i="26"/>
  <c r="I183" i="26"/>
  <c r="A184" i="26"/>
  <c r="I184" i="26"/>
  <c r="A185" i="26"/>
  <c r="I185" i="26"/>
  <c r="A186" i="26"/>
  <c r="C186" i="26"/>
  <c r="I186" i="26"/>
  <c r="A187" i="26"/>
  <c r="I187" i="26"/>
  <c r="A188" i="26"/>
  <c r="I188" i="26"/>
  <c r="A190" i="26"/>
  <c r="C190" i="26"/>
  <c r="I190" i="26"/>
  <c r="A191" i="26"/>
  <c r="E191" i="26"/>
  <c r="I191" i="26"/>
  <c r="A192" i="26"/>
  <c r="I192" i="26"/>
  <c r="A193" i="26"/>
  <c r="I193" i="26"/>
  <c r="C13" i="25"/>
  <c r="C13" i="26" s="1"/>
  <c r="D13" i="25"/>
  <c r="E13" i="25"/>
  <c r="H13" i="25"/>
  <c r="E13" i="26" s="1"/>
  <c r="L13" i="25"/>
  <c r="C14" i="25"/>
  <c r="C14" i="26" s="1"/>
  <c r="D14" i="25"/>
  <c r="E14" i="25"/>
  <c r="H14" i="25"/>
  <c r="E14" i="26" s="1"/>
  <c r="L14" i="25"/>
  <c r="C15" i="25"/>
  <c r="C15" i="26" s="1"/>
  <c r="D15" i="25"/>
  <c r="E15" i="25"/>
  <c r="H15" i="25"/>
  <c r="E15" i="26" s="1"/>
  <c r="L15" i="25"/>
  <c r="C16" i="25"/>
  <c r="C16" i="26" s="1"/>
  <c r="D16" i="25"/>
  <c r="E16" i="25"/>
  <c r="H16" i="25"/>
  <c r="E16" i="26" s="1"/>
  <c r="L16" i="25"/>
  <c r="C17" i="25"/>
  <c r="C17" i="26" s="1"/>
  <c r="D17" i="25"/>
  <c r="E17" i="25"/>
  <c r="H17" i="25"/>
  <c r="E17" i="26" s="1"/>
  <c r="L17" i="25"/>
  <c r="C20" i="25"/>
  <c r="C20" i="26" s="1"/>
  <c r="D20" i="25"/>
  <c r="E20" i="25"/>
  <c r="H20" i="25"/>
  <c r="L20" i="25"/>
  <c r="C21" i="25"/>
  <c r="C21" i="26" s="1"/>
  <c r="D21" i="25"/>
  <c r="E21" i="25"/>
  <c r="H21" i="25"/>
  <c r="E21" i="26" s="1"/>
  <c r="L21" i="25"/>
  <c r="C22" i="25"/>
  <c r="C22" i="26" s="1"/>
  <c r="D22" i="25"/>
  <c r="E22" i="25"/>
  <c r="H22" i="25"/>
  <c r="E22" i="26" s="1"/>
  <c r="L22" i="25"/>
  <c r="C23" i="25"/>
  <c r="C23" i="26" s="1"/>
  <c r="D23" i="25"/>
  <c r="E23" i="25"/>
  <c r="H23" i="25"/>
  <c r="L23" i="25"/>
  <c r="C24" i="25"/>
  <c r="C24" i="26" s="1"/>
  <c r="D24" i="25"/>
  <c r="E24" i="25"/>
  <c r="H24" i="25"/>
  <c r="E24" i="26" s="1"/>
  <c r="L24" i="25"/>
  <c r="C26" i="25"/>
  <c r="C26" i="26" s="1"/>
  <c r="D26" i="25"/>
  <c r="E26" i="25"/>
  <c r="H26" i="25"/>
  <c r="E26" i="26" s="1"/>
  <c r="L26" i="25"/>
  <c r="C27" i="25"/>
  <c r="C27" i="26" s="1"/>
  <c r="D27" i="25"/>
  <c r="E27" i="25"/>
  <c r="H27" i="25"/>
  <c r="E27" i="26" s="1"/>
  <c r="L27" i="25"/>
  <c r="C28" i="25"/>
  <c r="C28" i="26" s="1"/>
  <c r="D28" i="25"/>
  <c r="E28" i="25"/>
  <c r="H28" i="25"/>
  <c r="E28" i="26" s="1"/>
  <c r="L28" i="25"/>
  <c r="C29" i="25"/>
  <c r="C29" i="26" s="1"/>
  <c r="D29" i="25"/>
  <c r="E29" i="25"/>
  <c r="H29" i="25"/>
  <c r="E29" i="26" s="1"/>
  <c r="L29" i="25"/>
  <c r="C30" i="25"/>
  <c r="C30" i="26" s="1"/>
  <c r="D30" i="25"/>
  <c r="E30" i="25"/>
  <c r="H30" i="25"/>
  <c r="E30" i="26" s="1"/>
  <c r="L30" i="25"/>
  <c r="C31" i="25"/>
  <c r="C31" i="26" s="1"/>
  <c r="D31" i="25"/>
  <c r="E31" i="25"/>
  <c r="H31" i="25"/>
  <c r="E31" i="26" s="1"/>
  <c r="L31" i="25"/>
  <c r="C33" i="25"/>
  <c r="C33" i="26" s="1"/>
  <c r="D33" i="25"/>
  <c r="E33" i="25"/>
  <c r="H33" i="25"/>
  <c r="E33" i="26" s="1"/>
  <c r="L33" i="25"/>
  <c r="C35" i="25"/>
  <c r="C35" i="26" s="1"/>
  <c r="D35" i="25"/>
  <c r="E35" i="25"/>
  <c r="H35" i="25"/>
  <c r="L35" i="25"/>
  <c r="C37" i="25"/>
  <c r="C37" i="26" s="1"/>
  <c r="D37" i="25"/>
  <c r="E37" i="25"/>
  <c r="H37" i="25"/>
  <c r="E37" i="26" s="1"/>
  <c r="L37" i="25"/>
  <c r="C38" i="25"/>
  <c r="C38" i="26" s="1"/>
  <c r="D38" i="25"/>
  <c r="E38" i="25"/>
  <c r="H38" i="25"/>
  <c r="E38" i="26" s="1"/>
  <c r="L38" i="25"/>
  <c r="C39" i="25"/>
  <c r="C39" i="26" s="1"/>
  <c r="D39" i="25"/>
  <c r="E39" i="25"/>
  <c r="H39" i="25"/>
  <c r="L39" i="25"/>
  <c r="C41" i="25"/>
  <c r="C41" i="26" s="1"/>
  <c r="D41" i="25"/>
  <c r="E41" i="25"/>
  <c r="H41" i="25"/>
  <c r="E41" i="26" s="1"/>
  <c r="L41" i="25"/>
  <c r="C43" i="25"/>
  <c r="C43" i="26" s="1"/>
  <c r="D43" i="25"/>
  <c r="E43" i="25"/>
  <c r="H43" i="25"/>
  <c r="L43" i="25"/>
  <c r="C44" i="25"/>
  <c r="C44" i="26" s="1"/>
  <c r="D44" i="25"/>
  <c r="E44" i="25"/>
  <c r="H44" i="25"/>
  <c r="E44" i="26" s="1"/>
  <c r="L44" i="25"/>
  <c r="C46" i="25"/>
  <c r="C46" i="26" s="1"/>
  <c r="D46" i="25"/>
  <c r="E46" i="25"/>
  <c r="H46" i="25"/>
  <c r="E46" i="26" s="1"/>
  <c r="L46" i="25"/>
  <c r="C47" i="25"/>
  <c r="D47" i="25"/>
  <c r="E47" i="25"/>
  <c r="H47" i="25"/>
  <c r="E47" i="26" s="1"/>
  <c r="L47" i="25"/>
  <c r="C48" i="25"/>
  <c r="C48" i="26" s="1"/>
  <c r="D48" i="25"/>
  <c r="E48" i="25"/>
  <c r="H48" i="25"/>
  <c r="L48" i="25"/>
  <c r="C50" i="25"/>
  <c r="C50" i="26" s="1"/>
  <c r="D50" i="25"/>
  <c r="E50" i="25"/>
  <c r="H50" i="25"/>
  <c r="E50" i="26" s="1"/>
  <c r="L50" i="25"/>
  <c r="C51" i="25"/>
  <c r="C51" i="26" s="1"/>
  <c r="D51" i="25"/>
  <c r="E51" i="25"/>
  <c r="H51" i="25"/>
  <c r="E51" i="26" s="1"/>
  <c r="L51" i="25"/>
  <c r="C52" i="25"/>
  <c r="C52" i="26" s="1"/>
  <c r="D52" i="25"/>
  <c r="E52" i="25"/>
  <c r="H52" i="25"/>
  <c r="E52" i="26" s="1"/>
  <c r="L52" i="25"/>
  <c r="C53" i="25"/>
  <c r="C53" i="26" s="1"/>
  <c r="D53" i="25"/>
  <c r="E53" i="25"/>
  <c r="H53" i="25"/>
  <c r="E53" i="26" s="1"/>
  <c r="L53" i="25"/>
  <c r="C55" i="25"/>
  <c r="C55" i="26" s="1"/>
  <c r="D55" i="25"/>
  <c r="E55" i="25"/>
  <c r="L55" i="25"/>
  <c r="C56" i="25"/>
  <c r="C56" i="26" s="1"/>
  <c r="D56" i="25"/>
  <c r="E56" i="25"/>
  <c r="H56" i="25"/>
  <c r="E56" i="26" s="1"/>
  <c r="L56" i="25"/>
  <c r="C57" i="25"/>
  <c r="C57" i="26" s="1"/>
  <c r="D57" i="25"/>
  <c r="E57" i="25"/>
  <c r="H57" i="25"/>
  <c r="L57" i="25"/>
  <c r="C58" i="25"/>
  <c r="C58" i="26" s="1"/>
  <c r="D58" i="25"/>
  <c r="E58" i="25"/>
  <c r="H58" i="25"/>
  <c r="E58" i="26" s="1"/>
  <c r="L58" i="25"/>
  <c r="C59" i="25"/>
  <c r="C59" i="26" s="1"/>
  <c r="D59" i="25"/>
  <c r="E59" i="25"/>
  <c r="H59" i="25"/>
  <c r="E59" i="26" s="1"/>
  <c r="L59" i="25"/>
  <c r="C60" i="25"/>
  <c r="D60" i="25"/>
  <c r="E60" i="25"/>
  <c r="H60" i="25"/>
  <c r="E60" i="26" s="1"/>
  <c r="L60" i="25"/>
  <c r="C61" i="25"/>
  <c r="C61" i="26" s="1"/>
  <c r="D61" i="25"/>
  <c r="E61" i="25"/>
  <c r="H61" i="25"/>
  <c r="E61" i="26" s="1"/>
  <c r="L61" i="25"/>
  <c r="C62" i="25"/>
  <c r="C62" i="26" s="1"/>
  <c r="D62" i="25"/>
  <c r="E62" i="25"/>
  <c r="H62" i="25"/>
  <c r="E62" i="26" s="1"/>
  <c r="L62" i="25"/>
  <c r="C63" i="25"/>
  <c r="C63" i="26" s="1"/>
  <c r="D63" i="25"/>
  <c r="E63" i="25"/>
  <c r="H63" i="25"/>
  <c r="E63" i="26" s="1"/>
  <c r="L63" i="25"/>
  <c r="C64" i="25"/>
  <c r="C64" i="26" s="1"/>
  <c r="D64" i="25"/>
  <c r="E64" i="25"/>
  <c r="H64" i="25"/>
  <c r="L64" i="25"/>
  <c r="C65" i="25"/>
  <c r="C65" i="26" s="1"/>
  <c r="D65" i="25"/>
  <c r="E65" i="25"/>
  <c r="H65" i="25"/>
  <c r="E65" i="26" s="1"/>
  <c r="L65" i="25"/>
  <c r="C66" i="25"/>
  <c r="C66" i="26" s="1"/>
  <c r="D66" i="25"/>
  <c r="E66" i="25"/>
  <c r="H66" i="25"/>
  <c r="L66" i="25"/>
  <c r="C67" i="25"/>
  <c r="C67" i="26" s="1"/>
  <c r="D67" i="25"/>
  <c r="E67" i="25"/>
  <c r="H67" i="25"/>
  <c r="E67" i="26" s="1"/>
  <c r="L67" i="25"/>
  <c r="C68" i="25"/>
  <c r="C68" i="26" s="1"/>
  <c r="D68" i="25"/>
  <c r="E68" i="25"/>
  <c r="H68" i="25"/>
  <c r="E68" i="26" s="1"/>
  <c r="L68" i="25"/>
  <c r="C69" i="25"/>
  <c r="C69" i="26" s="1"/>
  <c r="D69" i="25"/>
  <c r="E69" i="25"/>
  <c r="H69" i="25"/>
  <c r="L69" i="25"/>
  <c r="C70" i="25"/>
  <c r="C70" i="26" s="1"/>
  <c r="D70" i="25"/>
  <c r="E70" i="25"/>
  <c r="H70" i="25"/>
  <c r="E70" i="26" s="1"/>
  <c r="L70" i="25"/>
  <c r="C71" i="25"/>
  <c r="C71" i="26" s="1"/>
  <c r="D71" i="25"/>
  <c r="E71" i="25"/>
  <c r="H71" i="25"/>
  <c r="E71" i="26" s="1"/>
  <c r="L71" i="25"/>
  <c r="C72" i="25"/>
  <c r="C72" i="26" s="1"/>
  <c r="D72" i="25"/>
  <c r="E72" i="25"/>
  <c r="H72" i="25"/>
  <c r="E72" i="26" s="1"/>
  <c r="L72" i="25"/>
  <c r="C73" i="25"/>
  <c r="C73" i="26" s="1"/>
  <c r="D73" i="25"/>
  <c r="E73" i="25"/>
  <c r="H73" i="25"/>
  <c r="L73" i="25"/>
  <c r="C74" i="25"/>
  <c r="C74" i="26" s="1"/>
  <c r="D74" i="25"/>
  <c r="E74" i="25"/>
  <c r="H74" i="25"/>
  <c r="E74" i="26" s="1"/>
  <c r="L74" i="25"/>
  <c r="C75" i="25"/>
  <c r="C75" i="26" s="1"/>
  <c r="D75" i="25"/>
  <c r="E75" i="25"/>
  <c r="H75" i="25"/>
  <c r="E75" i="26" s="1"/>
  <c r="L75" i="25"/>
  <c r="C76" i="25"/>
  <c r="C76" i="26" s="1"/>
  <c r="D76" i="25"/>
  <c r="E76" i="25"/>
  <c r="H76" i="25"/>
  <c r="E76" i="26" s="1"/>
  <c r="L76" i="25"/>
  <c r="C77" i="25"/>
  <c r="C77" i="26" s="1"/>
  <c r="D77" i="25"/>
  <c r="E77" i="25"/>
  <c r="H77" i="25"/>
  <c r="E77" i="26" s="1"/>
  <c r="L77" i="25"/>
  <c r="C78" i="25"/>
  <c r="C78" i="26" s="1"/>
  <c r="D78" i="25"/>
  <c r="E78" i="25"/>
  <c r="H78" i="25"/>
  <c r="L78" i="25"/>
  <c r="C79" i="25"/>
  <c r="C79" i="26" s="1"/>
  <c r="D79" i="25"/>
  <c r="E79" i="25"/>
  <c r="H79" i="25"/>
  <c r="L79" i="25"/>
  <c r="C80" i="25"/>
  <c r="C80" i="26" s="1"/>
  <c r="D80" i="25"/>
  <c r="E80" i="25"/>
  <c r="H80" i="25"/>
  <c r="L80" i="25"/>
  <c r="C81" i="25"/>
  <c r="C81" i="26" s="1"/>
  <c r="D81" i="25"/>
  <c r="E81" i="25"/>
  <c r="H81" i="25"/>
  <c r="E81" i="26" s="1"/>
  <c r="L81" i="25"/>
  <c r="C82" i="25"/>
  <c r="C82" i="26" s="1"/>
  <c r="D82" i="25"/>
  <c r="E82" i="25"/>
  <c r="H82" i="25"/>
  <c r="E82" i="26" s="1"/>
  <c r="L82" i="25"/>
  <c r="C83" i="25"/>
  <c r="C83" i="26" s="1"/>
  <c r="D83" i="25"/>
  <c r="E83" i="25"/>
  <c r="H83" i="25"/>
  <c r="E83" i="26" s="1"/>
  <c r="L83" i="25"/>
  <c r="C84" i="25"/>
  <c r="C84" i="26" s="1"/>
  <c r="D84" i="25"/>
  <c r="E84" i="25"/>
  <c r="H84" i="25"/>
  <c r="E84" i="26" s="1"/>
  <c r="L84" i="25"/>
  <c r="C85" i="25"/>
  <c r="C85" i="26" s="1"/>
  <c r="D85" i="25"/>
  <c r="E85" i="25"/>
  <c r="H85" i="25"/>
  <c r="E85" i="26" s="1"/>
  <c r="L85" i="25"/>
  <c r="C86" i="25"/>
  <c r="C86" i="26" s="1"/>
  <c r="D86" i="25"/>
  <c r="E86" i="25"/>
  <c r="H86" i="25"/>
  <c r="E86" i="26" s="1"/>
  <c r="L86" i="25"/>
  <c r="C87" i="25"/>
  <c r="C87" i="26" s="1"/>
  <c r="D87" i="25"/>
  <c r="E87" i="25"/>
  <c r="H87" i="25"/>
  <c r="L87" i="25"/>
  <c r="C88" i="25"/>
  <c r="C88" i="26" s="1"/>
  <c r="D88" i="25"/>
  <c r="E88" i="25"/>
  <c r="H88" i="25"/>
  <c r="E88" i="26" s="1"/>
  <c r="L88" i="25"/>
  <c r="C89" i="25"/>
  <c r="C89" i="26" s="1"/>
  <c r="D89" i="25"/>
  <c r="E89" i="25"/>
  <c r="H89" i="25"/>
  <c r="E89" i="26" s="1"/>
  <c r="L89" i="25"/>
  <c r="C91" i="25"/>
  <c r="C91" i="26" s="1"/>
  <c r="D91" i="25"/>
  <c r="E91" i="25"/>
  <c r="L91" i="25"/>
  <c r="C92" i="25"/>
  <c r="C92" i="26" s="1"/>
  <c r="D92" i="25"/>
  <c r="E92" i="25"/>
  <c r="L92" i="25"/>
  <c r="C93" i="25"/>
  <c r="C93" i="26" s="1"/>
  <c r="D93" i="25"/>
  <c r="E93" i="25"/>
  <c r="L93" i="25"/>
  <c r="C94" i="25"/>
  <c r="C94" i="26" s="1"/>
  <c r="D94" i="25"/>
  <c r="E94" i="25"/>
  <c r="L94" i="25"/>
  <c r="C95" i="25"/>
  <c r="C95" i="26" s="1"/>
  <c r="D95" i="25"/>
  <c r="E95" i="25"/>
  <c r="L95" i="25"/>
  <c r="C96" i="25"/>
  <c r="C96" i="26" s="1"/>
  <c r="D96" i="25"/>
  <c r="E96" i="25"/>
  <c r="L96" i="25"/>
  <c r="C97" i="25"/>
  <c r="C97" i="26" s="1"/>
  <c r="D97" i="25"/>
  <c r="E97" i="25"/>
  <c r="L97" i="25"/>
  <c r="C99" i="25"/>
  <c r="C99" i="26" s="1"/>
  <c r="D99" i="25"/>
  <c r="E99" i="25"/>
  <c r="L99" i="25"/>
  <c r="C100" i="25"/>
  <c r="C100" i="26" s="1"/>
  <c r="D100" i="25"/>
  <c r="E100" i="25"/>
  <c r="L100" i="25"/>
  <c r="C101" i="25"/>
  <c r="C101" i="26" s="1"/>
  <c r="D101" i="25"/>
  <c r="E101" i="25"/>
  <c r="L101" i="25"/>
  <c r="C102" i="25"/>
  <c r="C102" i="26" s="1"/>
  <c r="D102" i="25"/>
  <c r="E102" i="25"/>
  <c r="L102" i="25"/>
  <c r="C103" i="25"/>
  <c r="C103" i="26" s="1"/>
  <c r="D103" i="25"/>
  <c r="E103" i="25"/>
  <c r="L103" i="25"/>
  <c r="C105" i="25"/>
  <c r="C105" i="26" s="1"/>
  <c r="D105" i="25"/>
  <c r="E105" i="25"/>
  <c r="L105" i="25"/>
  <c r="C106" i="25"/>
  <c r="D106" i="25"/>
  <c r="E106" i="25"/>
  <c r="L106" i="25"/>
  <c r="C107" i="25"/>
  <c r="C107" i="26" s="1"/>
  <c r="D107" i="25"/>
  <c r="E107" i="25"/>
  <c r="L107" i="25"/>
  <c r="C108" i="25"/>
  <c r="C108" i="26" s="1"/>
  <c r="D108" i="25"/>
  <c r="E108" i="25"/>
  <c r="L108" i="25"/>
  <c r="C109" i="25"/>
  <c r="C109" i="26" s="1"/>
  <c r="D109" i="25"/>
  <c r="E109" i="25"/>
  <c r="L109" i="25"/>
  <c r="C110" i="25"/>
  <c r="C110" i="26" s="1"/>
  <c r="D110" i="25"/>
  <c r="E110" i="25"/>
  <c r="L110" i="25"/>
  <c r="C111" i="25"/>
  <c r="C111" i="26" s="1"/>
  <c r="D111" i="25"/>
  <c r="E111" i="25"/>
  <c r="L111" i="25"/>
  <c r="C112" i="25"/>
  <c r="C112" i="26" s="1"/>
  <c r="D112" i="25"/>
  <c r="E112" i="25"/>
  <c r="L112" i="25"/>
  <c r="C113" i="25"/>
  <c r="C113" i="26" s="1"/>
  <c r="D113" i="25"/>
  <c r="E113" i="25"/>
  <c r="L113" i="25"/>
  <c r="C114" i="25"/>
  <c r="C114" i="26" s="1"/>
  <c r="D114" i="25"/>
  <c r="E114" i="25"/>
  <c r="L114" i="25"/>
  <c r="C115" i="25"/>
  <c r="C115" i="26" s="1"/>
  <c r="D115" i="25"/>
  <c r="E115" i="25"/>
  <c r="L115" i="25"/>
  <c r="C116" i="25"/>
  <c r="C116" i="26" s="1"/>
  <c r="D116" i="25"/>
  <c r="E116" i="25"/>
  <c r="L116" i="25"/>
  <c r="C117" i="25"/>
  <c r="C117" i="26" s="1"/>
  <c r="D117" i="25"/>
  <c r="E117" i="25"/>
  <c r="L117" i="25"/>
  <c r="C118" i="25"/>
  <c r="C118" i="26" s="1"/>
  <c r="D118" i="25"/>
  <c r="E118" i="25"/>
  <c r="L118" i="25"/>
  <c r="C119" i="25"/>
  <c r="C119" i="26" s="1"/>
  <c r="D119" i="25"/>
  <c r="E119" i="25"/>
  <c r="L119" i="25"/>
  <c r="C121" i="25"/>
  <c r="C121" i="26" s="1"/>
  <c r="D121" i="25"/>
  <c r="E121" i="25"/>
  <c r="L121" i="25"/>
  <c r="C122" i="25"/>
  <c r="C122" i="26" s="1"/>
  <c r="D122" i="25"/>
  <c r="E122" i="25"/>
  <c r="L122" i="25"/>
  <c r="C123" i="25"/>
  <c r="C123" i="26" s="1"/>
  <c r="D123" i="25"/>
  <c r="E123" i="25"/>
  <c r="L123" i="25"/>
  <c r="C124" i="25"/>
  <c r="C124" i="26" s="1"/>
  <c r="D124" i="25"/>
  <c r="E124" i="25"/>
  <c r="L124" i="25"/>
  <c r="C125" i="25"/>
  <c r="C125" i="26" s="1"/>
  <c r="D125" i="25"/>
  <c r="E125" i="25"/>
  <c r="L125" i="25"/>
  <c r="C126" i="25"/>
  <c r="C126" i="26" s="1"/>
  <c r="D126" i="25"/>
  <c r="E126" i="25"/>
  <c r="L126" i="25"/>
  <c r="C127" i="25"/>
  <c r="C127" i="26" s="1"/>
  <c r="D127" i="25"/>
  <c r="E127" i="25"/>
  <c r="L127" i="25"/>
  <c r="C128" i="25"/>
  <c r="C128" i="26" s="1"/>
  <c r="D128" i="25"/>
  <c r="E128" i="25"/>
  <c r="L128" i="25"/>
  <c r="C129" i="25"/>
  <c r="C129" i="26" s="1"/>
  <c r="D129" i="25"/>
  <c r="E129" i="25"/>
  <c r="L129" i="25"/>
  <c r="C131" i="25"/>
  <c r="D131" i="25"/>
  <c r="E131" i="25"/>
  <c r="L131" i="25"/>
  <c r="C132" i="25"/>
  <c r="C132" i="26" s="1"/>
  <c r="D132" i="25"/>
  <c r="E132" i="25"/>
  <c r="L132" i="25"/>
  <c r="C133" i="25"/>
  <c r="C133" i="26" s="1"/>
  <c r="D133" i="25"/>
  <c r="E133" i="25"/>
  <c r="L133" i="25"/>
  <c r="C134" i="25"/>
  <c r="C134" i="26" s="1"/>
  <c r="D134" i="25"/>
  <c r="E134" i="25"/>
  <c r="L134" i="25"/>
  <c r="C135" i="25"/>
  <c r="D135" i="25"/>
  <c r="E135" i="25"/>
  <c r="L135" i="25"/>
  <c r="C136" i="25"/>
  <c r="C136" i="26" s="1"/>
  <c r="D136" i="25"/>
  <c r="E136" i="25"/>
  <c r="L136" i="25"/>
  <c r="C137" i="25"/>
  <c r="C137" i="26" s="1"/>
  <c r="D137" i="25"/>
  <c r="E137" i="25"/>
  <c r="L137" i="25"/>
  <c r="C139" i="25"/>
  <c r="C139" i="26" s="1"/>
  <c r="D139" i="25"/>
  <c r="E139" i="25"/>
  <c r="L139" i="25"/>
  <c r="C140" i="25"/>
  <c r="C140" i="26" s="1"/>
  <c r="D140" i="25"/>
  <c r="E140" i="25"/>
  <c r="L140" i="25"/>
  <c r="C141" i="25"/>
  <c r="C141" i="26" s="1"/>
  <c r="D141" i="25"/>
  <c r="E141" i="25"/>
  <c r="L141" i="25"/>
  <c r="C142" i="25"/>
  <c r="C142" i="26" s="1"/>
  <c r="D142" i="25"/>
  <c r="E142" i="25"/>
  <c r="L142" i="25"/>
  <c r="C143" i="25"/>
  <c r="C143" i="26" s="1"/>
  <c r="D143" i="25"/>
  <c r="E143" i="25"/>
  <c r="L143" i="25"/>
  <c r="C144" i="25"/>
  <c r="C144" i="26" s="1"/>
  <c r="D144" i="25"/>
  <c r="E144" i="25"/>
  <c r="L144" i="25"/>
  <c r="C145" i="25"/>
  <c r="C145" i="26" s="1"/>
  <c r="D145" i="25"/>
  <c r="E145" i="25"/>
  <c r="L145" i="25"/>
  <c r="C146" i="25"/>
  <c r="C146" i="26" s="1"/>
  <c r="D146" i="25"/>
  <c r="E146" i="25"/>
  <c r="L146" i="25"/>
  <c r="C147" i="25"/>
  <c r="C147" i="26" s="1"/>
  <c r="D147" i="25"/>
  <c r="E147" i="25"/>
  <c r="L147" i="25"/>
  <c r="C149" i="25"/>
  <c r="C149" i="26" s="1"/>
  <c r="D149" i="25"/>
  <c r="E149" i="25"/>
  <c r="L149" i="25"/>
  <c r="C150" i="25"/>
  <c r="C150" i="26" s="1"/>
  <c r="D150" i="25"/>
  <c r="E150" i="25"/>
  <c r="L150" i="25"/>
  <c r="C151" i="25"/>
  <c r="C151" i="26" s="1"/>
  <c r="D151" i="25"/>
  <c r="E151" i="25"/>
  <c r="L151" i="25"/>
  <c r="C152" i="25"/>
  <c r="C152" i="26" s="1"/>
  <c r="D152" i="25"/>
  <c r="E152" i="25"/>
  <c r="L152" i="25"/>
  <c r="C153" i="25"/>
  <c r="C153" i="26" s="1"/>
  <c r="D153" i="25"/>
  <c r="E153" i="25"/>
  <c r="L153" i="25"/>
  <c r="C154" i="25"/>
  <c r="C154" i="26" s="1"/>
  <c r="D154" i="25"/>
  <c r="E154" i="25"/>
  <c r="L154" i="25"/>
  <c r="C155" i="25"/>
  <c r="C155" i="26" s="1"/>
  <c r="D155" i="25"/>
  <c r="E155" i="25"/>
  <c r="L155" i="25"/>
  <c r="C156" i="25"/>
  <c r="C156" i="26" s="1"/>
  <c r="D156" i="25"/>
  <c r="E156" i="25"/>
  <c r="L156" i="25"/>
  <c r="C157" i="25"/>
  <c r="C157" i="26" s="1"/>
  <c r="D157" i="25"/>
  <c r="E157" i="25"/>
  <c r="L157" i="25"/>
  <c r="C159" i="25"/>
  <c r="C159" i="26" s="1"/>
  <c r="D159" i="25"/>
  <c r="E159" i="25"/>
  <c r="L159" i="25"/>
  <c r="C160" i="25"/>
  <c r="C160" i="26" s="1"/>
  <c r="D160" i="25"/>
  <c r="E160" i="25"/>
  <c r="L160" i="25"/>
  <c r="C161" i="25"/>
  <c r="C161" i="26" s="1"/>
  <c r="D161" i="25"/>
  <c r="E161" i="25"/>
  <c r="L161" i="25"/>
  <c r="C162" i="25"/>
  <c r="C162" i="26" s="1"/>
  <c r="D162" i="25"/>
  <c r="E162" i="25"/>
  <c r="L162" i="25"/>
  <c r="C164" i="25"/>
  <c r="C164" i="26" s="1"/>
  <c r="D164" i="25"/>
  <c r="E164" i="25"/>
  <c r="L164" i="25"/>
  <c r="C165" i="25"/>
  <c r="C165" i="26" s="1"/>
  <c r="D165" i="25"/>
  <c r="E165" i="25"/>
  <c r="L165" i="25"/>
  <c r="C166" i="25"/>
  <c r="C166" i="26" s="1"/>
  <c r="D166" i="25"/>
  <c r="E166" i="25"/>
  <c r="L166" i="25"/>
  <c r="C167" i="25"/>
  <c r="C167" i="26" s="1"/>
  <c r="D167" i="25"/>
  <c r="E167" i="25"/>
  <c r="L167" i="25"/>
  <c r="C168" i="25"/>
  <c r="C168" i="26" s="1"/>
  <c r="D168" i="25"/>
  <c r="E168" i="25"/>
  <c r="L168" i="25"/>
  <c r="C169" i="25"/>
  <c r="C169" i="26" s="1"/>
  <c r="D169" i="25"/>
  <c r="E169" i="25"/>
  <c r="H169" i="25"/>
  <c r="E169" i="26" s="1"/>
  <c r="L169" i="25"/>
  <c r="C170" i="25"/>
  <c r="C170" i="26" s="1"/>
  <c r="D170" i="25"/>
  <c r="E170" i="25"/>
  <c r="H170" i="25"/>
  <c r="E170" i="26" s="1"/>
  <c r="L170" i="25"/>
  <c r="C171" i="25"/>
  <c r="C171" i="26" s="1"/>
  <c r="D171" i="25"/>
  <c r="E171" i="25"/>
  <c r="H171" i="25"/>
  <c r="E171" i="26" s="1"/>
  <c r="L171" i="25"/>
  <c r="C172" i="25"/>
  <c r="C172" i="26" s="1"/>
  <c r="D172" i="25"/>
  <c r="E172" i="25"/>
  <c r="H172" i="25"/>
  <c r="E172" i="26" s="1"/>
  <c r="L172" i="25"/>
  <c r="C173" i="25"/>
  <c r="C173" i="26" s="1"/>
  <c r="D173" i="25"/>
  <c r="E173" i="25"/>
  <c r="L173" i="25"/>
  <c r="C174" i="25"/>
  <c r="C174" i="26" s="1"/>
  <c r="D174" i="25"/>
  <c r="E174" i="25"/>
  <c r="L174" i="25"/>
  <c r="C176" i="25"/>
  <c r="C176" i="26" s="1"/>
  <c r="D176" i="25"/>
  <c r="E176" i="25"/>
  <c r="L176" i="25"/>
  <c r="C177" i="25"/>
  <c r="C177" i="26" s="1"/>
  <c r="D177" i="25"/>
  <c r="E177" i="25"/>
  <c r="L177" i="25"/>
  <c r="C178" i="25"/>
  <c r="C178" i="26" s="1"/>
  <c r="D178" i="25"/>
  <c r="E178" i="25"/>
  <c r="L178" i="25"/>
  <c r="C179" i="25"/>
  <c r="C179" i="26" s="1"/>
  <c r="D179" i="25"/>
  <c r="E179" i="25"/>
  <c r="L179" i="25"/>
  <c r="C180" i="25"/>
  <c r="C180" i="26" s="1"/>
  <c r="D180" i="25"/>
  <c r="E180" i="25"/>
  <c r="L180" i="25"/>
  <c r="C181" i="25"/>
  <c r="C181" i="26" s="1"/>
  <c r="D181" i="25"/>
  <c r="E181" i="25"/>
  <c r="L181" i="25"/>
  <c r="C182" i="25"/>
  <c r="C182" i="26" s="1"/>
  <c r="D182" i="25"/>
  <c r="E182" i="25"/>
  <c r="L182" i="25"/>
  <c r="C183" i="25"/>
  <c r="C183" i="26" s="1"/>
  <c r="D183" i="25"/>
  <c r="E183" i="25"/>
  <c r="L183" i="25"/>
  <c r="C184" i="25"/>
  <c r="C184" i="26" s="1"/>
  <c r="D184" i="25"/>
  <c r="E184" i="25"/>
  <c r="L184" i="25"/>
  <c r="C185" i="25"/>
  <c r="C185" i="26" s="1"/>
  <c r="D185" i="25"/>
  <c r="E185" i="25"/>
  <c r="L185" i="25"/>
  <c r="C186" i="25"/>
  <c r="D186" i="25"/>
  <c r="E186" i="25"/>
  <c r="L186" i="25"/>
  <c r="C187" i="25"/>
  <c r="C187" i="26" s="1"/>
  <c r="D187" i="25"/>
  <c r="E187" i="25"/>
  <c r="L187" i="25"/>
  <c r="C188" i="25"/>
  <c r="C188" i="26" s="1"/>
  <c r="D188" i="25"/>
  <c r="E188" i="25"/>
  <c r="L188" i="25"/>
  <c r="C190" i="25"/>
  <c r="D190" i="25"/>
  <c r="E190" i="25"/>
  <c r="L190" i="25"/>
  <c r="C191" i="25"/>
  <c r="C191" i="26" s="1"/>
  <c r="D191" i="25"/>
  <c r="E191" i="25"/>
  <c r="H191" i="25"/>
  <c r="L191" i="25"/>
  <c r="C192" i="25"/>
  <c r="C192" i="26" s="1"/>
  <c r="D192" i="25"/>
  <c r="E192" i="25"/>
  <c r="H192" i="25"/>
  <c r="E192" i="26" s="1"/>
  <c r="L192" i="25"/>
  <c r="C193" i="25"/>
  <c r="C193" i="26" s="1"/>
  <c r="D193" i="25"/>
  <c r="E193" i="25"/>
  <c r="H193" i="25"/>
  <c r="E193" i="26" s="1"/>
  <c r="L193" i="25"/>
  <c r="A130" i="5"/>
  <c r="C641" i="3"/>
  <c r="B641" i="3"/>
  <c r="E57" i="26" l="1"/>
  <c r="E78" i="26"/>
  <c r="E66" i="26"/>
  <c r="E79" i="26"/>
  <c r="E73" i="26"/>
  <c r="E64" i="26"/>
  <c r="E43" i="26"/>
  <c r="E80" i="26"/>
  <c r="E48" i="26"/>
  <c r="E87" i="26"/>
  <c r="C126" i="6"/>
  <c r="C107" i="6"/>
  <c r="C106" i="6"/>
  <c r="C127" i="6"/>
  <c r="C87" i="6"/>
  <c r="C86" i="6"/>
  <c r="C67" i="6"/>
  <c r="C66" i="6"/>
  <c r="C65" i="6"/>
  <c r="C104" i="6"/>
  <c r="C83" i="6"/>
  <c r="C122" i="6"/>
  <c r="C61" i="6"/>
  <c r="C120" i="6"/>
  <c r="C59" i="6"/>
  <c r="C118" i="6"/>
  <c r="C137" i="6"/>
  <c r="C97" i="6"/>
  <c r="C116" i="6"/>
  <c r="C75" i="6"/>
  <c r="C74" i="6"/>
  <c r="C133" i="6"/>
  <c r="C113" i="6"/>
  <c r="C93" i="6"/>
  <c r="C73" i="6"/>
  <c r="C53" i="6"/>
  <c r="C125" i="6"/>
  <c r="C84" i="6"/>
  <c r="C103" i="6"/>
  <c r="C82" i="6"/>
  <c r="C101" i="6"/>
  <c r="C43" i="6"/>
  <c r="C80" i="6"/>
  <c r="C119" i="6"/>
  <c r="C58" i="6"/>
  <c r="C117" i="6"/>
  <c r="C96" i="6"/>
  <c r="C135" i="6"/>
  <c r="C115" i="6"/>
  <c r="C95" i="6"/>
  <c r="C55" i="6"/>
  <c r="C134" i="6"/>
  <c r="C114" i="6"/>
  <c r="C94" i="6"/>
  <c r="C54" i="6"/>
  <c r="C132" i="6"/>
  <c r="C112" i="6"/>
  <c r="C92" i="6"/>
  <c r="C72" i="6"/>
  <c r="C52" i="6"/>
  <c r="C47" i="6"/>
  <c r="C46" i="6"/>
  <c r="C45" i="6"/>
  <c r="C44" i="6"/>
  <c r="C105" i="6"/>
  <c r="C64" i="6"/>
  <c r="C123" i="6"/>
  <c r="C62" i="6"/>
  <c r="C121" i="6"/>
  <c r="C60" i="6"/>
  <c r="C99" i="6"/>
  <c r="C78" i="6"/>
  <c r="C77" i="6"/>
  <c r="C136" i="6"/>
  <c r="C56" i="6"/>
  <c r="C131" i="6"/>
  <c r="C91" i="6"/>
  <c r="C51" i="6"/>
  <c r="C90" i="6"/>
  <c r="C50" i="6"/>
  <c r="C129" i="6"/>
  <c r="C109" i="6"/>
  <c r="C89" i="6"/>
  <c r="C69" i="6"/>
  <c r="C49" i="6"/>
  <c r="C85" i="6"/>
  <c r="C124" i="6"/>
  <c r="C63" i="6"/>
  <c r="C102" i="6"/>
  <c r="C81" i="6"/>
  <c r="C100" i="6"/>
  <c r="C79" i="6"/>
  <c r="C42" i="6"/>
  <c r="C98" i="6"/>
  <c r="C57" i="6"/>
  <c r="C76" i="6"/>
  <c r="C111" i="6"/>
  <c r="C71" i="6"/>
  <c r="C130" i="6"/>
  <c r="C110" i="6"/>
  <c r="C70" i="6"/>
  <c r="C128" i="6"/>
  <c r="C108" i="6"/>
  <c r="C88" i="6"/>
  <c r="C68" i="6"/>
  <c r="C642" i="3" l="1"/>
  <c r="B642" i="3"/>
  <c r="C640" i="3"/>
  <c r="B640" i="3"/>
  <c r="C639" i="3"/>
  <c r="B639" i="3"/>
  <c r="F130" i="2"/>
  <c r="E130" i="2"/>
  <c r="D130" i="2"/>
  <c r="C130" i="5" l="1"/>
  <c r="K130" i="5" s="1"/>
  <c r="M130" i="5" s="1"/>
  <c r="O130" i="5" s="1"/>
  <c r="H131" i="25"/>
  <c r="E131" i="26" s="1"/>
  <c r="B130" i="5"/>
  <c r="G131" i="25"/>
  <c r="D131" i="26" s="1"/>
  <c r="I131" i="25"/>
  <c r="F131" i="26" s="1"/>
  <c r="D130" i="5"/>
  <c r="G10480" i="21" l="1"/>
  <c r="H10480" i="21"/>
  <c r="G10481" i="21"/>
  <c r="H10481" i="21"/>
  <c r="G10482" i="21"/>
  <c r="H10482" i="21"/>
  <c r="G10483" i="21"/>
  <c r="H10483" i="21"/>
  <c r="G10484" i="21"/>
  <c r="H10484" i="21"/>
  <c r="G10485" i="21"/>
  <c r="H10485" i="21"/>
  <c r="G10486" i="21"/>
  <c r="H10486" i="21"/>
  <c r="G10487" i="21"/>
  <c r="H10487" i="21"/>
  <c r="G10488" i="21"/>
  <c r="H10488" i="21"/>
  <c r="G10489" i="21"/>
  <c r="H10489" i="21"/>
  <c r="G10490" i="21"/>
  <c r="H10490" i="21"/>
  <c r="G10491" i="21"/>
  <c r="H10491" i="21"/>
  <c r="G10492" i="21"/>
  <c r="H10492" i="21"/>
  <c r="G10493" i="21"/>
  <c r="H10493" i="21"/>
  <c r="G10494" i="21"/>
  <c r="H10494" i="21"/>
  <c r="G10495" i="21"/>
  <c r="H10495" i="21"/>
  <c r="G10496" i="21"/>
  <c r="H10496" i="21"/>
  <c r="G10497" i="21"/>
  <c r="H10497" i="21"/>
  <c r="G10498" i="21"/>
  <c r="H10498" i="21"/>
  <c r="G10499" i="21"/>
  <c r="H10499" i="21"/>
  <c r="G10500" i="21"/>
  <c r="H10500" i="21"/>
  <c r="G10501" i="21"/>
  <c r="H10501" i="21"/>
  <c r="G10502" i="21"/>
  <c r="H10502" i="21"/>
  <c r="G10503" i="21"/>
  <c r="H10503" i="21"/>
  <c r="G10504" i="21"/>
  <c r="H10504" i="21"/>
  <c r="G10505" i="21"/>
  <c r="H10505" i="21"/>
  <c r="G10506" i="21"/>
  <c r="H10506" i="21"/>
  <c r="G10507" i="21"/>
  <c r="H10507" i="21"/>
  <c r="G10508" i="21"/>
  <c r="H10508" i="21"/>
  <c r="G10509" i="21"/>
  <c r="H10509" i="21"/>
  <c r="G10510" i="21"/>
  <c r="H10510" i="21"/>
  <c r="G10511" i="21"/>
  <c r="H10511" i="21"/>
  <c r="G10512" i="21"/>
  <c r="H10512" i="21"/>
  <c r="G10513" i="21"/>
  <c r="H10513" i="21"/>
  <c r="G10514" i="21"/>
  <c r="H10514" i="21"/>
  <c r="G10515" i="21"/>
  <c r="H10515" i="21"/>
  <c r="G10516" i="21"/>
  <c r="H10516" i="21"/>
  <c r="G10517" i="21"/>
  <c r="H10517" i="21"/>
  <c r="G10518" i="21"/>
  <c r="H10518" i="21"/>
  <c r="G10519" i="21"/>
  <c r="H10519" i="21"/>
  <c r="G10520" i="21"/>
  <c r="H10520" i="21"/>
  <c r="G10521" i="21"/>
  <c r="H10521" i="21"/>
  <c r="G10522" i="21"/>
  <c r="H10522" i="21"/>
  <c r="G10523" i="21"/>
  <c r="H10523" i="21"/>
  <c r="G10524" i="21"/>
  <c r="H10524" i="21"/>
  <c r="G10525" i="21"/>
  <c r="H10525" i="21"/>
  <c r="G10526" i="21"/>
  <c r="H10526" i="21"/>
  <c r="G10527" i="21"/>
  <c r="H10527" i="21"/>
  <c r="G10528" i="21"/>
  <c r="H10528" i="21"/>
  <c r="G10529" i="21"/>
  <c r="H10529" i="21"/>
  <c r="G10530" i="21"/>
  <c r="H10530" i="21"/>
  <c r="G10531" i="21"/>
  <c r="H10531" i="21"/>
  <c r="G10532" i="21"/>
  <c r="H10532" i="21"/>
  <c r="G10533" i="21"/>
  <c r="H10533" i="21"/>
  <c r="G10534" i="21"/>
  <c r="H10534" i="21"/>
  <c r="G10535" i="21"/>
  <c r="H10535" i="21"/>
  <c r="G10536" i="21"/>
  <c r="H10536" i="21"/>
  <c r="G10537" i="21"/>
  <c r="H10537" i="21"/>
  <c r="G10538" i="21"/>
  <c r="H10538" i="21"/>
  <c r="G10539" i="21"/>
  <c r="H10539" i="21"/>
  <c r="G10540" i="21"/>
  <c r="H10540" i="21"/>
  <c r="G10541" i="21"/>
  <c r="H10541" i="21"/>
  <c r="G10542" i="21"/>
  <c r="H10542" i="21"/>
  <c r="G10543" i="21"/>
  <c r="H10543" i="21"/>
  <c r="G10544" i="21"/>
  <c r="H10544" i="21"/>
  <c r="G10545" i="21"/>
  <c r="H10545" i="21"/>
  <c r="G10546" i="21"/>
  <c r="H10546" i="21"/>
  <c r="G10547" i="21"/>
  <c r="H10547" i="21"/>
  <c r="G10548" i="21"/>
  <c r="H10548" i="21"/>
  <c r="G10549" i="21"/>
  <c r="H10549" i="21"/>
  <c r="G10550" i="21"/>
  <c r="H10550" i="21"/>
  <c r="G10551" i="21"/>
  <c r="H10551" i="21"/>
  <c r="G10552" i="21"/>
  <c r="H10552" i="21"/>
  <c r="G10553" i="21"/>
  <c r="H10553" i="21"/>
  <c r="G10554" i="21"/>
  <c r="H10554" i="21"/>
  <c r="G10465" i="21"/>
  <c r="H10465" i="21" s="1"/>
  <c r="G10466" i="21"/>
  <c r="H10466" i="21" s="1"/>
  <c r="G10467" i="21"/>
  <c r="H10467" i="21" s="1"/>
  <c r="G10468" i="21"/>
  <c r="H10468" i="21" s="1"/>
  <c r="G10469" i="21"/>
  <c r="H10469" i="21" s="1"/>
  <c r="G10470" i="21"/>
  <c r="H10470" i="21"/>
  <c r="G10471" i="21"/>
  <c r="H10471" i="21" s="1"/>
  <c r="G10472" i="21"/>
  <c r="H10472" i="21" s="1"/>
  <c r="G10473" i="21"/>
  <c r="H10473" i="21" s="1"/>
  <c r="G10474" i="21"/>
  <c r="H10474" i="21" s="1"/>
  <c r="G10475" i="21"/>
  <c r="H10475" i="21" s="1"/>
  <c r="G10476" i="21"/>
  <c r="H10476" i="21" s="1"/>
  <c r="G10477" i="21"/>
  <c r="H10477" i="21" s="1"/>
  <c r="G10478" i="21"/>
  <c r="H10478" i="21" s="1"/>
  <c r="G10479" i="21"/>
  <c r="H10479" i="21" s="1"/>
  <c r="C612" i="3" l="1"/>
  <c r="B612" i="3"/>
  <c r="C611" i="3"/>
  <c r="B611" i="3"/>
  <c r="F54" i="2" l="1"/>
  <c r="H55" i="25" s="1"/>
  <c r="C382" i="3"/>
  <c r="B382" i="3"/>
  <c r="C381" i="3"/>
  <c r="B381" i="3"/>
  <c r="C360" i="3"/>
  <c r="B360" i="3"/>
  <c r="C359" i="3"/>
  <c r="B359" i="3"/>
  <c r="C371" i="3"/>
  <c r="B371" i="3"/>
  <c r="C370" i="3"/>
  <c r="B370" i="3"/>
  <c r="C348" i="3"/>
  <c r="B348" i="3"/>
  <c r="C453" i="3"/>
  <c r="B453" i="3"/>
  <c r="L31" i="4"/>
  <c r="G453" i="3" s="1"/>
  <c r="E55" i="26" l="1"/>
  <c r="K453" i="3"/>
  <c r="J453" i="3"/>
  <c r="G10387" i="21"/>
  <c r="H10387" i="21" s="1"/>
  <c r="G10388" i="21"/>
  <c r="H10388" i="21" s="1"/>
  <c r="G10389" i="21"/>
  <c r="H10389" i="21" s="1"/>
  <c r="G10390" i="21"/>
  <c r="H10390" i="21"/>
  <c r="G10391" i="21"/>
  <c r="H10391" i="21"/>
  <c r="G10392" i="21"/>
  <c r="H10392" i="21" s="1"/>
  <c r="G10393" i="21"/>
  <c r="H10393" i="21" s="1"/>
  <c r="G10394" i="21"/>
  <c r="H10394" i="21" s="1"/>
  <c r="G10395" i="21"/>
  <c r="H10395" i="21"/>
  <c r="G10396" i="21"/>
  <c r="H10396" i="21"/>
  <c r="G10397" i="21"/>
  <c r="H10397" i="21"/>
  <c r="G10398" i="21"/>
  <c r="H10398" i="21" s="1"/>
  <c r="G10399" i="21"/>
  <c r="H10399" i="21" s="1"/>
  <c r="G10400" i="21"/>
  <c r="H10400" i="21" s="1"/>
  <c r="G10401" i="21"/>
  <c r="H10401" i="21"/>
  <c r="G10402" i="21"/>
  <c r="H10402" i="21"/>
  <c r="G10403" i="21"/>
  <c r="H10403" i="21"/>
  <c r="G10404" i="21"/>
  <c r="H10404" i="21" s="1"/>
  <c r="G10405" i="21"/>
  <c r="H10405" i="21" s="1"/>
  <c r="G10406" i="21"/>
  <c r="H10406" i="21" s="1"/>
  <c r="G10407" i="21"/>
  <c r="H10407" i="21"/>
  <c r="G10408" i="21"/>
  <c r="H10408" i="21"/>
  <c r="G10409" i="21"/>
  <c r="H10409" i="21"/>
  <c r="G10410" i="21"/>
  <c r="H10410" i="21" s="1"/>
  <c r="G10411" i="21"/>
  <c r="H10411" i="21" s="1"/>
  <c r="G10412" i="21"/>
  <c r="H10412" i="21" s="1"/>
  <c r="G10413" i="21"/>
  <c r="H10413" i="21"/>
  <c r="G10414" i="21"/>
  <c r="H10414" i="21"/>
  <c r="G10415" i="21"/>
  <c r="H10415" i="21"/>
  <c r="G10416" i="21"/>
  <c r="H10416" i="21" s="1"/>
  <c r="G10417" i="21"/>
  <c r="H10417" i="21" s="1"/>
  <c r="G10418" i="21"/>
  <c r="H10418" i="21" s="1"/>
  <c r="G10419" i="21"/>
  <c r="H10419" i="21"/>
  <c r="G10420" i="21"/>
  <c r="H10420" i="21"/>
  <c r="G10421" i="21"/>
  <c r="H10421" i="21"/>
  <c r="G10422" i="21"/>
  <c r="H10422" i="21" s="1"/>
  <c r="G10423" i="21"/>
  <c r="H10423" i="21" s="1"/>
  <c r="G10424" i="21"/>
  <c r="H10424" i="21" s="1"/>
  <c r="G10425" i="21"/>
  <c r="H10425" i="21"/>
  <c r="G10426" i="21"/>
  <c r="H10426" i="21"/>
  <c r="G10427" i="21"/>
  <c r="H10427" i="21"/>
  <c r="G10428" i="21"/>
  <c r="H10428" i="21" s="1"/>
  <c r="G10429" i="21"/>
  <c r="H10429" i="21" s="1"/>
  <c r="G10430" i="21"/>
  <c r="H10430" i="21" s="1"/>
  <c r="G10431" i="21"/>
  <c r="H10431" i="21"/>
  <c r="G10432" i="21"/>
  <c r="H10432" i="21"/>
  <c r="G10433" i="21"/>
  <c r="H10433" i="21"/>
  <c r="G10434" i="21"/>
  <c r="H10434" i="21" s="1"/>
  <c r="G10435" i="21"/>
  <c r="H10435" i="21" s="1"/>
  <c r="G10436" i="21"/>
  <c r="H10436" i="21" s="1"/>
  <c r="G10437" i="21"/>
  <c r="H10437" i="21"/>
  <c r="G10438" i="21"/>
  <c r="H10438" i="21"/>
  <c r="G10439" i="21"/>
  <c r="H10439" i="21"/>
  <c r="G10440" i="21"/>
  <c r="H10440" i="21" s="1"/>
  <c r="G10441" i="21"/>
  <c r="H10441" i="21" s="1"/>
  <c r="G10442" i="21"/>
  <c r="H10442" i="21" s="1"/>
  <c r="G10443" i="21"/>
  <c r="H10443" i="21"/>
  <c r="G10444" i="21"/>
  <c r="H10444" i="21"/>
  <c r="G10445" i="21"/>
  <c r="H10445" i="21"/>
  <c r="G10446" i="21"/>
  <c r="H10446" i="21" s="1"/>
  <c r="G10447" i="21"/>
  <c r="H10447" i="21" s="1"/>
  <c r="G10448" i="21"/>
  <c r="H10448" i="21" s="1"/>
  <c r="G10449" i="21"/>
  <c r="H10449" i="21"/>
  <c r="G10450" i="21"/>
  <c r="H10450" i="21"/>
  <c r="G10451" i="21"/>
  <c r="H10451" i="21"/>
  <c r="G10452" i="21"/>
  <c r="H10452" i="21" s="1"/>
  <c r="G10453" i="21"/>
  <c r="H10453" i="21" s="1"/>
  <c r="G10454" i="21"/>
  <c r="H10454" i="21" s="1"/>
  <c r="G10455" i="21"/>
  <c r="H10455" i="21"/>
  <c r="G10456" i="21"/>
  <c r="H10456" i="21"/>
  <c r="G10457" i="21"/>
  <c r="H10457" i="21"/>
  <c r="G10458" i="21"/>
  <c r="H10458" i="21" s="1"/>
  <c r="G10459" i="21"/>
  <c r="H10459" i="21" s="1"/>
  <c r="G10460" i="21"/>
  <c r="H10460" i="21" s="1"/>
  <c r="G10461" i="21"/>
  <c r="H10461" i="21"/>
  <c r="G10462" i="21"/>
  <c r="H10462" i="21"/>
  <c r="G10463" i="21"/>
  <c r="H10463" i="21"/>
  <c r="G10464" i="21"/>
  <c r="H10464" i="21" s="1"/>
  <c r="B39" i="5" l="1"/>
  <c r="A39" i="5"/>
  <c r="D40" i="2"/>
  <c r="G41" i="25" s="1"/>
  <c r="D41" i="26" s="1"/>
  <c r="E40" i="2"/>
  <c r="I41" i="25" s="1"/>
  <c r="F41" i="26" s="1"/>
  <c r="O40" i="5" l="1"/>
  <c r="C40" i="5"/>
  <c r="A40" i="5"/>
  <c r="D40" i="5"/>
  <c r="B40" i="5"/>
  <c r="D28" i="2" l="1"/>
  <c r="G29" i="25" s="1"/>
  <c r="D29" i="26" s="1"/>
  <c r="D27" i="2"/>
  <c r="G28" i="25" s="1"/>
  <c r="D28" i="26" s="1"/>
  <c r="D178" i="3"/>
  <c r="C178" i="3"/>
  <c r="B178" i="3"/>
  <c r="C177" i="3"/>
  <c r="B177" i="3"/>
  <c r="C176" i="3"/>
  <c r="B176" i="3"/>
  <c r="D25" i="2"/>
  <c r="G26" i="25" s="1"/>
  <c r="D26" i="26" s="1"/>
  <c r="D170" i="3"/>
  <c r="C170" i="3"/>
  <c r="B170" i="3"/>
  <c r="C169" i="3"/>
  <c r="B169" i="3"/>
  <c r="C168" i="3"/>
  <c r="B168" i="3"/>
  <c r="D34" i="2"/>
  <c r="G35" i="25" s="1"/>
  <c r="D35" i="26" s="1"/>
  <c r="D210" i="3"/>
  <c r="C210" i="3"/>
  <c r="B210" i="3"/>
  <c r="C209" i="3"/>
  <c r="B209" i="3"/>
  <c r="C208" i="3"/>
  <c r="B208" i="3"/>
  <c r="D36" i="2"/>
  <c r="G37" i="25" s="1"/>
  <c r="D37" i="26" s="1"/>
  <c r="D219" i="3"/>
  <c r="C219" i="3"/>
  <c r="B219" i="3"/>
  <c r="C218" i="3"/>
  <c r="B218" i="3"/>
  <c r="C217" i="3"/>
  <c r="B217" i="3"/>
  <c r="D223" i="3"/>
  <c r="C223" i="3"/>
  <c r="B223" i="3"/>
  <c r="C222" i="3"/>
  <c r="B222" i="3"/>
  <c r="C221" i="3"/>
  <c r="B221" i="3"/>
  <c r="B225" i="3"/>
  <c r="C225" i="3"/>
  <c r="D227" i="3"/>
  <c r="C227" i="3"/>
  <c r="B227" i="3"/>
  <c r="C226" i="3"/>
  <c r="B226" i="3"/>
  <c r="D37" i="2"/>
  <c r="G38" i="25" s="1"/>
  <c r="D38" i="26" s="1"/>
  <c r="D235" i="3"/>
  <c r="C235" i="3"/>
  <c r="B235" i="3"/>
  <c r="C234" i="3"/>
  <c r="B234" i="3"/>
  <c r="C233" i="3"/>
  <c r="B233" i="3"/>
  <c r="E38" i="2"/>
  <c r="I39" i="25" s="1"/>
  <c r="F39" i="26" s="1"/>
  <c r="D38" i="2"/>
  <c r="G39" i="25" s="1"/>
  <c r="D39" i="26" s="1"/>
  <c r="D243" i="3"/>
  <c r="C243" i="3"/>
  <c r="B243" i="3"/>
  <c r="C242" i="3"/>
  <c r="B242" i="3"/>
  <c r="C241" i="3"/>
  <c r="B241" i="3"/>
  <c r="E30" i="2"/>
  <c r="I31" i="25" s="1"/>
  <c r="F31" i="26" s="1"/>
  <c r="D30" i="2"/>
  <c r="G31" i="25" s="1"/>
  <c r="D31" i="26" s="1"/>
  <c r="D194" i="3"/>
  <c r="C194" i="3"/>
  <c r="B194" i="3"/>
  <c r="C193" i="3"/>
  <c r="B193" i="3"/>
  <c r="C192" i="3"/>
  <c r="B192" i="3"/>
  <c r="E32" i="2"/>
  <c r="I33" i="25" s="1"/>
  <c r="F33" i="26" s="1"/>
  <c r="D32" i="2"/>
  <c r="G33" i="25" s="1"/>
  <c r="D33" i="26" s="1"/>
  <c r="D202" i="3"/>
  <c r="C202" i="3"/>
  <c r="B202" i="3"/>
  <c r="C201" i="3"/>
  <c r="B201" i="3"/>
  <c r="C200" i="3"/>
  <c r="B200" i="3"/>
  <c r="J219" i="3" l="1"/>
  <c r="J178" i="3"/>
  <c r="J170" i="3"/>
  <c r="J210" i="3"/>
  <c r="J223" i="3"/>
  <c r="J227" i="3"/>
  <c r="J235" i="3"/>
  <c r="J243" i="3"/>
  <c r="J194" i="3"/>
  <c r="J202" i="3"/>
  <c r="E179" i="2"/>
  <c r="I180" i="25" s="1"/>
  <c r="F180" i="26" s="1"/>
  <c r="D179" i="2"/>
  <c r="G180" i="25" s="1"/>
  <c r="D180" i="26" s="1"/>
  <c r="E178" i="2"/>
  <c r="I179" i="25" s="1"/>
  <c r="F179" i="26" s="1"/>
  <c r="D178" i="2"/>
  <c r="G179" i="25" s="1"/>
  <c r="D179" i="26" s="1"/>
  <c r="D129" i="3" l="1"/>
  <c r="C129" i="3"/>
  <c r="B129" i="3"/>
  <c r="C128" i="3"/>
  <c r="B128" i="3"/>
  <c r="C127" i="3"/>
  <c r="B127" i="3"/>
  <c r="D29" i="2"/>
  <c r="G30" i="25" s="1"/>
  <c r="D30" i="26" s="1"/>
  <c r="D26" i="2"/>
  <c r="G27" i="25" s="1"/>
  <c r="D27" i="26" s="1"/>
  <c r="D23" i="2"/>
  <c r="G24" i="25" s="1"/>
  <c r="D24" i="26" s="1"/>
  <c r="D22" i="2"/>
  <c r="G23" i="25" s="1"/>
  <c r="D23" i="26" s="1"/>
  <c r="D21" i="2"/>
  <c r="G22" i="25" s="1"/>
  <c r="D22" i="26" s="1"/>
  <c r="D20" i="2"/>
  <c r="G21" i="25" s="1"/>
  <c r="D21" i="26" s="1"/>
  <c r="J129" i="3" l="1"/>
  <c r="D19" i="2" l="1"/>
  <c r="G20" i="25" s="1"/>
  <c r="D20" i="26" s="1"/>
  <c r="L19" i="4"/>
  <c r="C120" i="3"/>
  <c r="B120" i="3"/>
  <c r="C186" i="3"/>
  <c r="B186" i="3"/>
  <c r="C133" i="3"/>
  <c r="B133" i="3"/>
  <c r="C141" i="3"/>
  <c r="B141" i="3"/>
  <c r="C150" i="3"/>
  <c r="B150" i="3"/>
  <c r="C154" i="3"/>
  <c r="B154" i="3"/>
  <c r="C162" i="3"/>
  <c r="B162" i="3"/>
  <c r="C251" i="3"/>
  <c r="B251" i="3"/>
  <c r="C140" i="3"/>
  <c r="B140" i="3"/>
  <c r="C250" i="3"/>
  <c r="B250" i="3"/>
  <c r="C249" i="3"/>
  <c r="B249" i="3"/>
  <c r="C161" i="3"/>
  <c r="B161" i="3"/>
  <c r="C160" i="3"/>
  <c r="B160" i="3"/>
  <c r="C153" i="3"/>
  <c r="B153" i="3"/>
  <c r="C152" i="3"/>
  <c r="B152" i="3"/>
  <c r="C149" i="3"/>
  <c r="B149" i="3"/>
  <c r="C148" i="3"/>
  <c r="B148" i="3"/>
  <c r="C132" i="3"/>
  <c r="B132" i="3"/>
  <c r="C139" i="3"/>
  <c r="B139" i="3"/>
  <c r="C131" i="3"/>
  <c r="B131" i="3"/>
  <c r="C185" i="3"/>
  <c r="B185" i="3"/>
  <c r="C184" i="3"/>
  <c r="B184" i="3"/>
  <c r="C119" i="3"/>
  <c r="B119" i="3"/>
  <c r="C118" i="3"/>
  <c r="B118" i="3"/>
  <c r="J251" i="3"/>
  <c r="D120" i="3"/>
  <c r="J120" i="3" s="1"/>
  <c r="D162" i="3"/>
  <c r="J162" i="3" s="1"/>
  <c r="D154" i="3"/>
  <c r="J154" i="3" s="1"/>
  <c r="D150" i="3"/>
  <c r="J150" i="3" s="1"/>
  <c r="D141" i="3"/>
  <c r="J141" i="3" s="1"/>
  <c r="D133" i="3"/>
  <c r="J133" i="3" s="1"/>
  <c r="D186" i="3"/>
  <c r="J186" i="3" s="1"/>
  <c r="G210" i="3" l="1"/>
  <c r="K210" i="3" s="1"/>
  <c r="G178" i="3"/>
  <c r="K178" i="3" s="1"/>
  <c r="G243" i="3"/>
  <c r="K243" i="3" s="1"/>
  <c r="G219" i="3"/>
  <c r="K219" i="3" s="1"/>
  <c r="G202" i="3"/>
  <c r="K202" i="3" s="1"/>
  <c r="G170" i="3"/>
  <c r="K170" i="3" s="1"/>
  <c r="G223" i="3"/>
  <c r="K223" i="3" s="1"/>
  <c r="G227" i="3"/>
  <c r="K227" i="3" s="1"/>
  <c r="G235" i="3"/>
  <c r="K235" i="3" s="1"/>
  <c r="G194" i="3"/>
  <c r="K194" i="3" s="1"/>
  <c r="G129" i="3"/>
  <c r="K129" i="3" s="1"/>
  <c r="G120" i="3"/>
  <c r="K120" i="3" s="1"/>
  <c r="G186" i="3"/>
  <c r="K186" i="3" s="1"/>
  <c r="G133" i="3"/>
  <c r="K133" i="3" s="1"/>
  <c r="G141" i="3"/>
  <c r="K141" i="3" s="1"/>
  <c r="G150" i="3"/>
  <c r="K150" i="3" s="1"/>
  <c r="G154" i="3"/>
  <c r="K154" i="3" s="1"/>
  <c r="G162" i="3"/>
  <c r="K162" i="3" s="1"/>
  <c r="C47" i="5"/>
  <c r="G47" i="5" s="1"/>
  <c r="O47" i="5" s="1"/>
  <c r="A47" i="5"/>
  <c r="E47" i="2"/>
  <c r="I48" i="25" s="1"/>
  <c r="F48" i="26" s="1"/>
  <c r="D47" i="2"/>
  <c r="G48" i="25" s="1"/>
  <c r="D48" i="26" s="1"/>
  <c r="B47" i="5" l="1"/>
  <c r="D47" i="5"/>
  <c r="O38" i="5"/>
  <c r="C38" i="5"/>
  <c r="B38" i="5"/>
  <c r="A38" i="5"/>
  <c r="O37" i="5"/>
  <c r="C37" i="5"/>
  <c r="B37" i="5"/>
  <c r="A37" i="5"/>
  <c r="O36" i="5"/>
  <c r="C36" i="5"/>
  <c r="B36" i="5"/>
  <c r="A36" i="5"/>
  <c r="B35" i="5"/>
  <c r="A35" i="5"/>
  <c r="O34" i="5"/>
  <c r="C34" i="5"/>
  <c r="B34" i="5"/>
  <c r="A34" i="5"/>
  <c r="B33" i="5"/>
  <c r="A33" i="5"/>
  <c r="O32" i="5"/>
  <c r="C32" i="5"/>
  <c r="B32" i="5"/>
  <c r="A32" i="5"/>
  <c r="B31" i="5"/>
  <c r="A31" i="5"/>
  <c r="O30" i="5"/>
  <c r="C30" i="5"/>
  <c r="B30" i="5"/>
  <c r="A30" i="5"/>
  <c r="O29" i="5"/>
  <c r="C29" i="5"/>
  <c r="B29" i="5"/>
  <c r="A29" i="5"/>
  <c r="O28" i="5"/>
  <c r="C28" i="5"/>
  <c r="B28" i="5"/>
  <c r="A28" i="5"/>
  <c r="O27" i="5"/>
  <c r="C27" i="5"/>
  <c r="B27" i="5"/>
  <c r="A27" i="5"/>
  <c r="O26" i="5"/>
  <c r="C26" i="5"/>
  <c r="B26" i="5"/>
  <c r="A26" i="5"/>
  <c r="O25" i="5"/>
  <c r="C25" i="5"/>
  <c r="B25" i="5"/>
  <c r="A25" i="5"/>
  <c r="B24" i="5"/>
  <c r="A24" i="5"/>
  <c r="O23" i="5"/>
  <c r="C23" i="5"/>
  <c r="B23" i="5"/>
  <c r="A23" i="5"/>
  <c r="O22" i="5"/>
  <c r="C22" i="5"/>
  <c r="B22" i="5"/>
  <c r="A22" i="5"/>
  <c r="O21" i="5"/>
  <c r="C21" i="5"/>
  <c r="B21" i="5"/>
  <c r="A21" i="5"/>
  <c r="O20" i="5"/>
  <c r="C20" i="5"/>
  <c r="B20" i="5"/>
  <c r="A20" i="5"/>
  <c r="O19" i="5"/>
  <c r="C19" i="5"/>
  <c r="B19" i="5"/>
  <c r="A19" i="5"/>
  <c r="B18" i="5"/>
  <c r="A18" i="5"/>
  <c r="B17" i="5"/>
  <c r="A17" i="5"/>
  <c r="D38" i="5"/>
  <c r="E37" i="2"/>
  <c r="I38" i="25" s="1"/>
  <c r="F38" i="26" s="1"/>
  <c r="E36" i="2"/>
  <c r="I37" i="25" s="1"/>
  <c r="F37" i="26" s="1"/>
  <c r="E34" i="2"/>
  <c r="I35" i="25" s="1"/>
  <c r="F35" i="26" s="1"/>
  <c r="E19" i="2"/>
  <c r="I20" i="25" s="1"/>
  <c r="F20" i="26" s="1"/>
  <c r="E20" i="2"/>
  <c r="I21" i="25" s="1"/>
  <c r="F21" i="26" s="1"/>
  <c r="E21" i="2"/>
  <c r="I22" i="25" s="1"/>
  <c r="F22" i="26" s="1"/>
  <c r="E22" i="2"/>
  <c r="I23" i="25" s="1"/>
  <c r="F23" i="26" s="1"/>
  <c r="E23" i="2"/>
  <c r="I24" i="25" s="1"/>
  <c r="F24" i="26" s="1"/>
  <c r="D32" i="5"/>
  <c r="D30" i="5"/>
  <c r="E29" i="2"/>
  <c r="I30" i="25" s="1"/>
  <c r="F30" i="26" s="1"/>
  <c r="E28" i="2"/>
  <c r="I29" i="25" s="1"/>
  <c r="F29" i="26" s="1"/>
  <c r="E27" i="2"/>
  <c r="I28" i="25" s="1"/>
  <c r="F28" i="26" s="1"/>
  <c r="E26" i="2"/>
  <c r="I27" i="25" s="1"/>
  <c r="F27" i="26" s="1"/>
  <c r="E25" i="2"/>
  <c r="I26" i="25" s="1"/>
  <c r="F26" i="26" s="1"/>
  <c r="D34" i="5" l="1"/>
  <c r="D29" i="5"/>
  <c r="D28" i="5"/>
  <c r="D27" i="5"/>
  <c r="D37" i="5"/>
  <c r="D25" i="5"/>
  <c r="D22" i="5"/>
  <c r="D36" i="5"/>
  <c r="D23" i="5"/>
  <c r="D26" i="5"/>
  <c r="D21" i="5"/>
  <c r="D20" i="5"/>
  <c r="D19" i="5"/>
  <c r="A128" i="5"/>
  <c r="A127" i="5"/>
  <c r="A126" i="5"/>
  <c r="A125" i="5"/>
  <c r="A124" i="5"/>
  <c r="A120" i="5"/>
  <c r="F104" i="2"/>
  <c r="H105" i="25" s="1"/>
  <c r="E128" i="2"/>
  <c r="I129" i="25" s="1"/>
  <c r="F129" i="26" s="1"/>
  <c r="D128" i="2"/>
  <c r="G129" i="25" s="1"/>
  <c r="D129" i="26" s="1"/>
  <c r="E127" i="2"/>
  <c r="I128" i="25" s="1"/>
  <c r="F128" i="26" s="1"/>
  <c r="D127" i="2"/>
  <c r="G128" i="25" s="1"/>
  <c r="D128" i="26" s="1"/>
  <c r="E120" i="2"/>
  <c r="I121" i="25" s="1"/>
  <c r="F121" i="26" s="1"/>
  <c r="D120" i="2"/>
  <c r="G121" i="25" s="1"/>
  <c r="D121" i="26" s="1"/>
  <c r="E105" i="26" l="1"/>
  <c r="D120" i="5"/>
  <c r="B127" i="5"/>
  <c r="D127" i="5"/>
  <c r="B128" i="5"/>
  <c r="D128" i="5"/>
  <c r="B120" i="5"/>
  <c r="F185" i="2"/>
  <c r="H186" i="25" s="1"/>
  <c r="E186" i="26" s="1"/>
  <c r="F182" i="2"/>
  <c r="H183" i="25" s="1"/>
  <c r="E183" i="26" s="1"/>
  <c r="F178" i="2"/>
  <c r="H179" i="25" s="1"/>
  <c r="F179" i="2"/>
  <c r="H180" i="25" s="1"/>
  <c r="F177" i="2"/>
  <c r="H178" i="25" s="1"/>
  <c r="E178" i="26" s="1"/>
  <c r="F176" i="2"/>
  <c r="H177" i="25" s="1"/>
  <c r="E177" i="26" s="1"/>
  <c r="F175" i="2"/>
  <c r="H176" i="25" s="1"/>
  <c r="E176" i="26" s="1"/>
  <c r="F172" i="2"/>
  <c r="H173" i="25" s="1"/>
  <c r="E173" i="26" s="1"/>
  <c r="F167" i="2"/>
  <c r="H168" i="25" s="1"/>
  <c r="E168" i="26" s="1"/>
  <c r="F166" i="2"/>
  <c r="H167" i="25" s="1"/>
  <c r="E167" i="26" s="1"/>
  <c r="F165" i="2"/>
  <c r="H166" i="25" s="1"/>
  <c r="E166" i="26" s="1"/>
  <c r="F164" i="2"/>
  <c r="H165" i="25" s="1"/>
  <c r="F163" i="2"/>
  <c r="H164" i="25" s="1"/>
  <c r="F133" i="2"/>
  <c r="H134" i="25" s="1"/>
  <c r="E134" i="26" s="1"/>
  <c r="F132" i="2"/>
  <c r="H133" i="25" s="1"/>
  <c r="F131" i="2"/>
  <c r="H132" i="25" s="1"/>
  <c r="F143" i="2"/>
  <c r="H144" i="25" s="1"/>
  <c r="F142" i="2"/>
  <c r="H143" i="25" s="1"/>
  <c r="E143" i="26" s="1"/>
  <c r="F141" i="2"/>
  <c r="H142" i="25" s="1"/>
  <c r="E142" i="26" s="1"/>
  <c r="F140" i="2"/>
  <c r="H141" i="25" s="1"/>
  <c r="F139" i="2"/>
  <c r="H140" i="25" s="1"/>
  <c r="F138" i="2"/>
  <c r="H139" i="25" s="1"/>
  <c r="F151" i="2"/>
  <c r="H152" i="25" s="1"/>
  <c r="E152" i="26" s="1"/>
  <c r="F149" i="2"/>
  <c r="H150" i="25" s="1"/>
  <c r="E150" i="26" s="1"/>
  <c r="F150" i="2"/>
  <c r="H151" i="25" s="1"/>
  <c r="E151" i="26" s="1"/>
  <c r="F148" i="2"/>
  <c r="H149" i="25" s="1"/>
  <c r="E149" i="26" s="1"/>
  <c r="E165" i="26" l="1"/>
  <c r="E140" i="26"/>
  <c r="E141" i="26"/>
  <c r="E139" i="26"/>
  <c r="E144" i="26"/>
  <c r="E164" i="26"/>
  <c r="E132" i="26"/>
  <c r="E180" i="26"/>
  <c r="E133" i="26"/>
  <c r="E179" i="26"/>
  <c r="F173" i="2"/>
  <c r="H174" i="25" s="1"/>
  <c r="E174" i="26" s="1"/>
  <c r="F189" i="2"/>
  <c r="H190" i="25" s="1"/>
  <c r="E190" i="26" s="1"/>
  <c r="A104" i="5"/>
  <c r="A186" i="5"/>
  <c r="C132" i="5"/>
  <c r="K132" i="5" s="1"/>
  <c r="A132" i="5"/>
  <c r="A131" i="5"/>
  <c r="B129" i="5"/>
  <c r="A129" i="5"/>
  <c r="A136" i="5"/>
  <c r="A135" i="5"/>
  <c r="A134" i="5"/>
  <c r="C133" i="5"/>
  <c r="K133" i="5" s="1"/>
  <c r="M133" i="5" s="1"/>
  <c r="A133" i="5"/>
  <c r="L13" i="4"/>
  <c r="G26" i="4"/>
  <c r="G27" i="4"/>
  <c r="M132" i="5" l="1"/>
  <c r="O132" i="5" s="1"/>
  <c r="O133" i="5"/>
  <c r="F186" i="2"/>
  <c r="H187" i="25" s="1"/>
  <c r="E173" i="2"/>
  <c r="I174" i="25" s="1"/>
  <c r="F174" i="26" s="1"/>
  <c r="D173" i="2"/>
  <c r="G174" i="25" s="1"/>
  <c r="D174" i="26" s="1"/>
  <c r="D502" i="3"/>
  <c r="D501" i="3"/>
  <c r="D503" i="3"/>
  <c r="C503" i="3"/>
  <c r="B503" i="3"/>
  <c r="C502" i="3"/>
  <c r="B502" i="3"/>
  <c r="C501" i="3"/>
  <c r="B501" i="3"/>
  <c r="E172" i="2"/>
  <c r="I173" i="25" s="1"/>
  <c r="F173" i="26" s="1"/>
  <c r="D172" i="2"/>
  <c r="G173" i="25" s="1"/>
  <c r="D173" i="26" s="1"/>
  <c r="C586" i="3"/>
  <c r="B586" i="3"/>
  <c r="C585" i="3"/>
  <c r="B585" i="3"/>
  <c r="E187" i="26" l="1"/>
  <c r="C186" i="5"/>
  <c r="K186" i="5" s="1"/>
  <c r="M186" i="5" s="1"/>
  <c r="B394" i="3"/>
  <c r="C394" i="3"/>
  <c r="D394" i="3"/>
  <c r="B395" i="3"/>
  <c r="C395" i="3"/>
  <c r="D395" i="3"/>
  <c r="B396" i="3"/>
  <c r="C396" i="3"/>
  <c r="D396" i="3"/>
  <c r="B397" i="3"/>
  <c r="C397" i="3"/>
  <c r="D397" i="3"/>
  <c r="D401" i="3" l="1"/>
  <c r="O186" i="5"/>
  <c r="E186" i="2" l="1"/>
  <c r="I187" i="25" s="1"/>
  <c r="F187" i="26" s="1"/>
  <c r="D186" i="2"/>
  <c r="G187" i="25" s="1"/>
  <c r="D187" i="26" s="1"/>
  <c r="C483" i="3"/>
  <c r="B483" i="3"/>
  <c r="C482" i="3"/>
  <c r="B482" i="3"/>
  <c r="C481" i="3"/>
  <c r="B481" i="3"/>
  <c r="C480" i="3"/>
  <c r="B480" i="3"/>
  <c r="C479" i="3"/>
  <c r="B479" i="3"/>
  <c r="C478" i="3"/>
  <c r="B478" i="3"/>
  <c r="C477" i="3"/>
  <c r="B477" i="3"/>
  <c r="C494" i="3"/>
  <c r="B494" i="3"/>
  <c r="C493" i="3"/>
  <c r="B493" i="3"/>
  <c r="C495" i="3"/>
  <c r="B495" i="3"/>
  <c r="C492" i="3"/>
  <c r="B492" i="3"/>
  <c r="C491" i="3"/>
  <c r="B491" i="3"/>
  <c r="C490" i="3"/>
  <c r="B490" i="3"/>
  <c r="C489" i="3"/>
  <c r="B489" i="3"/>
  <c r="B186" i="5" l="1"/>
  <c r="D186" i="5"/>
  <c r="C33" i="14" l="1"/>
  <c r="C38" i="14" s="1"/>
  <c r="F180" i="2" l="1"/>
  <c r="H181" i="25" s="1"/>
  <c r="E181" i="26" s="1"/>
  <c r="F181" i="2" l="1"/>
  <c r="H182" i="25" s="1"/>
  <c r="E182" i="26" s="1"/>
  <c r="C143" i="5"/>
  <c r="A143" i="5"/>
  <c r="A102" i="5"/>
  <c r="A101" i="5"/>
  <c r="A100" i="5"/>
  <c r="A99" i="5"/>
  <c r="C191" i="5"/>
  <c r="M191" i="5" s="1"/>
  <c r="O191" i="5" s="1"/>
  <c r="A191" i="5"/>
  <c r="E191" i="2"/>
  <c r="I192" i="25" s="1"/>
  <c r="F192" i="26" s="1"/>
  <c r="D191" i="2"/>
  <c r="G192" i="25" s="1"/>
  <c r="D192" i="26" s="1"/>
  <c r="C88" i="5"/>
  <c r="G88" i="5" s="1"/>
  <c r="O88" i="5" s="1"/>
  <c r="A88" i="5"/>
  <c r="C87" i="5"/>
  <c r="G87" i="5" s="1"/>
  <c r="O87" i="5" s="1"/>
  <c r="A87" i="5"/>
  <c r="C86" i="5"/>
  <c r="G86" i="5" s="1"/>
  <c r="O86" i="5" s="1"/>
  <c r="A86" i="5"/>
  <c r="C85" i="5"/>
  <c r="G85" i="5" s="1"/>
  <c r="O85" i="5" s="1"/>
  <c r="A85" i="5"/>
  <c r="C84" i="5"/>
  <c r="G84" i="5" s="1"/>
  <c r="O84" i="5" s="1"/>
  <c r="A84" i="5"/>
  <c r="C83" i="5"/>
  <c r="G83" i="5" s="1"/>
  <c r="O83" i="5" s="1"/>
  <c r="A83" i="5"/>
  <c r="C82" i="5"/>
  <c r="G82" i="5" s="1"/>
  <c r="O82" i="5" s="1"/>
  <c r="A82" i="5"/>
  <c r="C81" i="5"/>
  <c r="G81" i="5" s="1"/>
  <c r="O81" i="5" s="1"/>
  <c r="A81" i="5"/>
  <c r="C80" i="5"/>
  <c r="G80" i="5" s="1"/>
  <c r="O80" i="5" s="1"/>
  <c r="A80" i="5"/>
  <c r="C79" i="5"/>
  <c r="G79" i="5" s="1"/>
  <c r="O79" i="5" s="1"/>
  <c r="A79" i="5"/>
  <c r="C78" i="5"/>
  <c r="G78" i="5" s="1"/>
  <c r="O78" i="5" s="1"/>
  <c r="A78" i="5"/>
  <c r="C77" i="5"/>
  <c r="G77" i="5" s="1"/>
  <c r="O77" i="5" s="1"/>
  <c r="A77" i="5"/>
  <c r="C76" i="5"/>
  <c r="G76" i="5" s="1"/>
  <c r="O76" i="5" s="1"/>
  <c r="A76" i="5"/>
  <c r="C75" i="5"/>
  <c r="G75" i="5" s="1"/>
  <c r="O75" i="5" s="1"/>
  <c r="A75" i="5"/>
  <c r="C74" i="5"/>
  <c r="G74" i="5" s="1"/>
  <c r="O74" i="5" s="1"/>
  <c r="A74" i="5"/>
  <c r="C73" i="5"/>
  <c r="G73" i="5" s="1"/>
  <c r="O73" i="5" s="1"/>
  <c r="A73" i="5"/>
  <c r="C72" i="5"/>
  <c r="G72" i="5" s="1"/>
  <c r="O72" i="5" s="1"/>
  <c r="A72" i="5"/>
  <c r="C71" i="5"/>
  <c r="G71" i="5" s="1"/>
  <c r="O71" i="5" s="1"/>
  <c r="A71" i="5"/>
  <c r="C70" i="5"/>
  <c r="G70" i="5" s="1"/>
  <c r="O70" i="5" s="1"/>
  <c r="A70" i="5"/>
  <c r="C69" i="5"/>
  <c r="G69" i="5" s="1"/>
  <c r="O69" i="5" s="1"/>
  <c r="A69" i="5"/>
  <c r="C68" i="5"/>
  <c r="G68" i="5" s="1"/>
  <c r="O68" i="5" s="1"/>
  <c r="A68" i="5"/>
  <c r="C67" i="5"/>
  <c r="G67" i="5" s="1"/>
  <c r="O67" i="5" s="1"/>
  <c r="A67" i="5"/>
  <c r="C66" i="5"/>
  <c r="G66" i="5" s="1"/>
  <c r="O66" i="5" s="1"/>
  <c r="A66" i="5"/>
  <c r="C65" i="5"/>
  <c r="G65" i="5" s="1"/>
  <c r="O65" i="5" s="1"/>
  <c r="A65" i="5"/>
  <c r="C64" i="5"/>
  <c r="G64" i="5" s="1"/>
  <c r="O64" i="5" s="1"/>
  <c r="A64" i="5"/>
  <c r="C63" i="5"/>
  <c r="G63" i="5" s="1"/>
  <c r="O63" i="5" s="1"/>
  <c r="A63" i="5"/>
  <c r="C62" i="5"/>
  <c r="G62" i="5" s="1"/>
  <c r="O62" i="5" s="1"/>
  <c r="A62" i="5"/>
  <c r="C61" i="5"/>
  <c r="G61" i="5" s="1"/>
  <c r="O61" i="5" s="1"/>
  <c r="A61" i="5"/>
  <c r="C60" i="5"/>
  <c r="G60" i="5" s="1"/>
  <c r="O60" i="5" s="1"/>
  <c r="A60" i="5"/>
  <c r="C59" i="5"/>
  <c r="G59" i="5" s="1"/>
  <c r="O59" i="5" s="1"/>
  <c r="A59" i="5"/>
  <c r="A94" i="5"/>
  <c r="A93" i="5"/>
  <c r="A92" i="5"/>
  <c r="A91" i="5"/>
  <c r="A118" i="5"/>
  <c r="A117" i="5"/>
  <c r="A116" i="5"/>
  <c r="A115" i="5"/>
  <c r="A123" i="5"/>
  <c r="A122" i="5"/>
  <c r="A121" i="5"/>
  <c r="A114" i="5"/>
  <c r="A113" i="5"/>
  <c r="A112" i="5"/>
  <c r="A111" i="5"/>
  <c r="A110" i="5"/>
  <c r="A109" i="5"/>
  <c r="A108" i="5"/>
  <c r="A107" i="5"/>
  <c r="A106" i="5"/>
  <c r="A173" i="5"/>
  <c r="C172" i="5"/>
  <c r="K172" i="5" s="1"/>
  <c r="O172" i="5" s="1"/>
  <c r="A172" i="5"/>
  <c r="C171" i="5"/>
  <c r="K171" i="5" s="1"/>
  <c r="O171" i="5" s="1"/>
  <c r="A171" i="5"/>
  <c r="C170" i="5"/>
  <c r="K170" i="5" s="1"/>
  <c r="O170" i="5" s="1"/>
  <c r="A170" i="5"/>
  <c r="C169" i="5"/>
  <c r="K169" i="5" s="1"/>
  <c r="O169" i="5" s="1"/>
  <c r="A169" i="5"/>
  <c r="C168" i="5"/>
  <c r="K168" i="5" s="1"/>
  <c r="O168" i="5" s="1"/>
  <c r="A168" i="5"/>
  <c r="C167" i="5"/>
  <c r="K167" i="5" s="1"/>
  <c r="O167" i="5" s="1"/>
  <c r="A167" i="5"/>
  <c r="C166" i="5"/>
  <c r="K166" i="5" s="1"/>
  <c r="O166" i="5" s="1"/>
  <c r="A166" i="5"/>
  <c r="C165" i="5"/>
  <c r="K165" i="5" s="1"/>
  <c r="O165" i="5" s="1"/>
  <c r="A165" i="5"/>
  <c r="C164" i="5"/>
  <c r="K164" i="5" s="1"/>
  <c r="O164" i="5" s="1"/>
  <c r="A164" i="5"/>
  <c r="A187" i="5"/>
  <c r="C185" i="5"/>
  <c r="A185" i="5"/>
  <c r="A184" i="5"/>
  <c r="A183" i="5"/>
  <c r="C182" i="5"/>
  <c r="A182" i="5"/>
  <c r="A181" i="5"/>
  <c r="C180" i="5"/>
  <c r="A180" i="5"/>
  <c r="C179" i="5"/>
  <c r="A179" i="5"/>
  <c r="C178" i="5"/>
  <c r="A178" i="5"/>
  <c r="C177" i="5"/>
  <c r="A177" i="5"/>
  <c r="C176" i="5"/>
  <c r="A176" i="5"/>
  <c r="C175" i="5"/>
  <c r="A175" i="5"/>
  <c r="C192" i="5"/>
  <c r="M192" i="5" s="1"/>
  <c r="O192" i="5" s="1"/>
  <c r="A192" i="5"/>
  <c r="C190" i="5"/>
  <c r="M190" i="5" s="1"/>
  <c r="O190" i="5" s="1"/>
  <c r="A190" i="5"/>
  <c r="O43" i="5"/>
  <c r="O42" i="5"/>
  <c r="O13" i="5"/>
  <c r="O16" i="5"/>
  <c r="C12" i="5"/>
  <c r="A12" i="5"/>
  <c r="C13" i="5"/>
  <c r="A13" i="5"/>
  <c r="C52" i="5"/>
  <c r="G52" i="5" s="1"/>
  <c r="O52" i="5" s="1"/>
  <c r="A52" i="5"/>
  <c r="F91" i="2"/>
  <c r="H92" i="25" s="1"/>
  <c r="C173" i="5"/>
  <c r="K173" i="5" s="1"/>
  <c r="O173" i="5" s="1"/>
  <c r="F155" i="2"/>
  <c r="H156" i="25" s="1"/>
  <c r="F154" i="2"/>
  <c r="H155" i="25" s="1"/>
  <c r="F153" i="2"/>
  <c r="H154" i="25" s="1"/>
  <c r="F152" i="2"/>
  <c r="H153" i="25" s="1"/>
  <c r="E153" i="26" l="1"/>
  <c r="E155" i="26"/>
  <c r="E156" i="26"/>
  <c r="E92" i="26"/>
  <c r="E154" i="26"/>
  <c r="B191" i="5"/>
  <c r="D191" i="5"/>
  <c r="C91" i="5"/>
  <c r="G91" i="5" s="1"/>
  <c r="O91" i="5" s="1"/>
  <c r="K182" i="5"/>
  <c r="M182" i="5" s="1"/>
  <c r="O182" i="5" s="1"/>
  <c r="K180" i="5"/>
  <c r="M180" i="5" s="1"/>
  <c r="K185" i="5"/>
  <c r="M185" i="5" s="1"/>
  <c r="O185" i="5" s="1"/>
  <c r="K176" i="5"/>
  <c r="M176" i="5" s="1"/>
  <c r="O176" i="5" s="1"/>
  <c r="K175" i="5"/>
  <c r="M175" i="5" s="1"/>
  <c r="O175" i="5" s="1"/>
  <c r="K177" i="5"/>
  <c r="M177" i="5" s="1"/>
  <c r="O177" i="5" s="1"/>
  <c r="K178" i="5"/>
  <c r="M178" i="5" s="1"/>
  <c r="K179" i="5"/>
  <c r="M179" i="5" s="1"/>
  <c r="O179" i="5" s="1"/>
  <c r="K143" i="5"/>
  <c r="M143" i="5" s="1"/>
  <c r="O143" i="5" s="1"/>
  <c r="O180" i="5" l="1"/>
  <c r="O178" i="5"/>
  <c r="C112" i="3" l="1"/>
  <c r="B112" i="3"/>
  <c r="C111" i="3"/>
  <c r="B111" i="3"/>
  <c r="C110" i="3"/>
  <c r="B110" i="3"/>
  <c r="C109" i="3"/>
  <c r="B109" i="3"/>
  <c r="C108" i="3"/>
  <c r="B108" i="3"/>
  <c r="C107" i="3"/>
  <c r="B107" i="3"/>
  <c r="D106" i="3"/>
  <c r="C106" i="3"/>
  <c r="B106" i="3"/>
  <c r="C105" i="3"/>
  <c r="B105" i="3"/>
  <c r="C103" i="3"/>
  <c r="B103" i="3"/>
  <c r="D102" i="3"/>
  <c r="J102" i="3" s="1"/>
  <c r="C102" i="3"/>
  <c r="B102" i="3"/>
  <c r="C101" i="3"/>
  <c r="B101" i="3"/>
  <c r="C100" i="3"/>
  <c r="B100" i="3"/>
  <c r="C99" i="3"/>
  <c r="B99" i="3"/>
  <c r="C97" i="3"/>
  <c r="B97" i="3"/>
  <c r="C96" i="3"/>
  <c r="B96" i="3"/>
  <c r="C95" i="3"/>
  <c r="B95" i="3"/>
  <c r="C94" i="3"/>
  <c r="B94" i="3"/>
  <c r="C93" i="3"/>
  <c r="B93" i="3"/>
  <c r="C92" i="3"/>
  <c r="B92" i="3"/>
  <c r="C91" i="3"/>
  <c r="B91" i="3"/>
  <c r="C90" i="3"/>
  <c r="B90" i="3"/>
  <c r="C621" i="3"/>
  <c r="B621" i="3"/>
  <c r="C620" i="3"/>
  <c r="B620" i="3"/>
  <c r="C619" i="3"/>
  <c r="B619" i="3"/>
  <c r="E133" i="2"/>
  <c r="I134" i="25" s="1"/>
  <c r="F134" i="26" s="1"/>
  <c r="D133" i="2"/>
  <c r="G134" i="25" s="1"/>
  <c r="D134" i="26" s="1"/>
  <c r="D133" i="5" l="1"/>
  <c r="B133" i="5"/>
  <c r="D103" i="3"/>
  <c r="D16" i="3"/>
  <c r="D17" i="3"/>
  <c r="J17" i="3" s="1"/>
  <c r="C17" i="3"/>
  <c r="B17" i="3"/>
  <c r="C16" i="3"/>
  <c r="B16" i="3"/>
  <c r="L18" i="4"/>
  <c r="G17" i="3" l="1"/>
  <c r="K17" i="3" s="1"/>
  <c r="G251" i="3"/>
  <c r="K251" i="3" s="1"/>
  <c r="D11" i="3"/>
  <c r="D15" i="3"/>
  <c r="D13" i="3"/>
  <c r="D39" i="3"/>
  <c r="D45" i="3"/>
  <c r="D54" i="3"/>
  <c r="D52" i="3" s="1"/>
  <c r="D51" i="3"/>
  <c r="E93" i="2"/>
  <c r="I94" i="25" s="1"/>
  <c r="F94" i="26" s="1"/>
  <c r="D93" i="2"/>
  <c r="G94" i="25" s="1"/>
  <c r="D94" i="26" s="1"/>
  <c r="E91" i="2"/>
  <c r="I92" i="25" s="1"/>
  <c r="F92" i="26" s="1"/>
  <c r="D91" i="2"/>
  <c r="G92" i="25" s="1"/>
  <c r="D92" i="26" s="1"/>
  <c r="F92" i="2"/>
  <c r="H93" i="25" s="1"/>
  <c r="E92" i="2"/>
  <c r="I93" i="25" s="1"/>
  <c r="F93" i="26" s="1"/>
  <c r="D92" i="2"/>
  <c r="G93" i="25" s="1"/>
  <c r="D93" i="26" s="1"/>
  <c r="F111" i="2"/>
  <c r="H112" i="25" s="1"/>
  <c r="E112" i="26" s="1"/>
  <c r="E111" i="2"/>
  <c r="I112" i="25" s="1"/>
  <c r="F112" i="26" s="1"/>
  <c r="D111" i="2"/>
  <c r="G112" i="25" s="1"/>
  <c r="D112" i="26" s="1"/>
  <c r="E110" i="2"/>
  <c r="I111" i="25" s="1"/>
  <c r="F111" i="26" s="1"/>
  <c r="D110" i="2"/>
  <c r="G111" i="25" s="1"/>
  <c r="D111" i="26" s="1"/>
  <c r="E109" i="2"/>
  <c r="I110" i="25" s="1"/>
  <c r="F110" i="26" s="1"/>
  <c r="D109" i="2"/>
  <c r="G110" i="25" s="1"/>
  <c r="D110" i="26" s="1"/>
  <c r="E93" i="26" l="1"/>
  <c r="B93" i="5"/>
  <c r="D91" i="5"/>
  <c r="D93" i="5"/>
  <c r="D109" i="5"/>
  <c r="B91" i="5"/>
  <c r="D110" i="5"/>
  <c r="B111" i="5"/>
  <c r="B109" i="5"/>
  <c r="D111" i="5"/>
  <c r="F109" i="2"/>
  <c r="H110" i="25" s="1"/>
  <c r="E110" i="26" s="1"/>
  <c r="B92" i="5"/>
  <c r="D92" i="5"/>
  <c r="B110" i="5"/>
  <c r="C92" i="5"/>
  <c r="G92" i="5" s="1"/>
  <c r="O92" i="5" s="1"/>
  <c r="C111" i="5"/>
  <c r="E114" i="2"/>
  <c r="I115" i="25" s="1"/>
  <c r="F115" i="26" s="1"/>
  <c r="D114" i="2"/>
  <c r="G115" i="25" s="1"/>
  <c r="D115" i="26" s="1"/>
  <c r="E113" i="2"/>
  <c r="I114" i="25" s="1"/>
  <c r="F114" i="26" s="1"/>
  <c r="D113" i="2"/>
  <c r="G114" i="25" s="1"/>
  <c r="D114" i="26" s="1"/>
  <c r="E112" i="2"/>
  <c r="I113" i="25" s="1"/>
  <c r="F113" i="26" s="1"/>
  <c r="D112" i="2"/>
  <c r="G113" i="25" s="1"/>
  <c r="D113" i="26" s="1"/>
  <c r="F122" i="2"/>
  <c r="H123" i="25" s="1"/>
  <c r="C41" i="10"/>
  <c r="F93" i="2" s="1"/>
  <c r="H94" i="25" s="1"/>
  <c r="C23" i="10"/>
  <c r="F107" i="2" s="1"/>
  <c r="H108" i="25" s="1"/>
  <c r="E108" i="26" s="1"/>
  <c r="F123" i="2"/>
  <c r="H124" i="25" s="1"/>
  <c r="E123" i="2"/>
  <c r="I124" i="25" s="1"/>
  <c r="F124" i="26" s="1"/>
  <c r="D123" i="2"/>
  <c r="G124" i="25" s="1"/>
  <c r="D124" i="26" s="1"/>
  <c r="E94" i="26" l="1"/>
  <c r="E123" i="26"/>
  <c r="E124" i="26"/>
  <c r="F115" i="2"/>
  <c r="H116" i="25" s="1"/>
  <c r="E116" i="26" s="1"/>
  <c r="B112" i="5"/>
  <c r="D112" i="5"/>
  <c r="B123" i="5"/>
  <c r="B113" i="5"/>
  <c r="C123" i="5"/>
  <c r="K123" i="5" s="1"/>
  <c r="M123" i="5" s="1"/>
  <c r="C93" i="5"/>
  <c r="G93" i="5" s="1"/>
  <c r="O93" i="5" s="1"/>
  <c r="D113" i="5"/>
  <c r="D123" i="5"/>
  <c r="B114" i="5"/>
  <c r="C122" i="5"/>
  <c r="K122" i="5" s="1"/>
  <c r="M122" i="5" s="1"/>
  <c r="D114" i="5"/>
  <c r="F110" i="2"/>
  <c r="H111" i="25" s="1"/>
  <c r="E111" i="26" s="1"/>
  <c r="K111" i="5"/>
  <c r="M111" i="5" s="1"/>
  <c r="C107" i="5"/>
  <c r="C109" i="5"/>
  <c r="F126" i="2"/>
  <c r="H127" i="25" s="1"/>
  <c r="E90" i="2"/>
  <c r="I91" i="25" s="1"/>
  <c r="F91" i="26" s="1"/>
  <c r="D90" i="2"/>
  <c r="G91" i="25" s="1"/>
  <c r="D91" i="26" s="1"/>
  <c r="P25" i="10"/>
  <c r="W25" i="10" s="1"/>
  <c r="C25" i="10"/>
  <c r="W24" i="10"/>
  <c r="V24" i="10"/>
  <c r="U24" i="10"/>
  <c r="T24" i="10"/>
  <c r="S24" i="10"/>
  <c r="I24" i="10"/>
  <c r="P23" i="10"/>
  <c r="W23" i="10" s="1"/>
  <c r="I23" i="10"/>
  <c r="C27" i="10"/>
  <c r="P22" i="10"/>
  <c r="W22" i="10" s="1"/>
  <c r="I22" i="10"/>
  <c r="W21" i="10"/>
  <c r="V21" i="10"/>
  <c r="U21" i="10"/>
  <c r="T21" i="10"/>
  <c r="S21" i="10"/>
  <c r="I21" i="10"/>
  <c r="W20" i="10"/>
  <c r="V20" i="10"/>
  <c r="U20" i="10"/>
  <c r="T20" i="10"/>
  <c r="S20" i="10"/>
  <c r="I20" i="10"/>
  <c r="C20" i="10"/>
  <c r="F124" i="2" s="1"/>
  <c r="H125" i="25" s="1"/>
  <c r="W19" i="10"/>
  <c r="V19" i="10"/>
  <c r="U19" i="10"/>
  <c r="T19" i="10"/>
  <c r="S19" i="10"/>
  <c r="I19" i="10"/>
  <c r="W18" i="10"/>
  <c r="V18" i="10"/>
  <c r="U18" i="10"/>
  <c r="T18" i="10"/>
  <c r="S18" i="10"/>
  <c r="I18" i="10"/>
  <c r="W17" i="10"/>
  <c r="V17" i="10"/>
  <c r="U17" i="10"/>
  <c r="T17" i="10"/>
  <c r="S17" i="10"/>
  <c r="I17" i="10"/>
  <c r="W16" i="10"/>
  <c r="V16" i="10"/>
  <c r="U16" i="10"/>
  <c r="T16" i="10"/>
  <c r="S16" i="10"/>
  <c r="I16" i="10"/>
  <c r="C16" i="10"/>
  <c r="W15" i="10"/>
  <c r="V15" i="10"/>
  <c r="U15" i="10"/>
  <c r="T15" i="10"/>
  <c r="S15" i="10"/>
  <c r="I15" i="10"/>
  <c r="W14" i="10"/>
  <c r="V14" i="10"/>
  <c r="U14" i="10"/>
  <c r="T14" i="10"/>
  <c r="S14" i="10"/>
  <c r="I14" i="10"/>
  <c r="W13" i="10"/>
  <c r="V13" i="10"/>
  <c r="U13" i="10"/>
  <c r="T13" i="10"/>
  <c r="S13" i="10"/>
  <c r="I13" i="10"/>
  <c r="W12" i="10"/>
  <c r="V12" i="10"/>
  <c r="U12" i="10"/>
  <c r="T12" i="10"/>
  <c r="S12" i="10"/>
  <c r="I12" i="10"/>
  <c r="C12" i="10"/>
  <c r="D12" i="10" s="1"/>
  <c r="P11" i="10"/>
  <c r="W11" i="10" s="1"/>
  <c r="I11" i="10"/>
  <c r="R11" i="10" s="1"/>
  <c r="C11" i="10"/>
  <c r="D11" i="10" s="1"/>
  <c r="F105" i="2" s="1"/>
  <c r="H106" i="25" s="1"/>
  <c r="C10" i="10"/>
  <c r="D10" i="10" s="1"/>
  <c r="F106" i="2" s="1"/>
  <c r="H107" i="25" s="1"/>
  <c r="D9" i="10"/>
  <c r="F114" i="2" s="1"/>
  <c r="H115" i="25" s="1"/>
  <c r="E115" i="26" s="1"/>
  <c r="B5" i="10"/>
  <c r="E127" i="26" l="1"/>
  <c r="E107" i="26"/>
  <c r="W27" i="10"/>
  <c r="AF11" i="10" s="1"/>
  <c r="AH11" i="10" s="1"/>
  <c r="E125" i="26"/>
  <c r="E106" i="26"/>
  <c r="F121" i="2"/>
  <c r="C121" i="5" s="1"/>
  <c r="F120" i="2"/>
  <c r="C124" i="5"/>
  <c r="K124" i="5" s="1"/>
  <c r="M124" i="5" s="1"/>
  <c r="O124" i="5" s="1"/>
  <c r="C126" i="5"/>
  <c r="F116" i="2"/>
  <c r="H117" i="25" s="1"/>
  <c r="F113" i="2"/>
  <c r="H114" i="25" s="1"/>
  <c r="E114" i="26" s="1"/>
  <c r="C106" i="5"/>
  <c r="K106" i="5" s="1"/>
  <c r="M106" i="5" s="1"/>
  <c r="C110" i="5"/>
  <c r="K110" i="5" s="1"/>
  <c r="M110" i="5" s="1"/>
  <c r="C115" i="5"/>
  <c r="F112" i="2"/>
  <c r="H113" i="25" s="1"/>
  <c r="E113" i="26" s="1"/>
  <c r="R18" i="10"/>
  <c r="R21" i="10"/>
  <c r="R15" i="10"/>
  <c r="C114" i="5"/>
  <c r="O111" i="5"/>
  <c r="O123" i="5"/>
  <c r="O122" i="5"/>
  <c r="K107" i="5"/>
  <c r="M107" i="5" s="1"/>
  <c r="K109" i="5"/>
  <c r="M109" i="5" s="1"/>
  <c r="R12" i="10"/>
  <c r="R22" i="10"/>
  <c r="R19" i="10"/>
  <c r="R16" i="10"/>
  <c r="R13" i="10"/>
  <c r="R24" i="10"/>
  <c r="R14" i="10"/>
  <c r="R23" i="10"/>
  <c r="R20" i="10"/>
  <c r="R17" i="10"/>
  <c r="S22" i="10"/>
  <c r="T22" i="10"/>
  <c r="U22" i="10"/>
  <c r="S11" i="10"/>
  <c r="V22" i="10"/>
  <c r="R25" i="10"/>
  <c r="T11" i="10"/>
  <c r="S25" i="10"/>
  <c r="U11" i="10"/>
  <c r="T25" i="10"/>
  <c r="V11" i="10"/>
  <c r="U25" i="10"/>
  <c r="V25" i="10"/>
  <c r="S23" i="10"/>
  <c r="T23" i="10"/>
  <c r="U23" i="10"/>
  <c r="V23" i="10"/>
  <c r="H121" i="25" l="1"/>
  <c r="C120" i="5"/>
  <c r="K120" i="5" s="1"/>
  <c r="M120" i="5" s="1"/>
  <c r="O120" i="5" s="1"/>
  <c r="E117" i="26"/>
  <c r="H122" i="25"/>
  <c r="F127" i="2"/>
  <c r="K126" i="5"/>
  <c r="M126" i="5" s="1"/>
  <c r="O126" i="5" s="1"/>
  <c r="C112" i="5"/>
  <c r="K112" i="5" s="1"/>
  <c r="M112" i="5" s="1"/>
  <c r="C104" i="5"/>
  <c r="C113" i="5"/>
  <c r="K113" i="5" s="1"/>
  <c r="M113" i="5" s="1"/>
  <c r="K115" i="5"/>
  <c r="M115" i="5" s="1"/>
  <c r="K114" i="5"/>
  <c r="M114" i="5" s="1"/>
  <c r="K121" i="5"/>
  <c r="M121" i="5" s="1"/>
  <c r="O106" i="5"/>
  <c r="U27" i="10"/>
  <c r="AF18" i="10" s="1"/>
  <c r="C14" i="10"/>
  <c r="F90" i="2" s="1"/>
  <c r="H91" i="25" s="1"/>
  <c r="O109" i="5"/>
  <c r="O107" i="5"/>
  <c r="O110" i="5"/>
  <c r="R27" i="10"/>
  <c r="AF9" i="10" s="1"/>
  <c r="V27" i="10"/>
  <c r="AF19" i="10" s="1"/>
  <c r="AH19" i="10" s="1"/>
  <c r="T27" i="10"/>
  <c r="AF17" i="10" s="1"/>
  <c r="S27" i="10"/>
  <c r="AF10" i="10" s="1"/>
  <c r="AH10" i="10" s="1"/>
  <c r="H128" i="25" l="1"/>
  <c r="F128" i="2"/>
  <c r="C127" i="5"/>
  <c r="K127" i="5" s="1"/>
  <c r="M127" i="5" s="1"/>
  <c r="O127" i="5" s="1"/>
  <c r="E122" i="26"/>
  <c r="E91" i="26"/>
  <c r="E121" i="26"/>
  <c r="O112" i="5"/>
  <c r="O113" i="5"/>
  <c r="O121" i="5"/>
  <c r="F94" i="2"/>
  <c r="H95" i="25" s="1"/>
  <c r="K104" i="5"/>
  <c r="M104" i="5" s="1"/>
  <c r="O104" i="5" s="1"/>
  <c r="O115" i="5"/>
  <c r="O114" i="5"/>
  <c r="F98" i="2"/>
  <c r="H99" i="25" s="1"/>
  <c r="AG9" i="10"/>
  <c r="AG12" i="10" s="1"/>
  <c r="AG18" i="10"/>
  <c r="AF12" i="10"/>
  <c r="AH9" i="10"/>
  <c r="AH12" i="10" s="1"/>
  <c r="AF20" i="10"/>
  <c r="AH17" i="10"/>
  <c r="AH20" i="10" s="1"/>
  <c r="E99" i="26" l="1"/>
  <c r="H129" i="25"/>
  <c r="C128" i="5"/>
  <c r="K128" i="5" s="1"/>
  <c r="M128" i="5" s="1"/>
  <c r="O128" i="5" s="1"/>
  <c r="E95" i="26"/>
  <c r="E128" i="26"/>
  <c r="C94" i="5"/>
  <c r="G94" i="5" s="1"/>
  <c r="O94" i="5" s="1"/>
  <c r="AG20" i="10"/>
  <c r="F99" i="2"/>
  <c r="H100" i="25" s="1"/>
  <c r="B1" i="14"/>
  <c r="C47" i="14"/>
  <c r="B29" i="14" s="1"/>
  <c r="E129" i="26" l="1"/>
  <c r="E100" i="26"/>
  <c r="C99" i="5"/>
  <c r="F100" i="2"/>
  <c r="H101" i="25" s="1"/>
  <c r="F102" i="2"/>
  <c r="H103" i="25" s="1"/>
  <c r="E103" i="26" s="1"/>
  <c r="I99" i="5"/>
  <c r="K99" i="5" s="1"/>
  <c r="C100" i="5"/>
  <c r="C55" i="14"/>
  <c r="F117" i="2" s="1"/>
  <c r="H118" i="25" s="1"/>
  <c r="C69" i="14"/>
  <c r="E176" i="2"/>
  <c r="I177" i="25" s="1"/>
  <c r="F177" i="26" s="1"/>
  <c r="D176" i="2"/>
  <c r="G177" i="25" s="1"/>
  <c r="D177" i="26" s="1"/>
  <c r="C594" i="3"/>
  <c r="B594" i="3"/>
  <c r="C593" i="3"/>
  <c r="B593" i="3"/>
  <c r="C592" i="3"/>
  <c r="B592" i="3"/>
  <c r="D593" i="3"/>
  <c r="E101" i="26" l="1"/>
  <c r="E118" i="26"/>
  <c r="O99" i="5"/>
  <c r="C102" i="5"/>
  <c r="B176" i="5"/>
  <c r="D176" i="5"/>
  <c r="I102" i="5"/>
  <c r="K102" i="5" s="1"/>
  <c r="O102" i="5" s="1"/>
  <c r="I100" i="5"/>
  <c r="K100" i="5" s="1"/>
  <c r="O100" i="5" s="1"/>
  <c r="D579" i="3" l="1"/>
  <c r="D578" i="3"/>
  <c r="D577" i="3"/>
  <c r="D576" i="3"/>
  <c r="D575" i="3"/>
  <c r="D574" i="3"/>
  <c r="C579" i="3"/>
  <c r="B579" i="3"/>
  <c r="C578" i="3"/>
  <c r="B578" i="3"/>
  <c r="C577" i="3"/>
  <c r="B577" i="3"/>
  <c r="C576" i="3"/>
  <c r="B576" i="3"/>
  <c r="C575" i="3"/>
  <c r="B575" i="3"/>
  <c r="C574" i="3"/>
  <c r="B574" i="3"/>
  <c r="D568" i="3"/>
  <c r="D567" i="3"/>
  <c r="D566" i="3"/>
  <c r="D565" i="3"/>
  <c r="D564" i="3"/>
  <c r="D563" i="3"/>
  <c r="C568" i="3"/>
  <c r="B568" i="3"/>
  <c r="C567" i="3"/>
  <c r="B567" i="3"/>
  <c r="C566" i="3"/>
  <c r="B566" i="3"/>
  <c r="C565" i="3"/>
  <c r="B565" i="3"/>
  <c r="C564" i="3"/>
  <c r="B564" i="3"/>
  <c r="C563" i="3"/>
  <c r="B563" i="3"/>
  <c r="D557" i="3"/>
  <c r="D556" i="3"/>
  <c r="D555" i="3"/>
  <c r="D554" i="3"/>
  <c r="D553" i="3"/>
  <c r="D552" i="3"/>
  <c r="D546" i="3"/>
  <c r="D545" i="3"/>
  <c r="D544" i="3"/>
  <c r="D543" i="3"/>
  <c r="D542" i="3"/>
  <c r="D541" i="3"/>
  <c r="E171" i="2"/>
  <c r="I172" i="25" s="1"/>
  <c r="F172" i="26" s="1"/>
  <c r="D171" i="2"/>
  <c r="G172" i="25" s="1"/>
  <c r="D172" i="26" s="1"/>
  <c r="E170" i="2"/>
  <c r="I171" i="25" s="1"/>
  <c r="F171" i="26" s="1"/>
  <c r="D170" i="2"/>
  <c r="G171" i="25" s="1"/>
  <c r="D171" i="26" s="1"/>
  <c r="E169" i="2"/>
  <c r="I170" i="25" s="1"/>
  <c r="F170" i="26" s="1"/>
  <c r="D169" i="2"/>
  <c r="G170" i="25" s="1"/>
  <c r="D170" i="26" s="1"/>
  <c r="C557" i="3"/>
  <c r="B557" i="3"/>
  <c r="C556" i="3"/>
  <c r="B556" i="3"/>
  <c r="C555" i="3"/>
  <c r="B555" i="3"/>
  <c r="C554" i="3"/>
  <c r="B554" i="3"/>
  <c r="C553" i="3"/>
  <c r="B553" i="3"/>
  <c r="C552" i="3"/>
  <c r="B552" i="3"/>
  <c r="C546" i="3"/>
  <c r="B546" i="3"/>
  <c r="C545" i="3"/>
  <c r="B545" i="3"/>
  <c r="C544" i="3"/>
  <c r="B544" i="3"/>
  <c r="C543" i="3"/>
  <c r="B543" i="3"/>
  <c r="C542" i="3"/>
  <c r="B542" i="3"/>
  <c r="C541" i="3"/>
  <c r="B541" i="3"/>
  <c r="E168" i="2"/>
  <c r="I169" i="25" s="1"/>
  <c r="F169" i="26" s="1"/>
  <c r="D168" i="2"/>
  <c r="G169" i="25" s="1"/>
  <c r="D169" i="26" s="1"/>
  <c r="B520" i="3"/>
  <c r="C520" i="3"/>
  <c r="D520" i="3"/>
  <c r="B521" i="3"/>
  <c r="C521" i="3"/>
  <c r="D521" i="3"/>
  <c r="B522" i="3"/>
  <c r="C522" i="3"/>
  <c r="D522" i="3"/>
  <c r="B523" i="3"/>
  <c r="C523" i="3"/>
  <c r="D523" i="3"/>
  <c r="B524" i="3"/>
  <c r="C524" i="3"/>
  <c r="D524" i="3"/>
  <c r="D173" i="5"/>
  <c r="B173" i="5"/>
  <c r="F183" i="2"/>
  <c r="H184" i="25" s="1"/>
  <c r="E184" i="26" s="1"/>
  <c r="F184" i="2"/>
  <c r="H185" i="25" s="1"/>
  <c r="E185" i="26" s="1"/>
  <c r="C398" i="3"/>
  <c r="B398" i="3"/>
  <c r="C392" i="3"/>
  <c r="B392" i="3"/>
  <c r="C388" i="3"/>
  <c r="B388" i="3"/>
  <c r="L17" i="4"/>
  <c r="G398" i="3" s="1"/>
  <c r="L16" i="4"/>
  <c r="G388" i="3" s="1"/>
  <c r="L15" i="4"/>
  <c r="G392" i="3" s="1"/>
  <c r="C401" i="3"/>
  <c r="B401" i="3"/>
  <c r="C400" i="3"/>
  <c r="B400" i="3"/>
  <c r="C399" i="3"/>
  <c r="B399" i="3"/>
  <c r="C393" i="3"/>
  <c r="B393" i="3"/>
  <c r="C391" i="3"/>
  <c r="B391" i="3"/>
  <c r="C390" i="3"/>
  <c r="B390" i="3"/>
  <c r="C389" i="3"/>
  <c r="B389" i="3"/>
  <c r="D398" i="3"/>
  <c r="J398" i="3" s="1"/>
  <c r="D393" i="3"/>
  <c r="D392" i="3"/>
  <c r="J392" i="3" s="1"/>
  <c r="D391" i="3"/>
  <c r="D390" i="3"/>
  <c r="D389" i="3"/>
  <c r="D388" i="3"/>
  <c r="J388" i="3" s="1"/>
  <c r="C184" i="5" l="1"/>
  <c r="K184" i="5" s="1"/>
  <c r="M184" i="5" s="1"/>
  <c r="O184" i="5" s="1"/>
  <c r="C183" i="5"/>
  <c r="K183" i="5" s="1"/>
  <c r="M183" i="5" s="1"/>
  <c r="O183" i="5" s="1"/>
  <c r="B169" i="5"/>
  <c r="D169" i="5"/>
  <c r="B168" i="5"/>
  <c r="B170" i="5"/>
  <c r="B171" i="5"/>
  <c r="D171" i="5"/>
  <c r="D168" i="5"/>
  <c r="D170" i="5"/>
  <c r="K398" i="3"/>
  <c r="K392" i="3"/>
  <c r="K388" i="3"/>
  <c r="L27" i="4" l="1"/>
  <c r="G407" i="3" s="1"/>
  <c r="C435" i="3"/>
  <c r="B435" i="3"/>
  <c r="C408" i="3"/>
  <c r="B408" i="3"/>
  <c r="C407" i="3"/>
  <c r="B407" i="3"/>
  <c r="D407" i="3"/>
  <c r="D408" i="3" s="1"/>
  <c r="J408" i="3" s="1"/>
  <c r="C422" i="3"/>
  <c r="B422" i="3"/>
  <c r="C421" i="3"/>
  <c r="B421" i="3"/>
  <c r="C420" i="3"/>
  <c r="B420" i="3"/>
  <c r="C419" i="3"/>
  <c r="B419" i="3"/>
  <c r="C418" i="3"/>
  <c r="B418" i="3"/>
  <c r="E184" i="2"/>
  <c r="I185" i="25" s="1"/>
  <c r="F185" i="26" s="1"/>
  <c r="D184" i="2"/>
  <c r="G185" i="25" s="1"/>
  <c r="D185" i="26" s="1"/>
  <c r="E183" i="2"/>
  <c r="I184" i="25" s="1"/>
  <c r="F184" i="26" s="1"/>
  <c r="D183" i="2"/>
  <c r="G184" i="25" s="1"/>
  <c r="D184" i="26" s="1"/>
  <c r="E185" i="2"/>
  <c r="I186" i="25" s="1"/>
  <c r="F186" i="26" s="1"/>
  <c r="D185" i="2"/>
  <c r="G186" i="25" s="1"/>
  <c r="D186" i="26" s="1"/>
  <c r="C423" i="3"/>
  <c r="B423" i="3"/>
  <c r="C417" i="3"/>
  <c r="B417" i="3"/>
  <c r="C416" i="3"/>
  <c r="B416" i="3"/>
  <c r="C415" i="3"/>
  <c r="B415" i="3"/>
  <c r="C414" i="3"/>
  <c r="B414" i="3"/>
  <c r="B185" i="5" l="1"/>
  <c r="D185" i="5"/>
  <c r="B183" i="5"/>
  <c r="D183" i="5"/>
  <c r="B184" i="5"/>
  <c r="D184" i="5"/>
  <c r="J407" i="3"/>
  <c r="K407" i="3"/>
  <c r="E187" i="2"/>
  <c r="I188" i="25" s="1"/>
  <c r="F188" i="26" s="1"/>
  <c r="D187" i="2"/>
  <c r="G188" i="25" s="1"/>
  <c r="D188" i="26" s="1"/>
  <c r="E182" i="2"/>
  <c r="I183" i="25" s="1"/>
  <c r="F183" i="26" s="1"/>
  <c r="D182" i="2"/>
  <c r="G183" i="25" s="1"/>
  <c r="D183" i="26" s="1"/>
  <c r="E181" i="2"/>
  <c r="I182" i="25" s="1"/>
  <c r="F182" i="26" s="1"/>
  <c r="D181" i="2"/>
  <c r="G182" i="25" s="1"/>
  <c r="D182" i="26" s="1"/>
  <c r="C181" i="5"/>
  <c r="E180" i="2"/>
  <c r="I181" i="25" s="1"/>
  <c r="F181" i="26" s="1"/>
  <c r="D180" i="2"/>
  <c r="G181" i="25" s="1"/>
  <c r="D181" i="26" s="1"/>
  <c r="D179" i="5"/>
  <c r="B179" i="5"/>
  <c r="D178" i="5"/>
  <c r="B178" i="5"/>
  <c r="E136" i="2"/>
  <c r="I137" i="25" s="1"/>
  <c r="F137" i="26" s="1"/>
  <c r="D136" i="2"/>
  <c r="G137" i="25" s="1"/>
  <c r="D137" i="26" s="1"/>
  <c r="E131" i="2"/>
  <c r="I132" i="25" s="1"/>
  <c r="F132" i="26" s="1"/>
  <c r="D131" i="2"/>
  <c r="G132" i="25" s="1"/>
  <c r="D132" i="26" s="1"/>
  <c r="D136" i="5" l="1"/>
  <c r="B181" i="5"/>
  <c r="B182" i="5"/>
  <c r="D181" i="5"/>
  <c r="D182" i="5"/>
  <c r="D187" i="5"/>
  <c r="B187" i="5"/>
  <c r="B180" i="5"/>
  <c r="B131" i="5"/>
  <c r="D180" i="5"/>
  <c r="D131" i="5"/>
  <c r="B136" i="5"/>
  <c r="F134" i="2"/>
  <c r="H135" i="25" s="1"/>
  <c r="C131" i="5"/>
  <c r="K181" i="5"/>
  <c r="M181" i="5" s="1"/>
  <c r="O181" i="5" s="1"/>
  <c r="J405" i="3"/>
  <c r="F146" i="2"/>
  <c r="H147" i="25" s="1"/>
  <c r="E147" i="26" s="1"/>
  <c r="E143" i="2"/>
  <c r="I144" i="25" s="1"/>
  <c r="F144" i="26" s="1"/>
  <c r="D143" i="2"/>
  <c r="G144" i="25" s="1"/>
  <c r="D144" i="26" s="1"/>
  <c r="E135" i="26" l="1"/>
  <c r="D143" i="5"/>
  <c r="B143" i="5"/>
  <c r="C134" i="5"/>
  <c r="K134" i="5" s="1"/>
  <c r="M134" i="5" s="1"/>
  <c r="O134" i="5" s="1"/>
  <c r="F136" i="2"/>
  <c r="H137" i="25" s="1"/>
  <c r="E137" i="26" s="1"/>
  <c r="K131" i="5"/>
  <c r="M131" i="5" s="1"/>
  <c r="O131" i="5" s="1"/>
  <c r="F144" i="2"/>
  <c r="H145" i="25" s="1"/>
  <c r="G184" i="2"/>
  <c r="L184" i="2" s="1"/>
  <c r="M185" i="26" s="1"/>
  <c r="G113" i="2"/>
  <c r="E145" i="26" l="1"/>
  <c r="C136" i="5"/>
  <c r="K136" i="5" s="1"/>
  <c r="M136" i="5" s="1"/>
  <c r="O136" i="5" s="1"/>
  <c r="L113" i="2"/>
  <c r="M114" i="26" s="1"/>
  <c r="E72" i="2" l="1"/>
  <c r="I73" i="25" s="1"/>
  <c r="F73" i="26" s="1"/>
  <c r="D72" i="2"/>
  <c r="G73" i="25" s="1"/>
  <c r="D73" i="26" s="1"/>
  <c r="E71" i="2"/>
  <c r="I72" i="25" s="1"/>
  <c r="F72" i="26" s="1"/>
  <c r="D71" i="2"/>
  <c r="G72" i="25" s="1"/>
  <c r="D72" i="26" s="1"/>
  <c r="E70" i="2"/>
  <c r="I71" i="25" s="1"/>
  <c r="F71" i="26" s="1"/>
  <c r="D70" i="2"/>
  <c r="G71" i="25" s="1"/>
  <c r="D71" i="26" s="1"/>
  <c r="E69" i="2"/>
  <c r="I70" i="25" s="1"/>
  <c r="F70" i="26" s="1"/>
  <c r="D69" i="2"/>
  <c r="G70" i="25" s="1"/>
  <c r="D70" i="26" s="1"/>
  <c r="E68" i="2"/>
  <c r="I69" i="25" s="1"/>
  <c r="F69" i="26" s="1"/>
  <c r="D68" i="2"/>
  <c r="G69" i="25" s="1"/>
  <c r="D69" i="26" s="1"/>
  <c r="E67" i="2"/>
  <c r="I68" i="25" s="1"/>
  <c r="F68" i="26" s="1"/>
  <c r="D67" i="2"/>
  <c r="G68" i="25" s="1"/>
  <c r="D68" i="26" s="1"/>
  <c r="E66" i="2"/>
  <c r="I67" i="25" s="1"/>
  <c r="F67" i="26" s="1"/>
  <c r="D66" i="2"/>
  <c r="G67" i="25" s="1"/>
  <c r="D67" i="26" s="1"/>
  <c r="E65" i="2"/>
  <c r="I66" i="25" s="1"/>
  <c r="F66" i="26" s="1"/>
  <c r="D65" i="2"/>
  <c r="G66" i="25" s="1"/>
  <c r="D66" i="26" s="1"/>
  <c r="E64" i="2"/>
  <c r="I65" i="25" s="1"/>
  <c r="F65" i="26" s="1"/>
  <c r="D64" i="2"/>
  <c r="G65" i="25" s="1"/>
  <c r="D65" i="26" s="1"/>
  <c r="E63" i="2"/>
  <c r="I64" i="25" s="1"/>
  <c r="F64" i="26" s="1"/>
  <c r="D63" i="2"/>
  <c r="G64" i="25" s="1"/>
  <c r="D64" i="26" s="1"/>
  <c r="E62" i="2"/>
  <c r="I63" i="25" s="1"/>
  <c r="F63" i="26" s="1"/>
  <c r="D62" i="2"/>
  <c r="G63" i="25" s="1"/>
  <c r="D63" i="26" s="1"/>
  <c r="E61" i="2"/>
  <c r="I62" i="25" s="1"/>
  <c r="F62" i="26" s="1"/>
  <c r="D61" i="2"/>
  <c r="G62" i="25" s="1"/>
  <c r="D62" i="26" s="1"/>
  <c r="E60" i="2"/>
  <c r="I61" i="25" s="1"/>
  <c r="F61" i="26" s="1"/>
  <c r="D60" i="2"/>
  <c r="G61" i="25" s="1"/>
  <c r="D61" i="26" s="1"/>
  <c r="E59" i="2"/>
  <c r="I60" i="25" s="1"/>
  <c r="F60" i="26" s="1"/>
  <c r="D59" i="2"/>
  <c r="G60" i="25" s="1"/>
  <c r="D60" i="26" s="1"/>
  <c r="E88" i="2"/>
  <c r="I89" i="25" s="1"/>
  <c r="F89" i="26" s="1"/>
  <c r="D88" i="2"/>
  <c r="G89" i="25" s="1"/>
  <c r="D89" i="26" s="1"/>
  <c r="E87" i="2"/>
  <c r="I88" i="25" s="1"/>
  <c r="F88" i="26" s="1"/>
  <c r="D87" i="2"/>
  <c r="G88" i="25" s="1"/>
  <c r="D88" i="26" s="1"/>
  <c r="E86" i="2"/>
  <c r="I87" i="25" s="1"/>
  <c r="F87" i="26" s="1"/>
  <c r="D86" i="2"/>
  <c r="G87" i="25" s="1"/>
  <c r="D87" i="26" s="1"/>
  <c r="E85" i="2"/>
  <c r="I86" i="25" s="1"/>
  <c r="F86" i="26" s="1"/>
  <c r="D85" i="2"/>
  <c r="G86" i="25" s="1"/>
  <c r="D86" i="26" s="1"/>
  <c r="E84" i="2"/>
  <c r="I85" i="25" s="1"/>
  <c r="F85" i="26" s="1"/>
  <c r="D84" i="2"/>
  <c r="G85" i="25" s="1"/>
  <c r="D85" i="26" s="1"/>
  <c r="E83" i="2"/>
  <c r="I84" i="25" s="1"/>
  <c r="F84" i="26" s="1"/>
  <c r="D83" i="2"/>
  <c r="G84" i="25" s="1"/>
  <c r="D84" i="26" s="1"/>
  <c r="E82" i="2"/>
  <c r="I83" i="25" s="1"/>
  <c r="F83" i="26" s="1"/>
  <c r="D82" i="2"/>
  <c r="G83" i="25" s="1"/>
  <c r="D83" i="26" s="1"/>
  <c r="E81" i="2"/>
  <c r="I82" i="25" s="1"/>
  <c r="F82" i="26" s="1"/>
  <c r="D81" i="2"/>
  <c r="G82" i="25" s="1"/>
  <c r="D82" i="26" s="1"/>
  <c r="E80" i="2"/>
  <c r="I81" i="25" s="1"/>
  <c r="F81" i="26" s="1"/>
  <c r="D80" i="2"/>
  <c r="G81" i="25" s="1"/>
  <c r="D81" i="26" s="1"/>
  <c r="E79" i="2"/>
  <c r="I80" i="25" s="1"/>
  <c r="F80" i="26" s="1"/>
  <c r="D79" i="2"/>
  <c r="G80" i="25" s="1"/>
  <c r="D80" i="26" s="1"/>
  <c r="E78" i="2"/>
  <c r="I79" i="25" s="1"/>
  <c r="F79" i="26" s="1"/>
  <c r="D78" i="2"/>
  <c r="G79" i="25" s="1"/>
  <c r="D79" i="26" s="1"/>
  <c r="E77" i="2"/>
  <c r="I78" i="25" s="1"/>
  <c r="F78" i="26" s="1"/>
  <c r="D77" i="2"/>
  <c r="G78" i="25" s="1"/>
  <c r="D78" i="26" s="1"/>
  <c r="E76" i="2"/>
  <c r="I77" i="25" s="1"/>
  <c r="F77" i="26" s="1"/>
  <c r="D76" i="2"/>
  <c r="G77" i="25" s="1"/>
  <c r="D77" i="26" s="1"/>
  <c r="E75" i="2"/>
  <c r="I76" i="25" s="1"/>
  <c r="F76" i="26" s="1"/>
  <c r="D75" i="2"/>
  <c r="G76" i="25" s="1"/>
  <c r="D76" i="26" s="1"/>
  <c r="E74" i="2"/>
  <c r="I75" i="25" s="1"/>
  <c r="F75" i="26" s="1"/>
  <c r="D74" i="2"/>
  <c r="G75" i="25" s="1"/>
  <c r="D75" i="26" s="1"/>
  <c r="E73" i="2"/>
  <c r="I74" i="25" s="1"/>
  <c r="F74" i="26" s="1"/>
  <c r="D73" i="2"/>
  <c r="G74" i="25" s="1"/>
  <c r="D74" i="26" s="1"/>
  <c r="E42" i="2"/>
  <c r="I43" i="25" s="1"/>
  <c r="F43" i="26" s="1"/>
  <c r="D42" i="2"/>
  <c r="G43" i="25" s="1"/>
  <c r="D43" i="26" s="1"/>
  <c r="D77" i="5" l="1"/>
  <c r="B70" i="5"/>
  <c r="D78" i="5"/>
  <c r="D88" i="5"/>
  <c r="D60" i="5"/>
  <c r="D70" i="5"/>
  <c r="B69" i="5"/>
  <c r="D80" i="5"/>
  <c r="D62" i="5"/>
  <c r="D72" i="5"/>
  <c r="D59" i="5"/>
  <c r="B80" i="5"/>
  <c r="B81" i="5"/>
  <c r="B63" i="5"/>
  <c r="B87" i="5"/>
  <c r="B71" i="5"/>
  <c r="B77" i="5"/>
  <c r="B61" i="5"/>
  <c r="B64" i="5"/>
  <c r="D69" i="5"/>
  <c r="D64" i="5"/>
  <c r="B82" i="5"/>
  <c r="B73" i="5"/>
  <c r="B65" i="5"/>
  <c r="D81" i="5"/>
  <c r="B83" i="5"/>
  <c r="D73" i="5"/>
  <c r="D83" i="5"/>
  <c r="D65" i="5"/>
  <c r="B88" i="5"/>
  <c r="D71" i="5"/>
  <c r="B72" i="5"/>
  <c r="B74" i="5"/>
  <c r="B84" i="5"/>
  <c r="B66" i="5"/>
  <c r="B59" i="5"/>
  <c r="D87" i="5"/>
  <c r="B79" i="5"/>
  <c r="D74" i="5"/>
  <c r="D84" i="5"/>
  <c r="D66" i="5"/>
  <c r="D63" i="5"/>
  <c r="B75" i="5"/>
  <c r="B85" i="5"/>
  <c r="B67" i="5"/>
  <c r="B60" i="5"/>
  <c r="D61" i="5"/>
  <c r="B62" i="5"/>
  <c r="D75" i="5"/>
  <c r="D85" i="5"/>
  <c r="D67" i="5"/>
  <c r="B78" i="5"/>
  <c r="D79" i="5"/>
  <c r="D82" i="5"/>
  <c r="B76" i="5"/>
  <c r="B86" i="5"/>
  <c r="B68" i="5"/>
  <c r="D76" i="5"/>
  <c r="D86" i="5"/>
  <c r="D68" i="5"/>
  <c r="E13" i="2" l="1"/>
  <c r="I14" i="25" s="1"/>
  <c r="F14" i="26" s="1"/>
  <c r="D13" i="2"/>
  <c r="G14" i="25" s="1"/>
  <c r="D14" i="26" s="1"/>
  <c r="L13" i="2"/>
  <c r="M14" i="26" s="1"/>
  <c r="E190" i="2"/>
  <c r="I191" i="25" s="1"/>
  <c r="F191" i="26" s="1"/>
  <c r="D190" i="2"/>
  <c r="G191" i="25" s="1"/>
  <c r="D191" i="26" s="1"/>
  <c r="E12" i="2"/>
  <c r="I13" i="25" s="1"/>
  <c r="F13" i="26" s="1"/>
  <c r="D12" i="2"/>
  <c r="G13" i="25" s="1"/>
  <c r="D13" i="26" s="1"/>
  <c r="D27" i="3"/>
  <c r="D29" i="3" s="1"/>
  <c r="D26" i="3"/>
  <c r="D24" i="3"/>
  <c r="C13" i="7"/>
  <c r="B13" i="7"/>
  <c r="B12" i="5" l="1"/>
  <c r="B190" i="5"/>
  <c r="D13" i="5"/>
  <c r="D12" i="5"/>
  <c r="B13" i="5"/>
  <c r="D190" i="5"/>
  <c r="D30" i="3"/>
  <c r="D32" i="3"/>
  <c r="D31" i="3"/>
  <c r="D33" i="3"/>
  <c r="D28" i="3"/>
  <c r="G9713" i="21"/>
  <c r="H9713" i="21" s="1"/>
  <c r="G9714" i="21"/>
  <c r="H9714" i="21" s="1"/>
  <c r="G9715" i="21"/>
  <c r="H9715" i="21" s="1"/>
  <c r="G9716" i="21"/>
  <c r="H9716" i="21" s="1"/>
  <c r="G9717" i="21"/>
  <c r="H9717" i="21" s="1"/>
  <c r="G9718" i="21"/>
  <c r="H9718" i="21" s="1"/>
  <c r="G9719" i="21"/>
  <c r="H9719" i="21"/>
  <c r="G9720" i="21"/>
  <c r="H9720" i="21" s="1"/>
  <c r="G9721" i="21"/>
  <c r="H9721" i="21" s="1"/>
  <c r="G9722" i="21"/>
  <c r="H9722" i="21"/>
  <c r="G9723" i="21"/>
  <c r="H9723" i="21" s="1"/>
  <c r="G9724" i="21"/>
  <c r="H9724" i="21" s="1"/>
  <c r="G9725" i="21"/>
  <c r="H9725" i="21" s="1"/>
  <c r="G9726" i="21"/>
  <c r="H9726" i="21" s="1"/>
  <c r="G9727" i="21"/>
  <c r="H9727" i="21" s="1"/>
  <c r="G9728" i="21"/>
  <c r="H9728" i="21" s="1"/>
  <c r="G9729" i="21"/>
  <c r="H9729" i="21"/>
  <c r="G9730" i="21"/>
  <c r="H9730" i="21" s="1"/>
  <c r="G9731" i="21"/>
  <c r="H9731" i="21" s="1"/>
  <c r="G9732" i="21"/>
  <c r="H9732" i="21"/>
  <c r="G9733" i="21"/>
  <c r="H9733" i="21" s="1"/>
  <c r="G9734" i="21"/>
  <c r="H9734" i="21" s="1"/>
  <c r="G9735" i="21"/>
  <c r="H9735" i="21" s="1"/>
  <c r="G9736" i="21"/>
  <c r="H9736" i="21" s="1"/>
  <c r="G9737" i="21"/>
  <c r="H9737" i="21" s="1"/>
  <c r="G9738" i="21"/>
  <c r="H9738" i="21" s="1"/>
  <c r="G9739" i="21"/>
  <c r="H9739" i="21" s="1"/>
  <c r="G9740" i="21"/>
  <c r="H9740" i="21" s="1"/>
  <c r="G9741" i="21"/>
  <c r="H9741" i="21" s="1"/>
  <c r="G9742" i="21"/>
  <c r="H9742" i="21" s="1"/>
  <c r="G9743" i="21"/>
  <c r="H9743" i="21" s="1"/>
  <c r="G9744" i="21"/>
  <c r="H9744" i="21" s="1"/>
  <c r="G9745" i="21"/>
  <c r="H9745" i="21" s="1"/>
  <c r="G9746" i="21"/>
  <c r="H9746" i="21" s="1"/>
  <c r="G9747" i="21"/>
  <c r="H9747" i="21" s="1"/>
  <c r="G9748" i="21"/>
  <c r="H9748" i="21" s="1"/>
  <c r="G9749" i="21"/>
  <c r="H9749" i="21" s="1"/>
  <c r="G9750" i="21"/>
  <c r="H9750" i="21" s="1"/>
  <c r="G9751" i="21"/>
  <c r="H9751" i="21"/>
  <c r="G9752" i="21"/>
  <c r="H9752" i="21"/>
  <c r="G9753" i="21"/>
  <c r="H9753" i="21" s="1"/>
  <c r="G9754" i="21"/>
  <c r="H9754" i="21" s="1"/>
  <c r="G9755" i="21"/>
  <c r="H9755" i="21" s="1"/>
  <c r="G9756" i="21"/>
  <c r="H9756" i="21" s="1"/>
  <c r="G9757" i="21"/>
  <c r="H9757" i="21" s="1"/>
  <c r="G9758" i="21"/>
  <c r="H9758" i="21" s="1"/>
  <c r="G9759" i="21"/>
  <c r="H9759" i="21" s="1"/>
  <c r="G9760" i="21"/>
  <c r="H9760" i="21" s="1"/>
  <c r="G9761" i="21"/>
  <c r="H9761" i="21" s="1"/>
  <c r="G9762" i="21"/>
  <c r="H9762" i="21" s="1"/>
  <c r="G9763" i="21"/>
  <c r="H9763" i="21" s="1"/>
  <c r="G9764" i="21"/>
  <c r="H9764" i="21" s="1"/>
  <c r="G9765" i="21"/>
  <c r="H9765" i="21" s="1"/>
  <c r="G9766" i="21"/>
  <c r="H9766" i="21" s="1"/>
  <c r="G9767" i="21"/>
  <c r="H9767" i="21" s="1"/>
  <c r="G9768" i="21"/>
  <c r="H9768" i="21" s="1"/>
  <c r="G9769" i="21"/>
  <c r="H9769" i="21" s="1"/>
  <c r="G9770" i="21"/>
  <c r="H9770" i="21" s="1"/>
  <c r="G9771" i="21"/>
  <c r="H9771" i="21"/>
  <c r="G9772" i="21"/>
  <c r="H9772" i="21" s="1"/>
  <c r="G9773" i="21"/>
  <c r="H9773" i="21" s="1"/>
  <c r="G9774" i="21"/>
  <c r="H9774" i="21" s="1"/>
  <c r="G9775" i="21"/>
  <c r="H9775" i="21" s="1"/>
  <c r="G9776" i="21"/>
  <c r="H9776" i="21" s="1"/>
  <c r="G9777" i="21"/>
  <c r="H9777" i="21" s="1"/>
  <c r="G9778" i="21"/>
  <c r="H9778" i="21" s="1"/>
  <c r="G9779" i="21"/>
  <c r="H9779" i="21" s="1"/>
  <c r="G9780" i="21"/>
  <c r="H9780" i="21" s="1"/>
  <c r="G9781" i="21"/>
  <c r="H9781" i="21" s="1"/>
  <c r="G9782" i="21"/>
  <c r="H9782" i="21" s="1"/>
  <c r="G9783" i="21"/>
  <c r="H9783" i="21" s="1"/>
  <c r="G9784" i="21"/>
  <c r="H9784" i="21" s="1"/>
  <c r="G9785" i="21"/>
  <c r="H9785" i="21" s="1"/>
  <c r="G9786" i="21"/>
  <c r="H9786" i="21" s="1"/>
  <c r="G9787" i="21"/>
  <c r="H9787" i="21" s="1"/>
  <c r="G9788" i="21"/>
  <c r="H9788" i="21" s="1"/>
  <c r="G9789" i="21"/>
  <c r="H9789" i="21" s="1"/>
  <c r="G9790" i="21"/>
  <c r="H9790" i="21" s="1"/>
  <c r="G9791" i="21"/>
  <c r="H9791" i="21" s="1"/>
  <c r="G9792" i="21"/>
  <c r="H9792" i="21" s="1"/>
  <c r="G9793" i="21"/>
  <c r="H9793" i="21" s="1"/>
  <c r="G9794" i="21"/>
  <c r="H9794" i="21" s="1"/>
  <c r="G9795" i="21"/>
  <c r="H9795" i="21" s="1"/>
  <c r="G9796" i="21"/>
  <c r="H9796" i="21" s="1"/>
  <c r="G9797" i="21"/>
  <c r="H9797" i="21" s="1"/>
  <c r="G9798" i="21"/>
  <c r="H9798" i="21" s="1"/>
  <c r="G9799" i="21"/>
  <c r="H9799" i="21" s="1"/>
  <c r="G9800" i="21"/>
  <c r="H9800" i="21" s="1"/>
  <c r="G9801" i="21"/>
  <c r="H9801" i="21" s="1"/>
  <c r="G9802" i="21"/>
  <c r="H9802" i="21" s="1"/>
  <c r="G9803" i="21"/>
  <c r="H9803" i="21" s="1"/>
  <c r="G9804" i="21"/>
  <c r="H9804" i="21" s="1"/>
  <c r="G9805" i="21"/>
  <c r="H9805" i="21" s="1"/>
  <c r="G9806" i="21"/>
  <c r="H9806" i="21" s="1"/>
  <c r="G9807" i="21"/>
  <c r="H9807" i="21" s="1"/>
  <c r="G9808" i="21"/>
  <c r="H9808" i="21" s="1"/>
  <c r="G9809" i="21"/>
  <c r="H9809" i="21" s="1"/>
  <c r="G9810" i="21"/>
  <c r="H9810" i="21" s="1"/>
  <c r="G9811" i="21"/>
  <c r="H9811" i="21" s="1"/>
  <c r="G9812" i="21"/>
  <c r="H9812" i="21" s="1"/>
  <c r="G9813" i="21"/>
  <c r="H9813" i="21" s="1"/>
  <c r="G9814" i="21"/>
  <c r="H9814" i="21" s="1"/>
  <c r="G9815" i="21"/>
  <c r="H9815" i="21" s="1"/>
  <c r="G9816" i="21"/>
  <c r="H9816" i="21" s="1"/>
  <c r="G9817" i="21"/>
  <c r="H9817" i="21" s="1"/>
  <c r="G9818" i="21"/>
  <c r="H9818" i="21" s="1"/>
  <c r="G9819" i="21"/>
  <c r="H9819" i="21" s="1"/>
  <c r="G9820" i="21"/>
  <c r="H9820" i="21" s="1"/>
  <c r="G9821" i="21"/>
  <c r="H9821" i="21" s="1"/>
  <c r="G9822" i="21"/>
  <c r="H9822" i="21" s="1"/>
  <c r="G9823" i="21"/>
  <c r="H9823" i="21" s="1"/>
  <c r="G9824" i="21"/>
  <c r="H9824" i="21" s="1"/>
  <c r="G9825" i="21"/>
  <c r="H9825" i="21" s="1"/>
  <c r="G9826" i="21"/>
  <c r="H9826" i="21" s="1"/>
  <c r="G9827" i="21"/>
  <c r="H9827" i="21" s="1"/>
  <c r="G401" i="3" s="1"/>
  <c r="G9828" i="21"/>
  <c r="H9828" i="21" s="1"/>
  <c r="G9829" i="21"/>
  <c r="H9829" i="21" s="1"/>
  <c r="G9830" i="21"/>
  <c r="H9830" i="21" s="1"/>
  <c r="G9831" i="21"/>
  <c r="H9831" i="21" s="1"/>
  <c r="G9832" i="21"/>
  <c r="H9832" i="21" s="1"/>
  <c r="G9833" i="21"/>
  <c r="H9833" i="21" s="1"/>
  <c r="G9834" i="21"/>
  <c r="H9834" i="21" s="1"/>
  <c r="G9835" i="21"/>
  <c r="H9835" i="21" s="1"/>
  <c r="G9836" i="21"/>
  <c r="H9836" i="21" s="1"/>
  <c r="G9837" i="21"/>
  <c r="H9837" i="21" s="1"/>
  <c r="G9838" i="21"/>
  <c r="H9838" i="21" s="1"/>
  <c r="G9839" i="21"/>
  <c r="H9839" i="21"/>
  <c r="G9840" i="21"/>
  <c r="H9840" i="21" s="1"/>
  <c r="G9841" i="21"/>
  <c r="H9841" i="21" s="1"/>
  <c r="G9842" i="21"/>
  <c r="H9842" i="21" s="1"/>
  <c r="G9843" i="21"/>
  <c r="H9843" i="21" s="1"/>
  <c r="G9844" i="21"/>
  <c r="H9844" i="21" s="1"/>
  <c r="G9845" i="21"/>
  <c r="H9845" i="21" s="1"/>
  <c r="G9846" i="21"/>
  <c r="H9846" i="21" s="1"/>
  <c r="G9847" i="21"/>
  <c r="H9847" i="21" s="1"/>
  <c r="G9848" i="21"/>
  <c r="H9848" i="21" s="1"/>
  <c r="G9849" i="21"/>
  <c r="H9849" i="21" s="1"/>
  <c r="G9850" i="21"/>
  <c r="H9850" i="21" s="1"/>
  <c r="G9851" i="21"/>
  <c r="H9851" i="21" s="1"/>
  <c r="G9852" i="21"/>
  <c r="H9852" i="21" s="1"/>
  <c r="G9853" i="21"/>
  <c r="H9853" i="21" s="1"/>
  <c r="G9854" i="21"/>
  <c r="H9854" i="21" s="1"/>
  <c r="G9855" i="21"/>
  <c r="H9855" i="21" s="1"/>
  <c r="G9856" i="21"/>
  <c r="H9856" i="21" s="1"/>
  <c r="G9857" i="21"/>
  <c r="H9857" i="21" s="1"/>
  <c r="G9858" i="21"/>
  <c r="H9858" i="21" s="1"/>
  <c r="G9859" i="21"/>
  <c r="H9859" i="21" s="1"/>
  <c r="G9860" i="21"/>
  <c r="H9860" i="21" s="1"/>
  <c r="G9861" i="21"/>
  <c r="H9861" i="21" s="1"/>
  <c r="G9862" i="21"/>
  <c r="H9862" i="21" s="1"/>
  <c r="G9863" i="21"/>
  <c r="H9863" i="21" s="1"/>
  <c r="G9864" i="21"/>
  <c r="H9864" i="21" s="1"/>
  <c r="G9865" i="21"/>
  <c r="H9865" i="21" s="1"/>
  <c r="G9866" i="21"/>
  <c r="H9866" i="21" s="1"/>
  <c r="G9867" i="21"/>
  <c r="H9867" i="21" s="1"/>
  <c r="G9868" i="21"/>
  <c r="H9868" i="21" s="1"/>
  <c r="G9869" i="21"/>
  <c r="H9869" i="21" s="1"/>
  <c r="G9870" i="21"/>
  <c r="H9870" i="21" s="1"/>
  <c r="G9871" i="21"/>
  <c r="H9871" i="21" s="1"/>
  <c r="G9872" i="21"/>
  <c r="H9872" i="21" s="1"/>
  <c r="G9873" i="21"/>
  <c r="H9873" i="21" s="1"/>
  <c r="G9874" i="21"/>
  <c r="H9874" i="21" s="1"/>
  <c r="G9875" i="21"/>
  <c r="H9875" i="21" s="1"/>
  <c r="G9876" i="21"/>
  <c r="H9876" i="21" s="1"/>
  <c r="G9877" i="21"/>
  <c r="H9877" i="21" s="1"/>
  <c r="G9878" i="21"/>
  <c r="H9878" i="21" s="1"/>
  <c r="G9879" i="21"/>
  <c r="H9879" i="21" s="1"/>
  <c r="G9880" i="21"/>
  <c r="H9880" i="21" s="1"/>
  <c r="G9881" i="21"/>
  <c r="H9881" i="21" s="1"/>
  <c r="G9882" i="21"/>
  <c r="H9882" i="21" s="1"/>
  <c r="G9883" i="21"/>
  <c r="H9883" i="21" s="1"/>
  <c r="G9884" i="21"/>
  <c r="H9884" i="21" s="1"/>
  <c r="G9885" i="21"/>
  <c r="H9885" i="21" s="1"/>
  <c r="G9886" i="21"/>
  <c r="H9886" i="21" s="1"/>
  <c r="G9887" i="21"/>
  <c r="H9887" i="21" s="1"/>
  <c r="G9888" i="21"/>
  <c r="H9888" i="21" s="1"/>
  <c r="G9889" i="21"/>
  <c r="H9889" i="21" s="1"/>
  <c r="G9890" i="21"/>
  <c r="H9890" i="21" s="1"/>
  <c r="G9891" i="21"/>
  <c r="H9891" i="21" s="1"/>
  <c r="G9892" i="21"/>
  <c r="H9892" i="21" s="1"/>
  <c r="G9893" i="21"/>
  <c r="H9893" i="21" s="1"/>
  <c r="G9894" i="21"/>
  <c r="H9894" i="21" s="1"/>
  <c r="G9895" i="21"/>
  <c r="H9895" i="21" s="1"/>
  <c r="G9896" i="21"/>
  <c r="H9896" i="21" s="1"/>
  <c r="G9897" i="21"/>
  <c r="H9897" i="21" s="1"/>
  <c r="G9898" i="21"/>
  <c r="H9898" i="21" s="1"/>
  <c r="G9899" i="21"/>
  <c r="H9899" i="21" s="1"/>
  <c r="G9900" i="21"/>
  <c r="H9900" i="21" s="1"/>
  <c r="G9901" i="21"/>
  <c r="H9901" i="21" s="1"/>
  <c r="G9902" i="21"/>
  <c r="H9902" i="21" s="1"/>
  <c r="G9903" i="21"/>
  <c r="H9903" i="21" s="1"/>
  <c r="G9904" i="21"/>
  <c r="H9904" i="21" s="1"/>
  <c r="G9905" i="21"/>
  <c r="H9905" i="21" s="1"/>
  <c r="G9906" i="21"/>
  <c r="H9906" i="21" s="1"/>
  <c r="G9907" i="21"/>
  <c r="H9907" i="21" s="1"/>
  <c r="G9908" i="21"/>
  <c r="H9908" i="21" s="1"/>
  <c r="G9909" i="21"/>
  <c r="H9909" i="21" s="1"/>
  <c r="G9910" i="21"/>
  <c r="H9910" i="21" s="1"/>
  <c r="G9911" i="21"/>
  <c r="H9911" i="21" s="1"/>
  <c r="G9912" i="21"/>
  <c r="H9912" i="21" s="1"/>
  <c r="G9913" i="21"/>
  <c r="H9913" i="21" s="1"/>
  <c r="G9914" i="21"/>
  <c r="H9914" i="21" s="1"/>
  <c r="G9915" i="21"/>
  <c r="H9915" i="21" s="1"/>
  <c r="G9916" i="21"/>
  <c r="H9916" i="21" s="1"/>
  <c r="G9917" i="21"/>
  <c r="H9917" i="21" s="1"/>
  <c r="G9918" i="21"/>
  <c r="H9918" i="21" s="1"/>
  <c r="G9919" i="21"/>
  <c r="H9919" i="21" s="1"/>
  <c r="G9920" i="21"/>
  <c r="H9920" i="21" s="1"/>
  <c r="G9921" i="21"/>
  <c r="H9921" i="21" s="1"/>
  <c r="G9922" i="21"/>
  <c r="H9922" i="21" s="1"/>
  <c r="G9923" i="21"/>
  <c r="H9923" i="21" s="1"/>
  <c r="G9924" i="21"/>
  <c r="H9924" i="21" s="1"/>
  <c r="G9925" i="21"/>
  <c r="H9925" i="21" s="1"/>
  <c r="G9926" i="21"/>
  <c r="H9926" i="21" s="1"/>
  <c r="G9927" i="21"/>
  <c r="H9927" i="21" s="1"/>
  <c r="G9928" i="21"/>
  <c r="H9928" i="21" s="1"/>
  <c r="G9929" i="21"/>
  <c r="H9929" i="21" s="1"/>
  <c r="G9930" i="21"/>
  <c r="H9930" i="21" s="1"/>
  <c r="G9931" i="21"/>
  <c r="H9931" i="21" s="1"/>
  <c r="G9932" i="21"/>
  <c r="H9932" i="21" s="1"/>
  <c r="G9933" i="21"/>
  <c r="H9933" i="21" s="1"/>
  <c r="G9934" i="21"/>
  <c r="H9934" i="21" s="1"/>
  <c r="G9935" i="21"/>
  <c r="H9935" i="21" s="1"/>
  <c r="G9936" i="21"/>
  <c r="H9936" i="21" s="1"/>
  <c r="G9937" i="21"/>
  <c r="H9937" i="21" s="1"/>
  <c r="G9938" i="21"/>
  <c r="H9938" i="21" s="1"/>
  <c r="G9939" i="21"/>
  <c r="H9939" i="21" s="1"/>
  <c r="G9940" i="21"/>
  <c r="H9940" i="21" s="1"/>
  <c r="G9941" i="21"/>
  <c r="H9941" i="21" s="1"/>
  <c r="G9942" i="21"/>
  <c r="H9942" i="21"/>
  <c r="G9943" i="21"/>
  <c r="H9943" i="21" s="1"/>
  <c r="G9944" i="21"/>
  <c r="H9944" i="21" s="1"/>
  <c r="G9945" i="21"/>
  <c r="H9945" i="21" s="1"/>
  <c r="G9946" i="21"/>
  <c r="H9946" i="21" s="1"/>
  <c r="G9947" i="21"/>
  <c r="H9947" i="21" s="1"/>
  <c r="G9948" i="21"/>
  <c r="H9948" i="21" s="1"/>
  <c r="G9949" i="21"/>
  <c r="H9949" i="21" s="1"/>
  <c r="G9950" i="21"/>
  <c r="H9950" i="21" s="1"/>
  <c r="G9951" i="21"/>
  <c r="H9951" i="21" s="1"/>
  <c r="G9952" i="21"/>
  <c r="H9952" i="21" s="1"/>
  <c r="G9953" i="21"/>
  <c r="H9953" i="21" s="1"/>
  <c r="G9954" i="21"/>
  <c r="H9954" i="21" s="1"/>
  <c r="G9955" i="21"/>
  <c r="H9955" i="21" s="1"/>
  <c r="G9956" i="21"/>
  <c r="H9956" i="21" s="1"/>
  <c r="G9957" i="21"/>
  <c r="H9957" i="21" s="1"/>
  <c r="G9958" i="21"/>
  <c r="H9958" i="21" s="1"/>
  <c r="G9959" i="21"/>
  <c r="H9959" i="21" s="1"/>
  <c r="G9960" i="21"/>
  <c r="H9960" i="21" s="1"/>
  <c r="G9961" i="21"/>
  <c r="H9961" i="21" s="1"/>
  <c r="G9962" i="21"/>
  <c r="H9962" i="21" s="1"/>
  <c r="G9963" i="21"/>
  <c r="H9963" i="21" s="1"/>
  <c r="G9964" i="21"/>
  <c r="H9964" i="21" s="1"/>
  <c r="G9965" i="21"/>
  <c r="H9965" i="21" s="1"/>
  <c r="G9966" i="21"/>
  <c r="H9966" i="21" s="1"/>
  <c r="G9967" i="21"/>
  <c r="H9967" i="21" s="1"/>
  <c r="G9968" i="21"/>
  <c r="H9968" i="21" s="1"/>
  <c r="G9969" i="21"/>
  <c r="H9969" i="21" s="1"/>
  <c r="G9970" i="21"/>
  <c r="H9970" i="21" s="1"/>
  <c r="G9971" i="21"/>
  <c r="H9971" i="21" s="1"/>
  <c r="G9972" i="21"/>
  <c r="H9972" i="21" s="1"/>
  <c r="G9973" i="21"/>
  <c r="H9973" i="21" s="1"/>
  <c r="G9974" i="21"/>
  <c r="H9974" i="21" s="1"/>
  <c r="G9975" i="21"/>
  <c r="H9975" i="21" s="1"/>
  <c r="G9976" i="21"/>
  <c r="H9976" i="21" s="1"/>
  <c r="G9977" i="21"/>
  <c r="H9977" i="21" s="1"/>
  <c r="G9978" i="21"/>
  <c r="H9978" i="21" s="1"/>
  <c r="G9979" i="21"/>
  <c r="H9979" i="21" s="1"/>
  <c r="G9980" i="21"/>
  <c r="H9980" i="21" s="1"/>
  <c r="G9981" i="21"/>
  <c r="H9981" i="21" s="1"/>
  <c r="G9982" i="21"/>
  <c r="H9982" i="21" s="1"/>
  <c r="G9983" i="21"/>
  <c r="H9983" i="21" s="1"/>
  <c r="G9984" i="21"/>
  <c r="H9984" i="21" s="1"/>
  <c r="G9985" i="21"/>
  <c r="H9985" i="21" s="1"/>
  <c r="G9986" i="21"/>
  <c r="H9986" i="21" s="1"/>
  <c r="G9987" i="21"/>
  <c r="H9987" i="21" s="1"/>
  <c r="G9988" i="21"/>
  <c r="H9988" i="21" s="1"/>
  <c r="G9989" i="21"/>
  <c r="H9989" i="21" s="1"/>
  <c r="G9990" i="21"/>
  <c r="H9990" i="21" s="1"/>
  <c r="G9991" i="21"/>
  <c r="H9991" i="21" s="1"/>
  <c r="G9992" i="21"/>
  <c r="H9992" i="21" s="1"/>
  <c r="G9993" i="21"/>
  <c r="H9993" i="21" s="1"/>
  <c r="G9994" i="21"/>
  <c r="H9994" i="21" s="1"/>
  <c r="G9995" i="21"/>
  <c r="H9995" i="21" s="1"/>
  <c r="G9996" i="21"/>
  <c r="H9996" i="21" s="1"/>
  <c r="G9997" i="21"/>
  <c r="H9997" i="21" s="1"/>
  <c r="G9998" i="21"/>
  <c r="H9998" i="21" s="1"/>
  <c r="G9999" i="21"/>
  <c r="H9999" i="21" s="1"/>
  <c r="G10000" i="21"/>
  <c r="H10000" i="21" s="1"/>
  <c r="G10001" i="21"/>
  <c r="H10001" i="21" s="1"/>
  <c r="G10002" i="21"/>
  <c r="H10002" i="21" s="1"/>
  <c r="G10003" i="21"/>
  <c r="H10003" i="21" s="1"/>
  <c r="G10004" i="21"/>
  <c r="H10004" i="21" s="1"/>
  <c r="G10005" i="21"/>
  <c r="H10005" i="21" s="1"/>
  <c r="G10006" i="21"/>
  <c r="H10006" i="21" s="1"/>
  <c r="G10007" i="21"/>
  <c r="H10007" i="21" s="1"/>
  <c r="G10008" i="21"/>
  <c r="H10008" i="21" s="1"/>
  <c r="G10009" i="21"/>
  <c r="H10009" i="21" s="1"/>
  <c r="G10010" i="21"/>
  <c r="H10010" i="21" s="1"/>
  <c r="G10011" i="21"/>
  <c r="H10011" i="21" s="1"/>
  <c r="G10012" i="21"/>
  <c r="H10012" i="21" s="1"/>
  <c r="G10013" i="21"/>
  <c r="H10013" i="21" s="1"/>
  <c r="G10014" i="21"/>
  <c r="H10014" i="21" s="1"/>
  <c r="G10015" i="21"/>
  <c r="H10015" i="21" s="1"/>
  <c r="G10016" i="21"/>
  <c r="H10016" i="21" s="1"/>
  <c r="G10017" i="21"/>
  <c r="H10017" i="21" s="1"/>
  <c r="G10018" i="21"/>
  <c r="H10018" i="21" s="1"/>
  <c r="G10019" i="21"/>
  <c r="H10019" i="21" s="1"/>
  <c r="G10020" i="21"/>
  <c r="H10020" i="21" s="1"/>
  <c r="G10021" i="21"/>
  <c r="H10021" i="21" s="1"/>
  <c r="G10022" i="21"/>
  <c r="H10022" i="21" s="1"/>
  <c r="G10023" i="21"/>
  <c r="H10023" i="21" s="1"/>
  <c r="G10024" i="21"/>
  <c r="H10024" i="21" s="1"/>
  <c r="G10025" i="21"/>
  <c r="H10025" i="21" s="1"/>
  <c r="G10026" i="21"/>
  <c r="H10026" i="21" s="1"/>
  <c r="G10027" i="21"/>
  <c r="H10027" i="21" s="1"/>
  <c r="G10028" i="21"/>
  <c r="H10028" i="21" s="1"/>
  <c r="G10029" i="21"/>
  <c r="H10029" i="21" s="1"/>
  <c r="G10030" i="21"/>
  <c r="H10030" i="21" s="1"/>
  <c r="G10031" i="21"/>
  <c r="H10031" i="21" s="1"/>
  <c r="G10032" i="21"/>
  <c r="H10032" i="21"/>
  <c r="G10033" i="21"/>
  <c r="H10033" i="21" s="1"/>
  <c r="G10034" i="21"/>
  <c r="H10034" i="21" s="1"/>
  <c r="G10035" i="21"/>
  <c r="H10035" i="21" s="1"/>
  <c r="G10036" i="21"/>
  <c r="H10036" i="21" s="1"/>
  <c r="G10037" i="21"/>
  <c r="H10037" i="21" s="1"/>
  <c r="G10038" i="21"/>
  <c r="H10038" i="21" s="1"/>
  <c r="G10039" i="21"/>
  <c r="H10039" i="21" s="1"/>
  <c r="G10040" i="21"/>
  <c r="H10040" i="21" s="1"/>
  <c r="G10041" i="21"/>
  <c r="H10041" i="21" s="1"/>
  <c r="G10042" i="21"/>
  <c r="H10042" i="21" s="1"/>
  <c r="G10043" i="21"/>
  <c r="H10043" i="21" s="1"/>
  <c r="G10044" i="21"/>
  <c r="H10044" i="21" s="1"/>
  <c r="G10045" i="21"/>
  <c r="H10045" i="21" s="1"/>
  <c r="G10046" i="21"/>
  <c r="H10046" i="21" s="1"/>
  <c r="G10047" i="21"/>
  <c r="H10047" i="21" s="1"/>
  <c r="G10048" i="21"/>
  <c r="H10048" i="21" s="1"/>
  <c r="G10049" i="21"/>
  <c r="H10049" i="21" s="1"/>
  <c r="G10050" i="21"/>
  <c r="H10050" i="21" s="1"/>
  <c r="G10051" i="21"/>
  <c r="H10051" i="21" s="1"/>
  <c r="G10052" i="21"/>
  <c r="H10052" i="21" s="1"/>
  <c r="G10053" i="21"/>
  <c r="H10053" i="21" s="1"/>
  <c r="G10054" i="21"/>
  <c r="H10054" i="21" s="1"/>
  <c r="G10055" i="21"/>
  <c r="H10055" i="21" s="1"/>
  <c r="G10056" i="21"/>
  <c r="H10056" i="21" s="1"/>
  <c r="G10057" i="21"/>
  <c r="H10057" i="21" s="1"/>
  <c r="G10058" i="21"/>
  <c r="H10058" i="21" s="1"/>
  <c r="G10059" i="21"/>
  <c r="H10059" i="21" s="1"/>
  <c r="G10060" i="21"/>
  <c r="H10060" i="21" s="1"/>
  <c r="G10061" i="21"/>
  <c r="H10061" i="21" s="1"/>
  <c r="G10062" i="21"/>
  <c r="H10062" i="21" s="1"/>
  <c r="G10063" i="21"/>
  <c r="H10063" i="21" s="1"/>
  <c r="G10064" i="21"/>
  <c r="H10064" i="21" s="1"/>
  <c r="G10065" i="21"/>
  <c r="H10065" i="21" s="1"/>
  <c r="G10066" i="21"/>
  <c r="H10066" i="21" s="1"/>
  <c r="G10067" i="21"/>
  <c r="H10067" i="21" s="1"/>
  <c r="G10068" i="21"/>
  <c r="H10068" i="21" s="1"/>
  <c r="G10069" i="21"/>
  <c r="H10069" i="21" s="1"/>
  <c r="G10070" i="21"/>
  <c r="H10070" i="21" s="1"/>
  <c r="G10071" i="21"/>
  <c r="H10071" i="21" s="1"/>
  <c r="G10072" i="21"/>
  <c r="H10072" i="21"/>
  <c r="G10073" i="21"/>
  <c r="H10073" i="21" s="1"/>
  <c r="G10074" i="21"/>
  <c r="H10074" i="21" s="1"/>
  <c r="G10075" i="21"/>
  <c r="H10075" i="21" s="1"/>
  <c r="G10076" i="21"/>
  <c r="H10076" i="21" s="1"/>
  <c r="G10077" i="21"/>
  <c r="H10077" i="21" s="1"/>
  <c r="G10078" i="21"/>
  <c r="H10078" i="21" s="1"/>
  <c r="G10079" i="21"/>
  <c r="H10079" i="21" s="1"/>
  <c r="G10080" i="21"/>
  <c r="H10080" i="21" s="1"/>
  <c r="G10081" i="21"/>
  <c r="H10081" i="21" s="1"/>
  <c r="G10082" i="21"/>
  <c r="H10082" i="21" s="1"/>
  <c r="G10083" i="21"/>
  <c r="H10083" i="21" s="1"/>
  <c r="G10084" i="21"/>
  <c r="H10084" i="21" s="1"/>
  <c r="G10085" i="21"/>
  <c r="H10085" i="21" s="1"/>
  <c r="G10086" i="21"/>
  <c r="H10086" i="21" s="1"/>
  <c r="G10087" i="21"/>
  <c r="H10087" i="21" s="1"/>
  <c r="G10088" i="21"/>
  <c r="H10088" i="21" s="1"/>
  <c r="G10089" i="21"/>
  <c r="H10089" i="21" s="1"/>
  <c r="G10090" i="21"/>
  <c r="H10090" i="21" s="1"/>
  <c r="G10091" i="21"/>
  <c r="H10091" i="21" s="1"/>
  <c r="G10092" i="21"/>
  <c r="H10092" i="21" s="1"/>
  <c r="G10093" i="21"/>
  <c r="H10093" i="21" s="1"/>
  <c r="G10094" i="21"/>
  <c r="H10094" i="21" s="1"/>
  <c r="G10095" i="21"/>
  <c r="H10095" i="21" s="1"/>
  <c r="G10096" i="21"/>
  <c r="H10096" i="21" s="1"/>
  <c r="G10097" i="21"/>
  <c r="H10097" i="21" s="1"/>
  <c r="G10098" i="21"/>
  <c r="H10098" i="21" s="1"/>
  <c r="G10099" i="21"/>
  <c r="H10099" i="21" s="1"/>
  <c r="G10100" i="21"/>
  <c r="H10100" i="21" s="1"/>
  <c r="G10101" i="21"/>
  <c r="H10101" i="21" s="1"/>
  <c r="G10102" i="21"/>
  <c r="H10102" i="21"/>
  <c r="G10103" i="21"/>
  <c r="H10103" i="21" s="1"/>
  <c r="G10104" i="21"/>
  <c r="H10104" i="21" s="1"/>
  <c r="G10105" i="21"/>
  <c r="H10105" i="21" s="1"/>
  <c r="G10106" i="21"/>
  <c r="H10106" i="21" s="1"/>
  <c r="G10107" i="21"/>
  <c r="H10107" i="21" s="1"/>
  <c r="G10108" i="21"/>
  <c r="H10108" i="21" s="1"/>
  <c r="G10109" i="21"/>
  <c r="H10109" i="21" s="1"/>
  <c r="G10110" i="21"/>
  <c r="H10110" i="21" s="1"/>
  <c r="G10111" i="21"/>
  <c r="H10111" i="21" s="1"/>
  <c r="G10112" i="21"/>
  <c r="H10112" i="21" s="1"/>
  <c r="G10113" i="21"/>
  <c r="H10113" i="21" s="1"/>
  <c r="G10114" i="21"/>
  <c r="H10114" i="21" s="1"/>
  <c r="G10115" i="21"/>
  <c r="H10115" i="21" s="1"/>
  <c r="G10116" i="21"/>
  <c r="H10116" i="21" s="1"/>
  <c r="G10117" i="21"/>
  <c r="H10117" i="21" s="1"/>
  <c r="G10118" i="21"/>
  <c r="H10118" i="21" s="1"/>
  <c r="G10119" i="21"/>
  <c r="H10119" i="21" s="1"/>
  <c r="G10120" i="21"/>
  <c r="H10120" i="21" s="1"/>
  <c r="G10121" i="21"/>
  <c r="H10121" i="21" s="1"/>
  <c r="G10122" i="21"/>
  <c r="H10122" i="21" s="1"/>
  <c r="G10123" i="21"/>
  <c r="H10123" i="21" s="1"/>
  <c r="G10124" i="21"/>
  <c r="H10124" i="21" s="1"/>
  <c r="G10125" i="21"/>
  <c r="H10125" i="21" s="1"/>
  <c r="G10126" i="21"/>
  <c r="H10126" i="21" s="1"/>
  <c r="G10127" i="21"/>
  <c r="H10127" i="21" s="1"/>
  <c r="G10128" i="21"/>
  <c r="H10128" i="21" s="1"/>
  <c r="G10129" i="21"/>
  <c r="H10129" i="21" s="1"/>
  <c r="G10130" i="21"/>
  <c r="H10130" i="21" s="1"/>
  <c r="G10131" i="21"/>
  <c r="H10131" i="21" s="1"/>
  <c r="G10132" i="21"/>
  <c r="H10132" i="21" s="1"/>
  <c r="G10133" i="21"/>
  <c r="H10133" i="21" s="1"/>
  <c r="G10134" i="21"/>
  <c r="H10134" i="21" s="1"/>
  <c r="G10135" i="21"/>
  <c r="H10135" i="21" s="1"/>
  <c r="G10136" i="21"/>
  <c r="H10136" i="21"/>
  <c r="G10137" i="21"/>
  <c r="H10137" i="21" s="1"/>
  <c r="G10138" i="21"/>
  <c r="H10138" i="21"/>
  <c r="G10139" i="21"/>
  <c r="H10139" i="21" s="1"/>
  <c r="G10140" i="21"/>
  <c r="H10140" i="21" s="1"/>
  <c r="G10141" i="21"/>
  <c r="H10141" i="21" s="1"/>
  <c r="G10142" i="21"/>
  <c r="H10142" i="21"/>
  <c r="G10143" i="21"/>
  <c r="H10143" i="21" s="1"/>
  <c r="G10144" i="21"/>
  <c r="H10144" i="21" s="1"/>
  <c r="G10145" i="21"/>
  <c r="H10145" i="21" s="1"/>
  <c r="G10146" i="21"/>
  <c r="H10146" i="21" s="1"/>
  <c r="G10147" i="21"/>
  <c r="H10147" i="21" s="1"/>
  <c r="G10148" i="21"/>
  <c r="H10148" i="21" s="1"/>
  <c r="G10149" i="21"/>
  <c r="H10149" i="21" s="1"/>
  <c r="G10150" i="21"/>
  <c r="H10150" i="21" s="1"/>
  <c r="G10151" i="21"/>
  <c r="H10151" i="21" s="1"/>
  <c r="G10152" i="21"/>
  <c r="H10152" i="21" s="1"/>
  <c r="G10153" i="21"/>
  <c r="H10153" i="21" s="1"/>
  <c r="G10154" i="21"/>
  <c r="H10154" i="21" s="1"/>
  <c r="G10155" i="21"/>
  <c r="H10155" i="21" s="1"/>
  <c r="G10156" i="21"/>
  <c r="H10156" i="21" s="1"/>
  <c r="G10157" i="21"/>
  <c r="H10157" i="21" s="1"/>
  <c r="G10158" i="21"/>
  <c r="H10158" i="21"/>
  <c r="G10159" i="21"/>
  <c r="H10159" i="21"/>
  <c r="G10160" i="21"/>
  <c r="H10160" i="21"/>
  <c r="G10161" i="21"/>
  <c r="H10161" i="21"/>
  <c r="G10162" i="21"/>
  <c r="H10162" i="21"/>
  <c r="G10163" i="21"/>
  <c r="H10163" i="21" s="1"/>
  <c r="G10164" i="21"/>
  <c r="H10164" i="21"/>
  <c r="G10165" i="21"/>
  <c r="H10165" i="21"/>
  <c r="G10166" i="21"/>
  <c r="H10166" i="21"/>
  <c r="G10167" i="21"/>
  <c r="H10167" i="21" s="1"/>
  <c r="G10168" i="21"/>
  <c r="H10168" i="21" s="1"/>
  <c r="G10169" i="21"/>
  <c r="H10169" i="21" s="1"/>
  <c r="G10170" i="21"/>
  <c r="H10170" i="21" s="1"/>
  <c r="G10171" i="21"/>
  <c r="H10171" i="21" s="1"/>
  <c r="G10172" i="21"/>
  <c r="H10172" i="21" s="1"/>
  <c r="G10173" i="21"/>
  <c r="H10173" i="21" s="1"/>
  <c r="G10174" i="21"/>
  <c r="H10174" i="21" s="1"/>
  <c r="G10175" i="21"/>
  <c r="H10175" i="21" s="1"/>
  <c r="G10176" i="21"/>
  <c r="H10176" i="21" s="1"/>
  <c r="G10177" i="21"/>
  <c r="H10177" i="21" s="1"/>
  <c r="G10178" i="21"/>
  <c r="H10178" i="21" s="1"/>
  <c r="G10179" i="21"/>
  <c r="H10179" i="21" s="1"/>
  <c r="G10180" i="21"/>
  <c r="H10180" i="21" s="1"/>
  <c r="G10181" i="21"/>
  <c r="H10181" i="21" s="1"/>
  <c r="G10182" i="21"/>
  <c r="H10182" i="21"/>
  <c r="G10183" i="21"/>
  <c r="H10183" i="21" s="1"/>
  <c r="G10184" i="21"/>
  <c r="H10184" i="21" s="1"/>
  <c r="G10185" i="21"/>
  <c r="H10185" i="21" s="1"/>
  <c r="G10186" i="21"/>
  <c r="H10186" i="21" s="1"/>
  <c r="G10187" i="21"/>
  <c r="H10187" i="21" s="1"/>
  <c r="G10188" i="21"/>
  <c r="H10188" i="21" s="1"/>
  <c r="G10189" i="21"/>
  <c r="H10189" i="21" s="1"/>
  <c r="G10190" i="21"/>
  <c r="H10190" i="21" s="1"/>
  <c r="G10191" i="21"/>
  <c r="H10191" i="21" s="1"/>
  <c r="G10192" i="21"/>
  <c r="H10192" i="21" s="1"/>
  <c r="G10193" i="21"/>
  <c r="H10193" i="21" s="1"/>
  <c r="G10194" i="21"/>
  <c r="H10194" i="21" s="1"/>
  <c r="G10195" i="21"/>
  <c r="H10195" i="21" s="1"/>
  <c r="G10196" i="21"/>
  <c r="H10196" i="21" s="1"/>
  <c r="G10197" i="21"/>
  <c r="H10197" i="21" s="1"/>
  <c r="G10198" i="21"/>
  <c r="H10198" i="21" s="1"/>
  <c r="G10199" i="21"/>
  <c r="H10199" i="21" s="1"/>
  <c r="G10200" i="21"/>
  <c r="H10200" i="21" s="1"/>
  <c r="G10201" i="21"/>
  <c r="H10201" i="21" s="1"/>
  <c r="G10202" i="21"/>
  <c r="H10202" i="21" s="1"/>
  <c r="G10203" i="21"/>
  <c r="H10203" i="21" s="1"/>
  <c r="G10204" i="21"/>
  <c r="H10204" i="21" s="1"/>
  <c r="G10205" i="21"/>
  <c r="H10205" i="21" s="1"/>
  <c r="G10206" i="21"/>
  <c r="H10206" i="21" s="1"/>
  <c r="G10207" i="21"/>
  <c r="H10207" i="21" s="1"/>
  <c r="G10208" i="21"/>
  <c r="H10208" i="21" s="1"/>
  <c r="G10209" i="21"/>
  <c r="H10209" i="21" s="1"/>
  <c r="G10210" i="21"/>
  <c r="H10210" i="21" s="1"/>
  <c r="G10211" i="21"/>
  <c r="H10211" i="21"/>
  <c r="G10212" i="21"/>
  <c r="H10212" i="21" s="1"/>
  <c r="G10213" i="21"/>
  <c r="H10213" i="21" s="1"/>
  <c r="G10214" i="21"/>
  <c r="H10214" i="21" s="1"/>
  <c r="G10215" i="21"/>
  <c r="H10215" i="21"/>
  <c r="G10216" i="21"/>
  <c r="H10216" i="21" s="1"/>
  <c r="G10217" i="21"/>
  <c r="H10217" i="21"/>
  <c r="G10218" i="21"/>
  <c r="H10218" i="21" s="1"/>
  <c r="G10219" i="21"/>
  <c r="H10219" i="21" s="1"/>
  <c r="G10220" i="21"/>
  <c r="H10220" i="21" s="1"/>
  <c r="G10221" i="21"/>
  <c r="H10221" i="21" s="1"/>
  <c r="G10222" i="21"/>
  <c r="H10222" i="21" s="1"/>
  <c r="G10223" i="21"/>
  <c r="H10223" i="21" s="1"/>
  <c r="G10224" i="21"/>
  <c r="H10224" i="21" s="1"/>
  <c r="G10225" i="21"/>
  <c r="H10225" i="21" s="1"/>
  <c r="G10226" i="21"/>
  <c r="H10226" i="21" s="1"/>
  <c r="G10227" i="21"/>
  <c r="H10227" i="21" s="1"/>
  <c r="G10228" i="21"/>
  <c r="H10228" i="21" s="1"/>
  <c r="G10229" i="21"/>
  <c r="H10229" i="21" s="1"/>
  <c r="G10230" i="21"/>
  <c r="H10230" i="21" s="1"/>
  <c r="G10231" i="21"/>
  <c r="H10231" i="21" s="1"/>
  <c r="G10232" i="21"/>
  <c r="H10232" i="21" s="1"/>
  <c r="G10233" i="21"/>
  <c r="H10233" i="21" s="1"/>
  <c r="G10234" i="21"/>
  <c r="H10234" i="21" s="1"/>
  <c r="G10235" i="21"/>
  <c r="H10235" i="21" s="1"/>
  <c r="G10236" i="21"/>
  <c r="H10236" i="21" s="1"/>
  <c r="G10237" i="21"/>
  <c r="H10237" i="21" s="1"/>
  <c r="G10238" i="21"/>
  <c r="H10238" i="21" s="1"/>
  <c r="G10239" i="21"/>
  <c r="H10239" i="21" s="1"/>
  <c r="G10240" i="21"/>
  <c r="H10240" i="21" s="1"/>
  <c r="G10241" i="21"/>
  <c r="H10241" i="21" s="1"/>
  <c r="G10242" i="21"/>
  <c r="H10242" i="21"/>
  <c r="G10243" i="21"/>
  <c r="H10243" i="21" s="1"/>
  <c r="G10244" i="21"/>
  <c r="H10244" i="21" s="1"/>
  <c r="G10245" i="21"/>
  <c r="H10245" i="21" s="1"/>
  <c r="G10246" i="21"/>
  <c r="H10246" i="21" s="1"/>
  <c r="G10247" i="21"/>
  <c r="H10247" i="21" s="1"/>
  <c r="G10248" i="21"/>
  <c r="H10248" i="21" s="1"/>
  <c r="G10249" i="21"/>
  <c r="H10249" i="21" s="1"/>
  <c r="G10250" i="21"/>
  <c r="H10250" i="21" s="1"/>
  <c r="G10251" i="21"/>
  <c r="H10251" i="21" s="1"/>
  <c r="G10252" i="21"/>
  <c r="H10252" i="21"/>
  <c r="G10253" i="21"/>
  <c r="H10253" i="21" s="1"/>
  <c r="G10254" i="21"/>
  <c r="H10254" i="21" s="1"/>
  <c r="G10255" i="21"/>
  <c r="H10255" i="21" s="1"/>
  <c r="G10256" i="21"/>
  <c r="H10256" i="21" s="1"/>
  <c r="G10257" i="21"/>
  <c r="H10257" i="21" s="1"/>
  <c r="G10258" i="21"/>
  <c r="H10258" i="21"/>
  <c r="G10259" i="21"/>
  <c r="H10259" i="21"/>
  <c r="G10260" i="21"/>
  <c r="H10260" i="21" s="1"/>
  <c r="G10261" i="21"/>
  <c r="H10261" i="21" s="1"/>
  <c r="G10262" i="21"/>
  <c r="H10262" i="21" s="1"/>
  <c r="G10263" i="21"/>
  <c r="H10263" i="21" s="1"/>
  <c r="G10264" i="21"/>
  <c r="H10264" i="21" s="1"/>
  <c r="G10265" i="21"/>
  <c r="H10265" i="21" s="1"/>
  <c r="G10266" i="21"/>
  <c r="H10266" i="21" s="1"/>
  <c r="G10267" i="21"/>
  <c r="H10267" i="21" s="1"/>
  <c r="G10268" i="21"/>
  <c r="H10268" i="21" s="1"/>
  <c r="G10269" i="21"/>
  <c r="H10269" i="21" s="1"/>
  <c r="G10270" i="21"/>
  <c r="H10270" i="21" s="1"/>
  <c r="G10271" i="21"/>
  <c r="H10271" i="21" s="1"/>
  <c r="G10272" i="21"/>
  <c r="H10272" i="21" s="1"/>
  <c r="G10273" i="21"/>
  <c r="H10273" i="21" s="1"/>
  <c r="G10274" i="21"/>
  <c r="H10274" i="21" s="1"/>
  <c r="G10275" i="21"/>
  <c r="H10275" i="21" s="1"/>
  <c r="G10276" i="21"/>
  <c r="H10276" i="21" s="1"/>
  <c r="G10277" i="21"/>
  <c r="H10277" i="21" s="1"/>
  <c r="G10278" i="21"/>
  <c r="H10278" i="21" s="1"/>
  <c r="G10279" i="21"/>
  <c r="H10279" i="21" s="1"/>
  <c r="G10280" i="21"/>
  <c r="H10280" i="21" s="1"/>
  <c r="G10281" i="21"/>
  <c r="H10281" i="21" s="1"/>
  <c r="G10282" i="21"/>
  <c r="H10282" i="21" s="1"/>
  <c r="G10283" i="21"/>
  <c r="H10283" i="21" s="1"/>
  <c r="G10284" i="21"/>
  <c r="H10284" i="21" s="1"/>
  <c r="G10285" i="21"/>
  <c r="H10285" i="21" s="1"/>
  <c r="G10286" i="21"/>
  <c r="H10286" i="21" s="1"/>
  <c r="G10287" i="21"/>
  <c r="H10287" i="21" s="1"/>
  <c r="G10288" i="21"/>
  <c r="H10288" i="21" s="1"/>
  <c r="G10289" i="21"/>
  <c r="H10289" i="21" s="1"/>
  <c r="G10290" i="21"/>
  <c r="H10290" i="21" s="1"/>
  <c r="G10291" i="21"/>
  <c r="H10291" i="21" s="1"/>
  <c r="G10292" i="21"/>
  <c r="H10292" i="21" s="1"/>
  <c r="G10293" i="21"/>
  <c r="H10293" i="21" s="1"/>
  <c r="G10294" i="21"/>
  <c r="H10294" i="21" s="1"/>
  <c r="G10295" i="21"/>
  <c r="H10295" i="21" s="1"/>
  <c r="G10296" i="21"/>
  <c r="H10296" i="21" s="1"/>
  <c r="G10297" i="21"/>
  <c r="H10297" i="21" s="1"/>
  <c r="G10298" i="21"/>
  <c r="H10298" i="21" s="1"/>
  <c r="G10299" i="21"/>
  <c r="H10299" i="21" s="1"/>
  <c r="G10300" i="21"/>
  <c r="H10300" i="21" s="1"/>
  <c r="G10301" i="21"/>
  <c r="H10301" i="21" s="1"/>
  <c r="G10302" i="21"/>
  <c r="H10302" i="21" s="1"/>
  <c r="G10303" i="21"/>
  <c r="H10303" i="21" s="1"/>
  <c r="G10304" i="21"/>
  <c r="H10304" i="21" s="1"/>
  <c r="G10305" i="21"/>
  <c r="H10305" i="21" s="1"/>
  <c r="G10306" i="21"/>
  <c r="H10306" i="21" s="1"/>
  <c r="G10307" i="21"/>
  <c r="H10307" i="21" s="1"/>
  <c r="G10308" i="21"/>
  <c r="H10308" i="21" s="1"/>
  <c r="G10309" i="21"/>
  <c r="H10309" i="21" s="1"/>
  <c r="G10310" i="21"/>
  <c r="H10310" i="21" s="1"/>
  <c r="G10311" i="21"/>
  <c r="H10311" i="21" s="1"/>
  <c r="G10312" i="21"/>
  <c r="H10312" i="21" s="1"/>
  <c r="G10313" i="21"/>
  <c r="H10313" i="21" s="1"/>
  <c r="G10314" i="21"/>
  <c r="H10314" i="21" s="1"/>
  <c r="G10315" i="21"/>
  <c r="H10315" i="21" s="1"/>
  <c r="G10316" i="21"/>
  <c r="H10316" i="21" s="1"/>
  <c r="G10317" i="21"/>
  <c r="H10317" i="21" s="1"/>
  <c r="G10318" i="21"/>
  <c r="H10318" i="21" s="1"/>
  <c r="G10319" i="21"/>
  <c r="H10319" i="21" s="1"/>
  <c r="G10320" i="21"/>
  <c r="H10320" i="21" s="1"/>
  <c r="G10321" i="21"/>
  <c r="H10321" i="21" s="1"/>
  <c r="G10322" i="21"/>
  <c r="H10322" i="21" s="1"/>
  <c r="G10323" i="21"/>
  <c r="H10323" i="21" s="1"/>
  <c r="G10324" i="21"/>
  <c r="H10324" i="21" s="1"/>
  <c r="G10325" i="21"/>
  <c r="H10325" i="21" s="1"/>
  <c r="G10326" i="21"/>
  <c r="H10326" i="21" s="1"/>
  <c r="G10327" i="21"/>
  <c r="H10327" i="21" s="1"/>
  <c r="G10328" i="21"/>
  <c r="H10328" i="21" s="1"/>
  <c r="G10329" i="21"/>
  <c r="H10329" i="21" s="1"/>
  <c r="G10330" i="21"/>
  <c r="H10330" i="21" s="1"/>
  <c r="G10331" i="21"/>
  <c r="H10331" i="21" s="1"/>
  <c r="G10332" i="21"/>
  <c r="H10332" i="21"/>
  <c r="G10333" i="21"/>
  <c r="H10333" i="21" s="1"/>
  <c r="G10334" i="21"/>
  <c r="H10334" i="21" s="1"/>
  <c r="G10335" i="21"/>
  <c r="H10335" i="21" s="1"/>
  <c r="G10336" i="21"/>
  <c r="H10336" i="21" s="1"/>
  <c r="G10337" i="21"/>
  <c r="H10337" i="21" s="1"/>
  <c r="G10338" i="21"/>
  <c r="H10338" i="21" s="1"/>
  <c r="G10339" i="21"/>
  <c r="H10339" i="21" s="1"/>
  <c r="G10340" i="21"/>
  <c r="H10340" i="21" s="1"/>
  <c r="G10341" i="21"/>
  <c r="H10341" i="21" s="1"/>
  <c r="G10342" i="21"/>
  <c r="H10342" i="21" s="1"/>
  <c r="G10343" i="21"/>
  <c r="H10343" i="21" s="1"/>
  <c r="G10344" i="21"/>
  <c r="H10344" i="21" s="1"/>
  <c r="G10345" i="21"/>
  <c r="H10345" i="21" s="1"/>
  <c r="G10346" i="21"/>
  <c r="H10346" i="21" s="1"/>
  <c r="G10347" i="21"/>
  <c r="H10347" i="21" s="1"/>
  <c r="G10348" i="21"/>
  <c r="H10348" i="21" s="1"/>
  <c r="G10349" i="21"/>
  <c r="H10349" i="21" s="1"/>
  <c r="G10350" i="21"/>
  <c r="H10350" i="21" s="1"/>
  <c r="G10351" i="21"/>
  <c r="H10351" i="21" s="1"/>
  <c r="G10352" i="21"/>
  <c r="H10352" i="21"/>
  <c r="G10353" i="21"/>
  <c r="H10353" i="21" s="1"/>
  <c r="G10354" i="21"/>
  <c r="H10354" i="21" s="1"/>
  <c r="G10355" i="21"/>
  <c r="H10355" i="21" s="1"/>
  <c r="G10356" i="21"/>
  <c r="H10356" i="21"/>
  <c r="G10357" i="21"/>
  <c r="H10357" i="21" s="1"/>
  <c r="G10358" i="21"/>
  <c r="H10358" i="21"/>
  <c r="G10359" i="21"/>
  <c r="H10359" i="21" s="1"/>
  <c r="G10360" i="21"/>
  <c r="H10360" i="21" s="1"/>
  <c r="G10361" i="21"/>
  <c r="H10361" i="21"/>
  <c r="G10362" i="21"/>
  <c r="H10362" i="21"/>
  <c r="G10363" i="21"/>
  <c r="H10363" i="21"/>
  <c r="G10364" i="21"/>
  <c r="H10364" i="21" s="1"/>
  <c r="G10365" i="21"/>
  <c r="H10365" i="21" s="1"/>
  <c r="G10366" i="21"/>
  <c r="H10366" i="21" s="1"/>
  <c r="G10367" i="21"/>
  <c r="H10367" i="21" s="1"/>
  <c r="G10368" i="21"/>
  <c r="H10368" i="21" s="1"/>
  <c r="G10369" i="21"/>
  <c r="H10369" i="21" s="1"/>
  <c r="G10370" i="21"/>
  <c r="H10370" i="21" s="1"/>
  <c r="G10371" i="21"/>
  <c r="H10371" i="21" s="1"/>
  <c r="G10372" i="21"/>
  <c r="H10372" i="21" s="1"/>
  <c r="G10373" i="21"/>
  <c r="H10373" i="21"/>
  <c r="G10374" i="21"/>
  <c r="H10374" i="21" s="1"/>
  <c r="G10375" i="21"/>
  <c r="H10375" i="21" s="1"/>
  <c r="G10376" i="21"/>
  <c r="H10376" i="21" s="1"/>
  <c r="G10377" i="21"/>
  <c r="H10377" i="21" s="1"/>
  <c r="G10378" i="21"/>
  <c r="H10378" i="21" s="1"/>
  <c r="G10379" i="21"/>
  <c r="H10379" i="21" s="1"/>
  <c r="G10380" i="21"/>
  <c r="H10380" i="21" s="1"/>
  <c r="G10381" i="21"/>
  <c r="H10381" i="21" s="1"/>
  <c r="G10382" i="21"/>
  <c r="H10382" i="21" s="1"/>
  <c r="G10383" i="21"/>
  <c r="H10383" i="21" s="1"/>
  <c r="G10384" i="21"/>
  <c r="H10384" i="21" s="1"/>
  <c r="G10385" i="21"/>
  <c r="H10385" i="21" s="1"/>
  <c r="G10386" i="21"/>
  <c r="H10386" i="21" s="1"/>
  <c r="G495" i="3" l="1"/>
  <c r="F495" i="3" s="1"/>
  <c r="J495" i="3" s="1"/>
  <c r="H78" i="2"/>
  <c r="G78" i="2" s="1"/>
  <c r="L78" i="2" s="1"/>
  <c r="M79" i="26" s="1"/>
  <c r="G400" i="3"/>
  <c r="F400" i="3" s="1"/>
  <c r="G399" i="3"/>
  <c r="F399" i="3" s="1"/>
  <c r="F401" i="3"/>
  <c r="J401" i="3" s="1"/>
  <c r="K401" i="3"/>
  <c r="H127" i="2"/>
  <c r="G127" i="2" s="1"/>
  <c r="H186" i="2"/>
  <c r="G186" i="2" s="1"/>
  <c r="H128" i="2"/>
  <c r="G128" i="2" s="1"/>
  <c r="H187" i="2"/>
  <c r="G187" i="2" s="1"/>
  <c r="K495" i="3" l="1"/>
  <c r="I78" i="2"/>
  <c r="K78" i="2" s="1"/>
  <c r="I187" i="2"/>
  <c r="K187" i="2" s="1"/>
  <c r="I128" i="2"/>
  <c r="K128" i="2" s="1"/>
  <c r="L128" i="2"/>
  <c r="M129" i="26" s="1"/>
  <c r="L186" i="2"/>
  <c r="M187" i="26" s="1"/>
  <c r="I186" i="2"/>
  <c r="K186" i="2" s="1"/>
  <c r="I127" i="2"/>
  <c r="K127" i="2" s="1"/>
  <c r="L127" i="2"/>
  <c r="M128" i="26" s="1"/>
  <c r="I12" i="26"/>
  <c r="A12" i="26"/>
  <c r="C5" i="26"/>
  <c r="H2" i="26"/>
  <c r="F2" i="26"/>
  <c r="C2" i="26"/>
  <c r="L12" i="25"/>
  <c r="H12" i="25"/>
  <c r="E12" i="26" s="1"/>
  <c r="E12" i="25"/>
  <c r="D12" i="25"/>
  <c r="C12" i="25"/>
  <c r="C12" i="26" s="1"/>
  <c r="C5" i="25"/>
  <c r="K4" i="25"/>
  <c r="K2" i="25"/>
  <c r="I2" i="25"/>
  <c r="C2" i="25"/>
  <c r="C13" i="24"/>
  <c r="H4886" i="22"/>
  <c r="H4885" i="22"/>
  <c r="H4884" i="22"/>
  <c r="H4883" i="22"/>
  <c r="H4882" i="22"/>
  <c r="G289" i="3" s="1"/>
  <c r="H4881" i="22"/>
  <c r="H4880" i="22"/>
  <c r="H4879" i="22"/>
  <c r="H4878" i="22"/>
  <c r="H4877" i="22"/>
  <c r="H4876" i="22"/>
  <c r="H4875" i="22"/>
  <c r="H4874" i="22"/>
  <c r="H4873" i="22"/>
  <c r="H4872" i="22"/>
  <c r="H4871" i="22"/>
  <c r="H4870" i="22"/>
  <c r="H4869" i="22"/>
  <c r="H4868" i="22"/>
  <c r="H4867" i="22"/>
  <c r="H4866" i="22"/>
  <c r="H4865" i="22"/>
  <c r="H4864" i="22"/>
  <c r="H4863" i="22"/>
  <c r="H4862" i="22"/>
  <c r="H4861" i="22"/>
  <c r="H4860" i="22"/>
  <c r="H4859" i="22"/>
  <c r="H4858" i="22"/>
  <c r="H4857" i="22"/>
  <c r="H4856" i="22"/>
  <c r="H4855" i="22"/>
  <c r="H4854" i="22"/>
  <c r="H4853" i="22"/>
  <c r="H4852" i="22"/>
  <c r="H4851" i="22"/>
  <c r="H4850" i="22"/>
  <c r="H4849" i="22"/>
  <c r="H4848" i="22"/>
  <c r="H4847" i="22"/>
  <c r="H4846" i="22"/>
  <c r="H4845" i="22"/>
  <c r="H4844" i="22"/>
  <c r="H4843" i="22"/>
  <c r="H4842" i="22"/>
  <c r="H4841" i="22"/>
  <c r="H4840" i="22"/>
  <c r="H4839" i="22"/>
  <c r="H4838" i="22"/>
  <c r="H4837" i="22"/>
  <c r="H4836" i="22"/>
  <c r="H4835" i="22"/>
  <c r="H4834" i="22"/>
  <c r="H4833" i="22"/>
  <c r="H4832" i="22"/>
  <c r="H4831" i="22"/>
  <c r="H4830" i="22"/>
  <c r="H4829" i="22"/>
  <c r="H4828" i="22"/>
  <c r="H4827" i="22"/>
  <c r="H4826" i="22"/>
  <c r="H4825" i="22"/>
  <c r="H4824" i="22"/>
  <c r="H4823" i="22"/>
  <c r="H4822" i="22"/>
  <c r="H4821" i="22"/>
  <c r="H4820" i="22"/>
  <c r="H4819" i="22"/>
  <c r="H4818" i="22"/>
  <c r="H4817" i="22"/>
  <c r="H4816" i="22"/>
  <c r="H4815" i="22"/>
  <c r="H4814" i="22"/>
  <c r="H4813" i="22"/>
  <c r="H4812" i="22"/>
  <c r="H4811" i="22"/>
  <c r="H4810" i="22"/>
  <c r="H4809" i="22"/>
  <c r="H4808" i="22"/>
  <c r="H4807" i="22"/>
  <c r="H4806" i="22"/>
  <c r="H4805" i="22"/>
  <c r="H4804" i="22"/>
  <c r="H4803" i="22"/>
  <c r="H4802" i="22"/>
  <c r="H4801" i="22"/>
  <c r="H4800" i="22"/>
  <c r="H4799" i="22"/>
  <c r="H4798" i="22"/>
  <c r="H4797" i="22"/>
  <c r="H4796" i="22"/>
  <c r="H4795" i="22"/>
  <c r="H4794" i="22"/>
  <c r="H4793" i="22"/>
  <c r="H4792" i="22"/>
  <c r="H4791" i="22"/>
  <c r="H4790" i="22"/>
  <c r="H4789" i="22"/>
  <c r="H4788" i="22"/>
  <c r="H4787" i="22"/>
  <c r="H4786" i="22"/>
  <c r="H4785" i="22"/>
  <c r="H4784" i="22"/>
  <c r="H4783" i="22"/>
  <c r="H4782" i="22"/>
  <c r="H4781" i="22"/>
  <c r="H4780" i="22"/>
  <c r="H4779" i="22"/>
  <c r="H4778" i="22"/>
  <c r="H4777" i="22"/>
  <c r="H4776" i="22"/>
  <c r="H4775" i="22"/>
  <c r="H4774" i="22"/>
  <c r="H4773" i="22"/>
  <c r="H4772" i="22"/>
  <c r="H4771" i="22"/>
  <c r="H4770" i="22"/>
  <c r="H4769" i="22"/>
  <c r="H4768" i="22"/>
  <c r="H4767" i="22"/>
  <c r="H4766" i="22"/>
  <c r="H4765" i="22"/>
  <c r="H4764" i="22"/>
  <c r="H4763" i="22"/>
  <c r="H4762" i="22"/>
  <c r="H4761" i="22"/>
  <c r="H4760" i="22"/>
  <c r="H4759" i="22"/>
  <c r="H4758" i="22"/>
  <c r="H4757" i="22"/>
  <c r="H4756" i="22"/>
  <c r="H4755" i="22"/>
  <c r="H4754" i="22"/>
  <c r="H4753" i="22"/>
  <c r="H4752" i="22"/>
  <c r="H4751" i="22"/>
  <c r="H4750" i="22"/>
  <c r="H4749" i="22"/>
  <c r="H4748" i="22"/>
  <c r="H4747" i="22"/>
  <c r="H4746" i="22"/>
  <c r="H4745" i="22"/>
  <c r="H4744" i="22"/>
  <c r="H4743" i="22"/>
  <c r="H4742" i="22"/>
  <c r="H4741" i="22"/>
  <c r="H4740" i="22"/>
  <c r="H4739" i="22"/>
  <c r="H4738" i="22"/>
  <c r="H4737" i="22"/>
  <c r="H4736" i="22"/>
  <c r="H4735" i="22"/>
  <c r="H4734" i="22"/>
  <c r="H4733" i="22"/>
  <c r="H4732" i="22"/>
  <c r="H4731" i="22"/>
  <c r="H4730" i="22"/>
  <c r="H4729" i="22"/>
  <c r="H4728" i="22"/>
  <c r="H4727" i="22"/>
  <c r="H4726" i="22"/>
  <c r="H4725" i="22"/>
  <c r="H4724" i="22"/>
  <c r="H4723" i="22"/>
  <c r="H4722" i="22"/>
  <c r="H4721" i="22"/>
  <c r="H4720" i="22"/>
  <c r="H4719" i="22"/>
  <c r="H4718" i="22"/>
  <c r="H4717" i="22"/>
  <c r="H4716" i="22"/>
  <c r="H4715" i="22"/>
  <c r="H4714" i="22"/>
  <c r="H4713" i="22"/>
  <c r="H4712" i="22"/>
  <c r="H4711" i="22"/>
  <c r="H4710" i="22"/>
  <c r="H4709" i="22"/>
  <c r="H4708" i="22"/>
  <c r="H4707" i="22"/>
  <c r="H4706" i="22"/>
  <c r="H4705" i="22"/>
  <c r="H4704" i="22"/>
  <c r="H4703" i="22"/>
  <c r="H4702" i="22"/>
  <c r="H4701" i="22"/>
  <c r="H4700" i="22"/>
  <c r="H4699" i="22"/>
  <c r="H4698" i="22"/>
  <c r="H4697" i="22"/>
  <c r="H4696" i="22"/>
  <c r="H4695" i="22"/>
  <c r="H4694" i="22"/>
  <c r="H4693" i="22"/>
  <c r="H4692" i="22"/>
  <c r="H4691" i="22"/>
  <c r="H4690" i="22"/>
  <c r="H4689" i="22"/>
  <c r="H4688" i="22"/>
  <c r="H4687" i="22"/>
  <c r="H4686" i="22"/>
  <c r="H4685" i="22"/>
  <c r="H4684" i="22"/>
  <c r="H4683" i="22"/>
  <c r="H4682" i="22"/>
  <c r="H4681" i="22"/>
  <c r="H4680" i="22"/>
  <c r="H4679" i="22"/>
  <c r="H4678" i="22"/>
  <c r="H4677" i="22"/>
  <c r="H4676" i="22"/>
  <c r="H4675" i="22"/>
  <c r="H4674" i="22"/>
  <c r="H4673" i="22"/>
  <c r="H4672" i="22"/>
  <c r="H4671" i="22"/>
  <c r="H4670" i="22"/>
  <c r="H4669" i="22"/>
  <c r="H4668" i="22"/>
  <c r="H4667" i="22"/>
  <c r="H4666" i="22"/>
  <c r="H4665" i="22"/>
  <c r="H4664" i="22"/>
  <c r="H4663" i="22"/>
  <c r="H4662" i="22"/>
  <c r="H4661" i="22"/>
  <c r="H4660" i="22"/>
  <c r="H4659" i="22"/>
  <c r="H4658" i="22"/>
  <c r="H4657" i="22"/>
  <c r="H4656" i="22"/>
  <c r="H4655" i="22"/>
  <c r="H4654" i="22"/>
  <c r="H4653" i="22"/>
  <c r="H4652" i="22"/>
  <c r="H4651" i="22"/>
  <c r="H4650" i="22"/>
  <c r="H4649" i="22"/>
  <c r="H4648" i="22"/>
  <c r="H4647" i="22"/>
  <c r="H4646" i="22"/>
  <c r="H4645" i="22"/>
  <c r="H4644" i="22"/>
  <c r="H4643" i="22"/>
  <c r="H4642" i="22"/>
  <c r="H4641" i="22"/>
  <c r="H4640" i="22"/>
  <c r="H4639" i="22"/>
  <c r="H4638" i="22"/>
  <c r="H4637" i="22"/>
  <c r="H4636" i="22"/>
  <c r="H4635" i="22"/>
  <c r="H4634" i="22"/>
  <c r="H4633" i="22"/>
  <c r="H4632" i="22"/>
  <c r="H4631" i="22"/>
  <c r="H4630" i="22"/>
  <c r="H4629" i="22"/>
  <c r="H4628" i="22"/>
  <c r="H4627" i="22"/>
  <c r="H4626" i="22"/>
  <c r="H4625" i="22"/>
  <c r="H4624" i="22"/>
  <c r="H4623" i="22"/>
  <c r="H4622" i="22"/>
  <c r="H4621" i="22"/>
  <c r="H4620" i="22"/>
  <c r="H4619" i="22"/>
  <c r="H4618" i="22"/>
  <c r="H4617" i="22"/>
  <c r="H4616" i="22"/>
  <c r="H4615" i="22"/>
  <c r="H4614" i="22"/>
  <c r="H4613" i="22"/>
  <c r="H4612" i="22"/>
  <c r="H4611" i="22"/>
  <c r="H4610" i="22"/>
  <c r="H4609" i="22"/>
  <c r="H4608" i="22"/>
  <c r="H4607" i="22"/>
  <c r="H4606" i="22"/>
  <c r="H4605" i="22"/>
  <c r="H4604" i="22"/>
  <c r="H4603" i="22"/>
  <c r="H4602" i="22"/>
  <c r="H4601" i="22"/>
  <c r="H4600" i="22"/>
  <c r="H4599" i="22"/>
  <c r="H4598" i="22"/>
  <c r="H4597" i="22"/>
  <c r="H4596" i="22"/>
  <c r="H4595" i="22"/>
  <c r="H4594" i="22"/>
  <c r="H4593" i="22"/>
  <c r="H4592" i="22"/>
  <c r="H4591" i="22"/>
  <c r="H4590" i="22"/>
  <c r="H4589" i="22"/>
  <c r="H4588" i="22"/>
  <c r="H4587" i="22"/>
  <c r="H4586" i="22"/>
  <c r="H4585" i="22"/>
  <c r="H4584" i="22"/>
  <c r="H4583" i="22"/>
  <c r="H4582" i="22"/>
  <c r="H4581" i="22"/>
  <c r="H4580" i="22"/>
  <c r="H4579" i="22"/>
  <c r="H4578" i="22"/>
  <c r="H4577" i="22"/>
  <c r="H4576" i="22"/>
  <c r="H4575" i="22"/>
  <c r="H4574" i="22"/>
  <c r="H4573" i="22"/>
  <c r="H4572" i="22"/>
  <c r="H4571" i="22"/>
  <c r="H4570" i="22"/>
  <c r="H4569" i="22"/>
  <c r="H4568" i="22"/>
  <c r="H4567" i="22"/>
  <c r="H4566" i="22"/>
  <c r="H4565" i="22"/>
  <c r="H4564" i="22"/>
  <c r="H4563" i="22"/>
  <c r="H4562" i="22"/>
  <c r="H4561" i="22"/>
  <c r="H4560" i="22"/>
  <c r="H4559" i="22"/>
  <c r="H4558" i="22"/>
  <c r="H4557" i="22"/>
  <c r="H4556" i="22"/>
  <c r="H4555" i="22"/>
  <c r="H4554" i="22"/>
  <c r="H4553" i="22"/>
  <c r="H4552" i="22"/>
  <c r="H4551" i="22"/>
  <c r="H4550" i="22"/>
  <c r="H4549" i="22"/>
  <c r="H4548" i="22"/>
  <c r="H4547" i="22"/>
  <c r="H4546" i="22"/>
  <c r="H4545" i="22"/>
  <c r="H4544" i="22"/>
  <c r="H4543" i="22"/>
  <c r="G465" i="3" s="1"/>
  <c r="K465" i="3" s="1"/>
  <c r="K463" i="3" s="1"/>
  <c r="H150" i="2" s="1"/>
  <c r="H4542" i="22"/>
  <c r="G459" i="3" s="1"/>
  <c r="H4541" i="22"/>
  <c r="J451" i="3" s="1"/>
  <c r="G148" i="2" s="1"/>
  <c r="H4540" i="22"/>
  <c r="H4539" i="22"/>
  <c r="H4538" i="22"/>
  <c r="H4537" i="22"/>
  <c r="H4536" i="22"/>
  <c r="H4535" i="22"/>
  <c r="H4534" i="22"/>
  <c r="H4533" i="22"/>
  <c r="H4532" i="22"/>
  <c r="H4531" i="22"/>
  <c r="H4530" i="22"/>
  <c r="H4529" i="22"/>
  <c r="H4528" i="22"/>
  <c r="H4527" i="22"/>
  <c r="H4526" i="22"/>
  <c r="H4525" i="22"/>
  <c r="H4524" i="22"/>
  <c r="H4523" i="22"/>
  <c r="H4522" i="22"/>
  <c r="H4521" i="22"/>
  <c r="H4520" i="22"/>
  <c r="H4519" i="22"/>
  <c r="H4518" i="22"/>
  <c r="H4517" i="22"/>
  <c r="H4516" i="22"/>
  <c r="H4515" i="22"/>
  <c r="H4514" i="22"/>
  <c r="H4513" i="22"/>
  <c r="H4512" i="22"/>
  <c r="H4511" i="22"/>
  <c r="H4510" i="22"/>
  <c r="H4509" i="22"/>
  <c r="H4508" i="22"/>
  <c r="H4507" i="22"/>
  <c r="H4506" i="22"/>
  <c r="H4505" i="22"/>
  <c r="H4504" i="22"/>
  <c r="H4503" i="22"/>
  <c r="H4502" i="22"/>
  <c r="H4501" i="22"/>
  <c r="H4500" i="22"/>
  <c r="H4499" i="22"/>
  <c r="H4498" i="22"/>
  <c r="H4497" i="22"/>
  <c r="H4496" i="22"/>
  <c r="H4495" i="22"/>
  <c r="H4494" i="22"/>
  <c r="H4493" i="22"/>
  <c r="H4492" i="22"/>
  <c r="H4491" i="22"/>
  <c r="H4490" i="22"/>
  <c r="H4489" i="22"/>
  <c r="H4488" i="22"/>
  <c r="H4487" i="22"/>
  <c r="H4486" i="22"/>
  <c r="H4485" i="22"/>
  <c r="H4484" i="22"/>
  <c r="H4483" i="22"/>
  <c r="H4482" i="22"/>
  <c r="H4481" i="22"/>
  <c r="H4480" i="22"/>
  <c r="H4479" i="22"/>
  <c r="H4478" i="22"/>
  <c r="H4477" i="22"/>
  <c r="H4476" i="22"/>
  <c r="H4475" i="22"/>
  <c r="H4474" i="22"/>
  <c r="H4473" i="22"/>
  <c r="H4472" i="22"/>
  <c r="H4471" i="22"/>
  <c r="H4470" i="22"/>
  <c r="H4469" i="22"/>
  <c r="H4468" i="22"/>
  <c r="H4467" i="22"/>
  <c r="H4466" i="22"/>
  <c r="H4465" i="22"/>
  <c r="H4464" i="22"/>
  <c r="H4463" i="22"/>
  <c r="H4462" i="22"/>
  <c r="H4461" i="22"/>
  <c r="H4460" i="22"/>
  <c r="H4459" i="22"/>
  <c r="H4458" i="22"/>
  <c r="H4457" i="22"/>
  <c r="H4456" i="22"/>
  <c r="H4455" i="22"/>
  <c r="H4454" i="22"/>
  <c r="H4453" i="22"/>
  <c r="H4452" i="22"/>
  <c r="H4451" i="22"/>
  <c r="H4450" i="22"/>
  <c r="H4449" i="22"/>
  <c r="H4448" i="22"/>
  <c r="H4447" i="22"/>
  <c r="H4446" i="22"/>
  <c r="H4445" i="22"/>
  <c r="H4444" i="22"/>
  <c r="H4443" i="22"/>
  <c r="H4442" i="22"/>
  <c r="H4441" i="22"/>
  <c r="H4440" i="22"/>
  <c r="H4439" i="22"/>
  <c r="H4438" i="22"/>
  <c r="H4437" i="22"/>
  <c r="H4436" i="22"/>
  <c r="H4435" i="22"/>
  <c r="H4434" i="22"/>
  <c r="H4433" i="22"/>
  <c r="H4432" i="22"/>
  <c r="H4431" i="22"/>
  <c r="H4430" i="22"/>
  <c r="H4429" i="22"/>
  <c r="H4428" i="22"/>
  <c r="H4427" i="22"/>
  <c r="H4426" i="22"/>
  <c r="H4425" i="22"/>
  <c r="H4424" i="22"/>
  <c r="H4423" i="22"/>
  <c r="H4422" i="22"/>
  <c r="H4421" i="22"/>
  <c r="H4420" i="22"/>
  <c r="H4419" i="22"/>
  <c r="H4418" i="22"/>
  <c r="H4417" i="22"/>
  <c r="H4416" i="22"/>
  <c r="H4415" i="22"/>
  <c r="H4414" i="22"/>
  <c r="H4413" i="22"/>
  <c r="H4412" i="22"/>
  <c r="H4411" i="22"/>
  <c r="H4410" i="22"/>
  <c r="H4409" i="22"/>
  <c r="H4408" i="22"/>
  <c r="H4407" i="22"/>
  <c r="H4406" i="22"/>
  <c r="H4405" i="22"/>
  <c r="H4404" i="22"/>
  <c r="H4403" i="22"/>
  <c r="H4402" i="22"/>
  <c r="H4401" i="22"/>
  <c r="H4400" i="22"/>
  <c r="H4399" i="22"/>
  <c r="H4398" i="22"/>
  <c r="H4397" i="22"/>
  <c r="H4396" i="22"/>
  <c r="H4395" i="22"/>
  <c r="H4394" i="22"/>
  <c r="H4393" i="22"/>
  <c r="H4392" i="22"/>
  <c r="G33" i="3" s="1"/>
  <c r="K33" i="3" s="1"/>
  <c r="H4391" i="22"/>
  <c r="H4390" i="22"/>
  <c r="H4389" i="22"/>
  <c r="H4388" i="22"/>
  <c r="H4387" i="22"/>
  <c r="H4386" i="22"/>
  <c r="H4385" i="22"/>
  <c r="H4384" i="22"/>
  <c r="H4383" i="22"/>
  <c r="H4382" i="22"/>
  <c r="H4381" i="22"/>
  <c r="H4380" i="22"/>
  <c r="H4379" i="22"/>
  <c r="H4378" i="22"/>
  <c r="H4377" i="22"/>
  <c r="H4376" i="22"/>
  <c r="H4375" i="22"/>
  <c r="H4374" i="22"/>
  <c r="H4373" i="22"/>
  <c r="H4372" i="22"/>
  <c r="H4371" i="22"/>
  <c r="H4370" i="22"/>
  <c r="H4369" i="22"/>
  <c r="H4368" i="22"/>
  <c r="H4367" i="22"/>
  <c r="H4366" i="22"/>
  <c r="H4365" i="22"/>
  <c r="H4364" i="22"/>
  <c r="H4363" i="22"/>
  <c r="H4362" i="22"/>
  <c r="H4361" i="22"/>
  <c r="H4360" i="22"/>
  <c r="H4359" i="22"/>
  <c r="H4358" i="22"/>
  <c r="H4357" i="22"/>
  <c r="H4356" i="22"/>
  <c r="H4355" i="22"/>
  <c r="H4354" i="22"/>
  <c r="H4353" i="22"/>
  <c r="H4352" i="22"/>
  <c r="H4351" i="22"/>
  <c r="H4350" i="22"/>
  <c r="H4349" i="22"/>
  <c r="H4348" i="22"/>
  <c r="H4347" i="22"/>
  <c r="H4346" i="22"/>
  <c r="H4345" i="22"/>
  <c r="H4344" i="22"/>
  <c r="H4343" i="22"/>
  <c r="H4342" i="22"/>
  <c r="H4341" i="22"/>
  <c r="H4340" i="22"/>
  <c r="H4339" i="22"/>
  <c r="H4338" i="22"/>
  <c r="H4337" i="22"/>
  <c r="H4336" i="22"/>
  <c r="H4335" i="22"/>
  <c r="H4334" i="22"/>
  <c r="H4333" i="22"/>
  <c r="H4332" i="22"/>
  <c r="H4331" i="22"/>
  <c r="H4330" i="22"/>
  <c r="H4329" i="22"/>
  <c r="H4328" i="22"/>
  <c r="H4327" i="22"/>
  <c r="H4326" i="22"/>
  <c r="H4325" i="22"/>
  <c r="H4324" i="22"/>
  <c r="H4323" i="22"/>
  <c r="H4322" i="22"/>
  <c r="H4321" i="22"/>
  <c r="H4320" i="22"/>
  <c r="H4319" i="22"/>
  <c r="H4318" i="22"/>
  <c r="H4317" i="22"/>
  <c r="H4316" i="22"/>
  <c r="H4315" i="22"/>
  <c r="H4314" i="22"/>
  <c r="H4313" i="22"/>
  <c r="H4312" i="22"/>
  <c r="H4311" i="22"/>
  <c r="H4310" i="22"/>
  <c r="H4309" i="22"/>
  <c r="H4308" i="22"/>
  <c r="H4307" i="22"/>
  <c r="H4306" i="22"/>
  <c r="H4305" i="22"/>
  <c r="H4304" i="22"/>
  <c r="H4303" i="22"/>
  <c r="H4302" i="22"/>
  <c r="H4301" i="22"/>
  <c r="H4300" i="22"/>
  <c r="H4299" i="22"/>
  <c r="H4298" i="22"/>
  <c r="H4297" i="22"/>
  <c r="H4296" i="22"/>
  <c r="H4295" i="22"/>
  <c r="G509" i="3" s="1"/>
  <c r="F509" i="3" s="1"/>
  <c r="H4294" i="22"/>
  <c r="H4293" i="22"/>
  <c r="H4292" i="22"/>
  <c r="H4291" i="22"/>
  <c r="H4290" i="22"/>
  <c r="H4289" i="22"/>
  <c r="H4288" i="22"/>
  <c r="H4287" i="22"/>
  <c r="H4286" i="22"/>
  <c r="H4285" i="22"/>
  <c r="H4284" i="22"/>
  <c r="H4283" i="22"/>
  <c r="H4282" i="22"/>
  <c r="H4281" i="22"/>
  <c r="H4280" i="22"/>
  <c r="H4279" i="22"/>
  <c r="H4278" i="22"/>
  <c r="H4277" i="22"/>
  <c r="H4276" i="22"/>
  <c r="H4275" i="22"/>
  <c r="H4274" i="22"/>
  <c r="H4273" i="22"/>
  <c r="H4272" i="22"/>
  <c r="H4271" i="22"/>
  <c r="H4270" i="22"/>
  <c r="H4269" i="22"/>
  <c r="H4268" i="22"/>
  <c r="H4267" i="22"/>
  <c r="H4266" i="22"/>
  <c r="H4265" i="22"/>
  <c r="H4264" i="22"/>
  <c r="H4263" i="22"/>
  <c r="H4262" i="22"/>
  <c r="H4261" i="22"/>
  <c r="H4260" i="22"/>
  <c r="H4259" i="22"/>
  <c r="H4258" i="22"/>
  <c r="H4257" i="22"/>
  <c r="H4256" i="22"/>
  <c r="H4255" i="22"/>
  <c r="H4254" i="22"/>
  <c r="H4253" i="22"/>
  <c r="H4252" i="22"/>
  <c r="H4251" i="22"/>
  <c r="H4250" i="22"/>
  <c r="H4249" i="22"/>
  <c r="H4248" i="22"/>
  <c r="H4247" i="22"/>
  <c r="H4246" i="22"/>
  <c r="H4245" i="22"/>
  <c r="H4244" i="22"/>
  <c r="H4243" i="22"/>
  <c r="H4242" i="22"/>
  <c r="H4241" i="22"/>
  <c r="H4240" i="22"/>
  <c r="H4239" i="22"/>
  <c r="H4238" i="22"/>
  <c r="H4237" i="22"/>
  <c r="H4236" i="22"/>
  <c r="H4235" i="22"/>
  <c r="H4234" i="22"/>
  <c r="H4233" i="22"/>
  <c r="H4232" i="22"/>
  <c r="H4231" i="22"/>
  <c r="H4230" i="22"/>
  <c r="H4229" i="22"/>
  <c r="H4228" i="22"/>
  <c r="H4227" i="22"/>
  <c r="H4226" i="22"/>
  <c r="H4225" i="22"/>
  <c r="H4224" i="22"/>
  <c r="H4223" i="22"/>
  <c r="H4222" i="22"/>
  <c r="H4221" i="22"/>
  <c r="H4220" i="22"/>
  <c r="H4219" i="22"/>
  <c r="H4218" i="22"/>
  <c r="H4217" i="22"/>
  <c r="H4216" i="22"/>
  <c r="H4215" i="22"/>
  <c r="H4214" i="22"/>
  <c r="H4213" i="22"/>
  <c r="H4212" i="22"/>
  <c r="H4211" i="22"/>
  <c r="H4210" i="22"/>
  <c r="H4209" i="22"/>
  <c r="H4208" i="22"/>
  <c r="H4207" i="22"/>
  <c r="H4206" i="22"/>
  <c r="G272" i="3" s="1"/>
  <c r="K272" i="3" s="1"/>
  <c r="H4205" i="22"/>
  <c r="H4204" i="22"/>
  <c r="H4203" i="22"/>
  <c r="H4202" i="22"/>
  <c r="H4201" i="22"/>
  <c r="H4200" i="22"/>
  <c r="H4199" i="22"/>
  <c r="H4198" i="22"/>
  <c r="H4197" i="22"/>
  <c r="H4196" i="22"/>
  <c r="H4195" i="22"/>
  <c r="H4194" i="22"/>
  <c r="H4193" i="22"/>
  <c r="H4192" i="22"/>
  <c r="H4191" i="22"/>
  <c r="H4190" i="22"/>
  <c r="H4189" i="22"/>
  <c r="H4188" i="22"/>
  <c r="H4187" i="22"/>
  <c r="H4186" i="22"/>
  <c r="H4185" i="22"/>
  <c r="H4184" i="22"/>
  <c r="H4183" i="22"/>
  <c r="H4182" i="22"/>
  <c r="H4181" i="22"/>
  <c r="H4180" i="22"/>
  <c r="H4179" i="22"/>
  <c r="H4178" i="22"/>
  <c r="H4177" i="22"/>
  <c r="H4176" i="22"/>
  <c r="H4175" i="22"/>
  <c r="H4174" i="22"/>
  <c r="H4173" i="22"/>
  <c r="H4172" i="22"/>
  <c r="H4171" i="22"/>
  <c r="H4170" i="22"/>
  <c r="H4169" i="22"/>
  <c r="H4168" i="22"/>
  <c r="H4167" i="22"/>
  <c r="H4166" i="22"/>
  <c r="H4165" i="22"/>
  <c r="H4164" i="22"/>
  <c r="H4163" i="22"/>
  <c r="H4162" i="22"/>
  <c r="H4161" i="22"/>
  <c r="H4160" i="22"/>
  <c r="H4159" i="22"/>
  <c r="H4158" i="22"/>
  <c r="H4157" i="22"/>
  <c r="H4156" i="22"/>
  <c r="H4155" i="22"/>
  <c r="H4154" i="22"/>
  <c r="H4153" i="22"/>
  <c r="H4152" i="22"/>
  <c r="H4151" i="22"/>
  <c r="H4150" i="22"/>
  <c r="H4149" i="22"/>
  <c r="H4148" i="22"/>
  <c r="H4147" i="22"/>
  <c r="H4146" i="22"/>
  <c r="H4145" i="22"/>
  <c r="H4144" i="22"/>
  <c r="H4143" i="22"/>
  <c r="H4142" i="22"/>
  <c r="H4141" i="22"/>
  <c r="H4140" i="22"/>
  <c r="H4139" i="22"/>
  <c r="H4138" i="22"/>
  <c r="H4137" i="22"/>
  <c r="H4136" i="22"/>
  <c r="H4135" i="22"/>
  <c r="H4134" i="22"/>
  <c r="H4133" i="22"/>
  <c r="H4132" i="22"/>
  <c r="H4131" i="22"/>
  <c r="H4130" i="22"/>
  <c r="H4129" i="22"/>
  <c r="H4128" i="22"/>
  <c r="H4127" i="22"/>
  <c r="H4126" i="22"/>
  <c r="H4125" i="22"/>
  <c r="H4124" i="22"/>
  <c r="H4123" i="22"/>
  <c r="H4122" i="22"/>
  <c r="H4121" i="22"/>
  <c r="H4120" i="22"/>
  <c r="H4119" i="22"/>
  <c r="H4118" i="22"/>
  <c r="H4117" i="22"/>
  <c r="H4116" i="22"/>
  <c r="H4115" i="22"/>
  <c r="H4114" i="22"/>
  <c r="H4113" i="22"/>
  <c r="H4112" i="22"/>
  <c r="H4111" i="22"/>
  <c r="H4110" i="22"/>
  <c r="H4109" i="22"/>
  <c r="H4108" i="22"/>
  <c r="H4107" i="22"/>
  <c r="H4106" i="22"/>
  <c r="H4105" i="22"/>
  <c r="H4104" i="22"/>
  <c r="H4103" i="22"/>
  <c r="H4102" i="22"/>
  <c r="H4101" i="22"/>
  <c r="H4100" i="22"/>
  <c r="H4099" i="22"/>
  <c r="H4098" i="22"/>
  <c r="H4097" i="22"/>
  <c r="H4096" i="22"/>
  <c r="H4095" i="22"/>
  <c r="H4094" i="22"/>
  <c r="H4093" i="22"/>
  <c r="H4092" i="22"/>
  <c r="H4091" i="22"/>
  <c r="H4090" i="22"/>
  <c r="H4089" i="22"/>
  <c r="H4088" i="22"/>
  <c r="H4087" i="22"/>
  <c r="H4086" i="22"/>
  <c r="H4085" i="22"/>
  <c r="H4084" i="22"/>
  <c r="H4083" i="22"/>
  <c r="H4082" i="22"/>
  <c r="H4081" i="22"/>
  <c r="H4080" i="22"/>
  <c r="H4079" i="22"/>
  <c r="H4078" i="22"/>
  <c r="H4077" i="22"/>
  <c r="H4076" i="22"/>
  <c r="H4075" i="22"/>
  <c r="H4074" i="22"/>
  <c r="H4073" i="22"/>
  <c r="H4072" i="22"/>
  <c r="H4071" i="22"/>
  <c r="H4070" i="22"/>
  <c r="H4069" i="22"/>
  <c r="H4068" i="22"/>
  <c r="H4067" i="22"/>
  <c r="H4066" i="22"/>
  <c r="H4065" i="22"/>
  <c r="H4064" i="22"/>
  <c r="H4063" i="22"/>
  <c r="H4062" i="22"/>
  <c r="H4061" i="22"/>
  <c r="H4060" i="22"/>
  <c r="H4059" i="22"/>
  <c r="H4058" i="22"/>
  <c r="H4057" i="22"/>
  <c r="H4056" i="22"/>
  <c r="H4055" i="22"/>
  <c r="H4054" i="22"/>
  <c r="H4053" i="22"/>
  <c r="H4052" i="22"/>
  <c r="H4051" i="22"/>
  <c r="H4050" i="22"/>
  <c r="H4049" i="22"/>
  <c r="H4048" i="22"/>
  <c r="H4047" i="22"/>
  <c r="H4046" i="22"/>
  <c r="H4045" i="22"/>
  <c r="H4044" i="22"/>
  <c r="H4043" i="22"/>
  <c r="H4042" i="22"/>
  <c r="H4041" i="22"/>
  <c r="H4040" i="22"/>
  <c r="H4039" i="22"/>
  <c r="H4038" i="22"/>
  <c r="H4037" i="22"/>
  <c r="H4036" i="22"/>
  <c r="H4035" i="22"/>
  <c r="H4034" i="22"/>
  <c r="H4033" i="22"/>
  <c r="H4032" i="22"/>
  <c r="H4031" i="22"/>
  <c r="H4030" i="22"/>
  <c r="H4029" i="22"/>
  <c r="H4028" i="22"/>
  <c r="H4027" i="22"/>
  <c r="H4026" i="22"/>
  <c r="H4025" i="22"/>
  <c r="H4024" i="22"/>
  <c r="H4023" i="22"/>
  <c r="H4022" i="22"/>
  <c r="H4021" i="22"/>
  <c r="H4020" i="22"/>
  <c r="H4019" i="22"/>
  <c r="H4018" i="22"/>
  <c r="H4017" i="22"/>
  <c r="H4016" i="22"/>
  <c r="H4015" i="22"/>
  <c r="H4014" i="22"/>
  <c r="H4013" i="22"/>
  <c r="H4012" i="22"/>
  <c r="H4011" i="22"/>
  <c r="H4010" i="22"/>
  <c r="H4009" i="22"/>
  <c r="H4008" i="22"/>
  <c r="H4007" i="22"/>
  <c r="H4006" i="22"/>
  <c r="H4005" i="22"/>
  <c r="H4004" i="22"/>
  <c r="H4003" i="22"/>
  <c r="H4002" i="22"/>
  <c r="H4001" i="22"/>
  <c r="H4000" i="22"/>
  <c r="H3999" i="22"/>
  <c r="H3998" i="22"/>
  <c r="H3997" i="22"/>
  <c r="H3996" i="22"/>
  <c r="H3995" i="22"/>
  <c r="H3994" i="22"/>
  <c r="H3993" i="22"/>
  <c r="H3992" i="22"/>
  <c r="H3991" i="22"/>
  <c r="H3990" i="22"/>
  <c r="H3989" i="22"/>
  <c r="H3988" i="22"/>
  <c r="H3987" i="22"/>
  <c r="H3986" i="22"/>
  <c r="H3985" i="22"/>
  <c r="H3984" i="22"/>
  <c r="H3983" i="22"/>
  <c r="H3982" i="22"/>
  <c r="H3981" i="22"/>
  <c r="H3980" i="22"/>
  <c r="H3979" i="22"/>
  <c r="H3978" i="22"/>
  <c r="H3977" i="22"/>
  <c r="G16" i="3" s="1"/>
  <c r="H3976" i="22"/>
  <c r="H3975" i="22"/>
  <c r="H3974" i="22"/>
  <c r="H3973" i="22"/>
  <c r="H3972" i="22"/>
  <c r="H3971" i="22"/>
  <c r="H3970" i="22"/>
  <c r="H3969" i="22"/>
  <c r="H3968" i="22"/>
  <c r="H3967" i="22"/>
  <c r="H3966" i="22"/>
  <c r="H3965" i="22"/>
  <c r="H3964" i="22"/>
  <c r="H3963" i="22"/>
  <c r="H3962" i="22"/>
  <c r="H3961" i="22"/>
  <c r="H3960" i="22"/>
  <c r="H3959" i="22"/>
  <c r="H3958" i="22"/>
  <c r="H3957" i="22"/>
  <c r="H3956" i="22"/>
  <c r="G586" i="3" s="1"/>
  <c r="H3955" i="22"/>
  <c r="H3954" i="22"/>
  <c r="H3953" i="22"/>
  <c r="H3952" i="22"/>
  <c r="H3951" i="22"/>
  <c r="H3950" i="22"/>
  <c r="H3949" i="22"/>
  <c r="H3948" i="22"/>
  <c r="H3947" i="22"/>
  <c r="H3946" i="22"/>
  <c r="H3945" i="22"/>
  <c r="H3944" i="22"/>
  <c r="H3943" i="22"/>
  <c r="H3942" i="22"/>
  <c r="H3941" i="22"/>
  <c r="H3940" i="22"/>
  <c r="H3939" i="22"/>
  <c r="H3938" i="22"/>
  <c r="H3937" i="22"/>
  <c r="H3936" i="22"/>
  <c r="H3935" i="22"/>
  <c r="H3934" i="22"/>
  <c r="H3933" i="22"/>
  <c r="H3932" i="22"/>
  <c r="H3931" i="22"/>
  <c r="H3930" i="22"/>
  <c r="H3929" i="22"/>
  <c r="H3928" i="22"/>
  <c r="H3927" i="22"/>
  <c r="H3926" i="22"/>
  <c r="H3925" i="22"/>
  <c r="H3924" i="22"/>
  <c r="H3923" i="22"/>
  <c r="H3922" i="22"/>
  <c r="H3921" i="22"/>
  <c r="H3920" i="22"/>
  <c r="H3919" i="22"/>
  <c r="G291" i="3" s="1"/>
  <c r="K291" i="3" s="1"/>
  <c r="H3918" i="22"/>
  <c r="H3917" i="22"/>
  <c r="H3916" i="22"/>
  <c r="H3915" i="22"/>
  <c r="H3914" i="22"/>
  <c r="H3913" i="22"/>
  <c r="H3912" i="22"/>
  <c r="H3911" i="22"/>
  <c r="H3910" i="22"/>
  <c r="H3909" i="22"/>
  <c r="H3908" i="22"/>
  <c r="H3907" i="22"/>
  <c r="H3906" i="22"/>
  <c r="H3905" i="22"/>
  <c r="H3904" i="22"/>
  <c r="H3903" i="22"/>
  <c r="H3902" i="22"/>
  <c r="H3901" i="22"/>
  <c r="H3900" i="22"/>
  <c r="H3899" i="22"/>
  <c r="H3898" i="22"/>
  <c r="H3897" i="22"/>
  <c r="H3896" i="22"/>
  <c r="H3895" i="22"/>
  <c r="H3894" i="22"/>
  <c r="H3893" i="22"/>
  <c r="H3892" i="22"/>
  <c r="H3891" i="22"/>
  <c r="H3890" i="22"/>
  <c r="H3889" i="22"/>
  <c r="H3888" i="22"/>
  <c r="H3887" i="22"/>
  <c r="H3886" i="22"/>
  <c r="H3885" i="22"/>
  <c r="H3884" i="22"/>
  <c r="H3883" i="22"/>
  <c r="H3882" i="22"/>
  <c r="H3881" i="22"/>
  <c r="H3880" i="22"/>
  <c r="H3879" i="22"/>
  <c r="H3878" i="22"/>
  <c r="H3877" i="22"/>
  <c r="H3876" i="22"/>
  <c r="H3875" i="22"/>
  <c r="H3874" i="22"/>
  <c r="H3873" i="22"/>
  <c r="H3872" i="22"/>
  <c r="H3871" i="22"/>
  <c r="H3870" i="22"/>
  <c r="H3869" i="22"/>
  <c r="H3868" i="22"/>
  <c r="H3867" i="22"/>
  <c r="H3866" i="22"/>
  <c r="H3865" i="22"/>
  <c r="H3864" i="22"/>
  <c r="H3863" i="22"/>
  <c r="H3862" i="22"/>
  <c r="H3861" i="22"/>
  <c r="H3860" i="22"/>
  <c r="H3859" i="22"/>
  <c r="H3858" i="22"/>
  <c r="H3857" i="22"/>
  <c r="H3856" i="22"/>
  <c r="H3855" i="22"/>
  <c r="H3854" i="22"/>
  <c r="H3853" i="22"/>
  <c r="H3852" i="22"/>
  <c r="H3851" i="22"/>
  <c r="H3850" i="22"/>
  <c r="H3849" i="22"/>
  <c r="H3848" i="22"/>
  <c r="H3847" i="22"/>
  <c r="H3846" i="22"/>
  <c r="H3845" i="22"/>
  <c r="H3844" i="22"/>
  <c r="H3843" i="22"/>
  <c r="H3842" i="22"/>
  <c r="H3841" i="22"/>
  <c r="H3840" i="22"/>
  <c r="H3839" i="22"/>
  <c r="H3838" i="22"/>
  <c r="H3837" i="22"/>
  <c r="H3836" i="22"/>
  <c r="H3835" i="22"/>
  <c r="H3834" i="22"/>
  <c r="H3833" i="22"/>
  <c r="H3832" i="22"/>
  <c r="H3831" i="22"/>
  <c r="H3830" i="22"/>
  <c r="H3829" i="22"/>
  <c r="H3828" i="22"/>
  <c r="H3827" i="22"/>
  <c r="H3826" i="22"/>
  <c r="H3825" i="22"/>
  <c r="H3824" i="22"/>
  <c r="G32" i="3" s="1"/>
  <c r="K32" i="3" s="1"/>
  <c r="H3823" i="22"/>
  <c r="H3822" i="22"/>
  <c r="G51" i="3" s="1"/>
  <c r="H3821" i="22"/>
  <c r="H3820" i="22"/>
  <c r="H3819" i="22"/>
  <c r="H3818" i="22"/>
  <c r="H3817" i="22"/>
  <c r="H3816" i="22"/>
  <c r="H3815" i="22"/>
  <c r="H3814" i="22"/>
  <c r="H3813" i="22"/>
  <c r="H3812" i="22"/>
  <c r="H3811" i="22"/>
  <c r="H3810" i="22"/>
  <c r="H3809" i="22"/>
  <c r="H3808" i="22"/>
  <c r="H3807" i="22"/>
  <c r="H3806" i="22"/>
  <c r="H3805" i="22"/>
  <c r="H3804" i="22"/>
  <c r="H3803" i="22"/>
  <c r="H3802" i="22"/>
  <c r="H3801" i="22"/>
  <c r="H3800" i="22"/>
  <c r="H3799" i="22"/>
  <c r="H3798" i="22"/>
  <c r="H3797" i="22"/>
  <c r="H3796" i="22"/>
  <c r="H3795" i="22"/>
  <c r="H3794" i="22"/>
  <c r="H3793" i="22"/>
  <c r="H3792" i="22"/>
  <c r="H3791" i="22"/>
  <c r="H3790" i="22"/>
  <c r="H3789" i="22"/>
  <c r="H3788" i="22"/>
  <c r="H3787" i="22"/>
  <c r="H3786" i="22"/>
  <c r="H3785" i="22"/>
  <c r="H3784" i="22"/>
  <c r="H3783" i="22"/>
  <c r="H3782" i="22"/>
  <c r="H3781" i="22"/>
  <c r="H3780" i="22"/>
  <c r="H3779" i="22"/>
  <c r="H3778" i="22"/>
  <c r="H3777" i="22"/>
  <c r="H3776" i="22"/>
  <c r="H3775" i="22"/>
  <c r="H3774" i="22"/>
  <c r="H3773" i="22"/>
  <c r="H3772" i="22"/>
  <c r="H3771" i="22"/>
  <c r="H3770" i="22"/>
  <c r="H3769" i="22"/>
  <c r="H3768" i="22"/>
  <c r="H3767" i="22"/>
  <c r="H3766" i="22"/>
  <c r="H3765" i="22"/>
  <c r="H3764" i="22"/>
  <c r="H3763" i="22"/>
  <c r="H3762" i="22"/>
  <c r="H3761" i="22"/>
  <c r="H3760" i="22"/>
  <c r="H3759" i="22"/>
  <c r="H3758" i="22"/>
  <c r="H3757" i="22"/>
  <c r="H3756" i="22"/>
  <c r="H3755" i="22"/>
  <c r="H3754" i="22"/>
  <c r="H3753" i="22"/>
  <c r="H3752" i="22"/>
  <c r="H3751" i="22"/>
  <c r="H3750" i="22"/>
  <c r="H3749" i="22"/>
  <c r="H3748" i="22"/>
  <c r="H3747" i="22"/>
  <c r="H3746" i="22"/>
  <c r="H3745" i="22"/>
  <c r="H3744" i="22"/>
  <c r="H3743" i="22"/>
  <c r="H3742" i="22"/>
  <c r="H3741" i="22"/>
  <c r="H3740" i="22"/>
  <c r="H3739" i="22"/>
  <c r="H3738" i="22"/>
  <c r="H3737" i="22"/>
  <c r="H3736" i="22"/>
  <c r="H3735" i="22"/>
  <c r="H3734" i="22"/>
  <c r="H3733" i="22"/>
  <c r="H3732" i="22"/>
  <c r="H3731" i="22"/>
  <c r="H3730" i="22"/>
  <c r="H3729" i="22"/>
  <c r="H3728" i="22"/>
  <c r="H3727" i="22"/>
  <c r="H3726" i="22"/>
  <c r="H3725" i="22"/>
  <c r="H3724" i="22"/>
  <c r="H3723" i="22"/>
  <c r="H3722" i="22"/>
  <c r="H3721" i="22"/>
  <c r="H3720" i="22"/>
  <c r="H3719" i="22"/>
  <c r="H3718" i="22"/>
  <c r="H3717" i="22"/>
  <c r="H3716" i="22"/>
  <c r="H3715" i="22"/>
  <c r="H3714" i="22"/>
  <c r="H3713" i="22"/>
  <c r="H3712" i="22"/>
  <c r="H3711" i="22"/>
  <c r="H3710" i="22"/>
  <c r="H3709" i="22"/>
  <c r="H3708" i="22"/>
  <c r="H3707" i="22"/>
  <c r="H3706" i="22"/>
  <c r="H3705" i="22"/>
  <c r="H3704" i="22"/>
  <c r="H3703" i="22"/>
  <c r="H3702" i="22"/>
  <c r="H3701" i="22"/>
  <c r="H3700" i="22"/>
  <c r="H3699" i="22"/>
  <c r="H3698" i="22"/>
  <c r="H3697" i="22"/>
  <c r="H3696" i="22"/>
  <c r="H3695" i="22"/>
  <c r="H3694" i="22"/>
  <c r="H3693" i="22"/>
  <c r="H3692" i="22"/>
  <c r="H3691" i="22"/>
  <c r="H3690" i="22"/>
  <c r="H3689" i="22"/>
  <c r="H3688" i="22"/>
  <c r="H3687" i="22"/>
  <c r="H3686" i="22"/>
  <c r="H3685" i="22"/>
  <c r="H3684" i="22"/>
  <c r="H3683" i="22"/>
  <c r="H3682" i="22"/>
  <c r="H3681" i="22"/>
  <c r="H3680" i="22"/>
  <c r="H3679" i="22"/>
  <c r="H3678" i="22"/>
  <c r="H3677" i="22"/>
  <c r="H3676" i="22"/>
  <c r="H3675" i="22"/>
  <c r="H3674" i="22"/>
  <c r="H3673" i="22"/>
  <c r="H3672" i="22"/>
  <c r="H3671" i="22"/>
  <c r="H3670" i="22"/>
  <c r="H3669" i="22"/>
  <c r="H3668" i="22"/>
  <c r="H3667" i="22"/>
  <c r="H3666" i="22"/>
  <c r="H3665" i="22"/>
  <c r="H3664" i="22"/>
  <c r="H3663" i="22"/>
  <c r="H3662" i="22"/>
  <c r="H3661" i="22"/>
  <c r="H3660" i="22"/>
  <c r="H3659" i="22"/>
  <c r="H3658" i="22"/>
  <c r="H3657" i="22"/>
  <c r="H3656" i="22"/>
  <c r="H3655" i="22"/>
  <c r="H3654" i="22"/>
  <c r="H3653" i="22"/>
  <c r="H3652" i="22"/>
  <c r="H3651" i="22"/>
  <c r="H3650" i="22"/>
  <c r="H3649" i="22"/>
  <c r="H3648" i="22"/>
  <c r="H3647" i="22"/>
  <c r="H3646" i="22"/>
  <c r="H3645" i="22"/>
  <c r="H3644" i="22"/>
  <c r="H3643" i="22"/>
  <c r="H3642" i="22"/>
  <c r="H3641" i="22"/>
  <c r="H3640" i="22"/>
  <c r="H3639" i="22"/>
  <c r="H3638" i="22"/>
  <c r="H3637" i="22"/>
  <c r="H3636" i="22"/>
  <c r="H3635" i="22"/>
  <c r="H3634" i="22"/>
  <c r="H3633" i="22"/>
  <c r="H3632" i="22"/>
  <c r="H3631" i="22"/>
  <c r="H3630" i="22"/>
  <c r="H3629" i="22"/>
  <c r="H3628" i="22"/>
  <c r="H3627" i="22"/>
  <c r="H3626" i="22"/>
  <c r="H3625" i="22"/>
  <c r="H3624" i="22"/>
  <c r="H3623" i="22"/>
  <c r="H3622" i="22"/>
  <c r="H3621" i="22"/>
  <c r="H3620" i="22"/>
  <c r="H3619" i="22"/>
  <c r="H3618" i="22"/>
  <c r="H3617" i="22"/>
  <c r="H3616" i="22"/>
  <c r="H3615" i="22"/>
  <c r="H3614" i="22"/>
  <c r="H3613" i="22"/>
  <c r="H3612" i="22"/>
  <c r="H3611" i="22"/>
  <c r="H3610" i="22"/>
  <c r="H3609" i="22"/>
  <c r="H3608" i="22"/>
  <c r="H3607" i="22"/>
  <c r="H3606" i="22"/>
  <c r="H3605" i="22"/>
  <c r="H3604" i="22"/>
  <c r="H3603" i="22"/>
  <c r="H3602" i="22"/>
  <c r="H3601" i="22"/>
  <c r="H3600" i="22"/>
  <c r="H3599" i="22"/>
  <c r="H3598" i="22"/>
  <c r="H3597" i="22"/>
  <c r="H3596" i="22"/>
  <c r="G290" i="3" s="1"/>
  <c r="K290" i="3" s="1"/>
  <c r="H3595" i="22"/>
  <c r="H3594" i="22"/>
  <c r="H3593" i="22"/>
  <c r="H3592" i="22"/>
  <c r="H3591" i="22"/>
  <c r="H3590" i="22"/>
  <c r="H3589" i="22"/>
  <c r="H3588" i="22"/>
  <c r="H3587" i="22"/>
  <c r="H3586" i="22"/>
  <c r="H3585" i="22"/>
  <c r="H3584" i="22"/>
  <c r="H3583" i="22"/>
  <c r="H3582" i="22"/>
  <c r="H3581" i="22"/>
  <c r="H3580" i="22"/>
  <c r="H3579" i="22"/>
  <c r="H3578" i="22"/>
  <c r="H3577" i="22"/>
  <c r="H3576" i="22"/>
  <c r="H3575" i="22"/>
  <c r="H3574" i="22"/>
  <c r="H3573" i="22"/>
  <c r="H3572" i="22"/>
  <c r="H3571" i="22"/>
  <c r="H3570" i="22"/>
  <c r="H3569" i="22"/>
  <c r="H3568" i="22"/>
  <c r="H3567" i="22"/>
  <c r="H3566" i="22"/>
  <c r="H3565" i="22"/>
  <c r="H3564" i="22"/>
  <c r="H3563" i="22"/>
  <c r="H3562" i="22"/>
  <c r="H3561" i="22"/>
  <c r="H3560" i="22"/>
  <c r="H3559" i="22"/>
  <c r="H3558" i="22"/>
  <c r="H3557" i="22"/>
  <c r="H3556" i="22"/>
  <c r="H3555" i="22"/>
  <c r="H3554" i="22"/>
  <c r="H3553" i="22"/>
  <c r="H3552" i="22"/>
  <c r="H3551" i="22"/>
  <c r="H3550" i="22"/>
  <c r="H3549" i="22"/>
  <c r="H3548" i="22"/>
  <c r="H3547" i="22"/>
  <c r="H3546" i="22"/>
  <c r="H3545" i="22"/>
  <c r="H3544" i="22"/>
  <c r="H3543" i="22"/>
  <c r="H3542" i="22"/>
  <c r="H3541" i="22"/>
  <c r="H3540" i="22"/>
  <c r="H3539" i="22"/>
  <c r="H3538" i="22"/>
  <c r="H3537" i="22"/>
  <c r="H3536" i="22"/>
  <c r="H3535" i="22"/>
  <c r="H3534" i="22"/>
  <c r="H3533" i="22"/>
  <c r="H3532" i="22"/>
  <c r="H3531" i="22"/>
  <c r="H3530" i="22"/>
  <c r="H3529" i="22"/>
  <c r="H3528" i="22"/>
  <c r="H3527" i="22"/>
  <c r="H3526" i="22"/>
  <c r="H3525" i="22"/>
  <c r="H3524" i="22"/>
  <c r="H3523" i="22"/>
  <c r="H3522" i="22"/>
  <c r="H3521" i="22"/>
  <c r="H3520" i="22"/>
  <c r="H3519" i="22"/>
  <c r="H3518" i="22"/>
  <c r="H60" i="2" s="1"/>
  <c r="G60" i="2" s="1"/>
  <c r="H3517" i="22"/>
  <c r="H3516" i="22"/>
  <c r="H3515" i="22"/>
  <c r="H3514" i="22"/>
  <c r="H3513" i="22"/>
  <c r="H3512" i="22"/>
  <c r="H3511" i="22"/>
  <c r="H3510" i="22"/>
  <c r="H3509" i="22"/>
  <c r="H3508" i="22"/>
  <c r="H3507" i="22"/>
  <c r="H3506" i="22"/>
  <c r="H3505" i="22"/>
  <c r="H3504" i="22"/>
  <c r="H3503" i="22"/>
  <c r="H3502" i="22"/>
  <c r="H3501" i="22"/>
  <c r="H3500" i="22"/>
  <c r="H3499" i="22"/>
  <c r="H3498" i="22"/>
  <c r="H3497" i="22"/>
  <c r="H3496" i="22"/>
  <c r="H3495" i="22"/>
  <c r="H3494" i="22"/>
  <c r="H3493" i="22"/>
  <c r="H3492" i="22"/>
  <c r="H3491" i="22"/>
  <c r="H3490" i="22"/>
  <c r="H3489" i="22"/>
  <c r="H3488" i="22"/>
  <c r="H3487" i="22"/>
  <c r="H3486" i="22"/>
  <c r="H3485" i="22"/>
  <c r="H3484" i="22"/>
  <c r="H3483" i="22"/>
  <c r="H3482" i="22"/>
  <c r="H3481" i="22"/>
  <c r="H3480" i="22"/>
  <c r="H3479" i="22"/>
  <c r="H3478" i="22"/>
  <c r="H3477" i="22"/>
  <c r="H3476" i="22"/>
  <c r="H3475" i="22"/>
  <c r="H3474" i="22"/>
  <c r="H3473" i="22"/>
  <c r="H3472" i="22"/>
  <c r="H3471" i="22"/>
  <c r="H3470" i="22"/>
  <c r="H3469" i="22"/>
  <c r="H3468" i="22"/>
  <c r="H3467" i="22"/>
  <c r="H3466" i="22"/>
  <c r="H3465" i="22"/>
  <c r="H3464" i="22"/>
  <c r="H3463" i="22"/>
  <c r="H3462" i="22"/>
  <c r="H3461" i="22"/>
  <c r="H3460" i="22"/>
  <c r="H3459" i="22"/>
  <c r="H3458" i="22"/>
  <c r="H3457" i="22"/>
  <c r="H3456" i="22"/>
  <c r="H3455" i="22"/>
  <c r="H3454" i="22"/>
  <c r="H3453" i="22"/>
  <c r="H3452" i="22"/>
  <c r="H3451" i="22"/>
  <c r="H3450" i="22"/>
  <c r="H3449" i="22"/>
  <c r="H3448" i="22"/>
  <c r="H3447" i="22"/>
  <c r="H3446" i="22"/>
  <c r="H3445" i="22"/>
  <c r="H3444" i="22"/>
  <c r="H3443" i="22"/>
  <c r="H3442" i="22"/>
  <c r="H3441" i="22"/>
  <c r="H3440" i="22"/>
  <c r="H3439" i="22"/>
  <c r="H3438" i="22"/>
  <c r="H3437" i="22"/>
  <c r="H3436" i="22"/>
  <c r="H3435" i="22"/>
  <c r="H3434" i="22"/>
  <c r="H3433" i="22"/>
  <c r="H3432" i="22"/>
  <c r="H3431" i="22"/>
  <c r="H3430" i="22"/>
  <c r="H3429" i="22"/>
  <c r="H3428" i="22"/>
  <c r="H3427" i="22"/>
  <c r="H3426" i="22"/>
  <c r="H3425" i="22"/>
  <c r="H3424" i="22"/>
  <c r="H3423" i="22"/>
  <c r="H3422" i="22"/>
  <c r="H3421" i="22"/>
  <c r="H3420" i="22"/>
  <c r="H3419" i="22"/>
  <c r="H3418" i="22"/>
  <c r="H3417" i="22"/>
  <c r="H3416" i="22"/>
  <c r="H3415" i="22"/>
  <c r="H3414" i="22"/>
  <c r="H3413" i="22"/>
  <c r="H3412" i="22"/>
  <c r="H3411" i="22"/>
  <c r="H3410" i="22"/>
  <c r="H3409" i="22"/>
  <c r="H3408" i="22"/>
  <c r="H3407" i="22"/>
  <c r="H3406" i="22"/>
  <c r="H3405" i="22"/>
  <c r="H3404" i="22"/>
  <c r="H3403" i="22"/>
  <c r="H3402" i="22"/>
  <c r="H3401" i="22"/>
  <c r="H3400" i="22"/>
  <c r="H3399" i="22"/>
  <c r="H3398" i="22"/>
  <c r="H3397" i="22"/>
  <c r="H3396" i="22"/>
  <c r="H3395" i="22"/>
  <c r="H3394" i="22"/>
  <c r="H3393" i="22"/>
  <c r="H3392" i="22"/>
  <c r="H3391" i="22"/>
  <c r="H3390" i="22"/>
  <c r="H3389" i="22"/>
  <c r="H3388" i="22"/>
  <c r="H3387" i="22"/>
  <c r="H3386" i="22"/>
  <c r="H3385" i="22"/>
  <c r="H3384" i="22"/>
  <c r="H3383" i="22"/>
  <c r="H3382" i="22"/>
  <c r="H3381" i="22"/>
  <c r="H3380" i="22"/>
  <c r="H3379" i="22"/>
  <c r="H3378" i="22"/>
  <c r="H3377" i="22"/>
  <c r="H3376" i="22"/>
  <c r="H3375" i="22"/>
  <c r="H3374" i="22"/>
  <c r="H3373" i="22"/>
  <c r="H3372" i="22"/>
  <c r="H3371" i="22"/>
  <c r="H3370" i="22"/>
  <c r="H3369" i="22"/>
  <c r="H3368" i="22"/>
  <c r="H3367" i="22"/>
  <c r="H3366" i="22"/>
  <c r="H3365" i="22"/>
  <c r="H3364" i="22"/>
  <c r="H3363" i="22"/>
  <c r="H3362" i="22"/>
  <c r="H3361" i="22"/>
  <c r="H3360" i="22"/>
  <c r="H3359" i="22"/>
  <c r="H3358" i="22"/>
  <c r="H3357" i="22"/>
  <c r="H3356" i="22"/>
  <c r="H3355" i="22"/>
  <c r="H3354" i="22"/>
  <c r="H3353" i="22"/>
  <c r="H3352" i="22"/>
  <c r="H3351" i="22"/>
  <c r="H3350" i="22"/>
  <c r="H3349" i="22"/>
  <c r="H3348" i="22"/>
  <c r="H3347" i="22"/>
  <c r="H3346" i="22"/>
  <c r="H3345" i="22"/>
  <c r="H3344" i="22"/>
  <c r="H3343" i="22"/>
  <c r="H3342" i="22"/>
  <c r="H3341" i="22"/>
  <c r="H3340" i="22"/>
  <c r="H3339" i="22"/>
  <c r="H3338" i="22"/>
  <c r="H3337" i="22"/>
  <c r="H3336" i="22"/>
  <c r="H3335" i="22"/>
  <c r="H3334" i="22"/>
  <c r="H3333" i="22"/>
  <c r="H3332" i="22"/>
  <c r="H3331" i="22"/>
  <c r="H3330" i="22"/>
  <c r="H3329" i="22"/>
  <c r="H3328" i="22"/>
  <c r="H3327" i="22"/>
  <c r="H3326" i="22"/>
  <c r="H3325" i="22"/>
  <c r="H3324" i="22"/>
  <c r="H3323" i="22"/>
  <c r="H3322" i="22"/>
  <c r="H3321" i="22"/>
  <c r="H3320" i="22"/>
  <c r="H3319" i="22"/>
  <c r="H3318" i="22"/>
  <c r="H3317" i="22"/>
  <c r="H3316" i="22"/>
  <c r="H3315" i="22"/>
  <c r="H3314" i="22"/>
  <c r="H3313" i="22"/>
  <c r="H3312" i="22"/>
  <c r="H3311" i="22"/>
  <c r="H3310" i="22"/>
  <c r="H3309" i="22"/>
  <c r="H3308" i="22"/>
  <c r="H3307" i="22"/>
  <c r="H3306" i="22"/>
  <c r="H3305" i="22"/>
  <c r="H3304" i="22"/>
  <c r="H3303" i="22"/>
  <c r="H3302" i="22"/>
  <c r="H3301" i="22"/>
  <c r="H3300" i="22"/>
  <c r="H3299" i="22"/>
  <c r="H3298" i="22"/>
  <c r="H3297" i="22"/>
  <c r="H3296" i="22"/>
  <c r="H3295" i="22"/>
  <c r="H3294" i="22"/>
  <c r="H3293" i="22"/>
  <c r="H3292" i="22"/>
  <c r="H3291" i="22"/>
  <c r="H3290" i="22"/>
  <c r="H3289" i="22"/>
  <c r="H3288" i="22"/>
  <c r="H3287" i="22"/>
  <c r="H3286" i="22"/>
  <c r="H3285" i="22"/>
  <c r="H3284" i="22"/>
  <c r="H3283" i="22"/>
  <c r="H3282" i="22"/>
  <c r="H3281" i="22"/>
  <c r="H3280" i="22"/>
  <c r="H3279" i="22"/>
  <c r="H3278" i="22"/>
  <c r="H3277" i="22"/>
  <c r="H3276" i="22"/>
  <c r="H3275" i="22"/>
  <c r="H3274" i="22"/>
  <c r="H3273" i="22"/>
  <c r="H3272" i="22"/>
  <c r="H3271" i="22"/>
  <c r="H3270" i="22"/>
  <c r="G483" i="3" s="1"/>
  <c r="H3269" i="22"/>
  <c r="H3268" i="22"/>
  <c r="H3267" i="22"/>
  <c r="G396" i="3" s="1"/>
  <c r="H3266" i="22"/>
  <c r="H3265" i="22"/>
  <c r="H3264" i="22"/>
  <c r="H3263" i="22"/>
  <c r="H3262" i="22"/>
  <c r="H3261" i="22"/>
  <c r="H3260" i="22"/>
  <c r="H3259" i="22"/>
  <c r="H3258" i="22"/>
  <c r="H3257" i="22"/>
  <c r="H3256" i="22"/>
  <c r="H3255" i="22"/>
  <c r="H3254" i="22"/>
  <c r="H3253" i="22"/>
  <c r="H3252" i="22"/>
  <c r="H3251" i="22"/>
  <c r="H3250" i="22"/>
  <c r="H3249" i="22"/>
  <c r="H3248" i="22"/>
  <c r="H3247" i="22"/>
  <c r="H3246" i="22"/>
  <c r="H3245" i="22"/>
  <c r="H3244" i="22"/>
  <c r="H3243" i="22"/>
  <c r="H3242" i="22"/>
  <c r="H3241" i="22"/>
  <c r="H3240" i="22"/>
  <c r="H3239" i="22"/>
  <c r="H3238" i="22"/>
  <c r="H3237" i="22"/>
  <c r="H3236" i="22"/>
  <c r="H3235" i="22"/>
  <c r="H3234" i="22"/>
  <c r="H3233" i="22"/>
  <c r="H3232" i="22"/>
  <c r="H3231" i="22"/>
  <c r="H3230" i="22"/>
  <c r="H3229" i="22"/>
  <c r="H3228" i="22"/>
  <c r="H3227" i="22"/>
  <c r="H3226" i="22"/>
  <c r="H3225" i="22"/>
  <c r="H3224" i="22"/>
  <c r="H3223" i="22"/>
  <c r="H3222" i="22"/>
  <c r="H3221" i="22"/>
  <c r="H3220" i="22"/>
  <c r="H3219" i="22"/>
  <c r="H3218" i="22"/>
  <c r="H3217" i="22"/>
  <c r="H3216" i="22"/>
  <c r="H3215" i="22"/>
  <c r="H3214" i="22"/>
  <c r="H3213" i="22"/>
  <c r="H3212" i="22"/>
  <c r="H3211" i="22"/>
  <c r="H3210" i="22"/>
  <c r="H3209" i="22"/>
  <c r="H3208" i="22"/>
  <c r="H3207" i="22"/>
  <c r="H3206" i="22"/>
  <c r="H3205" i="22"/>
  <c r="H3204" i="22"/>
  <c r="H3203" i="22"/>
  <c r="H3202" i="22"/>
  <c r="H3201" i="22"/>
  <c r="H3200" i="22"/>
  <c r="H3199" i="22"/>
  <c r="H3198" i="22"/>
  <c r="H3197" i="22"/>
  <c r="H3196" i="22"/>
  <c r="H3195" i="22"/>
  <c r="H3194" i="22"/>
  <c r="H3193" i="22"/>
  <c r="H3192" i="22"/>
  <c r="H3191" i="22"/>
  <c r="H3190" i="22"/>
  <c r="H3189" i="22"/>
  <c r="H3188" i="22"/>
  <c r="H3187" i="22"/>
  <c r="H3186" i="22"/>
  <c r="H3185" i="22"/>
  <c r="H3184" i="22"/>
  <c r="H3183" i="22"/>
  <c r="H3182" i="22"/>
  <c r="H3181" i="22"/>
  <c r="H3180" i="22"/>
  <c r="H3179" i="22"/>
  <c r="H3178" i="22"/>
  <c r="H3177" i="22"/>
  <c r="H3176" i="22"/>
  <c r="H3175" i="22"/>
  <c r="H3174" i="22"/>
  <c r="H3173" i="22"/>
  <c r="H3172" i="22"/>
  <c r="H3171" i="22"/>
  <c r="H3170" i="22"/>
  <c r="H3169" i="22"/>
  <c r="H3168" i="22"/>
  <c r="H3167" i="22"/>
  <c r="H3166" i="22"/>
  <c r="H3165" i="22"/>
  <c r="H3164" i="22"/>
  <c r="H3163" i="22"/>
  <c r="H3162" i="22"/>
  <c r="H3161" i="22"/>
  <c r="H3160" i="22"/>
  <c r="H3159" i="22"/>
  <c r="H3158" i="22"/>
  <c r="H3157" i="22"/>
  <c r="H3156" i="22"/>
  <c r="H3155" i="22"/>
  <c r="H3154" i="22"/>
  <c r="H3153" i="22"/>
  <c r="H3152" i="22"/>
  <c r="H3151" i="22"/>
  <c r="H3150" i="22"/>
  <c r="H3149" i="22"/>
  <c r="H3148" i="22"/>
  <c r="H3147" i="22"/>
  <c r="H3146" i="22"/>
  <c r="H3145" i="22"/>
  <c r="H3144" i="22"/>
  <c r="H3143" i="22"/>
  <c r="H3142" i="22"/>
  <c r="H3141" i="22"/>
  <c r="H3140" i="22"/>
  <c r="H3139" i="22"/>
  <c r="H3138" i="22"/>
  <c r="H3137" i="22"/>
  <c r="H3136" i="22"/>
  <c r="H3135" i="22"/>
  <c r="H3134" i="22"/>
  <c r="H3133" i="22"/>
  <c r="H3132" i="22"/>
  <c r="H3131" i="22"/>
  <c r="H3130" i="22"/>
  <c r="H3129" i="22"/>
  <c r="H3128" i="22"/>
  <c r="H3127" i="22"/>
  <c r="H3126" i="22"/>
  <c r="H3125" i="22"/>
  <c r="H3124" i="22"/>
  <c r="H3123" i="22"/>
  <c r="H3122" i="22"/>
  <c r="H3121" i="22"/>
  <c r="H3120" i="22"/>
  <c r="H3119" i="22"/>
  <c r="H3118" i="22"/>
  <c r="H3117" i="22"/>
  <c r="H3116" i="22"/>
  <c r="H3115" i="22"/>
  <c r="H3114" i="22"/>
  <c r="H3113" i="22"/>
  <c r="H3112" i="22"/>
  <c r="H3111" i="22"/>
  <c r="H3110" i="22"/>
  <c r="H3109" i="22"/>
  <c r="H3108" i="22"/>
  <c r="H3107" i="22"/>
  <c r="H3106" i="22"/>
  <c r="H3105" i="22"/>
  <c r="H3104" i="22"/>
  <c r="H3103" i="22"/>
  <c r="H3102" i="22"/>
  <c r="H3101" i="22"/>
  <c r="H3100" i="22"/>
  <c r="H3099" i="22"/>
  <c r="H3098" i="22"/>
  <c r="H3097" i="22"/>
  <c r="H3096" i="22"/>
  <c r="H3095" i="22"/>
  <c r="H3094" i="22"/>
  <c r="H3093" i="22"/>
  <c r="H3092" i="22"/>
  <c r="H3091" i="22"/>
  <c r="H3090" i="22"/>
  <c r="H3089" i="22"/>
  <c r="H3088" i="22"/>
  <c r="H3087" i="22"/>
  <c r="H3086" i="22"/>
  <c r="H3085" i="22"/>
  <c r="H3084" i="22"/>
  <c r="H3083" i="22"/>
  <c r="H3082" i="22"/>
  <c r="H3081" i="22"/>
  <c r="H3080" i="22"/>
  <c r="H3079" i="22"/>
  <c r="H3078" i="22"/>
  <c r="H3077" i="22"/>
  <c r="H3076" i="22"/>
  <c r="H3075" i="22"/>
  <c r="H3074" i="22"/>
  <c r="H3073" i="22"/>
  <c r="H3072" i="22"/>
  <c r="H3071" i="22"/>
  <c r="H3070" i="22"/>
  <c r="H3069" i="22"/>
  <c r="H3068" i="22"/>
  <c r="H3067" i="22"/>
  <c r="H3066" i="22"/>
  <c r="H3065" i="22"/>
  <c r="H3064" i="22"/>
  <c r="H3063" i="22"/>
  <c r="H3062" i="22"/>
  <c r="H3061" i="22"/>
  <c r="H3060" i="22"/>
  <c r="H3059" i="22"/>
  <c r="H3058" i="22"/>
  <c r="H3057" i="22"/>
  <c r="H3056" i="22"/>
  <c r="H3055" i="22"/>
  <c r="H3054" i="22"/>
  <c r="H3053" i="22"/>
  <c r="H3052" i="22"/>
  <c r="H3051" i="22"/>
  <c r="H3050" i="22"/>
  <c r="H3049" i="22"/>
  <c r="H3048" i="22"/>
  <c r="H3047" i="22"/>
  <c r="H3046" i="22"/>
  <c r="H3045" i="22"/>
  <c r="H3044" i="22"/>
  <c r="H3043" i="22"/>
  <c r="H3042" i="22"/>
  <c r="H3041" i="22"/>
  <c r="H3040" i="22"/>
  <c r="H3039" i="22"/>
  <c r="H3038" i="22"/>
  <c r="H3037" i="22"/>
  <c r="H3036" i="22"/>
  <c r="H3035" i="22"/>
  <c r="H3034" i="22"/>
  <c r="H3033" i="22"/>
  <c r="H3032" i="22"/>
  <c r="H3031" i="22"/>
  <c r="H3030" i="22"/>
  <c r="H3029" i="22"/>
  <c r="H3028" i="22"/>
  <c r="H3027" i="22"/>
  <c r="H3026" i="22"/>
  <c r="H3025" i="22"/>
  <c r="H3024" i="22"/>
  <c r="H3023" i="22"/>
  <c r="H3022" i="22"/>
  <c r="H3021" i="22"/>
  <c r="H3020" i="22"/>
  <c r="H3019" i="22"/>
  <c r="H3018" i="22"/>
  <c r="H3017" i="22"/>
  <c r="H3016" i="22"/>
  <c r="H3015" i="22"/>
  <c r="H3014" i="22"/>
  <c r="H3013" i="22"/>
  <c r="H3012" i="22"/>
  <c r="H3011" i="22"/>
  <c r="H3010" i="22"/>
  <c r="H3009" i="22"/>
  <c r="H3008" i="22"/>
  <c r="H3007" i="22"/>
  <c r="H3006" i="22"/>
  <c r="H3005" i="22"/>
  <c r="H3004" i="22"/>
  <c r="H3003" i="22"/>
  <c r="H3002" i="22"/>
  <c r="H3001" i="22"/>
  <c r="H3000" i="22"/>
  <c r="H2999" i="22"/>
  <c r="H2998" i="22"/>
  <c r="H2997" i="22"/>
  <c r="H2996" i="22"/>
  <c r="H2995" i="22"/>
  <c r="H2994" i="22"/>
  <c r="H2993" i="22"/>
  <c r="H2992" i="22"/>
  <c r="H2991" i="22"/>
  <c r="H2990" i="22"/>
  <c r="H2989" i="22"/>
  <c r="H2988" i="22"/>
  <c r="G303" i="3" s="1"/>
  <c r="K303" i="3" s="1"/>
  <c r="K301" i="3" s="1"/>
  <c r="H2987" i="22"/>
  <c r="H2986" i="22"/>
  <c r="H2985" i="22"/>
  <c r="H2984" i="22"/>
  <c r="H2983" i="22"/>
  <c r="H2982" i="22"/>
  <c r="H2981" i="22"/>
  <c r="H2980" i="22"/>
  <c r="H2979" i="22"/>
  <c r="H2978" i="22"/>
  <c r="H2977" i="22"/>
  <c r="H2976" i="22"/>
  <c r="H2975" i="22"/>
  <c r="H2974" i="22"/>
  <c r="H2973" i="22"/>
  <c r="H2972" i="22"/>
  <c r="H2971" i="22"/>
  <c r="H2970" i="22"/>
  <c r="H2969" i="22"/>
  <c r="H2968" i="22"/>
  <c r="H2967" i="22"/>
  <c r="H2966" i="22"/>
  <c r="H2965" i="22"/>
  <c r="H2964" i="22"/>
  <c r="H2963" i="22"/>
  <c r="H2962" i="22"/>
  <c r="H2961" i="22"/>
  <c r="H2960" i="22"/>
  <c r="H2959" i="22"/>
  <c r="H2958" i="22"/>
  <c r="H2957" i="22"/>
  <c r="H2956" i="22"/>
  <c r="H2955" i="22"/>
  <c r="H2954" i="22"/>
  <c r="H2953" i="22"/>
  <c r="H2952" i="22"/>
  <c r="H2951" i="22"/>
  <c r="H2950" i="22"/>
  <c r="H2949" i="22"/>
  <c r="H2948" i="22"/>
  <c r="H2947" i="22"/>
  <c r="H2946" i="22"/>
  <c r="H2945" i="22"/>
  <c r="H2944" i="22"/>
  <c r="H2943" i="22"/>
  <c r="H2942" i="22"/>
  <c r="H2941" i="22"/>
  <c r="H2940" i="22"/>
  <c r="H2939" i="22"/>
  <c r="H2938" i="22"/>
  <c r="H2937" i="22"/>
  <c r="H2936" i="22"/>
  <c r="H2935" i="22"/>
  <c r="H2934" i="22"/>
  <c r="H2933" i="22"/>
  <c r="H2932" i="22"/>
  <c r="H2931" i="22"/>
  <c r="H2930" i="22"/>
  <c r="H2929" i="22"/>
  <c r="H2928" i="22"/>
  <c r="H2927" i="22"/>
  <c r="H2926" i="22"/>
  <c r="H2925" i="22"/>
  <c r="H2924" i="22"/>
  <c r="H2923" i="22"/>
  <c r="H2922" i="22"/>
  <c r="H2921" i="22"/>
  <c r="H2920" i="22"/>
  <c r="H2919" i="22"/>
  <c r="H2918" i="22"/>
  <c r="H2917" i="22"/>
  <c r="H2916" i="22"/>
  <c r="H2915" i="22"/>
  <c r="H2914" i="22"/>
  <c r="H2913" i="22"/>
  <c r="H2912" i="22"/>
  <c r="H2911" i="22"/>
  <c r="H2910" i="22"/>
  <c r="H2909" i="22"/>
  <c r="H2908" i="22"/>
  <c r="H2907" i="22"/>
  <c r="H2906" i="22"/>
  <c r="H2905" i="22"/>
  <c r="H2904" i="22"/>
  <c r="H2903" i="22"/>
  <c r="H2902" i="22"/>
  <c r="H2901" i="22"/>
  <c r="H2900" i="22"/>
  <c r="H2899" i="22"/>
  <c r="H2898" i="22"/>
  <c r="H2897" i="22"/>
  <c r="H2896" i="22"/>
  <c r="H2895" i="22"/>
  <c r="H2894" i="22"/>
  <c r="H2893" i="22"/>
  <c r="H2892" i="22"/>
  <c r="H2891" i="22"/>
  <c r="H2890" i="22"/>
  <c r="H2889" i="22"/>
  <c r="H2888" i="22"/>
  <c r="H2887" i="22"/>
  <c r="H2886" i="22"/>
  <c r="H2885" i="22"/>
  <c r="H2884" i="22"/>
  <c r="H2883" i="22"/>
  <c r="H2882" i="22"/>
  <c r="H2881" i="22"/>
  <c r="H2880" i="22"/>
  <c r="H2879" i="22"/>
  <c r="H2878" i="22"/>
  <c r="H2877" i="22"/>
  <c r="H2876" i="22"/>
  <c r="H2875" i="22"/>
  <c r="H2874" i="22"/>
  <c r="H2873" i="22"/>
  <c r="H2872" i="22"/>
  <c r="H2871" i="22"/>
  <c r="H2870" i="22"/>
  <c r="H2869" i="22"/>
  <c r="H2868" i="22"/>
  <c r="H2867" i="22"/>
  <c r="H2866" i="22"/>
  <c r="H2865" i="22"/>
  <c r="H2864" i="22"/>
  <c r="H2863" i="22"/>
  <c r="H74" i="2" s="1"/>
  <c r="G74" i="2" s="1"/>
  <c r="H2862" i="22"/>
  <c r="H2861" i="22"/>
  <c r="H2860" i="22"/>
  <c r="H2859" i="22"/>
  <c r="H2858" i="22"/>
  <c r="H2857" i="22"/>
  <c r="H2856" i="22"/>
  <c r="H2855" i="22"/>
  <c r="H2854" i="22"/>
  <c r="H2853" i="22"/>
  <c r="H2852" i="22"/>
  <c r="H2851" i="22"/>
  <c r="H2850" i="22"/>
  <c r="H2849" i="22"/>
  <c r="H2848" i="22"/>
  <c r="H2847" i="22"/>
  <c r="H2846" i="22"/>
  <c r="H2845" i="22"/>
  <c r="H2844" i="22"/>
  <c r="H2843" i="22"/>
  <c r="H2842" i="22"/>
  <c r="H2841" i="22"/>
  <c r="H2840" i="22"/>
  <c r="H2839" i="22"/>
  <c r="H2838" i="22"/>
  <c r="H2837" i="22"/>
  <c r="H2836" i="22"/>
  <c r="H2835" i="22"/>
  <c r="H2834" i="22"/>
  <c r="H2833" i="22"/>
  <c r="H2832" i="22"/>
  <c r="H2831" i="22"/>
  <c r="H2830" i="22"/>
  <c r="H2829" i="22"/>
  <c r="H2828" i="22"/>
  <c r="H2827" i="22"/>
  <c r="H2826" i="22"/>
  <c r="H2825" i="22"/>
  <c r="H2824" i="22"/>
  <c r="H2823" i="22"/>
  <c r="H2822" i="22"/>
  <c r="H2821" i="22"/>
  <c r="H2820" i="22"/>
  <c r="H2819" i="22"/>
  <c r="H2818" i="22"/>
  <c r="H2817" i="22"/>
  <c r="H2816" i="22"/>
  <c r="H2815" i="22"/>
  <c r="H2814" i="22"/>
  <c r="H2813" i="22"/>
  <c r="H2812" i="22"/>
  <c r="H2811" i="22"/>
  <c r="H2810" i="22"/>
  <c r="H2809" i="22"/>
  <c r="H2808" i="22"/>
  <c r="H2807" i="22"/>
  <c r="H2806" i="22"/>
  <c r="H2805" i="22"/>
  <c r="H2804" i="22"/>
  <c r="H2803" i="22"/>
  <c r="H2802" i="22"/>
  <c r="H2801" i="22"/>
  <c r="H2800" i="22"/>
  <c r="H2799" i="22"/>
  <c r="H2798" i="22"/>
  <c r="H2797" i="22"/>
  <c r="H2796" i="22"/>
  <c r="H2795" i="22"/>
  <c r="H2794" i="22"/>
  <c r="H2793" i="22"/>
  <c r="H2792" i="22"/>
  <c r="H2791" i="22"/>
  <c r="H2790" i="22"/>
  <c r="H2789" i="22"/>
  <c r="H2788" i="22"/>
  <c r="H2787" i="22"/>
  <c r="H2786" i="22"/>
  <c r="H2785" i="22"/>
  <c r="H2784" i="22"/>
  <c r="H2783" i="22"/>
  <c r="H2782" i="22"/>
  <c r="H2781" i="22"/>
  <c r="H2780" i="22"/>
  <c r="H2779" i="22"/>
  <c r="H2778" i="22"/>
  <c r="H2777" i="22"/>
  <c r="H2776" i="22"/>
  <c r="H2775" i="22"/>
  <c r="H2774" i="22"/>
  <c r="H2773" i="22"/>
  <c r="H2772" i="22"/>
  <c r="H2771" i="22"/>
  <c r="H2770" i="22"/>
  <c r="H2769" i="22"/>
  <c r="H2768" i="22"/>
  <c r="H2767" i="22"/>
  <c r="H2766" i="22"/>
  <c r="H2765" i="22"/>
  <c r="H2764" i="22"/>
  <c r="H2763" i="22"/>
  <c r="H2762" i="22"/>
  <c r="H2761" i="22"/>
  <c r="H2760" i="22"/>
  <c r="H2759" i="22"/>
  <c r="H2758" i="22"/>
  <c r="H2757" i="22"/>
  <c r="H2756" i="22"/>
  <c r="H2755" i="22"/>
  <c r="H2754" i="22"/>
  <c r="H2753" i="22"/>
  <c r="H2752" i="22"/>
  <c r="H2751" i="22"/>
  <c r="H2750" i="22"/>
  <c r="H2749" i="22"/>
  <c r="H2748" i="22"/>
  <c r="H2747" i="22"/>
  <c r="H2746" i="22"/>
  <c r="H2745" i="22"/>
  <c r="H2744" i="22"/>
  <c r="H2743" i="22"/>
  <c r="H2742" i="22"/>
  <c r="H2741" i="22"/>
  <c r="H2740" i="22"/>
  <c r="H2739" i="22"/>
  <c r="H2738" i="22"/>
  <c r="H2737" i="22"/>
  <c r="H2736" i="22"/>
  <c r="H2735" i="22"/>
  <c r="H2734" i="22"/>
  <c r="H2733" i="22"/>
  <c r="H2732" i="22"/>
  <c r="H2731" i="22"/>
  <c r="H2730" i="22"/>
  <c r="H2729" i="22"/>
  <c r="H2728" i="22"/>
  <c r="H2727" i="22"/>
  <c r="H2726" i="22"/>
  <c r="H2725" i="22"/>
  <c r="H2724" i="22"/>
  <c r="H2723" i="22"/>
  <c r="H2722" i="22"/>
  <c r="H2721" i="22"/>
  <c r="H2720" i="22"/>
  <c r="H2719" i="22"/>
  <c r="H2718" i="22"/>
  <c r="H2717" i="22"/>
  <c r="H2716" i="22"/>
  <c r="H2715" i="22"/>
  <c r="H2714" i="22"/>
  <c r="H2713" i="22"/>
  <c r="H2712" i="22"/>
  <c r="H2711" i="22"/>
  <c r="H2710" i="22"/>
  <c r="H2709" i="22"/>
  <c r="H2708" i="22"/>
  <c r="H2707" i="22"/>
  <c r="H2706" i="22"/>
  <c r="H2705" i="22"/>
  <c r="H2704" i="22"/>
  <c r="H2703" i="22"/>
  <c r="H2702" i="22"/>
  <c r="H2701" i="22"/>
  <c r="H2700" i="22"/>
  <c r="H2699" i="22"/>
  <c r="H2698" i="22"/>
  <c r="H2697" i="22"/>
  <c r="H2696" i="22"/>
  <c r="H2695" i="22"/>
  <c r="H2694" i="22"/>
  <c r="H2693" i="22"/>
  <c r="H2692" i="22"/>
  <c r="H2691" i="22"/>
  <c r="H2690" i="22"/>
  <c r="H2689" i="22"/>
  <c r="H2688" i="22"/>
  <c r="H2687" i="22"/>
  <c r="H2686" i="22"/>
  <c r="H2685" i="22"/>
  <c r="H2684" i="22"/>
  <c r="H2683" i="22"/>
  <c r="H2682" i="22"/>
  <c r="H2681" i="22"/>
  <c r="H2680" i="22"/>
  <c r="H2679" i="22"/>
  <c r="H2678" i="22"/>
  <c r="H2677" i="22"/>
  <c r="H2676" i="22"/>
  <c r="H2675" i="22"/>
  <c r="H2674" i="22"/>
  <c r="H2673" i="22"/>
  <c r="H2672" i="22"/>
  <c r="H2671" i="22"/>
  <c r="H2670" i="22"/>
  <c r="H2669" i="22"/>
  <c r="H2668" i="22"/>
  <c r="H2667" i="22"/>
  <c r="H2666" i="22"/>
  <c r="H2665" i="22"/>
  <c r="H2664" i="22"/>
  <c r="H2663" i="22"/>
  <c r="H2662" i="22"/>
  <c r="H2661" i="22"/>
  <c r="H2660" i="22"/>
  <c r="H2659" i="22"/>
  <c r="H2658" i="22"/>
  <c r="H2657" i="22"/>
  <c r="H2656" i="22"/>
  <c r="H2655" i="22"/>
  <c r="H2654" i="22"/>
  <c r="H2653" i="22"/>
  <c r="H2652" i="22"/>
  <c r="H2651" i="22"/>
  <c r="H2650" i="22"/>
  <c r="H2649" i="22"/>
  <c r="H2648" i="22"/>
  <c r="H2647" i="22"/>
  <c r="H2646" i="22"/>
  <c r="H2645" i="22"/>
  <c r="H2644" i="22"/>
  <c r="H2643" i="22"/>
  <c r="H2642" i="22"/>
  <c r="H2641" i="22"/>
  <c r="H2640" i="22"/>
  <c r="H2639" i="22"/>
  <c r="H2638" i="22"/>
  <c r="H2637" i="22"/>
  <c r="H2636" i="22"/>
  <c r="H2635" i="22"/>
  <c r="H2634" i="22"/>
  <c r="H2633" i="22"/>
  <c r="H2632" i="22"/>
  <c r="H2631" i="22"/>
  <c r="H2630" i="22"/>
  <c r="H2629" i="22"/>
  <c r="H2628" i="22"/>
  <c r="H2627" i="22"/>
  <c r="H2626" i="22"/>
  <c r="H2625" i="22"/>
  <c r="H2624" i="22"/>
  <c r="H2623" i="22"/>
  <c r="H2622" i="22"/>
  <c r="H2621" i="22"/>
  <c r="H2620" i="22"/>
  <c r="H2619" i="22"/>
  <c r="H2618" i="22"/>
  <c r="H2617" i="22"/>
  <c r="H2616" i="22"/>
  <c r="H2615" i="22"/>
  <c r="H2614" i="22"/>
  <c r="H2613" i="22"/>
  <c r="H2612" i="22"/>
  <c r="H2611" i="22"/>
  <c r="H2610" i="22"/>
  <c r="H2609" i="22"/>
  <c r="H2608" i="22"/>
  <c r="H2607" i="22"/>
  <c r="H2606" i="22"/>
  <c r="H2605" i="22"/>
  <c r="H2604" i="22"/>
  <c r="H2603" i="22"/>
  <c r="H2602" i="22"/>
  <c r="H2601" i="22"/>
  <c r="H2600" i="22"/>
  <c r="H2599" i="22"/>
  <c r="H2598" i="22"/>
  <c r="H42" i="2" s="1"/>
  <c r="G42" i="2" s="1"/>
  <c r="H2597" i="22"/>
  <c r="H2596" i="22"/>
  <c r="H2595" i="22"/>
  <c r="H2594" i="22"/>
  <c r="H2593" i="22"/>
  <c r="H2592" i="22"/>
  <c r="H2591" i="22"/>
  <c r="H2590" i="22"/>
  <c r="H2589" i="22"/>
  <c r="H2588" i="22"/>
  <c r="H2587" i="22"/>
  <c r="H2586" i="22"/>
  <c r="H2585" i="22"/>
  <c r="H2584" i="22"/>
  <c r="H2583" i="22"/>
  <c r="H2582" i="22"/>
  <c r="H2581" i="22"/>
  <c r="H2580" i="22"/>
  <c r="H2579" i="22"/>
  <c r="H2578" i="22"/>
  <c r="H2577" i="22"/>
  <c r="H2576" i="22"/>
  <c r="H2575" i="22"/>
  <c r="H2574" i="22"/>
  <c r="H2573" i="22"/>
  <c r="H2572" i="22"/>
  <c r="H2571" i="22"/>
  <c r="H2570" i="22"/>
  <c r="H2569" i="22"/>
  <c r="H2568" i="22"/>
  <c r="H2567" i="22"/>
  <c r="H2566" i="22"/>
  <c r="H2565" i="22"/>
  <c r="H2564" i="22"/>
  <c r="H2563" i="22"/>
  <c r="H2562" i="22"/>
  <c r="H2561" i="22"/>
  <c r="H2560" i="22"/>
  <c r="H2559" i="22"/>
  <c r="H2558" i="22"/>
  <c r="H2557" i="22"/>
  <c r="H2556" i="22"/>
  <c r="H2555" i="22"/>
  <c r="H2554" i="22"/>
  <c r="H2553" i="22"/>
  <c r="H2552" i="22"/>
  <c r="H2551" i="22"/>
  <c r="H2550" i="22"/>
  <c r="H2549" i="22"/>
  <c r="H2548" i="22"/>
  <c r="H2547" i="22"/>
  <c r="H2546" i="22"/>
  <c r="H2545" i="22"/>
  <c r="H2544" i="22"/>
  <c r="H2543" i="22"/>
  <c r="H2542" i="22"/>
  <c r="H2541" i="22"/>
  <c r="H2540" i="22"/>
  <c r="H2539" i="22"/>
  <c r="H2538" i="22"/>
  <c r="H2537" i="22"/>
  <c r="H2536" i="22"/>
  <c r="H2535" i="22"/>
  <c r="H2534" i="22"/>
  <c r="H2533" i="22"/>
  <c r="H2532" i="22"/>
  <c r="H2531" i="22"/>
  <c r="H2530" i="22"/>
  <c r="H2529" i="22"/>
  <c r="H2528" i="22"/>
  <c r="H2527" i="22"/>
  <c r="H2526" i="22"/>
  <c r="H2525" i="22"/>
  <c r="H2524" i="22"/>
  <c r="H2523" i="22"/>
  <c r="H2522" i="22"/>
  <c r="H2521" i="22"/>
  <c r="H2520" i="22"/>
  <c r="H2519" i="22"/>
  <c r="H2518" i="22"/>
  <c r="H2517" i="22"/>
  <c r="H2516" i="22"/>
  <c r="H2515" i="22"/>
  <c r="H2514" i="22"/>
  <c r="H2513" i="22"/>
  <c r="H2512" i="22"/>
  <c r="H2511" i="22"/>
  <c r="H2510" i="22"/>
  <c r="H2509" i="22"/>
  <c r="H2508" i="22"/>
  <c r="H2507" i="22"/>
  <c r="H2506" i="22"/>
  <c r="H2505" i="22"/>
  <c r="H2504" i="22"/>
  <c r="H2503" i="22"/>
  <c r="H2502" i="22"/>
  <c r="H2501" i="22"/>
  <c r="H2500" i="22"/>
  <c r="H2499" i="22"/>
  <c r="H2498" i="22"/>
  <c r="H2497" i="22"/>
  <c r="H2496" i="22"/>
  <c r="H2495" i="22"/>
  <c r="H2494" i="22"/>
  <c r="H2493" i="22"/>
  <c r="H2492" i="22"/>
  <c r="H2491" i="22"/>
  <c r="H2490" i="22"/>
  <c r="H2489" i="22"/>
  <c r="H2488" i="22"/>
  <c r="H2487" i="22"/>
  <c r="H2486" i="22"/>
  <c r="H2485" i="22"/>
  <c r="H2484" i="22"/>
  <c r="H2483" i="22"/>
  <c r="H2482" i="22"/>
  <c r="H2481" i="22"/>
  <c r="H2480" i="22"/>
  <c r="H2479" i="22"/>
  <c r="H2478" i="22"/>
  <c r="H2477" i="22"/>
  <c r="H2476" i="22"/>
  <c r="H2475" i="22"/>
  <c r="H2474" i="22"/>
  <c r="H2473" i="22"/>
  <c r="H2472" i="22"/>
  <c r="H2471" i="22"/>
  <c r="H2470" i="22"/>
  <c r="H2469" i="22"/>
  <c r="H2468" i="22"/>
  <c r="H2467" i="22"/>
  <c r="H2466" i="22"/>
  <c r="H2465" i="22"/>
  <c r="H2464" i="22"/>
  <c r="H2463" i="22"/>
  <c r="H2462" i="22"/>
  <c r="H2461" i="22"/>
  <c r="H2460" i="22"/>
  <c r="H2459" i="22"/>
  <c r="H2458" i="22"/>
  <c r="H2457" i="22"/>
  <c r="H2456" i="22"/>
  <c r="H2455" i="22"/>
  <c r="H2454" i="22"/>
  <c r="H2453" i="22"/>
  <c r="H2452" i="22"/>
  <c r="H2451" i="22"/>
  <c r="H2450" i="22"/>
  <c r="H2449" i="22"/>
  <c r="H2448" i="22"/>
  <c r="H2447" i="22"/>
  <c r="H2446" i="22"/>
  <c r="H2445" i="22"/>
  <c r="H2444" i="22"/>
  <c r="H2443" i="22"/>
  <c r="H2442" i="22"/>
  <c r="H2441" i="22"/>
  <c r="H2440" i="22"/>
  <c r="H2439" i="22"/>
  <c r="H2438" i="22"/>
  <c r="H2437" i="22"/>
  <c r="H2436" i="22"/>
  <c r="H2435" i="22"/>
  <c r="H2434" i="22"/>
  <c r="H2433" i="22"/>
  <c r="H2432" i="22"/>
  <c r="H2431" i="22"/>
  <c r="H2430" i="22"/>
  <c r="H2429" i="22"/>
  <c r="H2428" i="22"/>
  <c r="H2427" i="22"/>
  <c r="H2426" i="22"/>
  <c r="H2425" i="22"/>
  <c r="H2424" i="22"/>
  <c r="H2423" i="22"/>
  <c r="H2422" i="22"/>
  <c r="H2421" i="22"/>
  <c r="H2420" i="22"/>
  <c r="H2419" i="22"/>
  <c r="H2418" i="22"/>
  <c r="H2417" i="22"/>
  <c r="H2416" i="22"/>
  <c r="H2415" i="22"/>
  <c r="H2414" i="22"/>
  <c r="H2413" i="22"/>
  <c r="H2412" i="22"/>
  <c r="H2411" i="22"/>
  <c r="H2410" i="22"/>
  <c r="H2409" i="22"/>
  <c r="H2408" i="22"/>
  <c r="H2407" i="22"/>
  <c r="H2406" i="22"/>
  <c r="H2405" i="22"/>
  <c r="H2404" i="22"/>
  <c r="H2403" i="22"/>
  <c r="H2402" i="22"/>
  <c r="H2401" i="22"/>
  <c r="H2400" i="22"/>
  <c r="H2399" i="22"/>
  <c r="H2398" i="22"/>
  <c r="H2397" i="22"/>
  <c r="H2396" i="22"/>
  <c r="H2395" i="22"/>
  <c r="H2394" i="22"/>
  <c r="H2393" i="22"/>
  <c r="H2392" i="22"/>
  <c r="H2391" i="22"/>
  <c r="H2390" i="22"/>
  <c r="H2389" i="22"/>
  <c r="H2388" i="22"/>
  <c r="H2387" i="22"/>
  <c r="H2386" i="22"/>
  <c r="H2385" i="22"/>
  <c r="H2384" i="22"/>
  <c r="H2383" i="22"/>
  <c r="H2382" i="22"/>
  <c r="H2381" i="22"/>
  <c r="H2380" i="22"/>
  <c r="H2379" i="22"/>
  <c r="H2378" i="22"/>
  <c r="H2377" i="22"/>
  <c r="H2376" i="22"/>
  <c r="H2375" i="22"/>
  <c r="H2374" i="22"/>
  <c r="H2373" i="22"/>
  <c r="H2372" i="22"/>
  <c r="H2371" i="22"/>
  <c r="H2370" i="22"/>
  <c r="H2369" i="22"/>
  <c r="H2368" i="22"/>
  <c r="H2367" i="22"/>
  <c r="H2366" i="22"/>
  <c r="H2365" i="22"/>
  <c r="H2364" i="22"/>
  <c r="H2363" i="22"/>
  <c r="H2362" i="22"/>
  <c r="H2361" i="22"/>
  <c r="H2360" i="22"/>
  <c r="H2359" i="22"/>
  <c r="H2358" i="22"/>
  <c r="H2357" i="22"/>
  <c r="H2356" i="22"/>
  <c r="H2355" i="22"/>
  <c r="H2354" i="22"/>
  <c r="H2353" i="22"/>
  <c r="H2352" i="22"/>
  <c r="H2351" i="22"/>
  <c r="H2350" i="22"/>
  <c r="H2349" i="22"/>
  <c r="H2348" i="22"/>
  <c r="H2347" i="22"/>
  <c r="H2346" i="22"/>
  <c r="H2345" i="22"/>
  <c r="H2344" i="22"/>
  <c r="H2343" i="22"/>
  <c r="H2342" i="22"/>
  <c r="H2341" i="22"/>
  <c r="H2340" i="22"/>
  <c r="H2339" i="22"/>
  <c r="H2338" i="22"/>
  <c r="H2337" i="22"/>
  <c r="H2336" i="22"/>
  <c r="H2335" i="22"/>
  <c r="H2334" i="22"/>
  <c r="H2333" i="22"/>
  <c r="H2332" i="22"/>
  <c r="H2331" i="22"/>
  <c r="H2330" i="22"/>
  <c r="H2329" i="22"/>
  <c r="H2328" i="22"/>
  <c r="H2327" i="22"/>
  <c r="H2326" i="22"/>
  <c r="H2325" i="22"/>
  <c r="H2324" i="22"/>
  <c r="H2323" i="22"/>
  <c r="H2322" i="22"/>
  <c r="H2321" i="22"/>
  <c r="H2320" i="22"/>
  <c r="H2319" i="22"/>
  <c r="H2318" i="22"/>
  <c r="H2317" i="22"/>
  <c r="H2316" i="22"/>
  <c r="H2315" i="22"/>
  <c r="H2314" i="22"/>
  <c r="H2313" i="22"/>
  <c r="H2312" i="22"/>
  <c r="H2311" i="22"/>
  <c r="H2310" i="22"/>
  <c r="H2309" i="22"/>
  <c r="H2308" i="22"/>
  <c r="H2307" i="22"/>
  <c r="H2306" i="22"/>
  <c r="H2305" i="22"/>
  <c r="H2304" i="22"/>
  <c r="H2303" i="22"/>
  <c r="H2302" i="22"/>
  <c r="H2301" i="22"/>
  <c r="H2300" i="22"/>
  <c r="H2299" i="22"/>
  <c r="H2298" i="22"/>
  <c r="H2297" i="22"/>
  <c r="H2296" i="22"/>
  <c r="H2295" i="22"/>
  <c r="H2294" i="22"/>
  <c r="H2293" i="22"/>
  <c r="H2292" i="22"/>
  <c r="H2291" i="22"/>
  <c r="H2290" i="22"/>
  <c r="H2289" i="22"/>
  <c r="H2288" i="22"/>
  <c r="H2287" i="22"/>
  <c r="H2286" i="22"/>
  <c r="H2285" i="22"/>
  <c r="H2284" i="22"/>
  <c r="H2283" i="22"/>
  <c r="H2282" i="22"/>
  <c r="H2281" i="22"/>
  <c r="H2280" i="22"/>
  <c r="H2279" i="22"/>
  <c r="H2278" i="22"/>
  <c r="H2277" i="22"/>
  <c r="H2276" i="22"/>
  <c r="H2275" i="22"/>
  <c r="H2274" i="22"/>
  <c r="H2273" i="22"/>
  <c r="H2272" i="22"/>
  <c r="H2271" i="22"/>
  <c r="H2270" i="22"/>
  <c r="H2269" i="22"/>
  <c r="H2268" i="22"/>
  <c r="H2267" i="22"/>
  <c r="H2266" i="22"/>
  <c r="H2265" i="22"/>
  <c r="H2264" i="22"/>
  <c r="H2263" i="22"/>
  <c r="H2262" i="22"/>
  <c r="H2261" i="22"/>
  <c r="H2260" i="22"/>
  <c r="H2259" i="22"/>
  <c r="H2258" i="22"/>
  <c r="H2257" i="22"/>
  <c r="H2256" i="22"/>
  <c r="H2255" i="22"/>
  <c r="H2254" i="22"/>
  <c r="H2253" i="22"/>
  <c r="H2252" i="22"/>
  <c r="H2251" i="22"/>
  <c r="H2250" i="22"/>
  <c r="H2249" i="22"/>
  <c r="H2248" i="22"/>
  <c r="H2247" i="22"/>
  <c r="H2246" i="22"/>
  <c r="H2245" i="22"/>
  <c r="H2244" i="22"/>
  <c r="H2243" i="22"/>
  <c r="H2242" i="22"/>
  <c r="H2241" i="22"/>
  <c r="H2240" i="22"/>
  <c r="H2239" i="22"/>
  <c r="H2238" i="22"/>
  <c r="H2237" i="22"/>
  <c r="H2236" i="22"/>
  <c r="H2235" i="22"/>
  <c r="H2234" i="22"/>
  <c r="H2233" i="22"/>
  <c r="H2232" i="22"/>
  <c r="H2231" i="22"/>
  <c r="H2230" i="22"/>
  <c r="H2229" i="22"/>
  <c r="H2228" i="22"/>
  <c r="H2227" i="22"/>
  <c r="H2226" i="22"/>
  <c r="H2225" i="22"/>
  <c r="H2224" i="22"/>
  <c r="H2223" i="22"/>
  <c r="H2222" i="22"/>
  <c r="H2221" i="22"/>
  <c r="H2220" i="22"/>
  <c r="H2219" i="22"/>
  <c r="H2218" i="22"/>
  <c r="H2217" i="22"/>
  <c r="H2216" i="22"/>
  <c r="H2215" i="22"/>
  <c r="H2214" i="22"/>
  <c r="H2213" i="22"/>
  <c r="H2212" i="22"/>
  <c r="H2211" i="22"/>
  <c r="H2210" i="22"/>
  <c r="H2209" i="22"/>
  <c r="H2208" i="22"/>
  <c r="H2207" i="22"/>
  <c r="H2206" i="22"/>
  <c r="H2205" i="22"/>
  <c r="H2204" i="22"/>
  <c r="H2203" i="22"/>
  <c r="H2202" i="22"/>
  <c r="H2201" i="22"/>
  <c r="H2200" i="22"/>
  <c r="H2199" i="22"/>
  <c r="H2198" i="22"/>
  <c r="H2197" i="22"/>
  <c r="H2196" i="22"/>
  <c r="H2195" i="22"/>
  <c r="H2194" i="22"/>
  <c r="H2193" i="22"/>
  <c r="H2192" i="22"/>
  <c r="H2191" i="22"/>
  <c r="H2190" i="22"/>
  <c r="H2189" i="22"/>
  <c r="H2188" i="22"/>
  <c r="H2187" i="22"/>
  <c r="H2186" i="22"/>
  <c r="H2185" i="22"/>
  <c r="H2184" i="22"/>
  <c r="H2183" i="22"/>
  <c r="H2182" i="22"/>
  <c r="H2181" i="22"/>
  <c r="H2180" i="22"/>
  <c r="H2179" i="22"/>
  <c r="H2178" i="22"/>
  <c r="H2177" i="22"/>
  <c r="H2176" i="22"/>
  <c r="H2175" i="22"/>
  <c r="H2174" i="22"/>
  <c r="H2173" i="22"/>
  <c r="H2172" i="22"/>
  <c r="H2171" i="22"/>
  <c r="H2170" i="22"/>
  <c r="H2169" i="22"/>
  <c r="H2168" i="22"/>
  <c r="H2167" i="22"/>
  <c r="H2166" i="22"/>
  <c r="H2165" i="22"/>
  <c r="H2164" i="22"/>
  <c r="H2163" i="22"/>
  <c r="H2162" i="22"/>
  <c r="H2161" i="22"/>
  <c r="H2160" i="22"/>
  <c r="H2159" i="22"/>
  <c r="H2158" i="22"/>
  <c r="H2157" i="22"/>
  <c r="H2156" i="22"/>
  <c r="H2155" i="22"/>
  <c r="H2154" i="22"/>
  <c r="H2153" i="22"/>
  <c r="H2152" i="22"/>
  <c r="H2151" i="22"/>
  <c r="H2150" i="22"/>
  <c r="H2149" i="22"/>
  <c r="H2148" i="22"/>
  <c r="H2147" i="22"/>
  <c r="H2146" i="22"/>
  <c r="H2145" i="22"/>
  <c r="H2144" i="22"/>
  <c r="H2143" i="22"/>
  <c r="H2142" i="22"/>
  <c r="H2141" i="22"/>
  <c r="H2140" i="22"/>
  <c r="H2139" i="22"/>
  <c r="H2138" i="22"/>
  <c r="H2137" i="22"/>
  <c r="H2136" i="22"/>
  <c r="H2135" i="22"/>
  <c r="H2134" i="22"/>
  <c r="H2133" i="22"/>
  <c r="H2132" i="22"/>
  <c r="H2131" i="22"/>
  <c r="H2130" i="22"/>
  <c r="H2129" i="22"/>
  <c r="H2128" i="22"/>
  <c r="H2127" i="22"/>
  <c r="H2126" i="22"/>
  <c r="H2125" i="22"/>
  <c r="H2124" i="22"/>
  <c r="H2123" i="22"/>
  <c r="H2122" i="22"/>
  <c r="H2121" i="22"/>
  <c r="H2120" i="22"/>
  <c r="H2119" i="22"/>
  <c r="H2118" i="22"/>
  <c r="H2117" i="22"/>
  <c r="H2116" i="22"/>
  <c r="H2115" i="22"/>
  <c r="H2114" i="22"/>
  <c r="H2113" i="22"/>
  <c r="H2112" i="22"/>
  <c r="H2111" i="22"/>
  <c r="H2110" i="22"/>
  <c r="H2109" i="22"/>
  <c r="H2108" i="22"/>
  <c r="H2107" i="22"/>
  <c r="H2106" i="22"/>
  <c r="H2105" i="22"/>
  <c r="H2104" i="22"/>
  <c r="H2103" i="22"/>
  <c r="H2102" i="22"/>
  <c r="H2101" i="22"/>
  <c r="H2100" i="22"/>
  <c r="H2099" i="22"/>
  <c r="H2098" i="22"/>
  <c r="H2097" i="22"/>
  <c r="H2096" i="22"/>
  <c r="H2095" i="22"/>
  <c r="H2094" i="22"/>
  <c r="H2093" i="22"/>
  <c r="H2092" i="22"/>
  <c r="H2091" i="22"/>
  <c r="H2090" i="22"/>
  <c r="H2089" i="22"/>
  <c r="H2088" i="22"/>
  <c r="H2087" i="22"/>
  <c r="H2086" i="22"/>
  <c r="H2085" i="22"/>
  <c r="H2084" i="22"/>
  <c r="H2083" i="22"/>
  <c r="H2082" i="22"/>
  <c r="H2081" i="22"/>
  <c r="H2080" i="22"/>
  <c r="H2079" i="22"/>
  <c r="H2078" i="22"/>
  <c r="H2077" i="22"/>
  <c r="H2076" i="22"/>
  <c r="H2075" i="22"/>
  <c r="H2074" i="22"/>
  <c r="H2073" i="22"/>
  <c r="H2072" i="22"/>
  <c r="H2071" i="22"/>
  <c r="H2070" i="22"/>
  <c r="H2069" i="22"/>
  <c r="H2068" i="22"/>
  <c r="H2067" i="22"/>
  <c r="H2066" i="22"/>
  <c r="H2065" i="22"/>
  <c r="H2064" i="22"/>
  <c r="H2063" i="22"/>
  <c r="H2062" i="22"/>
  <c r="G31" i="3" s="1"/>
  <c r="K31" i="3" s="1"/>
  <c r="H2061" i="22"/>
  <c r="H2060" i="22"/>
  <c r="H2059" i="22"/>
  <c r="H2058" i="22"/>
  <c r="H2057" i="22"/>
  <c r="H2056" i="22"/>
  <c r="H2055" i="22"/>
  <c r="H2054" i="22"/>
  <c r="H2053" i="22"/>
  <c r="H2052" i="22"/>
  <c r="H2051" i="22"/>
  <c r="H2050" i="22"/>
  <c r="H2049" i="22"/>
  <c r="H2048" i="22"/>
  <c r="H2047" i="22"/>
  <c r="H2046" i="22"/>
  <c r="H2045" i="22"/>
  <c r="H2044" i="22"/>
  <c r="H2043" i="22"/>
  <c r="H2042" i="22"/>
  <c r="H2041" i="22"/>
  <c r="H2040" i="22"/>
  <c r="H2039" i="22"/>
  <c r="H2038" i="22"/>
  <c r="H2037" i="22"/>
  <c r="H2036" i="22"/>
  <c r="H2035" i="22"/>
  <c r="H2034" i="22"/>
  <c r="H2033" i="22"/>
  <c r="H2032" i="22"/>
  <c r="H2031" i="22"/>
  <c r="H2030" i="22"/>
  <c r="H2029" i="22"/>
  <c r="H2028" i="22"/>
  <c r="H2027" i="22"/>
  <c r="H2026" i="22"/>
  <c r="H2025" i="22"/>
  <c r="H2024" i="22"/>
  <c r="H2023" i="22"/>
  <c r="H2022" i="22"/>
  <c r="H2021" i="22"/>
  <c r="H2020" i="22"/>
  <c r="H2019" i="22"/>
  <c r="H2018" i="22"/>
  <c r="H2017" i="22"/>
  <c r="H2016" i="22"/>
  <c r="H2015" i="22"/>
  <c r="H2014" i="22"/>
  <c r="H2013" i="22"/>
  <c r="H2012" i="22"/>
  <c r="H2011" i="22"/>
  <c r="H2010" i="22"/>
  <c r="H2009" i="22"/>
  <c r="H2008" i="22"/>
  <c r="H2007" i="22"/>
  <c r="H2006" i="22"/>
  <c r="H2005" i="22"/>
  <c r="H2004" i="22"/>
  <c r="H2003" i="22"/>
  <c r="H2002" i="22"/>
  <c r="H2001" i="22"/>
  <c r="H2000" i="22"/>
  <c r="H1999" i="22"/>
  <c r="G30" i="3" s="1"/>
  <c r="K30" i="3" s="1"/>
  <c r="H1998" i="22"/>
  <c r="H1997" i="22"/>
  <c r="H1996" i="22"/>
  <c r="H1995" i="22"/>
  <c r="H1994" i="22"/>
  <c r="H1993" i="22"/>
  <c r="H1992" i="22"/>
  <c r="H1991" i="22"/>
  <c r="H1990" i="22"/>
  <c r="H1989" i="22"/>
  <c r="H1988" i="22"/>
  <c r="H1987" i="22"/>
  <c r="H1986" i="22"/>
  <c r="H1985" i="22"/>
  <c r="H1984" i="22"/>
  <c r="H1983" i="22"/>
  <c r="H1982" i="22"/>
  <c r="H1981" i="22"/>
  <c r="H1980" i="22"/>
  <c r="H1979" i="22"/>
  <c r="H1978" i="22"/>
  <c r="H1977" i="22"/>
  <c r="H1976" i="22"/>
  <c r="H1975" i="22"/>
  <c r="H1974" i="22"/>
  <c r="H1973" i="22"/>
  <c r="H1972" i="22"/>
  <c r="H1971" i="22"/>
  <c r="H1970" i="22"/>
  <c r="H1969" i="22"/>
  <c r="H1968" i="22"/>
  <c r="H1967" i="22"/>
  <c r="H1966" i="22"/>
  <c r="H1965" i="22"/>
  <c r="H1964" i="22"/>
  <c r="H1963" i="22"/>
  <c r="H1962" i="22"/>
  <c r="H1961" i="22"/>
  <c r="H1960" i="22"/>
  <c r="H1959" i="22"/>
  <c r="H1958" i="22"/>
  <c r="H1957" i="22"/>
  <c r="H1956" i="22"/>
  <c r="H1955" i="22"/>
  <c r="H1954" i="22"/>
  <c r="H1953" i="22"/>
  <c r="H1952" i="22"/>
  <c r="H1951" i="22"/>
  <c r="H1950" i="22"/>
  <c r="H1949" i="22"/>
  <c r="H1948" i="22"/>
  <c r="H1947" i="22"/>
  <c r="H1946" i="22"/>
  <c r="H1945" i="22"/>
  <c r="H1944" i="22"/>
  <c r="H1943" i="22"/>
  <c r="H1942" i="22"/>
  <c r="G29" i="3" s="1"/>
  <c r="H1941" i="22"/>
  <c r="H1940" i="22"/>
  <c r="H1939" i="22"/>
  <c r="H1938" i="22"/>
  <c r="H1937" i="22"/>
  <c r="H1936" i="22"/>
  <c r="H1935" i="22"/>
  <c r="H1934" i="22"/>
  <c r="H1933" i="22"/>
  <c r="H1932" i="22"/>
  <c r="H1931" i="22"/>
  <c r="H1930" i="22"/>
  <c r="H1929" i="22"/>
  <c r="H1928" i="22"/>
  <c r="H1927" i="22"/>
  <c r="H1926" i="22"/>
  <c r="H1925" i="22"/>
  <c r="H1924" i="22"/>
  <c r="H1923" i="22"/>
  <c r="H1922" i="22"/>
  <c r="H1921" i="22"/>
  <c r="H1920" i="22"/>
  <c r="H1919" i="22"/>
  <c r="H1918" i="22"/>
  <c r="H1917" i="22"/>
  <c r="H1916" i="22"/>
  <c r="H1915" i="22"/>
  <c r="H1914" i="22"/>
  <c r="H1913" i="22"/>
  <c r="H1912" i="22"/>
  <c r="H1911" i="22"/>
  <c r="H1910" i="22"/>
  <c r="H1909" i="22"/>
  <c r="H1908" i="22"/>
  <c r="H1907" i="22"/>
  <c r="H1906" i="22"/>
  <c r="H1905" i="22"/>
  <c r="H1904" i="22"/>
  <c r="H1903" i="22"/>
  <c r="H1902" i="22"/>
  <c r="H1901" i="22"/>
  <c r="H1900" i="22"/>
  <c r="H1899" i="22"/>
  <c r="H1898" i="22"/>
  <c r="H1897" i="22"/>
  <c r="H1896" i="22"/>
  <c r="H1895" i="22"/>
  <c r="H1894" i="22"/>
  <c r="H1893" i="22"/>
  <c r="H1892" i="22"/>
  <c r="H1891" i="22"/>
  <c r="H1890" i="22"/>
  <c r="H1889" i="22"/>
  <c r="H1888" i="22"/>
  <c r="H1887" i="22"/>
  <c r="H1886" i="22"/>
  <c r="H1885" i="22"/>
  <c r="H1884" i="22"/>
  <c r="H1883" i="22"/>
  <c r="H1882" i="22"/>
  <c r="H1881" i="22"/>
  <c r="H1880" i="22"/>
  <c r="H1879" i="22"/>
  <c r="H1878" i="22"/>
  <c r="H1877" i="22"/>
  <c r="H1876" i="22"/>
  <c r="H1875" i="22"/>
  <c r="H1874" i="22"/>
  <c r="H1873" i="22"/>
  <c r="H1872" i="22"/>
  <c r="H1871" i="22"/>
  <c r="H1870" i="22"/>
  <c r="H1869" i="22"/>
  <c r="H1868" i="22"/>
  <c r="H1867" i="22"/>
  <c r="H1866" i="22"/>
  <c r="H1865" i="22"/>
  <c r="H1864" i="22"/>
  <c r="H1863" i="22"/>
  <c r="H1862" i="22"/>
  <c r="H1861" i="22"/>
  <c r="H1860" i="22"/>
  <c r="H1859" i="22"/>
  <c r="H1858" i="22"/>
  <c r="H1857" i="22"/>
  <c r="H1856" i="22"/>
  <c r="H1855" i="22"/>
  <c r="H1854" i="22"/>
  <c r="H1853" i="22"/>
  <c r="H1852" i="22"/>
  <c r="H1851" i="22"/>
  <c r="H1850" i="22"/>
  <c r="H1849" i="22"/>
  <c r="H1848" i="22"/>
  <c r="H1847" i="22"/>
  <c r="H1846" i="22"/>
  <c r="H1845" i="22"/>
  <c r="H1844" i="22"/>
  <c r="H1843" i="22"/>
  <c r="H1842" i="22"/>
  <c r="H1841" i="22"/>
  <c r="H1840" i="22"/>
  <c r="H1839" i="22"/>
  <c r="H1838" i="22"/>
  <c r="H1837" i="22"/>
  <c r="H1836" i="22"/>
  <c r="H1835" i="22"/>
  <c r="H1834" i="22"/>
  <c r="H1833" i="22"/>
  <c r="H1832" i="22"/>
  <c r="H1831" i="22"/>
  <c r="H1830" i="22"/>
  <c r="H1829" i="22"/>
  <c r="H1828" i="22"/>
  <c r="H1827" i="22"/>
  <c r="H1826" i="22"/>
  <c r="H1825" i="22"/>
  <c r="H1824" i="22"/>
  <c r="H1823" i="22"/>
  <c r="H1822" i="22"/>
  <c r="H1821" i="22"/>
  <c r="H1820" i="22"/>
  <c r="H1819" i="22"/>
  <c r="H1818" i="22"/>
  <c r="H1817" i="22"/>
  <c r="H1816" i="22"/>
  <c r="H1815" i="22"/>
  <c r="H1814" i="22"/>
  <c r="H1813" i="22"/>
  <c r="H1812" i="22"/>
  <c r="H1811" i="22"/>
  <c r="H1810" i="22"/>
  <c r="H1809" i="22"/>
  <c r="H1808" i="22"/>
  <c r="H1807" i="22"/>
  <c r="H1806" i="22"/>
  <c r="H1805" i="22"/>
  <c r="H1804" i="22"/>
  <c r="H1803" i="22"/>
  <c r="H1802" i="22"/>
  <c r="H1801" i="22"/>
  <c r="H1800" i="22"/>
  <c r="H1799" i="22"/>
  <c r="H1798" i="22"/>
  <c r="H1797" i="22"/>
  <c r="H1796" i="22"/>
  <c r="H1795" i="22"/>
  <c r="H1794" i="22"/>
  <c r="H1793" i="22"/>
  <c r="H1792" i="22"/>
  <c r="H1791" i="22"/>
  <c r="H1790" i="22"/>
  <c r="H1789" i="22"/>
  <c r="H1788" i="22"/>
  <c r="H1787" i="22"/>
  <c r="H1786" i="22"/>
  <c r="H1785" i="22"/>
  <c r="H1784" i="22"/>
  <c r="H1783" i="22"/>
  <c r="H1782" i="22"/>
  <c r="H1781" i="22"/>
  <c r="H1780" i="22"/>
  <c r="H1779" i="22"/>
  <c r="H1778" i="22"/>
  <c r="H1777" i="22"/>
  <c r="H1776" i="22"/>
  <c r="H1775" i="22"/>
  <c r="H1774" i="22"/>
  <c r="H1773" i="22"/>
  <c r="H1772" i="22"/>
  <c r="H1771" i="22"/>
  <c r="H1770" i="22"/>
  <c r="H1769" i="22"/>
  <c r="H1768" i="22"/>
  <c r="H1767" i="22"/>
  <c r="H1766" i="22"/>
  <c r="H1765" i="22"/>
  <c r="H1764" i="22"/>
  <c r="H1763" i="22"/>
  <c r="H1762" i="22"/>
  <c r="H1761" i="22"/>
  <c r="H1760" i="22"/>
  <c r="H1759" i="22"/>
  <c r="H1758" i="22"/>
  <c r="H1757" i="22"/>
  <c r="H1756" i="22"/>
  <c r="H1755" i="22"/>
  <c r="H1754" i="22"/>
  <c r="H1753" i="22"/>
  <c r="H1752" i="22"/>
  <c r="H1751" i="22"/>
  <c r="H1750" i="22"/>
  <c r="H1749" i="22"/>
  <c r="H1748" i="22"/>
  <c r="H1747" i="22"/>
  <c r="H1746" i="22"/>
  <c r="H1745" i="22"/>
  <c r="H1744" i="22"/>
  <c r="H1743" i="22"/>
  <c r="H1742" i="22"/>
  <c r="H1741" i="22"/>
  <c r="H1740" i="22"/>
  <c r="H1739" i="22"/>
  <c r="H1738" i="22"/>
  <c r="H1737" i="22"/>
  <c r="H1736" i="22"/>
  <c r="H1735" i="22"/>
  <c r="H1734" i="22"/>
  <c r="H1733" i="22"/>
  <c r="H1732" i="22"/>
  <c r="H1731" i="22"/>
  <c r="H1730" i="22"/>
  <c r="H1729" i="22"/>
  <c r="H1728" i="22"/>
  <c r="H1727" i="22"/>
  <c r="H1726" i="22"/>
  <c r="H1725" i="22"/>
  <c r="H1724" i="22"/>
  <c r="H1723" i="22"/>
  <c r="H1722" i="22"/>
  <c r="H1721" i="22"/>
  <c r="H1720" i="22"/>
  <c r="H1719" i="22"/>
  <c r="H1718" i="22"/>
  <c r="H1717" i="22"/>
  <c r="H1716" i="22"/>
  <c r="H1715" i="22"/>
  <c r="H1714" i="22"/>
  <c r="H1713" i="22"/>
  <c r="H1712" i="22"/>
  <c r="H1711" i="22"/>
  <c r="H1710" i="22"/>
  <c r="H1709" i="22"/>
  <c r="H1708" i="22"/>
  <c r="H1707" i="22"/>
  <c r="H1706" i="22"/>
  <c r="H1705" i="22"/>
  <c r="G641" i="3" s="1"/>
  <c r="H1704" i="22"/>
  <c r="H1703" i="22"/>
  <c r="H1702" i="22"/>
  <c r="H1701" i="22"/>
  <c r="H1700" i="22"/>
  <c r="H1699" i="22"/>
  <c r="H1698" i="22"/>
  <c r="H1697" i="22"/>
  <c r="H1696" i="22"/>
  <c r="H1695" i="22"/>
  <c r="H1694" i="22"/>
  <c r="H1693" i="22"/>
  <c r="H1692" i="22"/>
  <c r="H1691" i="22"/>
  <c r="H1690" i="22"/>
  <c r="H1689" i="22"/>
  <c r="H1688" i="22"/>
  <c r="H1687" i="22"/>
  <c r="H1686" i="22"/>
  <c r="H1685" i="22"/>
  <c r="H1684" i="22"/>
  <c r="H1683" i="22"/>
  <c r="H1682" i="22"/>
  <c r="H1681" i="22"/>
  <c r="H1680" i="22"/>
  <c r="H1679" i="22"/>
  <c r="H1678" i="22"/>
  <c r="H1677" i="22"/>
  <c r="H1676" i="22"/>
  <c r="H1675" i="22"/>
  <c r="H1674" i="22"/>
  <c r="H1673" i="22"/>
  <c r="H1672" i="22"/>
  <c r="H1671" i="22"/>
  <c r="H1670" i="22"/>
  <c r="H1669" i="22"/>
  <c r="H1668" i="22"/>
  <c r="H1667" i="22"/>
  <c r="H1666" i="22"/>
  <c r="H1665" i="22"/>
  <c r="H1664" i="22"/>
  <c r="H1663" i="22"/>
  <c r="H1662" i="22"/>
  <c r="H1661" i="22"/>
  <c r="H1660" i="22"/>
  <c r="H1659" i="22"/>
  <c r="H1658" i="22"/>
  <c r="H1657" i="22"/>
  <c r="H1656" i="22"/>
  <c r="H1655" i="22"/>
  <c r="H1654" i="22"/>
  <c r="H1653" i="22"/>
  <c r="H1652" i="22"/>
  <c r="H1651" i="22"/>
  <c r="H1650" i="22"/>
  <c r="H1649" i="22"/>
  <c r="H1648" i="22"/>
  <c r="H1647" i="22"/>
  <c r="H1646" i="22"/>
  <c r="H1645" i="22"/>
  <c r="H1644" i="22"/>
  <c r="H1643" i="22"/>
  <c r="H1642" i="22"/>
  <c r="H1641" i="22"/>
  <c r="H1640" i="22"/>
  <c r="H1639" i="22"/>
  <c r="H1638" i="22"/>
  <c r="H1637" i="22"/>
  <c r="H1636" i="22"/>
  <c r="H1635" i="22"/>
  <c r="H1634" i="22"/>
  <c r="H1633" i="22"/>
  <c r="H1632" i="22"/>
  <c r="H1631" i="22"/>
  <c r="H1630" i="22"/>
  <c r="H1629" i="22"/>
  <c r="H1628" i="22"/>
  <c r="H1627" i="22"/>
  <c r="H1626" i="22"/>
  <c r="H1625" i="22"/>
  <c r="H1624" i="22"/>
  <c r="H1623" i="22"/>
  <c r="H1622" i="22"/>
  <c r="H1621" i="22"/>
  <c r="H1620" i="22"/>
  <c r="H1619" i="22"/>
  <c r="H1618" i="22"/>
  <c r="H1617" i="22"/>
  <c r="H1616" i="22"/>
  <c r="H1615" i="22"/>
  <c r="H1614" i="22"/>
  <c r="H1613" i="22"/>
  <c r="H1612" i="22"/>
  <c r="H1611" i="22"/>
  <c r="H1610" i="22"/>
  <c r="H1609" i="22"/>
  <c r="H1608" i="22"/>
  <c r="H1607" i="22"/>
  <c r="H1606" i="22"/>
  <c r="H1605" i="22"/>
  <c r="H1604" i="22"/>
  <c r="H1603" i="22"/>
  <c r="H1602" i="22"/>
  <c r="H1601" i="22"/>
  <c r="H1600" i="22"/>
  <c r="H1599" i="22"/>
  <c r="H1598" i="22"/>
  <c r="H1597" i="22"/>
  <c r="H1596" i="22"/>
  <c r="H1595" i="22"/>
  <c r="H1594" i="22"/>
  <c r="H1593" i="22"/>
  <c r="H1592" i="22"/>
  <c r="H1591" i="22"/>
  <c r="H1590" i="22"/>
  <c r="H1589" i="22"/>
  <c r="H1588" i="22"/>
  <c r="H1587" i="22"/>
  <c r="H1586" i="22"/>
  <c r="H1585" i="22"/>
  <c r="H1584" i="22"/>
  <c r="H1583" i="22"/>
  <c r="H1582" i="22"/>
  <c r="H1581" i="22"/>
  <c r="H1580" i="22"/>
  <c r="H1579" i="22"/>
  <c r="H1578" i="22"/>
  <c r="H1577" i="22"/>
  <c r="H1576" i="22"/>
  <c r="H1575" i="22"/>
  <c r="H1574" i="22"/>
  <c r="H1573" i="22"/>
  <c r="H1572" i="22"/>
  <c r="H1571" i="22"/>
  <c r="H1570" i="22"/>
  <c r="H1569" i="22"/>
  <c r="H1568" i="22"/>
  <c r="H1567" i="22"/>
  <c r="H1566" i="22"/>
  <c r="H1565" i="22"/>
  <c r="H1564" i="22"/>
  <c r="H1563" i="22"/>
  <c r="H1562" i="22"/>
  <c r="H1561" i="22"/>
  <c r="H1560" i="22"/>
  <c r="H1559" i="22"/>
  <c r="H1558" i="22"/>
  <c r="H1557" i="22"/>
  <c r="H1556" i="22"/>
  <c r="H1555" i="22"/>
  <c r="H1554" i="22"/>
  <c r="H1553" i="22"/>
  <c r="H1552" i="22"/>
  <c r="H1551" i="22"/>
  <c r="H1550" i="22"/>
  <c r="H1549" i="22"/>
  <c r="H1548" i="22"/>
  <c r="H1547" i="22"/>
  <c r="H1546" i="22"/>
  <c r="H1545" i="22"/>
  <c r="H1544" i="22"/>
  <c r="H1543" i="22"/>
  <c r="H1542" i="22"/>
  <c r="H1541" i="22"/>
  <c r="H1540" i="22"/>
  <c r="H1539" i="22"/>
  <c r="H1538" i="22"/>
  <c r="H1537" i="22"/>
  <c r="H1536" i="22"/>
  <c r="H1535" i="22"/>
  <c r="H1534" i="22"/>
  <c r="H1533" i="22"/>
  <c r="H1532" i="22"/>
  <c r="H1531" i="22"/>
  <c r="H1530" i="22"/>
  <c r="H1529" i="22"/>
  <c r="H1528" i="22"/>
  <c r="H1527" i="22"/>
  <c r="H1526" i="22"/>
  <c r="H1525" i="22"/>
  <c r="H1524" i="22"/>
  <c r="H1523" i="22"/>
  <c r="H1522" i="22"/>
  <c r="H1521" i="22"/>
  <c r="H1520" i="22"/>
  <c r="H1519" i="22"/>
  <c r="H1518" i="22"/>
  <c r="H1517" i="22"/>
  <c r="H1516" i="22"/>
  <c r="H1515" i="22"/>
  <c r="H1514" i="22"/>
  <c r="H1513" i="22"/>
  <c r="H1512" i="22"/>
  <c r="H1511" i="22"/>
  <c r="H1510" i="22"/>
  <c r="H1509" i="22"/>
  <c r="H1508" i="22"/>
  <c r="H1507" i="22"/>
  <c r="H1506" i="22"/>
  <c r="H1505" i="22"/>
  <c r="H1504" i="22"/>
  <c r="H1503" i="22"/>
  <c r="H1502" i="22"/>
  <c r="H1501" i="22"/>
  <c r="H1500" i="22"/>
  <c r="H1499" i="22"/>
  <c r="H1498" i="22"/>
  <c r="H1497" i="22"/>
  <c r="H1496" i="22"/>
  <c r="H1495" i="22"/>
  <c r="H1494" i="22"/>
  <c r="H1493" i="22"/>
  <c r="H1492" i="22"/>
  <c r="H1491" i="22"/>
  <c r="H1490" i="22"/>
  <c r="H1489" i="22"/>
  <c r="H1488" i="22"/>
  <c r="H1487" i="22"/>
  <c r="H1486" i="22"/>
  <c r="H1485" i="22"/>
  <c r="H1484" i="22"/>
  <c r="H1483" i="22"/>
  <c r="H1482" i="22"/>
  <c r="H1481" i="22"/>
  <c r="H1480" i="22"/>
  <c r="H1479" i="22"/>
  <c r="H1478" i="22"/>
  <c r="H1477" i="22"/>
  <c r="H1476" i="22"/>
  <c r="H1475" i="22"/>
  <c r="H1474" i="22"/>
  <c r="H1473" i="22"/>
  <c r="H1472" i="22"/>
  <c r="H1471" i="22"/>
  <c r="H1470" i="22"/>
  <c r="H1469" i="22"/>
  <c r="H1468" i="22"/>
  <c r="H1467" i="22"/>
  <c r="H1466" i="22"/>
  <c r="H1465" i="22"/>
  <c r="H1464" i="22"/>
  <c r="H1463" i="22"/>
  <c r="H1462" i="22"/>
  <c r="H1461" i="22"/>
  <c r="H1460" i="22"/>
  <c r="H1459" i="22"/>
  <c r="H1458" i="22"/>
  <c r="H1457" i="22"/>
  <c r="H1456" i="22"/>
  <c r="H1455" i="22"/>
  <c r="H1454" i="22"/>
  <c r="H1453" i="22"/>
  <c r="H1452" i="22"/>
  <c r="H1451" i="22"/>
  <c r="H1450" i="22"/>
  <c r="H1449" i="22"/>
  <c r="H1448" i="22"/>
  <c r="H1447" i="22"/>
  <c r="H1446" i="22"/>
  <c r="H1445" i="22"/>
  <c r="H1444" i="22"/>
  <c r="H1443" i="22"/>
  <c r="H1442" i="22"/>
  <c r="H1441" i="22"/>
  <c r="H1440" i="22"/>
  <c r="H1439" i="22"/>
  <c r="H1438" i="22"/>
  <c r="H1437" i="22"/>
  <c r="H1436" i="22"/>
  <c r="H1435" i="22"/>
  <c r="H1434" i="22"/>
  <c r="H1433" i="22"/>
  <c r="H1432" i="22"/>
  <c r="H1431" i="22"/>
  <c r="H1430" i="22"/>
  <c r="H1429" i="22"/>
  <c r="H1428" i="22"/>
  <c r="H1427" i="22"/>
  <c r="H1426" i="22"/>
  <c r="H1425" i="22"/>
  <c r="H1424" i="22"/>
  <c r="H1423" i="22"/>
  <c r="H1422" i="22"/>
  <c r="H1421" i="22"/>
  <c r="H1420" i="22"/>
  <c r="H1419" i="22"/>
  <c r="H1418" i="22"/>
  <c r="H1417" i="22"/>
  <c r="H1416" i="22"/>
  <c r="H1415" i="22"/>
  <c r="H1414" i="22"/>
  <c r="H1413" i="22"/>
  <c r="H1412" i="22"/>
  <c r="H1411" i="22"/>
  <c r="H1410" i="22"/>
  <c r="H1409" i="22"/>
  <c r="H1408" i="22"/>
  <c r="H1407" i="22"/>
  <c r="H1406" i="22"/>
  <c r="H1405" i="22"/>
  <c r="H1404" i="22"/>
  <c r="H1403" i="22"/>
  <c r="H1402" i="22"/>
  <c r="H1401" i="22"/>
  <c r="H1400" i="22"/>
  <c r="H1399" i="22"/>
  <c r="H1398" i="22"/>
  <c r="H1397" i="22"/>
  <c r="H1396" i="22"/>
  <c r="H1395" i="22"/>
  <c r="H1394" i="22"/>
  <c r="H1393" i="22"/>
  <c r="H1392" i="22"/>
  <c r="H1391" i="22"/>
  <c r="H1390" i="22"/>
  <c r="H1389" i="22"/>
  <c r="H1388" i="22"/>
  <c r="H1387" i="22"/>
  <c r="H1386" i="22"/>
  <c r="H1385" i="22"/>
  <c r="H1384" i="22"/>
  <c r="H1383" i="22"/>
  <c r="H1382" i="22"/>
  <c r="H1381" i="22"/>
  <c r="H1380" i="22"/>
  <c r="H1379" i="22"/>
  <c r="H1378" i="22"/>
  <c r="H1377" i="22"/>
  <c r="H1376" i="22"/>
  <c r="H1375" i="22"/>
  <c r="H1374" i="22"/>
  <c r="H1373" i="22"/>
  <c r="H1372" i="22"/>
  <c r="H1371" i="22"/>
  <c r="H1370" i="22"/>
  <c r="H1369" i="22"/>
  <c r="H1368" i="22"/>
  <c r="H1367" i="22"/>
  <c r="H1366" i="22"/>
  <c r="H1365" i="22"/>
  <c r="H1364" i="22"/>
  <c r="H1363" i="22"/>
  <c r="H1362" i="22"/>
  <c r="H1361" i="22"/>
  <c r="H1360" i="22"/>
  <c r="H1359" i="22"/>
  <c r="H1358" i="22"/>
  <c r="H1357" i="22"/>
  <c r="H1356" i="22"/>
  <c r="H1355" i="22"/>
  <c r="H1354" i="22"/>
  <c r="H1353" i="22"/>
  <c r="H1352" i="22"/>
  <c r="H1351" i="22"/>
  <c r="H1350" i="22"/>
  <c r="H1349" i="22"/>
  <c r="H1348" i="22"/>
  <c r="H1347" i="22"/>
  <c r="H1346" i="22"/>
  <c r="H1345" i="22"/>
  <c r="H1344" i="22"/>
  <c r="H1343" i="22"/>
  <c r="H1342" i="22"/>
  <c r="H1341" i="22"/>
  <c r="H1340" i="22"/>
  <c r="H1339" i="22"/>
  <c r="H1338" i="22"/>
  <c r="H1337" i="22"/>
  <c r="H1336" i="22"/>
  <c r="H1335" i="22"/>
  <c r="H1334" i="22"/>
  <c r="H1333" i="22"/>
  <c r="H1332" i="22"/>
  <c r="H1331" i="22"/>
  <c r="H1330" i="22"/>
  <c r="H1329" i="22"/>
  <c r="H1328" i="22"/>
  <c r="H1327" i="22"/>
  <c r="H1326" i="22"/>
  <c r="H1325" i="22"/>
  <c r="H1324" i="22"/>
  <c r="H1323" i="22"/>
  <c r="H1322" i="22"/>
  <c r="H1321" i="22"/>
  <c r="H1320" i="22"/>
  <c r="H1319" i="22"/>
  <c r="H1318" i="22"/>
  <c r="H1317" i="22"/>
  <c r="H1316" i="22"/>
  <c r="H1315" i="22"/>
  <c r="H1314" i="22"/>
  <c r="H1313" i="22"/>
  <c r="H1312" i="22"/>
  <c r="H1311" i="22"/>
  <c r="H1310" i="22"/>
  <c r="H1309" i="22"/>
  <c r="H1308" i="22"/>
  <c r="H1307" i="22"/>
  <c r="H1306" i="22"/>
  <c r="H1305" i="22"/>
  <c r="H1304" i="22"/>
  <c r="H1303" i="22"/>
  <c r="H1302" i="22"/>
  <c r="H1301" i="22"/>
  <c r="H1300" i="22"/>
  <c r="H1299" i="22"/>
  <c r="H1298" i="22"/>
  <c r="H1297" i="22"/>
  <c r="H1296" i="22"/>
  <c r="H1295" i="22"/>
  <c r="H1294" i="22"/>
  <c r="H1293" i="22"/>
  <c r="H1292" i="22"/>
  <c r="H1291" i="22"/>
  <c r="H1290" i="22"/>
  <c r="H1289" i="22"/>
  <c r="H1288" i="22"/>
  <c r="H1287" i="22"/>
  <c r="H1286" i="22"/>
  <c r="H1285" i="22"/>
  <c r="H1284" i="22"/>
  <c r="H1283" i="22"/>
  <c r="H1282" i="22"/>
  <c r="H1281" i="22"/>
  <c r="H1280" i="22"/>
  <c r="H1279" i="22"/>
  <c r="H1278" i="22"/>
  <c r="H1277" i="22"/>
  <c r="H1276" i="22"/>
  <c r="H1275" i="22"/>
  <c r="H1274" i="22"/>
  <c r="H1273" i="22"/>
  <c r="H1272" i="22"/>
  <c r="H1271" i="22"/>
  <c r="H1270" i="22"/>
  <c r="H1269" i="22"/>
  <c r="H1268" i="22"/>
  <c r="H1267" i="22"/>
  <c r="H1266" i="22"/>
  <c r="H1265" i="22"/>
  <c r="H1264" i="22"/>
  <c r="H1263" i="22"/>
  <c r="H1262" i="22"/>
  <c r="H1261" i="22"/>
  <c r="H1260" i="22"/>
  <c r="H1259" i="22"/>
  <c r="H1258" i="22"/>
  <c r="H1257" i="22"/>
  <c r="H1256" i="22"/>
  <c r="H1255" i="22"/>
  <c r="H1254" i="22"/>
  <c r="H1253" i="22"/>
  <c r="H1252" i="22"/>
  <c r="H1251" i="22"/>
  <c r="H1250" i="22"/>
  <c r="H1249" i="22"/>
  <c r="H1248" i="22"/>
  <c r="H1247" i="22"/>
  <c r="H1246" i="22"/>
  <c r="H1245" i="22"/>
  <c r="H1244" i="22"/>
  <c r="H1243" i="22"/>
  <c r="H1242" i="22"/>
  <c r="H1241" i="22"/>
  <c r="H1240" i="22"/>
  <c r="H1239" i="22"/>
  <c r="H1238" i="22"/>
  <c r="H1237" i="22"/>
  <c r="H1236" i="22"/>
  <c r="H1235" i="22"/>
  <c r="H1234" i="22"/>
  <c r="H1233" i="22"/>
  <c r="H1232" i="22"/>
  <c r="H1231" i="22"/>
  <c r="H1230" i="22"/>
  <c r="H1229" i="22"/>
  <c r="H1228" i="22"/>
  <c r="H1227" i="22"/>
  <c r="H1226" i="22"/>
  <c r="H1225" i="22"/>
  <c r="H1224" i="22"/>
  <c r="H1223" i="22"/>
  <c r="H1222" i="22"/>
  <c r="H1221" i="22"/>
  <c r="H1220" i="22"/>
  <c r="H1219" i="22"/>
  <c r="H1218" i="22"/>
  <c r="H1217" i="22"/>
  <c r="H1216" i="22"/>
  <c r="H1215" i="22"/>
  <c r="H1214" i="22"/>
  <c r="H1213" i="22"/>
  <c r="H1212" i="22"/>
  <c r="H1211" i="22"/>
  <c r="H1210" i="22"/>
  <c r="H1209" i="22"/>
  <c r="H1208" i="22"/>
  <c r="H1207" i="22"/>
  <c r="H1206" i="22"/>
  <c r="H1205" i="22"/>
  <c r="H1204" i="22"/>
  <c r="H1203" i="22"/>
  <c r="H1202" i="22"/>
  <c r="H1201" i="22"/>
  <c r="H1200" i="22"/>
  <c r="H1199" i="22"/>
  <c r="H1198" i="22"/>
  <c r="H1197" i="22"/>
  <c r="H1196" i="22"/>
  <c r="H1195" i="22"/>
  <c r="H1194" i="22"/>
  <c r="H1193" i="22"/>
  <c r="H1192" i="22"/>
  <c r="H1191" i="22"/>
  <c r="H1190" i="22"/>
  <c r="H1189" i="22"/>
  <c r="H1188" i="22"/>
  <c r="H1187" i="22"/>
  <c r="H1186" i="22"/>
  <c r="H1185" i="22"/>
  <c r="H1184" i="22"/>
  <c r="H1183" i="22"/>
  <c r="H1182" i="22"/>
  <c r="H1181" i="22"/>
  <c r="H1180" i="22"/>
  <c r="H1179" i="22"/>
  <c r="H1178" i="22"/>
  <c r="H1177" i="22"/>
  <c r="H1176" i="22"/>
  <c r="H1175" i="22"/>
  <c r="H1174" i="22"/>
  <c r="H1173" i="22"/>
  <c r="H1172" i="22"/>
  <c r="H1171" i="22"/>
  <c r="H1170" i="22"/>
  <c r="H1169" i="22"/>
  <c r="H1168" i="22"/>
  <c r="H1167" i="22"/>
  <c r="H1166" i="22"/>
  <c r="H1165" i="22"/>
  <c r="H1164" i="22"/>
  <c r="H1163" i="22"/>
  <c r="H1162" i="22"/>
  <c r="H1161" i="22"/>
  <c r="H1160" i="22"/>
  <c r="H1159" i="22"/>
  <c r="H1158" i="22"/>
  <c r="H1157" i="22"/>
  <c r="H1156" i="22"/>
  <c r="H1155" i="22"/>
  <c r="H1154" i="22"/>
  <c r="H1153" i="22"/>
  <c r="H1152" i="22"/>
  <c r="H1151" i="22"/>
  <c r="H1150" i="22"/>
  <c r="H1149" i="22"/>
  <c r="H1148" i="22"/>
  <c r="H1147" i="22"/>
  <c r="H1146" i="22"/>
  <c r="H1145" i="22"/>
  <c r="H1144" i="22"/>
  <c r="H1143" i="22"/>
  <c r="H1142" i="22"/>
  <c r="H1141" i="22"/>
  <c r="H1140" i="22"/>
  <c r="H1139" i="22"/>
  <c r="H1138" i="22"/>
  <c r="H1137" i="22"/>
  <c r="H1136" i="22"/>
  <c r="H1135" i="22"/>
  <c r="H1134" i="22"/>
  <c r="H1133" i="22"/>
  <c r="H1132" i="22"/>
  <c r="H1131" i="22"/>
  <c r="H1130" i="22"/>
  <c r="H1129" i="22"/>
  <c r="H1128" i="22"/>
  <c r="H1127" i="22"/>
  <c r="H1126" i="22"/>
  <c r="H1125" i="22"/>
  <c r="H1124" i="22"/>
  <c r="H1123" i="22"/>
  <c r="H1122" i="22"/>
  <c r="H1121" i="22"/>
  <c r="H1120" i="22"/>
  <c r="H1119" i="22"/>
  <c r="H1118" i="22"/>
  <c r="H1117" i="22"/>
  <c r="H1116" i="22"/>
  <c r="H1115" i="22"/>
  <c r="H1114" i="22"/>
  <c r="H1113" i="22"/>
  <c r="H1112" i="22"/>
  <c r="H1111" i="22"/>
  <c r="H1110" i="22"/>
  <c r="H1109" i="22"/>
  <c r="H1108" i="22"/>
  <c r="H1107" i="22"/>
  <c r="H1106" i="22"/>
  <c r="H1105" i="22"/>
  <c r="H1104" i="22"/>
  <c r="H1103" i="22"/>
  <c r="H1102" i="22"/>
  <c r="H1101" i="22"/>
  <c r="H1100" i="22"/>
  <c r="H1099" i="22"/>
  <c r="H1098" i="22"/>
  <c r="H1097" i="22"/>
  <c r="H1096" i="22"/>
  <c r="H1095" i="22"/>
  <c r="H1094" i="22"/>
  <c r="H1093" i="22"/>
  <c r="H1092" i="22"/>
  <c r="H1091" i="22"/>
  <c r="H1090" i="22"/>
  <c r="H1089" i="22"/>
  <c r="H1088" i="22"/>
  <c r="H1087" i="22"/>
  <c r="H1086" i="22"/>
  <c r="H1085" i="22"/>
  <c r="H1084" i="22"/>
  <c r="H1083" i="22"/>
  <c r="H1082" i="22"/>
  <c r="H1081" i="22"/>
  <c r="H1080" i="22"/>
  <c r="H1079" i="22"/>
  <c r="H1078" i="22"/>
  <c r="H1077" i="22"/>
  <c r="H1076" i="22"/>
  <c r="H1075" i="22"/>
  <c r="H1074" i="22"/>
  <c r="H1073" i="22"/>
  <c r="H1072" i="22"/>
  <c r="H1071" i="22"/>
  <c r="H1070" i="22"/>
  <c r="H1069" i="22"/>
  <c r="H1068" i="22"/>
  <c r="H1067" i="22"/>
  <c r="H1066" i="22"/>
  <c r="H1065" i="22"/>
  <c r="H1064" i="22"/>
  <c r="H1063" i="22"/>
  <c r="H1062" i="22"/>
  <c r="H1061" i="22"/>
  <c r="H1060" i="22"/>
  <c r="H1059" i="22"/>
  <c r="H1058" i="22"/>
  <c r="H1057" i="22"/>
  <c r="H1056" i="22"/>
  <c r="H1055" i="22"/>
  <c r="H1054" i="22"/>
  <c r="H1053" i="22"/>
  <c r="H1052" i="22"/>
  <c r="H1051" i="22"/>
  <c r="H1050" i="22"/>
  <c r="H1049" i="22"/>
  <c r="H1048" i="22"/>
  <c r="H1047" i="22"/>
  <c r="H1046" i="22"/>
  <c r="H1045" i="22"/>
  <c r="H1044" i="22"/>
  <c r="H1043" i="22"/>
  <c r="H1042" i="22"/>
  <c r="H1041" i="22"/>
  <c r="H1040" i="22"/>
  <c r="H1039" i="22"/>
  <c r="H1038" i="22"/>
  <c r="H1037" i="22"/>
  <c r="H1036" i="22"/>
  <c r="H1035" i="22"/>
  <c r="H1034" i="22"/>
  <c r="H1033" i="22"/>
  <c r="H1032" i="22"/>
  <c r="H1031" i="22"/>
  <c r="H1030" i="22"/>
  <c r="H1029" i="22"/>
  <c r="H1028" i="22"/>
  <c r="H1027" i="22"/>
  <c r="H1026" i="22"/>
  <c r="H1025" i="22"/>
  <c r="H1024" i="22"/>
  <c r="H1023" i="22"/>
  <c r="H1022" i="22"/>
  <c r="H1021" i="22"/>
  <c r="H1020" i="22"/>
  <c r="H1019" i="22"/>
  <c r="H1018" i="22"/>
  <c r="H1017" i="22"/>
  <c r="H1016" i="22"/>
  <c r="H1015" i="22"/>
  <c r="H1014" i="22"/>
  <c r="H1013" i="22"/>
  <c r="H1012" i="22"/>
  <c r="H1011" i="22"/>
  <c r="H1010" i="22"/>
  <c r="H1009" i="22"/>
  <c r="H1008" i="22"/>
  <c r="H1007" i="22"/>
  <c r="H1006" i="22"/>
  <c r="H1005" i="22"/>
  <c r="H1004" i="22"/>
  <c r="H1003" i="22"/>
  <c r="H1002" i="22"/>
  <c r="H1001" i="22"/>
  <c r="H1000" i="22"/>
  <c r="H999" i="22"/>
  <c r="H998" i="22"/>
  <c r="H997" i="22"/>
  <c r="H996" i="22"/>
  <c r="H995" i="22"/>
  <c r="H994" i="22"/>
  <c r="H993" i="22"/>
  <c r="H992" i="22"/>
  <c r="H991" i="22"/>
  <c r="H990" i="22"/>
  <c r="H989" i="22"/>
  <c r="H988" i="22"/>
  <c r="H987" i="22"/>
  <c r="H986" i="22"/>
  <c r="H985" i="22"/>
  <c r="H984" i="22"/>
  <c r="H983" i="22"/>
  <c r="H982" i="22"/>
  <c r="H981" i="22"/>
  <c r="H980" i="22"/>
  <c r="H979" i="22"/>
  <c r="H978" i="22"/>
  <c r="H977" i="22"/>
  <c r="H976" i="22"/>
  <c r="H975" i="22"/>
  <c r="H974" i="22"/>
  <c r="H973" i="22"/>
  <c r="H972" i="22"/>
  <c r="H971" i="22"/>
  <c r="H970" i="22"/>
  <c r="H969" i="22"/>
  <c r="H968" i="22"/>
  <c r="H967" i="22"/>
  <c r="H966" i="22"/>
  <c r="H965" i="22"/>
  <c r="H964" i="22"/>
  <c r="H963" i="22"/>
  <c r="H962" i="22"/>
  <c r="H961" i="22"/>
  <c r="H960" i="22"/>
  <c r="H959" i="22"/>
  <c r="H958" i="22"/>
  <c r="H957" i="22"/>
  <c r="H956" i="22"/>
  <c r="H955" i="22"/>
  <c r="H954" i="22"/>
  <c r="H953" i="22"/>
  <c r="H952" i="22"/>
  <c r="H951" i="22"/>
  <c r="H950" i="22"/>
  <c r="H949" i="22"/>
  <c r="H948" i="22"/>
  <c r="H947" i="22"/>
  <c r="H946" i="22"/>
  <c r="H945" i="22"/>
  <c r="H944" i="22"/>
  <c r="H943" i="22"/>
  <c r="H942" i="22"/>
  <c r="H941" i="22"/>
  <c r="H940" i="22"/>
  <c r="H939" i="22"/>
  <c r="H938" i="22"/>
  <c r="H937" i="22"/>
  <c r="H936" i="22"/>
  <c r="H935" i="22"/>
  <c r="H934" i="22"/>
  <c r="H933" i="22"/>
  <c r="H932" i="22"/>
  <c r="H931" i="22"/>
  <c r="H930" i="22"/>
  <c r="H929" i="22"/>
  <c r="H928" i="22"/>
  <c r="H927" i="22"/>
  <c r="H926" i="22"/>
  <c r="H925" i="22"/>
  <c r="H924" i="22"/>
  <c r="G397" i="3" s="1"/>
  <c r="H923" i="22"/>
  <c r="H922" i="22"/>
  <c r="H921" i="22"/>
  <c r="H920" i="22"/>
  <c r="H919" i="22"/>
  <c r="H918" i="22"/>
  <c r="H917" i="22"/>
  <c r="H916" i="22"/>
  <c r="H915" i="22"/>
  <c r="H914" i="22"/>
  <c r="H913" i="22"/>
  <c r="H912" i="22"/>
  <c r="H911" i="22"/>
  <c r="H910" i="22"/>
  <c r="H909" i="22"/>
  <c r="H908" i="22"/>
  <c r="H907" i="22"/>
  <c r="H906" i="22"/>
  <c r="H905" i="22"/>
  <c r="H904" i="22"/>
  <c r="H903" i="22"/>
  <c r="H902" i="22"/>
  <c r="H901" i="22"/>
  <c r="H900" i="22"/>
  <c r="H899" i="22"/>
  <c r="H898" i="22"/>
  <c r="H897" i="22"/>
  <c r="H896" i="22"/>
  <c r="H895" i="22"/>
  <c r="H894" i="22"/>
  <c r="H893" i="22"/>
  <c r="H892" i="22"/>
  <c r="H891" i="22"/>
  <c r="H890" i="22"/>
  <c r="H889" i="22"/>
  <c r="H888" i="22"/>
  <c r="H887" i="22"/>
  <c r="H886" i="22"/>
  <c r="H885" i="22"/>
  <c r="H884" i="22"/>
  <c r="H883" i="22"/>
  <c r="H882" i="22"/>
  <c r="H881" i="22"/>
  <c r="H880" i="22"/>
  <c r="H879" i="22"/>
  <c r="H878" i="22"/>
  <c r="H877" i="22"/>
  <c r="H876" i="22"/>
  <c r="H875" i="22"/>
  <c r="H874" i="22"/>
  <c r="H873" i="22"/>
  <c r="H872" i="22"/>
  <c r="H871" i="22"/>
  <c r="H870" i="22"/>
  <c r="H869" i="22"/>
  <c r="H868" i="22"/>
  <c r="H867" i="22"/>
  <c r="H866" i="22"/>
  <c r="H865" i="22"/>
  <c r="H864" i="22"/>
  <c r="H863" i="22"/>
  <c r="H862" i="22"/>
  <c r="H861" i="22"/>
  <c r="H860" i="22"/>
  <c r="H859" i="22"/>
  <c r="H858" i="22"/>
  <c r="H857" i="22"/>
  <c r="H856" i="22"/>
  <c r="H855" i="22"/>
  <c r="H854" i="22"/>
  <c r="H853" i="22"/>
  <c r="H852" i="22"/>
  <c r="H851" i="22"/>
  <c r="H850" i="22"/>
  <c r="H849" i="22"/>
  <c r="H848" i="22"/>
  <c r="H847" i="22"/>
  <c r="H846" i="22"/>
  <c r="H845" i="22"/>
  <c r="H844" i="22"/>
  <c r="H843" i="22"/>
  <c r="H842" i="22"/>
  <c r="H841" i="22"/>
  <c r="H840" i="22"/>
  <c r="H839" i="22"/>
  <c r="H838" i="22"/>
  <c r="H837" i="22"/>
  <c r="H836" i="22"/>
  <c r="H835" i="22"/>
  <c r="H834" i="22"/>
  <c r="H833" i="22"/>
  <c r="H832" i="22"/>
  <c r="H831" i="22"/>
  <c r="H830" i="22"/>
  <c r="H829" i="22"/>
  <c r="H828" i="22"/>
  <c r="H827" i="22"/>
  <c r="H826" i="22"/>
  <c r="H825" i="22"/>
  <c r="H824" i="22"/>
  <c r="H823" i="22"/>
  <c r="H822" i="22"/>
  <c r="H821" i="22"/>
  <c r="H820" i="22"/>
  <c r="G273" i="3" s="1"/>
  <c r="F273" i="3" s="1"/>
  <c r="H819" i="22"/>
  <c r="H818" i="22"/>
  <c r="H817" i="22"/>
  <c r="H816" i="22"/>
  <c r="H815" i="22"/>
  <c r="H814" i="22"/>
  <c r="H813" i="22"/>
  <c r="H812" i="22"/>
  <c r="H811" i="22"/>
  <c r="H810" i="22"/>
  <c r="H809" i="22"/>
  <c r="H808" i="22"/>
  <c r="H807" i="22"/>
  <c r="H806" i="22"/>
  <c r="H805" i="22"/>
  <c r="H804" i="22"/>
  <c r="H803" i="22"/>
  <c r="H802" i="22"/>
  <c r="H801" i="22"/>
  <c r="H800" i="22"/>
  <c r="H799" i="22"/>
  <c r="H798" i="22"/>
  <c r="H797" i="22"/>
  <c r="H796" i="22"/>
  <c r="H795" i="22"/>
  <c r="H794" i="22"/>
  <c r="H793" i="22"/>
  <c r="H792" i="22"/>
  <c r="H791" i="22"/>
  <c r="H790" i="22"/>
  <c r="H789" i="22"/>
  <c r="H788" i="22"/>
  <c r="H787" i="22"/>
  <c r="H786" i="22"/>
  <c r="H785" i="22"/>
  <c r="H784" i="22"/>
  <c r="H783" i="22"/>
  <c r="H782" i="22"/>
  <c r="H781" i="22"/>
  <c r="H780" i="22"/>
  <c r="H779" i="22"/>
  <c r="H778" i="22"/>
  <c r="H777" i="22"/>
  <c r="H776" i="22"/>
  <c r="H775" i="22"/>
  <c r="H774" i="22"/>
  <c r="H773" i="22"/>
  <c r="H772" i="22"/>
  <c r="H771" i="22"/>
  <c r="H770" i="22"/>
  <c r="H769" i="22"/>
  <c r="H768" i="22"/>
  <c r="H767" i="22"/>
  <c r="H766" i="22"/>
  <c r="H765" i="22"/>
  <c r="H764" i="22"/>
  <c r="H763" i="22"/>
  <c r="H762" i="22"/>
  <c r="H761" i="22"/>
  <c r="H760" i="22"/>
  <c r="H759" i="22"/>
  <c r="H758" i="22"/>
  <c r="H757" i="22"/>
  <c r="H756" i="22"/>
  <c r="H755" i="22"/>
  <c r="H754" i="22"/>
  <c r="H753" i="22"/>
  <c r="H752" i="22"/>
  <c r="H751" i="22"/>
  <c r="H750" i="22"/>
  <c r="H749" i="22"/>
  <c r="H748" i="22"/>
  <c r="H747" i="22"/>
  <c r="H746" i="22"/>
  <c r="H745" i="22"/>
  <c r="H744" i="22"/>
  <c r="H743" i="22"/>
  <c r="H742" i="22"/>
  <c r="H741" i="22"/>
  <c r="H740" i="22"/>
  <c r="H739" i="22"/>
  <c r="H738" i="22"/>
  <c r="H737" i="22"/>
  <c r="H736" i="22"/>
  <c r="H735" i="22"/>
  <c r="H734" i="22"/>
  <c r="H733" i="22"/>
  <c r="H732" i="22"/>
  <c r="H731" i="22"/>
  <c r="H730" i="22"/>
  <c r="H729" i="22"/>
  <c r="H728" i="22"/>
  <c r="H727" i="22"/>
  <c r="H726" i="22"/>
  <c r="H725" i="22"/>
  <c r="H724" i="22"/>
  <c r="H723" i="22"/>
  <c r="H722" i="22"/>
  <c r="H721" i="22"/>
  <c r="H720" i="22"/>
  <c r="H719" i="22"/>
  <c r="H718" i="22"/>
  <c r="H717" i="22"/>
  <c r="H716" i="22"/>
  <c r="H715" i="22"/>
  <c r="H714" i="22"/>
  <c r="H713" i="22"/>
  <c r="H712" i="22"/>
  <c r="H711" i="22"/>
  <c r="H710" i="22"/>
  <c r="H709" i="22"/>
  <c r="H708" i="22"/>
  <c r="H707" i="22"/>
  <c r="H706" i="22"/>
  <c r="H705" i="22"/>
  <c r="H704" i="22"/>
  <c r="H703" i="22"/>
  <c r="H702" i="22"/>
  <c r="H701" i="22"/>
  <c r="H700" i="22"/>
  <c r="H699" i="22"/>
  <c r="H698" i="22"/>
  <c r="H697" i="22"/>
  <c r="H696" i="22"/>
  <c r="H695" i="22"/>
  <c r="H694" i="22"/>
  <c r="H693" i="22"/>
  <c r="H692" i="22"/>
  <c r="H691" i="22"/>
  <c r="H690" i="22"/>
  <c r="H689" i="22"/>
  <c r="H688" i="22"/>
  <c r="H687" i="22"/>
  <c r="H686" i="22"/>
  <c r="H685" i="22"/>
  <c r="H684" i="22"/>
  <c r="H683" i="22"/>
  <c r="H682" i="22"/>
  <c r="H681" i="22"/>
  <c r="H680" i="22"/>
  <c r="H679" i="22"/>
  <c r="H678" i="22"/>
  <c r="H677" i="22"/>
  <c r="H676" i="22"/>
  <c r="H675" i="22"/>
  <c r="H674" i="22"/>
  <c r="H673" i="22"/>
  <c r="H672" i="22"/>
  <c r="H671" i="22"/>
  <c r="H670" i="22"/>
  <c r="H669" i="22"/>
  <c r="H668" i="22"/>
  <c r="H667" i="22"/>
  <c r="H666" i="22"/>
  <c r="H665" i="22"/>
  <c r="H664" i="22"/>
  <c r="H663" i="22"/>
  <c r="H662" i="22"/>
  <c r="H661" i="22"/>
  <c r="H660" i="22"/>
  <c r="H659" i="22"/>
  <c r="H658" i="22"/>
  <c r="H657" i="22"/>
  <c r="H656" i="22"/>
  <c r="H655" i="22"/>
  <c r="H654" i="22"/>
  <c r="H653" i="22"/>
  <c r="H652" i="22"/>
  <c r="H651" i="22"/>
  <c r="H650" i="22"/>
  <c r="H649" i="22"/>
  <c r="H648" i="22"/>
  <c r="H647" i="22"/>
  <c r="H646" i="22"/>
  <c r="H645" i="22"/>
  <c r="H644" i="22"/>
  <c r="H643" i="22"/>
  <c r="H642" i="22"/>
  <c r="H641" i="22"/>
  <c r="H640" i="22"/>
  <c r="H639" i="22"/>
  <c r="H638" i="22"/>
  <c r="H637" i="22"/>
  <c r="H636" i="22"/>
  <c r="H635" i="22"/>
  <c r="H634" i="22"/>
  <c r="H633" i="22"/>
  <c r="H632" i="22"/>
  <c r="H631" i="22"/>
  <c r="H630" i="22"/>
  <c r="H629" i="22"/>
  <c r="H628" i="22"/>
  <c r="H627" i="22"/>
  <c r="H626" i="22"/>
  <c r="H625" i="22"/>
  <c r="H624" i="22"/>
  <c r="H623" i="22"/>
  <c r="H622" i="22"/>
  <c r="H621" i="22"/>
  <c r="H620" i="22"/>
  <c r="H619" i="22"/>
  <c r="H618" i="22"/>
  <c r="H617" i="22"/>
  <c r="H616" i="22"/>
  <c r="H615" i="22"/>
  <c r="H614" i="22"/>
  <c r="H613" i="22"/>
  <c r="H612" i="22"/>
  <c r="H611" i="22"/>
  <c r="H610" i="22"/>
  <c r="H609" i="22"/>
  <c r="H608" i="22"/>
  <c r="H607" i="22"/>
  <c r="H606" i="22"/>
  <c r="H605" i="22"/>
  <c r="H604" i="22"/>
  <c r="H603" i="22"/>
  <c r="H602" i="22"/>
  <c r="H601" i="22"/>
  <c r="H600" i="22"/>
  <c r="H599" i="22"/>
  <c r="H598" i="22"/>
  <c r="H597" i="22"/>
  <c r="H596" i="22"/>
  <c r="H595" i="22"/>
  <c r="H594" i="22"/>
  <c r="H593" i="22"/>
  <c r="H592" i="22"/>
  <c r="H591" i="22"/>
  <c r="H590" i="22"/>
  <c r="H589" i="22"/>
  <c r="H588" i="22"/>
  <c r="H587" i="22"/>
  <c r="H586" i="22"/>
  <c r="H585" i="22"/>
  <c r="H584" i="22"/>
  <c r="H583" i="22"/>
  <c r="H582" i="22"/>
  <c r="H581" i="22"/>
  <c r="H580" i="22"/>
  <c r="H579" i="22"/>
  <c r="H578" i="22"/>
  <c r="H577" i="22"/>
  <c r="H576" i="22"/>
  <c r="H575" i="22"/>
  <c r="H574" i="22"/>
  <c r="H573" i="22"/>
  <c r="H572" i="22"/>
  <c r="H571" i="22"/>
  <c r="H570" i="22"/>
  <c r="H569" i="22"/>
  <c r="H568" i="22"/>
  <c r="H567" i="22"/>
  <c r="H566" i="22"/>
  <c r="H565" i="22"/>
  <c r="H564" i="22"/>
  <c r="H563" i="22"/>
  <c r="H562" i="22"/>
  <c r="H561" i="22"/>
  <c r="H560" i="22"/>
  <c r="H559" i="22"/>
  <c r="H558" i="22"/>
  <c r="H557" i="22"/>
  <c r="H556" i="22"/>
  <c r="H555" i="22"/>
  <c r="H554" i="22"/>
  <c r="H553" i="22"/>
  <c r="H552" i="22"/>
  <c r="H551" i="22"/>
  <c r="H550" i="22"/>
  <c r="H549" i="22"/>
  <c r="H548" i="22"/>
  <c r="H547" i="22"/>
  <c r="H546" i="22"/>
  <c r="H545" i="22"/>
  <c r="H544" i="22"/>
  <c r="H543" i="22"/>
  <c r="H542" i="22"/>
  <c r="H541" i="22"/>
  <c r="H540" i="22"/>
  <c r="H539" i="22"/>
  <c r="H538" i="22"/>
  <c r="H537" i="22"/>
  <c r="H536" i="22"/>
  <c r="H535" i="22"/>
  <c r="H534" i="22"/>
  <c r="H533" i="22"/>
  <c r="H532" i="22"/>
  <c r="H531" i="22"/>
  <c r="H530" i="22"/>
  <c r="H529" i="22"/>
  <c r="H528" i="22"/>
  <c r="H527" i="22"/>
  <c r="H526" i="22"/>
  <c r="H525" i="22"/>
  <c r="H524" i="22"/>
  <c r="H523" i="22"/>
  <c r="H522" i="22"/>
  <c r="H521" i="22"/>
  <c r="H520" i="22"/>
  <c r="H519" i="22"/>
  <c r="H518" i="22"/>
  <c r="H517" i="22"/>
  <c r="H516" i="22"/>
  <c r="H515" i="22"/>
  <c r="H514" i="22"/>
  <c r="H513" i="22"/>
  <c r="H512" i="22"/>
  <c r="H511" i="22"/>
  <c r="H510" i="22"/>
  <c r="H509" i="22"/>
  <c r="H508" i="22"/>
  <c r="H507" i="22"/>
  <c r="H506" i="22"/>
  <c r="H505" i="22"/>
  <c r="H504" i="22"/>
  <c r="H503" i="22"/>
  <c r="H502" i="22"/>
  <c r="H501" i="22"/>
  <c r="H500" i="22"/>
  <c r="H499" i="22"/>
  <c r="H498" i="22"/>
  <c r="H497" i="22"/>
  <c r="H496" i="22"/>
  <c r="H495" i="22"/>
  <c r="H494" i="22"/>
  <c r="H493" i="22"/>
  <c r="H492" i="22"/>
  <c r="H491" i="22"/>
  <c r="H490" i="22"/>
  <c r="H489" i="22"/>
  <c r="H488" i="22"/>
  <c r="H487" i="22"/>
  <c r="H486" i="22"/>
  <c r="H485" i="22"/>
  <c r="H484" i="22"/>
  <c r="H483" i="22"/>
  <c r="H482" i="22"/>
  <c r="H481" i="22"/>
  <c r="H480" i="22"/>
  <c r="H479" i="22"/>
  <c r="H478" i="22"/>
  <c r="H477" i="22"/>
  <c r="H476" i="22"/>
  <c r="H475" i="22"/>
  <c r="H474" i="22"/>
  <c r="H473" i="22"/>
  <c r="H472" i="22"/>
  <c r="H471" i="22"/>
  <c r="H470" i="22"/>
  <c r="H469" i="22"/>
  <c r="H468" i="22"/>
  <c r="H467" i="22"/>
  <c r="H466" i="22"/>
  <c r="H465" i="22"/>
  <c r="H464" i="22"/>
  <c r="H463" i="22"/>
  <c r="H462" i="22"/>
  <c r="H461" i="22"/>
  <c r="H460" i="22"/>
  <c r="H459" i="22"/>
  <c r="H458" i="22"/>
  <c r="H457" i="22"/>
  <c r="H456" i="22"/>
  <c r="H455" i="22"/>
  <c r="H454" i="22"/>
  <c r="H453" i="22"/>
  <c r="H452" i="22"/>
  <c r="H451" i="22"/>
  <c r="H450" i="22"/>
  <c r="H449" i="22"/>
  <c r="H448" i="22"/>
  <c r="H447" i="22"/>
  <c r="H446" i="22"/>
  <c r="H445" i="22"/>
  <c r="H444" i="22"/>
  <c r="H443" i="22"/>
  <c r="H442" i="22"/>
  <c r="H441" i="22"/>
  <c r="H440" i="22"/>
  <c r="H439" i="22"/>
  <c r="H438" i="22"/>
  <c r="H437" i="22"/>
  <c r="H436" i="22"/>
  <c r="H435" i="22"/>
  <c r="H434" i="22"/>
  <c r="H433" i="22"/>
  <c r="H432" i="22"/>
  <c r="H431" i="22"/>
  <c r="H430" i="22"/>
  <c r="H429" i="22"/>
  <c r="H428" i="22"/>
  <c r="H427" i="22"/>
  <c r="H426" i="22"/>
  <c r="H425" i="22"/>
  <c r="H424" i="22"/>
  <c r="H423" i="22"/>
  <c r="H422" i="22"/>
  <c r="H421" i="22"/>
  <c r="H420" i="22"/>
  <c r="H419" i="22"/>
  <c r="H418" i="22"/>
  <c r="H417" i="22"/>
  <c r="H416" i="22"/>
  <c r="H415" i="22"/>
  <c r="H414" i="22"/>
  <c r="H413" i="22"/>
  <c r="H412" i="22"/>
  <c r="H411" i="22"/>
  <c r="H410" i="22"/>
  <c r="H409" i="22"/>
  <c r="H408" i="22"/>
  <c r="H407" i="22"/>
  <c r="H406" i="22"/>
  <c r="H405" i="22"/>
  <c r="H404" i="22"/>
  <c r="H403" i="22"/>
  <c r="H402" i="22"/>
  <c r="H401" i="22"/>
  <c r="H400" i="22"/>
  <c r="H399" i="22"/>
  <c r="H398" i="22"/>
  <c r="H397" i="22"/>
  <c r="H396" i="22"/>
  <c r="H395" i="22"/>
  <c r="H394" i="22"/>
  <c r="H393" i="22"/>
  <c r="H392" i="22"/>
  <c r="H391" i="22"/>
  <c r="H390" i="22"/>
  <c r="H389" i="22"/>
  <c r="H388" i="22"/>
  <c r="H387" i="22"/>
  <c r="H386" i="22"/>
  <c r="H385" i="22"/>
  <c r="H384" i="22"/>
  <c r="H383" i="22"/>
  <c r="H382" i="22"/>
  <c r="H381" i="22"/>
  <c r="H380" i="22"/>
  <c r="H379" i="22"/>
  <c r="H378" i="22"/>
  <c r="H377" i="22"/>
  <c r="H376" i="22"/>
  <c r="H375" i="22"/>
  <c r="H374" i="22"/>
  <c r="H373" i="22"/>
  <c r="H372" i="22"/>
  <c r="H371" i="22"/>
  <c r="H370" i="22"/>
  <c r="H369" i="22"/>
  <c r="H368" i="22"/>
  <c r="H367" i="22"/>
  <c r="H366" i="22"/>
  <c r="H365" i="22"/>
  <c r="H364" i="22"/>
  <c r="H363" i="22"/>
  <c r="H362" i="22"/>
  <c r="H361" i="22"/>
  <c r="H360" i="22"/>
  <c r="H359" i="22"/>
  <c r="H358" i="22"/>
  <c r="H357" i="22"/>
  <c r="H356" i="22"/>
  <c r="H355" i="22"/>
  <c r="H354" i="22"/>
  <c r="H353" i="22"/>
  <c r="H352" i="22"/>
  <c r="H351" i="22"/>
  <c r="H350" i="22"/>
  <c r="H349" i="22"/>
  <c r="H348" i="22"/>
  <c r="H347" i="22"/>
  <c r="H346" i="22"/>
  <c r="H345" i="22"/>
  <c r="H344" i="22"/>
  <c r="H343" i="22"/>
  <c r="H342" i="22"/>
  <c r="H341" i="22"/>
  <c r="H340" i="22"/>
  <c r="H339" i="22"/>
  <c r="H338" i="22"/>
  <c r="H337" i="22"/>
  <c r="H336" i="22"/>
  <c r="H335" i="22"/>
  <c r="H334" i="22"/>
  <c r="H333" i="22"/>
  <c r="H332" i="22"/>
  <c r="H331" i="22"/>
  <c r="H330" i="22"/>
  <c r="H329" i="22"/>
  <c r="H328" i="22"/>
  <c r="H327" i="22"/>
  <c r="H326" i="22"/>
  <c r="H325" i="22"/>
  <c r="H324" i="22"/>
  <c r="H323" i="22"/>
  <c r="H322" i="22"/>
  <c r="H321" i="22"/>
  <c r="H320" i="22"/>
  <c r="H319" i="22"/>
  <c r="H318" i="22"/>
  <c r="H317" i="22"/>
  <c r="H316" i="22"/>
  <c r="H315" i="22"/>
  <c r="H314" i="22"/>
  <c r="G394" i="3" s="1"/>
  <c r="H313" i="22"/>
  <c r="H312" i="22"/>
  <c r="H311" i="22"/>
  <c r="H310" i="22"/>
  <c r="H309" i="22"/>
  <c r="H308" i="22"/>
  <c r="H307" i="22"/>
  <c r="H306" i="22"/>
  <c r="H305" i="22"/>
  <c r="H304" i="22"/>
  <c r="H303" i="22"/>
  <c r="H302" i="22"/>
  <c r="H301" i="22"/>
  <c r="H300" i="22"/>
  <c r="H299" i="22"/>
  <c r="H298" i="22"/>
  <c r="H297" i="22"/>
  <c r="H296" i="22"/>
  <c r="H295" i="22"/>
  <c r="H294" i="22"/>
  <c r="H293" i="22"/>
  <c r="H292" i="22"/>
  <c r="H291" i="22"/>
  <c r="H290" i="22"/>
  <c r="H289" i="22"/>
  <c r="H288" i="22"/>
  <c r="H287" i="22"/>
  <c r="H286" i="22"/>
  <c r="H285" i="22"/>
  <c r="H284" i="22"/>
  <c r="H283" i="22"/>
  <c r="H282" i="22"/>
  <c r="H281" i="22"/>
  <c r="H280" i="22"/>
  <c r="H279" i="22"/>
  <c r="H278" i="22"/>
  <c r="H277" i="22"/>
  <c r="H276" i="22"/>
  <c r="H275" i="22"/>
  <c r="H274" i="22"/>
  <c r="H273" i="22"/>
  <c r="H272" i="22"/>
  <c r="H271" i="22"/>
  <c r="H270" i="22"/>
  <c r="H269" i="22"/>
  <c r="H268" i="22"/>
  <c r="H267" i="22"/>
  <c r="H266" i="22"/>
  <c r="H265" i="22"/>
  <c r="H264" i="22"/>
  <c r="H263" i="22"/>
  <c r="H262" i="22"/>
  <c r="H261" i="22"/>
  <c r="H260" i="22"/>
  <c r="H259" i="22"/>
  <c r="H258" i="22"/>
  <c r="H257" i="22"/>
  <c r="H256" i="22"/>
  <c r="H255" i="22"/>
  <c r="H254" i="22"/>
  <c r="H253" i="22"/>
  <c r="H252" i="22"/>
  <c r="H251" i="22"/>
  <c r="H250" i="22"/>
  <c r="H249" i="22"/>
  <c r="H248" i="22"/>
  <c r="H247" i="22"/>
  <c r="H246" i="22"/>
  <c r="H245" i="22"/>
  <c r="H244" i="22"/>
  <c r="H243" i="22"/>
  <c r="H242" i="22"/>
  <c r="H241" i="22"/>
  <c r="H240" i="22"/>
  <c r="H239" i="22"/>
  <c r="H238" i="22"/>
  <c r="H237" i="22"/>
  <c r="H236" i="22"/>
  <c r="H235" i="22"/>
  <c r="H234" i="22"/>
  <c r="H233" i="22"/>
  <c r="H232" i="22"/>
  <c r="G382" i="3" s="1"/>
  <c r="H231" i="22"/>
  <c r="H230" i="22"/>
  <c r="H229" i="22"/>
  <c r="G371" i="3" s="1"/>
  <c r="H228" i="22"/>
  <c r="G360" i="3" s="1"/>
  <c r="H227" i="22"/>
  <c r="H226" i="22"/>
  <c r="H225" i="22"/>
  <c r="H224" i="22"/>
  <c r="H223" i="22"/>
  <c r="H222" i="22"/>
  <c r="H221" i="22"/>
  <c r="H220" i="22"/>
  <c r="H219" i="22"/>
  <c r="H218" i="22"/>
  <c r="H217" i="22"/>
  <c r="H216" i="22"/>
  <c r="H215" i="22"/>
  <c r="H214" i="22"/>
  <c r="H213" i="22"/>
  <c r="H212" i="22"/>
  <c r="H211" i="22"/>
  <c r="H210" i="22"/>
  <c r="H209" i="22"/>
  <c r="H208" i="22"/>
  <c r="H207" i="22"/>
  <c r="H206" i="22"/>
  <c r="H205" i="22"/>
  <c r="H204" i="22"/>
  <c r="H203" i="22"/>
  <c r="H202" i="22"/>
  <c r="H201" i="22"/>
  <c r="H200" i="22"/>
  <c r="H199" i="22"/>
  <c r="H198" i="22"/>
  <c r="H197" i="22"/>
  <c r="H196" i="22"/>
  <c r="H195" i="22"/>
  <c r="H194" i="22"/>
  <c r="H193" i="22"/>
  <c r="H192" i="22"/>
  <c r="H191" i="22"/>
  <c r="H190" i="22"/>
  <c r="H189" i="22"/>
  <c r="H188" i="22"/>
  <c r="H187" i="22"/>
  <c r="H186" i="22"/>
  <c r="G28" i="3" s="1"/>
  <c r="H185" i="22"/>
  <c r="H184" i="22"/>
  <c r="H183" i="22"/>
  <c r="H182" i="22"/>
  <c r="H181" i="22"/>
  <c r="H180" i="22"/>
  <c r="H179" i="22"/>
  <c r="H178" i="22"/>
  <c r="H177" i="22"/>
  <c r="H176" i="22"/>
  <c r="H175" i="22"/>
  <c r="H174" i="22"/>
  <c r="H173" i="22"/>
  <c r="H172" i="22"/>
  <c r="H171" i="22"/>
  <c r="H170" i="22"/>
  <c r="H169" i="22"/>
  <c r="H168" i="22"/>
  <c r="H167" i="22"/>
  <c r="H166" i="22"/>
  <c r="H165" i="22"/>
  <c r="H164" i="22"/>
  <c r="H163" i="22"/>
  <c r="H162" i="22"/>
  <c r="H161" i="22"/>
  <c r="H160" i="22"/>
  <c r="H159" i="22"/>
  <c r="H158" i="22"/>
  <c r="H157" i="22"/>
  <c r="H156" i="22"/>
  <c r="H155" i="22"/>
  <c r="H154" i="22"/>
  <c r="H153" i="22"/>
  <c r="H152" i="22"/>
  <c r="H151" i="22"/>
  <c r="H150" i="22"/>
  <c r="H149" i="22"/>
  <c r="H148" i="22"/>
  <c r="H147" i="22"/>
  <c r="H146" i="22"/>
  <c r="H145" i="22"/>
  <c r="H144" i="22"/>
  <c r="H143" i="22"/>
  <c r="H142" i="22"/>
  <c r="H141" i="22"/>
  <c r="H140" i="22"/>
  <c r="H139" i="22"/>
  <c r="H138" i="22"/>
  <c r="H137" i="22"/>
  <c r="H136" i="22"/>
  <c r="H135" i="22"/>
  <c r="H134" i="22"/>
  <c r="H133" i="22"/>
  <c r="H132" i="22"/>
  <c r="H131" i="22"/>
  <c r="H130" i="22"/>
  <c r="H129" i="22"/>
  <c r="H128" i="22"/>
  <c r="H127" i="22"/>
  <c r="H126" i="22"/>
  <c r="H125" i="22"/>
  <c r="H124" i="22"/>
  <c r="H123" i="22"/>
  <c r="H122" i="22"/>
  <c r="H121" i="22"/>
  <c r="H120" i="22"/>
  <c r="H119" i="22"/>
  <c r="H118" i="22"/>
  <c r="H117" i="22"/>
  <c r="H116" i="22"/>
  <c r="H115" i="22"/>
  <c r="H114" i="22"/>
  <c r="H113" i="22"/>
  <c r="H112" i="22"/>
  <c r="H111" i="22"/>
  <c r="H110" i="22"/>
  <c r="H109" i="22"/>
  <c r="H108" i="22"/>
  <c r="H107" i="22"/>
  <c r="H106" i="22"/>
  <c r="H105" i="22"/>
  <c r="H104" i="22"/>
  <c r="H103" i="22"/>
  <c r="H102" i="22"/>
  <c r="H101" i="22"/>
  <c r="H100" i="22"/>
  <c r="H99" i="22"/>
  <c r="H98" i="22"/>
  <c r="H97" i="22"/>
  <c r="H96" i="22"/>
  <c r="H95" i="22"/>
  <c r="H94" i="22"/>
  <c r="H93" i="22"/>
  <c r="H92" i="22"/>
  <c r="H91" i="22"/>
  <c r="H90" i="22"/>
  <c r="H89" i="22"/>
  <c r="H88" i="22"/>
  <c r="H87" i="22"/>
  <c r="H86" i="22"/>
  <c r="H85" i="22"/>
  <c r="H84" i="22"/>
  <c r="H83" i="22"/>
  <c r="H82" i="22"/>
  <c r="H81" i="22"/>
  <c r="H80" i="22"/>
  <c r="H79" i="22"/>
  <c r="H78" i="22"/>
  <c r="H77" i="22"/>
  <c r="H76" i="22"/>
  <c r="H75" i="22"/>
  <c r="H74" i="22"/>
  <c r="H73" i="22"/>
  <c r="H72" i="22"/>
  <c r="H71" i="22"/>
  <c r="H70" i="22"/>
  <c r="H69" i="22"/>
  <c r="H68" i="22"/>
  <c r="H67" i="22"/>
  <c r="H66" i="22"/>
  <c r="H65" i="22"/>
  <c r="H64" i="22"/>
  <c r="H63" i="22"/>
  <c r="H62" i="22"/>
  <c r="H61" i="22"/>
  <c r="H60" i="22"/>
  <c r="H59" i="22"/>
  <c r="H58" i="22"/>
  <c r="H57" i="22"/>
  <c r="H56" i="22"/>
  <c r="H55" i="22"/>
  <c r="H54" i="22"/>
  <c r="H53" i="22"/>
  <c r="H52" i="22"/>
  <c r="H51" i="22"/>
  <c r="H50" i="22"/>
  <c r="H49" i="22"/>
  <c r="H48" i="22"/>
  <c r="H47" i="22"/>
  <c r="H46" i="22"/>
  <c r="H45" i="22"/>
  <c r="H44" i="22"/>
  <c r="H43" i="22"/>
  <c r="H42" i="22"/>
  <c r="H41" i="22"/>
  <c r="H40" i="22"/>
  <c r="H39" i="22"/>
  <c r="H38" i="22"/>
  <c r="H37" i="22"/>
  <c r="H36" i="22"/>
  <c r="H35" i="22"/>
  <c r="H34" i="22"/>
  <c r="H33" i="22"/>
  <c r="H32" i="22"/>
  <c r="H31" i="22"/>
  <c r="H30" i="22"/>
  <c r="H29" i="22"/>
  <c r="H28" i="22"/>
  <c r="H27" i="22"/>
  <c r="H26" i="22"/>
  <c r="H25" i="22"/>
  <c r="H24" i="22"/>
  <c r="H23" i="22"/>
  <c r="H22" i="22"/>
  <c r="H21" i="22"/>
  <c r="H20" i="22"/>
  <c r="H19" i="22"/>
  <c r="H18" i="22"/>
  <c r="H17" i="22"/>
  <c r="H16" i="22"/>
  <c r="H15" i="22"/>
  <c r="H14" i="22"/>
  <c r="H13" i="22"/>
  <c r="H12" i="22"/>
  <c r="H11" i="22"/>
  <c r="G9712" i="21"/>
  <c r="H9712" i="21" s="1"/>
  <c r="G9711" i="21"/>
  <c r="H9711" i="21" s="1"/>
  <c r="G9710" i="21"/>
  <c r="H9710" i="21" s="1"/>
  <c r="G9709" i="21"/>
  <c r="H9709" i="21" s="1"/>
  <c r="G9708" i="21"/>
  <c r="H9708" i="21" s="1"/>
  <c r="G9707" i="21"/>
  <c r="H9707" i="21" s="1"/>
  <c r="G9706" i="21"/>
  <c r="H9706" i="21" s="1"/>
  <c r="G9705" i="21"/>
  <c r="H9705" i="21" s="1"/>
  <c r="G9704" i="21"/>
  <c r="H9704" i="21" s="1"/>
  <c r="G9703" i="21"/>
  <c r="H9703" i="21" s="1"/>
  <c r="G9702" i="21"/>
  <c r="H9702" i="21" s="1"/>
  <c r="G9701" i="21"/>
  <c r="H9701" i="21" s="1"/>
  <c r="G9700" i="21"/>
  <c r="H9700" i="21" s="1"/>
  <c r="G9699" i="21"/>
  <c r="H9699" i="21" s="1"/>
  <c r="G9698" i="21"/>
  <c r="H9698" i="21" s="1"/>
  <c r="G9697" i="21"/>
  <c r="H9697" i="21" s="1"/>
  <c r="G9696" i="21"/>
  <c r="H9696" i="21" s="1"/>
  <c r="G9695" i="21"/>
  <c r="H9695" i="21" s="1"/>
  <c r="G9694" i="21"/>
  <c r="H9694" i="21" s="1"/>
  <c r="G9693" i="21"/>
  <c r="H9693" i="21" s="1"/>
  <c r="G9692" i="21"/>
  <c r="H9692" i="21" s="1"/>
  <c r="G9691" i="21"/>
  <c r="H9691" i="21" s="1"/>
  <c r="G9690" i="21"/>
  <c r="H9690" i="21" s="1"/>
  <c r="G9689" i="21"/>
  <c r="H9689" i="21" s="1"/>
  <c r="G9688" i="21"/>
  <c r="H9688" i="21" s="1"/>
  <c r="G9687" i="21"/>
  <c r="H9687" i="21" s="1"/>
  <c r="G9686" i="21"/>
  <c r="H9686" i="21" s="1"/>
  <c r="G9685" i="21"/>
  <c r="H9685" i="21" s="1"/>
  <c r="G9684" i="21"/>
  <c r="H9684" i="21" s="1"/>
  <c r="G9683" i="21"/>
  <c r="H9683" i="21" s="1"/>
  <c r="G9682" i="21"/>
  <c r="H9682" i="21" s="1"/>
  <c r="G9681" i="21"/>
  <c r="H9681" i="21" s="1"/>
  <c r="G9680" i="21"/>
  <c r="H9680" i="21" s="1"/>
  <c r="G9679" i="21"/>
  <c r="H9679" i="21" s="1"/>
  <c r="G9678" i="21"/>
  <c r="H9678" i="21" s="1"/>
  <c r="G9677" i="21"/>
  <c r="H9677" i="21" s="1"/>
  <c r="G9676" i="21"/>
  <c r="H9676" i="21" s="1"/>
  <c r="G9675" i="21"/>
  <c r="H9675" i="21" s="1"/>
  <c r="G9674" i="21"/>
  <c r="H9674" i="21" s="1"/>
  <c r="G9673" i="21"/>
  <c r="H9673" i="21" s="1"/>
  <c r="G9672" i="21"/>
  <c r="H9672" i="21" s="1"/>
  <c r="G9671" i="21"/>
  <c r="H9671" i="21" s="1"/>
  <c r="G9670" i="21"/>
  <c r="H9670" i="21" s="1"/>
  <c r="G9669" i="21"/>
  <c r="H9669" i="21" s="1"/>
  <c r="G9668" i="21"/>
  <c r="H9668" i="21" s="1"/>
  <c r="G9667" i="21"/>
  <c r="H9667" i="21" s="1"/>
  <c r="G9666" i="21"/>
  <c r="H9666" i="21" s="1"/>
  <c r="G9665" i="21"/>
  <c r="H9665" i="21" s="1"/>
  <c r="G9664" i="21"/>
  <c r="H9664" i="21" s="1"/>
  <c r="G9663" i="21"/>
  <c r="H9663" i="21" s="1"/>
  <c r="G9662" i="21"/>
  <c r="H9662" i="21" s="1"/>
  <c r="G9661" i="21"/>
  <c r="H9661" i="21" s="1"/>
  <c r="G9660" i="21"/>
  <c r="H9660" i="21" s="1"/>
  <c r="G9659" i="21"/>
  <c r="H9659" i="21" s="1"/>
  <c r="G9658" i="21"/>
  <c r="H9658" i="21" s="1"/>
  <c r="G9657" i="21"/>
  <c r="H9657" i="21" s="1"/>
  <c r="G9656" i="21"/>
  <c r="H9656" i="21" s="1"/>
  <c r="G9655" i="21"/>
  <c r="H9655" i="21" s="1"/>
  <c r="G9654" i="21"/>
  <c r="H9654" i="21" s="1"/>
  <c r="G9653" i="21"/>
  <c r="H9653" i="21" s="1"/>
  <c r="G9652" i="21"/>
  <c r="H9652" i="21" s="1"/>
  <c r="G9651" i="21"/>
  <c r="H9651" i="21" s="1"/>
  <c r="G9650" i="21"/>
  <c r="H9650" i="21" s="1"/>
  <c r="G9649" i="21"/>
  <c r="H9649" i="21" s="1"/>
  <c r="G9648" i="21"/>
  <c r="H9648" i="21" s="1"/>
  <c r="G9647" i="21"/>
  <c r="H9647" i="21" s="1"/>
  <c r="G9646" i="21"/>
  <c r="H9646" i="21" s="1"/>
  <c r="G9645" i="21"/>
  <c r="H9645" i="21" s="1"/>
  <c r="G9644" i="21"/>
  <c r="H9644" i="21" s="1"/>
  <c r="G9643" i="21"/>
  <c r="H9643" i="21" s="1"/>
  <c r="G9642" i="21"/>
  <c r="H9642" i="21" s="1"/>
  <c r="G9641" i="21"/>
  <c r="H9641" i="21" s="1"/>
  <c r="G9640" i="21"/>
  <c r="H9640" i="21" s="1"/>
  <c r="G9639" i="21"/>
  <c r="H9639" i="21" s="1"/>
  <c r="G9638" i="21"/>
  <c r="H9638" i="21" s="1"/>
  <c r="G9637" i="21"/>
  <c r="H9637" i="21" s="1"/>
  <c r="G9636" i="21"/>
  <c r="H9636" i="21" s="1"/>
  <c r="G9635" i="21"/>
  <c r="H9635" i="21" s="1"/>
  <c r="G9634" i="21"/>
  <c r="H9634" i="21" s="1"/>
  <c r="G9633" i="21"/>
  <c r="H9633" i="21" s="1"/>
  <c r="G9632" i="21"/>
  <c r="H9632" i="21" s="1"/>
  <c r="G9631" i="21"/>
  <c r="H9631" i="21" s="1"/>
  <c r="G9630" i="21"/>
  <c r="H9630" i="21" s="1"/>
  <c r="H9629" i="21"/>
  <c r="G9629" i="21"/>
  <c r="G9628" i="21"/>
  <c r="H9628" i="21" s="1"/>
  <c r="G9627" i="21"/>
  <c r="H9627" i="21" s="1"/>
  <c r="G9626" i="21"/>
  <c r="H9626" i="21" s="1"/>
  <c r="G9625" i="21"/>
  <c r="H9625" i="21" s="1"/>
  <c r="G9624" i="21"/>
  <c r="H9624" i="21" s="1"/>
  <c r="G9623" i="21"/>
  <c r="H9623" i="21" s="1"/>
  <c r="G9622" i="21"/>
  <c r="H9622" i="21" s="1"/>
  <c r="G9621" i="21"/>
  <c r="H9621" i="21" s="1"/>
  <c r="G9620" i="21"/>
  <c r="H9620" i="21" s="1"/>
  <c r="G9619" i="21"/>
  <c r="H9619" i="21" s="1"/>
  <c r="G9618" i="21"/>
  <c r="H9618" i="21" s="1"/>
  <c r="G9617" i="21"/>
  <c r="H9617" i="21" s="1"/>
  <c r="G9616" i="21"/>
  <c r="H9616" i="21" s="1"/>
  <c r="G9615" i="21"/>
  <c r="H9615" i="21" s="1"/>
  <c r="G9614" i="21"/>
  <c r="H9614" i="21" s="1"/>
  <c r="G9613" i="21"/>
  <c r="H9613" i="21" s="1"/>
  <c r="G9612" i="21"/>
  <c r="H9612" i="21" s="1"/>
  <c r="G9611" i="21"/>
  <c r="H9611" i="21" s="1"/>
  <c r="G9610" i="21"/>
  <c r="H9610" i="21" s="1"/>
  <c r="G9609" i="21"/>
  <c r="H9609" i="21" s="1"/>
  <c r="G9608" i="21"/>
  <c r="H9608" i="21" s="1"/>
  <c r="G9607" i="21"/>
  <c r="H9607" i="21" s="1"/>
  <c r="G9606" i="21"/>
  <c r="H9606" i="21" s="1"/>
  <c r="G9605" i="21"/>
  <c r="H9605" i="21" s="1"/>
  <c r="G9604" i="21"/>
  <c r="H9604" i="21" s="1"/>
  <c r="G9603" i="21"/>
  <c r="H9603" i="21" s="1"/>
  <c r="G9602" i="21"/>
  <c r="H9602" i="21" s="1"/>
  <c r="G9601" i="21"/>
  <c r="H9601" i="21" s="1"/>
  <c r="G9600" i="21"/>
  <c r="H9600" i="21" s="1"/>
  <c r="G9599" i="21"/>
  <c r="H9599" i="21" s="1"/>
  <c r="G9598" i="21"/>
  <c r="H9598" i="21" s="1"/>
  <c r="G9597" i="21"/>
  <c r="H9597" i="21" s="1"/>
  <c r="G9596" i="21"/>
  <c r="H9596" i="21" s="1"/>
  <c r="G9595" i="21"/>
  <c r="H9595" i="21" s="1"/>
  <c r="G9594" i="21"/>
  <c r="H9594" i="21" s="1"/>
  <c r="G9593" i="21"/>
  <c r="H9593" i="21" s="1"/>
  <c r="G9592" i="21"/>
  <c r="H9592" i="21" s="1"/>
  <c r="G9591" i="21"/>
  <c r="H9591" i="21" s="1"/>
  <c r="G9590" i="21"/>
  <c r="H9590" i="21" s="1"/>
  <c r="G9589" i="21"/>
  <c r="H9589" i="21" s="1"/>
  <c r="G9588" i="21"/>
  <c r="H9588" i="21" s="1"/>
  <c r="G9587" i="21"/>
  <c r="H9587" i="21" s="1"/>
  <c r="G9586" i="21"/>
  <c r="H9586" i="21" s="1"/>
  <c r="G9585" i="21"/>
  <c r="H9585" i="21" s="1"/>
  <c r="G9584" i="21"/>
  <c r="H9584" i="21" s="1"/>
  <c r="G9583" i="21"/>
  <c r="H9583" i="21" s="1"/>
  <c r="G9582" i="21"/>
  <c r="H9582" i="21" s="1"/>
  <c r="G9581" i="21"/>
  <c r="H9581" i="21" s="1"/>
  <c r="G9580" i="21"/>
  <c r="H9580" i="21" s="1"/>
  <c r="G9579" i="21"/>
  <c r="H9579" i="21" s="1"/>
  <c r="G9578" i="21"/>
  <c r="H9578" i="21" s="1"/>
  <c r="G9577" i="21"/>
  <c r="H9577" i="21" s="1"/>
  <c r="G9576" i="21"/>
  <c r="H9576" i="21" s="1"/>
  <c r="G9575" i="21"/>
  <c r="H9575" i="21" s="1"/>
  <c r="G9574" i="21"/>
  <c r="H9574" i="21" s="1"/>
  <c r="G9573" i="21"/>
  <c r="H9573" i="21" s="1"/>
  <c r="G9572" i="21"/>
  <c r="H9572" i="21" s="1"/>
  <c r="G9571" i="21"/>
  <c r="H9571" i="21" s="1"/>
  <c r="G9570" i="21"/>
  <c r="H9570" i="21" s="1"/>
  <c r="G9569" i="21"/>
  <c r="H9569" i="21" s="1"/>
  <c r="G9568" i="21"/>
  <c r="H9568" i="21" s="1"/>
  <c r="G9567" i="21"/>
  <c r="H9567" i="21" s="1"/>
  <c r="G9566" i="21"/>
  <c r="H9566" i="21" s="1"/>
  <c r="G9565" i="21"/>
  <c r="H9565" i="21" s="1"/>
  <c r="G9564" i="21"/>
  <c r="H9564" i="21" s="1"/>
  <c r="G9563" i="21"/>
  <c r="H9563" i="21" s="1"/>
  <c r="G9562" i="21"/>
  <c r="H9562" i="21" s="1"/>
  <c r="G9561" i="21"/>
  <c r="H9561" i="21" s="1"/>
  <c r="G9560" i="21"/>
  <c r="H9560" i="21" s="1"/>
  <c r="G9559" i="21"/>
  <c r="H9559" i="21" s="1"/>
  <c r="G9558" i="21"/>
  <c r="H9558" i="21" s="1"/>
  <c r="G9557" i="21"/>
  <c r="H9557" i="21" s="1"/>
  <c r="G9556" i="21"/>
  <c r="H9556" i="21" s="1"/>
  <c r="G9555" i="21"/>
  <c r="H9555" i="21" s="1"/>
  <c r="G9554" i="21"/>
  <c r="H9554" i="21" s="1"/>
  <c r="G9553" i="21"/>
  <c r="H9553" i="21" s="1"/>
  <c r="G9552" i="21"/>
  <c r="H9552" i="21" s="1"/>
  <c r="G9551" i="21"/>
  <c r="H9551" i="21" s="1"/>
  <c r="G9550" i="21"/>
  <c r="H9550" i="21" s="1"/>
  <c r="G9549" i="21"/>
  <c r="H9549" i="21" s="1"/>
  <c r="G9548" i="21"/>
  <c r="H9548" i="21" s="1"/>
  <c r="G9547" i="21"/>
  <c r="H9547" i="21" s="1"/>
  <c r="G9546" i="21"/>
  <c r="H9546" i="21" s="1"/>
  <c r="G9545" i="21"/>
  <c r="H9545" i="21" s="1"/>
  <c r="G9544" i="21"/>
  <c r="H9544" i="21" s="1"/>
  <c r="G9543" i="21"/>
  <c r="H9543" i="21" s="1"/>
  <c r="G9542" i="21"/>
  <c r="H9542" i="21" s="1"/>
  <c r="G9541" i="21"/>
  <c r="H9541" i="21" s="1"/>
  <c r="G9540" i="21"/>
  <c r="H9540" i="21" s="1"/>
  <c r="G9539" i="21"/>
  <c r="H9539" i="21" s="1"/>
  <c r="G9538" i="21"/>
  <c r="H9538" i="21" s="1"/>
  <c r="G9537" i="21"/>
  <c r="H9537" i="21" s="1"/>
  <c r="G9536" i="21"/>
  <c r="H9536" i="21" s="1"/>
  <c r="G9535" i="21"/>
  <c r="H9535" i="21" s="1"/>
  <c r="G9534" i="21"/>
  <c r="H9534" i="21" s="1"/>
  <c r="G9533" i="21"/>
  <c r="H9533" i="21" s="1"/>
  <c r="G9532" i="21"/>
  <c r="H9532" i="21" s="1"/>
  <c r="G9531" i="21"/>
  <c r="H9531" i="21" s="1"/>
  <c r="G9530" i="21"/>
  <c r="H9530" i="21" s="1"/>
  <c r="G9529" i="21"/>
  <c r="H9529" i="21" s="1"/>
  <c r="G9528" i="21"/>
  <c r="H9528" i="21" s="1"/>
  <c r="G9527" i="21"/>
  <c r="H9527" i="21" s="1"/>
  <c r="G9526" i="21"/>
  <c r="H9526" i="21" s="1"/>
  <c r="G9525" i="21"/>
  <c r="H9525" i="21" s="1"/>
  <c r="G9524" i="21"/>
  <c r="H9524" i="21" s="1"/>
  <c r="G9523" i="21"/>
  <c r="H9523" i="21" s="1"/>
  <c r="G9522" i="21"/>
  <c r="H9522" i="21" s="1"/>
  <c r="G9521" i="21"/>
  <c r="H9521" i="21" s="1"/>
  <c r="G9520" i="21"/>
  <c r="H9520" i="21" s="1"/>
  <c r="G9519" i="21"/>
  <c r="H9519" i="21" s="1"/>
  <c r="G9518" i="21"/>
  <c r="H9518" i="21" s="1"/>
  <c r="G9517" i="21"/>
  <c r="H9517" i="21" s="1"/>
  <c r="G9516" i="21"/>
  <c r="H9516" i="21" s="1"/>
  <c r="G9515" i="21"/>
  <c r="H9515" i="21" s="1"/>
  <c r="G9514" i="21"/>
  <c r="H9514" i="21" s="1"/>
  <c r="G9513" i="21"/>
  <c r="H9513" i="21" s="1"/>
  <c r="G9512" i="21"/>
  <c r="H9512" i="21" s="1"/>
  <c r="G9511" i="21"/>
  <c r="H9511" i="21" s="1"/>
  <c r="G9510" i="21"/>
  <c r="H9510" i="21" s="1"/>
  <c r="G9509" i="21"/>
  <c r="H9509" i="21" s="1"/>
  <c r="G9508" i="21"/>
  <c r="H9508" i="21" s="1"/>
  <c r="G9507" i="21"/>
  <c r="H9507" i="21" s="1"/>
  <c r="G9506" i="21"/>
  <c r="H9506" i="21" s="1"/>
  <c r="G9505" i="21"/>
  <c r="H9505" i="21" s="1"/>
  <c r="G9504" i="21"/>
  <c r="H9504" i="21" s="1"/>
  <c r="G9503" i="21"/>
  <c r="H9503" i="21" s="1"/>
  <c r="G9502" i="21"/>
  <c r="H9502" i="21" s="1"/>
  <c r="G9501" i="21"/>
  <c r="H9501" i="21" s="1"/>
  <c r="G9500" i="21"/>
  <c r="H9500" i="21" s="1"/>
  <c r="G9499" i="21"/>
  <c r="H9499" i="21" s="1"/>
  <c r="G9498" i="21"/>
  <c r="H9498" i="21" s="1"/>
  <c r="G9497" i="21"/>
  <c r="H9497" i="21" s="1"/>
  <c r="G9496" i="21"/>
  <c r="H9496" i="21" s="1"/>
  <c r="G9495" i="21"/>
  <c r="H9495" i="21" s="1"/>
  <c r="G9494" i="21"/>
  <c r="H9494" i="21" s="1"/>
  <c r="G9493" i="21"/>
  <c r="H9493" i="21" s="1"/>
  <c r="G9492" i="21"/>
  <c r="H9492" i="21" s="1"/>
  <c r="G9491" i="21"/>
  <c r="H9491" i="21" s="1"/>
  <c r="G9490" i="21"/>
  <c r="H9490" i="21" s="1"/>
  <c r="G9489" i="21"/>
  <c r="H9489" i="21" s="1"/>
  <c r="G9488" i="21"/>
  <c r="H9488" i="21" s="1"/>
  <c r="G9487" i="21"/>
  <c r="H9487" i="21" s="1"/>
  <c r="G9486" i="21"/>
  <c r="H9486" i="21" s="1"/>
  <c r="G9485" i="21"/>
  <c r="H9485" i="21" s="1"/>
  <c r="G9484" i="21"/>
  <c r="H9484" i="21" s="1"/>
  <c r="G9483" i="21"/>
  <c r="H9483" i="21" s="1"/>
  <c r="G9482" i="21"/>
  <c r="H9482" i="21" s="1"/>
  <c r="G9481" i="21"/>
  <c r="H9481" i="21" s="1"/>
  <c r="G9480" i="21"/>
  <c r="H9480" i="21" s="1"/>
  <c r="G9479" i="21"/>
  <c r="H9479" i="21" s="1"/>
  <c r="G9478" i="21"/>
  <c r="H9478" i="21" s="1"/>
  <c r="G9477" i="21"/>
  <c r="H9477" i="21" s="1"/>
  <c r="G9476" i="21"/>
  <c r="H9476" i="21" s="1"/>
  <c r="G9475" i="21"/>
  <c r="H9475" i="21" s="1"/>
  <c r="G9474" i="21"/>
  <c r="H9474" i="21" s="1"/>
  <c r="G9473" i="21"/>
  <c r="H9473" i="21" s="1"/>
  <c r="G9472" i="21"/>
  <c r="H9472" i="21" s="1"/>
  <c r="G9471" i="21"/>
  <c r="H9471" i="21" s="1"/>
  <c r="G9470" i="21"/>
  <c r="H9470" i="21" s="1"/>
  <c r="G9469" i="21"/>
  <c r="H9469" i="21" s="1"/>
  <c r="G9468" i="21"/>
  <c r="H9468" i="21" s="1"/>
  <c r="G9467" i="21"/>
  <c r="H9467" i="21" s="1"/>
  <c r="G9466" i="21"/>
  <c r="H9466" i="21" s="1"/>
  <c r="G9465" i="21"/>
  <c r="H9465" i="21" s="1"/>
  <c r="G9464" i="21"/>
  <c r="H9464" i="21" s="1"/>
  <c r="G9463" i="21"/>
  <c r="H9463" i="21" s="1"/>
  <c r="G9462" i="21"/>
  <c r="H9462" i="21" s="1"/>
  <c r="G9461" i="21"/>
  <c r="H9461" i="21" s="1"/>
  <c r="G9460" i="21"/>
  <c r="H9460" i="21" s="1"/>
  <c r="G9459" i="21"/>
  <c r="H9459" i="21" s="1"/>
  <c r="G9458" i="21"/>
  <c r="H9458" i="21" s="1"/>
  <c r="G9457" i="21"/>
  <c r="H9457" i="21" s="1"/>
  <c r="G9456" i="21"/>
  <c r="H9456" i="21" s="1"/>
  <c r="G9455" i="21"/>
  <c r="H9455" i="21" s="1"/>
  <c r="G9454" i="21"/>
  <c r="H9454" i="21" s="1"/>
  <c r="G9453" i="21"/>
  <c r="H9453" i="21" s="1"/>
  <c r="G9452" i="21"/>
  <c r="H9452" i="21" s="1"/>
  <c r="G9451" i="21"/>
  <c r="H9451" i="21" s="1"/>
  <c r="G9450" i="21"/>
  <c r="H9450" i="21" s="1"/>
  <c r="G9449" i="21"/>
  <c r="H9449" i="21" s="1"/>
  <c r="G9448" i="21"/>
  <c r="H9448" i="21" s="1"/>
  <c r="G9447" i="21"/>
  <c r="H9447" i="21" s="1"/>
  <c r="G9446" i="21"/>
  <c r="H9446" i="21" s="1"/>
  <c r="H9445" i="21"/>
  <c r="G9445" i="21"/>
  <c r="G9444" i="21"/>
  <c r="H9444" i="21" s="1"/>
  <c r="H9443" i="21"/>
  <c r="G9443" i="21"/>
  <c r="G9442" i="21"/>
  <c r="H9442" i="21" s="1"/>
  <c r="G9441" i="21"/>
  <c r="H9441" i="21" s="1"/>
  <c r="G9440" i="21"/>
  <c r="H9440" i="21" s="1"/>
  <c r="G9439" i="21"/>
  <c r="H9439" i="21" s="1"/>
  <c r="G9438" i="21"/>
  <c r="H9438" i="21" s="1"/>
  <c r="G9437" i="21"/>
  <c r="H9437" i="21" s="1"/>
  <c r="H9436" i="21"/>
  <c r="G9436" i="21"/>
  <c r="G9435" i="21"/>
  <c r="H9435" i="21" s="1"/>
  <c r="G9434" i="21"/>
  <c r="H9434" i="21" s="1"/>
  <c r="G9433" i="21"/>
  <c r="H9433" i="21" s="1"/>
  <c r="G9432" i="21"/>
  <c r="H9432" i="21" s="1"/>
  <c r="G9431" i="21"/>
  <c r="H9431" i="21" s="1"/>
  <c r="G9430" i="21"/>
  <c r="H9430" i="21" s="1"/>
  <c r="G9429" i="21"/>
  <c r="H9429" i="21" s="1"/>
  <c r="G9428" i="21"/>
  <c r="H9428" i="21" s="1"/>
  <c r="G9427" i="21"/>
  <c r="H9427" i="21" s="1"/>
  <c r="G9426" i="21"/>
  <c r="H9426" i="21" s="1"/>
  <c r="G9425" i="21"/>
  <c r="H9425" i="21" s="1"/>
  <c r="G9424" i="21"/>
  <c r="H9424" i="21" s="1"/>
  <c r="G9423" i="21"/>
  <c r="H9423" i="21" s="1"/>
  <c r="G9422" i="21"/>
  <c r="H9422" i="21" s="1"/>
  <c r="G9421" i="21"/>
  <c r="H9421" i="21" s="1"/>
  <c r="G9420" i="21"/>
  <c r="H9420" i="21" s="1"/>
  <c r="G9419" i="21"/>
  <c r="H9419" i="21" s="1"/>
  <c r="G9418" i="21"/>
  <c r="H9418" i="21" s="1"/>
  <c r="G9417" i="21"/>
  <c r="H9417" i="21" s="1"/>
  <c r="G9416" i="21"/>
  <c r="H9416" i="21" s="1"/>
  <c r="H117" i="2" s="1"/>
  <c r="G117" i="2" s="1"/>
  <c r="G9415" i="21"/>
  <c r="H9415" i="21" s="1"/>
  <c r="G9414" i="21"/>
  <c r="H9414" i="21" s="1"/>
  <c r="G9413" i="21"/>
  <c r="H9413" i="21" s="1"/>
  <c r="G9412" i="21"/>
  <c r="H9412" i="21" s="1"/>
  <c r="G9411" i="21"/>
  <c r="H9411" i="21" s="1"/>
  <c r="G9410" i="21"/>
  <c r="H9410" i="21" s="1"/>
  <c r="G9409" i="21"/>
  <c r="H9409" i="21" s="1"/>
  <c r="G9408" i="21"/>
  <c r="H9408" i="21" s="1"/>
  <c r="G9407" i="21"/>
  <c r="H9407" i="21" s="1"/>
  <c r="G9406" i="21"/>
  <c r="H9406" i="21" s="1"/>
  <c r="G9405" i="21"/>
  <c r="H9405" i="21" s="1"/>
  <c r="G9404" i="21"/>
  <c r="H9404" i="21" s="1"/>
  <c r="G9403" i="21"/>
  <c r="H9403" i="21" s="1"/>
  <c r="G9402" i="21"/>
  <c r="H9402" i="21" s="1"/>
  <c r="G9401" i="21"/>
  <c r="H9401" i="21" s="1"/>
  <c r="G9400" i="21"/>
  <c r="H9400" i="21" s="1"/>
  <c r="G9399" i="21"/>
  <c r="H9399" i="21" s="1"/>
  <c r="G9398" i="21"/>
  <c r="H9398" i="21" s="1"/>
  <c r="G9397" i="21"/>
  <c r="H9397" i="21" s="1"/>
  <c r="G9396" i="21"/>
  <c r="H9396" i="21" s="1"/>
  <c r="G9395" i="21"/>
  <c r="H9395" i="21" s="1"/>
  <c r="G9394" i="21"/>
  <c r="H9394" i="21" s="1"/>
  <c r="G9393" i="21"/>
  <c r="H9393" i="21" s="1"/>
  <c r="G9392" i="21"/>
  <c r="H9392" i="21" s="1"/>
  <c r="G9391" i="21"/>
  <c r="H9391" i="21" s="1"/>
  <c r="G9390" i="21"/>
  <c r="H9390" i="21" s="1"/>
  <c r="G9389" i="21"/>
  <c r="H9389" i="21" s="1"/>
  <c r="G9388" i="21"/>
  <c r="H9388" i="21" s="1"/>
  <c r="G9387" i="21"/>
  <c r="H9387" i="21" s="1"/>
  <c r="G9386" i="21"/>
  <c r="H9386" i="21" s="1"/>
  <c r="G9385" i="21"/>
  <c r="H9385" i="21" s="1"/>
  <c r="G9384" i="21"/>
  <c r="H9384" i="21" s="1"/>
  <c r="G9383" i="21"/>
  <c r="H9383" i="21" s="1"/>
  <c r="G9382" i="21"/>
  <c r="H9382" i="21" s="1"/>
  <c r="G9381" i="21"/>
  <c r="H9381" i="21" s="1"/>
  <c r="G9380" i="21"/>
  <c r="H9380" i="21" s="1"/>
  <c r="G9379" i="21"/>
  <c r="H9379" i="21" s="1"/>
  <c r="G9378" i="21"/>
  <c r="H9378" i="21" s="1"/>
  <c r="G9377" i="21"/>
  <c r="H9377" i="21" s="1"/>
  <c r="G9376" i="21"/>
  <c r="H9376" i="21" s="1"/>
  <c r="G9375" i="21"/>
  <c r="H9375" i="21" s="1"/>
  <c r="G9374" i="21"/>
  <c r="H9374" i="21" s="1"/>
  <c r="G9373" i="21"/>
  <c r="H9373" i="21" s="1"/>
  <c r="G9372" i="21"/>
  <c r="H9372" i="21" s="1"/>
  <c r="G9371" i="21"/>
  <c r="H9371" i="21" s="1"/>
  <c r="G9370" i="21"/>
  <c r="H9370" i="21" s="1"/>
  <c r="G9369" i="21"/>
  <c r="H9369" i="21" s="1"/>
  <c r="G9368" i="21"/>
  <c r="H9368" i="21" s="1"/>
  <c r="G9367" i="21"/>
  <c r="H9367" i="21" s="1"/>
  <c r="G9366" i="21"/>
  <c r="H9366" i="21" s="1"/>
  <c r="G9365" i="21"/>
  <c r="H9365" i="21" s="1"/>
  <c r="G9364" i="21"/>
  <c r="H9364" i="21" s="1"/>
  <c r="G9363" i="21"/>
  <c r="H9363" i="21" s="1"/>
  <c r="G9362" i="21"/>
  <c r="H9362" i="21" s="1"/>
  <c r="G9361" i="21"/>
  <c r="H9361" i="21" s="1"/>
  <c r="G9360" i="21"/>
  <c r="H9360" i="21" s="1"/>
  <c r="G9359" i="21"/>
  <c r="H9359" i="21" s="1"/>
  <c r="G9358" i="21"/>
  <c r="H9358" i="21" s="1"/>
  <c r="G9357" i="21"/>
  <c r="H9357" i="21" s="1"/>
  <c r="G9356" i="21"/>
  <c r="H9356" i="21" s="1"/>
  <c r="G9355" i="21"/>
  <c r="H9355" i="21" s="1"/>
  <c r="G9354" i="21"/>
  <c r="H9354" i="21" s="1"/>
  <c r="G9353" i="21"/>
  <c r="H9353" i="21" s="1"/>
  <c r="G9352" i="21"/>
  <c r="H9352" i="21" s="1"/>
  <c r="G9351" i="21"/>
  <c r="H9351" i="21" s="1"/>
  <c r="G9350" i="21"/>
  <c r="H9350" i="21" s="1"/>
  <c r="G9349" i="21"/>
  <c r="H9349" i="21" s="1"/>
  <c r="G9348" i="21"/>
  <c r="H9348" i="21" s="1"/>
  <c r="G9347" i="21"/>
  <c r="H9347" i="21" s="1"/>
  <c r="G9346" i="21"/>
  <c r="H9346" i="21" s="1"/>
  <c r="G9345" i="21"/>
  <c r="H9345" i="21" s="1"/>
  <c r="G9344" i="21"/>
  <c r="H9344" i="21" s="1"/>
  <c r="G9343" i="21"/>
  <c r="H9343" i="21" s="1"/>
  <c r="G9342" i="21"/>
  <c r="H9342" i="21" s="1"/>
  <c r="G9341" i="21"/>
  <c r="H9341" i="21" s="1"/>
  <c r="G9340" i="21"/>
  <c r="H9340" i="21" s="1"/>
  <c r="G9339" i="21"/>
  <c r="H9339" i="21" s="1"/>
  <c r="G9338" i="21"/>
  <c r="H9338" i="21" s="1"/>
  <c r="G9337" i="21"/>
  <c r="H9337" i="21" s="1"/>
  <c r="G9336" i="21"/>
  <c r="H9336" i="21" s="1"/>
  <c r="G9335" i="21"/>
  <c r="H9335" i="21" s="1"/>
  <c r="G9334" i="21"/>
  <c r="H9334" i="21" s="1"/>
  <c r="G9333" i="21"/>
  <c r="H9333" i="21" s="1"/>
  <c r="G9332" i="21"/>
  <c r="H9332" i="21" s="1"/>
  <c r="G9331" i="21"/>
  <c r="H9331" i="21" s="1"/>
  <c r="G9330" i="21"/>
  <c r="H9330" i="21" s="1"/>
  <c r="G9329" i="21"/>
  <c r="H9329" i="21" s="1"/>
  <c r="G9328" i="21"/>
  <c r="H9328" i="21" s="1"/>
  <c r="G9327" i="21"/>
  <c r="H9327" i="21" s="1"/>
  <c r="G9326" i="21"/>
  <c r="H9326" i="21" s="1"/>
  <c r="G9325" i="21"/>
  <c r="H9325" i="21" s="1"/>
  <c r="G9324" i="21"/>
  <c r="H9324" i="21" s="1"/>
  <c r="G9323" i="21"/>
  <c r="H9323" i="21" s="1"/>
  <c r="G9322" i="21"/>
  <c r="H9322" i="21" s="1"/>
  <c r="G9321" i="21"/>
  <c r="H9321" i="21" s="1"/>
  <c r="G9320" i="21"/>
  <c r="H9320" i="21" s="1"/>
  <c r="G9319" i="21"/>
  <c r="H9319" i="21" s="1"/>
  <c r="G9318" i="21"/>
  <c r="H9318" i="21" s="1"/>
  <c r="G9317" i="21"/>
  <c r="H9317" i="21" s="1"/>
  <c r="G9316" i="21"/>
  <c r="H9316" i="21" s="1"/>
  <c r="G9315" i="21"/>
  <c r="H9315" i="21" s="1"/>
  <c r="G9314" i="21"/>
  <c r="H9314" i="21" s="1"/>
  <c r="G9313" i="21"/>
  <c r="H9313" i="21" s="1"/>
  <c r="G9312" i="21"/>
  <c r="H9312" i="21" s="1"/>
  <c r="G9311" i="21"/>
  <c r="H9311" i="21" s="1"/>
  <c r="G9310" i="21"/>
  <c r="H9310" i="21" s="1"/>
  <c r="G9309" i="21"/>
  <c r="H9309" i="21" s="1"/>
  <c r="G9308" i="21"/>
  <c r="H9308" i="21" s="1"/>
  <c r="G9307" i="21"/>
  <c r="H9307" i="21" s="1"/>
  <c r="G9306" i="21"/>
  <c r="H9306" i="21" s="1"/>
  <c r="G9305" i="21"/>
  <c r="H9305" i="21" s="1"/>
  <c r="G9304" i="21"/>
  <c r="H9304" i="21" s="1"/>
  <c r="G9303" i="21"/>
  <c r="H9303" i="21" s="1"/>
  <c r="G9302" i="21"/>
  <c r="H9302" i="21" s="1"/>
  <c r="G9301" i="21"/>
  <c r="H9301" i="21" s="1"/>
  <c r="G9300" i="21"/>
  <c r="H9300" i="21" s="1"/>
  <c r="G9299" i="21"/>
  <c r="H9299" i="21" s="1"/>
  <c r="G9298" i="21"/>
  <c r="H9298" i="21" s="1"/>
  <c r="G9297" i="21"/>
  <c r="H9297" i="21" s="1"/>
  <c r="G9296" i="21"/>
  <c r="H9296" i="21" s="1"/>
  <c r="G9295" i="21"/>
  <c r="H9295" i="21" s="1"/>
  <c r="G9294" i="21"/>
  <c r="H9294" i="21" s="1"/>
  <c r="G9293" i="21"/>
  <c r="H9293" i="21" s="1"/>
  <c r="G9292" i="21"/>
  <c r="H9292" i="21" s="1"/>
  <c r="G9291" i="21"/>
  <c r="H9291" i="21" s="1"/>
  <c r="G9290" i="21"/>
  <c r="H9290" i="21" s="1"/>
  <c r="G9289" i="21"/>
  <c r="H9289" i="21" s="1"/>
  <c r="G9288" i="21"/>
  <c r="H9288" i="21" s="1"/>
  <c r="G9287" i="21"/>
  <c r="H9287" i="21" s="1"/>
  <c r="G9286" i="21"/>
  <c r="H9286" i="21" s="1"/>
  <c r="G9285" i="21"/>
  <c r="H9285" i="21" s="1"/>
  <c r="G9284" i="21"/>
  <c r="H9284" i="21" s="1"/>
  <c r="G9283" i="21"/>
  <c r="H9283" i="21" s="1"/>
  <c r="G9282" i="21"/>
  <c r="H9282" i="21" s="1"/>
  <c r="G9281" i="21"/>
  <c r="H9281" i="21" s="1"/>
  <c r="G9280" i="21"/>
  <c r="H9280" i="21" s="1"/>
  <c r="G9279" i="21"/>
  <c r="H9279" i="21" s="1"/>
  <c r="G9278" i="21"/>
  <c r="H9278" i="21" s="1"/>
  <c r="G9277" i="21"/>
  <c r="H9277" i="21" s="1"/>
  <c r="G9276" i="21"/>
  <c r="H9276" i="21" s="1"/>
  <c r="G9275" i="21"/>
  <c r="H9275" i="21" s="1"/>
  <c r="G9274" i="21"/>
  <c r="H9274" i="21" s="1"/>
  <c r="G9273" i="21"/>
  <c r="H9273" i="21" s="1"/>
  <c r="G9272" i="21"/>
  <c r="H9272" i="21" s="1"/>
  <c r="G9271" i="21"/>
  <c r="H9271" i="21" s="1"/>
  <c r="G9270" i="21"/>
  <c r="H9270" i="21" s="1"/>
  <c r="G9269" i="21"/>
  <c r="H9269" i="21" s="1"/>
  <c r="G9268" i="21"/>
  <c r="H9268" i="21" s="1"/>
  <c r="G9267" i="21"/>
  <c r="H9267" i="21" s="1"/>
  <c r="G9266" i="21"/>
  <c r="H9266" i="21" s="1"/>
  <c r="G9265" i="21"/>
  <c r="H9265" i="21" s="1"/>
  <c r="G9264" i="21"/>
  <c r="H9264" i="21" s="1"/>
  <c r="G9263" i="21"/>
  <c r="H9263" i="21" s="1"/>
  <c r="G9262" i="21"/>
  <c r="H9262" i="21" s="1"/>
  <c r="G9261" i="21"/>
  <c r="H9261" i="21" s="1"/>
  <c r="G9260" i="21"/>
  <c r="H9260" i="21" s="1"/>
  <c r="G9259" i="21"/>
  <c r="H9259" i="21" s="1"/>
  <c r="G9258" i="21"/>
  <c r="H9258" i="21" s="1"/>
  <c r="G9257" i="21"/>
  <c r="H9257" i="21" s="1"/>
  <c r="G9256" i="21"/>
  <c r="H9256" i="21" s="1"/>
  <c r="G9255" i="21"/>
  <c r="H9255" i="21" s="1"/>
  <c r="G9254" i="21"/>
  <c r="H9254" i="21" s="1"/>
  <c r="G9253" i="21"/>
  <c r="H9253" i="21" s="1"/>
  <c r="G9252" i="21"/>
  <c r="H9252" i="21" s="1"/>
  <c r="G9251" i="21"/>
  <c r="H9251" i="21" s="1"/>
  <c r="G9250" i="21"/>
  <c r="H9250" i="21" s="1"/>
  <c r="G9249" i="21"/>
  <c r="H9249" i="21" s="1"/>
  <c r="G9248" i="21"/>
  <c r="H9248" i="21" s="1"/>
  <c r="G9247" i="21"/>
  <c r="H9247" i="21" s="1"/>
  <c r="G9246" i="21"/>
  <c r="H9246" i="21" s="1"/>
  <c r="G9245" i="21"/>
  <c r="H9245" i="21" s="1"/>
  <c r="G9244" i="21"/>
  <c r="H9244" i="21" s="1"/>
  <c r="G9243" i="21"/>
  <c r="H9243" i="21" s="1"/>
  <c r="G9242" i="21"/>
  <c r="H9242" i="21" s="1"/>
  <c r="G9241" i="21"/>
  <c r="H9241" i="21" s="1"/>
  <c r="G9240" i="21"/>
  <c r="H9240" i="21" s="1"/>
  <c r="G9239" i="21"/>
  <c r="H9239" i="21" s="1"/>
  <c r="G9238" i="21"/>
  <c r="H9238" i="21" s="1"/>
  <c r="G9237" i="21"/>
  <c r="H9237" i="21" s="1"/>
  <c r="G9236" i="21"/>
  <c r="H9236" i="21" s="1"/>
  <c r="G9235" i="21"/>
  <c r="H9235" i="21" s="1"/>
  <c r="G9234" i="21"/>
  <c r="H9234" i="21" s="1"/>
  <c r="G9233" i="21"/>
  <c r="H9233" i="21" s="1"/>
  <c r="G9232" i="21"/>
  <c r="H9232" i="21" s="1"/>
  <c r="G9231" i="21"/>
  <c r="H9231" i="21" s="1"/>
  <c r="G9230" i="21"/>
  <c r="H9230" i="21" s="1"/>
  <c r="G9229" i="21"/>
  <c r="H9229" i="21" s="1"/>
  <c r="G9228" i="21"/>
  <c r="H9228" i="21" s="1"/>
  <c r="G9227" i="21"/>
  <c r="H9227" i="21" s="1"/>
  <c r="G9226" i="21"/>
  <c r="H9226" i="21" s="1"/>
  <c r="G9225" i="21"/>
  <c r="H9225" i="21" s="1"/>
  <c r="G9224" i="21"/>
  <c r="H9224" i="21" s="1"/>
  <c r="G9223" i="21"/>
  <c r="H9223" i="21" s="1"/>
  <c r="G9222" i="21"/>
  <c r="H9222" i="21" s="1"/>
  <c r="G9221" i="21"/>
  <c r="H9221" i="21" s="1"/>
  <c r="G9220" i="21"/>
  <c r="H9220" i="21" s="1"/>
  <c r="G9219" i="21"/>
  <c r="H9219" i="21" s="1"/>
  <c r="G9218" i="21"/>
  <c r="H9218" i="21" s="1"/>
  <c r="G9217" i="21"/>
  <c r="H9217" i="21" s="1"/>
  <c r="G9216" i="21"/>
  <c r="H9216" i="21" s="1"/>
  <c r="G9215" i="21"/>
  <c r="H9215" i="21" s="1"/>
  <c r="G9214" i="21"/>
  <c r="H9214" i="21" s="1"/>
  <c r="G9213" i="21"/>
  <c r="H9213" i="21" s="1"/>
  <c r="G9212" i="21"/>
  <c r="H9212" i="21" s="1"/>
  <c r="G9211" i="21"/>
  <c r="H9211" i="21" s="1"/>
  <c r="G9210" i="21"/>
  <c r="H9210" i="21" s="1"/>
  <c r="G9209" i="21"/>
  <c r="H9209" i="21" s="1"/>
  <c r="G9208" i="21"/>
  <c r="H9208" i="21" s="1"/>
  <c r="G9207" i="21"/>
  <c r="H9207" i="21" s="1"/>
  <c r="G9206" i="21"/>
  <c r="H9206" i="21" s="1"/>
  <c r="G9205" i="21"/>
  <c r="H9205" i="21" s="1"/>
  <c r="G9204" i="21"/>
  <c r="H9204" i="21" s="1"/>
  <c r="G9203" i="21"/>
  <c r="H9203" i="21" s="1"/>
  <c r="G9202" i="21"/>
  <c r="H9202" i="21" s="1"/>
  <c r="G9201" i="21"/>
  <c r="H9201" i="21" s="1"/>
  <c r="G9200" i="21"/>
  <c r="H9200" i="21" s="1"/>
  <c r="G9199" i="21"/>
  <c r="H9199" i="21" s="1"/>
  <c r="G9198" i="21"/>
  <c r="H9198" i="21" s="1"/>
  <c r="G9197" i="21"/>
  <c r="H9197" i="21" s="1"/>
  <c r="G9196" i="21"/>
  <c r="H9196" i="21" s="1"/>
  <c r="G9195" i="21"/>
  <c r="H9195" i="21" s="1"/>
  <c r="G9194" i="21"/>
  <c r="H9194" i="21" s="1"/>
  <c r="G9193" i="21"/>
  <c r="H9193" i="21" s="1"/>
  <c r="G9192" i="21"/>
  <c r="H9192" i="21" s="1"/>
  <c r="G9191" i="21"/>
  <c r="H9191" i="21" s="1"/>
  <c r="G9190" i="21"/>
  <c r="H9190" i="21" s="1"/>
  <c r="G9189" i="21"/>
  <c r="H9189" i="21" s="1"/>
  <c r="G9188" i="21"/>
  <c r="H9188" i="21" s="1"/>
  <c r="G9187" i="21"/>
  <c r="H9187" i="21" s="1"/>
  <c r="G9186" i="21"/>
  <c r="H9186" i="21" s="1"/>
  <c r="G9185" i="21"/>
  <c r="H9185" i="21" s="1"/>
  <c r="G9184" i="21"/>
  <c r="H9184" i="21" s="1"/>
  <c r="G9183" i="21"/>
  <c r="H9183" i="21" s="1"/>
  <c r="G9182" i="21"/>
  <c r="H9182" i="21" s="1"/>
  <c r="G9181" i="21"/>
  <c r="H9181" i="21" s="1"/>
  <c r="G9180" i="21"/>
  <c r="H9180" i="21" s="1"/>
  <c r="G9179" i="21"/>
  <c r="H9179" i="21" s="1"/>
  <c r="G9178" i="21"/>
  <c r="H9178" i="21" s="1"/>
  <c r="G9177" i="21"/>
  <c r="H9177" i="21" s="1"/>
  <c r="G9176" i="21"/>
  <c r="H9176" i="21" s="1"/>
  <c r="G9175" i="21"/>
  <c r="H9175" i="21" s="1"/>
  <c r="G9174" i="21"/>
  <c r="H9174" i="21" s="1"/>
  <c r="G9173" i="21"/>
  <c r="H9173" i="21" s="1"/>
  <c r="G9172" i="21"/>
  <c r="H9172" i="21" s="1"/>
  <c r="G9171" i="21"/>
  <c r="H9171" i="21" s="1"/>
  <c r="G9170" i="21"/>
  <c r="H9170" i="21" s="1"/>
  <c r="G9169" i="21"/>
  <c r="H9169" i="21" s="1"/>
  <c r="G9168" i="21"/>
  <c r="H9168" i="21" s="1"/>
  <c r="G9167" i="21"/>
  <c r="H9167" i="21" s="1"/>
  <c r="G9166" i="21"/>
  <c r="H9166" i="21" s="1"/>
  <c r="G9165" i="21"/>
  <c r="H9165" i="21" s="1"/>
  <c r="G9164" i="21"/>
  <c r="H9164" i="21" s="1"/>
  <c r="G9163" i="21"/>
  <c r="H9163" i="21" s="1"/>
  <c r="G9162" i="21"/>
  <c r="H9162" i="21" s="1"/>
  <c r="G9161" i="21"/>
  <c r="H9161" i="21" s="1"/>
  <c r="G9160" i="21"/>
  <c r="H9160" i="21" s="1"/>
  <c r="G9159" i="21"/>
  <c r="H9159" i="21" s="1"/>
  <c r="G9158" i="21"/>
  <c r="H9158" i="21" s="1"/>
  <c r="G9157" i="21"/>
  <c r="H9157" i="21" s="1"/>
  <c r="G9156" i="21"/>
  <c r="H9156" i="21" s="1"/>
  <c r="G9155" i="21"/>
  <c r="H9155" i="21" s="1"/>
  <c r="G9154" i="21"/>
  <c r="H9154" i="21" s="1"/>
  <c r="G9153" i="21"/>
  <c r="H9153" i="21" s="1"/>
  <c r="G9152" i="21"/>
  <c r="H9152" i="21" s="1"/>
  <c r="G9151" i="21"/>
  <c r="H9151" i="21" s="1"/>
  <c r="G9150" i="21"/>
  <c r="H9150" i="21" s="1"/>
  <c r="G9149" i="21"/>
  <c r="H9149" i="21" s="1"/>
  <c r="G9148" i="21"/>
  <c r="H9148" i="21" s="1"/>
  <c r="G9147" i="21"/>
  <c r="H9147" i="21" s="1"/>
  <c r="G9146" i="21"/>
  <c r="H9146" i="21" s="1"/>
  <c r="G9145" i="21"/>
  <c r="H9145" i="21" s="1"/>
  <c r="G9144" i="21"/>
  <c r="H9144" i="21" s="1"/>
  <c r="G9143" i="21"/>
  <c r="H9143" i="21" s="1"/>
  <c r="G9142" i="21"/>
  <c r="H9142" i="21" s="1"/>
  <c r="G9141" i="21"/>
  <c r="H9141" i="21" s="1"/>
  <c r="G9140" i="21"/>
  <c r="H9140" i="21" s="1"/>
  <c r="G9139" i="21"/>
  <c r="H9139" i="21" s="1"/>
  <c r="G9138" i="21"/>
  <c r="H9138" i="21" s="1"/>
  <c r="G9137" i="21"/>
  <c r="H9137" i="21" s="1"/>
  <c r="G9136" i="21"/>
  <c r="H9136" i="21" s="1"/>
  <c r="G9135" i="21"/>
  <c r="H9135" i="21" s="1"/>
  <c r="G9134" i="21"/>
  <c r="H9134" i="21" s="1"/>
  <c r="G9133" i="21"/>
  <c r="H9133" i="21" s="1"/>
  <c r="G9132" i="21"/>
  <c r="H9132" i="21" s="1"/>
  <c r="H9131" i="21"/>
  <c r="G9131" i="21"/>
  <c r="G9130" i="21"/>
  <c r="H9130" i="21" s="1"/>
  <c r="G9129" i="21"/>
  <c r="H9129" i="21" s="1"/>
  <c r="G9128" i="21"/>
  <c r="H9128" i="21" s="1"/>
  <c r="G9127" i="21"/>
  <c r="H9127" i="21" s="1"/>
  <c r="H9126" i="21"/>
  <c r="G9126" i="21"/>
  <c r="G9125" i="21"/>
  <c r="H9125" i="21" s="1"/>
  <c r="G9124" i="21"/>
  <c r="H9124" i="21" s="1"/>
  <c r="G9123" i="21"/>
  <c r="H9123" i="21" s="1"/>
  <c r="G9122" i="21"/>
  <c r="H9122" i="21" s="1"/>
  <c r="G9121" i="21"/>
  <c r="H9121" i="21" s="1"/>
  <c r="G9120" i="21"/>
  <c r="H9120" i="21" s="1"/>
  <c r="G9119" i="21"/>
  <c r="H9119" i="21" s="1"/>
  <c r="G9118" i="21"/>
  <c r="H9118" i="21" s="1"/>
  <c r="G9117" i="21"/>
  <c r="H9117" i="21" s="1"/>
  <c r="G9116" i="21"/>
  <c r="H9116" i="21" s="1"/>
  <c r="G9115" i="21"/>
  <c r="H9115" i="21" s="1"/>
  <c r="G9114" i="21"/>
  <c r="H9114" i="21" s="1"/>
  <c r="G9113" i="21"/>
  <c r="H9113" i="21" s="1"/>
  <c r="G9112" i="21"/>
  <c r="H9112" i="21" s="1"/>
  <c r="G9111" i="21"/>
  <c r="H9111" i="21" s="1"/>
  <c r="G9110" i="21"/>
  <c r="H9110" i="21" s="1"/>
  <c r="G9109" i="21"/>
  <c r="H9109" i="21" s="1"/>
  <c r="G9108" i="21"/>
  <c r="H9108" i="21" s="1"/>
  <c r="G9107" i="21"/>
  <c r="H9107" i="21" s="1"/>
  <c r="G9106" i="21"/>
  <c r="H9106" i="21" s="1"/>
  <c r="G9105" i="21"/>
  <c r="H9105" i="21" s="1"/>
  <c r="G9104" i="21"/>
  <c r="H9104" i="21" s="1"/>
  <c r="G9103" i="21"/>
  <c r="H9103" i="21" s="1"/>
  <c r="G9102" i="21"/>
  <c r="H9102" i="21" s="1"/>
  <c r="G9101" i="21"/>
  <c r="H9101" i="21" s="1"/>
  <c r="G9100" i="21"/>
  <c r="H9100" i="21" s="1"/>
  <c r="G9099" i="21"/>
  <c r="H9099" i="21" s="1"/>
  <c r="G9098" i="21"/>
  <c r="H9098" i="21" s="1"/>
  <c r="G9097" i="21"/>
  <c r="H9097" i="21" s="1"/>
  <c r="G9096" i="21"/>
  <c r="H9096" i="21" s="1"/>
  <c r="G9095" i="21"/>
  <c r="H9095" i="21" s="1"/>
  <c r="G9094" i="21"/>
  <c r="H9094" i="21" s="1"/>
  <c r="G9093" i="21"/>
  <c r="H9093" i="21" s="1"/>
  <c r="G9092" i="21"/>
  <c r="H9092" i="21" s="1"/>
  <c r="G9091" i="21"/>
  <c r="H9091" i="21" s="1"/>
  <c r="G9090" i="21"/>
  <c r="H9090" i="21" s="1"/>
  <c r="G9089" i="21"/>
  <c r="H9089" i="21" s="1"/>
  <c r="G9088" i="21"/>
  <c r="H9088" i="21" s="1"/>
  <c r="G9087" i="21"/>
  <c r="H9087" i="21" s="1"/>
  <c r="G9086" i="21"/>
  <c r="H9086" i="21" s="1"/>
  <c r="G9085" i="21"/>
  <c r="H9085" i="21" s="1"/>
  <c r="G9084" i="21"/>
  <c r="H9084" i="21" s="1"/>
  <c r="G9083" i="21"/>
  <c r="H9083" i="21" s="1"/>
  <c r="G9082" i="21"/>
  <c r="H9082" i="21" s="1"/>
  <c r="G9081" i="21"/>
  <c r="H9081" i="21" s="1"/>
  <c r="G9080" i="21"/>
  <c r="H9080" i="21" s="1"/>
  <c r="G9079" i="21"/>
  <c r="H9079" i="21" s="1"/>
  <c r="G9078" i="21"/>
  <c r="H9078" i="21" s="1"/>
  <c r="G9077" i="21"/>
  <c r="H9077" i="21" s="1"/>
  <c r="G9076" i="21"/>
  <c r="H9076" i="21" s="1"/>
  <c r="G9075" i="21"/>
  <c r="H9075" i="21" s="1"/>
  <c r="G9074" i="21"/>
  <c r="H9074" i="21" s="1"/>
  <c r="G9073" i="21"/>
  <c r="H9073" i="21" s="1"/>
  <c r="G9072" i="21"/>
  <c r="H9072" i="21" s="1"/>
  <c r="G9071" i="21"/>
  <c r="H9071" i="21" s="1"/>
  <c r="G9070" i="21"/>
  <c r="H9070" i="21" s="1"/>
  <c r="G9069" i="21"/>
  <c r="H9069" i="21" s="1"/>
  <c r="G9068" i="21"/>
  <c r="H9068" i="21" s="1"/>
  <c r="G9067" i="21"/>
  <c r="H9067" i="21" s="1"/>
  <c r="G9066" i="21"/>
  <c r="H9066" i="21" s="1"/>
  <c r="G9065" i="21"/>
  <c r="H9065" i="21" s="1"/>
  <c r="G9064" i="21"/>
  <c r="H9064" i="21" s="1"/>
  <c r="G9063" i="21"/>
  <c r="H9063" i="21" s="1"/>
  <c r="G9062" i="21"/>
  <c r="H9062" i="21" s="1"/>
  <c r="G9061" i="21"/>
  <c r="H9061" i="21" s="1"/>
  <c r="G9060" i="21"/>
  <c r="H9060" i="21" s="1"/>
  <c r="G9059" i="21"/>
  <c r="H9059" i="21" s="1"/>
  <c r="G9058" i="21"/>
  <c r="H9058" i="21" s="1"/>
  <c r="G9057" i="21"/>
  <c r="H9057" i="21" s="1"/>
  <c r="G9056" i="21"/>
  <c r="H9056" i="21" s="1"/>
  <c r="G9055" i="21"/>
  <c r="H9055" i="21" s="1"/>
  <c r="G9054" i="21"/>
  <c r="H9054" i="21" s="1"/>
  <c r="G9053" i="21"/>
  <c r="H9053" i="21" s="1"/>
  <c r="G9052" i="21"/>
  <c r="H9052" i="21" s="1"/>
  <c r="G9051" i="21"/>
  <c r="H9051" i="21" s="1"/>
  <c r="G9050" i="21"/>
  <c r="H9050" i="21" s="1"/>
  <c r="G9049" i="21"/>
  <c r="H9049" i="21" s="1"/>
  <c r="G9048" i="21"/>
  <c r="H9048" i="21" s="1"/>
  <c r="G9047" i="21"/>
  <c r="H9047" i="21" s="1"/>
  <c r="G9046" i="21"/>
  <c r="H9046" i="21" s="1"/>
  <c r="G9045" i="21"/>
  <c r="H9045" i="21" s="1"/>
  <c r="G9044" i="21"/>
  <c r="H9044" i="21" s="1"/>
  <c r="G9043" i="21"/>
  <c r="H9043" i="21" s="1"/>
  <c r="G9042" i="21"/>
  <c r="H9042" i="21" s="1"/>
  <c r="G9041" i="21"/>
  <c r="H9041" i="21" s="1"/>
  <c r="G9040" i="21"/>
  <c r="H9040" i="21" s="1"/>
  <c r="G9039" i="21"/>
  <c r="H9039" i="21" s="1"/>
  <c r="G9038" i="21"/>
  <c r="H9038" i="21" s="1"/>
  <c r="G9037" i="21"/>
  <c r="H9037" i="21" s="1"/>
  <c r="G9036" i="21"/>
  <c r="H9036" i="21" s="1"/>
  <c r="G9035" i="21"/>
  <c r="H9035" i="21" s="1"/>
  <c r="G9034" i="21"/>
  <c r="H9034" i="21" s="1"/>
  <c r="G9033" i="21"/>
  <c r="H9033" i="21" s="1"/>
  <c r="G9032" i="21"/>
  <c r="H9032" i="21" s="1"/>
  <c r="G9031" i="21"/>
  <c r="H9031" i="21" s="1"/>
  <c r="G9030" i="21"/>
  <c r="H9030" i="21" s="1"/>
  <c r="G9029" i="21"/>
  <c r="H9029" i="21" s="1"/>
  <c r="G9028" i="21"/>
  <c r="H9028" i="21" s="1"/>
  <c r="G9027" i="21"/>
  <c r="H9027" i="21" s="1"/>
  <c r="G9026" i="21"/>
  <c r="H9026" i="21" s="1"/>
  <c r="G9025" i="21"/>
  <c r="H9025" i="21" s="1"/>
  <c r="G9024" i="21"/>
  <c r="H9024" i="21" s="1"/>
  <c r="G9023" i="21"/>
  <c r="H9023" i="21" s="1"/>
  <c r="G9022" i="21"/>
  <c r="H9022" i="21" s="1"/>
  <c r="G9021" i="21"/>
  <c r="H9021" i="21" s="1"/>
  <c r="G9020" i="21"/>
  <c r="H9020" i="21" s="1"/>
  <c r="G9019" i="21"/>
  <c r="H9019" i="21" s="1"/>
  <c r="G9018" i="21"/>
  <c r="H9018" i="21" s="1"/>
  <c r="G9017" i="21"/>
  <c r="H9017" i="21" s="1"/>
  <c r="G9016" i="21"/>
  <c r="H9016" i="21" s="1"/>
  <c r="G9015" i="21"/>
  <c r="H9015" i="21" s="1"/>
  <c r="G9014" i="21"/>
  <c r="H9014" i="21" s="1"/>
  <c r="G9013" i="21"/>
  <c r="H9013" i="21" s="1"/>
  <c r="G9012" i="21"/>
  <c r="H9012" i="21" s="1"/>
  <c r="G9011" i="21"/>
  <c r="H9011" i="21" s="1"/>
  <c r="G9010" i="21"/>
  <c r="H9010" i="21" s="1"/>
  <c r="G9009" i="21"/>
  <c r="H9009" i="21" s="1"/>
  <c r="G9008" i="21"/>
  <c r="H9008" i="21" s="1"/>
  <c r="G9007" i="21"/>
  <c r="H9007" i="21" s="1"/>
  <c r="G9006" i="21"/>
  <c r="H9006" i="21" s="1"/>
  <c r="G9005" i="21"/>
  <c r="H9005" i="21" s="1"/>
  <c r="G9004" i="21"/>
  <c r="H9004" i="21" s="1"/>
  <c r="G9003" i="21"/>
  <c r="H9003" i="21" s="1"/>
  <c r="G9002" i="21"/>
  <c r="H9002" i="21" s="1"/>
  <c r="G9001" i="21"/>
  <c r="H9001" i="21" s="1"/>
  <c r="G9000" i="21"/>
  <c r="H9000" i="21" s="1"/>
  <c r="G8999" i="21"/>
  <c r="H8999" i="21" s="1"/>
  <c r="G8998" i="21"/>
  <c r="H8998" i="21" s="1"/>
  <c r="G8997" i="21"/>
  <c r="H8997" i="21" s="1"/>
  <c r="G8996" i="21"/>
  <c r="H8996" i="21" s="1"/>
  <c r="G8995" i="21"/>
  <c r="H8995" i="21" s="1"/>
  <c r="G8994" i="21"/>
  <c r="H8994" i="21" s="1"/>
  <c r="G8993" i="21"/>
  <c r="H8993" i="21" s="1"/>
  <c r="G8992" i="21"/>
  <c r="H8992" i="21" s="1"/>
  <c r="G8991" i="21"/>
  <c r="H8991" i="21" s="1"/>
  <c r="G8990" i="21"/>
  <c r="H8990" i="21" s="1"/>
  <c r="G8989" i="21"/>
  <c r="H8989" i="21" s="1"/>
  <c r="G8988" i="21"/>
  <c r="H8988" i="21" s="1"/>
  <c r="G8987" i="21"/>
  <c r="H8987" i="21" s="1"/>
  <c r="G8986" i="21"/>
  <c r="H8986" i="21" s="1"/>
  <c r="G8985" i="21"/>
  <c r="H8985" i="21" s="1"/>
  <c r="G8984" i="21"/>
  <c r="H8984" i="21" s="1"/>
  <c r="G8983" i="21"/>
  <c r="H8983" i="21" s="1"/>
  <c r="G8982" i="21"/>
  <c r="H8982" i="21" s="1"/>
  <c r="G8981" i="21"/>
  <c r="H8981" i="21" s="1"/>
  <c r="G8980" i="21"/>
  <c r="H8980" i="21" s="1"/>
  <c r="G8979" i="21"/>
  <c r="H8979" i="21" s="1"/>
  <c r="G8978" i="21"/>
  <c r="H8978" i="21" s="1"/>
  <c r="G8977" i="21"/>
  <c r="H8977" i="21" s="1"/>
  <c r="G8976" i="21"/>
  <c r="H8976" i="21" s="1"/>
  <c r="G8975" i="21"/>
  <c r="H8975" i="21" s="1"/>
  <c r="G8974" i="21"/>
  <c r="H8974" i="21" s="1"/>
  <c r="G8973" i="21"/>
  <c r="H8973" i="21" s="1"/>
  <c r="H8972" i="21"/>
  <c r="G8972" i="21"/>
  <c r="G8971" i="21"/>
  <c r="H8971" i="21" s="1"/>
  <c r="G8970" i="21"/>
  <c r="H8970" i="21" s="1"/>
  <c r="G8969" i="21"/>
  <c r="H8969" i="21" s="1"/>
  <c r="G8968" i="21"/>
  <c r="H8968" i="21" s="1"/>
  <c r="G8967" i="21"/>
  <c r="H8967" i="21" s="1"/>
  <c r="G8966" i="21"/>
  <c r="H8966" i="21" s="1"/>
  <c r="G8965" i="21"/>
  <c r="H8965" i="21" s="1"/>
  <c r="G8964" i="21"/>
  <c r="H8964" i="21" s="1"/>
  <c r="G8963" i="21"/>
  <c r="H8963" i="21" s="1"/>
  <c r="G8962" i="21"/>
  <c r="H8962" i="21" s="1"/>
  <c r="G8961" i="21"/>
  <c r="H8961" i="21" s="1"/>
  <c r="H8960" i="21"/>
  <c r="G8960" i="21"/>
  <c r="G8959" i="21"/>
  <c r="H8959" i="21" s="1"/>
  <c r="G8958" i="21"/>
  <c r="H8958" i="21" s="1"/>
  <c r="G8957" i="21"/>
  <c r="H8957" i="21" s="1"/>
  <c r="G8956" i="21"/>
  <c r="H8956" i="21" s="1"/>
  <c r="G8955" i="21"/>
  <c r="H8955" i="21" s="1"/>
  <c r="G8954" i="21"/>
  <c r="H8954" i="21" s="1"/>
  <c r="G8953" i="21"/>
  <c r="H8953" i="21" s="1"/>
  <c r="G8952" i="21"/>
  <c r="H8952" i="21" s="1"/>
  <c r="G8951" i="21"/>
  <c r="H8951" i="21" s="1"/>
  <c r="G8950" i="21"/>
  <c r="H8950" i="21" s="1"/>
  <c r="G8949" i="21"/>
  <c r="H8949" i="21" s="1"/>
  <c r="H8948" i="21"/>
  <c r="G8948" i="21"/>
  <c r="G8947" i="21"/>
  <c r="H8947" i="21" s="1"/>
  <c r="G8946" i="21"/>
  <c r="H8946" i="21" s="1"/>
  <c r="G8945" i="21"/>
  <c r="H8945" i="21" s="1"/>
  <c r="G8944" i="21"/>
  <c r="H8944" i="21" s="1"/>
  <c r="G8943" i="21"/>
  <c r="H8943" i="21" s="1"/>
  <c r="G8942" i="21"/>
  <c r="H8942" i="21" s="1"/>
  <c r="G8941" i="21"/>
  <c r="H8941" i="21" s="1"/>
  <c r="G8940" i="21"/>
  <c r="H8940" i="21" s="1"/>
  <c r="G8939" i="21"/>
  <c r="H8939" i="21" s="1"/>
  <c r="G8938" i="21"/>
  <c r="H8938" i="21" s="1"/>
  <c r="G8937" i="21"/>
  <c r="H8937" i="21" s="1"/>
  <c r="G8936" i="21"/>
  <c r="H8936" i="21" s="1"/>
  <c r="G8935" i="21"/>
  <c r="H8935" i="21" s="1"/>
  <c r="G8934" i="21"/>
  <c r="H8934" i="21" s="1"/>
  <c r="G8933" i="21"/>
  <c r="H8933" i="21" s="1"/>
  <c r="G8932" i="21"/>
  <c r="H8932" i="21" s="1"/>
  <c r="G8931" i="21"/>
  <c r="H8931" i="21" s="1"/>
  <c r="G8930" i="21"/>
  <c r="H8930" i="21" s="1"/>
  <c r="G8929" i="21"/>
  <c r="H8929" i="21" s="1"/>
  <c r="G8928" i="21"/>
  <c r="H8928" i="21" s="1"/>
  <c r="G8927" i="21"/>
  <c r="H8927" i="21" s="1"/>
  <c r="G8926" i="21"/>
  <c r="H8926" i="21" s="1"/>
  <c r="G8925" i="21"/>
  <c r="H8925" i="21" s="1"/>
  <c r="G8924" i="21"/>
  <c r="H8924" i="21" s="1"/>
  <c r="G8923" i="21"/>
  <c r="H8923" i="21" s="1"/>
  <c r="G8922" i="21"/>
  <c r="H8922" i="21" s="1"/>
  <c r="G8921" i="21"/>
  <c r="H8921" i="21" s="1"/>
  <c r="G8920" i="21"/>
  <c r="H8920" i="21" s="1"/>
  <c r="G8919" i="21"/>
  <c r="H8919" i="21" s="1"/>
  <c r="G8918" i="21"/>
  <c r="H8918" i="21" s="1"/>
  <c r="G8917" i="21"/>
  <c r="H8917" i="21" s="1"/>
  <c r="G8916" i="21"/>
  <c r="H8916" i="21" s="1"/>
  <c r="G8915" i="21"/>
  <c r="H8915" i="21" s="1"/>
  <c r="G8914" i="21"/>
  <c r="H8914" i="21" s="1"/>
  <c r="G8913" i="21"/>
  <c r="H8913" i="21" s="1"/>
  <c r="G326" i="3" s="1"/>
  <c r="F326" i="3" s="1"/>
  <c r="J326" i="3" s="1"/>
  <c r="G8912" i="21"/>
  <c r="H8912" i="21" s="1"/>
  <c r="G8911" i="21"/>
  <c r="H8911" i="21" s="1"/>
  <c r="H8910" i="21"/>
  <c r="G8910" i="21"/>
  <c r="G8909" i="21"/>
  <c r="H8909" i="21" s="1"/>
  <c r="G8908" i="21"/>
  <c r="H8908" i="21" s="1"/>
  <c r="G8907" i="21"/>
  <c r="H8907" i="21" s="1"/>
  <c r="G8906" i="21"/>
  <c r="H8906" i="21" s="1"/>
  <c r="G8905" i="21"/>
  <c r="H8905" i="21" s="1"/>
  <c r="G8904" i="21"/>
  <c r="H8904" i="21" s="1"/>
  <c r="G8903" i="21"/>
  <c r="H8903" i="21" s="1"/>
  <c r="G8902" i="21"/>
  <c r="H8902" i="21" s="1"/>
  <c r="G8901" i="21"/>
  <c r="H8901" i="21" s="1"/>
  <c r="H8900" i="21"/>
  <c r="G8900" i="21"/>
  <c r="G8899" i="21"/>
  <c r="H8899" i="21" s="1"/>
  <c r="G8898" i="21"/>
  <c r="H8898" i="21" s="1"/>
  <c r="G8897" i="21"/>
  <c r="H8897" i="21" s="1"/>
  <c r="G8896" i="21"/>
  <c r="H8896" i="21" s="1"/>
  <c r="G8895" i="21"/>
  <c r="H8895" i="21" s="1"/>
  <c r="G8894" i="21"/>
  <c r="H8894" i="21" s="1"/>
  <c r="G8893" i="21"/>
  <c r="H8893" i="21" s="1"/>
  <c r="G8892" i="21"/>
  <c r="H8892" i="21" s="1"/>
  <c r="G8891" i="21"/>
  <c r="H8891" i="21" s="1"/>
  <c r="G8890" i="21"/>
  <c r="H8890" i="21" s="1"/>
  <c r="G8889" i="21"/>
  <c r="H8889" i="21" s="1"/>
  <c r="G8888" i="21"/>
  <c r="H8888" i="21" s="1"/>
  <c r="G8887" i="21"/>
  <c r="H8887" i="21" s="1"/>
  <c r="G8886" i="21"/>
  <c r="H8886" i="21" s="1"/>
  <c r="G8885" i="21"/>
  <c r="H8885" i="21" s="1"/>
  <c r="G8884" i="21"/>
  <c r="H8884" i="21" s="1"/>
  <c r="G8883" i="21"/>
  <c r="H8883" i="21" s="1"/>
  <c r="G8882" i="21"/>
  <c r="H8882" i="21" s="1"/>
  <c r="G8881" i="21"/>
  <c r="H8881" i="21" s="1"/>
  <c r="G8880" i="21"/>
  <c r="H8880" i="21" s="1"/>
  <c r="G8879" i="21"/>
  <c r="H8879" i="21" s="1"/>
  <c r="G8878" i="21"/>
  <c r="H8878" i="21" s="1"/>
  <c r="G8877" i="21"/>
  <c r="H8877" i="21" s="1"/>
  <c r="H8876" i="21"/>
  <c r="G8876" i="21"/>
  <c r="G8875" i="21"/>
  <c r="H8875" i="21" s="1"/>
  <c r="H8874" i="21"/>
  <c r="G8874" i="21"/>
  <c r="G8873" i="21"/>
  <c r="H8873" i="21" s="1"/>
  <c r="G8872" i="21"/>
  <c r="H8872" i="21" s="1"/>
  <c r="G8871" i="21"/>
  <c r="H8871" i="21" s="1"/>
  <c r="G8870" i="21"/>
  <c r="H8870" i="21" s="1"/>
  <c r="G8869" i="21"/>
  <c r="H8869" i="21" s="1"/>
  <c r="H8868" i="21"/>
  <c r="G8868" i="21"/>
  <c r="H8867" i="21"/>
  <c r="G8867" i="21"/>
  <c r="H8866" i="21"/>
  <c r="G8866" i="21"/>
  <c r="G8865" i="21"/>
  <c r="H8865" i="21" s="1"/>
  <c r="H8864" i="21"/>
  <c r="G8864" i="21"/>
  <c r="H8863" i="21"/>
  <c r="G8863" i="21"/>
  <c r="H8862" i="21"/>
  <c r="G8862" i="21"/>
  <c r="H8861" i="21"/>
  <c r="G8861" i="21"/>
  <c r="H8860" i="21"/>
  <c r="G8860" i="21"/>
  <c r="H8859" i="21"/>
  <c r="G8859" i="21"/>
  <c r="G8858" i="21"/>
  <c r="H8858" i="21" s="1"/>
  <c r="G8857" i="21"/>
  <c r="H8857" i="21" s="1"/>
  <c r="G8856" i="21"/>
  <c r="H8856" i="21" s="1"/>
  <c r="G8855" i="21"/>
  <c r="H8855" i="21" s="1"/>
  <c r="G8854" i="21"/>
  <c r="H8854" i="21" s="1"/>
  <c r="G8853" i="21"/>
  <c r="H8853" i="21" s="1"/>
  <c r="G8852" i="21"/>
  <c r="H8852" i="21" s="1"/>
  <c r="G8851" i="21"/>
  <c r="H8851" i="21" s="1"/>
  <c r="G8850" i="21"/>
  <c r="H8850" i="21" s="1"/>
  <c r="G8849" i="21"/>
  <c r="H8849" i="21" s="1"/>
  <c r="G8848" i="21"/>
  <c r="H8848" i="21" s="1"/>
  <c r="G8847" i="21"/>
  <c r="H8847" i="21" s="1"/>
  <c r="G8846" i="21"/>
  <c r="H8846" i="21" s="1"/>
  <c r="G8845" i="21"/>
  <c r="H8845" i="21" s="1"/>
  <c r="G8844" i="21"/>
  <c r="H8844" i="21" s="1"/>
  <c r="G8843" i="21"/>
  <c r="H8843" i="21" s="1"/>
  <c r="G8842" i="21"/>
  <c r="H8842" i="21" s="1"/>
  <c r="G8841" i="21"/>
  <c r="H8841" i="21" s="1"/>
  <c r="G8840" i="21"/>
  <c r="H8840" i="21" s="1"/>
  <c r="G8839" i="21"/>
  <c r="H8839" i="21" s="1"/>
  <c r="G8838" i="21"/>
  <c r="H8838" i="21" s="1"/>
  <c r="H8837" i="21"/>
  <c r="G8837" i="21"/>
  <c r="G8836" i="21"/>
  <c r="H8836" i="21" s="1"/>
  <c r="G8835" i="21"/>
  <c r="H8835" i="21" s="1"/>
  <c r="G8834" i="21"/>
  <c r="H8834" i="21" s="1"/>
  <c r="G8833" i="21"/>
  <c r="H8833" i="21" s="1"/>
  <c r="G8832" i="21"/>
  <c r="H8832" i="21" s="1"/>
  <c r="G8831" i="21"/>
  <c r="H8831" i="21" s="1"/>
  <c r="G8830" i="21"/>
  <c r="H8830" i="21" s="1"/>
  <c r="G8829" i="21"/>
  <c r="H8829" i="21" s="1"/>
  <c r="G8828" i="21"/>
  <c r="H8828" i="21" s="1"/>
  <c r="G8827" i="21"/>
  <c r="H8827" i="21" s="1"/>
  <c r="G8826" i="21"/>
  <c r="H8826" i="21" s="1"/>
  <c r="G8825" i="21"/>
  <c r="H8825" i="21" s="1"/>
  <c r="G8824" i="21"/>
  <c r="H8824" i="21" s="1"/>
  <c r="G8823" i="21"/>
  <c r="H8823" i="21" s="1"/>
  <c r="G8822" i="21"/>
  <c r="H8822" i="21" s="1"/>
  <c r="G8821" i="21"/>
  <c r="H8821" i="21" s="1"/>
  <c r="G8820" i="21"/>
  <c r="H8820" i="21" s="1"/>
  <c r="G8819" i="21"/>
  <c r="H8819" i="21" s="1"/>
  <c r="G8818" i="21"/>
  <c r="H8818" i="21" s="1"/>
  <c r="G8817" i="21"/>
  <c r="H8817" i="21" s="1"/>
  <c r="G8816" i="21"/>
  <c r="H8816" i="21" s="1"/>
  <c r="G8815" i="21"/>
  <c r="H8815" i="21" s="1"/>
  <c r="G8814" i="21"/>
  <c r="H8814" i="21" s="1"/>
  <c r="G8813" i="21"/>
  <c r="H8813" i="21" s="1"/>
  <c r="G8812" i="21"/>
  <c r="H8812" i="21" s="1"/>
  <c r="G8811" i="21"/>
  <c r="H8811" i="21" s="1"/>
  <c r="G8810" i="21"/>
  <c r="H8810" i="21" s="1"/>
  <c r="G8809" i="21"/>
  <c r="H8809" i="21" s="1"/>
  <c r="G8808" i="21"/>
  <c r="H8808" i="21" s="1"/>
  <c r="G8807" i="21"/>
  <c r="H8807" i="21" s="1"/>
  <c r="G8806" i="21"/>
  <c r="H8806" i="21" s="1"/>
  <c r="G8805" i="21"/>
  <c r="H8805" i="21" s="1"/>
  <c r="G8804" i="21"/>
  <c r="H8804" i="21" s="1"/>
  <c r="G8803" i="21"/>
  <c r="H8803" i="21" s="1"/>
  <c r="G8802" i="21"/>
  <c r="H8802" i="21" s="1"/>
  <c r="G8801" i="21"/>
  <c r="H8801" i="21" s="1"/>
  <c r="G8800" i="21"/>
  <c r="H8800" i="21" s="1"/>
  <c r="G8799" i="21"/>
  <c r="H8799" i="21" s="1"/>
  <c r="G8798" i="21"/>
  <c r="H8798" i="21" s="1"/>
  <c r="G8797" i="21"/>
  <c r="H8797" i="21" s="1"/>
  <c r="G8796" i="21"/>
  <c r="H8796" i="21" s="1"/>
  <c r="G8795" i="21"/>
  <c r="H8795" i="21" s="1"/>
  <c r="H8794" i="21"/>
  <c r="G8794" i="21"/>
  <c r="G8793" i="21"/>
  <c r="H8793" i="21" s="1"/>
  <c r="G8792" i="21"/>
  <c r="H8792" i="21" s="1"/>
  <c r="G8791" i="21"/>
  <c r="H8791" i="21" s="1"/>
  <c r="G8790" i="21"/>
  <c r="H8790" i="21" s="1"/>
  <c r="G8789" i="21"/>
  <c r="H8789" i="21" s="1"/>
  <c r="G8788" i="21"/>
  <c r="H8788" i="21" s="1"/>
  <c r="G8787" i="21"/>
  <c r="H8787" i="21" s="1"/>
  <c r="G8786" i="21"/>
  <c r="H8786" i="21" s="1"/>
  <c r="G8785" i="21"/>
  <c r="H8785" i="21" s="1"/>
  <c r="G8784" i="21"/>
  <c r="H8784" i="21" s="1"/>
  <c r="G8783" i="21"/>
  <c r="H8783" i="21" s="1"/>
  <c r="G8782" i="21"/>
  <c r="H8782" i="21" s="1"/>
  <c r="G8781" i="21"/>
  <c r="H8781" i="21" s="1"/>
  <c r="G8780" i="21"/>
  <c r="H8780" i="21" s="1"/>
  <c r="G8779" i="21"/>
  <c r="H8779" i="21" s="1"/>
  <c r="G8778" i="21"/>
  <c r="H8778" i="21" s="1"/>
  <c r="G8777" i="21"/>
  <c r="H8777" i="21" s="1"/>
  <c r="G8776" i="21"/>
  <c r="H8776" i="21" s="1"/>
  <c r="G8775" i="21"/>
  <c r="H8775" i="21" s="1"/>
  <c r="G8774" i="21"/>
  <c r="H8774" i="21" s="1"/>
  <c r="G8773" i="21"/>
  <c r="H8773" i="21" s="1"/>
  <c r="G8772" i="21"/>
  <c r="H8772" i="21" s="1"/>
  <c r="G8771" i="21"/>
  <c r="H8771" i="21" s="1"/>
  <c r="G8770" i="21"/>
  <c r="H8770" i="21" s="1"/>
  <c r="G8769" i="21"/>
  <c r="H8769" i="21" s="1"/>
  <c r="G8768" i="21"/>
  <c r="H8768" i="21" s="1"/>
  <c r="G8767" i="21"/>
  <c r="H8767" i="21" s="1"/>
  <c r="G8766" i="21"/>
  <c r="H8766" i="21" s="1"/>
  <c r="G8765" i="21"/>
  <c r="H8765" i="21" s="1"/>
  <c r="G8764" i="21"/>
  <c r="H8764" i="21" s="1"/>
  <c r="G8763" i="21"/>
  <c r="H8763" i="21" s="1"/>
  <c r="G8762" i="21"/>
  <c r="H8762" i="21" s="1"/>
  <c r="H8761" i="21"/>
  <c r="G8761" i="21"/>
  <c r="G8760" i="21"/>
  <c r="H8760" i="21" s="1"/>
  <c r="G8759" i="21"/>
  <c r="H8759" i="21" s="1"/>
  <c r="H8758" i="21"/>
  <c r="G8758" i="21"/>
  <c r="G8757" i="21"/>
  <c r="H8757" i="21" s="1"/>
  <c r="G8756" i="21"/>
  <c r="H8756" i="21" s="1"/>
  <c r="G8755" i="21"/>
  <c r="H8755" i="21" s="1"/>
  <c r="G8754" i="21"/>
  <c r="H8754" i="21" s="1"/>
  <c r="G8753" i="21"/>
  <c r="H8753" i="21" s="1"/>
  <c r="G8752" i="21"/>
  <c r="H8752" i="21" s="1"/>
  <c r="G8751" i="21"/>
  <c r="H8751" i="21" s="1"/>
  <c r="G8750" i="21"/>
  <c r="H8750" i="21" s="1"/>
  <c r="G8749" i="21"/>
  <c r="H8749" i="21" s="1"/>
  <c r="G8748" i="21"/>
  <c r="H8748" i="21" s="1"/>
  <c r="G8747" i="21"/>
  <c r="H8747" i="21" s="1"/>
  <c r="G8746" i="21"/>
  <c r="H8746" i="21" s="1"/>
  <c r="G8745" i="21"/>
  <c r="H8745" i="21" s="1"/>
  <c r="G8744" i="21"/>
  <c r="H8744" i="21" s="1"/>
  <c r="G8743" i="21"/>
  <c r="H8743" i="21" s="1"/>
  <c r="G8742" i="21"/>
  <c r="H8742" i="21" s="1"/>
  <c r="G8741" i="21"/>
  <c r="H8741" i="21" s="1"/>
  <c r="G8740" i="21"/>
  <c r="H8740" i="21" s="1"/>
  <c r="G8739" i="21"/>
  <c r="H8739" i="21" s="1"/>
  <c r="G8738" i="21"/>
  <c r="H8738" i="21" s="1"/>
  <c r="G8737" i="21"/>
  <c r="H8737" i="21" s="1"/>
  <c r="G8736" i="21"/>
  <c r="H8736" i="21" s="1"/>
  <c r="G8735" i="21"/>
  <c r="H8735" i="21" s="1"/>
  <c r="G8734" i="21"/>
  <c r="H8734" i="21" s="1"/>
  <c r="G8733" i="21"/>
  <c r="H8733" i="21" s="1"/>
  <c r="G8732" i="21"/>
  <c r="H8732" i="21" s="1"/>
  <c r="G8731" i="21"/>
  <c r="H8731" i="21" s="1"/>
  <c r="G8730" i="21"/>
  <c r="H8730" i="21" s="1"/>
  <c r="G8729" i="21"/>
  <c r="H8729" i="21" s="1"/>
  <c r="G8728" i="21"/>
  <c r="H8728" i="21" s="1"/>
  <c r="G8727" i="21"/>
  <c r="H8727" i="21" s="1"/>
  <c r="G8726" i="21"/>
  <c r="H8726" i="21" s="1"/>
  <c r="G8725" i="21"/>
  <c r="H8725" i="21" s="1"/>
  <c r="G8724" i="21"/>
  <c r="H8724" i="21" s="1"/>
  <c r="G8723" i="21"/>
  <c r="H8723" i="21" s="1"/>
  <c r="G8722" i="21"/>
  <c r="H8722" i="21" s="1"/>
  <c r="G8721" i="21"/>
  <c r="H8721" i="21" s="1"/>
  <c r="G8720" i="21"/>
  <c r="H8720" i="21" s="1"/>
  <c r="G8719" i="21"/>
  <c r="H8719" i="21" s="1"/>
  <c r="G8718" i="21"/>
  <c r="H8718" i="21" s="1"/>
  <c r="G8717" i="21"/>
  <c r="H8717" i="21" s="1"/>
  <c r="G8716" i="21"/>
  <c r="H8716" i="21" s="1"/>
  <c r="G8715" i="21"/>
  <c r="H8715" i="21" s="1"/>
  <c r="G8714" i="21"/>
  <c r="H8714" i="21" s="1"/>
  <c r="G8713" i="21"/>
  <c r="H8713" i="21" s="1"/>
  <c r="G8712" i="21"/>
  <c r="H8712" i="21" s="1"/>
  <c r="G8711" i="21"/>
  <c r="H8711" i="21" s="1"/>
  <c r="G8710" i="21"/>
  <c r="H8710" i="21" s="1"/>
  <c r="G8709" i="21"/>
  <c r="H8709" i="21" s="1"/>
  <c r="G8708" i="21"/>
  <c r="H8708" i="21" s="1"/>
  <c r="G8707" i="21"/>
  <c r="H8707" i="21" s="1"/>
  <c r="G8706" i="21"/>
  <c r="H8706" i="21" s="1"/>
  <c r="G8705" i="21"/>
  <c r="H8705" i="21" s="1"/>
  <c r="G8704" i="21"/>
  <c r="H8704" i="21" s="1"/>
  <c r="G8703" i="21"/>
  <c r="H8703" i="21" s="1"/>
  <c r="G8702" i="21"/>
  <c r="H8702" i="21" s="1"/>
  <c r="G8701" i="21"/>
  <c r="H8701" i="21" s="1"/>
  <c r="G8700" i="21"/>
  <c r="H8700" i="21" s="1"/>
  <c r="G8699" i="21"/>
  <c r="H8699" i="21" s="1"/>
  <c r="G8698" i="21"/>
  <c r="H8698" i="21" s="1"/>
  <c r="G8697" i="21"/>
  <c r="H8697" i="21" s="1"/>
  <c r="G8696" i="21"/>
  <c r="H8696" i="21" s="1"/>
  <c r="G8695" i="21"/>
  <c r="H8695" i="21" s="1"/>
  <c r="G8694" i="21"/>
  <c r="H8694" i="21" s="1"/>
  <c r="G8693" i="21"/>
  <c r="H8693" i="21" s="1"/>
  <c r="G8692" i="21"/>
  <c r="H8692" i="21" s="1"/>
  <c r="G8691" i="21"/>
  <c r="H8691" i="21" s="1"/>
  <c r="G8690" i="21"/>
  <c r="H8690" i="21" s="1"/>
  <c r="G8689" i="21"/>
  <c r="H8689" i="21" s="1"/>
  <c r="G8688" i="21"/>
  <c r="H8688" i="21" s="1"/>
  <c r="G8687" i="21"/>
  <c r="H8687" i="21" s="1"/>
  <c r="G8686" i="21"/>
  <c r="H8686" i="21" s="1"/>
  <c r="G8685" i="21"/>
  <c r="H8685" i="21" s="1"/>
  <c r="G8684" i="21"/>
  <c r="H8684" i="21" s="1"/>
  <c r="G8683" i="21"/>
  <c r="H8683" i="21" s="1"/>
  <c r="G8682" i="21"/>
  <c r="H8682" i="21" s="1"/>
  <c r="G8681" i="21"/>
  <c r="H8681" i="21" s="1"/>
  <c r="G8680" i="21"/>
  <c r="H8680" i="21" s="1"/>
  <c r="G8679" i="21"/>
  <c r="H8679" i="21" s="1"/>
  <c r="G8678" i="21"/>
  <c r="H8678" i="21" s="1"/>
  <c r="G8677" i="21"/>
  <c r="H8677" i="21" s="1"/>
  <c r="G8676" i="21"/>
  <c r="H8676" i="21" s="1"/>
  <c r="G8675" i="21"/>
  <c r="H8675" i="21" s="1"/>
  <c r="G8674" i="21"/>
  <c r="H8674" i="21" s="1"/>
  <c r="G8673" i="21"/>
  <c r="H8673" i="21" s="1"/>
  <c r="G8672" i="21"/>
  <c r="H8672" i="21" s="1"/>
  <c r="G8671" i="21"/>
  <c r="H8671" i="21" s="1"/>
  <c r="G8670" i="21"/>
  <c r="H8670" i="21" s="1"/>
  <c r="G8669" i="21"/>
  <c r="H8669" i="21" s="1"/>
  <c r="G8668" i="21"/>
  <c r="H8668" i="21" s="1"/>
  <c r="G8667" i="21"/>
  <c r="H8667" i="21" s="1"/>
  <c r="G8666" i="21"/>
  <c r="H8666" i="21" s="1"/>
  <c r="G8665" i="21"/>
  <c r="H8665" i="21" s="1"/>
  <c r="G8664" i="21"/>
  <c r="H8664" i="21" s="1"/>
  <c r="G8663" i="21"/>
  <c r="H8663" i="21" s="1"/>
  <c r="G8662" i="21"/>
  <c r="H8662" i="21" s="1"/>
  <c r="G8661" i="21"/>
  <c r="H8661" i="21" s="1"/>
  <c r="G8660" i="21"/>
  <c r="H8660" i="21" s="1"/>
  <c r="G8659" i="21"/>
  <c r="H8659" i="21" s="1"/>
  <c r="G8658" i="21"/>
  <c r="H8658" i="21" s="1"/>
  <c r="G8657" i="21"/>
  <c r="H8657" i="21" s="1"/>
  <c r="G8656" i="21"/>
  <c r="H8656" i="21" s="1"/>
  <c r="G8655" i="21"/>
  <c r="H8655" i="21" s="1"/>
  <c r="G8654" i="21"/>
  <c r="H8654" i="21" s="1"/>
  <c r="G8653" i="21"/>
  <c r="H8653" i="21" s="1"/>
  <c r="G8652" i="21"/>
  <c r="H8652" i="21" s="1"/>
  <c r="G8651" i="21"/>
  <c r="H8651" i="21" s="1"/>
  <c r="G8650" i="21"/>
  <c r="H8650" i="21" s="1"/>
  <c r="G8649" i="21"/>
  <c r="H8649" i="21" s="1"/>
  <c r="G8648" i="21"/>
  <c r="H8648" i="21" s="1"/>
  <c r="G8647" i="21"/>
  <c r="H8647" i="21" s="1"/>
  <c r="G8646" i="21"/>
  <c r="H8646" i="21" s="1"/>
  <c r="G8645" i="21"/>
  <c r="H8645" i="21" s="1"/>
  <c r="G8644" i="21"/>
  <c r="H8644" i="21" s="1"/>
  <c r="G8643" i="21"/>
  <c r="H8643" i="21" s="1"/>
  <c r="G8642" i="21"/>
  <c r="H8642" i="21" s="1"/>
  <c r="G8641" i="21"/>
  <c r="H8641" i="21" s="1"/>
  <c r="G8640" i="21"/>
  <c r="H8640" i="21" s="1"/>
  <c r="G8639" i="21"/>
  <c r="H8639" i="21" s="1"/>
  <c r="G8638" i="21"/>
  <c r="H8638" i="21" s="1"/>
  <c r="G8637" i="21"/>
  <c r="H8637" i="21" s="1"/>
  <c r="G8636" i="21"/>
  <c r="H8636" i="21" s="1"/>
  <c r="G8635" i="21"/>
  <c r="H8635" i="21" s="1"/>
  <c r="G8634" i="21"/>
  <c r="H8634" i="21" s="1"/>
  <c r="G8633" i="21"/>
  <c r="H8633" i="21" s="1"/>
  <c r="G8632" i="21"/>
  <c r="H8632" i="21" s="1"/>
  <c r="G8631" i="21"/>
  <c r="H8631" i="21" s="1"/>
  <c r="G8630" i="21"/>
  <c r="H8630" i="21" s="1"/>
  <c r="G8629" i="21"/>
  <c r="H8629" i="21" s="1"/>
  <c r="G8628" i="21"/>
  <c r="H8628" i="21" s="1"/>
  <c r="G8627" i="21"/>
  <c r="H8627" i="21" s="1"/>
  <c r="G8626" i="21"/>
  <c r="H8626" i="21" s="1"/>
  <c r="G8625" i="21"/>
  <c r="H8625" i="21" s="1"/>
  <c r="G8624" i="21"/>
  <c r="H8624" i="21" s="1"/>
  <c r="G8623" i="21"/>
  <c r="H8623" i="21" s="1"/>
  <c r="G8622" i="21"/>
  <c r="H8622" i="21" s="1"/>
  <c r="G8621" i="21"/>
  <c r="H8621" i="21" s="1"/>
  <c r="G8620" i="21"/>
  <c r="H8620" i="21" s="1"/>
  <c r="G8619" i="21"/>
  <c r="H8619" i="21" s="1"/>
  <c r="G8618" i="21"/>
  <c r="H8618" i="21" s="1"/>
  <c r="G8617" i="21"/>
  <c r="H8617" i="21" s="1"/>
  <c r="G8616" i="21"/>
  <c r="H8616" i="21" s="1"/>
  <c r="G8615" i="21"/>
  <c r="H8615" i="21" s="1"/>
  <c r="G8614" i="21"/>
  <c r="H8614" i="21" s="1"/>
  <c r="G8613" i="21"/>
  <c r="H8613" i="21" s="1"/>
  <c r="G8612" i="21"/>
  <c r="H8612" i="21" s="1"/>
  <c r="G8611" i="21"/>
  <c r="H8611" i="21" s="1"/>
  <c r="G8610" i="21"/>
  <c r="H8610" i="21" s="1"/>
  <c r="G8609" i="21"/>
  <c r="H8609" i="21" s="1"/>
  <c r="G8608" i="21"/>
  <c r="H8608" i="21" s="1"/>
  <c r="G8607" i="21"/>
  <c r="H8607" i="21" s="1"/>
  <c r="G8606" i="21"/>
  <c r="H8606" i="21" s="1"/>
  <c r="G8605" i="21"/>
  <c r="H8605" i="21" s="1"/>
  <c r="G8604" i="21"/>
  <c r="H8604" i="21" s="1"/>
  <c r="G8603" i="21"/>
  <c r="H8603" i="21" s="1"/>
  <c r="G8602" i="21"/>
  <c r="H8602" i="21" s="1"/>
  <c r="G8601" i="21"/>
  <c r="H8601" i="21" s="1"/>
  <c r="G8600" i="21"/>
  <c r="H8600" i="21" s="1"/>
  <c r="G8599" i="21"/>
  <c r="H8599" i="21" s="1"/>
  <c r="G8598" i="21"/>
  <c r="H8598" i="21" s="1"/>
  <c r="G8597" i="21"/>
  <c r="H8597" i="21" s="1"/>
  <c r="G8596" i="21"/>
  <c r="H8596" i="21" s="1"/>
  <c r="G8595" i="21"/>
  <c r="H8595" i="21" s="1"/>
  <c r="G8594" i="21"/>
  <c r="H8594" i="21" s="1"/>
  <c r="G8593" i="21"/>
  <c r="H8593" i="21" s="1"/>
  <c r="G8592" i="21"/>
  <c r="H8592" i="21" s="1"/>
  <c r="G8591" i="21"/>
  <c r="H8591" i="21" s="1"/>
  <c r="G8590" i="21"/>
  <c r="H8590" i="21" s="1"/>
  <c r="G8589" i="21"/>
  <c r="H8589" i="21" s="1"/>
  <c r="G8588" i="21"/>
  <c r="H8588" i="21" s="1"/>
  <c r="G8587" i="21"/>
  <c r="H8587" i="21" s="1"/>
  <c r="G8586" i="21"/>
  <c r="H8586" i="21" s="1"/>
  <c r="G8585" i="21"/>
  <c r="H8585" i="21" s="1"/>
  <c r="G8584" i="21"/>
  <c r="H8584" i="21" s="1"/>
  <c r="G8583" i="21"/>
  <c r="H8583" i="21" s="1"/>
  <c r="G8582" i="21"/>
  <c r="H8582" i="21" s="1"/>
  <c r="G8581" i="21"/>
  <c r="H8581" i="21" s="1"/>
  <c r="G8580" i="21"/>
  <c r="H8580" i="21" s="1"/>
  <c r="G8579" i="21"/>
  <c r="H8579" i="21" s="1"/>
  <c r="G8578" i="21"/>
  <c r="H8578" i="21" s="1"/>
  <c r="G8577" i="21"/>
  <c r="H8577" i="21" s="1"/>
  <c r="G8576" i="21"/>
  <c r="H8576" i="21" s="1"/>
  <c r="G8575" i="21"/>
  <c r="H8575" i="21" s="1"/>
  <c r="G8574" i="21"/>
  <c r="H8574" i="21" s="1"/>
  <c r="G8573" i="21"/>
  <c r="H8573" i="21" s="1"/>
  <c r="G8572" i="21"/>
  <c r="H8572" i="21" s="1"/>
  <c r="G8571" i="21"/>
  <c r="H8571" i="21" s="1"/>
  <c r="G8570" i="21"/>
  <c r="H8570" i="21" s="1"/>
  <c r="H8569" i="21"/>
  <c r="G8569" i="21"/>
  <c r="G8568" i="21"/>
  <c r="H8568" i="21" s="1"/>
  <c r="G8567" i="21"/>
  <c r="H8567" i="21" s="1"/>
  <c r="G8566" i="21"/>
  <c r="H8566" i="21" s="1"/>
  <c r="G8565" i="21"/>
  <c r="H8565" i="21" s="1"/>
  <c r="G8564" i="21"/>
  <c r="H8564" i="21" s="1"/>
  <c r="G8563" i="21"/>
  <c r="H8563" i="21" s="1"/>
  <c r="G8562" i="21"/>
  <c r="H8562" i="21" s="1"/>
  <c r="G8561" i="21"/>
  <c r="H8561" i="21" s="1"/>
  <c r="G8560" i="21"/>
  <c r="H8560" i="21" s="1"/>
  <c r="G8559" i="21"/>
  <c r="H8559" i="21" s="1"/>
  <c r="G8558" i="21"/>
  <c r="H8558" i="21" s="1"/>
  <c r="G8557" i="21"/>
  <c r="H8557" i="21" s="1"/>
  <c r="G8556" i="21"/>
  <c r="H8556" i="21" s="1"/>
  <c r="G8555" i="21"/>
  <c r="H8555" i="21" s="1"/>
  <c r="G8554" i="21"/>
  <c r="H8554" i="21" s="1"/>
  <c r="G8553" i="21"/>
  <c r="H8553" i="21" s="1"/>
  <c r="G8552" i="21"/>
  <c r="H8552" i="21" s="1"/>
  <c r="G8551" i="21"/>
  <c r="H8551" i="21" s="1"/>
  <c r="G8550" i="21"/>
  <c r="H8550" i="21" s="1"/>
  <c r="G8549" i="21"/>
  <c r="H8549" i="21" s="1"/>
  <c r="G8548" i="21"/>
  <c r="H8548" i="21" s="1"/>
  <c r="G8547" i="21"/>
  <c r="H8547" i="21" s="1"/>
  <c r="G8546" i="21"/>
  <c r="H8546" i="21" s="1"/>
  <c r="G8545" i="21"/>
  <c r="H8545" i="21" s="1"/>
  <c r="G8544" i="21"/>
  <c r="H8544" i="21" s="1"/>
  <c r="G8543" i="21"/>
  <c r="H8543" i="21" s="1"/>
  <c r="G8542" i="21"/>
  <c r="H8542" i="21" s="1"/>
  <c r="G8541" i="21"/>
  <c r="H8541" i="21" s="1"/>
  <c r="G8540" i="21"/>
  <c r="H8540" i="21" s="1"/>
  <c r="G8539" i="21"/>
  <c r="H8539" i="21" s="1"/>
  <c r="G8538" i="21"/>
  <c r="H8538" i="21" s="1"/>
  <c r="G8537" i="21"/>
  <c r="H8537" i="21" s="1"/>
  <c r="G8536" i="21"/>
  <c r="H8536" i="21" s="1"/>
  <c r="G8535" i="21"/>
  <c r="H8535" i="21" s="1"/>
  <c r="G8534" i="21"/>
  <c r="H8534" i="21" s="1"/>
  <c r="G8533" i="21"/>
  <c r="H8533" i="21" s="1"/>
  <c r="H8532" i="21"/>
  <c r="G8532" i="21"/>
  <c r="G8531" i="21"/>
  <c r="H8531" i="21" s="1"/>
  <c r="G8530" i="21"/>
  <c r="H8530" i="21" s="1"/>
  <c r="G8529" i="21"/>
  <c r="H8529" i="21" s="1"/>
  <c r="G8528" i="21"/>
  <c r="H8528" i="21" s="1"/>
  <c r="G8527" i="21"/>
  <c r="H8527" i="21" s="1"/>
  <c r="G8526" i="21"/>
  <c r="H8526" i="21" s="1"/>
  <c r="G8525" i="21"/>
  <c r="H8525" i="21" s="1"/>
  <c r="G8524" i="21"/>
  <c r="H8524" i="21" s="1"/>
  <c r="G8523" i="21"/>
  <c r="H8523" i="21" s="1"/>
  <c r="G8522" i="21"/>
  <c r="H8522" i="21" s="1"/>
  <c r="G8521" i="21"/>
  <c r="H8521" i="21" s="1"/>
  <c r="G8520" i="21"/>
  <c r="H8520" i="21" s="1"/>
  <c r="G8519" i="21"/>
  <c r="H8519" i="21" s="1"/>
  <c r="G8518" i="21"/>
  <c r="H8518" i="21" s="1"/>
  <c r="G8517" i="21"/>
  <c r="H8517" i="21" s="1"/>
  <c r="G8516" i="21"/>
  <c r="H8516" i="21" s="1"/>
  <c r="G8515" i="21"/>
  <c r="H8515" i="21" s="1"/>
  <c r="G8514" i="21"/>
  <c r="H8514" i="21" s="1"/>
  <c r="G8513" i="21"/>
  <c r="H8513" i="21" s="1"/>
  <c r="G8512" i="21"/>
  <c r="H8512" i="21" s="1"/>
  <c r="G8511" i="21"/>
  <c r="H8511" i="21" s="1"/>
  <c r="G8510" i="21"/>
  <c r="H8510" i="21" s="1"/>
  <c r="G8509" i="21"/>
  <c r="H8509" i="21" s="1"/>
  <c r="G8508" i="21"/>
  <c r="H8508" i="21" s="1"/>
  <c r="G8507" i="21"/>
  <c r="H8507" i="21" s="1"/>
  <c r="G8506" i="21"/>
  <c r="H8506" i="21" s="1"/>
  <c r="G8505" i="21"/>
  <c r="H8505" i="21" s="1"/>
  <c r="G8504" i="21"/>
  <c r="H8504" i="21" s="1"/>
  <c r="G8503" i="21"/>
  <c r="H8503" i="21" s="1"/>
  <c r="G8502" i="21"/>
  <c r="H8502" i="21" s="1"/>
  <c r="G8501" i="21"/>
  <c r="H8501" i="21" s="1"/>
  <c r="G8500" i="21"/>
  <c r="H8500" i="21" s="1"/>
  <c r="G8499" i="21"/>
  <c r="H8499" i="21" s="1"/>
  <c r="G8498" i="21"/>
  <c r="H8498" i="21" s="1"/>
  <c r="G8497" i="21"/>
  <c r="H8497" i="21" s="1"/>
  <c r="G8496" i="21"/>
  <c r="H8496" i="21" s="1"/>
  <c r="G8495" i="21"/>
  <c r="H8495" i="21" s="1"/>
  <c r="G8494" i="21"/>
  <c r="H8494" i="21" s="1"/>
  <c r="G8493" i="21"/>
  <c r="H8493" i="21" s="1"/>
  <c r="G8492" i="21"/>
  <c r="H8492" i="21" s="1"/>
  <c r="G8491" i="21"/>
  <c r="H8491" i="21" s="1"/>
  <c r="G8490" i="21"/>
  <c r="H8490" i="21" s="1"/>
  <c r="G8489" i="21"/>
  <c r="H8489" i="21" s="1"/>
  <c r="G8488" i="21"/>
  <c r="H8488" i="21" s="1"/>
  <c r="G8487" i="21"/>
  <c r="H8487" i="21" s="1"/>
  <c r="G8486" i="21"/>
  <c r="H8486" i="21" s="1"/>
  <c r="G8485" i="21"/>
  <c r="H8485" i="21" s="1"/>
  <c r="G8484" i="21"/>
  <c r="H8484" i="21" s="1"/>
  <c r="G8483" i="21"/>
  <c r="H8483" i="21" s="1"/>
  <c r="G8482" i="21"/>
  <c r="H8482" i="21" s="1"/>
  <c r="G8481" i="21"/>
  <c r="H8481" i="21" s="1"/>
  <c r="G8480" i="21"/>
  <c r="H8480" i="21" s="1"/>
  <c r="H8479" i="21"/>
  <c r="G8479" i="21"/>
  <c r="G8478" i="21"/>
  <c r="H8478" i="21" s="1"/>
  <c r="G8477" i="21"/>
  <c r="H8477" i="21" s="1"/>
  <c r="G8476" i="21"/>
  <c r="H8476" i="21" s="1"/>
  <c r="G8475" i="21"/>
  <c r="H8475" i="21" s="1"/>
  <c r="G8474" i="21"/>
  <c r="H8474" i="21" s="1"/>
  <c r="G8473" i="21"/>
  <c r="H8473" i="21" s="1"/>
  <c r="G8472" i="21"/>
  <c r="H8472" i="21" s="1"/>
  <c r="G8471" i="21"/>
  <c r="H8471" i="21" s="1"/>
  <c r="G8470" i="21"/>
  <c r="H8470" i="21" s="1"/>
  <c r="G8469" i="21"/>
  <c r="H8469" i="21" s="1"/>
  <c r="G8468" i="21"/>
  <c r="H8468" i="21" s="1"/>
  <c r="G8467" i="21"/>
  <c r="H8467" i="21" s="1"/>
  <c r="G8466" i="21"/>
  <c r="H8466" i="21" s="1"/>
  <c r="G8465" i="21"/>
  <c r="H8465" i="21" s="1"/>
  <c r="G8464" i="21"/>
  <c r="H8464" i="21" s="1"/>
  <c r="G8463" i="21"/>
  <c r="H8463" i="21" s="1"/>
  <c r="G8462" i="21"/>
  <c r="H8462" i="21" s="1"/>
  <c r="G8461" i="21"/>
  <c r="H8461" i="21" s="1"/>
  <c r="G8460" i="21"/>
  <c r="H8460" i="21" s="1"/>
  <c r="G8459" i="21"/>
  <c r="H8459" i="21" s="1"/>
  <c r="G8458" i="21"/>
  <c r="H8458" i="21" s="1"/>
  <c r="G8457" i="21"/>
  <c r="H8457" i="21" s="1"/>
  <c r="G8456" i="21"/>
  <c r="H8456" i="21" s="1"/>
  <c r="G8455" i="21"/>
  <c r="H8455" i="21" s="1"/>
  <c r="G8454" i="21"/>
  <c r="H8454" i="21" s="1"/>
  <c r="G8453" i="21"/>
  <c r="H8453" i="21" s="1"/>
  <c r="G8452" i="21"/>
  <c r="H8452" i="21" s="1"/>
  <c r="G8451" i="21"/>
  <c r="H8451" i="21" s="1"/>
  <c r="G8450" i="21"/>
  <c r="H8450" i="21" s="1"/>
  <c r="G8449" i="21"/>
  <c r="H8449" i="21" s="1"/>
  <c r="G8448" i="21"/>
  <c r="H8448" i="21" s="1"/>
  <c r="G8447" i="21"/>
  <c r="H8447" i="21" s="1"/>
  <c r="G8446" i="21"/>
  <c r="H8446" i="21" s="1"/>
  <c r="G8445" i="21"/>
  <c r="H8445" i="21" s="1"/>
  <c r="G8444" i="21"/>
  <c r="H8444" i="21" s="1"/>
  <c r="G8443" i="21"/>
  <c r="H8443" i="21" s="1"/>
  <c r="G8442" i="21"/>
  <c r="H8442" i="21" s="1"/>
  <c r="G8441" i="21"/>
  <c r="H8441" i="21" s="1"/>
  <c r="G8440" i="21"/>
  <c r="H8440" i="21" s="1"/>
  <c r="G8439" i="21"/>
  <c r="H8439" i="21" s="1"/>
  <c r="G8438" i="21"/>
  <c r="H8438" i="21" s="1"/>
  <c r="G8437" i="21"/>
  <c r="H8437" i="21" s="1"/>
  <c r="G8436" i="21"/>
  <c r="H8436" i="21" s="1"/>
  <c r="G8435" i="21"/>
  <c r="H8435" i="21" s="1"/>
  <c r="G8434" i="21"/>
  <c r="H8434" i="21" s="1"/>
  <c r="G8433" i="21"/>
  <c r="H8433" i="21" s="1"/>
  <c r="G8432" i="21"/>
  <c r="H8432" i="21" s="1"/>
  <c r="G8431" i="21"/>
  <c r="H8431" i="21" s="1"/>
  <c r="G8430" i="21"/>
  <c r="H8430" i="21" s="1"/>
  <c r="G8429" i="21"/>
  <c r="H8429" i="21" s="1"/>
  <c r="G8428" i="21"/>
  <c r="H8428" i="21" s="1"/>
  <c r="G8427" i="21"/>
  <c r="H8427" i="21" s="1"/>
  <c r="G8426" i="21"/>
  <c r="H8426" i="21" s="1"/>
  <c r="G8425" i="21"/>
  <c r="H8425" i="21" s="1"/>
  <c r="G8424" i="21"/>
  <c r="H8424" i="21" s="1"/>
  <c r="G8423" i="21"/>
  <c r="H8423" i="21" s="1"/>
  <c r="G8422" i="21"/>
  <c r="H8422" i="21" s="1"/>
  <c r="G8421" i="21"/>
  <c r="H8421" i="21" s="1"/>
  <c r="G8420" i="21"/>
  <c r="H8420" i="21" s="1"/>
  <c r="G8419" i="21"/>
  <c r="H8419" i="21" s="1"/>
  <c r="G8418" i="21"/>
  <c r="H8418" i="21" s="1"/>
  <c r="G8417" i="21"/>
  <c r="H8417" i="21" s="1"/>
  <c r="G8416" i="21"/>
  <c r="H8416" i="21" s="1"/>
  <c r="G8415" i="21"/>
  <c r="H8415" i="21" s="1"/>
  <c r="G8414" i="21"/>
  <c r="H8414" i="21" s="1"/>
  <c r="G8413" i="21"/>
  <c r="H8413" i="21" s="1"/>
  <c r="G8412" i="21"/>
  <c r="H8412" i="21" s="1"/>
  <c r="G8411" i="21"/>
  <c r="H8411" i="21" s="1"/>
  <c r="G8410" i="21"/>
  <c r="H8410" i="21" s="1"/>
  <c r="G8409" i="21"/>
  <c r="H8409" i="21" s="1"/>
  <c r="G8408" i="21"/>
  <c r="H8408" i="21" s="1"/>
  <c r="G8407" i="21"/>
  <c r="H8407" i="21" s="1"/>
  <c r="G8406" i="21"/>
  <c r="H8406" i="21" s="1"/>
  <c r="G8405" i="21"/>
  <c r="H8405" i="21" s="1"/>
  <c r="G8404" i="21"/>
  <c r="H8404" i="21" s="1"/>
  <c r="G8403" i="21"/>
  <c r="H8403" i="21" s="1"/>
  <c r="G8402" i="21"/>
  <c r="H8402" i="21" s="1"/>
  <c r="G8401" i="21"/>
  <c r="H8401" i="21" s="1"/>
  <c r="G8400" i="21"/>
  <c r="H8400" i="21" s="1"/>
  <c r="G8399" i="21"/>
  <c r="H8399" i="21" s="1"/>
  <c r="G8398" i="21"/>
  <c r="H8398" i="21" s="1"/>
  <c r="G8397" i="21"/>
  <c r="H8397" i="21" s="1"/>
  <c r="G8396" i="21"/>
  <c r="H8396" i="21" s="1"/>
  <c r="G8395" i="21"/>
  <c r="H8395" i="21" s="1"/>
  <c r="G8394" i="21"/>
  <c r="H8394" i="21" s="1"/>
  <c r="G8393" i="21"/>
  <c r="H8393" i="21" s="1"/>
  <c r="G8392" i="21"/>
  <c r="H8392" i="21" s="1"/>
  <c r="G8391" i="21"/>
  <c r="H8391" i="21" s="1"/>
  <c r="G8390" i="21"/>
  <c r="H8390" i="21" s="1"/>
  <c r="G8389" i="21"/>
  <c r="H8389" i="21" s="1"/>
  <c r="G8388" i="21"/>
  <c r="H8388" i="21" s="1"/>
  <c r="G8387" i="21"/>
  <c r="H8387" i="21" s="1"/>
  <c r="G8386" i="21"/>
  <c r="H8386" i="21" s="1"/>
  <c r="G8385" i="21"/>
  <c r="H8385" i="21" s="1"/>
  <c r="G8384" i="21"/>
  <c r="H8384" i="21" s="1"/>
  <c r="G8383" i="21"/>
  <c r="H8383" i="21" s="1"/>
  <c r="G8382" i="21"/>
  <c r="H8382" i="21" s="1"/>
  <c r="G8381" i="21"/>
  <c r="H8381" i="21" s="1"/>
  <c r="G8380" i="21"/>
  <c r="H8380" i="21" s="1"/>
  <c r="G8379" i="21"/>
  <c r="H8379" i="21" s="1"/>
  <c r="G8378" i="21"/>
  <c r="H8378" i="21" s="1"/>
  <c r="G8377" i="21"/>
  <c r="H8377" i="21" s="1"/>
  <c r="G8376" i="21"/>
  <c r="H8376" i="21" s="1"/>
  <c r="G8375" i="21"/>
  <c r="H8375" i="21" s="1"/>
  <c r="G8374" i="21"/>
  <c r="H8374" i="21" s="1"/>
  <c r="G8373" i="21"/>
  <c r="H8373" i="21" s="1"/>
  <c r="G8372" i="21"/>
  <c r="H8372" i="21" s="1"/>
  <c r="G8371" i="21"/>
  <c r="H8371" i="21" s="1"/>
  <c r="G8370" i="21"/>
  <c r="H8370" i="21" s="1"/>
  <c r="G8369" i="21"/>
  <c r="H8369" i="21" s="1"/>
  <c r="G8368" i="21"/>
  <c r="H8368" i="21" s="1"/>
  <c r="G8367" i="21"/>
  <c r="H8367" i="21" s="1"/>
  <c r="G8366" i="21"/>
  <c r="H8366" i="21" s="1"/>
  <c r="G8365" i="21"/>
  <c r="H8365" i="21" s="1"/>
  <c r="H8364" i="21"/>
  <c r="G8364" i="21"/>
  <c r="G8363" i="21"/>
  <c r="H8363" i="21" s="1"/>
  <c r="G8362" i="21"/>
  <c r="H8362" i="21" s="1"/>
  <c r="G8361" i="21"/>
  <c r="H8361" i="21" s="1"/>
  <c r="G8360" i="21"/>
  <c r="H8360" i="21" s="1"/>
  <c r="G8359" i="21"/>
  <c r="H8359" i="21" s="1"/>
  <c r="G8358" i="21"/>
  <c r="H8358" i="21" s="1"/>
  <c r="G8357" i="21"/>
  <c r="H8357" i="21" s="1"/>
  <c r="G8356" i="21"/>
  <c r="H8356" i="21" s="1"/>
  <c r="G8355" i="21"/>
  <c r="H8355" i="21" s="1"/>
  <c r="G8354" i="21"/>
  <c r="H8354" i="21" s="1"/>
  <c r="H8353" i="21"/>
  <c r="G8353" i="21"/>
  <c r="G8352" i="21"/>
  <c r="H8352" i="21" s="1"/>
  <c r="G8351" i="21"/>
  <c r="H8351" i="21" s="1"/>
  <c r="G8350" i="21"/>
  <c r="H8350" i="21" s="1"/>
  <c r="G8349" i="21"/>
  <c r="H8349" i="21" s="1"/>
  <c r="G8348" i="21"/>
  <c r="H8348" i="21" s="1"/>
  <c r="G8347" i="21"/>
  <c r="H8347" i="21" s="1"/>
  <c r="G8346" i="21"/>
  <c r="H8346" i="21" s="1"/>
  <c r="G8345" i="21"/>
  <c r="H8345" i="21" s="1"/>
  <c r="G8344" i="21"/>
  <c r="H8344" i="21" s="1"/>
  <c r="G8343" i="21"/>
  <c r="H8343" i="21" s="1"/>
  <c r="G8342" i="21"/>
  <c r="H8342" i="21" s="1"/>
  <c r="G8341" i="21"/>
  <c r="H8341" i="21" s="1"/>
  <c r="G8340" i="21"/>
  <c r="H8340" i="21" s="1"/>
  <c r="G8339" i="21"/>
  <c r="H8339" i="21" s="1"/>
  <c r="G8338" i="21"/>
  <c r="H8338" i="21" s="1"/>
  <c r="G8337" i="21"/>
  <c r="H8337" i="21" s="1"/>
  <c r="G8336" i="21"/>
  <c r="H8336" i="21" s="1"/>
  <c r="G8335" i="21"/>
  <c r="H8335" i="21" s="1"/>
  <c r="G8334" i="21"/>
  <c r="H8334" i="21" s="1"/>
  <c r="G8333" i="21"/>
  <c r="H8333" i="21" s="1"/>
  <c r="G8332" i="21"/>
  <c r="H8332" i="21" s="1"/>
  <c r="G8331" i="21"/>
  <c r="H8331" i="21" s="1"/>
  <c r="G8330" i="21"/>
  <c r="H8330" i="21" s="1"/>
  <c r="G8329" i="21"/>
  <c r="H8329" i="21" s="1"/>
  <c r="G8328" i="21"/>
  <c r="H8328" i="21" s="1"/>
  <c r="G8327" i="21"/>
  <c r="H8327" i="21" s="1"/>
  <c r="G8326" i="21"/>
  <c r="H8326" i="21" s="1"/>
  <c r="G8325" i="21"/>
  <c r="H8325" i="21" s="1"/>
  <c r="G8324" i="21"/>
  <c r="H8324" i="21" s="1"/>
  <c r="G8323" i="21"/>
  <c r="H8323" i="21" s="1"/>
  <c r="G8322" i="21"/>
  <c r="H8322" i="21" s="1"/>
  <c r="G8321" i="21"/>
  <c r="H8321" i="21" s="1"/>
  <c r="G8320" i="21"/>
  <c r="H8320" i="21" s="1"/>
  <c r="G8319" i="21"/>
  <c r="H8319" i="21" s="1"/>
  <c r="G8318" i="21"/>
  <c r="H8318" i="21" s="1"/>
  <c r="G8317" i="21"/>
  <c r="H8317" i="21" s="1"/>
  <c r="G8316" i="21"/>
  <c r="H8316" i="21" s="1"/>
  <c r="G8315" i="21"/>
  <c r="H8315" i="21" s="1"/>
  <c r="G8314" i="21"/>
  <c r="H8314" i="21" s="1"/>
  <c r="G8313" i="21"/>
  <c r="H8313" i="21" s="1"/>
  <c r="G8312" i="21"/>
  <c r="H8312" i="21" s="1"/>
  <c r="G8311" i="21"/>
  <c r="H8311" i="21" s="1"/>
  <c r="G8310" i="21"/>
  <c r="H8310" i="21" s="1"/>
  <c r="G8309" i="21"/>
  <c r="H8309" i="21" s="1"/>
  <c r="G8308" i="21"/>
  <c r="H8308" i="21" s="1"/>
  <c r="G8307" i="21"/>
  <c r="H8307" i="21" s="1"/>
  <c r="G8306" i="21"/>
  <c r="H8306" i="21" s="1"/>
  <c r="G8305" i="21"/>
  <c r="H8305" i="21" s="1"/>
  <c r="G8304" i="21"/>
  <c r="H8304" i="21" s="1"/>
  <c r="G8303" i="21"/>
  <c r="H8303" i="21" s="1"/>
  <c r="G8302" i="21"/>
  <c r="H8302" i="21" s="1"/>
  <c r="G8301" i="21"/>
  <c r="H8301" i="21" s="1"/>
  <c r="G8300" i="21"/>
  <c r="H8300" i="21" s="1"/>
  <c r="G8299" i="21"/>
  <c r="H8299" i="21" s="1"/>
  <c r="G8298" i="21"/>
  <c r="H8298" i="21" s="1"/>
  <c r="G8297" i="21"/>
  <c r="H8297" i="21" s="1"/>
  <c r="G8296" i="21"/>
  <c r="H8296" i="21" s="1"/>
  <c r="G8295" i="21"/>
  <c r="H8295" i="21" s="1"/>
  <c r="G8294" i="21"/>
  <c r="H8294" i="21" s="1"/>
  <c r="G8293" i="21"/>
  <c r="H8293" i="21" s="1"/>
  <c r="G8292" i="21"/>
  <c r="H8292" i="21" s="1"/>
  <c r="G8291" i="21"/>
  <c r="H8291" i="21" s="1"/>
  <c r="G8290" i="21"/>
  <c r="H8290" i="21" s="1"/>
  <c r="G8289" i="21"/>
  <c r="H8289" i="21" s="1"/>
  <c r="G8288" i="21"/>
  <c r="H8288" i="21" s="1"/>
  <c r="G8287" i="21"/>
  <c r="H8287" i="21" s="1"/>
  <c r="G8286" i="21"/>
  <c r="H8286" i="21" s="1"/>
  <c r="G8285" i="21"/>
  <c r="H8285" i="21" s="1"/>
  <c r="G8284" i="21"/>
  <c r="H8284" i="21" s="1"/>
  <c r="G8283" i="21"/>
  <c r="H8283" i="21" s="1"/>
  <c r="G8282" i="21"/>
  <c r="H8282" i="21" s="1"/>
  <c r="G8281" i="21"/>
  <c r="H8281" i="21" s="1"/>
  <c r="G8280" i="21"/>
  <c r="H8280" i="21" s="1"/>
  <c r="G8279" i="21"/>
  <c r="H8279" i="21" s="1"/>
  <c r="G8278" i="21"/>
  <c r="H8278" i="21" s="1"/>
  <c r="G8277" i="21"/>
  <c r="H8277" i="21" s="1"/>
  <c r="G8276" i="21"/>
  <c r="H8276" i="21" s="1"/>
  <c r="G8275" i="21"/>
  <c r="H8275" i="21" s="1"/>
  <c r="G8274" i="21"/>
  <c r="H8274" i="21" s="1"/>
  <c r="G8273" i="21"/>
  <c r="H8273" i="21" s="1"/>
  <c r="G8272" i="21"/>
  <c r="H8272" i="21" s="1"/>
  <c r="G8271" i="21"/>
  <c r="H8271" i="21" s="1"/>
  <c r="G8270" i="21"/>
  <c r="H8270" i="21" s="1"/>
  <c r="G8269" i="21"/>
  <c r="H8269" i="21" s="1"/>
  <c r="G8268" i="21"/>
  <c r="H8268" i="21" s="1"/>
  <c r="G8267" i="21"/>
  <c r="H8267" i="21" s="1"/>
  <c r="G8266" i="21"/>
  <c r="H8266" i="21" s="1"/>
  <c r="G8265" i="21"/>
  <c r="H8265" i="21" s="1"/>
  <c r="H8264" i="21"/>
  <c r="G8264" i="21"/>
  <c r="G8263" i="21"/>
  <c r="H8263" i="21" s="1"/>
  <c r="G8262" i="21"/>
  <c r="H8262" i="21" s="1"/>
  <c r="G8261" i="21"/>
  <c r="H8261" i="21" s="1"/>
  <c r="G8260" i="21"/>
  <c r="H8260" i="21" s="1"/>
  <c r="H8259" i="21"/>
  <c r="G8259" i="21"/>
  <c r="G8258" i="21"/>
  <c r="H8258" i="21" s="1"/>
  <c r="G8257" i="21"/>
  <c r="H8257" i="21" s="1"/>
  <c r="G8256" i="21"/>
  <c r="H8256" i="21" s="1"/>
  <c r="G8255" i="21"/>
  <c r="H8255" i="21" s="1"/>
  <c r="G8254" i="21"/>
  <c r="H8254" i="21" s="1"/>
  <c r="G8253" i="21"/>
  <c r="H8253" i="21" s="1"/>
  <c r="G8252" i="21"/>
  <c r="H8252" i="21" s="1"/>
  <c r="G8251" i="21"/>
  <c r="H8251" i="21" s="1"/>
  <c r="G8250" i="21"/>
  <c r="H8250" i="21" s="1"/>
  <c r="G8249" i="21"/>
  <c r="H8249" i="21" s="1"/>
  <c r="G8248" i="21"/>
  <c r="H8248" i="21" s="1"/>
  <c r="G8247" i="21"/>
  <c r="H8247" i="21" s="1"/>
  <c r="G8246" i="21"/>
  <c r="H8246" i="21" s="1"/>
  <c r="G8245" i="21"/>
  <c r="H8245" i="21" s="1"/>
  <c r="G8244" i="21"/>
  <c r="H8244" i="21" s="1"/>
  <c r="G8243" i="21"/>
  <c r="H8243" i="21" s="1"/>
  <c r="G8242" i="21"/>
  <c r="H8242" i="21" s="1"/>
  <c r="G8241" i="21"/>
  <c r="H8241" i="21" s="1"/>
  <c r="G8240" i="21"/>
  <c r="H8240" i="21" s="1"/>
  <c r="G8239" i="21"/>
  <c r="H8239" i="21" s="1"/>
  <c r="G8238" i="21"/>
  <c r="H8238" i="21" s="1"/>
  <c r="G8237" i="21"/>
  <c r="H8237" i="21" s="1"/>
  <c r="G8236" i="21"/>
  <c r="H8236" i="21" s="1"/>
  <c r="G8235" i="21"/>
  <c r="H8235" i="21" s="1"/>
  <c r="G8234" i="21"/>
  <c r="H8234" i="21" s="1"/>
  <c r="G8233" i="21"/>
  <c r="H8233" i="21" s="1"/>
  <c r="G8232" i="21"/>
  <c r="H8232" i="21" s="1"/>
  <c r="G8231" i="21"/>
  <c r="H8231" i="21" s="1"/>
  <c r="G8230" i="21"/>
  <c r="H8230" i="21" s="1"/>
  <c r="G8229" i="21"/>
  <c r="H8229" i="21" s="1"/>
  <c r="G8228" i="21"/>
  <c r="H8228" i="21" s="1"/>
  <c r="G8227" i="21"/>
  <c r="H8227" i="21" s="1"/>
  <c r="G8226" i="21"/>
  <c r="H8226" i="21" s="1"/>
  <c r="G8225" i="21"/>
  <c r="H8225" i="21" s="1"/>
  <c r="G8224" i="21"/>
  <c r="H8224" i="21" s="1"/>
  <c r="G8223" i="21"/>
  <c r="H8223" i="21" s="1"/>
  <c r="G8222" i="21"/>
  <c r="H8222" i="21" s="1"/>
  <c r="G8221" i="21"/>
  <c r="H8221" i="21" s="1"/>
  <c r="G8220" i="21"/>
  <c r="H8220" i="21" s="1"/>
  <c r="G8219" i="21"/>
  <c r="H8219" i="21" s="1"/>
  <c r="G8218" i="21"/>
  <c r="H8218" i="21" s="1"/>
  <c r="G8217" i="21"/>
  <c r="H8217" i="21" s="1"/>
  <c r="G8216" i="21"/>
  <c r="H8216" i="21" s="1"/>
  <c r="G8215" i="21"/>
  <c r="H8215" i="21" s="1"/>
  <c r="G8214" i="21"/>
  <c r="H8214" i="21" s="1"/>
  <c r="G8213" i="21"/>
  <c r="H8213" i="21" s="1"/>
  <c r="G8212" i="21"/>
  <c r="H8212" i="21" s="1"/>
  <c r="G8211" i="21"/>
  <c r="H8211" i="21" s="1"/>
  <c r="G8210" i="21"/>
  <c r="H8210" i="21" s="1"/>
  <c r="G8209" i="21"/>
  <c r="H8209" i="21" s="1"/>
  <c r="G8208" i="21"/>
  <c r="H8208" i="21" s="1"/>
  <c r="G8207" i="21"/>
  <c r="H8207" i="21" s="1"/>
  <c r="G8206" i="21"/>
  <c r="H8206" i="21" s="1"/>
  <c r="G8205" i="21"/>
  <c r="H8205" i="21" s="1"/>
  <c r="G8204" i="21"/>
  <c r="H8204" i="21" s="1"/>
  <c r="G8203" i="21"/>
  <c r="H8203" i="21" s="1"/>
  <c r="G8202" i="21"/>
  <c r="H8202" i="21" s="1"/>
  <c r="G8201" i="21"/>
  <c r="H8201" i="21" s="1"/>
  <c r="G8200" i="21"/>
  <c r="H8200" i="21" s="1"/>
  <c r="G8199" i="21"/>
  <c r="H8199" i="21" s="1"/>
  <c r="G8198" i="21"/>
  <c r="H8198" i="21" s="1"/>
  <c r="G8197" i="21"/>
  <c r="H8197" i="21" s="1"/>
  <c r="G8196" i="21"/>
  <c r="H8196" i="21" s="1"/>
  <c r="G8195" i="21"/>
  <c r="H8195" i="21" s="1"/>
  <c r="G8194" i="21"/>
  <c r="H8194" i="21" s="1"/>
  <c r="G8193" i="21"/>
  <c r="H8193" i="21" s="1"/>
  <c r="G8192" i="21"/>
  <c r="H8192" i="21" s="1"/>
  <c r="G8191" i="21"/>
  <c r="H8191" i="21" s="1"/>
  <c r="G8190" i="21"/>
  <c r="H8190" i="21" s="1"/>
  <c r="G8189" i="21"/>
  <c r="H8189" i="21" s="1"/>
  <c r="G8188" i="21"/>
  <c r="H8188" i="21" s="1"/>
  <c r="G8187" i="21"/>
  <c r="H8187" i="21" s="1"/>
  <c r="G8186" i="21"/>
  <c r="H8186" i="21" s="1"/>
  <c r="G8185" i="21"/>
  <c r="H8185" i="21" s="1"/>
  <c r="G8184" i="21"/>
  <c r="H8184" i="21" s="1"/>
  <c r="G8183" i="21"/>
  <c r="H8183" i="21" s="1"/>
  <c r="G8182" i="21"/>
  <c r="H8182" i="21" s="1"/>
  <c r="G8181" i="21"/>
  <c r="H8181" i="21" s="1"/>
  <c r="G8180" i="21"/>
  <c r="H8180" i="21" s="1"/>
  <c r="G8179" i="21"/>
  <c r="H8179" i="21" s="1"/>
  <c r="H122" i="2" s="1"/>
  <c r="G122" i="2" s="1"/>
  <c r="G8178" i="21"/>
  <c r="H8178" i="21" s="1"/>
  <c r="G8177" i="21"/>
  <c r="H8177" i="21" s="1"/>
  <c r="G8176" i="21"/>
  <c r="H8176" i="21" s="1"/>
  <c r="G8175" i="21"/>
  <c r="H8175" i="21" s="1"/>
  <c r="G8174" i="21"/>
  <c r="H8174" i="21" s="1"/>
  <c r="G8173" i="21"/>
  <c r="H8173" i="21" s="1"/>
  <c r="G8172" i="21"/>
  <c r="H8172" i="21" s="1"/>
  <c r="G8171" i="21"/>
  <c r="H8171" i="21" s="1"/>
  <c r="G8170" i="21"/>
  <c r="H8170" i="21" s="1"/>
  <c r="G8169" i="21"/>
  <c r="H8169" i="21" s="1"/>
  <c r="G8168" i="21"/>
  <c r="H8168" i="21" s="1"/>
  <c r="G8167" i="21"/>
  <c r="H8167" i="21" s="1"/>
  <c r="G8166" i="21"/>
  <c r="H8166" i="21" s="1"/>
  <c r="G8165" i="21"/>
  <c r="H8165" i="21" s="1"/>
  <c r="G8164" i="21"/>
  <c r="H8164" i="21" s="1"/>
  <c r="G8163" i="21"/>
  <c r="H8163" i="21" s="1"/>
  <c r="G8162" i="21"/>
  <c r="H8162" i="21" s="1"/>
  <c r="G8161" i="21"/>
  <c r="H8161" i="21" s="1"/>
  <c r="G8160" i="21"/>
  <c r="H8160" i="21" s="1"/>
  <c r="G8159" i="21"/>
  <c r="H8159" i="21" s="1"/>
  <c r="G8158" i="21"/>
  <c r="H8158" i="21" s="1"/>
  <c r="G8157" i="21"/>
  <c r="H8157" i="21" s="1"/>
  <c r="G8156" i="21"/>
  <c r="H8156" i="21" s="1"/>
  <c r="G8155" i="21"/>
  <c r="H8155" i="21" s="1"/>
  <c r="G8154" i="21"/>
  <c r="H8154" i="21" s="1"/>
  <c r="G8153" i="21"/>
  <c r="H8153" i="21" s="1"/>
  <c r="G8152" i="21"/>
  <c r="H8152" i="21" s="1"/>
  <c r="G8151" i="21"/>
  <c r="H8151" i="21" s="1"/>
  <c r="G8150" i="21"/>
  <c r="H8150" i="21" s="1"/>
  <c r="G8149" i="21"/>
  <c r="H8149" i="21" s="1"/>
  <c r="G8148" i="21"/>
  <c r="H8148" i="21" s="1"/>
  <c r="G8147" i="21"/>
  <c r="H8147" i="21" s="1"/>
  <c r="G8146" i="21"/>
  <c r="H8146" i="21" s="1"/>
  <c r="G8145" i="21"/>
  <c r="H8145" i="21" s="1"/>
  <c r="G8144" i="21"/>
  <c r="H8144" i="21" s="1"/>
  <c r="G8143" i="21"/>
  <c r="H8143" i="21" s="1"/>
  <c r="G8142" i="21"/>
  <c r="H8142" i="21" s="1"/>
  <c r="G8141" i="21"/>
  <c r="H8141" i="21" s="1"/>
  <c r="G8140" i="21"/>
  <c r="H8140" i="21" s="1"/>
  <c r="G8139" i="21"/>
  <c r="H8139" i="21" s="1"/>
  <c r="G8138" i="21"/>
  <c r="H8138" i="21" s="1"/>
  <c r="G8137" i="21"/>
  <c r="H8137" i="21" s="1"/>
  <c r="G8136" i="21"/>
  <c r="H8136" i="21" s="1"/>
  <c r="G8135" i="21"/>
  <c r="H8135" i="21" s="1"/>
  <c r="G8134" i="21"/>
  <c r="H8134" i="21" s="1"/>
  <c r="G8133" i="21"/>
  <c r="H8133" i="21" s="1"/>
  <c r="G8132" i="21"/>
  <c r="H8132" i="21" s="1"/>
  <c r="G8131" i="21"/>
  <c r="H8131" i="21" s="1"/>
  <c r="G8130" i="21"/>
  <c r="H8130" i="21" s="1"/>
  <c r="G8129" i="21"/>
  <c r="H8129" i="21" s="1"/>
  <c r="G8128" i="21"/>
  <c r="H8128" i="21" s="1"/>
  <c r="G8127" i="21"/>
  <c r="H8127" i="21" s="1"/>
  <c r="G8126" i="21"/>
  <c r="H8126" i="21" s="1"/>
  <c r="G8125" i="21"/>
  <c r="H8125" i="21" s="1"/>
  <c r="G8124" i="21"/>
  <c r="H8124" i="21" s="1"/>
  <c r="G8123" i="21"/>
  <c r="H8123" i="21" s="1"/>
  <c r="G8122" i="21"/>
  <c r="H8122" i="21" s="1"/>
  <c r="G8121" i="21"/>
  <c r="H8121" i="21" s="1"/>
  <c r="G8120" i="21"/>
  <c r="H8120" i="21" s="1"/>
  <c r="G8119" i="21"/>
  <c r="H8119" i="21" s="1"/>
  <c r="G8118" i="21"/>
  <c r="H8118" i="21" s="1"/>
  <c r="G8117" i="21"/>
  <c r="H8117" i="21" s="1"/>
  <c r="G8116" i="21"/>
  <c r="H8116" i="21" s="1"/>
  <c r="G8115" i="21"/>
  <c r="H8115" i="21" s="1"/>
  <c r="G8114" i="21"/>
  <c r="H8114" i="21" s="1"/>
  <c r="G8113" i="21"/>
  <c r="H8113" i="21" s="1"/>
  <c r="G8112" i="21"/>
  <c r="H8112" i="21" s="1"/>
  <c r="G8111" i="21"/>
  <c r="H8111" i="21" s="1"/>
  <c r="G8110" i="21"/>
  <c r="H8110" i="21" s="1"/>
  <c r="G8109" i="21"/>
  <c r="H8109" i="21" s="1"/>
  <c r="H8108" i="21"/>
  <c r="G8108" i="21"/>
  <c r="H8107" i="21"/>
  <c r="G8107" i="21"/>
  <c r="H8106" i="21"/>
  <c r="G8106" i="21"/>
  <c r="G8105" i="21"/>
  <c r="H8105" i="21" s="1"/>
  <c r="G8104" i="21"/>
  <c r="H8104" i="21" s="1"/>
  <c r="H8103" i="21"/>
  <c r="G8103" i="21"/>
  <c r="H8102" i="21"/>
  <c r="G8102" i="21"/>
  <c r="G8101" i="21"/>
  <c r="H8101" i="21" s="1"/>
  <c r="G8100" i="21"/>
  <c r="H8100" i="21" s="1"/>
  <c r="G8099" i="21"/>
  <c r="H8099" i="21" s="1"/>
  <c r="G8098" i="21"/>
  <c r="H8098" i="21" s="1"/>
  <c r="G8097" i="21"/>
  <c r="H8097" i="21" s="1"/>
  <c r="G8096" i="21"/>
  <c r="H8096" i="21" s="1"/>
  <c r="G8095" i="21"/>
  <c r="H8095" i="21" s="1"/>
  <c r="G8094" i="21"/>
  <c r="H8094" i="21" s="1"/>
  <c r="G8093" i="21"/>
  <c r="H8093" i="21" s="1"/>
  <c r="G8092" i="21"/>
  <c r="H8092" i="21" s="1"/>
  <c r="G8091" i="21"/>
  <c r="H8091" i="21" s="1"/>
  <c r="G8090" i="21"/>
  <c r="H8090" i="21" s="1"/>
  <c r="G8089" i="21"/>
  <c r="H8089" i="21" s="1"/>
  <c r="G8088" i="21"/>
  <c r="H8088" i="21" s="1"/>
  <c r="G8087" i="21"/>
  <c r="H8087" i="21" s="1"/>
  <c r="G8086" i="21"/>
  <c r="H8086" i="21" s="1"/>
  <c r="G8085" i="21"/>
  <c r="H8085" i="21" s="1"/>
  <c r="G8084" i="21"/>
  <c r="H8084" i="21" s="1"/>
  <c r="G8083" i="21"/>
  <c r="H8083" i="21" s="1"/>
  <c r="G8082" i="21"/>
  <c r="H8082" i="21" s="1"/>
  <c r="G8081" i="21"/>
  <c r="H8081" i="21" s="1"/>
  <c r="G8080" i="21"/>
  <c r="H8080" i="21" s="1"/>
  <c r="G8079" i="21"/>
  <c r="H8079" i="21" s="1"/>
  <c r="G8078" i="21"/>
  <c r="H8078" i="21" s="1"/>
  <c r="G8077" i="21"/>
  <c r="H8077" i="21" s="1"/>
  <c r="G8076" i="21"/>
  <c r="H8076" i="21" s="1"/>
  <c r="G8075" i="21"/>
  <c r="H8075" i="21" s="1"/>
  <c r="G8074" i="21"/>
  <c r="H8074" i="21" s="1"/>
  <c r="G8073" i="21"/>
  <c r="H8073" i="21" s="1"/>
  <c r="G8072" i="21"/>
  <c r="H8072" i="21" s="1"/>
  <c r="G8071" i="21"/>
  <c r="H8071" i="21" s="1"/>
  <c r="G8070" i="21"/>
  <c r="H8070" i="21" s="1"/>
  <c r="G8069" i="21"/>
  <c r="H8069" i="21" s="1"/>
  <c r="G8068" i="21"/>
  <c r="H8068" i="21" s="1"/>
  <c r="G8067" i="21"/>
  <c r="H8067" i="21" s="1"/>
  <c r="G8066" i="21"/>
  <c r="H8066" i="21" s="1"/>
  <c r="G8065" i="21"/>
  <c r="H8065" i="21" s="1"/>
  <c r="G8064" i="21"/>
  <c r="H8064" i="21" s="1"/>
  <c r="G8063" i="21"/>
  <c r="H8063" i="21" s="1"/>
  <c r="G8062" i="21"/>
  <c r="H8062" i="21" s="1"/>
  <c r="G8061" i="21"/>
  <c r="H8061" i="21" s="1"/>
  <c r="G8060" i="21"/>
  <c r="H8060" i="21" s="1"/>
  <c r="G8059" i="21"/>
  <c r="H8059" i="21" s="1"/>
  <c r="H8058" i="21"/>
  <c r="G8058" i="21"/>
  <c r="G8057" i="21"/>
  <c r="H8057" i="21" s="1"/>
  <c r="G8056" i="21"/>
  <c r="H8056" i="21" s="1"/>
  <c r="G8055" i="21"/>
  <c r="H8055" i="21" s="1"/>
  <c r="G8054" i="21"/>
  <c r="H8054" i="21" s="1"/>
  <c r="G8053" i="21"/>
  <c r="H8053" i="21" s="1"/>
  <c r="G8052" i="21"/>
  <c r="H8052" i="21" s="1"/>
  <c r="G8051" i="21"/>
  <c r="H8051" i="21" s="1"/>
  <c r="G8050" i="21"/>
  <c r="H8050" i="21" s="1"/>
  <c r="G8049" i="21"/>
  <c r="H8049" i="21" s="1"/>
  <c r="G8048" i="21"/>
  <c r="H8048" i="21" s="1"/>
  <c r="G8047" i="21"/>
  <c r="H8047" i="21" s="1"/>
  <c r="G8046" i="21"/>
  <c r="H8046" i="21" s="1"/>
  <c r="G8045" i="21"/>
  <c r="H8045" i="21" s="1"/>
  <c r="G8044" i="21"/>
  <c r="H8044" i="21" s="1"/>
  <c r="G8043" i="21"/>
  <c r="H8043" i="21" s="1"/>
  <c r="G8042" i="21"/>
  <c r="H8042" i="21" s="1"/>
  <c r="G8041" i="21"/>
  <c r="H8041" i="21" s="1"/>
  <c r="G8040" i="21"/>
  <c r="H8040" i="21" s="1"/>
  <c r="G8039" i="21"/>
  <c r="H8039" i="21" s="1"/>
  <c r="G8038" i="21"/>
  <c r="H8038" i="21" s="1"/>
  <c r="G8037" i="21"/>
  <c r="H8037" i="21" s="1"/>
  <c r="G8036" i="21"/>
  <c r="H8036" i="21" s="1"/>
  <c r="G8035" i="21"/>
  <c r="H8035" i="21" s="1"/>
  <c r="G8034" i="21"/>
  <c r="H8034" i="21" s="1"/>
  <c r="G8033" i="21"/>
  <c r="H8033" i="21" s="1"/>
  <c r="G8032" i="21"/>
  <c r="H8032" i="21" s="1"/>
  <c r="G8031" i="21"/>
  <c r="H8031" i="21" s="1"/>
  <c r="G8030" i="21"/>
  <c r="H8030" i="21" s="1"/>
  <c r="G8029" i="21"/>
  <c r="H8029" i="21" s="1"/>
  <c r="G8028" i="21"/>
  <c r="H8028" i="21" s="1"/>
  <c r="G8027" i="21"/>
  <c r="H8027" i="21" s="1"/>
  <c r="G8026" i="21"/>
  <c r="H8026" i="21" s="1"/>
  <c r="G8025" i="21"/>
  <c r="H8025" i="21" s="1"/>
  <c r="G8024" i="21"/>
  <c r="H8024" i="21" s="1"/>
  <c r="G8023" i="21"/>
  <c r="H8023" i="21" s="1"/>
  <c r="G8022" i="21"/>
  <c r="H8022" i="21" s="1"/>
  <c r="G8021" i="21"/>
  <c r="H8021" i="21" s="1"/>
  <c r="G8020" i="21"/>
  <c r="H8020" i="21" s="1"/>
  <c r="G8019" i="21"/>
  <c r="H8019" i="21" s="1"/>
  <c r="G8018" i="21"/>
  <c r="H8018" i="21" s="1"/>
  <c r="G8017" i="21"/>
  <c r="H8017" i="21" s="1"/>
  <c r="G8016" i="21"/>
  <c r="H8016" i="21" s="1"/>
  <c r="G8015" i="21"/>
  <c r="H8015" i="21" s="1"/>
  <c r="G8014" i="21"/>
  <c r="H8014" i="21" s="1"/>
  <c r="G8013" i="21"/>
  <c r="H8013" i="21" s="1"/>
  <c r="G8012" i="21"/>
  <c r="H8012" i="21" s="1"/>
  <c r="G8011" i="21"/>
  <c r="H8011" i="21" s="1"/>
  <c r="G8010" i="21"/>
  <c r="H8010" i="21" s="1"/>
  <c r="G8009" i="21"/>
  <c r="H8009" i="21" s="1"/>
  <c r="G8008" i="21"/>
  <c r="H8008" i="21" s="1"/>
  <c r="G8007" i="21"/>
  <c r="H8007" i="21" s="1"/>
  <c r="G8006" i="21"/>
  <c r="H8006" i="21" s="1"/>
  <c r="G8005" i="21"/>
  <c r="H8005" i="21" s="1"/>
  <c r="G8004" i="21"/>
  <c r="H8004" i="21" s="1"/>
  <c r="G8003" i="21"/>
  <c r="H8003" i="21" s="1"/>
  <c r="G8002" i="21"/>
  <c r="H8002" i="21" s="1"/>
  <c r="G8001" i="21"/>
  <c r="H8001" i="21" s="1"/>
  <c r="G8000" i="21"/>
  <c r="H8000" i="21" s="1"/>
  <c r="G7999" i="21"/>
  <c r="H7999" i="21" s="1"/>
  <c r="G7998" i="21"/>
  <c r="H7998" i="21" s="1"/>
  <c r="G7997" i="21"/>
  <c r="H7997" i="21" s="1"/>
  <c r="G7996" i="21"/>
  <c r="H7996" i="21" s="1"/>
  <c r="G7995" i="21"/>
  <c r="H7995" i="21" s="1"/>
  <c r="G7994" i="21"/>
  <c r="H7994" i="21" s="1"/>
  <c r="G7993" i="21"/>
  <c r="H7993" i="21" s="1"/>
  <c r="G7992" i="21"/>
  <c r="H7992" i="21" s="1"/>
  <c r="G7991" i="21"/>
  <c r="H7991" i="21" s="1"/>
  <c r="G7990" i="21"/>
  <c r="H7990" i="21" s="1"/>
  <c r="G7989" i="21"/>
  <c r="H7989" i="21" s="1"/>
  <c r="G7988" i="21"/>
  <c r="H7988" i="21" s="1"/>
  <c r="G7987" i="21"/>
  <c r="H7987" i="21" s="1"/>
  <c r="G7986" i="21"/>
  <c r="H7986" i="21" s="1"/>
  <c r="G7985" i="21"/>
  <c r="H7985" i="21" s="1"/>
  <c r="G7984" i="21"/>
  <c r="H7984" i="21" s="1"/>
  <c r="G7983" i="21"/>
  <c r="H7983" i="21" s="1"/>
  <c r="G7982" i="21"/>
  <c r="H7982" i="21" s="1"/>
  <c r="G7981" i="21"/>
  <c r="H7981" i="21" s="1"/>
  <c r="G7980" i="21"/>
  <c r="H7980" i="21" s="1"/>
  <c r="G7979" i="21"/>
  <c r="H7979" i="21" s="1"/>
  <c r="G7978" i="21"/>
  <c r="H7978" i="21" s="1"/>
  <c r="H7977" i="21"/>
  <c r="G7977" i="21"/>
  <c r="G7976" i="21"/>
  <c r="H7976" i="21" s="1"/>
  <c r="G7975" i="21"/>
  <c r="H7975" i="21" s="1"/>
  <c r="G7974" i="21"/>
  <c r="H7974" i="21" s="1"/>
  <c r="G7973" i="21"/>
  <c r="H7973" i="21" s="1"/>
  <c r="G7972" i="21"/>
  <c r="H7972" i="21" s="1"/>
  <c r="G7971" i="21"/>
  <c r="H7971" i="21" s="1"/>
  <c r="G7970" i="21"/>
  <c r="H7970" i="21" s="1"/>
  <c r="G7969" i="21"/>
  <c r="H7969" i="21" s="1"/>
  <c r="G7968" i="21"/>
  <c r="H7968" i="21" s="1"/>
  <c r="G7967" i="21"/>
  <c r="H7967" i="21" s="1"/>
  <c r="G7966" i="21"/>
  <c r="H7966" i="21" s="1"/>
  <c r="G7965" i="21"/>
  <c r="H7965" i="21" s="1"/>
  <c r="G7964" i="21"/>
  <c r="H7964" i="21" s="1"/>
  <c r="G7963" i="21"/>
  <c r="H7963" i="21" s="1"/>
  <c r="G7962" i="21"/>
  <c r="H7962" i="21" s="1"/>
  <c r="G7961" i="21"/>
  <c r="H7961" i="21" s="1"/>
  <c r="G7960" i="21"/>
  <c r="H7960" i="21" s="1"/>
  <c r="G7959" i="21"/>
  <c r="H7959" i="21" s="1"/>
  <c r="G7958" i="21"/>
  <c r="H7958" i="21" s="1"/>
  <c r="G7957" i="21"/>
  <c r="H7957" i="21" s="1"/>
  <c r="G7956" i="21"/>
  <c r="H7956" i="21" s="1"/>
  <c r="G7955" i="21"/>
  <c r="H7955" i="21" s="1"/>
  <c r="G7954" i="21"/>
  <c r="H7954" i="21" s="1"/>
  <c r="G7953" i="21"/>
  <c r="H7953" i="21" s="1"/>
  <c r="G7952" i="21"/>
  <c r="H7952" i="21" s="1"/>
  <c r="G7951" i="21"/>
  <c r="H7951" i="21" s="1"/>
  <c r="G7950" i="21"/>
  <c r="H7950" i="21" s="1"/>
  <c r="G7949" i="21"/>
  <c r="H7949" i="21" s="1"/>
  <c r="G7948" i="21"/>
  <c r="H7948" i="21" s="1"/>
  <c r="G7947" i="21"/>
  <c r="H7947" i="21" s="1"/>
  <c r="G7946" i="21"/>
  <c r="H7946" i="21" s="1"/>
  <c r="G7945" i="21"/>
  <c r="H7945" i="21" s="1"/>
  <c r="G7944" i="21"/>
  <c r="H7944" i="21" s="1"/>
  <c r="G7943" i="21"/>
  <c r="H7943" i="21" s="1"/>
  <c r="G7942" i="21"/>
  <c r="H7942" i="21" s="1"/>
  <c r="G7941" i="21"/>
  <c r="H7941" i="21" s="1"/>
  <c r="G7940" i="21"/>
  <c r="H7940" i="21" s="1"/>
  <c r="G7939" i="21"/>
  <c r="H7939" i="21" s="1"/>
  <c r="G7938" i="21"/>
  <c r="H7938" i="21" s="1"/>
  <c r="G7937" i="21"/>
  <c r="H7937" i="21" s="1"/>
  <c r="G7936" i="21"/>
  <c r="H7936" i="21" s="1"/>
  <c r="G7935" i="21"/>
  <c r="H7935" i="21" s="1"/>
  <c r="G7934" i="21"/>
  <c r="H7934" i="21" s="1"/>
  <c r="G7933" i="21"/>
  <c r="H7933" i="21" s="1"/>
  <c r="G7932" i="21"/>
  <c r="H7932" i="21" s="1"/>
  <c r="G7931" i="21"/>
  <c r="H7931" i="21" s="1"/>
  <c r="G7930" i="21"/>
  <c r="H7930" i="21" s="1"/>
  <c r="G7929" i="21"/>
  <c r="H7929" i="21" s="1"/>
  <c r="G7928" i="21"/>
  <c r="H7928" i="21" s="1"/>
  <c r="H7927" i="21"/>
  <c r="G7927" i="21"/>
  <c r="G7926" i="21"/>
  <c r="H7926" i="21" s="1"/>
  <c r="G7925" i="21"/>
  <c r="H7925" i="21" s="1"/>
  <c r="G7924" i="21"/>
  <c r="H7924" i="21" s="1"/>
  <c r="G7923" i="21"/>
  <c r="H7923" i="21" s="1"/>
  <c r="G7922" i="21"/>
  <c r="H7922" i="21" s="1"/>
  <c r="G7921" i="21"/>
  <c r="H7921" i="21" s="1"/>
  <c r="G7920" i="21"/>
  <c r="H7920" i="21" s="1"/>
  <c r="H7919" i="21"/>
  <c r="G7919" i="21"/>
  <c r="H7918" i="21"/>
  <c r="G7918" i="21"/>
  <c r="H7917" i="21"/>
  <c r="G7917" i="21"/>
  <c r="G7916" i="21"/>
  <c r="H7916" i="21" s="1"/>
  <c r="G7915" i="21"/>
  <c r="H7915" i="21" s="1"/>
  <c r="G7914" i="21"/>
  <c r="H7914" i="21" s="1"/>
  <c r="G7913" i="21"/>
  <c r="H7913" i="21" s="1"/>
  <c r="H7912" i="21"/>
  <c r="G7912" i="21"/>
  <c r="G7911" i="21"/>
  <c r="H7911" i="21" s="1"/>
  <c r="G7910" i="21"/>
  <c r="H7910" i="21" s="1"/>
  <c r="G7909" i="21"/>
  <c r="H7909" i="21" s="1"/>
  <c r="G7908" i="21"/>
  <c r="H7908" i="21" s="1"/>
  <c r="G7907" i="21"/>
  <c r="H7907" i="21" s="1"/>
  <c r="G7906" i="21"/>
  <c r="H7906" i="21" s="1"/>
  <c r="H7905" i="21"/>
  <c r="G7905" i="21"/>
  <c r="G7904" i="21"/>
  <c r="H7904" i="21" s="1"/>
  <c r="G7903" i="21"/>
  <c r="H7903" i="21" s="1"/>
  <c r="G7902" i="21"/>
  <c r="H7902" i="21" s="1"/>
  <c r="G7901" i="21"/>
  <c r="H7901" i="21" s="1"/>
  <c r="G7900" i="21"/>
  <c r="H7900" i="21" s="1"/>
  <c r="H7899" i="21"/>
  <c r="G7899" i="21"/>
  <c r="H7898" i="21"/>
  <c r="G7898" i="21"/>
  <c r="H7897" i="21"/>
  <c r="G7897" i="21"/>
  <c r="G7896" i="21"/>
  <c r="H7896" i="21" s="1"/>
  <c r="H7895" i="21"/>
  <c r="G7895" i="21"/>
  <c r="G7894" i="21"/>
  <c r="H7894" i="21" s="1"/>
  <c r="G7893" i="21"/>
  <c r="H7893" i="21" s="1"/>
  <c r="G7892" i="21"/>
  <c r="H7892" i="21" s="1"/>
  <c r="G7891" i="21"/>
  <c r="H7891" i="21" s="1"/>
  <c r="G7890" i="21"/>
  <c r="H7890" i="21" s="1"/>
  <c r="G7889" i="21"/>
  <c r="H7889" i="21" s="1"/>
  <c r="G7888" i="21"/>
  <c r="H7888" i="21" s="1"/>
  <c r="G7887" i="21"/>
  <c r="H7887" i="21" s="1"/>
  <c r="G7886" i="21"/>
  <c r="H7886" i="21" s="1"/>
  <c r="G7885" i="21"/>
  <c r="H7885" i="21" s="1"/>
  <c r="G7884" i="21"/>
  <c r="H7884" i="21" s="1"/>
  <c r="H7883" i="21"/>
  <c r="G7883" i="21"/>
  <c r="H7882" i="21"/>
  <c r="G7882" i="21"/>
  <c r="G7881" i="21"/>
  <c r="H7881" i="21" s="1"/>
  <c r="G7880" i="21"/>
  <c r="H7880" i="21" s="1"/>
  <c r="H7879" i="21"/>
  <c r="G7879" i="21"/>
  <c r="H7878" i="21"/>
  <c r="G7878" i="21"/>
  <c r="G7877" i="21"/>
  <c r="H7877" i="21" s="1"/>
  <c r="G7876" i="21"/>
  <c r="H7876" i="21" s="1"/>
  <c r="H7875" i="21"/>
  <c r="G7875" i="21"/>
  <c r="G7874" i="21"/>
  <c r="H7874" i="21" s="1"/>
  <c r="G7873" i="21"/>
  <c r="H7873" i="21" s="1"/>
  <c r="G7872" i="21"/>
  <c r="H7872" i="21" s="1"/>
  <c r="G7871" i="21"/>
  <c r="H7871" i="21" s="1"/>
  <c r="G7870" i="21"/>
  <c r="H7870" i="21" s="1"/>
  <c r="H7869" i="21"/>
  <c r="G7869" i="21"/>
  <c r="G7868" i="21"/>
  <c r="H7868" i="21" s="1"/>
  <c r="G7867" i="21"/>
  <c r="H7867" i="21" s="1"/>
  <c r="G7866" i="21"/>
  <c r="H7866" i="21" s="1"/>
  <c r="G7865" i="21"/>
  <c r="H7865" i="21" s="1"/>
  <c r="G7864" i="21"/>
  <c r="H7864" i="21" s="1"/>
  <c r="G7863" i="21"/>
  <c r="H7863" i="21" s="1"/>
  <c r="G7862" i="21"/>
  <c r="H7862" i="21" s="1"/>
  <c r="G7861" i="21"/>
  <c r="H7861" i="21" s="1"/>
  <c r="G7860" i="21"/>
  <c r="H7860" i="21" s="1"/>
  <c r="G7859" i="21"/>
  <c r="H7859" i="21" s="1"/>
  <c r="G7858" i="21"/>
  <c r="H7858" i="21" s="1"/>
  <c r="G7857" i="21"/>
  <c r="H7857" i="21" s="1"/>
  <c r="G7856" i="21"/>
  <c r="H7856" i="21" s="1"/>
  <c r="G7855" i="21"/>
  <c r="H7855" i="21" s="1"/>
  <c r="G7854" i="21"/>
  <c r="H7854" i="21" s="1"/>
  <c r="G7853" i="21"/>
  <c r="H7853" i="21" s="1"/>
  <c r="G7852" i="21"/>
  <c r="H7852" i="21" s="1"/>
  <c r="G7851" i="21"/>
  <c r="H7851" i="21" s="1"/>
  <c r="G7850" i="21"/>
  <c r="H7850" i="21" s="1"/>
  <c r="G7849" i="21"/>
  <c r="H7849" i="21" s="1"/>
  <c r="G7848" i="21"/>
  <c r="H7848" i="21" s="1"/>
  <c r="G7847" i="21"/>
  <c r="H7847" i="21" s="1"/>
  <c r="G7846" i="21"/>
  <c r="H7846" i="21" s="1"/>
  <c r="G7845" i="21"/>
  <c r="H7845" i="21" s="1"/>
  <c r="G7844" i="21"/>
  <c r="H7844" i="21" s="1"/>
  <c r="G7843" i="21"/>
  <c r="H7843" i="21" s="1"/>
  <c r="G7842" i="21"/>
  <c r="H7842" i="21" s="1"/>
  <c r="G7841" i="21"/>
  <c r="H7841" i="21" s="1"/>
  <c r="G7840" i="21"/>
  <c r="H7840" i="21" s="1"/>
  <c r="G7839" i="21"/>
  <c r="H7839" i="21" s="1"/>
  <c r="G7838" i="21"/>
  <c r="H7838" i="21" s="1"/>
  <c r="G7837" i="21"/>
  <c r="H7837" i="21" s="1"/>
  <c r="H7836" i="21"/>
  <c r="G7836" i="21"/>
  <c r="G7835" i="21"/>
  <c r="H7835" i="21" s="1"/>
  <c r="G7834" i="21"/>
  <c r="H7834" i="21" s="1"/>
  <c r="H7833" i="21"/>
  <c r="G7833" i="21"/>
  <c r="G7832" i="21"/>
  <c r="H7832" i="21" s="1"/>
  <c r="G7831" i="21"/>
  <c r="H7831" i="21" s="1"/>
  <c r="G7830" i="21"/>
  <c r="H7830" i="21" s="1"/>
  <c r="G7829" i="21"/>
  <c r="H7829" i="21" s="1"/>
  <c r="G7828" i="21"/>
  <c r="H7828" i="21" s="1"/>
  <c r="G7827" i="21"/>
  <c r="H7827" i="21" s="1"/>
  <c r="G7826" i="21"/>
  <c r="H7826" i="21" s="1"/>
  <c r="G7825" i="21"/>
  <c r="H7825" i="21" s="1"/>
  <c r="G7824" i="21"/>
  <c r="H7824" i="21" s="1"/>
  <c r="G7823" i="21"/>
  <c r="H7823" i="21" s="1"/>
  <c r="G7822" i="21"/>
  <c r="H7822" i="21" s="1"/>
  <c r="G7821" i="21"/>
  <c r="H7821" i="21" s="1"/>
  <c r="G7820" i="21"/>
  <c r="H7820" i="21" s="1"/>
  <c r="G7819" i="21"/>
  <c r="H7819" i="21" s="1"/>
  <c r="G7818" i="21"/>
  <c r="H7818" i="21" s="1"/>
  <c r="G7817" i="21"/>
  <c r="H7817" i="21" s="1"/>
  <c r="G7816" i="21"/>
  <c r="H7816" i="21" s="1"/>
  <c r="G7815" i="21"/>
  <c r="H7815" i="21" s="1"/>
  <c r="G7814" i="21"/>
  <c r="H7814" i="21" s="1"/>
  <c r="G7813" i="21"/>
  <c r="H7813" i="21" s="1"/>
  <c r="G7812" i="21"/>
  <c r="H7812" i="21" s="1"/>
  <c r="G7811" i="21"/>
  <c r="H7811" i="21" s="1"/>
  <c r="G7810" i="21"/>
  <c r="H7810" i="21" s="1"/>
  <c r="G7809" i="21"/>
  <c r="H7809" i="21" s="1"/>
  <c r="G7808" i="21"/>
  <c r="H7808" i="21" s="1"/>
  <c r="G7807" i="21"/>
  <c r="H7807" i="21" s="1"/>
  <c r="G7806" i="21"/>
  <c r="H7806" i="21" s="1"/>
  <c r="G7805" i="21"/>
  <c r="H7805" i="21" s="1"/>
  <c r="G7804" i="21"/>
  <c r="H7804" i="21" s="1"/>
  <c r="G7803" i="21"/>
  <c r="H7803" i="21" s="1"/>
  <c r="G7802" i="21"/>
  <c r="H7802" i="21" s="1"/>
  <c r="G7801" i="21"/>
  <c r="H7801" i="21" s="1"/>
  <c r="G7800" i="21"/>
  <c r="H7800" i="21" s="1"/>
  <c r="G7799" i="21"/>
  <c r="H7799" i="21" s="1"/>
  <c r="G7798" i="21"/>
  <c r="H7798" i="21" s="1"/>
  <c r="G7797" i="21"/>
  <c r="H7797" i="21" s="1"/>
  <c r="G7796" i="21"/>
  <c r="H7796" i="21" s="1"/>
  <c r="G7795" i="21"/>
  <c r="H7795" i="21" s="1"/>
  <c r="G7794" i="21"/>
  <c r="H7794" i="21" s="1"/>
  <c r="G7793" i="21"/>
  <c r="H7793" i="21" s="1"/>
  <c r="G7792" i="21"/>
  <c r="H7792" i="21" s="1"/>
  <c r="G7791" i="21"/>
  <c r="H7791" i="21" s="1"/>
  <c r="G7790" i="21"/>
  <c r="H7790" i="21" s="1"/>
  <c r="G7789" i="21"/>
  <c r="H7789" i="21" s="1"/>
  <c r="G7788" i="21"/>
  <c r="H7788" i="21" s="1"/>
  <c r="G7787" i="21"/>
  <c r="H7787" i="21" s="1"/>
  <c r="G7786" i="21"/>
  <c r="H7786" i="21" s="1"/>
  <c r="G7785" i="21"/>
  <c r="H7785" i="21" s="1"/>
  <c r="G7784" i="21"/>
  <c r="H7784" i="21" s="1"/>
  <c r="G7783" i="21"/>
  <c r="H7783" i="21" s="1"/>
  <c r="G7782" i="21"/>
  <c r="H7782" i="21" s="1"/>
  <c r="G7781" i="21"/>
  <c r="H7781" i="21" s="1"/>
  <c r="G7780" i="21"/>
  <c r="H7780" i="21" s="1"/>
  <c r="G7779" i="21"/>
  <c r="H7779" i="21" s="1"/>
  <c r="G7778" i="21"/>
  <c r="H7778" i="21" s="1"/>
  <c r="G7777" i="21"/>
  <c r="H7777" i="21" s="1"/>
  <c r="G7776" i="21"/>
  <c r="H7776" i="21" s="1"/>
  <c r="G7775" i="21"/>
  <c r="H7775" i="21" s="1"/>
  <c r="G7774" i="21"/>
  <c r="H7774" i="21" s="1"/>
  <c r="G7773" i="21"/>
  <c r="H7773" i="21" s="1"/>
  <c r="G7772" i="21"/>
  <c r="H7772" i="21" s="1"/>
  <c r="G7771" i="21"/>
  <c r="H7771" i="21" s="1"/>
  <c r="G7770" i="21"/>
  <c r="H7770" i="21" s="1"/>
  <c r="G7769" i="21"/>
  <c r="H7769" i="21" s="1"/>
  <c r="G7768" i="21"/>
  <c r="H7768" i="21" s="1"/>
  <c r="G7767" i="21"/>
  <c r="H7767" i="21" s="1"/>
  <c r="G7766" i="21"/>
  <c r="H7766" i="21" s="1"/>
  <c r="G7765" i="21"/>
  <c r="H7765" i="21" s="1"/>
  <c r="G7764" i="21"/>
  <c r="H7764" i="21" s="1"/>
  <c r="G7763" i="21"/>
  <c r="H7763" i="21" s="1"/>
  <c r="G7762" i="21"/>
  <c r="H7762" i="21" s="1"/>
  <c r="G7761" i="21"/>
  <c r="H7761" i="21" s="1"/>
  <c r="G7760" i="21"/>
  <c r="H7760" i="21" s="1"/>
  <c r="G7759" i="21"/>
  <c r="H7759" i="21" s="1"/>
  <c r="G7758" i="21"/>
  <c r="H7758" i="21" s="1"/>
  <c r="G7757" i="21"/>
  <c r="H7757" i="21" s="1"/>
  <c r="G7756" i="21"/>
  <c r="H7756" i="21" s="1"/>
  <c r="G7755" i="21"/>
  <c r="H7755" i="21" s="1"/>
  <c r="G7754" i="21"/>
  <c r="H7754" i="21" s="1"/>
  <c r="G7753" i="21"/>
  <c r="H7753" i="21" s="1"/>
  <c r="G7752" i="21"/>
  <c r="H7752" i="21" s="1"/>
  <c r="G7751" i="21"/>
  <c r="H7751" i="21" s="1"/>
  <c r="G7750" i="21"/>
  <c r="H7750" i="21" s="1"/>
  <c r="G7749" i="21"/>
  <c r="H7749" i="21" s="1"/>
  <c r="G7748" i="21"/>
  <c r="H7748" i="21" s="1"/>
  <c r="G7747" i="21"/>
  <c r="H7747" i="21" s="1"/>
  <c r="G7746" i="21"/>
  <c r="H7746" i="21" s="1"/>
  <c r="G7745" i="21"/>
  <c r="H7745" i="21" s="1"/>
  <c r="G7744" i="21"/>
  <c r="H7744" i="21" s="1"/>
  <c r="G7743" i="21"/>
  <c r="H7743" i="21" s="1"/>
  <c r="G7742" i="21"/>
  <c r="H7742" i="21" s="1"/>
  <c r="G7741" i="21"/>
  <c r="H7741" i="21" s="1"/>
  <c r="G7740" i="21"/>
  <c r="H7740" i="21" s="1"/>
  <c r="G7739" i="21"/>
  <c r="H7739" i="21" s="1"/>
  <c r="G7738" i="21"/>
  <c r="H7738" i="21" s="1"/>
  <c r="G7737" i="21"/>
  <c r="H7737" i="21" s="1"/>
  <c r="G7736" i="21"/>
  <c r="H7736" i="21" s="1"/>
  <c r="G7735" i="21"/>
  <c r="H7735" i="21" s="1"/>
  <c r="G7734" i="21"/>
  <c r="H7734" i="21" s="1"/>
  <c r="G7733" i="21"/>
  <c r="H7733" i="21" s="1"/>
  <c r="G7732" i="21"/>
  <c r="H7732" i="21" s="1"/>
  <c r="G7731" i="21"/>
  <c r="H7731" i="21" s="1"/>
  <c r="G7730" i="21"/>
  <c r="H7730" i="21" s="1"/>
  <c r="G7729" i="21"/>
  <c r="H7729" i="21" s="1"/>
  <c r="G7728" i="21"/>
  <c r="H7728" i="21" s="1"/>
  <c r="G7727" i="21"/>
  <c r="H7727" i="21" s="1"/>
  <c r="G7726" i="21"/>
  <c r="H7726" i="21" s="1"/>
  <c r="G7725" i="21"/>
  <c r="H7725" i="21" s="1"/>
  <c r="G7724" i="21"/>
  <c r="H7724" i="21" s="1"/>
  <c r="G7723" i="21"/>
  <c r="H7723" i="21" s="1"/>
  <c r="G7722" i="21"/>
  <c r="H7722" i="21" s="1"/>
  <c r="G7721" i="21"/>
  <c r="H7721" i="21" s="1"/>
  <c r="G7720" i="21"/>
  <c r="H7720" i="21" s="1"/>
  <c r="G7719" i="21"/>
  <c r="H7719" i="21" s="1"/>
  <c r="G7718" i="21"/>
  <c r="H7718" i="21" s="1"/>
  <c r="G7717" i="21"/>
  <c r="H7717" i="21" s="1"/>
  <c r="G7716" i="21"/>
  <c r="H7716" i="21" s="1"/>
  <c r="G7715" i="21"/>
  <c r="H7715" i="21" s="1"/>
  <c r="G7714" i="21"/>
  <c r="H7714" i="21" s="1"/>
  <c r="G7713" i="21"/>
  <c r="H7713" i="21" s="1"/>
  <c r="G7712" i="21"/>
  <c r="H7712" i="21" s="1"/>
  <c r="G7711" i="21"/>
  <c r="H7711" i="21" s="1"/>
  <c r="G7710" i="21"/>
  <c r="H7710" i="21" s="1"/>
  <c r="G7709" i="21"/>
  <c r="H7709" i="21" s="1"/>
  <c r="G7708" i="21"/>
  <c r="H7708" i="21" s="1"/>
  <c r="G7707" i="21"/>
  <c r="H7707" i="21" s="1"/>
  <c r="G7706" i="21"/>
  <c r="H7706" i="21" s="1"/>
  <c r="G7705" i="21"/>
  <c r="H7705" i="21" s="1"/>
  <c r="G7704" i="21"/>
  <c r="H7704" i="21" s="1"/>
  <c r="G7703" i="21"/>
  <c r="H7703" i="21" s="1"/>
  <c r="G7702" i="21"/>
  <c r="H7702" i="21" s="1"/>
  <c r="G7701" i="21"/>
  <c r="H7701" i="21" s="1"/>
  <c r="G7700" i="21"/>
  <c r="H7700" i="21" s="1"/>
  <c r="G7699" i="21"/>
  <c r="H7699" i="21" s="1"/>
  <c r="G7698" i="21"/>
  <c r="H7698" i="21" s="1"/>
  <c r="G7697" i="21"/>
  <c r="H7697" i="21" s="1"/>
  <c r="G7696" i="21"/>
  <c r="H7696" i="21" s="1"/>
  <c r="G7695" i="21"/>
  <c r="H7695" i="21" s="1"/>
  <c r="G7694" i="21"/>
  <c r="H7694" i="21" s="1"/>
  <c r="G7693" i="21"/>
  <c r="H7693" i="21" s="1"/>
  <c r="G7692" i="21"/>
  <c r="H7692" i="21" s="1"/>
  <c r="G7691" i="21"/>
  <c r="H7691" i="21" s="1"/>
  <c r="G7690" i="21"/>
  <c r="H7690" i="21" s="1"/>
  <c r="G7689" i="21"/>
  <c r="H7689" i="21" s="1"/>
  <c r="G7688" i="21"/>
  <c r="H7688" i="21" s="1"/>
  <c r="G7687" i="21"/>
  <c r="H7687" i="21" s="1"/>
  <c r="G7686" i="21"/>
  <c r="H7686" i="21" s="1"/>
  <c r="G7685" i="21"/>
  <c r="H7685" i="21" s="1"/>
  <c r="G7684" i="21"/>
  <c r="H7684" i="21" s="1"/>
  <c r="G7683" i="21"/>
  <c r="H7683" i="21" s="1"/>
  <c r="G7682" i="21"/>
  <c r="H7682" i="21" s="1"/>
  <c r="G7681" i="21"/>
  <c r="H7681" i="21" s="1"/>
  <c r="G7680" i="21"/>
  <c r="H7680" i="21" s="1"/>
  <c r="G7679" i="21"/>
  <c r="H7679" i="21" s="1"/>
  <c r="G7678" i="21"/>
  <c r="H7678" i="21" s="1"/>
  <c r="G7677" i="21"/>
  <c r="H7677" i="21" s="1"/>
  <c r="G7676" i="21"/>
  <c r="H7676" i="21" s="1"/>
  <c r="G7675" i="21"/>
  <c r="H7675" i="21" s="1"/>
  <c r="G7674" i="21"/>
  <c r="H7674" i="21" s="1"/>
  <c r="G7673" i="21"/>
  <c r="H7673" i="21" s="1"/>
  <c r="G7672" i="21"/>
  <c r="H7672" i="21" s="1"/>
  <c r="G7671" i="21"/>
  <c r="H7671" i="21" s="1"/>
  <c r="G7670" i="21"/>
  <c r="H7670" i="21" s="1"/>
  <c r="G7669" i="21"/>
  <c r="H7669" i="21" s="1"/>
  <c r="G7668" i="21"/>
  <c r="H7668" i="21" s="1"/>
  <c r="G7667" i="21"/>
  <c r="H7667" i="21" s="1"/>
  <c r="G7666" i="21"/>
  <c r="H7666" i="21" s="1"/>
  <c r="G7665" i="21"/>
  <c r="H7665" i="21" s="1"/>
  <c r="G7664" i="21"/>
  <c r="H7664" i="21" s="1"/>
  <c r="G7663" i="21"/>
  <c r="H7663" i="21" s="1"/>
  <c r="G7662" i="21"/>
  <c r="H7662" i="21" s="1"/>
  <c r="G7661" i="21"/>
  <c r="H7661" i="21" s="1"/>
  <c r="G7660" i="21"/>
  <c r="H7660" i="21" s="1"/>
  <c r="G7659" i="21"/>
  <c r="H7659" i="21" s="1"/>
  <c r="G7658" i="21"/>
  <c r="H7658" i="21" s="1"/>
  <c r="G7657" i="21"/>
  <c r="H7657" i="21" s="1"/>
  <c r="G7656" i="21"/>
  <c r="H7656" i="21" s="1"/>
  <c r="G7655" i="21"/>
  <c r="H7655" i="21" s="1"/>
  <c r="G7654" i="21"/>
  <c r="H7654" i="21" s="1"/>
  <c r="G7653" i="21"/>
  <c r="H7653" i="21" s="1"/>
  <c r="G7652" i="21"/>
  <c r="H7652" i="21" s="1"/>
  <c r="G7651" i="21"/>
  <c r="H7651" i="21" s="1"/>
  <c r="G7650" i="21"/>
  <c r="H7650" i="21" s="1"/>
  <c r="G7649" i="21"/>
  <c r="H7649" i="21" s="1"/>
  <c r="G7648" i="21"/>
  <c r="H7648" i="21" s="1"/>
  <c r="G7647" i="21"/>
  <c r="H7647" i="21" s="1"/>
  <c r="G7646" i="21"/>
  <c r="H7646" i="21" s="1"/>
  <c r="G7645" i="21"/>
  <c r="H7645" i="21" s="1"/>
  <c r="G7644" i="21"/>
  <c r="H7644" i="21" s="1"/>
  <c r="G7643" i="21"/>
  <c r="H7643" i="21" s="1"/>
  <c r="G7642" i="21"/>
  <c r="H7642" i="21" s="1"/>
  <c r="H7641" i="21"/>
  <c r="G7641" i="21"/>
  <c r="G7640" i="21"/>
  <c r="H7640" i="21" s="1"/>
  <c r="G7639" i="21"/>
  <c r="H7639" i="21" s="1"/>
  <c r="G7638" i="21"/>
  <c r="H7638" i="21" s="1"/>
  <c r="G7637" i="21"/>
  <c r="H7637" i="21" s="1"/>
  <c r="G7636" i="21"/>
  <c r="H7636" i="21" s="1"/>
  <c r="H7635" i="21"/>
  <c r="G7635" i="21"/>
  <c r="G7634" i="21"/>
  <c r="H7634" i="21" s="1"/>
  <c r="G7633" i="21"/>
  <c r="H7633" i="21" s="1"/>
  <c r="G7632" i="21"/>
  <c r="H7632" i="21" s="1"/>
  <c r="G7631" i="21"/>
  <c r="H7631" i="21" s="1"/>
  <c r="G7630" i="21"/>
  <c r="H7630" i="21" s="1"/>
  <c r="G7629" i="21"/>
  <c r="H7629" i="21" s="1"/>
  <c r="G7628" i="21"/>
  <c r="H7628" i="21" s="1"/>
  <c r="G7627" i="21"/>
  <c r="H7627" i="21" s="1"/>
  <c r="G7626" i="21"/>
  <c r="H7626" i="21" s="1"/>
  <c r="G7625" i="21"/>
  <c r="H7625" i="21" s="1"/>
  <c r="G7624" i="21"/>
  <c r="H7624" i="21" s="1"/>
  <c r="G7623" i="21"/>
  <c r="H7623" i="21" s="1"/>
  <c r="G7622" i="21"/>
  <c r="H7622" i="21" s="1"/>
  <c r="G7621" i="21"/>
  <c r="H7621" i="21" s="1"/>
  <c r="G7620" i="21"/>
  <c r="H7620" i="21" s="1"/>
  <c r="G7619" i="21"/>
  <c r="H7619" i="21" s="1"/>
  <c r="G7618" i="21"/>
  <c r="H7618" i="21" s="1"/>
  <c r="G7617" i="21"/>
  <c r="H7617" i="21" s="1"/>
  <c r="G7616" i="21"/>
  <c r="H7616" i="21" s="1"/>
  <c r="G7615" i="21"/>
  <c r="H7615" i="21" s="1"/>
  <c r="G7614" i="21"/>
  <c r="H7614" i="21" s="1"/>
  <c r="G7613" i="21"/>
  <c r="H7613" i="21" s="1"/>
  <c r="G7612" i="21"/>
  <c r="H7612" i="21" s="1"/>
  <c r="G7611" i="21"/>
  <c r="H7611" i="21" s="1"/>
  <c r="G7610" i="21"/>
  <c r="H7610" i="21" s="1"/>
  <c r="G7609" i="21"/>
  <c r="H7609" i="21" s="1"/>
  <c r="G7608" i="21"/>
  <c r="H7608" i="21" s="1"/>
  <c r="G7607" i="21"/>
  <c r="H7607" i="21" s="1"/>
  <c r="G7606" i="21"/>
  <c r="H7606" i="21" s="1"/>
  <c r="G7605" i="21"/>
  <c r="H7605" i="21" s="1"/>
  <c r="G7604" i="21"/>
  <c r="H7604" i="21" s="1"/>
  <c r="G7603" i="21"/>
  <c r="H7603" i="21" s="1"/>
  <c r="G7602" i="21"/>
  <c r="H7602" i="21" s="1"/>
  <c r="G7601" i="21"/>
  <c r="H7601" i="21" s="1"/>
  <c r="G7600" i="21"/>
  <c r="H7600" i="21" s="1"/>
  <c r="G7599" i="21"/>
  <c r="H7599" i="21" s="1"/>
  <c r="G7598" i="21"/>
  <c r="H7598" i="21" s="1"/>
  <c r="G7597" i="21"/>
  <c r="H7597" i="21" s="1"/>
  <c r="G7596" i="21"/>
  <c r="H7596" i="21" s="1"/>
  <c r="G7595" i="21"/>
  <c r="H7595" i="21" s="1"/>
  <c r="G7594" i="21"/>
  <c r="H7594" i="21" s="1"/>
  <c r="G7593" i="21"/>
  <c r="H7593" i="21" s="1"/>
  <c r="G7592" i="21"/>
  <c r="H7592" i="21" s="1"/>
  <c r="G7591" i="21"/>
  <c r="H7591" i="21" s="1"/>
  <c r="G7590" i="21"/>
  <c r="H7590" i="21" s="1"/>
  <c r="G7589" i="21"/>
  <c r="H7589" i="21" s="1"/>
  <c r="G7588" i="21"/>
  <c r="H7588" i="21" s="1"/>
  <c r="G7587" i="21"/>
  <c r="H7587" i="21" s="1"/>
  <c r="G7586" i="21"/>
  <c r="H7586" i="21" s="1"/>
  <c r="G7585" i="21"/>
  <c r="H7585" i="21" s="1"/>
  <c r="G7584" i="21"/>
  <c r="H7584" i="21" s="1"/>
  <c r="G7583" i="21"/>
  <c r="H7583" i="21" s="1"/>
  <c r="G7582" i="21"/>
  <c r="H7582" i="21" s="1"/>
  <c r="G7581" i="21"/>
  <c r="H7581" i="21" s="1"/>
  <c r="G7580" i="21"/>
  <c r="H7580" i="21" s="1"/>
  <c r="G7579" i="21"/>
  <c r="H7579" i="21" s="1"/>
  <c r="G7578" i="21"/>
  <c r="H7578" i="21" s="1"/>
  <c r="G7577" i="21"/>
  <c r="H7577" i="21" s="1"/>
  <c r="G7576" i="21"/>
  <c r="H7576" i="21" s="1"/>
  <c r="G7575" i="21"/>
  <c r="H7575" i="21" s="1"/>
  <c r="G7574" i="21"/>
  <c r="H7574" i="21" s="1"/>
  <c r="G7573" i="21"/>
  <c r="H7573" i="21" s="1"/>
  <c r="G7572" i="21"/>
  <c r="H7572" i="21" s="1"/>
  <c r="G7571" i="21"/>
  <c r="H7571" i="21" s="1"/>
  <c r="G7570" i="21"/>
  <c r="H7570" i="21" s="1"/>
  <c r="G7569" i="21"/>
  <c r="H7569" i="21" s="1"/>
  <c r="G7568" i="21"/>
  <c r="H7568" i="21" s="1"/>
  <c r="G7567" i="21"/>
  <c r="H7567" i="21" s="1"/>
  <c r="G7566" i="21"/>
  <c r="H7566" i="21" s="1"/>
  <c r="G7565" i="21"/>
  <c r="H7565" i="21" s="1"/>
  <c r="G7564" i="21"/>
  <c r="H7564" i="21" s="1"/>
  <c r="G7563" i="21"/>
  <c r="H7563" i="21" s="1"/>
  <c r="G7562" i="21"/>
  <c r="H7562" i="21" s="1"/>
  <c r="G24" i="3" s="1"/>
  <c r="G7561" i="21"/>
  <c r="H7561" i="21" s="1"/>
  <c r="G7560" i="21"/>
  <c r="H7560" i="21" s="1"/>
  <c r="G7559" i="21"/>
  <c r="H7559" i="21" s="1"/>
  <c r="G7558" i="21"/>
  <c r="H7558" i="21" s="1"/>
  <c r="G7557" i="21"/>
  <c r="H7557" i="21" s="1"/>
  <c r="G7556" i="21"/>
  <c r="H7556" i="21" s="1"/>
  <c r="G7555" i="21"/>
  <c r="H7555" i="21" s="1"/>
  <c r="G7554" i="21"/>
  <c r="H7554" i="21" s="1"/>
  <c r="G7553" i="21"/>
  <c r="H7553" i="21" s="1"/>
  <c r="G7552" i="21"/>
  <c r="H7552" i="21" s="1"/>
  <c r="G7551" i="21"/>
  <c r="H7551" i="21" s="1"/>
  <c r="G7550" i="21"/>
  <c r="H7550" i="21" s="1"/>
  <c r="G7549" i="21"/>
  <c r="H7549" i="21" s="1"/>
  <c r="G7548" i="21"/>
  <c r="H7548" i="21" s="1"/>
  <c r="G7547" i="21"/>
  <c r="H7547" i="21" s="1"/>
  <c r="G7546" i="21"/>
  <c r="H7546" i="21" s="1"/>
  <c r="G7545" i="21"/>
  <c r="H7545" i="21" s="1"/>
  <c r="G7544" i="21"/>
  <c r="H7544" i="21" s="1"/>
  <c r="G7543" i="21"/>
  <c r="H7543" i="21" s="1"/>
  <c r="G7542" i="21"/>
  <c r="H7542" i="21" s="1"/>
  <c r="G7541" i="21"/>
  <c r="H7541" i="21" s="1"/>
  <c r="G7540" i="21"/>
  <c r="H7540" i="21" s="1"/>
  <c r="G7539" i="21"/>
  <c r="H7539" i="21" s="1"/>
  <c r="G7538" i="21"/>
  <c r="H7538" i="21" s="1"/>
  <c r="G7537" i="21"/>
  <c r="H7537" i="21" s="1"/>
  <c r="G7536" i="21"/>
  <c r="H7536" i="21" s="1"/>
  <c r="G7535" i="21"/>
  <c r="H7535" i="21" s="1"/>
  <c r="G7534" i="21"/>
  <c r="H7534" i="21" s="1"/>
  <c r="G7533" i="21"/>
  <c r="H7533" i="21" s="1"/>
  <c r="G7532" i="21"/>
  <c r="H7532" i="21" s="1"/>
  <c r="G7531" i="21"/>
  <c r="H7531" i="21" s="1"/>
  <c r="G7530" i="21"/>
  <c r="H7530" i="21" s="1"/>
  <c r="G7529" i="21"/>
  <c r="H7529" i="21" s="1"/>
  <c r="G7528" i="21"/>
  <c r="H7528" i="21" s="1"/>
  <c r="G642" i="3" s="1"/>
  <c r="G7527" i="21"/>
  <c r="H7527" i="21" s="1"/>
  <c r="G7526" i="21"/>
  <c r="H7526" i="21" s="1"/>
  <c r="G7525" i="21"/>
  <c r="H7525" i="21" s="1"/>
  <c r="G7524" i="21"/>
  <c r="H7524" i="21" s="1"/>
  <c r="G7523" i="21"/>
  <c r="H7523" i="21" s="1"/>
  <c r="G7522" i="21"/>
  <c r="H7522" i="21" s="1"/>
  <c r="G7521" i="21"/>
  <c r="H7521" i="21" s="1"/>
  <c r="G7520" i="21"/>
  <c r="H7520" i="21" s="1"/>
  <c r="G7519" i="21"/>
  <c r="H7519" i="21" s="1"/>
  <c r="G7518" i="21"/>
  <c r="H7518" i="21" s="1"/>
  <c r="G7517" i="21"/>
  <c r="H7517" i="21" s="1"/>
  <c r="G7516" i="21"/>
  <c r="H7516" i="21" s="1"/>
  <c r="G7515" i="21"/>
  <c r="H7515" i="21" s="1"/>
  <c r="G7514" i="21"/>
  <c r="H7514" i="21" s="1"/>
  <c r="G7513" i="21"/>
  <c r="H7513" i="21" s="1"/>
  <c r="G7512" i="21"/>
  <c r="H7512" i="21" s="1"/>
  <c r="G7511" i="21"/>
  <c r="H7511" i="21" s="1"/>
  <c r="G7510" i="21"/>
  <c r="H7510" i="21" s="1"/>
  <c r="G7509" i="21"/>
  <c r="H7509" i="21" s="1"/>
  <c r="G7508" i="21"/>
  <c r="H7508" i="21" s="1"/>
  <c r="G7507" i="21"/>
  <c r="H7507" i="21" s="1"/>
  <c r="G7506" i="21"/>
  <c r="H7506" i="21" s="1"/>
  <c r="G7505" i="21"/>
  <c r="H7505" i="21" s="1"/>
  <c r="G7504" i="21"/>
  <c r="H7504" i="21" s="1"/>
  <c r="G7503" i="21"/>
  <c r="H7503" i="21" s="1"/>
  <c r="G7502" i="21"/>
  <c r="H7502" i="21" s="1"/>
  <c r="G7501" i="21"/>
  <c r="H7501" i="21" s="1"/>
  <c r="G7500" i="21"/>
  <c r="H7500" i="21" s="1"/>
  <c r="G7499" i="21"/>
  <c r="H7499" i="21" s="1"/>
  <c r="G7498" i="21"/>
  <c r="H7498" i="21" s="1"/>
  <c r="G7497" i="21"/>
  <c r="H7497" i="21" s="1"/>
  <c r="G7496" i="21"/>
  <c r="H7496" i="21" s="1"/>
  <c r="G7495" i="21"/>
  <c r="H7495" i="21" s="1"/>
  <c r="G7494" i="21"/>
  <c r="H7494" i="21" s="1"/>
  <c r="G7493" i="21"/>
  <c r="H7493" i="21" s="1"/>
  <c r="G7492" i="21"/>
  <c r="H7492" i="21" s="1"/>
  <c r="G7491" i="21"/>
  <c r="H7491" i="21" s="1"/>
  <c r="G7490" i="21"/>
  <c r="H7490" i="21" s="1"/>
  <c r="G7489" i="21"/>
  <c r="H7489" i="21" s="1"/>
  <c r="G7488" i="21"/>
  <c r="H7488" i="21" s="1"/>
  <c r="G7487" i="21"/>
  <c r="H7487" i="21" s="1"/>
  <c r="G7486" i="21"/>
  <c r="H7486" i="21" s="1"/>
  <c r="G7485" i="21"/>
  <c r="H7485" i="21" s="1"/>
  <c r="G7484" i="21"/>
  <c r="H7484" i="21" s="1"/>
  <c r="G7483" i="21"/>
  <c r="H7483" i="21" s="1"/>
  <c r="G7482" i="21"/>
  <c r="H7482" i="21" s="1"/>
  <c r="G7481" i="21"/>
  <c r="H7481" i="21" s="1"/>
  <c r="G7480" i="21"/>
  <c r="H7480" i="21" s="1"/>
  <c r="G7479" i="21"/>
  <c r="H7479" i="21" s="1"/>
  <c r="G7478" i="21"/>
  <c r="H7478" i="21" s="1"/>
  <c r="G12" i="3" s="1"/>
  <c r="H7477" i="21"/>
  <c r="G7477" i="21"/>
  <c r="G7476" i="21"/>
  <c r="H7476" i="21" s="1"/>
  <c r="G7475" i="21"/>
  <c r="H7475" i="21" s="1"/>
  <c r="G7474" i="21"/>
  <c r="H7474" i="21" s="1"/>
  <c r="G7473" i="21"/>
  <c r="H7473" i="21" s="1"/>
  <c r="G7472" i="21"/>
  <c r="H7472" i="21" s="1"/>
  <c r="G7471" i="21"/>
  <c r="H7471" i="21" s="1"/>
  <c r="G7470" i="21"/>
  <c r="H7470" i="21" s="1"/>
  <c r="G7469" i="21"/>
  <c r="H7469" i="21" s="1"/>
  <c r="G7468" i="21"/>
  <c r="H7468" i="21" s="1"/>
  <c r="G7467" i="21"/>
  <c r="H7467" i="21" s="1"/>
  <c r="G7466" i="21"/>
  <c r="H7466" i="21" s="1"/>
  <c r="G7465" i="21"/>
  <c r="H7465" i="21" s="1"/>
  <c r="G7464" i="21"/>
  <c r="H7464" i="21" s="1"/>
  <c r="G7463" i="21"/>
  <c r="H7463" i="21" s="1"/>
  <c r="G7462" i="21"/>
  <c r="H7462" i="21" s="1"/>
  <c r="G7461" i="21"/>
  <c r="H7461" i="21" s="1"/>
  <c r="G7460" i="21"/>
  <c r="H7460" i="21" s="1"/>
  <c r="G415" i="3" s="1"/>
  <c r="G7459" i="21"/>
  <c r="H7459" i="21" s="1"/>
  <c r="G7458" i="21"/>
  <c r="H7458" i="21" s="1"/>
  <c r="G7457" i="21"/>
  <c r="H7457" i="21" s="1"/>
  <c r="G7456" i="21"/>
  <c r="H7456" i="21" s="1"/>
  <c r="G7455" i="21"/>
  <c r="H7455" i="21" s="1"/>
  <c r="G7454" i="21"/>
  <c r="H7454" i="21" s="1"/>
  <c r="G7453" i="21"/>
  <c r="H7453" i="21" s="1"/>
  <c r="G7452" i="21"/>
  <c r="H7452" i="21" s="1"/>
  <c r="G7451" i="21"/>
  <c r="H7451" i="21" s="1"/>
  <c r="G7450" i="21"/>
  <c r="H7450" i="21" s="1"/>
  <c r="G7449" i="21"/>
  <c r="H7449" i="21" s="1"/>
  <c r="G7448" i="21"/>
  <c r="H7448" i="21" s="1"/>
  <c r="G7447" i="21"/>
  <c r="H7447" i="21" s="1"/>
  <c r="G7446" i="21"/>
  <c r="H7446" i="21" s="1"/>
  <c r="G11" i="3" s="1"/>
  <c r="K11" i="3" s="1"/>
  <c r="G7445" i="21"/>
  <c r="H7445" i="21" s="1"/>
  <c r="G7444" i="21"/>
  <c r="H7444" i="21" s="1"/>
  <c r="G7443" i="21"/>
  <c r="H7443" i="21" s="1"/>
  <c r="G7442" i="21"/>
  <c r="H7442" i="21" s="1"/>
  <c r="G7441" i="21"/>
  <c r="H7441" i="21" s="1"/>
  <c r="G7440" i="21"/>
  <c r="H7440" i="21" s="1"/>
  <c r="G7439" i="21"/>
  <c r="H7439" i="21" s="1"/>
  <c r="G7438" i="21"/>
  <c r="H7438" i="21" s="1"/>
  <c r="G7437" i="21"/>
  <c r="H7437" i="21" s="1"/>
  <c r="G7436" i="21"/>
  <c r="H7436" i="21" s="1"/>
  <c r="G45" i="3" s="1"/>
  <c r="F45" i="3" s="1"/>
  <c r="G7435" i="21"/>
  <c r="H7435" i="21" s="1"/>
  <c r="G27" i="3" s="1"/>
  <c r="K27" i="3" s="1"/>
  <c r="G7434" i="21"/>
  <c r="H7434" i="21" s="1"/>
  <c r="G7433" i="21"/>
  <c r="H7433" i="21" s="1"/>
  <c r="G7432" i="21"/>
  <c r="H7432" i="21" s="1"/>
  <c r="G7431" i="21"/>
  <c r="H7431" i="21" s="1"/>
  <c r="G7430" i="21"/>
  <c r="H7430" i="21" s="1"/>
  <c r="G7429" i="21"/>
  <c r="H7429" i="21" s="1"/>
  <c r="G7428" i="21"/>
  <c r="H7428" i="21" s="1"/>
  <c r="G7427" i="21"/>
  <c r="H7427" i="21" s="1"/>
  <c r="G7426" i="21"/>
  <c r="H7426" i="21" s="1"/>
  <c r="G7425" i="21"/>
  <c r="H7425" i="21" s="1"/>
  <c r="G7424" i="21"/>
  <c r="H7424" i="21" s="1"/>
  <c r="G7423" i="21"/>
  <c r="H7423" i="21" s="1"/>
  <c r="G7422" i="21"/>
  <c r="H7422" i="21" s="1"/>
  <c r="G7421" i="21"/>
  <c r="H7421" i="21" s="1"/>
  <c r="G7420" i="21"/>
  <c r="H7420" i="21" s="1"/>
  <c r="G7419" i="21"/>
  <c r="H7419" i="21" s="1"/>
  <c r="G7418" i="21"/>
  <c r="H7418" i="21" s="1"/>
  <c r="G7417" i="21"/>
  <c r="H7417" i="21" s="1"/>
  <c r="G7416" i="21"/>
  <c r="H7416" i="21" s="1"/>
  <c r="G7415" i="21"/>
  <c r="H7415" i="21" s="1"/>
  <c r="G7414" i="21"/>
  <c r="H7414" i="21" s="1"/>
  <c r="G7413" i="21"/>
  <c r="H7413" i="21" s="1"/>
  <c r="G7412" i="21"/>
  <c r="H7412" i="21" s="1"/>
  <c r="G7411" i="21"/>
  <c r="H7411" i="21" s="1"/>
  <c r="G7410" i="21"/>
  <c r="H7410" i="21" s="1"/>
  <c r="G7409" i="21"/>
  <c r="H7409" i="21" s="1"/>
  <c r="G7408" i="21"/>
  <c r="H7408" i="21" s="1"/>
  <c r="G7407" i="21"/>
  <c r="H7407" i="21" s="1"/>
  <c r="G7406" i="21"/>
  <c r="H7406" i="21" s="1"/>
  <c r="G7405" i="21"/>
  <c r="H7405" i="21" s="1"/>
  <c r="G7404" i="21"/>
  <c r="H7404" i="21" s="1"/>
  <c r="G7403" i="21"/>
  <c r="H7403" i="21" s="1"/>
  <c r="G7402" i="21"/>
  <c r="H7402" i="21" s="1"/>
  <c r="G7401" i="21"/>
  <c r="H7401" i="21" s="1"/>
  <c r="G7400" i="21"/>
  <c r="H7400" i="21" s="1"/>
  <c r="G7399" i="21"/>
  <c r="H7399" i="21" s="1"/>
  <c r="G7398" i="21"/>
  <c r="H7398" i="21" s="1"/>
  <c r="G7397" i="21"/>
  <c r="H7397" i="21" s="1"/>
  <c r="G7396" i="21"/>
  <c r="H7396" i="21" s="1"/>
  <c r="G7395" i="21"/>
  <c r="H7395" i="21" s="1"/>
  <c r="G7394" i="21"/>
  <c r="H7394" i="21" s="1"/>
  <c r="G7393" i="21"/>
  <c r="H7393" i="21" s="1"/>
  <c r="G7392" i="21"/>
  <c r="H7392" i="21" s="1"/>
  <c r="G7391" i="21"/>
  <c r="H7391" i="21" s="1"/>
  <c r="G7390" i="21"/>
  <c r="H7390" i="21" s="1"/>
  <c r="G7389" i="21"/>
  <c r="H7389" i="21" s="1"/>
  <c r="G7388" i="21"/>
  <c r="H7388" i="21" s="1"/>
  <c r="G7387" i="21"/>
  <c r="H7387" i="21" s="1"/>
  <c r="G7386" i="21"/>
  <c r="H7386" i="21" s="1"/>
  <c r="G7385" i="21"/>
  <c r="H7385" i="21" s="1"/>
  <c r="G7384" i="21"/>
  <c r="H7384" i="21" s="1"/>
  <c r="G7383" i="21"/>
  <c r="H7383" i="21" s="1"/>
  <c r="G7382" i="21"/>
  <c r="H7382" i="21" s="1"/>
  <c r="G7381" i="21"/>
  <c r="H7381" i="21" s="1"/>
  <c r="G7380" i="21"/>
  <c r="H7380" i="21" s="1"/>
  <c r="G7379" i="21"/>
  <c r="H7379" i="21" s="1"/>
  <c r="G7378" i="21"/>
  <c r="H7378" i="21" s="1"/>
  <c r="G7377" i="21"/>
  <c r="H7377" i="21" s="1"/>
  <c r="G7376" i="21"/>
  <c r="H7376" i="21" s="1"/>
  <c r="G7375" i="21"/>
  <c r="H7375" i="21" s="1"/>
  <c r="G7374" i="21"/>
  <c r="H7374" i="21" s="1"/>
  <c r="G7373" i="21"/>
  <c r="H7373" i="21" s="1"/>
  <c r="G7372" i="21"/>
  <c r="H7372" i="21" s="1"/>
  <c r="G7371" i="21"/>
  <c r="H7371" i="21" s="1"/>
  <c r="G7370" i="21"/>
  <c r="H7370" i="21" s="1"/>
  <c r="G7369" i="21"/>
  <c r="H7369" i="21" s="1"/>
  <c r="G7368" i="21"/>
  <c r="H7368" i="21" s="1"/>
  <c r="G7367" i="21"/>
  <c r="H7367" i="21" s="1"/>
  <c r="G7366" i="21"/>
  <c r="H7366" i="21" s="1"/>
  <c r="G7365" i="21"/>
  <c r="H7365" i="21" s="1"/>
  <c r="G7364" i="21"/>
  <c r="H7364" i="21" s="1"/>
  <c r="G7363" i="21"/>
  <c r="H7363" i="21" s="1"/>
  <c r="G7362" i="21"/>
  <c r="H7362" i="21" s="1"/>
  <c r="G7361" i="21"/>
  <c r="H7361" i="21" s="1"/>
  <c r="G7360" i="21"/>
  <c r="H7360" i="21" s="1"/>
  <c r="G7359" i="21"/>
  <c r="H7359" i="21" s="1"/>
  <c r="G7358" i="21"/>
  <c r="H7358" i="21" s="1"/>
  <c r="G7357" i="21"/>
  <c r="H7357" i="21" s="1"/>
  <c r="G7356" i="21"/>
  <c r="H7356" i="21" s="1"/>
  <c r="G7355" i="21"/>
  <c r="H7355" i="21" s="1"/>
  <c r="G7354" i="21"/>
  <c r="H7354" i="21" s="1"/>
  <c r="G7353" i="21"/>
  <c r="H7353" i="21" s="1"/>
  <c r="G7352" i="21"/>
  <c r="H7352" i="21" s="1"/>
  <c r="G7351" i="21"/>
  <c r="H7351" i="21" s="1"/>
  <c r="G7350" i="21"/>
  <c r="H7350" i="21" s="1"/>
  <c r="G7349" i="21"/>
  <c r="H7349" i="21" s="1"/>
  <c r="G7348" i="21"/>
  <c r="H7348" i="21" s="1"/>
  <c r="G7347" i="21"/>
  <c r="H7347" i="21" s="1"/>
  <c r="G7346" i="21"/>
  <c r="H7346" i="21" s="1"/>
  <c r="G7345" i="21"/>
  <c r="H7345" i="21" s="1"/>
  <c r="G7344" i="21"/>
  <c r="H7344" i="21" s="1"/>
  <c r="G7343" i="21"/>
  <c r="H7343" i="21" s="1"/>
  <c r="G7342" i="21"/>
  <c r="H7342" i="21" s="1"/>
  <c r="G7341" i="21"/>
  <c r="H7341" i="21" s="1"/>
  <c r="G7340" i="21"/>
  <c r="H7340" i="21" s="1"/>
  <c r="G7339" i="21"/>
  <c r="H7339" i="21" s="1"/>
  <c r="G7338" i="21"/>
  <c r="H7338" i="21" s="1"/>
  <c r="G7337" i="21"/>
  <c r="H7337" i="21" s="1"/>
  <c r="G7336" i="21"/>
  <c r="H7336" i="21" s="1"/>
  <c r="G7335" i="21"/>
  <c r="H7335" i="21" s="1"/>
  <c r="G7334" i="21"/>
  <c r="H7334" i="21" s="1"/>
  <c r="G7333" i="21"/>
  <c r="H7333" i="21" s="1"/>
  <c r="G7332" i="21"/>
  <c r="H7332" i="21" s="1"/>
  <c r="G7331" i="21"/>
  <c r="H7331" i="21" s="1"/>
  <c r="G7330" i="21"/>
  <c r="H7330" i="21" s="1"/>
  <c r="G7329" i="21"/>
  <c r="H7329" i="21" s="1"/>
  <c r="G7328" i="21"/>
  <c r="H7328" i="21" s="1"/>
  <c r="G7327" i="21"/>
  <c r="H7327" i="21" s="1"/>
  <c r="G7326" i="21"/>
  <c r="H7326" i="21" s="1"/>
  <c r="G7325" i="21"/>
  <c r="H7325" i="21" s="1"/>
  <c r="G7324" i="21"/>
  <c r="H7324" i="21" s="1"/>
  <c r="G7323" i="21"/>
  <c r="H7323" i="21" s="1"/>
  <c r="G7322" i="21"/>
  <c r="H7322" i="21" s="1"/>
  <c r="G7321" i="21"/>
  <c r="H7321" i="21" s="1"/>
  <c r="G7320" i="21"/>
  <c r="H7320" i="21" s="1"/>
  <c r="G7319" i="21"/>
  <c r="H7319" i="21" s="1"/>
  <c r="G7318" i="21"/>
  <c r="H7318" i="21" s="1"/>
  <c r="G7317" i="21"/>
  <c r="H7317" i="21" s="1"/>
  <c r="G7316" i="21"/>
  <c r="H7316" i="21" s="1"/>
  <c r="G7315" i="21"/>
  <c r="H7315" i="21" s="1"/>
  <c r="G7314" i="21"/>
  <c r="H7314" i="21" s="1"/>
  <c r="G7313" i="21"/>
  <c r="H7313" i="21" s="1"/>
  <c r="G7312" i="21"/>
  <c r="H7312" i="21" s="1"/>
  <c r="G7311" i="21"/>
  <c r="H7311" i="21" s="1"/>
  <c r="G7310" i="21"/>
  <c r="H7310" i="21" s="1"/>
  <c r="G7309" i="21"/>
  <c r="H7309" i="21" s="1"/>
  <c r="G7308" i="21"/>
  <c r="H7308" i="21" s="1"/>
  <c r="G7307" i="21"/>
  <c r="H7307" i="21" s="1"/>
  <c r="G7306" i="21"/>
  <c r="H7306" i="21" s="1"/>
  <c r="G7305" i="21"/>
  <c r="H7305" i="21" s="1"/>
  <c r="G7304" i="21"/>
  <c r="H7304" i="21" s="1"/>
  <c r="G7303" i="21"/>
  <c r="H7303" i="21" s="1"/>
  <c r="G7302" i="21"/>
  <c r="H7302" i="21" s="1"/>
  <c r="G7301" i="21"/>
  <c r="H7301" i="21" s="1"/>
  <c r="G7300" i="21"/>
  <c r="H7300" i="21" s="1"/>
  <c r="G7299" i="21"/>
  <c r="H7299" i="21" s="1"/>
  <c r="G7298" i="21"/>
  <c r="H7298" i="21" s="1"/>
  <c r="G7297" i="21"/>
  <c r="H7297" i="21" s="1"/>
  <c r="G7296" i="21"/>
  <c r="H7296" i="21" s="1"/>
  <c r="G7295" i="21"/>
  <c r="H7295" i="21" s="1"/>
  <c r="G7294" i="21"/>
  <c r="H7294" i="21" s="1"/>
  <c r="G7293" i="21"/>
  <c r="H7293" i="21" s="1"/>
  <c r="G7292" i="21"/>
  <c r="H7292" i="21" s="1"/>
  <c r="G7291" i="21"/>
  <c r="H7291" i="21" s="1"/>
  <c r="G7290" i="21"/>
  <c r="H7290" i="21" s="1"/>
  <c r="G7289" i="21"/>
  <c r="H7289" i="21" s="1"/>
  <c r="G7288" i="21"/>
  <c r="H7288" i="21" s="1"/>
  <c r="G7287" i="21"/>
  <c r="H7287" i="21" s="1"/>
  <c r="G7286" i="21"/>
  <c r="H7286" i="21" s="1"/>
  <c r="G7285" i="21"/>
  <c r="H7285" i="21" s="1"/>
  <c r="G7284" i="21"/>
  <c r="H7284" i="21" s="1"/>
  <c r="G7283" i="21"/>
  <c r="H7283" i="21" s="1"/>
  <c r="G7282" i="21"/>
  <c r="H7282" i="21" s="1"/>
  <c r="G7281" i="21"/>
  <c r="H7281" i="21" s="1"/>
  <c r="G7280" i="21"/>
  <c r="H7280" i="21" s="1"/>
  <c r="G7279" i="21"/>
  <c r="H7279" i="21" s="1"/>
  <c r="G7278" i="21"/>
  <c r="H7278" i="21" s="1"/>
  <c r="G7277" i="21"/>
  <c r="H7277" i="21" s="1"/>
  <c r="G7276" i="21"/>
  <c r="H7276" i="21" s="1"/>
  <c r="G7275" i="21"/>
  <c r="H7275" i="21" s="1"/>
  <c r="G7274" i="21"/>
  <c r="H7274" i="21" s="1"/>
  <c r="G7273" i="21"/>
  <c r="H7273" i="21" s="1"/>
  <c r="G7272" i="21"/>
  <c r="H7272" i="21" s="1"/>
  <c r="G7271" i="21"/>
  <c r="H7271" i="21" s="1"/>
  <c r="G7270" i="21"/>
  <c r="H7270" i="21" s="1"/>
  <c r="G7269" i="21"/>
  <c r="H7269" i="21" s="1"/>
  <c r="G7268" i="21"/>
  <c r="H7268" i="21" s="1"/>
  <c r="G7267" i="21"/>
  <c r="H7267" i="21" s="1"/>
  <c r="G7266" i="21"/>
  <c r="H7266" i="21" s="1"/>
  <c r="G7265" i="21"/>
  <c r="H7265" i="21" s="1"/>
  <c r="G7264" i="21"/>
  <c r="H7264" i="21" s="1"/>
  <c r="G7263" i="21"/>
  <c r="H7263" i="21" s="1"/>
  <c r="G7262" i="21"/>
  <c r="H7262" i="21" s="1"/>
  <c r="G7261" i="21"/>
  <c r="H7261" i="21" s="1"/>
  <c r="G7260" i="21"/>
  <c r="H7260" i="21" s="1"/>
  <c r="G7259" i="21"/>
  <c r="H7259" i="21" s="1"/>
  <c r="G7258" i="21"/>
  <c r="H7258" i="21" s="1"/>
  <c r="G7257" i="21"/>
  <c r="H7257" i="21" s="1"/>
  <c r="G7256" i="21"/>
  <c r="H7256" i="21" s="1"/>
  <c r="G7255" i="21"/>
  <c r="H7255" i="21" s="1"/>
  <c r="G7254" i="21"/>
  <c r="H7254" i="21" s="1"/>
  <c r="G7253" i="21"/>
  <c r="H7253" i="21" s="1"/>
  <c r="G7252" i="21"/>
  <c r="H7252" i="21" s="1"/>
  <c r="G7251" i="21"/>
  <c r="H7251" i="21" s="1"/>
  <c r="G7250" i="21"/>
  <c r="H7250" i="21" s="1"/>
  <c r="G7249" i="21"/>
  <c r="H7249" i="21" s="1"/>
  <c r="G7248" i="21"/>
  <c r="H7248" i="21" s="1"/>
  <c r="G7247" i="21"/>
  <c r="H7247" i="21" s="1"/>
  <c r="G7246" i="21"/>
  <c r="H7246" i="21" s="1"/>
  <c r="G7245" i="21"/>
  <c r="H7245" i="21" s="1"/>
  <c r="G7244" i="21"/>
  <c r="H7244" i="21" s="1"/>
  <c r="G287" i="3" s="1"/>
  <c r="F287" i="3" s="1"/>
  <c r="J287" i="3" s="1"/>
  <c r="G7243" i="21"/>
  <c r="H7243" i="21" s="1"/>
  <c r="G7242" i="21"/>
  <c r="H7242" i="21" s="1"/>
  <c r="G7241" i="21"/>
  <c r="H7241" i="21" s="1"/>
  <c r="G7240" i="21"/>
  <c r="H7240" i="21" s="1"/>
  <c r="G7239" i="21"/>
  <c r="H7239" i="21" s="1"/>
  <c r="G7238" i="21"/>
  <c r="H7238" i="21" s="1"/>
  <c r="G7237" i="21"/>
  <c r="H7237" i="21" s="1"/>
  <c r="G7236" i="21"/>
  <c r="H7236" i="21" s="1"/>
  <c r="G7235" i="21"/>
  <c r="H7235" i="21" s="1"/>
  <c r="G7234" i="21"/>
  <c r="H7234" i="21" s="1"/>
  <c r="G7233" i="21"/>
  <c r="H7233" i="21" s="1"/>
  <c r="G7232" i="21"/>
  <c r="H7232" i="21" s="1"/>
  <c r="G7231" i="21"/>
  <c r="H7231" i="21" s="1"/>
  <c r="G7230" i="21"/>
  <c r="H7230" i="21" s="1"/>
  <c r="G7229" i="21"/>
  <c r="H7229" i="21" s="1"/>
  <c r="G7228" i="21"/>
  <c r="H7228" i="21" s="1"/>
  <c r="G7227" i="21"/>
  <c r="H7227" i="21" s="1"/>
  <c r="G7226" i="21"/>
  <c r="H7226" i="21" s="1"/>
  <c r="G7225" i="21"/>
  <c r="H7225" i="21" s="1"/>
  <c r="G7224" i="21"/>
  <c r="H7224" i="21" s="1"/>
  <c r="G7223" i="21"/>
  <c r="H7223" i="21" s="1"/>
  <c r="G7222" i="21"/>
  <c r="H7222" i="21" s="1"/>
  <c r="G7221" i="21"/>
  <c r="H7221" i="21" s="1"/>
  <c r="G7220" i="21"/>
  <c r="H7220" i="21" s="1"/>
  <c r="G7219" i="21"/>
  <c r="H7219" i="21" s="1"/>
  <c r="G7218" i="21"/>
  <c r="H7218" i="21" s="1"/>
  <c r="G7217" i="21"/>
  <c r="H7217" i="21" s="1"/>
  <c r="G7216" i="21"/>
  <c r="H7216" i="21" s="1"/>
  <c r="G7215" i="21"/>
  <c r="H7215" i="21" s="1"/>
  <c r="G7214" i="21"/>
  <c r="H7214" i="21" s="1"/>
  <c r="G7213" i="21"/>
  <c r="H7213" i="21" s="1"/>
  <c r="G7212" i="21"/>
  <c r="H7212" i="21" s="1"/>
  <c r="G7211" i="21"/>
  <c r="H7211" i="21" s="1"/>
  <c r="G7210" i="21"/>
  <c r="H7210" i="21" s="1"/>
  <c r="G7209" i="21"/>
  <c r="H7209" i="21" s="1"/>
  <c r="G7208" i="21"/>
  <c r="H7208" i="21" s="1"/>
  <c r="G7207" i="21"/>
  <c r="H7207" i="21" s="1"/>
  <c r="G7206" i="21"/>
  <c r="H7206" i="21" s="1"/>
  <c r="G7205" i="21"/>
  <c r="H7205" i="21" s="1"/>
  <c r="G7204" i="21"/>
  <c r="H7204" i="21" s="1"/>
  <c r="G7203" i="21"/>
  <c r="H7203" i="21" s="1"/>
  <c r="G7202" i="21"/>
  <c r="H7202" i="21" s="1"/>
  <c r="G7201" i="21"/>
  <c r="H7201" i="21" s="1"/>
  <c r="G7200" i="21"/>
  <c r="H7200" i="21" s="1"/>
  <c r="G7199" i="21"/>
  <c r="H7199" i="21" s="1"/>
  <c r="G7198" i="21"/>
  <c r="H7198" i="21" s="1"/>
  <c r="G7197" i="21"/>
  <c r="H7197" i="21" s="1"/>
  <c r="G7196" i="21"/>
  <c r="H7196" i="21" s="1"/>
  <c r="G7195" i="21"/>
  <c r="H7195" i="21" s="1"/>
  <c r="G7194" i="21"/>
  <c r="H7194" i="21" s="1"/>
  <c r="G7193" i="21"/>
  <c r="H7193" i="21" s="1"/>
  <c r="G7192" i="21"/>
  <c r="H7192" i="21" s="1"/>
  <c r="G7191" i="21"/>
  <c r="H7191" i="21" s="1"/>
  <c r="G7190" i="21"/>
  <c r="H7190" i="21" s="1"/>
  <c r="G7189" i="21"/>
  <c r="H7189" i="21" s="1"/>
  <c r="G7188" i="21"/>
  <c r="H7188" i="21" s="1"/>
  <c r="G7187" i="21"/>
  <c r="H7187" i="21" s="1"/>
  <c r="G7186" i="21"/>
  <c r="H7186" i="21" s="1"/>
  <c r="G7185" i="21"/>
  <c r="H7185" i="21" s="1"/>
  <c r="G7184" i="21"/>
  <c r="H7184" i="21" s="1"/>
  <c r="G7183" i="21"/>
  <c r="H7183" i="21" s="1"/>
  <c r="G7182" i="21"/>
  <c r="H7182" i="21" s="1"/>
  <c r="G7181" i="21"/>
  <c r="H7181" i="21" s="1"/>
  <c r="G7180" i="21"/>
  <c r="H7180" i="21" s="1"/>
  <c r="G7179" i="21"/>
  <c r="H7179" i="21" s="1"/>
  <c r="G7178" i="21"/>
  <c r="H7178" i="21" s="1"/>
  <c r="G7177" i="21"/>
  <c r="H7177" i="21" s="1"/>
  <c r="G7176" i="21"/>
  <c r="H7176" i="21" s="1"/>
  <c r="G7175" i="21"/>
  <c r="H7175" i="21" s="1"/>
  <c r="G7174" i="21"/>
  <c r="H7174" i="21" s="1"/>
  <c r="G7173" i="21"/>
  <c r="H7173" i="21" s="1"/>
  <c r="G7172" i="21"/>
  <c r="H7172" i="21" s="1"/>
  <c r="G7171" i="21"/>
  <c r="H7171" i="21" s="1"/>
  <c r="G7170" i="21"/>
  <c r="H7170" i="21" s="1"/>
  <c r="G7169" i="21"/>
  <c r="H7169" i="21" s="1"/>
  <c r="G7168" i="21"/>
  <c r="H7168" i="21" s="1"/>
  <c r="G7167" i="21"/>
  <c r="H7167" i="21" s="1"/>
  <c r="G7166" i="21"/>
  <c r="H7166" i="21" s="1"/>
  <c r="G7165" i="21"/>
  <c r="H7165" i="21" s="1"/>
  <c r="G7164" i="21"/>
  <c r="H7164" i="21" s="1"/>
  <c r="G7163" i="21"/>
  <c r="H7163" i="21" s="1"/>
  <c r="G7162" i="21"/>
  <c r="H7162" i="21" s="1"/>
  <c r="G7161" i="21"/>
  <c r="H7161" i="21" s="1"/>
  <c r="G7160" i="21"/>
  <c r="H7160" i="21" s="1"/>
  <c r="G7159" i="21"/>
  <c r="H7159" i="21" s="1"/>
  <c r="G7158" i="21"/>
  <c r="H7158" i="21" s="1"/>
  <c r="G7157" i="21"/>
  <c r="H7157" i="21" s="1"/>
  <c r="G7156" i="21"/>
  <c r="H7156" i="21" s="1"/>
  <c r="G7155" i="21"/>
  <c r="H7155" i="21" s="1"/>
  <c r="G7154" i="21"/>
  <c r="H7154" i="21" s="1"/>
  <c r="G7153" i="21"/>
  <c r="H7153" i="21" s="1"/>
  <c r="G7152" i="21"/>
  <c r="H7152" i="21" s="1"/>
  <c r="G7151" i="21"/>
  <c r="H7151" i="21" s="1"/>
  <c r="G7150" i="21"/>
  <c r="H7150" i="21" s="1"/>
  <c r="G7149" i="21"/>
  <c r="H7149" i="21" s="1"/>
  <c r="G7148" i="21"/>
  <c r="H7148" i="21" s="1"/>
  <c r="G7147" i="21"/>
  <c r="H7147" i="21" s="1"/>
  <c r="G7146" i="21"/>
  <c r="H7146" i="21" s="1"/>
  <c r="G7145" i="21"/>
  <c r="H7145" i="21" s="1"/>
  <c r="G7144" i="21"/>
  <c r="H7144" i="21" s="1"/>
  <c r="G7143" i="21"/>
  <c r="H7143" i="21" s="1"/>
  <c r="G7142" i="21"/>
  <c r="H7142" i="21" s="1"/>
  <c r="G7141" i="21"/>
  <c r="H7141" i="21" s="1"/>
  <c r="G7140" i="21"/>
  <c r="H7140" i="21" s="1"/>
  <c r="G7139" i="21"/>
  <c r="H7139" i="21" s="1"/>
  <c r="G7138" i="21"/>
  <c r="H7138" i="21" s="1"/>
  <c r="G7137" i="21"/>
  <c r="H7137" i="21" s="1"/>
  <c r="G7136" i="21"/>
  <c r="H7136" i="21" s="1"/>
  <c r="G7135" i="21"/>
  <c r="H7135" i="21" s="1"/>
  <c r="G7134" i="21"/>
  <c r="H7134" i="21" s="1"/>
  <c r="G7133" i="21"/>
  <c r="H7133" i="21" s="1"/>
  <c r="G7132" i="21"/>
  <c r="H7132" i="21" s="1"/>
  <c r="G7131" i="21"/>
  <c r="H7131" i="21" s="1"/>
  <c r="G7130" i="21"/>
  <c r="H7130" i="21" s="1"/>
  <c r="G7129" i="21"/>
  <c r="H7129" i="21" s="1"/>
  <c r="G7128" i="21"/>
  <c r="H7128" i="21" s="1"/>
  <c r="G7127" i="21"/>
  <c r="H7127" i="21" s="1"/>
  <c r="G7126" i="21"/>
  <c r="H7126" i="21" s="1"/>
  <c r="G7125" i="21"/>
  <c r="H7125" i="21" s="1"/>
  <c r="G7124" i="21"/>
  <c r="H7124" i="21" s="1"/>
  <c r="G7123" i="21"/>
  <c r="H7123" i="21" s="1"/>
  <c r="G7122" i="21"/>
  <c r="H7122" i="21" s="1"/>
  <c r="G7121" i="21"/>
  <c r="H7121" i="21" s="1"/>
  <c r="G7120" i="21"/>
  <c r="H7120" i="21" s="1"/>
  <c r="G7119" i="21"/>
  <c r="H7119" i="21" s="1"/>
  <c r="G7118" i="21"/>
  <c r="H7118" i="21" s="1"/>
  <c r="G7117" i="21"/>
  <c r="H7117" i="21" s="1"/>
  <c r="G7116" i="21"/>
  <c r="H7116" i="21" s="1"/>
  <c r="G7115" i="21"/>
  <c r="H7115" i="21" s="1"/>
  <c r="G7114" i="21"/>
  <c r="H7114" i="21" s="1"/>
  <c r="G7113" i="21"/>
  <c r="H7113" i="21" s="1"/>
  <c r="G7112" i="21"/>
  <c r="H7112" i="21" s="1"/>
  <c r="G7111" i="21"/>
  <c r="H7111" i="21" s="1"/>
  <c r="G7110" i="21"/>
  <c r="H7110" i="21" s="1"/>
  <c r="G7109" i="21"/>
  <c r="H7109" i="21" s="1"/>
  <c r="G7108" i="21"/>
  <c r="H7108" i="21" s="1"/>
  <c r="G7107" i="21"/>
  <c r="H7107" i="21" s="1"/>
  <c r="G7106" i="21"/>
  <c r="H7106" i="21" s="1"/>
  <c r="G7105" i="21"/>
  <c r="H7105" i="21" s="1"/>
  <c r="G7104" i="21"/>
  <c r="H7104" i="21" s="1"/>
  <c r="G7103" i="21"/>
  <c r="H7103" i="21" s="1"/>
  <c r="G7102" i="21"/>
  <c r="H7102" i="21" s="1"/>
  <c r="G7101" i="21"/>
  <c r="H7101" i="21" s="1"/>
  <c r="G7100" i="21"/>
  <c r="H7100" i="21" s="1"/>
  <c r="G7099" i="21"/>
  <c r="H7099" i="21" s="1"/>
  <c r="G7098" i="21"/>
  <c r="H7098" i="21" s="1"/>
  <c r="G7097" i="21"/>
  <c r="H7097" i="21" s="1"/>
  <c r="G7096" i="21"/>
  <c r="H7096" i="21" s="1"/>
  <c r="G7095" i="21"/>
  <c r="H7095" i="21" s="1"/>
  <c r="G7094" i="21"/>
  <c r="H7094" i="21" s="1"/>
  <c r="G7093" i="21"/>
  <c r="H7093" i="21" s="1"/>
  <c r="G7092" i="21"/>
  <c r="H7092" i="21" s="1"/>
  <c r="G7091" i="21"/>
  <c r="H7091" i="21" s="1"/>
  <c r="G7090" i="21"/>
  <c r="H7090" i="21" s="1"/>
  <c r="G7089" i="21"/>
  <c r="H7089" i="21" s="1"/>
  <c r="G7088" i="21"/>
  <c r="H7088" i="21" s="1"/>
  <c r="G7087" i="21"/>
  <c r="H7087" i="21" s="1"/>
  <c r="G7086" i="21"/>
  <c r="H7086" i="21" s="1"/>
  <c r="G7085" i="21"/>
  <c r="H7085" i="21" s="1"/>
  <c r="G7084" i="21"/>
  <c r="H7084" i="21" s="1"/>
  <c r="G7083" i="21"/>
  <c r="H7083" i="21" s="1"/>
  <c r="G7082" i="21"/>
  <c r="H7082" i="21" s="1"/>
  <c r="G7081" i="21"/>
  <c r="H7081" i="21" s="1"/>
  <c r="G7080" i="21"/>
  <c r="H7080" i="21" s="1"/>
  <c r="G7079" i="21"/>
  <c r="H7079" i="21" s="1"/>
  <c r="G7078" i="21"/>
  <c r="H7078" i="21" s="1"/>
  <c r="G7077" i="21"/>
  <c r="H7077" i="21" s="1"/>
  <c r="G7076" i="21"/>
  <c r="H7076" i="21" s="1"/>
  <c r="G7075" i="21"/>
  <c r="H7075" i="21" s="1"/>
  <c r="G7074" i="21"/>
  <c r="H7074" i="21" s="1"/>
  <c r="G7073" i="21"/>
  <c r="H7073" i="21" s="1"/>
  <c r="G7072" i="21"/>
  <c r="H7072" i="21" s="1"/>
  <c r="G7071" i="21"/>
  <c r="H7071" i="21" s="1"/>
  <c r="G7070" i="21"/>
  <c r="H7070" i="21" s="1"/>
  <c r="G7069" i="21"/>
  <c r="H7069" i="21" s="1"/>
  <c r="G7068" i="21"/>
  <c r="H7068" i="21" s="1"/>
  <c r="G7067" i="21"/>
  <c r="H7067" i="21" s="1"/>
  <c r="G7066" i="21"/>
  <c r="H7066" i="21" s="1"/>
  <c r="G7065" i="21"/>
  <c r="H7065" i="21" s="1"/>
  <c r="G7064" i="21"/>
  <c r="H7064" i="21" s="1"/>
  <c r="G7063" i="21"/>
  <c r="H7063" i="21" s="1"/>
  <c r="G7062" i="21"/>
  <c r="H7062" i="21" s="1"/>
  <c r="G7061" i="21"/>
  <c r="H7061" i="21" s="1"/>
  <c r="G7060" i="21"/>
  <c r="H7060" i="21" s="1"/>
  <c r="G7059" i="21"/>
  <c r="H7059" i="21" s="1"/>
  <c r="G7058" i="21"/>
  <c r="H7058" i="21" s="1"/>
  <c r="G7057" i="21"/>
  <c r="H7057" i="21" s="1"/>
  <c r="G7056" i="21"/>
  <c r="H7056" i="21" s="1"/>
  <c r="G7055" i="21"/>
  <c r="H7055" i="21" s="1"/>
  <c r="G7054" i="21"/>
  <c r="H7054" i="21" s="1"/>
  <c r="G7053" i="21"/>
  <c r="H7053" i="21" s="1"/>
  <c r="G7052" i="21"/>
  <c r="H7052" i="21" s="1"/>
  <c r="G7051" i="21"/>
  <c r="H7051" i="21" s="1"/>
  <c r="G7050" i="21"/>
  <c r="H7050" i="21" s="1"/>
  <c r="G7049" i="21"/>
  <c r="H7049" i="21" s="1"/>
  <c r="G7048" i="21"/>
  <c r="H7048" i="21" s="1"/>
  <c r="G7047" i="21"/>
  <c r="H7047" i="21" s="1"/>
  <c r="G7046" i="21"/>
  <c r="H7046" i="21" s="1"/>
  <c r="G7045" i="21"/>
  <c r="H7045" i="21" s="1"/>
  <c r="G7044" i="21"/>
  <c r="H7044" i="21" s="1"/>
  <c r="G7043" i="21"/>
  <c r="H7043" i="21" s="1"/>
  <c r="G7042" i="21"/>
  <c r="H7042" i="21" s="1"/>
  <c r="G7041" i="21"/>
  <c r="H7041" i="21" s="1"/>
  <c r="G7040" i="21"/>
  <c r="H7040" i="21" s="1"/>
  <c r="G7039" i="21"/>
  <c r="H7039" i="21" s="1"/>
  <c r="G7038" i="21"/>
  <c r="H7038" i="21" s="1"/>
  <c r="G7037" i="21"/>
  <c r="H7037" i="21" s="1"/>
  <c r="G7036" i="21"/>
  <c r="H7036" i="21" s="1"/>
  <c r="G7035" i="21"/>
  <c r="H7035" i="21" s="1"/>
  <c r="G7034" i="21"/>
  <c r="H7034" i="21" s="1"/>
  <c r="G7033" i="21"/>
  <c r="H7033" i="21" s="1"/>
  <c r="G7032" i="21"/>
  <c r="H7032" i="21" s="1"/>
  <c r="G7031" i="21"/>
  <c r="H7031" i="21" s="1"/>
  <c r="G7030" i="21"/>
  <c r="H7030" i="21" s="1"/>
  <c r="G7029" i="21"/>
  <c r="H7029" i="21" s="1"/>
  <c r="G7028" i="21"/>
  <c r="H7028" i="21" s="1"/>
  <c r="G7027" i="21"/>
  <c r="H7027" i="21" s="1"/>
  <c r="G7026" i="21"/>
  <c r="H7026" i="21" s="1"/>
  <c r="G7025" i="21"/>
  <c r="H7025" i="21" s="1"/>
  <c r="G7024" i="21"/>
  <c r="H7024" i="21" s="1"/>
  <c r="G7023" i="21"/>
  <c r="H7023" i="21" s="1"/>
  <c r="G7022" i="21"/>
  <c r="H7022" i="21" s="1"/>
  <c r="G7021" i="21"/>
  <c r="H7021" i="21" s="1"/>
  <c r="G7020" i="21"/>
  <c r="H7020" i="21" s="1"/>
  <c r="G7019" i="21"/>
  <c r="H7019" i="21" s="1"/>
  <c r="G7018" i="21"/>
  <c r="H7018" i="21" s="1"/>
  <c r="G7017" i="21"/>
  <c r="H7017" i="21" s="1"/>
  <c r="G7016" i="21"/>
  <c r="H7016" i="21" s="1"/>
  <c r="G7015" i="21"/>
  <c r="H7015" i="21" s="1"/>
  <c r="G7014" i="21"/>
  <c r="H7014" i="21" s="1"/>
  <c r="G7013" i="21"/>
  <c r="H7013" i="21" s="1"/>
  <c r="G7012" i="21"/>
  <c r="H7012" i="21" s="1"/>
  <c r="G7011" i="21"/>
  <c r="H7011" i="21" s="1"/>
  <c r="G7010" i="21"/>
  <c r="H7010" i="21" s="1"/>
  <c r="G7009" i="21"/>
  <c r="H7009" i="21" s="1"/>
  <c r="G7008" i="21"/>
  <c r="H7008" i="21" s="1"/>
  <c r="G7007" i="21"/>
  <c r="H7007" i="21" s="1"/>
  <c r="G7006" i="21"/>
  <c r="H7006" i="21" s="1"/>
  <c r="G7005" i="21"/>
  <c r="H7005" i="21" s="1"/>
  <c r="G7004" i="21"/>
  <c r="H7004" i="21" s="1"/>
  <c r="G7003" i="21"/>
  <c r="H7003" i="21" s="1"/>
  <c r="G7002" i="21"/>
  <c r="H7002" i="21" s="1"/>
  <c r="G7001" i="21"/>
  <c r="H7001" i="21" s="1"/>
  <c r="G7000" i="21"/>
  <c r="H7000" i="21" s="1"/>
  <c r="G6999" i="21"/>
  <c r="H6999" i="21" s="1"/>
  <c r="G6998" i="21"/>
  <c r="H6998" i="21" s="1"/>
  <c r="G6997" i="21"/>
  <c r="H6997" i="21" s="1"/>
  <c r="G6996" i="21"/>
  <c r="H6996" i="21" s="1"/>
  <c r="G6995" i="21"/>
  <c r="H6995" i="21" s="1"/>
  <c r="G6994" i="21"/>
  <c r="H6994" i="21" s="1"/>
  <c r="G6993" i="21"/>
  <c r="H6993" i="21" s="1"/>
  <c r="G6992" i="21"/>
  <c r="H6992" i="21" s="1"/>
  <c r="G6991" i="21"/>
  <c r="H6991" i="21" s="1"/>
  <c r="G6990" i="21"/>
  <c r="H6990" i="21" s="1"/>
  <c r="G6989" i="21"/>
  <c r="H6989" i="21" s="1"/>
  <c r="G6988" i="21"/>
  <c r="H6988" i="21" s="1"/>
  <c r="G6987" i="21"/>
  <c r="H6987" i="21" s="1"/>
  <c r="G6986" i="21"/>
  <c r="H6986" i="21" s="1"/>
  <c r="G6985" i="21"/>
  <c r="H6985" i="21" s="1"/>
  <c r="G6984" i="21"/>
  <c r="H6984" i="21" s="1"/>
  <c r="G6983" i="21"/>
  <c r="H6983" i="21" s="1"/>
  <c r="G6982" i="21"/>
  <c r="H6982" i="21" s="1"/>
  <c r="G6981" i="21"/>
  <c r="H6981" i="21" s="1"/>
  <c r="G6980" i="21"/>
  <c r="H6980" i="21" s="1"/>
  <c r="G6979" i="21"/>
  <c r="H6979" i="21" s="1"/>
  <c r="G6978" i="21"/>
  <c r="H6978" i="21" s="1"/>
  <c r="G6977" i="21"/>
  <c r="H6977" i="21" s="1"/>
  <c r="G6976" i="21"/>
  <c r="H6976" i="21" s="1"/>
  <c r="G6975" i="21"/>
  <c r="H6975" i="21" s="1"/>
  <c r="G6974" i="21"/>
  <c r="H6974" i="21" s="1"/>
  <c r="G6973" i="21"/>
  <c r="H6973" i="21" s="1"/>
  <c r="G6972" i="21"/>
  <c r="H6972" i="21" s="1"/>
  <c r="G6971" i="21"/>
  <c r="H6971" i="21" s="1"/>
  <c r="G6970" i="21"/>
  <c r="H6970" i="21" s="1"/>
  <c r="G6969" i="21"/>
  <c r="H6969" i="21" s="1"/>
  <c r="G6968" i="21"/>
  <c r="H6968" i="21" s="1"/>
  <c r="G6967" i="21"/>
  <c r="H6967" i="21" s="1"/>
  <c r="G6966" i="21"/>
  <c r="H6966" i="21" s="1"/>
  <c r="G6965" i="21"/>
  <c r="H6965" i="21" s="1"/>
  <c r="G6964" i="21"/>
  <c r="H6964" i="21" s="1"/>
  <c r="G6963" i="21"/>
  <c r="H6963" i="21" s="1"/>
  <c r="G6962" i="21"/>
  <c r="H6962" i="21" s="1"/>
  <c r="G6961" i="21"/>
  <c r="H6961" i="21" s="1"/>
  <c r="G6960" i="21"/>
  <c r="H6960" i="21" s="1"/>
  <c r="G6959" i="21"/>
  <c r="H6959" i="21" s="1"/>
  <c r="G6958" i="21"/>
  <c r="H6958" i="21" s="1"/>
  <c r="G6957" i="21"/>
  <c r="H6957" i="21" s="1"/>
  <c r="G6956" i="21"/>
  <c r="H6956" i="21" s="1"/>
  <c r="G6955" i="21"/>
  <c r="H6955" i="21" s="1"/>
  <c r="G6954" i="21"/>
  <c r="H6954" i="21" s="1"/>
  <c r="G6953" i="21"/>
  <c r="H6953" i="21" s="1"/>
  <c r="G6952" i="21"/>
  <c r="H6952" i="21" s="1"/>
  <c r="G6951" i="21"/>
  <c r="H6951" i="21" s="1"/>
  <c r="G6950" i="21"/>
  <c r="H6950" i="21" s="1"/>
  <c r="G6949" i="21"/>
  <c r="H6949" i="21" s="1"/>
  <c r="G6948" i="21"/>
  <c r="H6948" i="21" s="1"/>
  <c r="G6947" i="21"/>
  <c r="H6947" i="21" s="1"/>
  <c r="G6946" i="21"/>
  <c r="H6946" i="21" s="1"/>
  <c r="G6945" i="21"/>
  <c r="H6945" i="21" s="1"/>
  <c r="G6944" i="21"/>
  <c r="H6944" i="21" s="1"/>
  <c r="G6943" i="21"/>
  <c r="H6943" i="21" s="1"/>
  <c r="G6942" i="21"/>
  <c r="H6942" i="21" s="1"/>
  <c r="G6941" i="21"/>
  <c r="H6941" i="21" s="1"/>
  <c r="G6940" i="21"/>
  <c r="H6940" i="21" s="1"/>
  <c r="G6939" i="21"/>
  <c r="H6939" i="21" s="1"/>
  <c r="G6938" i="21"/>
  <c r="H6938" i="21" s="1"/>
  <c r="G6937" i="21"/>
  <c r="H6937" i="21" s="1"/>
  <c r="G6936" i="21"/>
  <c r="H6936" i="21" s="1"/>
  <c r="G6935" i="21"/>
  <c r="H6935" i="21" s="1"/>
  <c r="G6934" i="21"/>
  <c r="H6934" i="21" s="1"/>
  <c r="G6933" i="21"/>
  <c r="H6933" i="21" s="1"/>
  <c r="G6932" i="21"/>
  <c r="H6932" i="21" s="1"/>
  <c r="G6931" i="21"/>
  <c r="H6931" i="21" s="1"/>
  <c r="G6930" i="21"/>
  <c r="H6930" i="21" s="1"/>
  <c r="G6929" i="21"/>
  <c r="H6929" i="21" s="1"/>
  <c r="G6928" i="21"/>
  <c r="H6928" i="21" s="1"/>
  <c r="G6927" i="21"/>
  <c r="H6927" i="21" s="1"/>
  <c r="G6926" i="21"/>
  <c r="H6926" i="21" s="1"/>
  <c r="G6925" i="21"/>
  <c r="H6925" i="21" s="1"/>
  <c r="G6924" i="21"/>
  <c r="H6924" i="21" s="1"/>
  <c r="G6923" i="21"/>
  <c r="H6923" i="21" s="1"/>
  <c r="G6922" i="21"/>
  <c r="H6922" i="21" s="1"/>
  <c r="G6921" i="21"/>
  <c r="H6921" i="21" s="1"/>
  <c r="G6920" i="21"/>
  <c r="H6920" i="21" s="1"/>
  <c r="G6919" i="21"/>
  <c r="H6919" i="21" s="1"/>
  <c r="G6918" i="21"/>
  <c r="H6918" i="21" s="1"/>
  <c r="G6917" i="21"/>
  <c r="H6917" i="21" s="1"/>
  <c r="G6916" i="21"/>
  <c r="H6916" i="21" s="1"/>
  <c r="G6915" i="21"/>
  <c r="H6915" i="21" s="1"/>
  <c r="G6914" i="21"/>
  <c r="H6914" i="21" s="1"/>
  <c r="G6913" i="21"/>
  <c r="H6913" i="21" s="1"/>
  <c r="G6912" i="21"/>
  <c r="H6912" i="21" s="1"/>
  <c r="G6911" i="21"/>
  <c r="H6911" i="21" s="1"/>
  <c r="G6910" i="21"/>
  <c r="H6910" i="21" s="1"/>
  <c r="G6909" i="21"/>
  <c r="H6909" i="21" s="1"/>
  <c r="G6908" i="21"/>
  <c r="H6908" i="21" s="1"/>
  <c r="G6907" i="21"/>
  <c r="H6907" i="21" s="1"/>
  <c r="G6906" i="21"/>
  <c r="H6906" i="21" s="1"/>
  <c r="G6905" i="21"/>
  <c r="H6905" i="21" s="1"/>
  <c r="G6904" i="21"/>
  <c r="H6904" i="21" s="1"/>
  <c r="G6903" i="21"/>
  <c r="H6903" i="21" s="1"/>
  <c r="G6902" i="21"/>
  <c r="H6902" i="21" s="1"/>
  <c r="G6901" i="21"/>
  <c r="H6901" i="21" s="1"/>
  <c r="G6900" i="21"/>
  <c r="H6900" i="21" s="1"/>
  <c r="G6899" i="21"/>
  <c r="H6899" i="21" s="1"/>
  <c r="G6898" i="21"/>
  <c r="H6898" i="21" s="1"/>
  <c r="G6897" i="21"/>
  <c r="H6897" i="21" s="1"/>
  <c r="G6896" i="21"/>
  <c r="H6896" i="21" s="1"/>
  <c r="G6895" i="21"/>
  <c r="H6895" i="21" s="1"/>
  <c r="G6894" i="21"/>
  <c r="H6894" i="21" s="1"/>
  <c r="G6893" i="21"/>
  <c r="H6893" i="21" s="1"/>
  <c r="G6892" i="21"/>
  <c r="H6892" i="21" s="1"/>
  <c r="G6891" i="21"/>
  <c r="H6891" i="21" s="1"/>
  <c r="G6890" i="21"/>
  <c r="H6890" i="21" s="1"/>
  <c r="G6889" i="21"/>
  <c r="H6889" i="21" s="1"/>
  <c r="G6888" i="21"/>
  <c r="H6888" i="21" s="1"/>
  <c r="G6887" i="21"/>
  <c r="H6887" i="21" s="1"/>
  <c r="G6886" i="21"/>
  <c r="H6886" i="21" s="1"/>
  <c r="G6885" i="21"/>
  <c r="H6885" i="21" s="1"/>
  <c r="G6884" i="21"/>
  <c r="H6884" i="21" s="1"/>
  <c r="G6883" i="21"/>
  <c r="H6883" i="21" s="1"/>
  <c r="G6882" i="21"/>
  <c r="H6882" i="21" s="1"/>
  <c r="G6881" i="21"/>
  <c r="H6881" i="21" s="1"/>
  <c r="G6880" i="21"/>
  <c r="H6880" i="21" s="1"/>
  <c r="G6879" i="21"/>
  <c r="H6879" i="21" s="1"/>
  <c r="G6878" i="21"/>
  <c r="H6878" i="21" s="1"/>
  <c r="G6877" i="21"/>
  <c r="H6877" i="21" s="1"/>
  <c r="G6876" i="21"/>
  <c r="H6876" i="21" s="1"/>
  <c r="G6875" i="21"/>
  <c r="H6875" i="21" s="1"/>
  <c r="G6874" i="21"/>
  <c r="H6874" i="21" s="1"/>
  <c r="G6873" i="21"/>
  <c r="H6873" i="21" s="1"/>
  <c r="G6872" i="21"/>
  <c r="H6872" i="21" s="1"/>
  <c r="G6871" i="21"/>
  <c r="H6871" i="21" s="1"/>
  <c r="G6870" i="21"/>
  <c r="H6870" i="21" s="1"/>
  <c r="G6869" i="21"/>
  <c r="H6869" i="21" s="1"/>
  <c r="G6868" i="21"/>
  <c r="H6868" i="21" s="1"/>
  <c r="G6867" i="21"/>
  <c r="H6867" i="21" s="1"/>
  <c r="G6866" i="21"/>
  <c r="H6866" i="21" s="1"/>
  <c r="G6865" i="21"/>
  <c r="H6865" i="21" s="1"/>
  <c r="G6864" i="21"/>
  <c r="H6864" i="21" s="1"/>
  <c r="G6863" i="21"/>
  <c r="H6863" i="21" s="1"/>
  <c r="G6862" i="21"/>
  <c r="H6862" i="21" s="1"/>
  <c r="G6861" i="21"/>
  <c r="H6861" i="21" s="1"/>
  <c r="G6860" i="21"/>
  <c r="H6860" i="21" s="1"/>
  <c r="G6859" i="21"/>
  <c r="H6859" i="21" s="1"/>
  <c r="G6858" i="21"/>
  <c r="H6858" i="21" s="1"/>
  <c r="G6857" i="21"/>
  <c r="H6857" i="21" s="1"/>
  <c r="G6856" i="21"/>
  <c r="H6856" i="21" s="1"/>
  <c r="G6855" i="21"/>
  <c r="H6855" i="21" s="1"/>
  <c r="G6854" i="21"/>
  <c r="H6854" i="21" s="1"/>
  <c r="G6853" i="21"/>
  <c r="H6853" i="21" s="1"/>
  <c r="G6852" i="21"/>
  <c r="H6852" i="21" s="1"/>
  <c r="G6851" i="21"/>
  <c r="H6851" i="21" s="1"/>
  <c r="G6850" i="21"/>
  <c r="H6850" i="21" s="1"/>
  <c r="G6849" i="21"/>
  <c r="H6849" i="21" s="1"/>
  <c r="G6848" i="21"/>
  <c r="H6848" i="21" s="1"/>
  <c r="G6847" i="21"/>
  <c r="H6847" i="21" s="1"/>
  <c r="G6846" i="21"/>
  <c r="H6846" i="21" s="1"/>
  <c r="G6845" i="21"/>
  <c r="H6845" i="21" s="1"/>
  <c r="G6844" i="21"/>
  <c r="H6844" i="21" s="1"/>
  <c r="G6843" i="21"/>
  <c r="H6843" i="21" s="1"/>
  <c r="G6842" i="21"/>
  <c r="H6842" i="21" s="1"/>
  <c r="G6841" i="21"/>
  <c r="H6841" i="21" s="1"/>
  <c r="G6840" i="21"/>
  <c r="H6840" i="21" s="1"/>
  <c r="G6839" i="21"/>
  <c r="H6839" i="21" s="1"/>
  <c r="G6838" i="21"/>
  <c r="H6838" i="21" s="1"/>
  <c r="G6837" i="21"/>
  <c r="H6837" i="21" s="1"/>
  <c r="G6836" i="21"/>
  <c r="H6836" i="21" s="1"/>
  <c r="G6835" i="21"/>
  <c r="H6835" i="21" s="1"/>
  <c r="G6834" i="21"/>
  <c r="H6834" i="21" s="1"/>
  <c r="G6833" i="21"/>
  <c r="H6833" i="21" s="1"/>
  <c r="G6832" i="21"/>
  <c r="H6832" i="21" s="1"/>
  <c r="G6831" i="21"/>
  <c r="H6831" i="21" s="1"/>
  <c r="G6830" i="21"/>
  <c r="H6830" i="21" s="1"/>
  <c r="G6829" i="21"/>
  <c r="H6829" i="21" s="1"/>
  <c r="G6828" i="21"/>
  <c r="H6828" i="21" s="1"/>
  <c r="G6827" i="21"/>
  <c r="H6827" i="21" s="1"/>
  <c r="G6826" i="21"/>
  <c r="H6826" i="21" s="1"/>
  <c r="G6825" i="21"/>
  <c r="H6825" i="21" s="1"/>
  <c r="G6824" i="21"/>
  <c r="H6824" i="21" s="1"/>
  <c r="G6823" i="21"/>
  <c r="H6823" i="21" s="1"/>
  <c r="G6822" i="21"/>
  <c r="H6822" i="21" s="1"/>
  <c r="G6821" i="21"/>
  <c r="H6821" i="21" s="1"/>
  <c r="G6820" i="21"/>
  <c r="H6820" i="21" s="1"/>
  <c r="G6819" i="21"/>
  <c r="H6819" i="21" s="1"/>
  <c r="G6818" i="21"/>
  <c r="H6818" i="21" s="1"/>
  <c r="G6817" i="21"/>
  <c r="H6817" i="21" s="1"/>
  <c r="G6816" i="21"/>
  <c r="H6816" i="21" s="1"/>
  <c r="G6815" i="21"/>
  <c r="H6815" i="21" s="1"/>
  <c r="G6814" i="21"/>
  <c r="H6814" i="21" s="1"/>
  <c r="G6813" i="21"/>
  <c r="H6813" i="21" s="1"/>
  <c r="G6812" i="21"/>
  <c r="H6812" i="21" s="1"/>
  <c r="G6811" i="21"/>
  <c r="H6811" i="21" s="1"/>
  <c r="G6810" i="21"/>
  <c r="H6810" i="21" s="1"/>
  <c r="G6809" i="21"/>
  <c r="H6809" i="21" s="1"/>
  <c r="G6808" i="21"/>
  <c r="H6808" i="21" s="1"/>
  <c r="G6807" i="21"/>
  <c r="H6807" i="21" s="1"/>
  <c r="G6806" i="21"/>
  <c r="H6806" i="21" s="1"/>
  <c r="G6805" i="21"/>
  <c r="H6805" i="21" s="1"/>
  <c r="G6804" i="21"/>
  <c r="H6804" i="21" s="1"/>
  <c r="G6803" i="21"/>
  <c r="H6803" i="21" s="1"/>
  <c r="G6802" i="21"/>
  <c r="H6802" i="21" s="1"/>
  <c r="G6801" i="21"/>
  <c r="H6801" i="21" s="1"/>
  <c r="G6800" i="21"/>
  <c r="H6800" i="21" s="1"/>
  <c r="G6799" i="21"/>
  <c r="H6799" i="21" s="1"/>
  <c r="G6798" i="21"/>
  <c r="H6798" i="21" s="1"/>
  <c r="G6797" i="21"/>
  <c r="H6797" i="21" s="1"/>
  <c r="G6796" i="21"/>
  <c r="H6796" i="21" s="1"/>
  <c r="G6795" i="21"/>
  <c r="H6795" i="21" s="1"/>
  <c r="G6794" i="21"/>
  <c r="H6794" i="21" s="1"/>
  <c r="G6793" i="21"/>
  <c r="H6793" i="21" s="1"/>
  <c r="G6792" i="21"/>
  <c r="H6792" i="21" s="1"/>
  <c r="G6791" i="21"/>
  <c r="H6791" i="21" s="1"/>
  <c r="G6790" i="21"/>
  <c r="H6790" i="21" s="1"/>
  <c r="G6789" i="21"/>
  <c r="H6789" i="21" s="1"/>
  <c r="G6788" i="21"/>
  <c r="H6788" i="21" s="1"/>
  <c r="G6787" i="21"/>
  <c r="H6787" i="21" s="1"/>
  <c r="G6786" i="21"/>
  <c r="H6786" i="21" s="1"/>
  <c r="G6785" i="21"/>
  <c r="H6785" i="21" s="1"/>
  <c r="G6784" i="21"/>
  <c r="H6784" i="21" s="1"/>
  <c r="G6783" i="21"/>
  <c r="H6783" i="21" s="1"/>
  <c r="G6782" i="21"/>
  <c r="H6782" i="21" s="1"/>
  <c r="G6781" i="21"/>
  <c r="H6781" i="21" s="1"/>
  <c r="G6780" i="21"/>
  <c r="H6780" i="21" s="1"/>
  <c r="G6779" i="21"/>
  <c r="H6779" i="21" s="1"/>
  <c r="G6778" i="21"/>
  <c r="H6778" i="21" s="1"/>
  <c r="G6777" i="21"/>
  <c r="H6777" i="21" s="1"/>
  <c r="G6776" i="21"/>
  <c r="H6776" i="21" s="1"/>
  <c r="G6775" i="21"/>
  <c r="H6775" i="21" s="1"/>
  <c r="G6774" i="21"/>
  <c r="H6774" i="21" s="1"/>
  <c r="G6773" i="21"/>
  <c r="H6773" i="21" s="1"/>
  <c r="G6772" i="21"/>
  <c r="H6772" i="21" s="1"/>
  <c r="G6771" i="21"/>
  <c r="H6771" i="21" s="1"/>
  <c r="G6770" i="21"/>
  <c r="H6770" i="21" s="1"/>
  <c r="G6769" i="21"/>
  <c r="H6769" i="21" s="1"/>
  <c r="G6768" i="21"/>
  <c r="H6768" i="21" s="1"/>
  <c r="G6767" i="21"/>
  <c r="H6767" i="21" s="1"/>
  <c r="G6766" i="21"/>
  <c r="H6766" i="21" s="1"/>
  <c r="G6765" i="21"/>
  <c r="H6765" i="21" s="1"/>
  <c r="G6764" i="21"/>
  <c r="H6764" i="21" s="1"/>
  <c r="G6763" i="21"/>
  <c r="H6763" i="21" s="1"/>
  <c r="G6762" i="21"/>
  <c r="H6762" i="21" s="1"/>
  <c r="G6761" i="21"/>
  <c r="H6761" i="21" s="1"/>
  <c r="G6760" i="21"/>
  <c r="H6760" i="21" s="1"/>
  <c r="G6759" i="21"/>
  <c r="H6759" i="21" s="1"/>
  <c r="G6758" i="21"/>
  <c r="H6758" i="21" s="1"/>
  <c r="G6757" i="21"/>
  <c r="H6757" i="21" s="1"/>
  <c r="G6756" i="21"/>
  <c r="H6756" i="21" s="1"/>
  <c r="G6755" i="21"/>
  <c r="H6755" i="21" s="1"/>
  <c r="G6754" i="21"/>
  <c r="H6754" i="21" s="1"/>
  <c r="G6753" i="21"/>
  <c r="H6753" i="21" s="1"/>
  <c r="G6752" i="21"/>
  <c r="H6752" i="21" s="1"/>
  <c r="G6751" i="21"/>
  <c r="H6751" i="21" s="1"/>
  <c r="G6750" i="21"/>
  <c r="H6750" i="21" s="1"/>
  <c r="G6749" i="21"/>
  <c r="H6749" i="21" s="1"/>
  <c r="G6748" i="21"/>
  <c r="H6748" i="21" s="1"/>
  <c r="G6747" i="21"/>
  <c r="H6747" i="21" s="1"/>
  <c r="G6746" i="21"/>
  <c r="H6746" i="21" s="1"/>
  <c r="G6745" i="21"/>
  <c r="H6745" i="21" s="1"/>
  <c r="G6744" i="21"/>
  <c r="H6744" i="21" s="1"/>
  <c r="G6743" i="21"/>
  <c r="H6743" i="21" s="1"/>
  <c r="G6742" i="21"/>
  <c r="H6742" i="21" s="1"/>
  <c r="G6741" i="21"/>
  <c r="H6741" i="21" s="1"/>
  <c r="G6740" i="21"/>
  <c r="H6740" i="21" s="1"/>
  <c r="G6739" i="21"/>
  <c r="H6739" i="21" s="1"/>
  <c r="G6738" i="21"/>
  <c r="H6738" i="21" s="1"/>
  <c r="G6737" i="21"/>
  <c r="H6737" i="21" s="1"/>
  <c r="G6736" i="21"/>
  <c r="H6736" i="21" s="1"/>
  <c r="G6735" i="21"/>
  <c r="H6735" i="21" s="1"/>
  <c r="G6734" i="21"/>
  <c r="H6734" i="21" s="1"/>
  <c r="H6733" i="21"/>
  <c r="G6733" i="21"/>
  <c r="G6732" i="21"/>
  <c r="H6732" i="21" s="1"/>
  <c r="G6731" i="21"/>
  <c r="H6731" i="21" s="1"/>
  <c r="G6730" i="21"/>
  <c r="H6730" i="21" s="1"/>
  <c r="G6729" i="21"/>
  <c r="H6729" i="21" s="1"/>
  <c r="G6728" i="21"/>
  <c r="H6728" i="21" s="1"/>
  <c r="G6727" i="21"/>
  <c r="H6727" i="21" s="1"/>
  <c r="G6726" i="21"/>
  <c r="H6726" i="21" s="1"/>
  <c r="G6725" i="21"/>
  <c r="H6725" i="21" s="1"/>
  <c r="G6724" i="21"/>
  <c r="H6724" i="21" s="1"/>
  <c r="G6723" i="21"/>
  <c r="H6723" i="21" s="1"/>
  <c r="G6722" i="21"/>
  <c r="H6722" i="21" s="1"/>
  <c r="G6721" i="21"/>
  <c r="H6721" i="21" s="1"/>
  <c r="G6720" i="21"/>
  <c r="H6720" i="21" s="1"/>
  <c r="G6719" i="21"/>
  <c r="H6719" i="21" s="1"/>
  <c r="G6718" i="21"/>
  <c r="H6718" i="21" s="1"/>
  <c r="G6717" i="21"/>
  <c r="H6717" i="21" s="1"/>
  <c r="G6716" i="21"/>
  <c r="H6716" i="21" s="1"/>
  <c r="G6715" i="21"/>
  <c r="H6715" i="21" s="1"/>
  <c r="G6714" i="21"/>
  <c r="H6714" i="21" s="1"/>
  <c r="G6713" i="21"/>
  <c r="H6713" i="21" s="1"/>
  <c r="G6712" i="21"/>
  <c r="H6712" i="21" s="1"/>
  <c r="G6711" i="21"/>
  <c r="H6711" i="21" s="1"/>
  <c r="G6710" i="21"/>
  <c r="H6710" i="21" s="1"/>
  <c r="G6709" i="21"/>
  <c r="H6709" i="21" s="1"/>
  <c r="G6708" i="21"/>
  <c r="H6708" i="21" s="1"/>
  <c r="G6707" i="21"/>
  <c r="H6707" i="21" s="1"/>
  <c r="G6706" i="21"/>
  <c r="H6706" i="21" s="1"/>
  <c r="G6705" i="21"/>
  <c r="H6705" i="21" s="1"/>
  <c r="G6704" i="21"/>
  <c r="H6704" i="21" s="1"/>
  <c r="G6703" i="21"/>
  <c r="H6703" i="21" s="1"/>
  <c r="G6702" i="21"/>
  <c r="H6702" i="21" s="1"/>
  <c r="G6701" i="21"/>
  <c r="H6701" i="21" s="1"/>
  <c r="G6700" i="21"/>
  <c r="H6700" i="21" s="1"/>
  <c r="G6699" i="21"/>
  <c r="H6699" i="21" s="1"/>
  <c r="G6698" i="21"/>
  <c r="H6698" i="21" s="1"/>
  <c r="G6697" i="21"/>
  <c r="H6697" i="21" s="1"/>
  <c r="G6696" i="21"/>
  <c r="H6696" i="21" s="1"/>
  <c r="G6695" i="21"/>
  <c r="H6695" i="21" s="1"/>
  <c r="G6694" i="21"/>
  <c r="H6694" i="21" s="1"/>
  <c r="G6693" i="21"/>
  <c r="H6693" i="21" s="1"/>
  <c r="G6692" i="21"/>
  <c r="H6692" i="21" s="1"/>
  <c r="G6691" i="21"/>
  <c r="H6691" i="21" s="1"/>
  <c r="G6690" i="21"/>
  <c r="H6690" i="21" s="1"/>
  <c r="G6689" i="21"/>
  <c r="H6689" i="21" s="1"/>
  <c r="G6688" i="21"/>
  <c r="H6688" i="21" s="1"/>
  <c r="G6687" i="21"/>
  <c r="H6687" i="21" s="1"/>
  <c r="G6686" i="21"/>
  <c r="H6686" i="21" s="1"/>
  <c r="G6685" i="21"/>
  <c r="H6685" i="21" s="1"/>
  <c r="G6684" i="21"/>
  <c r="H6684" i="21" s="1"/>
  <c r="G6683" i="21"/>
  <c r="H6683" i="21" s="1"/>
  <c r="G6682" i="21"/>
  <c r="H6682" i="21" s="1"/>
  <c r="G6681" i="21"/>
  <c r="H6681" i="21" s="1"/>
  <c r="G6680" i="21"/>
  <c r="H6680" i="21" s="1"/>
  <c r="G6679" i="21"/>
  <c r="H6679" i="21" s="1"/>
  <c r="G6678" i="21"/>
  <c r="H6678" i="21" s="1"/>
  <c r="G6677" i="21"/>
  <c r="H6677" i="21" s="1"/>
  <c r="G6676" i="21"/>
  <c r="H6676" i="21" s="1"/>
  <c r="G6675" i="21"/>
  <c r="H6675" i="21" s="1"/>
  <c r="G6674" i="21"/>
  <c r="H6674" i="21" s="1"/>
  <c r="G6673" i="21"/>
  <c r="H6673" i="21" s="1"/>
  <c r="H6672" i="21"/>
  <c r="G6672" i="21"/>
  <c r="G6671" i="21"/>
  <c r="H6671" i="21" s="1"/>
  <c r="G6670" i="21"/>
  <c r="H6670" i="21" s="1"/>
  <c r="G6669" i="21"/>
  <c r="H6669" i="21" s="1"/>
  <c r="G6668" i="21"/>
  <c r="H6668" i="21" s="1"/>
  <c r="G6667" i="21"/>
  <c r="H6667" i="21" s="1"/>
  <c r="G6666" i="21"/>
  <c r="H6666" i="21" s="1"/>
  <c r="G6665" i="21"/>
  <c r="H6665" i="21" s="1"/>
  <c r="H6664" i="21"/>
  <c r="G6664" i="21"/>
  <c r="G6663" i="21"/>
  <c r="H6663" i="21" s="1"/>
  <c r="H6662" i="21"/>
  <c r="G6662" i="21"/>
  <c r="G6661" i="21"/>
  <c r="H6661" i="21" s="1"/>
  <c r="G6660" i="21"/>
  <c r="H6660" i="21" s="1"/>
  <c r="G6659" i="21"/>
  <c r="H6659" i="21" s="1"/>
  <c r="G6658" i="21"/>
  <c r="H6658" i="21" s="1"/>
  <c r="H6657" i="21"/>
  <c r="G6657" i="21"/>
  <c r="H6656" i="21"/>
  <c r="G6656" i="21"/>
  <c r="H6655" i="21"/>
  <c r="G6655" i="21"/>
  <c r="H6654" i="21"/>
  <c r="G6654" i="21"/>
  <c r="H6653" i="21"/>
  <c r="G6653" i="21"/>
  <c r="H6652" i="21"/>
  <c r="G6652" i="21"/>
  <c r="G6651" i="21"/>
  <c r="H6651" i="21" s="1"/>
  <c r="G6650" i="21"/>
  <c r="H6650" i="21" s="1"/>
  <c r="H6649" i="21"/>
  <c r="G6649" i="21"/>
  <c r="H6648" i="21"/>
  <c r="G6648" i="21"/>
  <c r="H6647" i="21"/>
  <c r="G6647" i="21"/>
  <c r="G6646" i="21"/>
  <c r="H6646" i="21" s="1"/>
  <c r="G6645" i="21"/>
  <c r="H6645" i="21" s="1"/>
  <c r="G6644" i="21"/>
  <c r="H6644" i="21" s="1"/>
  <c r="G6643" i="21"/>
  <c r="H6643" i="21" s="1"/>
  <c r="G6642" i="21"/>
  <c r="H6642" i="21" s="1"/>
  <c r="G6641" i="21"/>
  <c r="H6641" i="21" s="1"/>
  <c r="G6640" i="21"/>
  <c r="H6640" i="21" s="1"/>
  <c r="G6639" i="21"/>
  <c r="H6639" i="21" s="1"/>
  <c r="G6638" i="21"/>
  <c r="H6638" i="21" s="1"/>
  <c r="G6637" i="21"/>
  <c r="H6637" i="21" s="1"/>
  <c r="G6636" i="21"/>
  <c r="H6636" i="21" s="1"/>
  <c r="G6635" i="21"/>
  <c r="H6635" i="21" s="1"/>
  <c r="G6634" i="21"/>
  <c r="H6634" i="21" s="1"/>
  <c r="G6633" i="21"/>
  <c r="H6633" i="21" s="1"/>
  <c r="G6632" i="21"/>
  <c r="H6632" i="21" s="1"/>
  <c r="G6631" i="21"/>
  <c r="H6631" i="21" s="1"/>
  <c r="G6630" i="21"/>
  <c r="H6630" i="21" s="1"/>
  <c r="G6629" i="21"/>
  <c r="H6629" i="21" s="1"/>
  <c r="G6628" i="21"/>
  <c r="H6628" i="21" s="1"/>
  <c r="G6627" i="21"/>
  <c r="H6627" i="21" s="1"/>
  <c r="G6626" i="21"/>
  <c r="H6626" i="21" s="1"/>
  <c r="G6625" i="21"/>
  <c r="H6625" i="21" s="1"/>
  <c r="G6624" i="21"/>
  <c r="H6624" i="21" s="1"/>
  <c r="G6623" i="21"/>
  <c r="H6623" i="21" s="1"/>
  <c r="G6622" i="21"/>
  <c r="H6622" i="21" s="1"/>
  <c r="G6621" i="21"/>
  <c r="H6621" i="21" s="1"/>
  <c r="G6620" i="21"/>
  <c r="H6620" i="21" s="1"/>
  <c r="G6619" i="21"/>
  <c r="H6619" i="21" s="1"/>
  <c r="G6618" i="21"/>
  <c r="H6618" i="21" s="1"/>
  <c r="G6617" i="21"/>
  <c r="H6617" i="21" s="1"/>
  <c r="G6616" i="21"/>
  <c r="H6616" i="21" s="1"/>
  <c r="G6615" i="21"/>
  <c r="H6615" i="21" s="1"/>
  <c r="G6614" i="21"/>
  <c r="H6614" i="21" s="1"/>
  <c r="G6613" i="21"/>
  <c r="H6613" i="21" s="1"/>
  <c r="G6612" i="21"/>
  <c r="H6612" i="21" s="1"/>
  <c r="G6611" i="21"/>
  <c r="H6611" i="21" s="1"/>
  <c r="G6610" i="21"/>
  <c r="H6610" i="21" s="1"/>
  <c r="G6609" i="21"/>
  <c r="H6609" i="21" s="1"/>
  <c r="G6608" i="21"/>
  <c r="H6608" i="21" s="1"/>
  <c r="G6607" i="21"/>
  <c r="H6607" i="21" s="1"/>
  <c r="G6606" i="21"/>
  <c r="H6606" i="21" s="1"/>
  <c r="G6605" i="21"/>
  <c r="H6605" i="21" s="1"/>
  <c r="G6604" i="21"/>
  <c r="H6604" i="21" s="1"/>
  <c r="G6603" i="21"/>
  <c r="H6603" i="21" s="1"/>
  <c r="G6602" i="21"/>
  <c r="H6602" i="21" s="1"/>
  <c r="G6601" i="21"/>
  <c r="H6601" i="21" s="1"/>
  <c r="G6600" i="21"/>
  <c r="H6600" i="21" s="1"/>
  <c r="G6599" i="21"/>
  <c r="H6599" i="21" s="1"/>
  <c r="G6598" i="21"/>
  <c r="H6598" i="21" s="1"/>
  <c r="G6597" i="21"/>
  <c r="H6597" i="21" s="1"/>
  <c r="G6596" i="21"/>
  <c r="H6596" i="21" s="1"/>
  <c r="G6595" i="21"/>
  <c r="H6595" i="21" s="1"/>
  <c r="G6594" i="21"/>
  <c r="H6594" i="21" s="1"/>
  <c r="G6593" i="21"/>
  <c r="H6593" i="21" s="1"/>
  <c r="G6592" i="21"/>
  <c r="H6592" i="21" s="1"/>
  <c r="G6591" i="21"/>
  <c r="H6591" i="21" s="1"/>
  <c r="G6590" i="21"/>
  <c r="H6590" i="21" s="1"/>
  <c r="G6589" i="21"/>
  <c r="H6589" i="21" s="1"/>
  <c r="G6588" i="21"/>
  <c r="H6588" i="21" s="1"/>
  <c r="G6587" i="21"/>
  <c r="H6587" i="21" s="1"/>
  <c r="G6586" i="21"/>
  <c r="H6586" i="21" s="1"/>
  <c r="G6585" i="21"/>
  <c r="H6585" i="21" s="1"/>
  <c r="G6584" i="21"/>
  <c r="H6584" i="21" s="1"/>
  <c r="G6583" i="21"/>
  <c r="H6583" i="21" s="1"/>
  <c r="G6582" i="21"/>
  <c r="H6582" i="21" s="1"/>
  <c r="G6581" i="21"/>
  <c r="H6581" i="21" s="1"/>
  <c r="G6580" i="21"/>
  <c r="H6580" i="21" s="1"/>
  <c r="G6579" i="21"/>
  <c r="H6579" i="21" s="1"/>
  <c r="G6578" i="21"/>
  <c r="H6578" i="21" s="1"/>
  <c r="G6577" i="21"/>
  <c r="H6577" i="21" s="1"/>
  <c r="G6576" i="21"/>
  <c r="H6576" i="21" s="1"/>
  <c r="G6575" i="21"/>
  <c r="H6575" i="21" s="1"/>
  <c r="G6574" i="21"/>
  <c r="H6574" i="21" s="1"/>
  <c r="G6573" i="21"/>
  <c r="H6573" i="21" s="1"/>
  <c r="G6572" i="21"/>
  <c r="H6572" i="21" s="1"/>
  <c r="G6571" i="21"/>
  <c r="H6571" i="21" s="1"/>
  <c r="G6570" i="21"/>
  <c r="H6570" i="21" s="1"/>
  <c r="G6569" i="21"/>
  <c r="H6569" i="21" s="1"/>
  <c r="G6568" i="21"/>
  <c r="H6568" i="21" s="1"/>
  <c r="G6567" i="21"/>
  <c r="H6567" i="21" s="1"/>
  <c r="G6566" i="21"/>
  <c r="H6566" i="21" s="1"/>
  <c r="G6565" i="21"/>
  <c r="H6565" i="21" s="1"/>
  <c r="G6564" i="21"/>
  <c r="H6564" i="21" s="1"/>
  <c r="G6563" i="21"/>
  <c r="H6563" i="21" s="1"/>
  <c r="G6562" i="21"/>
  <c r="H6562" i="21" s="1"/>
  <c r="G6561" i="21"/>
  <c r="H6561" i="21" s="1"/>
  <c r="G6560" i="21"/>
  <c r="H6560" i="21" s="1"/>
  <c r="G6559" i="21"/>
  <c r="H6559" i="21" s="1"/>
  <c r="G6558" i="21"/>
  <c r="H6558" i="21" s="1"/>
  <c r="G6557" i="21"/>
  <c r="H6557" i="21" s="1"/>
  <c r="G6556" i="21"/>
  <c r="H6556" i="21" s="1"/>
  <c r="G6555" i="21"/>
  <c r="H6555" i="21" s="1"/>
  <c r="G6554" i="21"/>
  <c r="H6554" i="21" s="1"/>
  <c r="G6553" i="21"/>
  <c r="H6553" i="21" s="1"/>
  <c r="G6552" i="21"/>
  <c r="H6552" i="21" s="1"/>
  <c r="G6551" i="21"/>
  <c r="H6551" i="21" s="1"/>
  <c r="G6550" i="21"/>
  <c r="H6550" i="21" s="1"/>
  <c r="G6549" i="21"/>
  <c r="H6549" i="21" s="1"/>
  <c r="G6548" i="21"/>
  <c r="H6548" i="21" s="1"/>
  <c r="G6547" i="21"/>
  <c r="H6547" i="21" s="1"/>
  <c r="G6546" i="21"/>
  <c r="H6546" i="21" s="1"/>
  <c r="G6545" i="21"/>
  <c r="H6545" i="21" s="1"/>
  <c r="G6544" i="21"/>
  <c r="H6544" i="21" s="1"/>
  <c r="G6543" i="21"/>
  <c r="H6543" i="21" s="1"/>
  <c r="G6542" i="21"/>
  <c r="H6542" i="21" s="1"/>
  <c r="G6541" i="21"/>
  <c r="H6541" i="21" s="1"/>
  <c r="G6540" i="21"/>
  <c r="H6540" i="21" s="1"/>
  <c r="G6539" i="21"/>
  <c r="H6539" i="21" s="1"/>
  <c r="G6538" i="21"/>
  <c r="H6538" i="21" s="1"/>
  <c r="G6537" i="21"/>
  <c r="H6537" i="21" s="1"/>
  <c r="G6536" i="21"/>
  <c r="H6536" i="21" s="1"/>
  <c r="G6535" i="21"/>
  <c r="H6535" i="21" s="1"/>
  <c r="G6534" i="21"/>
  <c r="H6534" i="21" s="1"/>
  <c r="G6533" i="21"/>
  <c r="H6533" i="21" s="1"/>
  <c r="G6532" i="21"/>
  <c r="H6532" i="21" s="1"/>
  <c r="G6531" i="21"/>
  <c r="H6531" i="21" s="1"/>
  <c r="G6530" i="21"/>
  <c r="H6530" i="21" s="1"/>
  <c r="G6529" i="21"/>
  <c r="H6529" i="21" s="1"/>
  <c r="G6528" i="21"/>
  <c r="H6528" i="21" s="1"/>
  <c r="G6527" i="21"/>
  <c r="H6527" i="21" s="1"/>
  <c r="G6526" i="21"/>
  <c r="H6526" i="21" s="1"/>
  <c r="G6525" i="21"/>
  <c r="H6525" i="21" s="1"/>
  <c r="G6524" i="21"/>
  <c r="H6524" i="21" s="1"/>
  <c r="G6523" i="21"/>
  <c r="H6523" i="21" s="1"/>
  <c r="G6522" i="21"/>
  <c r="H6522" i="21" s="1"/>
  <c r="G6521" i="21"/>
  <c r="H6521" i="21" s="1"/>
  <c r="G6520" i="21"/>
  <c r="H6520" i="21" s="1"/>
  <c r="G6519" i="21"/>
  <c r="H6519" i="21" s="1"/>
  <c r="G6518" i="21"/>
  <c r="H6518" i="21" s="1"/>
  <c r="G6517" i="21"/>
  <c r="H6517" i="21" s="1"/>
  <c r="G6516" i="21"/>
  <c r="H6516" i="21" s="1"/>
  <c r="G6515" i="21"/>
  <c r="H6515" i="21" s="1"/>
  <c r="G6514" i="21"/>
  <c r="H6514" i="21" s="1"/>
  <c r="G6513" i="21"/>
  <c r="H6513" i="21" s="1"/>
  <c r="G6512" i="21"/>
  <c r="H6512" i="21" s="1"/>
  <c r="G6511" i="21"/>
  <c r="H6511" i="21" s="1"/>
  <c r="G6510" i="21"/>
  <c r="H6510" i="21" s="1"/>
  <c r="G6509" i="21"/>
  <c r="H6509" i="21" s="1"/>
  <c r="G6508" i="21"/>
  <c r="H6508" i="21" s="1"/>
  <c r="G6507" i="21"/>
  <c r="H6507" i="21" s="1"/>
  <c r="G6506" i="21"/>
  <c r="H6506" i="21" s="1"/>
  <c r="G6505" i="21"/>
  <c r="H6505" i="21" s="1"/>
  <c r="G6504" i="21"/>
  <c r="H6504" i="21" s="1"/>
  <c r="G6503" i="21"/>
  <c r="H6503" i="21" s="1"/>
  <c r="G6502" i="21"/>
  <c r="H6502" i="21" s="1"/>
  <c r="G6501" i="21"/>
  <c r="H6501" i="21" s="1"/>
  <c r="G6500" i="21"/>
  <c r="H6500" i="21" s="1"/>
  <c r="G6499" i="21"/>
  <c r="H6499" i="21" s="1"/>
  <c r="G6498" i="21"/>
  <c r="H6498" i="21" s="1"/>
  <c r="G6497" i="21"/>
  <c r="H6497" i="21" s="1"/>
  <c r="G6496" i="21"/>
  <c r="H6496" i="21" s="1"/>
  <c r="G6495" i="21"/>
  <c r="H6495" i="21" s="1"/>
  <c r="G6494" i="21"/>
  <c r="H6494" i="21" s="1"/>
  <c r="G6493" i="21"/>
  <c r="H6493" i="21" s="1"/>
  <c r="G6492" i="21"/>
  <c r="H6492" i="21" s="1"/>
  <c r="G6491" i="21"/>
  <c r="H6491" i="21" s="1"/>
  <c r="G6490" i="21"/>
  <c r="H6490" i="21" s="1"/>
  <c r="G6489" i="21"/>
  <c r="H6489" i="21" s="1"/>
  <c r="G6488" i="21"/>
  <c r="H6488" i="21" s="1"/>
  <c r="G6487" i="21"/>
  <c r="H6487" i="21" s="1"/>
  <c r="G6486" i="21"/>
  <c r="H6486" i="21" s="1"/>
  <c r="G6485" i="21"/>
  <c r="H6485" i="21" s="1"/>
  <c r="G6484" i="21"/>
  <c r="H6484" i="21" s="1"/>
  <c r="G6483" i="21"/>
  <c r="H6483" i="21" s="1"/>
  <c r="G6482" i="21"/>
  <c r="H6482" i="21" s="1"/>
  <c r="G6481" i="21"/>
  <c r="H6481" i="21" s="1"/>
  <c r="G6480" i="21"/>
  <c r="H6480" i="21" s="1"/>
  <c r="G6479" i="21"/>
  <c r="H6479" i="21" s="1"/>
  <c r="G6478" i="21"/>
  <c r="H6478" i="21" s="1"/>
  <c r="G6477" i="21"/>
  <c r="H6477" i="21" s="1"/>
  <c r="G6476" i="21"/>
  <c r="H6476" i="21" s="1"/>
  <c r="G6475" i="21"/>
  <c r="H6475" i="21" s="1"/>
  <c r="G6474" i="21"/>
  <c r="H6474" i="21" s="1"/>
  <c r="G6473" i="21"/>
  <c r="H6473" i="21" s="1"/>
  <c r="G6472" i="21"/>
  <c r="H6472" i="21" s="1"/>
  <c r="G6471" i="21"/>
  <c r="H6471" i="21" s="1"/>
  <c r="G6470" i="21"/>
  <c r="H6470" i="21" s="1"/>
  <c r="G6469" i="21"/>
  <c r="H6469" i="21" s="1"/>
  <c r="G6468" i="21"/>
  <c r="H6468" i="21" s="1"/>
  <c r="G6467" i="21"/>
  <c r="H6467" i="21" s="1"/>
  <c r="G6466" i="21"/>
  <c r="H6466" i="21" s="1"/>
  <c r="G6465" i="21"/>
  <c r="H6465" i="21" s="1"/>
  <c r="G6464" i="21"/>
  <c r="H6464" i="21" s="1"/>
  <c r="G6463" i="21"/>
  <c r="H6463" i="21" s="1"/>
  <c r="G6462" i="21"/>
  <c r="H6462" i="21" s="1"/>
  <c r="G6461" i="21"/>
  <c r="H6461" i="21" s="1"/>
  <c r="G6460" i="21"/>
  <c r="H6460" i="21" s="1"/>
  <c r="G6459" i="21"/>
  <c r="H6459" i="21" s="1"/>
  <c r="G6458" i="21"/>
  <c r="H6458" i="21" s="1"/>
  <c r="G6457" i="21"/>
  <c r="H6457" i="21" s="1"/>
  <c r="G6456" i="21"/>
  <c r="H6456" i="21" s="1"/>
  <c r="G6455" i="21"/>
  <c r="H6455" i="21" s="1"/>
  <c r="G6454" i="21"/>
  <c r="H6454" i="21" s="1"/>
  <c r="G6453" i="21"/>
  <c r="H6453" i="21" s="1"/>
  <c r="G6452" i="21"/>
  <c r="H6452" i="21" s="1"/>
  <c r="G6451" i="21"/>
  <c r="H6451" i="21" s="1"/>
  <c r="G6450" i="21"/>
  <c r="H6450" i="21" s="1"/>
  <c r="G6449" i="21"/>
  <c r="H6449" i="21" s="1"/>
  <c r="G6448" i="21"/>
  <c r="H6448" i="21" s="1"/>
  <c r="G6447" i="21"/>
  <c r="H6447" i="21" s="1"/>
  <c r="G6446" i="21"/>
  <c r="H6446" i="21" s="1"/>
  <c r="G6445" i="21"/>
  <c r="H6445" i="21" s="1"/>
  <c r="G6444" i="21"/>
  <c r="H6444" i="21" s="1"/>
  <c r="G6443" i="21"/>
  <c r="H6443" i="21" s="1"/>
  <c r="G6442" i="21"/>
  <c r="H6442" i="21" s="1"/>
  <c r="G6441" i="21"/>
  <c r="H6441" i="21" s="1"/>
  <c r="G6440" i="21"/>
  <c r="H6440" i="21" s="1"/>
  <c r="G6439" i="21"/>
  <c r="H6439" i="21" s="1"/>
  <c r="G6438" i="21"/>
  <c r="H6438" i="21" s="1"/>
  <c r="G6437" i="21"/>
  <c r="H6437" i="21" s="1"/>
  <c r="G6436" i="21"/>
  <c r="H6436" i="21" s="1"/>
  <c r="G6435" i="21"/>
  <c r="H6435" i="21" s="1"/>
  <c r="G6434" i="21"/>
  <c r="H6434" i="21" s="1"/>
  <c r="G6433" i="21"/>
  <c r="H6433" i="21" s="1"/>
  <c r="G6432" i="21"/>
  <c r="H6432" i="21" s="1"/>
  <c r="G6431" i="21"/>
  <c r="H6431" i="21" s="1"/>
  <c r="G6430" i="21"/>
  <c r="H6430" i="21" s="1"/>
  <c r="G6429" i="21"/>
  <c r="H6429" i="21" s="1"/>
  <c r="G6428" i="21"/>
  <c r="H6428" i="21" s="1"/>
  <c r="G6427" i="21"/>
  <c r="H6427" i="21" s="1"/>
  <c r="G6426" i="21"/>
  <c r="H6426" i="21" s="1"/>
  <c r="G6425" i="21"/>
  <c r="H6425" i="21" s="1"/>
  <c r="G6424" i="21"/>
  <c r="H6424" i="21" s="1"/>
  <c r="G6423" i="21"/>
  <c r="H6423" i="21" s="1"/>
  <c r="G6422" i="21"/>
  <c r="H6422" i="21" s="1"/>
  <c r="G6421" i="21"/>
  <c r="H6421" i="21" s="1"/>
  <c r="G6420" i="21"/>
  <c r="H6420" i="21" s="1"/>
  <c r="G6419" i="21"/>
  <c r="H6419" i="21" s="1"/>
  <c r="G6418" i="21"/>
  <c r="H6418" i="21" s="1"/>
  <c r="G6417" i="21"/>
  <c r="H6417" i="21" s="1"/>
  <c r="G6416" i="21"/>
  <c r="H6416" i="21" s="1"/>
  <c r="G6415" i="21"/>
  <c r="H6415" i="21" s="1"/>
  <c r="G6414" i="21"/>
  <c r="H6414" i="21" s="1"/>
  <c r="G6413" i="21"/>
  <c r="H6413" i="21" s="1"/>
  <c r="G6412" i="21"/>
  <c r="H6412" i="21" s="1"/>
  <c r="G6411" i="21"/>
  <c r="H6411" i="21" s="1"/>
  <c r="G6410" i="21"/>
  <c r="H6410" i="21" s="1"/>
  <c r="G6409" i="21"/>
  <c r="H6409" i="21" s="1"/>
  <c r="G6408" i="21"/>
  <c r="H6408" i="21" s="1"/>
  <c r="G6407" i="21"/>
  <c r="H6407" i="21" s="1"/>
  <c r="G6406" i="21"/>
  <c r="H6406" i="21" s="1"/>
  <c r="G6405" i="21"/>
  <c r="H6405" i="21" s="1"/>
  <c r="G6404" i="21"/>
  <c r="H6404" i="21" s="1"/>
  <c r="G6403" i="21"/>
  <c r="H6403" i="21" s="1"/>
  <c r="G6402" i="21"/>
  <c r="H6402" i="21" s="1"/>
  <c r="G6401" i="21"/>
  <c r="H6401" i="21" s="1"/>
  <c r="G6400" i="21"/>
  <c r="H6400" i="21" s="1"/>
  <c r="G6399" i="21"/>
  <c r="H6399" i="21" s="1"/>
  <c r="G6398" i="21"/>
  <c r="H6398" i="21" s="1"/>
  <c r="G6397" i="21"/>
  <c r="H6397" i="21" s="1"/>
  <c r="G6396" i="21"/>
  <c r="H6396" i="21" s="1"/>
  <c r="G6395" i="21"/>
  <c r="H6395" i="21" s="1"/>
  <c r="G6394" i="21"/>
  <c r="H6394" i="21" s="1"/>
  <c r="G6393" i="21"/>
  <c r="H6393" i="21" s="1"/>
  <c r="G6392" i="21"/>
  <c r="H6392" i="21" s="1"/>
  <c r="G6391" i="21"/>
  <c r="H6391" i="21" s="1"/>
  <c r="G6390" i="21"/>
  <c r="H6390" i="21" s="1"/>
  <c r="G6389" i="21"/>
  <c r="H6389" i="21" s="1"/>
  <c r="G6388" i="21"/>
  <c r="H6388" i="21" s="1"/>
  <c r="G6387" i="21"/>
  <c r="H6387" i="21" s="1"/>
  <c r="G6386" i="21"/>
  <c r="H6386" i="21" s="1"/>
  <c r="G6385" i="21"/>
  <c r="H6385" i="21" s="1"/>
  <c r="G6384" i="21"/>
  <c r="H6384" i="21" s="1"/>
  <c r="G6383" i="21"/>
  <c r="H6383" i="21" s="1"/>
  <c r="G6382" i="21"/>
  <c r="H6382" i="21" s="1"/>
  <c r="G6381" i="21"/>
  <c r="H6381" i="21" s="1"/>
  <c r="G6380" i="21"/>
  <c r="H6380" i="21" s="1"/>
  <c r="G6379" i="21"/>
  <c r="H6379" i="21" s="1"/>
  <c r="G6378" i="21"/>
  <c r="H6378" i="21" s="1"/>
  <c r="G6377" i="21"/>
  <c r="H6377" i="21" s="1"/>
  <c r="G6376" i="21"/>
  <c r="H6376" i="21" s="1"/>
  <c r="G6375" i="21"/>
  <c r="H6375" i="21" s="1"/>
  <c r="G6374" i="21"/>
  <c r="H6374" i="21" s="1"/>
  <c r="H55" i="2" s="1"/>
  <c r="G55" i="2" s="1"/>
  <c r="I55" i="2" s="1"/>
  <c r="K55" i="2" s="1"/>
  <c r="G6373" i="21"/>
  <c r="H6373" i="21" s="1"/>
  <c r="H56" i="2" s="1"/>
  <c r="G56" i="2" s="1"/>
  <c r="G6372" i="21"/>
  <c r="H6372" i="21" s="1"/>
  <c r="G6371" i="21"/>
  <c r="H6371" i="21" s="1"/>
  <c r="G6370" i="21"/>
  <c r="H6370" i="21" s="1"/>
  <c r="G6369" i="21"/>
  <c r="H6369" i="21" s="1"/>
  <c r="G6368" i="21"/>
  <c r="H6368" i="21" s="1"/>
  <c r="G6367" i="21"/>
  <c r="H6367" i="21" s="1"/>
  <c r="G6366" i="21"/>
  <c r="H6366" i="21" s="1"/>
  <c r="G6365" i="21"/>
  <c r="H6365" i="21" s="1"/>
  <c r="G6364" i="21"/>
  <c r="H6364" i="21" s="1"/>
  <c r="G6363" i="21"/>
  <c r="H6363" i="21" s="1"/>
  <c r="G6362" i="21"/>
  <c r="H6362" i="21" s="1"/>
  <c r="G6361" i="21"/>
  <c r="H6361" i="21" s="1"/>
  <c r="G6360" i="21"/>
  <c r="H6360" i="21" s="1"/>
  <c r="G6359" i="21"/>
  <c r="H6359" i="21" s="1"/>
  <c r="G6358" i="21"/>
  <c r="H6358" i="21" s="1"/>
  <c r="G6357" i="21"/>
  <c r="H6357" i="21" s="1"/>
  <c r="G6356" i="21"/>
  <c r="H6356" i="21" s="1"/>
  <c r="G6355" i="21"/>
  <c r="H6355" i="21" s="1"/>
  <c r="G6354" i="21"/>
  <c r="H6354" i="21" s="1"/>
  <c r="G6353" i="21"/>
  <c r="H6353" i="21" s="1"/>
  <c r="G6352" i="21"/>
  <c r="H6352" i="21" s="1"/>
  <c r="G6351" i="21"/>
  <c r="H6351" i="21" s="1"/>
  <c r="G6350" i="21"/>
  <c r="H6350" i="21" s="1"/>
  <c r="G6349" i="21"/>
  <c r="H6349" i="21" s="1"/>
  <c r="G6348" i="21"/>
  <c r="H6348" i="21" s="1"/>
  <c r="G6347" i="21"/>
  <c r="H6347" i="21" s="1"/>
  <c r="G6346" i="21"/>
  <c r="H6346" i="21" s="1"/>
  <c r="G6345" i="21"/>
  <c r="H6345" i="21" s="1"/>
  <c r="G6344" i="21"/>
  <c r="H6344" i="21" s="1"/>
  <c r="G6343" i="21"/>
  <c r="H6343" i="21" s="1"/>
  <c r="G6342" i="21"/>
  <c r="H6342" i="21" s="1"/>
  <c r="G6341" i="21"/>
  <c r="H6341" i="21" s="1"/>
  <c r="G6340" i="21"/>
  <c r="H6340" i="21" s="1"/>
  <c r="G6339" i="21"/>
  <c r="H6339" i="21" s="1"/>
  <c r="G6338" i="21"/>
  <c r="H6338" i="21" s="1"/>
  <c r="G6337" i="21"/>
  <c r="H6337" i="21" s="1"/>
  <c r="G6336" i="21"/>
  <c r="H6336" i="21" s="1"/>
  <c r="G6335" i="21"/>
  <c r="H6335" i="21" s="1"/>
  <c r="G6334" i="21"/>
  <c r="H6334" i="21" s="1"/>
  <c r="G6333" i="21"/>
  <c r="H6333" i="21" s="1"/>
  <c r="G6332" i="21"/>
  <c r="H6332" i="21" s="1"/>
  <c r="G6331" i="21"/>
  <c r="H6331" i="21" s="1"/>
  <c r="G6330" i="21"/>
  <c r="H6330" i="21" s="1"/>
  <c r="G6329" i="21"/>
  <c r="H6329" i="21" s="1"/>
  <c r="G6328" i="21"/>
  <c r="H6328" i="21" s="1"/>
  <c r="G6327" i="21"/>
  <c r="H6327" i="21" s="1"/>
  <c r="G6326" i="21"/>
  <c r="H6326" i="21" s="1"/>
  <c r="G6325" i="21"/>
  <c r="H6325" i="21" s="1"/>
  <c r="G6324" i="21"/>
  <c r="H6324" i="21" s="1"/>
  <c r="G6323" i="21"/>
  <c r="H6323" i="21" s="1"/>
  <c r="G6322" i="21"/>
  <c r="H6322" i="21" s="1"/>
  <c r="G6321" i="21"/>
  <c r="H6321" i="21" s="1"/>
  <c r="G6320" i="21"/>
  <c r="H6320" i="21" s="1"/>
  <c r="G6319" i="21"/>
  <c r="H6319" i="21" s="1"/>
  <c r="G6318" i="21"/>
  <c r="H6318" i="21" s="1"/>
  <c r="G6317" i="21"/>
  <c r="H6317" i="21" s="1"/>
  <c r="G6316" i="21"/>
  <c r="H6316" i="21" s="1"/>
  <c r="G6315" i="21"/>
  <c r="H6315" i="21" s="1"/>
  <c r="G6314" i="21"/>
  <c r="H6314" i="21" s="1"/>
  <c r="G6313" i="21"/>
  <c r="H6313" i="21" s="1"/>
  <c r="G6312" i="21"/>
  <c r="H6312" i="21" s="1"/>
  <c r="G6311" i="21"/>
  <c r="H6311" i="21" s="1"/>
  <c r="G6310" i="21"/>
  <c r="H6310" i="21" s="1"/>
  <c r="G6309" i="21"/>
  <c r="H6309" i="21" s="1"/>
  <c r="G6308" i="21"/>
  <c r="H6308" i="21" s="1"/>
  <c r="G6307" i="21"/>
  <c r="H6307" i="21" s="1"/>
  <c r="G6306" i="21"/>
  <c r="H6306" i="21" s="1"/>
  <c r="G6305" i="21"/>
  <c r="H6305" i="21" s="1"/>
  <c r="G6304" i="21"/>
  <c r="H6304" i="21" s="1"/>
  <c r="G6303" i="21"/>
  <c r="H6303" i="21" s="1"/>
  <c r="G6302" i="21"/>
  <c r="H6302" i="21" s="1"/>
  <c r="G6301" i="21"/>
  <c r="H6301" i="21" s="1"/>
  <c r="G6300" i="21"/>
  <c r="H6300" i="21" s="1"/>
  <c r="G6299" i="21"/>
  <c r="H6299" i="21" s="1"/>
  <c r="G6298" i="21"/>
  <c r="H6298" i="21" s="1"/>
  <c r="G6297" i="21"/>
  <c r="H6297" i="21" s="1"/>
  <c r="G6296" i="21"/>
  <c r="H6296" i="21" s="1"/>
  <c r="G6295" i="21"/>
  <c r="H6295" i="21" s="1"/>
  <c r="G6294" i="21"/>
  <c r="H6294" i="21" s="1"/>
  <c r="G6293" i="21"/>
  <c r="H6293" i="21" s="1"/>
  <c r="G6292" i="21"/>
  <c r="H6292" i="21" s="1"/>
  <c r="G6291" i="21"/>
  <c r="H6291" i="21" s="1"/>
  <c r="G6290" i="21"/>
  <c r="H6290" i="21" s="1"/>
  <c r="G6289" i="21"/>
  <c r="H6289" i="21" s="1"/>
  <c r="G6288" i="21"/>
  <c r="H6288" i="21" s="1"/>
  <c r="G6287" i="21"/>
  <c r="H6287" i="21" s="1"/>
  <c r="G6286" i="21"/>
  <c r="H6286" i="21" s="1"/>
  <c r="G6285" i="21"/>
  <c r="H6285" i="21" s="1"/>
  <c r="G6284" i="21"/>
  <c r="H6284" i="21" s="1"/>
  <c r="G6283" i="21"/>
  <c r="H6283" i="21" s="1"/>
  <c r="G6282" i="21"/>
  <c r="H6282" i="21" s="1"/>
  <c r="G6281" i="21"/>
  <c r="H6281" i="21" s="1"/>
  <c r="G6280" i="21"/>
  <c r="H6280" i="21" s="1"/>
  <c r="G6279" i="21"/>
  <c r="H6279" i="21" s="1"/>
  <c r="G6278" i="21"/>
  <c r="H6278" i="21" s="1"/>
  <c r="G6277" i="21"/>
  <c r="H6277" i="21" s="1"/>
  <c r="G6276" i="21"/>
  <c r="H6276" i="21" s="1"/>
  <c r="G6275" i="21"/>
  <c r="H6275" i="21" s="1"/>
  <c r="G6274" i="21"/>
  <c r="H6274" i="21" s="1"/>
  <c r="G6273" i="21"/>
  <c r="H6273" i="21" s="1"/>
  <c r="G6272" i="21"/>
  <c r="H6272" i="21" s="1"/>
  <c r="G6271" i="21"/>
  <c r="H6271" i="21" s="1"/>
  <c r="H6270" i="21"/>
  <c r="G6270" i="21"/>
  <c r="G6269" i="21"/>
  <c r="H6269" i="21" s="1"/>
  <c r="H6268" i="21"/>
  <c r="G6268" i="21"/>
  <c r="G6267" i="21"/>
  <c r="H6267" i="21" s="1"/>
  <c r="G6266" i="21"/>
  <c r="H6266" i="21" s="1"/>
  <c r="G6265" i="21"/>
  <c r="H6265" i="21" s="1"/>
  <c r="G6264" i="21"/>
  <c r="H6264" i="21" s="1"/>
  <c r="G6263" i="21"/>
  <c r="H6263" i="21" s="1"/>
  <c r="G6262" i="21"/>
  <c r="H6262" i="21" s="1"/>
  <c r="G6261" i="21"/>
  <c r="H6261" i="21" s="1"/>
  <c r="G6260" i="21"/>
  <c r="H6260" i="21" s="1"/>
  <c r="G6259" i="21"/>
  <c r="H6259" i="21" s="1"/>
  <c r="G6258" i="21"/>
  <c r="H6258" i="21" s="1"/>
  <c r="G6257" i="21"/>
  <c r="H6257" i="21" s="1"/>
  <c r="G6256" i="21"/>
  <c r="H6256" i="21" s="1"/>
  <c r="G6255" i="21"/>
  <c r="H6255" i="21" s="1"/>
  <c r="G6254" i="21"/>
  <c r="H6254" i="21" s="1"/>
  <c r="G6253" i="21"/>
  <c r="H6253" i="21" s="1"/>
  <c r="G6252" i="21"/>
  <c r="H6252" i="21" s="1"/>
  <c r="G6251" i="21"/>
  <c r="H6251" i="21" s="1"/>
  <c r="G6250" i="21"/>
  <c r="H6250" i="21" s="1"/>
  <c r="G6249" i="21"/>
  <c r="H6249" i="21" s="1"/>
  <c r="G6248" i="21"/>
  <c r="H6248" i="21" s="1"/>
  <c r="G6247" i="21"/>
  <c r="H6247" i="21" s="1"/>
  <c r="G6246" i="21"/>
  <c r="H6246" i="21" s="1"/>
  <c r="G6245" i="21"/>
  <c r="H6245" i="21" s="1"/>
  <c r="G6244" i="21"/>
  <c r="H6244" i="21" s="1"/>
  <c r="G6243" i="21"/>
  <c r="H6243" i="21" s="1"/>
  <c r="G6242" i="21"/>
  <c r="H6242" i="21" s="1"/>
  <c r="G6241" i="21"/>
  <c r="H6241" i="21" s="1"/>
  <c r="G6240" i="21"/>
  <c r="H6240" i="21" s="1"/>
  <c r="G6239" i="21"/>
  <c r="H6239" i="21" s="1"/>
  <c r="G6238" i="21"/>
  <c r="H6238" i="21" s="1"/>
  <c r="G6237" i="21"/>
  <c r="H6237" i="21" s="1"/>
  <c r="G6236" i="21"/>
  <c r="H6236" i="21" s="1"/>
  <c r="G6235" i="21"/>
  <c r="H6235" i="21" s="1"/>
  <c r="G6234" i="21"/>
  <c r="H6234" i="21" s="1"/>
  <c r="G6233" i="21"/>
  <c r="H6233" i="21" s="1"/>
  <c r="G6232" i="21"/>
  <c r="H6232" i="21" s="1"/>
  <c r="G6231" i="21"/>
  <c r="H6231" i="21" s="1"/>
  <c r="G6230" i="21"/>
  <c r="H6230" i="21" s="1"/>
  <c r="G6229" i="21"/>
  <c r="H6229" i="21" s="1"/>
  <c r="G6228" i="21"/>
  <c r="H6228" i="21" s="1"/>
  <c r="G6227" i="21"/>
  <c r="H6227" i="21" s="1"/>
  <c r="G6226" i="21"/>
  <c r="H6226" i="21" s="1"/>
  <c r="G6225" i="21"/>
  <c r="H6225" i="21" s="1"/>
  <c r="G6224" i="21"/>
  <c r="H6224" i="21" s="1"/>
  <c r="G6223" i="21"/>
  <c r="H6223" i="21" s="1"/>
  <c r="G6222" i="21"/>
  <c r="H6222" i="21" s="1"/>
  <c r="G6221" i="21"/>
  <c r="H6221" i="21" s="1"/>
  <c r="G6220" i="21"/>
  <c r="H6220" i="21" s="1"/>
  <c r="G6219" i="21"/>
  <c r="H6219" i="21" s="1"/>
  <c r="G6218" i="21"/>
  <c r="H6218" i="21" s="1"/>
  <c r="G6217" i="21"/>
  <c r="H6217" i="21" s="1"/>
  <c r="G6216" i="21"/>
  <c r="H6216" i="21" s="1"/>
  <c r="G6215" i="21"/>
  <c r="H6215" i="21" s="1"/>
  <c r="G6214" i="21"/>
  <c r="H6214" i="21" s="1"/>
  <c r="G6213" i="21"/>
  <c r="H6213" i="21" s="1"/>
  <c r="G6212" i="21"/>
  <c r="H6212" i="21" s="1"/>
  <c r="G6211" i="21"/>
  <c r="H6211" i="21" s="1"/>
  <c r="G6210" i="21"/>
  <c r="H6210" i="21" s="1"/>
  <c r="G6209" i="21"/>
  <c r="H6209" i="21" s="1"/>
  <c r="G6208" i="21"/>
  <c r="H6208" i="21" s="1"/>
  <c r="G6207" i="21"/>
  <c r="H6207" i="21" s="1"/>
  <c r="G6206" i="21"/>
  <c r="H6206" i="21" s="1"/>
  <c r="G6205" i="21"/>
  <c r="H6205" i="21" s="1"/>
  <c r="G6204" i="21"/>
  <c r="H6204" i="21" s="1"/>
  <c r="G6203" i="21"/>
  <c r="H6203" i="21" s="1"/>
  <c r="G6202" i="21"/>
  <c r="H6202" i="21" s="1"/>
  <c r="G6201" i="21"/>
  <c r="H6201" i="21" s="1"/>
  <c r="G6200" i="21"/>
  <c r="H6200" i="21" s="1"/>
  <c r="G6199" i="21"/>
  <c r="H6199" i="21" s="1"/>
  <c r="G6198" i="21"/>
  <c r="H6198" i="21" s="1"/>
  <c r="G6197" i="21"/>
  <c r="H6197" i="21" s="1"/>
  <c r="G6196" i="21"/>
  <c r="H6196" i="21" s="1"/>
  <c r="G6195" i="21"/>
  <c r="H6195" i="21" s="1"/>
  <c r="G6194" i="21"/>
  <c r="H6194" i="21" s="1"/>
  <c r="G6193" i="21"/>
  <c r="H6193" i="21" s="1"/>
  <c r="G6192" i="21"/>
  <c r="H6192" i="21" s="1"/>
  <c r="G6191" i="21"/>
  <c r="H6191" i="21" s="1"/>
  <c r="G6190" i="21"/>
  <c r="H6190" i="21" s="1"/>
  <c r="G6189" i="21"/>
  <c r="H6189" i="21" s="1"/>
  <c r="G6188" i="21"/>
  <c r="H6188" i="21" s="1"/>
  <c r="G6187" i="21"/>
  <c r="H6187" i="21" s="1"/>
  <c r="G6186" i="21"/>
  <c r="H6186" i="21" s="1"/>
  <c r="G6185" i="21"/>
  <c r="H6185" i="21" s="1"/>
  <c r="G6184" i="21"/>
  <c r="H6184" i="21" s="1"/>
  <c r="G6183" i="21"/>
  <c r="H6183" i="21" s="1"/>
  <c r="G6182" i="21"/>
  <c r="H6182" i="21" s="1"/>
  <c r="G6181" i="21"/>
  <c r="H6181" i="21" s="1"/>
  <c r="G6180" i="21"/>
  <c r="H6180" i="21" s="1"/>
  <c r="G6179" i="21"/>
  <c r="H6179" i="21" s="1"/>
  <c r="G6178" i="21"/>
  <c r="H6178" i="21" s="1"/>
  <c r="G6177" i="21"/>
  <c r="H6177" i="21" s="1"/>
  <c r="G6176" i="21"/>
  <c r="H6176" i="21" s="1"/>
  <c r="G6175" i="21"/>
  <c r="H6175" i="21" s="1"/>
  <c r="G6174" i="21"/>
  <c r="H6174" i="21" s="1"/>
  <c r="G6173" i="21"/>
  <c r="H6173" i="21" s="1"/>
  <c r="G6172" i="21"/>
  <c r="H6172" i="21" s="1"/>
  <c r="G6171" i="21"/>
  <c r="H6171" i="21" s="1"/>
  <c r="G6170" i="21"/>
  <c r="H6170" i="21" s="1"/>
  <c r="G6169" i="21"/>
  <c r="H6169" i="21" s="1"/>
  <c r="G6168" i="21"/>
  <c r="H6168" i="21" s="1"/>
  <c r="G6167" i="21"/>
  <c r="H6167" i="21" s="1"/>
  <c r="G6166" i="21"/>
  <c r="H6166" i="21" s="1"/>
  <c r="G6165" i="21"/>
  <c r="H6165" i="21" s="1"/>
  <c r="G6164" i="21"/>
  <c r="H6164" i="21" s="1"/>
  <c r="G6163" i="21"/>
  <c r="H6163" i="21" s="1"/>
  <c r="G6162" i="21"/>
  <c r="H6162" i="21" s="1"/>
  <c r="G6161" i="21"/>
  <c r="H6161" i="21" s="1"/>
  <c r="G6160" i="21"/>
  <c r="H6160" i="21" s="1"/>
  <c r="G6159" i="21"/>
  <c r="H6159" i="21" s="1"/>
  <c r="G6158" i="21"/>
  <c r="H6158" i="21" s="1"/>
  <c r="G6157" i="21"/>
  <c r="H6157" i="21" s="1"/>
  <c r="G6156" i="21"/>
  <c r="H6156" i="21" s="1"/>
  <c r="G6155" i="21"/>
  <c r="H6155" i="21" s="1"/>
  <c r="G6154" i="21"/>
  <c r="H6154" i="21" s="1"/>
  <c r="G6153" i="21"/>
  <c r="H6153" i="21" s="1"/>
  <c r="G6152" i="21"/>
  <c r="H6152" i="21" s="1"/>
  <c r="G6151" i="21"/>
  <c r="H6151" i="21" s="1"/>
  <c r="G6150" i="21"/>
  <c r="H6150" i="21" s="1"/>
  <c r="G6149" i="21"/>
  <c r="H6149" i="21" s="1"/>
  <c r="G6148" i="21"/>
  <c r="H6148" i="21" s="1"/>
  <c r="G6147" i="21"/>
  <c r="H6147" i="21" s="1"/>
  <c r="G6146" i="21"/>
  <c r="H6146" i="21" s="1"/>
  <c r="G6145" i="21"/>
  <c r="H6145" i="21" s="1"/>
  <c r="G6144" i="21"/>
  <c r="H6144" i="21" s="1"/>
  <c r="G6143" i="21"/>
  <c r="H6143" i="21" s="1"/>
  <c r="G6142" i="21"/>
  <c r="H6142" i="21" s="1"/>
  <c r="G6141" i="21"/>
  <c r="H6141" i="21" s="1"/>
  <c r="G6140" i="21"/>
  <c r="H6140" i="21" s="1"/>
  <c r="G6139" i="21"/>
  <c r="H6139" i="21" s="1"/>
  <c r="G6138" i="21"/>
  <c r="H6138" i="21" s="1"/>
  <c r="G6137" i="21"/>
  <c r="H6137" i="21" s="1"/>
  <c r="G6136" i="21"/>
  <c r="H6136" i="21" s="1"/>
  <c r="G6135" i="21"/>
  <c r="H6135" i="21" s="1"/>
  <c r="G6134" i="21"/>
  <c r="H6134" i="21" s="1"/>
  <c r="G6133" i="21"/>
  <c r="H6133" i="21" s="1"/>
  <c r="G6132" i="21"/>
  <c r="H6132" i="21" s="1"/>
  <c r="G6131" i="21"/>
  <c r="H6131" i="21" s="1"/>
  <c r="G6130" i="21"/>
  <c r="H6130" i="21" s="1"/>
  <c r="G6129" i="21"/>
  <c r="H6129" i="21" s="1"/>
  <c r="G6128" i="21"/>
  <c r="H6128" i="21" s="1"/>
  <c r="G6127" i="21"/>
  <c r="H6127" i="21" s="1"/>
  <c r="G6126" i="21"/>
  <c r="H6126" i="21" s="1"/>
  <c r="G6125" i="21"/>
  <c r="H6125" i="21" s="1"/>
  <c r="G6124" i="21"/>
  <c r="H6124" i="21" s="1"/>
  <c r="G6123" i="21"/>
  <c r="H6123" i="21" s="1"/>
  <c r="G6122" i="21"/>
  <c r="H6122" i="21" s="1"/>
  <c r="G6121" i="21"/>
  <c r="H6121" i="21" s="1"/>
  <c r="G6120" i="21"/>
  <c r="H6120" i="21" s="1"/>
  <c r="G6119" i="21"/>
  <c r="H6119" i="21" s="1"/>
  <c r="G6118" i="21"/>
  <c r="H6118" i="21" s="1"/>
  <c r="G6117" i="21"/>
  <c r="H6117" i="21" s="1"/>
  <c r="G6116" i="21"/>
  <c r="H6116" i="21" s="1"/>
  <c r="G6115" i="21"/>
  <c r="H6115" i="21" s="1"/>
  <c r="G6114" i="21"/>
  <c r="H6114" i="21" s="1"/>
  <c r="G6113" i="21"/>
  <c r="H6113" i="21" s="1"/>
  <c r="G6112" i="21"/>
  <c r="H6112" i="21" s="1"/>
  <c r="G6111" i="21"/>
  <c r="H6111" i="21" s="1"/>
  <c r="G6110" i="21"/>
  <c r="H6110" i="21" s="1"/>
  <c r="G6109" i="21"/>
  <c r="H6109" i="21" s="1"/>
  <c r="G6108" i="21"/>
  <c r="H6108" i="21" s="1"/>
  <c r="G6107" i="21"/>
  <c r="H6107" i="21" s="1"/>
  <c r="G6106" i="21"/>
  <c r="H6106" i="21" s="1"/>
  <c r="G6105" i="21"/>
  <c r="H6105" i="21" s="1"/>
  <c r="G6104" i="21"/>
  <c r="H6104" i="21" s="1"/>
  <c r="G6103" i="21"/>
  <c r="H6103" i="21" s="1"/>
  <c r="G6102" i="21"/>
  <c r="H6102" i="21" s="1"/>
  <c r="G6101" i="21"/>
  <c r="H6101" i="21" s="1"/>
  <c r="G6100" i="21"/>
  <c r="H6100" i="21" s="1"/>
  <c r="G6099" i="21"/>
  <c r="H6099" i="21" s="1"/>
  <c r="G6098" i="21"/>
  <c r="H6098" i="21" s="1"/>
  <c r="G6097" i="21"/>
  <c r="H6097" i="21" s="1"/>
  <c r="G6096" i="21"/>
  <c r="H6096" i="21" s="1"/>
  <c r="G6095" i="21"/>
  <c r="H6095" i="21" s="1"/>
  <c r="G6094" i="21"/>
  <c r="H6094" i="21" s="1"/>
  <c r="G6093" i="21"/>
  <c r="H6093" i="21" s="1"/>
  <c r="G6092" i="21"/>
  <c r="H6092" i="21" s="1"/>
  <c r="G6091" i="21"/>
  <c r="H6091" i="21" s="1"/>
  <c r="G6090" i="21"/>
  <c r="H6090" i="21" s="1"/>
  <c r="G6089" i="21"/>
  <c r="H6089" i="21" s="1"/>
  <c r="G6088" i="21"/>
  <c r="H6088" i="21" s="1"/>
  <c r="G6087" i="21"/>
  <c r="H6087" i="21" s="1"/>
  <c r="G6086" i="21"/>
  <c r="H6086" i="21" s="1"/>
  <c r="G6085" i="21"/>
  <c r="H6085" i="21" s="1"/>
  <c r="G6084" i="21"/>
  <c r="H6084" i="21" s="1"/>
  <c r="G6083" i="21"/>
  <c r="H6083" i="21" s="1"/>
  <c r="G6082" i="21"/>
  <c r="H6082" i="21" s="1"/>
  <c r="G6081" i="21"/>
  <c r="H6081" i="21" s="1"/>
  <c r="G6080" i="21"/>
  <c r="H6080" i="21" s="1"/>
  <c r="G6079" i="21"/>
  <c r="H6079" i="21" s="1"/>
  <c r="G6078" i="21"/>
  <c r="H6078" i="21" s="1"/>
  <c r="G6077" i="21"/>
  <c r="H6077" i="21" s="1"/>
  <c r="G6076" i="21"/>
  <c r="H6076" i="21" s="1"/>
  <c r="G6075" i="21"/>
  <c r="H6075" i="21" s="1"/>
  <c r="G6074" i="21"/>
  <c r="H6074" i="21" s="1"/>
  <c r="G6073" i="21"/>
  <c r="H6073" i="21" s="1"/>
  <c r="G6072" i="21"/>
  <c r="H6072" i="21" s="1"/>
  <c r="G6071" i="21"/>
  <c r="H6071" i="21" s="1"/>
  <c r="G6070" i="21"/>
  <c r="H6070" i="21" s="1"/>
  <c r="G6069" i="21"/>
  <c r="H6069" i="21" s="1"/>
  <c r="G6068" i="21"/>
  <c r="H6068" i="21" s="1"/>
  <c r="G6067" i="21"/>
  <c r="H6067" i="21" s="1"/>
  <c r="G6066" i="21"/>
  <c r="H6066" i="21" s="1"/>
  <c r="G6065" i="21"/>
  <c r="H6065" i="21" s="1"/>
  <c r="G6064" i="21"/>
  <c r="H6064" i="21" s="1"/>
  <c r="G6063" i="21"/>
  <c r="H6063" i="21" s="1"/>
  <c r="G6062" i="21"/>
  <c r="H6062" i="21" s="1"/>
  <c r="G6061" i="21"/>
  <c r="H6061" i="21" s="1"/>
  <c r="G6060" i="21"/>
  <c r="H6060" i="21" s="1"/>
  <c r="G6059" i="21"/>
  <c r="H6059" i="21" s="1"/>
  <c r="G6058" i="21"/>
  <c r="H6058" i="21" s="1"/>
  <c r="G6057" i="21"/>
  <c r="H6057" i="21" s="1"/>
  <c r="G6056" i="21"/>
  <c r="H6056" i="21" s="1"/>
  <c r="G6055" i="21"/>
  <c r="H6055" i="21" s="1"/>
  <c r="G6054" i="21"/>
  <c r="H6054" i="21" s="1"/>
  <c r="G6053" i="21"/>
  <c r="H6053" i="21" s="1"/>
  <c r="G6052" i="21"/>
  <c r="H6052" i="21" s="1"/>
  <c r="G6051" i="21"/>
  <c r="H6051" i="21" s="1"/>
  <c r="G6050" i="21"/>
  <c r="H6050" i="21" s="1"/>
  <c r="G6049" i="21"/>
  <c r="H6049" i="21" s="1"/>
  <c r="G6048" i="21"/>
  <c r="H6048" i="21" s="1"/>
  <c r="G6047" i="21"/>
  <c r="H6047" i="21" s="1"/>
  <c r="G6046" i="21"/>
  <c r="H6046" i="21" s="1"/>
  <c r="G6045" i="21"/>
  <c r="H6045" i="21" s="1"/>
  <c r="G6044" i="21"/>
  <c r="H6044" i="21" s="1"/>
  <c r="G6043" i="21"/>
  <c r="H6043" i="21" s="1"/>
  <c r="G6042" i="21"/>
  <c r="H6042" i="21" s="1"/>
  <c r="G6041" i="21"/>
  <c r="H6041" i="21" s="1"/>
  <c r="G6040" i="21"/>
  <c r="H6040" i="21" s="1"/>
  <c r="G6039" i="21"/>
  <c r="H6039" i="21" s="1"/>
  <c r="G6038" i="21"/>
  <c r="H6038" i="21" s="1"/>
  <c r="G6037" i="21"/>
  <c r="H6037" i="21" s="1"/>
  <c r="G6036" i="21"/>
  <c r="H6036" i="21" s="1"/>
  <c r="G6035" i="21"/>
  <c r="H6035" i="21" s="1"/>
  <c r="G6034" i="21"/>
  <c r="H6034" i="21" s="1"/>
  <c r="G6033" i="21"/>
  <c r="H6033" i="21" s="1"/>
  <c r="G6032" i="21"/>
  <c r="H6032" i="21" s="1"/>
  <c r="G6031" i="21"/>
  <c r="H6031" i="21" s="1"/>
  <c r="G6030" i="21"/>
  <c r="H6030" i="21" s="1"/>
  <c r="G6029" i="21"/>
  <c r="H6029" i="21" s="1"/>
  <c r="G6028" i="21"/>
  <c r="H6028" i="21" s="1"/>
  <c r="G6027" i="21"/>
  <c r="H6027" i="21" s="1"/>
  <c r="G6026" i="21"/>
  <c r="H6026" i="21" s="1"/>
  <c r="G6025" i="21"/>
  <c r="H6025" i="21" s="1"/>
  <c r="G6024" i="21"/>
  <c r="H6024" i="21" s="1"/>
  <c r="G6023" i="21"/>
  <c r="H6023" i="21" s="1"/>
  <c r="G6022" i="21"/>
  <c r="H6022" i="21" s="1"/>
  <c r="G6021" i="21"/>
  <c r="H6021" i="21" s="1"/>
  <c r="G6020" i="21"/>
  <c r="H6020" i="21" s="1"/>
  <c r="G6019" i="21"/>
  <c r="H6019" i="21" s="1"/>
  <c r="G6018" i="21"/>
  <c r="H6018" i="21" s="1"/>
  <c r="G6017" i="21"/>
  <c r="H6017" i="21" s="1"/>
  <c r="G6016" i="21"/>
  <c r="H6016" i="21" s="1"/>
  <c r="G6015" i="21"/>
  <c r="H6015" i="21" s="1"/>
  <c r="G6014" i="21"/>
  <c r="H6014" i="21" s="1"/>
  <c r="G6013" i="21"/>
  <c r="H6013" i="21" s="1"/>
  <c r="G6012" i="21"/>
  <c r="H6012" i="21" s="1"/>
  <c r="G6011" i="21"/>
  <c r="H6011" i="21" s="1"/>
  <c r="G6010" i="21"/>
  <c r="H6010" i="21" s="1"/>
  <c r="G6009" i="21"/>
  <c r="H6009" i="21" s="1"/>
  <c r="G6008" i="21"/>
  <c r="H6008" i="21" s="1"/>
  <c r="G6007" i="21"/>
  <c r="H6007" i="21" s="1"/>
  <c r="G6006" i="21"/>
  <c r="H6006" i="21" s="1"/>
  <c r="G6005" i="21"/>
  <c r="H6005" i="21" s="1"/>
  <c r="G6004" i="21"/>
  <c r="H6004" i="21" s="1"/>
  <c r="G6003" i="21"/>
  <c r="H6003" i="21" s="1"/>
  <c r="G6002" i="21"/>
  <c r="H6002" i="21" s="1"/>
  <c r="G6001" i="21"/>
  <c r="H6001" i="21" s="1"/>
  <c r="G6000" i="21"/>
  <c r="H6000" i="21" s="1"/>
  <c r="G5999" i="21"/>
  <c r="H5999" i="21" s="1"/>
  <c r="G5998" i="21"/>
  <c r="H5998" i="21" s="1"/>
  <c r="G5997" i="21"/>
  <c r="H5997" i="21" s="1"/>
  <c r="G5996" i="21"/>
  <c r="H5996" i="21" s="1"/>
  <c r="G5995" i="21"/>
  <c r="H5995" i="21" s="1"/>
  <c r="G5994" i="21"/>
  <c r="H5994" i="21" s="1"/>
  <c r="G5993" i="21"/>
  <c r="H5993" i="21" s="1"/>
  <c r="G5992" i="21"/>
  <c r="H5992" i="21" s="1"/>
  <c r="G5991" i="21"/>
  <c r="H5991" i="21" s="1"/>
  <c r="G5990" i="21"/>
  <c r="H5990" i="21" s="1"/>
  <c r="G5989" i="21"/>
  <c r="H5989" i="21" s="1"/>
  <c r="G5988" i="21"/>
  <c r="H5988" i="21" s="1"/>
  <c r="G5987" i="21"/>
  <c r="H5987" i="21" s="1"/>
  <c r="G5986" i="21"/>
  <c r="H5986" i="21" s="1"/>
  <c r="G5985" i="21"/>
  <c r="H5985" i="21" s="1"/>
  <c r="G5984" i="21"/>
  <c r="H5984" i="21" s="1"/>
  <c r="G5983" i="21"/>
  <c r="H5983" i="21" s="1"/>
  <c r="G5982" i="21"/>
  <c r="H5982" i="21" s="1"/>
  <c r="G5981" i="21"/>
  <c r="H5981" i="21" s="1"/>
  <c r="G5980" i="21"/>
  <c r="H5980" i="21" s="1"/>
  <c r="G5979" i="21"/>
  <c r="H5979" i="21" s="1"/>
  <c r="G5978" i="21"/>
  <c r="H5978" i="21" s="1"/>
  <c r="G5977" i="21"/>
  <c r="H5977" i="21" s="1"/>
  <c r="G5976" i="21"/>
  <c r="H5976" i="21" s="1"/>
  <c r="G5975" i="21"/>
  <c r="H5975" i="21" s="1"/>
  <c r="G5974" i="21"/>
  <c r="H5974" i="21" s="1"/>
  <c r="G5973" i="21"/>
  <c r="H5973" i="21" s="1"/>
  <c r="G5972" i="21"/>
  <c r="H5972" i="21" s="1"/>
  <c r="G5971" i="21"/>
  <c r="H5971" i="21" s="1"/>
  <c r="G5970" i="21"/>
  <c r="H5970" i="21" s="1"/>
  <c r="G5969" i="21"/>
  <c r="H5969" i="21" s="1"/>
  <c r="G5968" i="21"/>
  <c r="H5968" i="21" s="1"/>
  <c r="G5967" i="21"/>
  <c r="H5967" i="21" s="1"/>
  <c r="G5966" i="21"/>
  <c r="H5966" i="21" s="1"/>
  <c r="G5965" i="21"/>
  <c r="H5965" i="21" s="1"/>
  <c r="G5964" i="21"/>
  <c r="H5964" i="21" s="1"/>
  <c r="G5963" i="21"/>
  <c r="H5963" i="21" s="1"/>
  <c r="G5962" i="21"/>
  <c r="H5962" i="21" s="1"/>
  <c r="G5961" i="21"/>
  <c r="H5961" i="21" s="1"/>
  <c r="G5960" i="21"/>
  <c r="H5960" i="21" s="1"/>
  <c r="G5959" i="21"/>
  <c r="H5959" i="21" s="1"/>
  <c r="G5958" i="21"/>
  <c r="H5958" i="21" s="1"/>
  <c r="G5957" i="21"/>
  <c r="H5957" i="21" s="1"/>
  <c r="G5956" i="21"/>
  <c r="H5956" i="21" s="1"/>
  <c r="G5955" i="21"/>
  <c r="H5955" i="21" s="1"/>
  <c r="G5954" i="21"/>
  <c r="H5954" i="21" s="1"/>
  <c r="G5953" i="21"/>
  <c r="H5953" i="21" s="1"/>
  <c r="G5952" i="21"/>
  <c r="H5952" i="21" s="1"/>
  <c r="G5951" i="21"/>
  <c r="H5951" i="21" s="1"/>
  <c r="G5950" i="21"/>
  <c r="H5950" i="21" s="1"/>
  <c r="G5949" i="21"/>
  <c r="H5949" i="21" s="1"/>
  <c r="G5948" i="21"/>
  <c r="H5948" i="21" s="1"/>
  <c r="G5947" i="21"/>
  <c r="H5947" i="21" s="1"/>
  <c r="G5946" i="21"/>
  <c r="H5946" i="21" s="1"/>
  <c r="G5945" i="21"/>
  <c r="H5945" i="21" s="1"/>
  <c r="G5944" i="21"/>
  <c r="H5944" i="21" s="1"/>
  <c r="G5943" i="21"/>
  <c r="H5943" i="21" s="1"/>
  <c r="G5942" i="21"/>
  <c r="H5942" i="21" s="1"/>
  <c r="G5941" i="21"/>
  <c r="H5941" i="21" s="1"/>
  <c r="G5940" i="21"/>
  <c r="H5940" i="21" s="1"/>
  <c r="G5939" i="21"/>
  <c r="H5939" i="21" s="1"/>
  <c r="G5938" i="21"/>
  <c r="H5938" i="21" s="1"/>
  <c r="G5937" i="21"/>
  <c r="H5937" i="21" s="1"/>
  <c r="G5936" i="21"/>
  <c r="H5936" i="21" s="1"/>
  <c r="G5935" i="21"/>
  <c r="H5935" i="21" s="1"/>
  <c r="G5934" i="21"/>
  <c r="H5934" i="21" s="1"/>
  <c r="G5933" i="21"/>
  <c r="H5933" i="21" s="1"/>
  <c r="G5932" i="21"/>
  <c r="H5932" i="21" s="1"/>
  <c r="G5931" i="21"/>
  <c r="H5931" i="21" s="1"/>
  <c r="G5930" i="21"/>
  <c r="H5930" i="21" s="1"/>
  <c r="G5929" i="21"/>
  <c r="H5929" i="21" s="1"/>
  <c r="G5928" i="21"/>
  <c r="H5928" i="21" s="1"/>
  <c r="G5927" i="21"/>
  <c r="H5927" i="21" s="1"/>
  <c r="G5926" i="21"/>
  <c r="H5926" i="21" s="1"/>
  <c r="G5925" i="21"/>
  <c r="H5925" i="21" s="1"/>
  <c r="G5924" i="21"/>
  <c r="H5924" i="21" s="1"/>
  <c r="G5923" i="21"/>
  <c r="H5923" i="21" s="1"/>
  <c r="G5922" i="21"/>
  <c r="H5922" i="21" s="1"/>
  <c r="G5921" i="21"/>
  <c r="H5921" i="21" s="1"/>
  <c r="G5920" i="21"/>
  <c r="H5920" i="21" s="1"/>
  <c r="G5919" i="21"/>
  <c r="H5919" i="21" s="1"/>
  <c r="G5918" i="21"/>
  <c r="H5918" i="21" s="1"/>
  <c r="G5917" i="21"/>
  <c r="H5917" i="21" s="1"/>
  <c r="G5916" i="21"/>
  <c r="H5916" i="21" s="1"/>
  <c r="G5915" i="21"/>
  <c r="H5915" i="21" s="1"/>
  <c r="G5914" i="21"/>
  <c r="H5914" i="21" s="1"/>
  <c r="G5913" i="21"/>
  <c r="H5913" i="21" s="1"/>
  <c r="G5912" i="21"/>
  <c r="H5912" i="21" s="1"/>
  <c r="G5911" i="21"/>
  <c r="H5911" i="21" s="1"/>
  <c r="G5910" i="21"/>
  <c r="H5910" i="21" s="1"/>
  <c r="G5909" i="21"/>
  <c r="H5909" i="21" s="1"/>
  <c r="G5908" i="21"/>
  <c r="H5908" i="21" s="1"/>
  <c r="G5907" i="21"/>
  <c r="H5907" i="21" s="1"/>
  <c r="G5906" i="21"/>
  <c r="H5906" i="21" s="1"/>
  <c r="G5905" i="21"/>
  <c r="H5905" i="21" s="1"/>
  <c r="G5904" i="21"/>
  <c r="H5904" i="21" s="1"/>
  <c r="G5903" i="21"/>
  <c r="H5903" i="21" s="1"/>
  <c r="G5902" i="21"/>
  <c r="H5902" i="21" s="1"/>
  <c r="G5901" i="21"/>
  <c r="H5901" i="21" s="1"/>
  <c r="G5900" i="21"/>
  <c r="H5900" i="21" s="1"/>
  <c r="G5899" i="21"/>
  <c r="H5899" i="21" s="1"/>
  <c r="G5898" i="21"/>
  <c r="H5898" i="21" s="1"/>
  <c r="G5897" i="21"/>
  <c r="H5897" i="21" s="1"/>
  <c r="G5896" i="21"/>
  <c r="H5896" i="21" s="1"/>
  <c r="G5895" i="21"/>
  <c r="H5895" i="21" s="1"/>
  <c r="G5894" i="21"/>
  <c r="H5894" i="21" s="1"/>
  <c r="G5893" i="21"/>
  <c r="H5893" i="21" s="1"/>
  <c r="G5892" i="21"/>
  <c r="H5892" i="21" s="1"/>
  <c r="G5891" i="21"/>
  <c r="H5891" i="21" s="1"/>
  <c r="G5890" i="21"/>
  <c r="H5890" i="21" s="1"/>
  <c r="G5889" i="21"/>
  <c r="H5889" i="21" s="1"/>
  <c r="G5888" i="21"/>
  <c r="H5888" i="21" s="1"/>
  <c r="G5887" i="21"/>
  <c r="H5887" i="21" s="1"/>
  <c r="G5886" i="21"/>
  <c r="H5886" i="21" s="1"/>
  <c r="G5885" i="21"/>
  <c r="H5885" i="21" s="1"/>
  <c r="G5884" i="21"/>
  <c r="H5884" i="21" s="1"/>
  <c r="G5883" i="21"/>
  <c r="H5883" i="21" s="1"/>
  <c r="G5882" i="21"/>
  <c r="H5882" i="21" s="1"/>
  <c r="G5881" i="21"/>
  <c r="H5881" i="21" s="1"/>
  <c r="G5880" i="21"/>
  <c r="H5880" i="21" s="1"/>
  <c r="G5879" i="21"/>
  <c r="H5879" i="21" s="1"/>
  <c r="G5878" i="21"/>
  <c r="H5878" i="21" s="1"/>
  <c r="G5877" i="21"/>
  <c r="H5877" i="21" s="1"/>
  <c r="G5876" i="21"/>
  <c r="H5876" i="21" s="1"/>
  <c r="G5875" i="21"/>
  <c r="H5875" i="21" s="1"/>
  <c r="G5874" i="21"/>
  <c r="H5874" i="21" s="1"/>
  <c r="G5873" i="21"/>
  <c r="H5873" i="21" s="1"/>
  <c r="G5872" i="21"/>
  <c r="H5872" i="21" s="1"/>
  <c r="G5871" i="21"/>
  <c r="H5871" i="21" s="1"/>
  <c r="G5870" i="21"/>
  <c r="H5870" i="21" s="1"/>
  <c r="G5869" i="21"/>
  <c r="H5869" i="21" s="1"/>
  <c r="G5868" i="21"/>
  <c r="H5868" i="21" s="1"/>
  <c r="G5867" i="21"/>
  <c r="H5867" i="21" s="1"/>
  <c r="G5866" i="21"/>
  <c r="H5866" i="21" s="1"/>
  <c r="G5865" i="21"/>
  <c r="H5865" i="21" s="1"/>
  <c r="G5864" i="21"/>
  <c r="H5864" i="21" s="1"/>
  <c r="G5863" i="21"/>
  <c r="H5863" i="21" s="1"/>
  <c r="G5862" i="21"/>
  <c r="H5862" i="21" s="1"/>
  <c r="G5861" i="21"/>
  <c r="H5861" i="21" s="1"/>
  <c r="G5860" i="21"/>
  <c r="H5860" i="21" s="1"/>
  <c r="G5859" i="21"/>
  <c r="H5859" i="21" s="1"/>
  <c r="G5858" i="21"/>
  <c r="H5858" i="21" s="1"/>
  <c r="G5857" i="21"/>
  <c r="H5857" i="21" s="1"/>
  <c r="G5856" i="21"/>
  <c r="H5856" i="21" s="1"/>
  <c r="G5855" i="21"/>
  <c r="H5855" i="21" s="1"/>
  <c r="G5854" i="21"/>
  <c r="H5854" i="21" s="1"/>
  <c r="G5853" i="21"/>
  <c r="H5853" i="21" s="1"/>
  <c r="G5852" i="21"/>
  <c r="H5852" i="21" s="1"/>
  <c r="G5851" i="21"/>
  <c r="H5851" i="21" s="1"/>
  <c r="G5850" i="21"/>
  <c r="H5850" i="21" s="1"/>
  <c r="G5849" i="21"/>
  <c r="H5849" i="21" s="1"/>
  <c r="G5848" i="21"/>
  <c r="H5848" i="21" s="1"/>
  <c r="G5847" i="21"/>
  <c r="H5847" i="21" s="1"/>
  <c r="G5846" i="21"/>
  <c r="H5846" i="21" s="1"/>
  <c r="G5845" i="21"/>
  <c r="H5845" i="21" s="1"/>
  <c r="G5844" i="21"/>
  <c r="H5844" i="21" s="1"/>
  <c r="G5843" i="21"/>
  <c r="H5843" i="21" s="1"/>
  <c r="G5842" i="21"/>
  <c r="H5842" i="21" s="1"/>
  <c r="G5841" i="21"/>
  <c r="H5841" i="21" s="1"/>
  <c r="G5840" i="21"/>
  <c r="H5840" i="21" s="1"/>
  <c r="G5839" i="21"/>
  <c r="H5839" i="21" s="1"/>
  <c r="G5838" i="21"/>
  <c r="H5838" i="21" s="1"/>
  <c r="G5837" i="21"/>
  <c r="H5837" i="21" s="1"/>
  <c r="G5836" i="21"/>
  <c r="H5836" i="21" s="1"/>
  <c r="G5835" i="21"/>
  <c r="H5835" i="21" s="1"/>
  <c r="G5834" i="21"/>
  <c r="H5834" i="21" s="1"/>
  <c r="G5833" i="21"/>
  <c r="H5833" i="21" s="1"/>
  <c r="G5832" i="21"/>
  <c r="H5832" i="21" s="1"/>
  <c r="G5831" i="21"/>
  <c r="H5831" i="21" s="1"/>
  <c r="G5830" i="21"/>
  <c r="H5830" i="21" s="1"/>
  <c r="G5829" i="21"/>
  <c r="H5829" i="21" s="1"/>
  <c r="G5828" i="21"/>
  <c r="H5828" i="21" s="1"/>
  <c r="G5827" i="21"/>
  <c r="H5827" i="21" s="1"/>
  <c r="G5826" i="21"/>
  <c r="H5826" i="21" s="1"/>
  <c r="G5825" i="21"/>
  <c r="H5825" i="21" s="1"/>
  <c r="G5824" i="21"/>
  <c r="H5824" i="21" s="1"/>
  <c r="G5823" i="21"/>
  <c r="H5823" i="21" s="1"/>
  <c r="G5822" i="21"/>
  <c r="H5822" i="21" s="1"/>
  <c r="G5821" i="21"/>
  <c r="H5821" i="21" s="1"/>
  <c r="G5820" i="21"/>
  <c r="H5820" i="21" s="1"/>
  <c r="G5819" i="21"/>
  <c r="H5819" i="21" s="1"/>
  <c r="G5818" i="21"/>
  <c r="H5818" i="21" s="1"/>
  <c r="G5817" i="21"/>
  <c r="H5817" i="21" s="1"/>
  <c r="G5816" i="21"/>
  <c r="H5816" i="21" s="1"/>
  <c r="G5815" i="21"/>
  <c r="H5815" i="21" s="1"/>
  <c r="G5814" i="21"/>
  <c r="H5814" i="21" s="1"/>
  <c r="G5813" i="21"/>
  <c r="H5813" i="21" s="1"/>
  <c r="G5812" i="21"/>
  <c r="H5812" i="21" s="1"/>
  <c r="G5811" i="21"/>
  <c r="H5811" i="21" s="1"/>
  <c r="G5810" i="21"/>
  <c r="H5810" i="21" s="1"/>
  <c r="G5809" i="21"/>
  <c r="H5809" i="21" s="1"/>
  <c r="G5808" i="21"/>
  <c r="H5808" i="21" s="1"/>
  <c r="G5807" i="21"/>
  <c r="H5807" i="21" s="1"/>
  <c r="G5806" i="21"/>
  <c r="H5806" i="21" s="1"/>
  <c r="G5805" i="21"/>
  <c r="H5805" i="21" s="1"/>
  <c r="G5804" i="21"/>
  <c r="H5804" i="21" s="1"/>
  <c r="G5803" i="21"/>
  <c r="H5803" i="21" s="1"/>
  <c r="G5802" i="21"/>
  <c r="H5802" i="21" s="1"/>
  <c r="G5801" i="21"/>
  <c r="H5801" i="21" s="1"/>
  <c r="G5800" i="21"/>
  <c r="H5800" i="21" s="1"/>
  <c r="G5799" i="21"/>
  <c r="H5799" i="21" s="1"/>
  <c r="G5798" i="21"/>
  <c r="H5798" i="21" s="1"/>
  <c r="G5797" i="21"/>
  <c r="H5797" i="21" s="1"/>
  <c r="G5796" i="21"/>
  <c r="H5796" i="21" s="1"/>
  <c r="G5795" i="21"/>
  <c r="H5795" i="21" s="1"/>
  <c r="G5794" i="21"/>
  <c r="H5794" i="21" s="1"/>
  <c r="G5793" i="21"/>
  <c r="H5793" i="21" s="1"/>
  <c r="G5792" i="21"/>
  <c r="H5792" i="21" s="1"/>
  <c r="G5791" i="21"/>
  <c r="H5791" i="21" s="1"/>
  <c r="G5790" i="21"/>
  <c r="H5790" i="21" s="1"/>
  <c r="G5789" i="21"/>
  <c r="H5789" i="21" s="1"/>
  <c r="G5788" i="21"/>
  <c r="H5788" i="21" s="1"/>
  <c r="G5787" i="21"/>
  <c r="H5787" i="21" s="1"/>
  <c r="G5786" i="21"/>
  <c r="H5786" i="21" s="1"/>
  <c r="G5785" i="21"/>
  <c r="H5785" i="21" s="1"/>
  <c r="G5784" i="21"/>
  <c r="H5784" i="21" s="1"/>
  <c r="G5783" i="21"/>
  <c r="H5783" i="21" s="1"/>
  <c r="G5782" i="21"/>
  <c r="H5782" i="21" s="1"/>
  <c r="G5781" i="21"/>
  <c r="H5781" i="21" s="1"/>
  <c r="G5780" i="21"/>
  <c r="H5780" i="21" s="1"/>
  <c r="G5779" i="21"/>
  <c r="H5779" i="21" s="1"/>
  <c r="G5778" i="21"/>
  <c r="H5778" i="21" s="1"/>
  <c r="G5777" i="21"/>
  <c r="H5777" i="21" s="1"/>
  <c r="G5776" i="21"/>
  <c r="H5776" i="21" s="1"/>
  <c r="G5775" i="21"/>
  <c r="H5775" i="21" s="1"/>
  <c r="G5774" i="21"/>
  <c r="H5774" i="21" s="1"/>
  <c r="G5773" i="21"/>
  <c r="H5773" i="21" s="1"/>
  <c r="G5772" i="21"/>
  <c r="H5772" i="21" s="1"/>
  <c r="G5771" i="21"/>
  <c r="H5771" i="21" s="1"/>
  <c r="G5770" i="21"/>
  <c r="H5770" i="21" s="1"/>
  <c r="G5769" i="21"/>
  <c r="H5769" i="21" s="1"/>
  <c r="G5768" i="21"/>
  <c r="H5768" i="21" s="1"/>
  <c r="G5767" i="21"/>
  <c r="H5767" i="21" s="1"/>
  <c r="G5766" i="21"/>
  <c r="H5766" i="21" s="1"/>
  <c r="G5765" i="21"/>
  <c r="H5765" i="21" s="1"/>
  <c r="G5764" i="21"/>
  <c r="H5764" i="21" s="1"/>
  <c r="G5763" i="21"/>
  <c r="H5763" i="21" s="1"/>
  <c r="G5762" i="21"/>
  <c r="H5762" i="21" s="1"/>
  <c r="G5761" i="21"/>
  <c r="H5761" i="21" s="1"/>
  <c r="G5760" i="21"/>
  <c r="H5760" i="21" s="1"/>
  <c r="G5759" i="21"/>
  <c r="H5759" i="21" s="1"/>
  <c r="G5758" i="21"/>
  <c r="H5758" i="21" s="1"/>
  <c r="G5757" i="21"/>
  <c r="H5757" i="21" s="1"/>
  <c r="G5756" i="21"/>
  <c r="H5756" i="21" s="1"/>
  <c r="G5755" i="21"/>
  <c r="H5755" i="21" s="1"/>
  <c r="G5754" i="21"/>
  <c r="H5754" i="21" s="1"/>
  <c r="G5753" i="21"/>
  <c r="H5753" i="21" s="1"/>
  <c r="G5752" i="21"/>
  <c r="H5752" i="21" s="1"/>
  <c r="G5751" i="21"/>
  <c r="H5751" i="21" s="1"/>
  <c r="G5750" i="21"/>
  <c r="H5750" i="21" s="1"/>
  <c r="G5749" i="21"/>
  <c r="H5749" i="21" s="1"/>
  <c r="G5748" i="21"/>
  <c r="H5748" i="21" s="1"/>
  <c r="G5747" i="21"/>
  <c r="H5747" i="21" s="1"/>
  <c r="G5746" i="21"/>
  <c r="H5746" i="21" s="1"/>
  <c r="G5745" i="21"/>
  <c r="H5745" i="21" s="1"/>
  <c r="G5744" i="21"/>
  <c r="H5744" i="21" s="1"/>
  <c r="G5743" i="21"/>
  <c r="H5743" i="21" s="1"/>
  <c r="G5742" i="21"/>
  <c r="H5742" i="21" s="1"/>
  <c r="G5741" i="21"/>
  <c r="H5741" i="21" s="1"/>
  <c r="G5740" i="21"/>
  <c r="H5740" i="21" s="1"/>
  <c r="G5739" i="21"/>
  <c r="H5739" i="21" s="1"/>
  <c r="G5738" i="21"/>
  <c r="H5738" i="21" s="1"/>
  <c r="G5737" i="21"/>
  <c r="H5737" i="21" s="1"/>
  <c r="G5736" i="21"/>
  <c r="H5736" i="21" s="1"/>
  <c r="G5735" i="21"/>
  <c r="H5735" i="21" s="1"/>
  <c r="G5734" i="21"/>
  <c r="H5734" i="21" s="1"/>
  <c r="G5733" i="21"/>
  <c r="H5733" i="21" s="1"/>
  <c r="G5732" i="21"/>
  <c r="H5732" i="21" s="1"/>
  <c r="G5731" i="21"/>
  <c r="H5731" i="21" s="1"/>
  <c r="G5730" i="21"/>
  <c r="H5730" i="21" s="1"/>
  <c r="G5729" i="21"/>
  <c r="H5729" i="21" s="1"/>
  <c r="G5728" i="21"/>
  <c r="H5728" i="21" s="1"/>
  <c r="G5727" i="21"/>
  <c r="H5727" i="21" s="1"/>
  <c r="G5726" i="21"/>
  <c r="H5726" i="21" s="1"/>
  <c r="G5725" i="21"/>
  <c r="H5725" i="21" s="1"/>
  <c r="G5724" i="21"/>
  <c r="H5724" i="21" s="1"/>
  <c r="G5723" i="21"/>
  <c r="H5723" i="21" s="1"/>
  <c r="G5722" i="21"/>
  <c r="H5722" i="21" s="1"/>
  <c r="G5721" i="21"/>
  <c r="H5721" i="21" s="1"/>
  <c r="G5720" i="21"/>
  <c r="H5720" i="21" s="1"/>
  <c r="G5719" i="21"/>
  <c r="H5719" i="21" s="1"/>
  <c r="G5718" i="21"/>
  <c r="H5718" i="21" s="1"/>
  <c r="G5717" i="21"/>
  <c r="H5717" i="21" s="1"/>
  <c r="G5716" i="21"/>
  <c r="H5716" i="21" s="1"/>
  <c r="G5715" i="21"/>
  <c r="H5715" i="21" s="1"/>
  <c r="G5714" i="21"/>
  <c r="H5714" i="21" s="1"/>
  <c r="G5713" i="21"/>
  <c r="H5713" i="21" s="1"/>
  <c r="G5712" i="21"/>
  <c r="H5712" i="21" s="1"/>
  <c r="G5711" i="21"/>
  <c r="H5711" i="21" s="1"/>
  <c r="G5710" i="21"/>
  <c r="H5710" i="21" s="1"/>
  <c r="G5709" i="21"/>
  <c r="H5709" i="21" s="1"/>
  <c r="G5708" i="21"/>
  <c r="H5708" i="21" s="1"/>
  <c r="G5707" i="21"/>
  <c r="H5707" i="21" s="1"/>
  <c r="G5706" i="21"/>
  <c r="H5706" i="21" s="1"/>
  <c r="G5705" i="21"/>
  <c r="H5705" i="21" s="1"/>
  <c r="G5704" i="21"/>
  <c r="H5704" i="21" s="1"/>
  <c r="G5703" i="21"/>
  <c r="H5703" i="21" s="1"/>
  <c r="G5702" i="21"/>
  <c r="H5702" i="21" s="1"/>
  <c r="G5701" i="21"/>
  <c r="H5701" i="21" s="1"/>
  <c r="G5700" i="21"/>
  <c r="H5700" i="21" s="1"/>
  <c r="G5699" i="21"/>
  <c r="H5699" i="21" s="1"/>
  <c r="G5698" i="21"/>
  <c r="H5698" i="21" s="1"/>
  <c r="G5697" i="21"/>
  <c r="H5697" i="21" s="1"/>
  <c r="G5696" i="21"/>
  <c r="H5696" i="21" s="1"/>
  <c r="G5695" i="21"/>
  <c r="H5695" i="21" s="1"/>
  <c r="G5694" i="21"/>
  <c r="H5694" i="21" s="1"/>
  <c r="G5693" i="21"/>
  <c r="H5693" i="21" s="1"/>
  <c r="G5692" i="21"/>
  <c r="H5692" i="21" s="1"/>
  <c r="G5691" i="21"/>
  <c r="H5691" i="21" s="1"/>
  <c r="G5690" i="21"/>
  <c r="H5690" i="21" s="1"/>
  <c r="G5689" i="21"/>
  <c r="H5689" i="21" s="1"/>
  <c r="G5688" i="21"/>
  <c r="H5688" i="21" s="1"/>
  <c r="G5687" i="21"/>
  <c r="H5687" i="21" s="1"/>
  <c r="G5686" i="21"/>
  <c r="H5686" i="21" s="1"/>
  <c r="G5685" i="21"/>
  <c r="H5685" i="21" s="1"/>
  <c r="G5684" i="21"/>
  <c r="H5684" i="21" s="1"/>
  <c r="G5683" i="21"/>
  <c r="H5683" i="21" s="1"/>
  <c r="G5682" i="21"/>
  <c r="H5682" i="21" s="1"/>
  <c r="G5681" i="21"/>
  <c r="H5681" i="21" s="1"/>
  <c r="G5680" i="21"/>
  <c r="H5680" i="21" s="1"/>
  <c r="G5679" i="21"/>
  <c r="H5679" i="21" s="1"/>
  <c r="G5678" i="21"/>
  <c r="H5678" i="21" s="1"/>
  <c r="G5677" i="21"/>
  <c r="H5677" i="21" s="1"/>
  <c r="G5676" i="21"/>
  <c r="H5676" i="21" s="1"/>
  <c r="G5675" i="21"/>
  <c r="H5675" i="21" s="1"/>
  <c r="G5674" i="21"/>
  <c r="H5674" i="21" s="1"/>
  <c r="G5673" i="21"/>
  <c r="H5673" i="21" s="1"/>
  <c r="G5672" i="21"/>
  <c r="H5672" i="21" s="1"/>
  <c r="G5671" i="21"/>
  <c r="H5671" i="21" s="1"/>
  <c r="G5670" i="21"/>
  <c r="H5670" i="21" s="1"/>
  <c r="G5669" i="21"/>
  <c r="H5669" i="21" s="1"/>
  <c r="G5668" i="21"/>
  <c r="H5668" i="21" s="1"/>
  <c r="G5667" i="21"/>
  <c r="H5667" i="21" s="1"/>
  <c r="G5666" i="21"/>
  <c r="H5666" i="21" s="1"/>
  <c r="G5665" i="21"/>
  <c r="H5665" i="21" s="1"/>
  <c r="G5664" i="21"/>
  <c r="H5664" i="21" s="1"/>
  <c r="G5663" i="21"/>
  <c r="H5663" i="21" s="1"/>
  <c r="G5662" i="21"/>
  <c r="H5662" i="21" s="1"/>
  <c r="G5661" i="21"/>
  <c r="H5661" i="21" s="1"/>
  <c r="G5660" i="21"/>
  <c r="H5660" i="21" s="1"/>
  <c r="G5659" i="21"/>
  <c r="H5659" i="21" s="1"/>
  <c r="G5658" i="21"/>
  <c r="H5658" i="21" s="1"/>
  <c r="G5657" i="21"/>
  <c r="H5657" i="21" s="1"/>
  <c r="G5656" i="21"/>
  <c r="H5656" i="21" s="1"/>
  <c r="G5655" i="21"/>
  <c r="H5655" i="21" s="1"/>
  <c r="G5654" i="21"/>
  <c r="H5654" i="21" s="1"/>
  <c r="G5653" i="21"/>
  <c r="H5653" i="21" s="1"/>
  <c r="G5652" i="21"/>
  <c r="H5652" i="21" s="1"/>
  <c r="G5651" i="21"/>
  <c r="H5651" i="21" s="1"/>
  <c r="G5650" i="21"/>
  <c r="H5650" i="21" s="1"/>
  <c r="G5649" i="21"/>
  <c r="H5649" i="21" s="1"/>
  <c r="G5648" i="21"/>
  <c r="H5648" i="21" s="1"/>
  <c r="G5647" i="21"/>
  <c r="H5647" i="21" s="1"/>
  <c r="G5646" i="21"/>
  <c r="H5646" i="21" s="1"/>
  <c r="G5645" i="21"/>
  <c r="H5645" i="21" s="1"/>
  <c r="G5644" i="21"/>
  <c r="H5644" i="21" s="1"/>
  <c r="G5643" i="21"/>
  <c r="H5643" i="21" s="1"/>
  <c r="G5642" i="21"/>
  <c r="H5642" i="21" s="1"/>
  <c r="G5641" i="21"/>
  <c r="H5641" i="21" s="1"/>
  <c r="G5640" i="21"/>
  <c r="H5640" i="21" s="1"/>
  <c r="G5639" i="21"/>
  <c r="H5639" i="21" s="1"/>
  <c r="G5638" i="21"/>
  <c r="H5638" i="21" s="1"/>
  <c r="G5637" i="21"/>
  <c r="H5637" i="21" s="1"/>
  <c r="G5636" i="21"/>
  <c r="H5636" i="21" s="1"/>
  <c r="G5635" i="21"/>
  <c r="H5635" i="21" s="1"/>
  <c r="G5634" i="21"/>
  <c r="H5634" i="21" s="1"/>
  <c r="G5633" i="21"/>
  <c r="H5633" i="21" s="1"/>
  <c r="G5632" i="21"/>
  <c r="H5632" i="21" s="1"/>
  <c r="G5631" i="21"/>
  <c r="H5631" i="21" s="1"/>
  <c r="G5630" i="21"/>
  <c r="H5630" i="21" s="1"/>
  <c r="G5629" i="21"/>
  <c r="H5629" i="21" s="1"/>
  <c r="G5628" i="21"/>
  <c r="H5628" i="21" s="1"/>
  <c r="G5627" i="21"/>
  <c r="H5627" i="21" s="1"/>
  <c r="G5626" i="21"/>
  <c r="H5626" i="21" s="1"/>
  <c r="G5625" i="21"/>
  <c r="H5625" i="21" s="1"/>
  <c r="G5624" i="21"/>
  <c r="H5624" i="21" s="1"/>
  <c r="G5623" i="21"/>
  <c r="H5623" i="21" s="1"/>
  <c r="G5622" i="21"/>
  <c r="H5622" i="21" s="1"/>
  <c r="G5621" i="21"/>
  <c r="H5621" i="21" s="1"/>
  <c r="G5620" i="21"/>
  <c r="H5620" i="21" s="1"/>
  <c r="G5619" i="21"/>
  <c r="H5619" i="21" s="1"/>
  <c r="G5618" i="21"/>
  <c r="H5618" i="21" s="1"/>
  <c r="G5617" i="21"/>
  <c r="H5617" i="21" s="1"/>
  <c r="G5616" i="21"/>
  <c r="H5616" i="21" s="1"/>
  <c r="G5615" i="21"/>
  <c r="H5615" i="21" s="1"/>
  <c r="G5614" i="21"/>
  <c r="H5614" i="21" s="1"/>
  <c r="G5613" i="21"/>
  <c r="H5613" i="21" s="1"/>
  <c r="G5612" i="21"/>
  <c r="H5612" i="21" s="1"/>
  <c r="G5611" i="21"/>
  <c r="H5611" i="21" s="1"/>
  <c r="G5610" i="21"/>
  <c r="H5610" i="21" s="1"/>
  <c r="G5609" i="21"/>
  <c r="H5609" i="21" s="1"/>
  <c r="G5608" i="21"/>
  <c r="H5608" i="21" s="1"/>
  <c r="G5607" i="21"/>
  <c r="H5607" i="21" s="1"/>
  <c r="G5606" i="21"/>
  <c r="H5606" i="21" s="1"/>
  <c r="G5605" i="21"/>
  <c r="H5605" i="21" s="1"/>
  <c r="G5604" i="21"/>
  <c r="H5604" i="21" s="1"/>
  <c r="G5603" i="21"/>
  <c r="H5603" i="21" s="1"/>
  <c r="G5602" i="21"/>
  <c r="H5602" i="21" s="1"/>
  <c r="G5601" i="21"/>
  <c r="H5601" i="21" s="1"/>
  <c r="G5600" i="21"/>
  <c r="H5600" i="21" s="1"/>
  <c r="G5599" i="21"/>
  <c r="H5599" i="21" s="1"/>
  <c r="G5598" i="21"/>
  <c r="H5598" i="21" s="1"/>
  <c r="G5597" i="21"/>
  <c r="H5597" i="21" s="1"/>
  <c r="G5596" i="21"/>
  <c r="H5596" i="21" s="1"/>
  <c r="G5595" i="21"/>
  <c r="H5595" i="21" s="1"/>
  <c r="G5594" i="21"/>
  <c r="H5594" i="21" s="1"/>
  <c r="G5593" i="21"/>
  <c r="H5593" i="21" s="1"/>
  <c r="G5592" i="21"/>
  <c r="H5592" i="21" s="1"/>
  <c r="G5591" i="21"/>
  <c r="H5591" i="21" s="1"/>
  <c r="G5590" i="21"/>
  <c r="H5590" i="21" s="1"/>
  <c r="G5589" i="21"/>
  <c r="H5589" i="21" s="1"/>
  <c r="G5588" i="21"/>
  <c r="H5588" i="21" s="1"/>
  <c r="G5587" i="21"/>
  <c r="H5587" i="21" s="1"/>
  <c r="G5586" i="21"/>
  <c r="H5586" i="21" s="1"/>
  <c r="G5585" i="21"/>
  <c r="H5585" i="21" s="1"/>
  <c r="G5584" i="21"/>
  <c r="H5584" i="21" s="1"/>
  <c r="G5583" i="21"/>
  <c r="H5583" i="21" s="1"/>
  <c r="G5582" i="21"/>
  <c r="H5582" i="21" s="1"/>
  <c r="G5581" i="21"/>
  <c r="H5581" i="21" s="1"/>
  <c r="G5580" i="21"/>
  <c r="H5580" i="21" s="1"/>
  <c r="G5579" i="21"/>
  <c r="H5579" i="21" s="1"/>
  <c r="G5578" i="21"/>
  <c r="H5578" i="21" s="1"/>
  <c r="G5577" i="21"/>
  <c r="H5577" i="21" s="1"/>
  <c r="G5576" i="21"/>
  <c r="H5576" i="21" s="1"/>
  <c r="G5575" i="21"/>
  <c r="H5575" i="21" s="1"/>
  <c r="G5574" i="21"/>
  <c r="H5574" i="21" s="1"/>
  <c r="G5573" i="21"/>
  <c r="H5573" i="21" s="1"/>
  <c r="G5572" i="21"/>
  <c r="H5572" i="21" s="1"/>
  <c r="G5571" i="21"/>
  <c r="H5571" i="21" s="1"/>
  <c r="G5570" i="21"/>
  <c r="H5570" i="21" s="1"/>
  <c r="G5569" i="21"/>
  <c r="H5569" i="21" s="1"/>
  <c r="G5568" i="21"/>
  <c r="H5568" i="21" s="1"/>
  <c r="G5567" i="21"/>
  <c r="H5567" i="21" s="1"/>
  <c r="G5566" i="21"/>
  <c r="H5566" i="21" s="1"/>
  <c r="G5565" i="21"/>
  <c r="H5565" i="21" s="1"/>
  <c r="G5564" i="21"/>
  <c r="H5564" i="21" s="1"/>
  <c r="G5563" i="21"/>
  <c r="H5563" i="21" s="1"/>
  <c r="G5562" i="21"/>
  <c r="H5562" i="21" s="1"/>
  <c r="G5561" i="21"/>
  <c r="H5561" i="21" s="1"/>
  <c r="G5560" i="21"/>
  <c r="H5560" i="21" s="1"/>
  <c r="G5559" i="21"/>
  <c r="H5559" i="21" s="1"/>
  <c r="G5558" i="21"/>
  <c r="H5558" i="21" s="1"/>
  <c r="G5557" i="21"/>
  <c r="H5557" i="21" s="1"/>
  <c r="G5556" i="21"/>
  <c r="H5556" i="21" s="1"/>
  <c r="G5555" i="21"/>
  <c r="H5555" i="21" s="1"/>
  <c r="G5554" i="21"/>
  <c r="H5554" i="21" s="1"/>
  <c r="G5553" i="21"/>
  <c r="H5553" i="21" s="1"/>
  <c r="G5552" i="21"/>
  <c r="H5552" i="21" s="1"/>
  <c r="G5551" i="21"/>
  <c r="H5551" i="21" s="1"/>
  <c r="G5550" i="21"/>
  <c r="H5550" i="21" s="1"/>
  <c r="G5549" i="21"/>
  <c r="H5549" i="21" s="1"/>
  <c r="G5548" i="21"/>
  <c r="H5548" i="21" s="1"/>
  <c r="G5547" i="21"/>
  <c r="H5547" i="21" s="1"/>
  <c r="G5546" i="21"/>
  <c r="H5546" i="21" s="1"/>
  <c r="G5545" i="21"/>
  <c r="H5545" i="21" s="1"/>
  <c r="G5544" i="21"/>
  <c r="H5544" i="21" s="1"/>
  <c r="G5543" i="21"/>
  <c r="H5543" i="21" s="1"/>
  <c r="G5542" i="21"/>
  <c r="H5542" i="21" s="1"/>
  <c r="G5541" i="21"/>
  <c r="H5541" i="21" s="1"/>
  <c r="G5540" i="21"/>
  <c r="H5540" i="21" s="1"/>
  <c r="G5539" i="21"/>
  <c r="H5539" i="21" s="1"/>
  <c r="G5538" i="21"/>
  <c r="H5538" i="21" s="1"/>
  <c r="G5537" i="21"/>
  <c r="H5537" i="21" s="1"/>
  <c r="G5536" i="21"/>
  <c r="H5536" i="21" s="1"/>
  <c r="G5535" i="21"/>
  <c r="H5535" i="21" s="1"/>
  <c r="G5534" i="21"/>
  <c r="H5534" i="21" s="1"/>
  <c r="G5533" i="21"/>
  <c r="H5533" i="21" s="1"/>
  <c r="G5532" i="21"/>
  <c r="H5532" i="21" s="1"/>
  <c r="G5531" i="21"/>
  <c r="H5531" i="21" s="1"/>
  <c r="G5530" i="21"/>
  <c r="H5530" i="21" s="1"/>
  <c r="G5529" i="21"/>
  <c r="H5529" i="21" s="1"/>
  <c r="G5528" i="21"/>
  <c r="H5528" i="21" s="1"/>
  <c r="G5527" i="21"/>
  <c r="H5527" i="21" s="1"/>
  <c r="G5526" i="21"/>
  <c r="H5526" i="21" s="1"/>
  <c r="G5525" i="21"/>
  <c r="H5525" i="21" s="1"/>
  <c r="G5524" i="21"/>
  <c r="H5524" i="21" s="1"/>
  <c r="G5523" i="21"/>
  <c r="H5523" i="21" s="1"/>
  <c r="G5522" i="21"/>
  <c r="H5522" i="21" s="1"/>
  <c r="G5521" i="21"/>
  <c r="H5521" i="21" s="1"/>
  <c r="G5520" i="21"/>
  <c r="H5520" i="21" s="1"/>
  <c r="G5519" i="21"/>
  <c r="H5519" i="21" s="1"/>
  <c r="G5518" i="21"/>
  <c r="H5518" i="21" s="1"/>
  <c r="G5517" i="21"/>
  <c r="H5517" i="21" s="1"/>
  <c r="G5516" i="21"/>
  <c r="H5516" i="21" s="1"/>
  <c r="G5515" i="21"/>
  <c r="H5515" i="21" s="1"/>
  <c r="G5514" i="21"/>
  <c r="H5514" i="21" s="1"/>
  <c r="G5513" i="21"/>
  <c r="H5513" i="21" s="1"/>
  <c r="G5512" i="21"/>
  <c r="H5512" i="21" s="1"/>
  <c r="G5511" i="21"/>
  <c r="H5511" i="21" s="1"/>
  <c r="G5510" i="21"/>
  <c r="H5510" i="21" s="1"/>
  <c r="G5509" i="21"/>
  <c r="H5509" i="21" s="1"/>
  <c r="G5508" i="21"/>
  <c r="H5508" i="21" s="1"/>
  <c r="G5507" i="21"/>
  <c r="H5507" i="21" s="1"/>
  <c r="G5506" i="21"/>
  <c r="H5506" i="21" s="1"/>
  <c r="G5505" i="21"/>
  <c r="H5505" i="21" s="1"/>
  <c r="G5504" i="21"/>
  <c r="H5504" i="21" s="1"/>
  <c r="G5503" i="21"/>
  <c r="H5503" i="21" s="1"/>
  <c r="G5502" i="21"/>
  <c r="H5502" i="21" s="1"/>
  <c r="G5501" i="21"/>
  <c r="H5501" i="21" s="1"/>
  <c r="G5500" i="21"/>
  <c r="H5500" i="21" s="1"/>
  <c r="G5499" i="21"/>
  <c r="H5499" i="21" s="1"/>
  <c r="G5498" i="21"/>
  <c r="H5498" i="21" s="1"/>
  <c r="G5497" i="21"/>
  <c r="H5497" i="21" s="1"/>
  <c r="G5496" i="21"/>
  <c r="H5496" i="21" s="1"/>
  <c r="G5495" i="21"/>
  <c r="H5495" i="21" s="1"/>
  <c r="G5494" i="21"/>
  <c r="H5494" i="21" s="1"/>
  <c r="G5493" i="21"/>
  <c r="H5493" i="21" s="1"/>
  <c r="G5492" i="21"/>
  <c r="H5492" i="21" s="1"/>
  <c r="G5491" i="21"/>
  <c r="H5491" i="21" s="1"/>
  <c r="G5490" i="21"/>
  <c r="H5490" i="21" s="1"/>
  <c r="G5489" i="21"/>
  <c r="H5489" i="21" s="1"/>
  <c r="G5488" i="21"/>
  <c r="H5488" i="21" s="1"/>
  <c r="G5487" i="21"/>
  <c r="H5487" i="21" s="1"/>
  <c r="G5486" i="21"/>
  <c r="H5486" i="21" s="1"/>
  <c r="G5485" i="21"/>
  <c r="H5485" i="21" s="1"/>
  <c r="G5484" i="21"/>
  <c r="H5484" i="21" s="1"/>
  <c r="G5483" i="21"/>
  <c r="H5483" i="21" s="1"/>
  <c r="G5482" i="21"/>
  <c r="H5482" i="21" s="1"/>
  <c r="G5481" i="21"/>
  <c r="H5481" i="21" s="1"/>
  <c r="G5480" i="21"/>
  <c r="H5480" i="21" s="1"/>
  <c r="G5479" i="21"/>
  <c r="H5479" i="21" s="1"/>
  <c r="G5478" i="21"/>
  <c r="H5478" i="21" s="1"/>
  <c r="G5477" i="21"/>
  <c r="H5477" i="21" s="1"/>
  <c r="G5476" i="21"/>
  <c r="H5476" i="21" s="1"/>
  <c r="G5475" i="21"/>
  <c r="H5475" i="21" s="1"/>
  <c r="G5474" i="21"/>
  <c r="H5474" i="21" s="1"/>
  <c r="G5473" i="21"/>
  <c r="H5473" i="21" s="1"/>
  <c r="G5472" i="21"/>
  <c r="H5472" i="21" s="1"/>
  <c r="G5471" i="21"/>
  <c r="H5471" i="21" s="1"/>
  <c r="G5470" i="21"/>
  <c r="H5470" i="21" s="1"/>
  <c r="G5469" i="21"/>
  <c r="H5469" i="21" s="1"/>
  <c r="G5468" i="21"/>
  <c r="H5468" i="21" s="1"/>
  <c r="G5467" i="21"/>
  <c r="H5467" i="21" s="1"/>
  <c r="G5466" i="21"/>
  <c r="H5466" i="21" s="1"/>
  <c r="G5465" i="21"/>
  <c r="H5465" i="21" s="1"/>
  <c r="G5464" i="21"/>
  <c r="H5464" i="21" s="1"/>
  <c r="G5463" i="21"/>
  <c r="H5463" i="21" s="1"/>
  <c r="G5462" i="21"/>
  <c r="H5462" i="21" s="1"/>
  <c r="G5461" i="21"/>
  <c r="H5461" i="21" s="1"/>
  <c r="G5460" i="21"/>
  <c r="H5460" i="21" s="1"/>
  <c r="G5459" i="21"/>
  <c r="H5459" i="21" s="1"/>
  <c r="G5458" i="21"/>
  <c r="H5458" i="21" s="1"/>
  <c r="G5457" i="21"/>
  <c r="H5457" i="21" s="1"/>
  <c r="G5456" i="21"/>
  <c r="H5456" i="21" s="1"/>
  <c r="G5455" i="21"/>
  <c r="H5455" i="21" s="1"/>
  <c r="G5454" i="21"/>
  <c r="H5454" i="21" s="1"/>
  <c r="G5453" i="21"/>
  <c r="H5453" i="21" s="1"/>
  <c r="G5452" i="21"/>
  <c r="H5452" i="21" s="1"/>
  <c r="G5451" i="21"/>
  <c r="H5451" i="21" s="1"/>
  <c r="G5450" i="21"/>
  <c r="H5450" i="21" s="1"/>
  <c r="G5449" i="21"/>
  <c r="H5449" i="21" s="1"/>
  <c r="G5448" i="21"/>
  <c r="H5448" i="21" s="1"/>
  <c r="G5447" i="21"/>
  <c r="H5447" i="21" s="1"/>
  <c r="G5446" i="21"/>
  <c r="H5446" i="21" s="1"/>
  <c r="G5445" i="21"/>
  <c r="H5445" i="21" s="1"/>
  <c r="G5444" i="21"/>
  <c r="H5444" i="21" s="1"/>
  <c r="G5443" i="21"/>
  <c r="H5443" i="21" s="1"/>
  <c r="G5442" i="21"/>
  <c r="H5442" i="21" s="1"/>
  <c r="G5441" i="21"/>
  <c r="H5441" i="21" s="1"/>
  <c r="G5440" i="21"/>
  <c r="H5440" i="21" s="1"/>
  <c r="G5439" i="21"/>
  <c r="H5439" i="21" s="1"/>
  <c r="G5438" i="21"/>
  <c r="H5438" i="21" s="1"/>
  <c r="G5437" i="21"/>
  <c r="H5437" i="21" s="1"/>
  <c r="G5436" i="21"/>
  <c r="H5436" i="21" s="1"/>
  <c r="G5435" i="21"/>
  <c r="H5435" i="21" s="1"/>
  <c r="G5434" i="21"/>
  <c r="H5434" i="21" s="1"/>
  <c r="G5433" i="21"/>
  <c r="H5433" i="21" s="1"/>
  <c r="G5432" i="21"/>
  <c r="H5432" i="21" s="1"/>
  <c r="G5431" i="21"/>
  <c r="H5431" i="21" s="1"/>
  <c r="G5430" i="21"/>
  <c r="H5430" i="21" s="1"/>
  <c r="G5429" i="21"/>
  <c r="H5429" i="21" s="1"/>
  <c r="G5428" i="21"/>
  <c r="H5428" i="21" s="1"/>
  <c r="G5427" i="21"/>
  <c r="H5427" i="21" s="1"/>
  <c r="G5426" i="21"/>
  <c r="H5426" i="21" s="1"/>
  <c r="G5425" i="21"/>
  <c r="H5425" i="21" s="1"/>
  <c r="G5424" i="21"/>
  <c r="H5424" i="21" s="1"/>
  <c r="G5423" i="21"/>
  <c r="H5423" i="21" s="1"/>
  <c r="G5422" i="21"/>
  <c r="H5422" i="21" s="1"/>
  <c r="G5421" i="21"/>
  <c r="H5421" i="21" s="1"/>
  <c r="G5420" i="21"/>
  <c r="H5420" i="21" s="1"/>
  <c r="G5419" i="21"/>
  <c r="H5419" i="21" s="1"/>
  <c r="G5418" i="21"/>
  <c r="H5418" i="21" s="1"/>
  <c r="G5417" i="21"/>
  <c r="H5417" i="21" s="1"/>
  <c r="G5416" i="21"/>
  <c r="H5416" i="21" s="1"/>
  <c r="G5415" i="21"/>
  <c r="H5415" i="21" s="1"/>
  <c r="G5414" i="21"/>
  <c r="H5414" i="21" s="1"/>
  <c r="G5413" i="21"/>
  <c r="H5413" i="21" s="1"/>
  <c r="G5412" i="21"/>
  <c r="H5412" i="21" s="1"/>
  <c r="G5411" i="21"/>
  <c r="H5411" i="21" s="1"/>
  <c r="G5410" i="21"/>
  <c r="H5410" i="21" s="1"/>
  <c r="G5409" i="21"/>
  <c r="H5409" i="21" s="1"/>
  <c r="G5408" i="21"/>
  <c r="H5408" i="21" s="1"/>
  <c r="G5407" i="21"/>
  <c r="H5407" i="21" s="1"/>
  <c r="G5406" i="21"/>
  <c r="H5406" i="21" s="1"/>
  <c r="G5405" i="21"/>
  <c r="H5405" i="21" s="1"/>
  <c r="G5404" i="21"/>
  <c r="H5404" i="21" s="1"/>
  <c r="G5403" i="21"/>
  <c r="H5403" i="21" s="1"/>
  <c r="G5402" i="21"/>
  <c r="H5402" i="21" s="1"/>
  <c r="G5401" i="21"/>
  <c r="H5401" i="21" s="1"/>
  <c r="G5400" i="21"/>
  <c r="H5400" i="21" s="1"/>
  <c r="G5399" i="21"/>
  <c r="H5399" i="21" s="1"/>
  <c r="G5398" i="21"/>
  <c r="H5398" i="21" s="1"/>
  <c r="G5397" i="21"/>
  <c r="H5397" i="21" s="1"/>
  <c r="G5396" i="21"/>
  <c r="H5396" i="21" s="1"/>
  <c r="G5395" i="21"/>
  <c r="H5395" i="21" s="1"/>
  <c r="G5394" i="21"/>
  <c r="H5394" i="21" s="1"/>
  <c r="G5393" i="21"/>
  <c r="H5393" i="21" s="1"/>
  <c r="G5392" i="21"/>
  <c r="H5392" i="21" s="1"/>
  <c r="G5391" i="21"/>
  <c r="H5391" i="21" s="1"/>
  <c r="G5390" i="21"/>
  <c r="H5390" i="21" s="1"/>
  <c r="G5389" i="21"/>
  <c r="H5389" i="21" s="1"/>
  <c r="G5388" i="21"/>
  <c r="H5388" i="21" s="1"/>
  <c r="G5387" i="21"/>
  <c r="H5387" i="21" s="1"/>
  <c r="G5386" i="21"/>
  <c r="H5386" i="21" s="1"/>
  <c r="G5385" i="21"/>
  <c r="H5385" i="21" s="1"/>
  <c r="G5384" i="21"/>
  <c r="H5384" i="21" s="1"/>
  <c r="G5383" i="21"/>
  <c r="H5383" i="21" s="1"/>
  <c r="G5382" i="21"/>
  <c r="H5382" i="21" s="1"/>
  <c r="G5381" i="21"/>
  <c r="H5381" i="21" s="1"/>
  <c r="G5380" i="21"/>
  <c r="H5380" i="21" s="1"/>
  <c r="G5379" i="21"/>
  <c r="H5379" i="21" s="1"/>
  <c r="G5378" i="21"/>
  <c r="H5378" i="21" s="1"/>
  <c r="G5377" i="21"/>
  <c r="H5377" i="21" s="1"/>
  <c r="G5376" i="21"/>
  <c r="H5376" i="21" s="1"/>
  <c r="G5375" i="21"/>
  <c r="H5375" i="21" s="1"/>
  <c r="G5374" i="21"/>
  <c r="H5374" i="21" s="1"/>
  <c r="G5373" i="21"/>
  <c r="H5373" i="21" s="1"/>
  <c r="G5372" i="21"/>
  <c r="H5372" i="21" s="1"/>
  <c r="G5371" i="21"/>
  <c r="H5371" i="21" s="1"/>
  <c r="G5370" i="21"/>
  <c r="H5370" i="21" s="1"/>
  <c r="G5369" i="21"/>
  <c r="H5369" i="21" s="1"/>
  <c r="G5368" i="21"/>
  <c r="H5368" i="21" s="1"/>
  <c r="G5367" i="21"/>
  <c r="H5367" i="21" s="1"/>
  <c r="G5366" i="21"/>
  <c r="H5366" i="21" s="1"/>
  <c r="G5365" i="21"/>
  <c r="H5365" i="21" s="1"/>
  <c r="G5364" i="21"/>
  <c r="H5364" i="21" s="1"/>
  <c r="G5363" i="21"/>
  <c r="H5363" i="21" s="1"/>
  <c r="G5362" i="21"/>
  <c r="H5362" i="21" s="1"/>
  <c r="G5361" i="21"/>
  <c r="H5361" i="21" s="1"/>
  <c r="G5360" i="21"/>
  <c r="H5360" i="21" s="1"/>
  <c r="G5359" i="21"/>
  <c r="H5359" i="21" s="1"/>
  <c r="G5358" i="21"/>
  <c r="H5358" i="21" s="1"/>
  <c r="G5357" i="21"/>
  <c r="H5357" i="21" s="1"/>
  <c r="G5356" i="21"/>
  <c r="H5356" i="21" s="1"/>
  <c r="G5355" i="21"/>
  <c r="H5355" i="21" s="1"/>
  <c r="G5354" i="21"/>
  <c r="H5354" i="21" s="1"/>
  <c r="G5353" i="21"/>
  <c r="H5353" i="21" s="1"/>
  <c r="G5352" i="21"/>
  <c r="H5352" i="21" s="1"/>
  <c r="G5351" i="21"/>
  <c r="H5351" i="21" s="1"/>
  <c r="G5350" i="21"/>
  <c r="H5350" i="21" s="1"/>
  <c r="G5349" i="21"/>
  <c r="H5349" i="21" s="1"/>
  <c r="G5348" i="21"/>
  <c r="H5348" i="21" s="1"/>
  <c r="G5347" i="21"/>
  <c r="H5347" i="21" s="1"/>
  <c r="G5346" i="21"/>
  <c r="H5346" i="21" s="1"/>
  <c r="G5345" i="21"/>
  <c r="H5345" i="21" s="1"/>
  <c r="G5344" i="21"/>
  <c r="H5344" i="21" s="1"/>
  <c r="G5343" i="21"/>
  <c r="H5343" i="21" s="1"/>
  <c r="G5342" i="21"/>
  <c r="H5342" i="21" s="1"/>
  <c r="G5341" i="21"/>
  <c r="H5341" i="21" s="1"/>
  <c r="G5340" i="21"/>
  <c r="H5340" i="21" s="1"/>
  <c r="G5339" i="21"/>
  <c r="H5339" i="21" s="1"/>
  <c r="G5338" i="21"/>
  <c r="H5338" i="21" s="1"/>
  <c r="G5337" i="21"/>
  <c r="H5337" i="21" s="1"/>
  <c r="G5336" i="21"/>
  <c r="H5336" i="21" s="1"/>
  <c r="G5335" i="21"/>
  <c r="H5335" i="21" s="1"/>
  <c r="G5334" i="21"/>
  <c r="H5334" i="21" s="1"/>
  <c r="G5333" i="21"/>
  <c r="H5333" i="21" s="1"/>
  <c r="G5332" i="21"/>
  <c r="H5332" i="21" s="1"/>
  <c r="G5331" i="21"/>
  <c r="H5331" i="21" s="1"/>
  <c r="G5330" i="21"/>
  <c r="H5330" i="21" s="1"/>
  <c r="G5329" i="21"/>
  <c r="H5329" i="21" s="1"/>
  <c r="G5328" i="21"/>
  <c r="H5328" i="21" s="1"/>
  <c r="G5327" i="21"/>
  <c r="H5327" i="21" s="1"/>
  <c r="G5326" i="21"/>
  <c r="H5326" i="21" s="1"/>
  <c r="G5325" i="21"/>
  <c r="H5325" i="21" s="1"/>
  <c r="G5324" i="21"/>
  <c r="H5324" i="21" s="1"/>
  <c r="G5323" i="21"/>
  <c r="H5323" i="21" s="1"/>
  <c r="G5322" i="21"/>
  <c r="H5322" i="21" s="1"/>
  <c r="G5321" i="21"/>
  <c r="H5321" i="21" s="1"/>
  <c r="G5320" i="21"/>
  <c r="H5320" i="21" s="1"/>
  <c r="G5319" i="21"/>
  <c r="H5319" i="21" s="1"/>
  <c r="G5318" i="21"/>
  <c r="H5318" i="21" s="1"/>
  <c r="G5317" i="21"/>
  <c r="H5317" i="21" s="1"/>
  <c r="G5316" i="21"/>
  <c r="H5316" i="21" s="1"/>
  <c r="G5315" i="21"/>
  <c r="H5315" i="21" s="1"/>
  <c r="H5314" i="21"/>
  <c r="G5314" i="21"/>
  <c r="G5313" i="21"/>
  <c r="H5313" i="21" s="1"/>
  <c r="G5312" i="21"/>
  <c r="H5312" i="21" s="1"/>
  <c r="G5311" i="21"/>
  <c r="H5311" i="21" s="1"/>
  <c r="G5310" i="21"/>
  <c r="H5310" i="21" s="1"/>
  <c r="G5309" i="21"/>
  <c r="H5309" i="21" s="1"/>
  <c r="G5308" i="21"/>
  <c r="H5308" i="21" s="1"/>
  <c r="G5307" i="21"/>
  <c r="H5307" i="21" s="1"/>
  <c r="G5306" i="21"/>
  <c r="H5306" i="21" s="1"/>
  <c r="G5305" i="21"/>
  <c r="H5305" i="21" s="1"/>
  <c r="G5304" i="21"/>
  <c r="H5304" i="21" s="1"/>
  <c r="G5303" i="21"/>
  <c r="H5303" i="21" s="1"/>
  <c r="G5302" i="21"/>
  <c r="H5302" i="21" s="1"/>
  <c r="G5301" i="21"/>
  <c r="H5301" i="21" s="1"/>
  <c r="G5300" i="21"/>
  <c r="H5300" i="21" s="1"/>
  <c r="G5299" i="21"/>
  <c r="H5299" i="21" s="1"/>
  <c r="G5298" i="21"/>
  <c r="H5298" i="21" s="1"/>
  <c r="G5297" i="21"/>
  <c r="H5297" i="21" s="1"/>
  <c r="G5296" i="21"/>
  <c r="H5296" i="21" s="1"/>
  <c r="G5295" i="21"/>
  <c r="H5295" i="21" s="1"/>
  <c r="G5294" i="21"/>
  <c r="H5294" i="21" s="1"/>
  <c r="G5293" i="21"/>
  <c r="H5293" i="21" s="1"/>
  <c r="G5292" i="21"/>
  <c r="H5292" i="21" s="1"/>
  <c r="G5291" i="21"/>
  <c r="H5291" i="21" s="1"/>
  <c r="G5290" i="21"/>
  <c r="H5290" i="21" s="1"/>
  <c r="G5289" i="21"/>
  <c r="H5289" i="21" s="1"/>
  <c r="G5288" i="21"/>
  <c r="H5288" i="21" s="1"/>
  <c r="G5287" i="21"/>
  <c r="H5287" i="21" s="1"/>
  <c r="G5286" i="21"/>
  <c r="H5286" i="21" s="1"/>
  <c r="G5285" i="21"/>
  <c r="H5285" i="21" s="1"/>
  <c r="G5284" i="21"/>
  <c r="H5284" i="21" s="1"/>
  <c r="G5283" i="21"/>
  <c r="H5283" i="21" s="1"/>
  <c r="G5282" i="21"/>
  <c r="H5282" i="21" s="1"/>
  <c r="G5281" i="21"/>
  <c r="H5281" i="21" s="1"/>
  <c r="G5280" i="21"/>
  <c r="H5280" i="21" s="1"/>
  <c r="G5279" i="21"/>
  <c r="H5279" i="21" s="1"/>
  <c r="G5278" i="21"/>
  <c r="H5278" i="21" s="1"/>
  <c r="G5277" i="21"/>
  <c r="H5277" i="21" s="1"/>
  <c r="G5276" i="21"/>
  <c r="H5276" i="21" s="1"/>
  <c r="G5275" i="21"/>
  <c r="H5275" i="21" s="1"/>
  <c r="G5274" i="21"/>
  <c r="H5274" i="21" s="1"/>
  <c r="G5273" i="21"/>
  <c r="H5273" i="21" s="1"/>
  <c r="G5272" i="21"/>
  <c r="H5272" i="21" s="1"/>
  <c r="G5271" i="21"/>
  <c r="H5271" i="21" s="1"/>
  <c r="G5270" i="21"/>
  <c r="H5270" i="21" s="1"/>
  <c r="G5269" i="21"/>
  <c r="H5269" i="21" s="1"/>
  <c r="G5268" i="21"/>
  <c r="H5268" i="21" s="1"/>
  <c r="G5267" i="21"/>
  <c r="H5267" i="21" s="1"/>
  <c r="G5266" i="21"/>
  <c r="H5266" i="21" s="1"/>
  <c r="G5265" i="21"/>
  <c r="H5265" i="21" s="1"/>
  <c r="G5264" i="21"/>
  <c r="H5264" i="21" s="1"/>
  <c r="G5263" i="21"/>
  <c r="H5263" i="21" s="1"/>
  <c r="G5262" i="21"/>
  <c r="H5262" i="21" s="1"/>
  <c r="G5261" i="21"/>
  <c r="H5261" i="21" s="1"/>
  <c r="G5260" i="21"/>
  <c r="H5260" i="21" s="1"/>
  <c r="G5259" i="21"/>
  <c r="H5259" i="21" s="1"/>
  <c r="G5258" i="21"/>
  <c r="H5258" i="21" s="1"/>
  <c r="G5257" i="21"/>
  <c r="H5257" i="21" s="1"/>
  <c r="G5256" i="21"/>
  <c r="H5256" i="21" s="1"/>
  <c r="G5255" i="21"/>
  <c r="H5255" i="21" s="1"/>
  <c r="G5254" i="21"/>
  <c r="H5254" i="21" s="1"/>
  <c r="G5253" i="21"/>
  <c r="H5253" i="21" s="1"/>
  <c r="G5252" i="21"/>
  <c r="H5252" i="21" s="1"/>
  <c r="G5251" i="21"/>
  <c r="H5251" i="21" s="1"/>
  <c r="G5250" i="21"/>
  <c r="H5250" i="21" s="1"/>
  <c r="G5249" i="21"/>
  <c r="H5249" i="21" s="1"/>
  <c r="G5248" i="21"/>
  <c r="H5248" i="21" s="1"/>
  <c r="G5247" i="21"/>
  <c r="H5247" i="21" s="1"/>
  <c r="G5246" i="21"/>
  <c r="H5246" i="21" s="1"/>
  <c r="G5245" i="21"/>
  <c r="H5245" i="21" s="1"/>
  <c r="G5244" i="21"/>
  <c r="H5244" i="21" s="1"/>
  <c r="G5243" i="21"/>
  <c r="H5243" i="21" s="1"/>
  <c r="G5242" i="21"/>
  <c r="H5242" i="21" s="1"/>
  <c r="G5241" i="21"/>
  <c r="H5241" i="21" s="1"/>
  <c r="G5240" i="21"/>
  <c r="H5240" i="21" s="1"/>
  <c r="G5239" i="21"/>
  <c r="H5239" i="21" s="1"/>
  <c r="G5238" i="21"/>
  <c r="H5238" i="21" s="1"/>
  <c r="G5237" i="21"/>
  <c r="H5237" i="21" s="1"/>
  <c r="G5236" i="21"/>
  <c r="H5236" i="21" s="1"/>
  <c r="H5235" i="21"/>
  <c r="G5235" i="21"/>
  <c r="G5234" i="21"/>
  <c r="H5234" i="21" s="1"/>
  <c r="G5233" i="21"/>
  <c r="H5233" i="21" s="1"/>
  <c r="G5232" i="21"/>
  <c r="H5232" i="21" s="1"/>
  <c r="G5231" i="21"/>
  <c r="H5231" i="21" s="1"/>
  <c r="G5230" i="21"/>
  <c r="H5230" i="21" s="1"/>
  <c r="G5229" i="21"/>
  <c r="H5229" i="21" s="1"/>
  <c r="G5228" i="21"/>
  <c r="H5228" i="21" s="1"/>
  <c r="G5227" i="21"/>
  <c r="H5227" i="21" s="1"/>
  <c r="G5226" i="21"/>
  <c r="H5226" i="21" s="1"/>
  <c r="G5225" i="21"/>
  <c r="H5225" i="21" s="1"/>
  <c r="G5224" i="21"/>
  <c r="H5224" i="21" s="1"/>
  <c r="G5223" i="21"/>
  <c r="H5223" i="21" s="1"/>
  <c r="G5222" i="21"/>
  <c r="H5222" i="21" s="1"/>
  <c r="G5221" i="21"/>
  <c r="H5221" i="21" s="1"/>
  <c r="G5220" i="21"/>
  <c r="H5220" i="21" s="1"/>
  <c r="G5219" i="21"/>
  <c r="H5219" i="21" s="1"/>
  <c r="G5218" i="21"/>
  <c r="H5218" i="21" s="1"/>
  <c r="G5217" i="21"/>
  <c r="H5217" i="21" s="1"/>
  <c r="G5216" i="21"/>
  <c r="H5216" i="21" s="1"/>
  <c r="G5215" i="21"/>
  <c r="H5215" i="21" s="1"/>
  <c r="G5214" i="21"/>
  <c r="H5214" i="21" s="1"/>
  <c r="G5213" i="21"/>
  <c r="H5213" i="21" s="1"/>
  <c r="G5212" i="21"/>
  <c r="H5212" i="21" s="1"/>
  <c r="G5211" i="21"/>
  <c r="H5211" i="21" s="1"/>
  <c r="G5210" i="21"/>
  <c r="H5210" i="21" s="1"/>
  <c r="G5209" i="21"/>
  <c r="H5209" i="21" s="1"/>
  <c r="G5208" i="21"/>
  <c r="H5208" i="21" s="1"/>
  <c r="G5207" i="21"/>
  <c r="H5207" i="21" s="1"/>
  <c r="G5206" i="21"/>
  <c r="H5206" i="21" s="1"/>
  <c r="G5205" i="21"/>
  <c r="H5205" i="21" s="1"/>
  <c r="G5204" i="21"/>
  <c r="H5204" i="21" s="1"/>
  <c r="G5203" i="21"/>
  <c r="H5203" i="21" s="1"/>
  <c r="G5202" i="21"/>
  <c r="H5202" i="21" s="1"/>
  <c r="G5201" i="21"/>
  <c r="H5201" i="21" s="1"/>
  <c r="G5200" i="21"/>
  <c r="H5200" i="21" s="1"/>
  <c r="G5199" i="21"/>
  <c r="H5199" i="21" s="1"/>
  <c r="G5198" i="21"/>
  <c r="H5198" i="21" s="1"/>
  <c r="G5197" i="21"/>
  <c r="H5197" i="21" s="1"/>
  <c r="G5196" i="21"/>
  <c r="H5196" i="21" s="1"/>
  <c r="G5195" i="21"/>
  <c r="H5195" i="21" s="1"/>
  <c r="G5194" i="21"/>
  <c r="H5194" i="21" s="1"/>
  <c r="G5193" i="21"/>
  <c r="H5193" i="21" s="1"/>
  <c r="G5192" i="21"/>
  <c r="H5192" i="21" s="1"/>
  <c r="G5191" i="21"/>
  <c r="H5191" i="21" s="1"/>
  <c r="G5190" i="21"/>
  <c r="H5190" i="21" s="1"/>
  <c r="G5189" i="21"/>
  <c r="H5189" i="21" s="1"/>
  <c r="G5188" i="21"/>
  <c r="H5188" i="21" s="1"/>
  <c r="G5187" i="21"/>
  <c r="H5187" i="21" s="1"/>
  <c r="G5186" i="21"/>
  <c r="H5186" i="21" s="1"/>
  <c r="G5185" i="21"/>
  <c r="H5185" i="21" s="1"/>
  <c r="G5184" i="21"/>
  <c r="H5184" i="21" s="1"/>
  <c r="G5183" i="21"/>
  <c r="H5183" i="21" s="1"/>
  <c r="G5182" i="21"/>
  <c r="H5182" i="21" s="1"/>
  <c r="G5181" i="21"/>
  <c r="H5181" i="21" s="1"/>
  <c r="G5180" i="21"/>
  <c r="H5180" i="21" s="1"/>
  <c r="G5179" i="21"/>
  <c r="H5179" i="21" s="1"/>
  <c r="H5178" i="21"/>
  <c r="G5178" i="21"/>
  <c r="G5177" i="21"/>
  <c r="H5177" i="21" s="1"/>
  <c r="G5176" i="21"/>
  <c r="H5176" i="21" s="1"/>
  <c r="G5175" i="21"/>
  <c r="H5175" i="21" s="1"/>
  <c r="G5174" i="21"/>
  <c r="H5174" i="21" s="1"/>
  <c r="G5173" i="21"/>
  <c r="H5173" i="21" s="1"/>
  <c r="G5172" i="21"/>
  <c r="H5172" i="21" s="1"/>
  <c r="G5171" i="21"/>
  <c r="H5171" i="21" s="1"/>
  <c r="G5170" i="21"/>
  <c r="H5170" i="21" s="1"/>
  <c r="G5169" i="21"/>
  <c r="H5169" i="21" s="1"/>
  <c r="G5168" i="21"/>
  <c r="H5168" i="21" s="1"/>
  <c r="G5167" i="21"/>
  <c r="H5167" i="21" s="1"/>
  <c r="G5166" i="21"/>
  <c r="H5166" i="21" s="1"/>
  <c r="G5165" i="21"/>
  <c r="H5165" i="21" s="1"/>
  <c r="G5164" i="21"/>
  <c r="H5164" i="21" s="1"/>
  <c r="G5163" i="21"/>
  <c r="H5163" i="21" s="1"/>
  <c r="G5162" i="21"/>
  <c r="H5162" i="21" s="1"/>
  <c r="G5161" i="21"/>
  <c r="H5161" i="21" s="1"/>
  <c r="G5160" i="21"/>
  <c r="H5160" i="21" s="1"/>
  <c r="G5159" i="21"/>
  <c r="H5159" i="21" s="1"/>
  <c r="G5158" i="21"/>
  <c r="H5158" i="21" s="1"/>
  <c r="G5157" i="21"/>
  <c r="H5157" i="21" s="1"/>
  <c r="G5156" i="21"/>
  <c r="H5156" i="21" s="1"/>
  <c r="G5155" i="21"/>
  <c r="H5155" i="21" s="1"/>
  <c r="G5154" i="21"/>
  <c r="H5154" i="21" s="1"/>
  <c r="G5153" i="21"/>
  <c r="H5153" i="21" s="1"/>
  <c r="G5152" i="21"/>
  <c r="H5152" i="21" s="1"/>
  <c r="G5151" i="21"/>
  <c r="H5151" i="21" s="1"/>
  <c r="G5150" i="21"/>
  <c r="H5150" i="21" s="1"/>
  <c r="G5149" i="21"/>
  <c r="H5149" i="21" s="1"/>
  <c r="G5148" i="21"/>
  <c r="H5148" i="21" s="1"/>
  <c r="G5147" i="21"/>
  <c r="H5147" i="21" s="1"/>
  <c r="G5146" i="21"/>
  <c r="H5146" i="21" s="1"/>
  <c r="G5145" i="21"/>
  <c r="H5145" i="21" s="1"/>
  <c r="H5144" i="21"/>
  <c r="G5144" i="21"/>
  <c r="G5143" i="21"/>
  <c r="H5143" i="21" s="1"/>
  <c r="H5142" i="21"/>
  <c r="G5142" i="21"/>
  <c r="G5141" i="21"/>
  <c r="H5141" i="21" s="1"/>
  <c r="G5140" i="21"/>
  <c r="H5140" i="21" s="1"/>
  <c r="G5139" i="21"/>
  <c r="H5139" i="21" s="1"/>
  <c r="G5138" i="21"/>
  <c r="H5138" i="21" s="1"/>
  <c r="G5137" i="21"/>
  <c r="H5137" i="21" s="1"/>
  <c r="G5136" i="21"/>
  <c r="H5136" i="21" s="1"/>
  <c r="H5135" i="21"/>
  <c r="G5135" i="21"/>
  <c r="G5134" i="21"/>
  <c r="H5134" i="21" s="1"/>
  <c r="G5133" i="21"/>
  <c r="H5133" i="21" s="1"/>
  <c r="G5132" i="21"/>
  <c r="H5132" i="21" s="1"/>
  <c r="G5131" i="21"/>
  <c r="H5131" i="21" s="1"/>
  <c r="G5130" i="21"/>
  <c r="H5130" i="21" s="1"/>
  <c r="G5129" i="21"/>
  <c r="H5129" i="21" s="1"/>
  <c r="G5128" i="21"/>
  <c r="H5128" i="21" s="1"/>
  <c r="G5127" i="21"/>
  <c r="H5127" i="21" s="1"/>
  <c r="G5126" i="21"/>
  <c r="H5126" i="21" s="1"/>
  <c r="G5125" i="21"/>
  <c r="H5125" i="21" s="1"/>
  <c r="G5124" i="21"/>
  <c r="H5124" i="21" s="1"/>
  <c r="G5123" i="21"/>
  <c r="H5123" i="21" s="1"/>
  <c r="G5122" i="21"/>
  <c r="H5122" i="21" s="1"/>
  <c r="G5121" i="21"/>
  <c r="H5121" i="21" s="1"/>
  <c r="G5120" i="21"/>
  <c r="H5120" i="21" s="1"/>
  <c r="G5119" i="21"/>
  <c r="H5119" i="21" s="1"/>
  <c r="G5118" i="21"/>
  <c r="H5118" i="21" s="1"/>
  <c r="G5117" i="21"/>
  <c r="H5117" i="21" s="1"/>
  <c r="G5116" i="21"/>
  <c r="H5116" i="21" s="1"/>
  <c r="G5115" i="21"/>
  <c r="H5115" i="21" s="1"/>
  <c r="G5114" i="21"/>
  <c r="H5114" i="21" s="1"/>
  <c r="G5113" i="21"/>
  <c r="H5113" i="21" s="1"/>
  <c r="G5112" i="21"/>
  <c r="H5112" i="21" s="1"/>
  <c r="G5111" i="21"/>
  <c r="H5111" i="21" s="1"/>
  <c r="G5110" i="21"/>
  <c r="H5110" i="21" s="1"/>
  <c r="G5109" i="21"/>
  <c r="H5109" i="21" s="1"/>
  <c r="G5108" i="21"/>
  <c r="H5108" i="21" s="1"/>
  <c r="G5107" i="21"/>
  <c r="H5107" i="21" s="1"/>
  <c r="G5106" i="21"/>
  <c r="H5106" i="21" s="1"/>
  <c r="G5105" i="21"/>
  <c r="H5105" i="21" s="1"/>
  <c r="G5104" i="21"/>
  <c r="H5104" i="21" s="1"/>
  <c r="G5103" i="21"/>
  <c r="H5103" i="21" s="1"/>
  <c r="G5102" i="21"/>
  <c r="H5102" i="21" s="1"/>
  <c r="G5101" i="21"/>
  <c r="H5101" i="21" s="1"/>
  <c r="G5100" i="21"/>
  <c r="H5100" i="21" s="1"/>
  <c r="G5099" i="21"/>
  <c r="H5099" i="21" s="1"/>
  <c r="G5098" i="21"/>
  <c r="H5098" i="21" s="1"/>
  <c r="G5097" i="21"/>
  <c r="H5097" i="21" s="1"/>
  <c r="G5096" i="21"/>
  <c r="H5096" i="21" s="1"/>
  <c r="G5095" i="21"/>
  <c r="H5095" i="21" s="1"/>
  <c r="G5094" i="21"/>
  <c r="H5094" i="21" s="1"/>
  <c r="G5093" i="21"/>
  <c r="H5093" i="21" s="1"/>
  <c r="G5092" i="21"/>
  <c r="H5092" i="21" s="1"/>
  <c r="G5091" i="21"/>
  <c r="H5091" i="21" s="1"/>
  <c r="G5090" i="21"/>
  <c r="H5090" i="21" s="1"/>
  <c r="G5089" i="21"/>
  <c r="H5089" i="21" s="1"/>
  <c r="G5088" i="21"/>
  <c r="H5088" i="21" s="1"/>
  <c r="G5087" i="21"/>
  <c r="H5087" i="21" s="1"/>
  <c r="G5086" i="21"/>
  <c r="H5086" i="21" s="1"/>
  <c r="G5085" i="21"/>
  <c r="H5085" i="21" s="1"/>
  <c r="G5084" i="21"/>
  <c r="H5084" i="21" s="1"/>
  <c r="G5083" i="21"/>
  <c r="H5083" i="21" s="1"/>
  <c r="G5082" i="21"/>
  <c r="H5082" i="21" s="1"/>
  <c r="G5081" i="21"/>
  <c r="H5081" i="21" s="1"/>
  <c r="G5080" i="21"/>
  <c r="H5080" i="21" s="1"/>
  <c r="G5079" i="21"/>
  <c r="H5079" i="21" s="1"/>
  <c r="G5078" i="21"/>
  <c r="H5078" i="21" s="1"/>
  <c r="G5077" i="21"/>
  <c r="H5077" i="21" s="1"/>
  <c r="G5076" i="21"/>
  <c r="H5076" i="21" s="1"/>
  <c r="G5075" i="21"/>
  <c r="H5075" i="21" s="1"/>
  <c r="G5074" i="21"/>
  <c r="H5074" i="21" s="1"/>
  <c r="G5073" i="21"/>
  <c r="H5073" i="21" s="1"/>
  <c r="G5072" i="21"/>
  <c r="H5072" i="21" s="1"/>
  <c r="G5071" i="21"/>
  <c r="H5071" i="21" s="1"/>
  <c r="G5070" i="21"/>
  <c r="H5070" i="21" s="1"/>
  <c r="G5069" i="21"/>
  <c r="H5069" i="21" s="1"/>
  <c r="G5068" i="21"/>
  <c r="H5068" i="21" s="1"/>
  <c r="G5067" i="21"/>
  <c r="H5067" i="21" s="1"/>
  <c r="G5066" i="21"/>
  <c r="H5066" i="21" s="1"/>
  <c r="G5065" i="21"/>
  <c r="H5065" i="21" s="1"/>
  <c r="G5064" i="21"/>
  <c r="H5064" i="21" s="1"/>
  <c r="G5063" i="21"/>
  <c r="H5063" i="21" s="1"/>
  <c r="G5062" i="21"/>
  <c r="H5062" i="21" s="1"/>
  <c r="G5061" i="21"/>
  <c r="H5061" i="21" s="1"/>
  <c r="G5060" i="21"/>
  <c r="H5060" i="21" s="1"/>
  <c r="G5059" i="21"/>
  <c r="H5059" i="21" s="1"/>
  <c r="G5058" i="21"/>
  <c r="H5058" i="21" s="1"/>
  <c r="G5057" i="21"/>
  <c r="H5057" i="21" s="1"/>
  <c r="G5056" i="21"/>
  <c r="H5056" i="21" s="1"/>
  <c r="G5055" i="21"/>
  <c r="H5055" i="21" s="1"/>
  <c r="G5054" i="21"/>
  <c r="H5054" i="21" s="1"/>
  <c r="G5053" i="21"/>
  <c r="H5053" i="21" s="1"/>
  <c r="G5052" i="21"/>
  <c r="H5052" i="21" s="1"/>
  <c r="G5051" i="21"/>
  <c r="H5051" i="21" s="1"/>
  <c r="G5050" i="21"/>
  <c r="H5050" i="21" s="1"/>
  <c r="G5049" i="21"/>
  <c r="H5049" i="21" s="1"/>
  <c r="G5048" i="21"/>
  <c r="H5048" i="21" s="1"/>
  <c r="G5047" i="21"/>
  <c r="H5047" i="21" s="1"/>
  <c r="G5046" i="21"/>
  <c r="H5046" i="21" s="1"/>
  <c r="G5045" i="21"/>
  <c r="H5045" i="21" s="1"/>
  <c r="G5044" i="21"/>
  <c r="H5044" i="21" s="1"/>
  <c r="G5043" i="21"/>
  <c r="H5043" i="21" s="1"/>
  <c r="G5042" i="21"/>
  <c r="H5042" i="21" s="1"/>
  <c r="G5041" i="21"/>
  <c r="H5041" i="21" s="1"/>
  <c r="G5040" i="21"/>
  <c r="H5040" i="21" s="1"/>
  <c r="G5039" i="21"/>
  <c r="H5039" i="21" s="1"/>
  <c r="G5038" i="21"/>
  <c r="H5038" i="21" s="1"/>
  <c r="G5037" i="21"/>
  <c r="H5037" i="21" s="1"/>
  <c r="G5036" i="21"/>
  <c r="H5036" i="21" s="1"/>
  <c r="G5035" i="21"/>
  <c r="H5035" i="21" s="1"/>
  <c r="G5034" i="21"/>
  <c r="H5034" i="21" s="1"/>
  <c r="G5033" i="21"/>
  <c r="H5033" i="21" s="1"/>
  <c r="G5032" i="21"/>
  <c r="H5032" i="21" s="1"/>
  <c r="G5031" i="21"/>
  <c r="H5031" i="21" s="1"/>
  <c r="G5030" i="21"/>
  <c r="H5030" i="21" s="1"/>
  <c r="G5029" i="21"/>
  <c r="H5029" i="21" s="1"/>
  <c r="G5028" i="21"/>
  <c r="H5028" i="21" s="1"/>
  <c r="G5027" i="21"/>
  <c r="H5027" i="21" s="1"/>
  <c r="G5026" i="21"/>
  <c r="H5026" i="21" s="1"/>
  <c r="G5025" i="21"/>
  <c r="H5025" i="21" s="1"/>
  <c r="G5024" i="21"/>
  <c r="H5024" i="21" s="1"/>
  <c r="G5023" i="21"/>
  <c r="H5023" i="21" s="1"/>
  <c r="G5022" i="21"/>
  <c r="H5022" i="21" s="1"/>
  <c r="G5021" i="21"/>
  <c r="H5021" i="21" s="1"/>
  <c r="G5020" i="21"/>
  <c r="H5020" i="21" s="1"/>
  <c r="G5019" i="21"/>
  <c r="H5019" i="21" s="1"/>
  <c r="G5018" i="21"/>
  <c r="H5018" i="21" s="1"/>
  <c r="G5017" i="21"/>
  <c r="H5017" i="21" s="1"/>
  <c r="G5016" i="21"/>
  <c r="H5016" i="21" s="1"/>
  <c r="G5015" i="21"/>
  <c r="H5015" i="21" s="1"/>
  <c r="G5014" i="21"/>
  <c r="H5014" i="21" s="1"/>
  <c r="G5013" i="21"/>
  <c r="H5013" i="21" s="1"/>
  <c r="G5012" i="21"/>
  <c r="H5012" i="21" s="1"/>
  <c r="G5011" i="21"/>
  <c r="H5011" i="21" s="1"/>
  <c r="G5010" i="21"/>
  <c r="H5010" i="21" s="1"/>
  <c r="G5009" i="21"/>
  <c r="H5009" i="21" s="1"/>
  <c r="G5008" i="21"/>
  <c r="H5008" i="21" s="1"/>
  <c r="G5007" i="21"/>
  <c r="H5007" i="21" s="1"/>
  <c r="G5006" i="21"/>
  <c r="H5006" i="21" s="1"/>
  <c r="G5005" i="21"/>
  <c r="H5005" i="21" s="1"/>
  <c r="G5004" i="21"/>
  <c r="H5004" i="21" s="1"/>
  <c r="G5003" i="21"/>
  <c r="H5003" i="21" s="1"/>
  <c r="G5002" i="21"/>
  <c r="H5002" i="21" s="1"/>
  <c r="G5001" i="21"/>
  <c r="H5001" i="21" s="1"/>
  <c r="G5000" i="21"/>
  <c r="H5000" i="21" s="1"/>
  <c r="G4999" i="21"/>
  <c r="H4999" i="21" s="1"/>
  <c r="G4998" i="21"/>
  <c r="H4998" i="21" s="1"/>
  <c r="G4997" i="21"/>
  <c r="H4997" i="21" s="1"/>
  <c r="G4996" i="21"/>
  <c r="H4996" i="21" s="1"/>
  <c r="G4995" i="21"/>
  <c r="H4995" i="21" s="1"/>
  <c r="G4994" i="21"/>
  <c r="H4994" i="21" s="1"/>
  <c r="G4993" i="21"/>
  <c r="H4993" i="21" s="1"/>
  <c r="G4992" i="21"/>
  <c r="H4992" i="21" s="1"/>
  <c r="G4991" i="21"/>
  <c r="H4991" i="21" s="1"/>
  <c r="G4990" i="21"/>
  <c r="H4990" i="21" s="1"/>
  <c r="G4989" i="21"/>
  <c r="H4989" i="21" s="1"/>
  <c r="G4988" i="21"/>
  <c r="H4988" i="21" s="1"/>
  <c r="G4987" i="21"/>
  <c r="H4987" i="21" s="1"/>
  <c r="G4986" i="21"/>
  <c r="H4986" i="21" s="1"/>
  <c r="G4985" i="21"/>
  <c r="H4985" i="21" s="1"/>
  <c r="G4984" i="21"/>
  <c r="H4984" i="21" s="1"/>
  <c r="G4983" i="21"/>
  <c r="H4983" i="21" s="1"/>
  <c r="G4982" i="21"/>
  <c r="H4982" i="21" s="1"/>
  <c r="G4981" i="21"/>
  <c r="H4981" i="21" s="1"/>
  <c r="G4980" i="21"/>
  <c r="H4980" i="21" s="1"/>
  <c r="G4979" i="21"/>
  <c r="H4979" i="21" s="1"/>
  <c r="G4978" i="21"/>
  <c r="H4978" i="21" s="1"/>
  <c r="G4977" i="21"/>
  <c r="H4977" i="21" s="1"/>
  <c r="G4976" i="21"/>
  <c r="H4976" i="21" s="1"/>
  <c r="G4975" i="21"/>
  <c r="H4975" i="21" s="1"/>
  <c r="G4974" i="21"/>
  <c r="H4974" i="21" s="1"/>
  <c r="G4973" i="21"/>
  <c r="H4973" i="21" s="1"/>
  <c r="G4972" i="21"/>
  <c r="H4972" i="21" s="1"/>
  <c r="G4971" i="21"/>
  <c r="H4971" i="21" s="1"/>
  <c r="G4970" i="21"/>
  <c r="H4970" i="21" s="1"/>
  <c r="G4969" i="21"/>
  <c r="H4969" i="21" s="1"/>
  <c r="G4968" i="21"/>
  <c r="H4968" i="21" s="1"/>
  <c r="G4967" i="21"/>
  <c r="H4967" i="21" s="1"/>
  <c r="G4966" i="21"/>
  <c r="H4966" i="21" s="1"/>
  <c r="G4965" i="21"/>
  <c r="H4965" i="21" s="1"/>
  <c r="G4964" i="21"/>
  <c r="H4964" i="21" s="1"/>
  <c r="G4963" i="21"/>
  <c r="H4963" i="21" s="1"/>
  <c r="G4962" i="21"/>
  <c r="H4962" i="21" s="1"/>
  <c r="G4961" i="21"/>
  <c r="H4961" i="21" s="1"/>
  <c r="G4960" i="21"/>
  <c r="H4960" i="21" s="1"/>
  <c r="G4959" i="21"/>
  <c r="H4959" i="21" s="1"/>
  <c r="G4958" i="21"/>
  <c r="H4958" i="21" s="1"/>
  <c r="G4957" i="21"/>
  <c r="H4957" i="21" s="1"/>
  <c r="G4956" i="21"/>
  <c r="H4956" i="21" s="1"/>
  <c r="G4955" i="21"/>
  <c r="H4955" i="21" s="1"/>
  <c r="G4954" i="21"/>
  <c r="H4954" i="21" s="1"/>
  <c r="G4953" i="21"/>
  <c r="H4953" i="21" s="1"/>
  <c r="G4952" i="21"/>
  <c r="H4952" i="21" s="1"/>
  <c r="G4951" i="21"/>
  <c r="H4951" i="21" s="1"/>
  <c r="G4950" i="21"/>
  <c r="H4950" i="21" s="1"/>
  <c r="G4949" i="21"/>
  <c r="H4949" i="21" s="1"/>
  <c r="G4948" i="21"/>
  <c r="H4948" i="21" s="1"/>
  <c r="G4947" i="21"/>
  <c r="H4947" i="21" s="1"/>
  <c r="G4946" i="21"/>
  <c r="H4946" i="21" s="1"/>
  <c r="G4945" i="21"/>
  <c r="H4945" i="21" s="1"/>
  <c r="G4944" i="21"/>
  <c r="H4944" i="21" s="1"/>
  <c r="G4943" i="21"/>
  <c r="H4943" i="21" s="1"/>
  <c r="G4942" i="21"/>
  <c r="H4942" i="21" s="1"/>
  <c r="G4941" i="21"/>
  <c r="H4941" i="21" s="1"/>
  <c r="G4940" i="21"/>
  <c r="H4940" i="21" s="1"/>
  <c r="G4939" i="21"/>
  <c r="H4939" i="21" s="1"/>
  <c r="G4938" i="21"/>
  <c r="H4938" i="21" s="1"/>
  <c r="G4937" i="21"/>
  <c r="H4937" i="21" s="1"/>
  <c r="G4936" i="21"/>
  <c r="H4936" i="21" s="1"/>
  <c r="G4935" i="21"/>
  <c r="H4935" i="21" s="1"/>
  <c r="G4934" i="21"/>
  <c r="H4934" i="21" s="1"/>
  <c r="H4933" i="21"/>
  <c r="G4933" i="21"/>
  <c r="G4932" i="21"/>
  <c r="H4932" i="21" s="1"/>
  <c r="G4931" i="21"/>
  <c r="H4931" i="21" s="1"/>
  <c r="G4930" i="21"/>
  <c r="H4930" i="21" s="1"/>
  <c r="G4929" i="21"/>
  <c r="H4929" i="21" s="1"/>
  <c r="G4928" i="21"/>
  <c r="H4928" i="21" s="1"/>
  <c r="G4927" i="21"/>
  <c r="H4927" i="21" s="1"/>
  <c r="G4926" i="21"/>
  <c r="H4926" i="21" s="1"/>
  <c r="G4925" i="21"/>
  <c r="H4925" i="21" s="1"/>
  <c r="G4924" i="21"/>
  <c r="H4924" i="21" s="1"/>
  <c r="G4923" i="21"/>
  <c r="H4923" i="21" s="1"/>
  <c r="G4922" i="21"/>
  <c r="H4922" i="21" s="1"/>
  <c r="G4921" i="21"/>
  <c r="H4921" i="21" s="1"/>
  <c r="H4920" i="21"/>
  <c r="G4920" i="21"/>
  <c r="G4919" i="21"/>
  <c r="H4919" i="21" s="1"/>
  <c r="G4918" i="21"/>
  <c r="H4918" i="21" s="1"/>
  <c r="G4917" i="21"/>
  <c r="H4917" i="21" s="1"/>
  <c r="G4916" i="21"/>
  <c r="H4916" i="21" s="1"/>
  <c r="G4915" i="21"/>
  <c r="H4915" i="21" s="1"/>
  <c r="G4914" i="21"/>
  <c r="H4914" i="21" s="1"/>
  <c r="G4913" i="21"/>
  <c r="H4913" i="21" s="1"/>
  <c r="G4912" i="21"/>
  <c r="H4912" i="21" s="1"/>
  <c r="G4911" i="21"/>
  <c r="H4911" i="21" s="1"/>
  <c r="G4910" i="21"/>
  <c r="H4910" i="21" s="1"/>
  <c r="G4909" i="21"/>
  <c r="H4909" i="21" s="1"/>
  <c r="G4908" i="21"/>
  <c r="H4908" i="21" s="1"/>
  <c r="G4907" i="21"/>
  <c r="H4907" i="21" s="1"/>
  <c r="G4906" i="21"/>
  <c r="H4906" i="21" s="1"/>
  <c r="G4905" i="21"/>
  <c r="H4905" i="21" s="1"/>
  <c r="G4904" i="21"/>
  <c r="H4904" i="21" s="1"/>
  <c r="G4903" i="21"/>
  <c r="H4903" i="21" s="1"/>
  <c r="G4902" i="21"/>
  <c r="H4902" i="21" s="1"/>
  <c r="G4901" i="21"/>
  <c r="H4901" i="21" s="1"/>
  <c r="G4900" i="21"/>
  <c r="H4900" i="21" s="1"/>
  <c r="G4899" i="21"/>
  <c r="H4899" i="21" s="1"/>
  <c r="G4898" i="21"/>
  <c r="H4898" i="21" s="1"/>
  <c r="G4897" i="21"/>
  <c r="H4897" i="21" s="1"/>
  <c r="G4896" i="21"/>
  <c r="H4896" i="21" s="1"/>
  <c r="G4895" i="21"/>
  <c r="H4895" i="21" s="1"/>
  <c r="G4894" i="21"/>
  <c r="H4894" i="21" s="1"/>
  <c r="G4893" i="21"/>
  <c r="H4893" i="21" s="1"/>
  <c r="G4892" i="21"/>
  <c r="H4892" i="21" s="1"/>
  <c r="G4891" i="21"/>
  <c r="H4891" i="21" s="1"/>
  <c r="G4890" i="21"/>
  <c r="H4890" i="21" s="1"/>
  <c r="G4889" i="21"/>
  <c r="H4889" i="21" s="1"/>
  <c r="G4888" i="21"/>
  <c r="H4888" i="21" s="1"/>
  <c r="G4887" i="21"/>
  <c r="H4887" i="21" s="1"/>
  <c r="G4886" i="21"/>
  <c r="H4886" i="21" s="1"/>
  <c r="G4885" i="21"/>
  <c r="H4885" i="21" s="1"/>
  <c r="G4884" i="21"/>
  <c r="H4884" i="21" s="1"/>
  <c r="G4883" i="21"/>
  <c r="H4883" i="21" s="1"/>
  <c r="G4882" i="21"/>
  <c r="H4882" i="21" s="1"/>
  <c r="G4881" i="21"/>
  <c r="H4881" i="21" s="1"/>
  <c r="G4880" i="21"/>
  <c r="H4880" i="21" s="1"/>
  <c r="G4879" i="21"/>
  <c r="H4879" i="21" s="1"/>
  <c r="G4878" i="21"/>
  <c r="H4878" i="21" s="1"/>
  <c r="G4877" i="21"/>
  <c r="H4877" i="21" s="1"/>
  <c r="G4876" i="21"/>
  <c r="H4876" i="21" s="1"/>
  <c r="G4875" i="21"/>
  <c r="H4875" i="21" s="1"/>
  <c r="G4874" i="21"/>
  <c r="H4874" i="21" s="1"/>
  <c r="G4873" i="21"/>
  <c r="H4873" i="21" s="1"/>
  <c r="G4872" i="21"/>
  <c r="H4872" i="21" s="1"/>
  <c r="G4871" i="21"/>
  <c r="H4871" i="21" s="1"/>
  <c r="G4870" i="21"/>
  <c r="H4870" i="21" s="1"/>
  <c r="G4869" i="21"/>
  <c r="H4869" i="21" s="1"/>
  <c r="G4868" i="21"/>
  <c r="H4868" i="21" s="1"/>
  <c r="G4867" i="21"/>
  <c r="H4867" i="21" s="1"/>
  <c r="G4866" i="21"/>
  <c r="H4866" i="21" s="1"/>
  <c r="G4865" i="21"/>
  <c r="H4865" i="21" s="1"/>
  <c r="G4864" i="21"/>
  <c r="H4864" i="21" s="1"/>
  <c r="G4863" i="21"/>
  <c r="H4863" i="21" s="1"/>
  <c r="G4862" i="21"/>
  <c r="H4862" i="21" s="1"/>
  <c r="G4861" i="21"/>
  <c r="H4861" i="21" s="1"/>
  <c r="G4860" i="21"/>
  <c r="H4860" i="21" s="1"/>
  <c r="G4859" i="21"/>
  <c r="H4859" i="21" s="1"/>
  <c r="G4858" i="21"/>
  <c r="H4858" i="21" s="1"/>
  <c r="G4857" i="21"/>
  <c r="H4857" i="21" s="1"/>
  <c r="G4856" i="21"/>
  <c r="H4856" i="21" s="1"/>
  <c r="G4855" i="21"/>
  <c r="H4855" i="21" s="1"/>
  <c r="G4854" i="21"/>
  <c r="H4854" i="21" s="1"/>
  <c r="G4853" i="21"/>
  <c r="H4853" i="21" s="1"/>
  <c r="G4852" i="21"/>
  <c r="H4852" i="21" s="1"/>
  <c r="G4851" i="21"/>
  <c r="H4851" i="21" s="1"/>
  <c r="G4850" i="21"/>
  <c r="H4850" i="21" s="1"/>
  <c r="G4849" i="21"/>
  <c r="H4849" i="21" s="1"/>
  <c r="G4848" i="21"/>
  <c r="H4848" i="21" s="1"/>
  <c r="G4847" i="21"/>
  <c r="H4847" i="21" s="1"/>
  <c r="G4846" i="21"/>
  <c r="H4846" i="21" s="1"/>
  <c r="G4845" i="21"/>
  <c r="H4845" i="21" s="1"/>
  <c r="G4844" i="21"/>
  <c r="H4844" i="21" s="1"/>
  <c r="G4843" i="21"/>
  <c r="H4843" i="21" s="1"/>
  <c r="G4842" i="21"/>
  <c r="H4842" i="21" s="1"/>
  <c r="G4841" i="21"/>
  <c r="H4841" i="21" s="1"/>
  <c r="G4840" i="21"/>
  <c r="H4840" i="21" s="1"/>
  <c r="G4839" i="21"/>
  <c r="H4839" i="21" s="1"/>
  <c r="G4838" i="21"/>
  <c r="H4838" i="21" s="1"/>
  <c r="G4837" i="21"/>
  <c r="H4837" i="21" s="1"/>
  <c r="G4836" i="21"/>
  <c r="H4836" i="21" s="1"/>
  <c r="G4835" i="21"/>
  <c r="H4835" i="21" s="1"/>
  <c r="G4834" i="21"/>
  <c r="H4834" i="21" s="1"/>
  <c r="G4833" i="21"/>
  <c r="H4833" i="21" s="1"/>
  <c r="G4832" i="21"/>
  <c r="H4832" i="21" s="1"/>
  <c r="G4831" i="21"/>
  <c r="H4831" i="21" s="1"/>
  <c r="G4830" i="21"/>
  <c r="H4830" i="21" s="1"/>
  <c r="G4829" i="21"/>
  <c r="H4829" i="21" s="1"/>
  <c r="G4828" i="21"/>
  <c r="H4828" i="21" s="1"/>
  <c r="G4827" i="21"/>
  <c r="H4827" i="21" s="1"/>
  <c r="G4826" i="21"/>
  <c r="H4826" i="21" s="1"/>
  <c r="G4825" i="21"/>
  <c r="H4825" i="21" s="1"/>
  <c r="G4824" i="21"/>
  <c r="H4824" i="21" s="1"/>
  <c r="G4823" i="21"/>
  <c r="H4823" i="21" s="1"/>
  <c r="G4822" i="21"/>
  <c r="H4822" i="21" s="1"/>
  <c r="G4821" i="21"/>
  <c r="H4821" i="21" s="1"/>
  <c r="G4820" i="21"/>
  <c r="H4820" i="21" s="1"/>
  <c r="G4819" i="21"/>
  <c r="H4819" i="21" s="1"/>
  <c r="G4818" i="21"/>
  <c r="H4818" i="21" s="1"/>
  <c r="G4817" i="21"/>
  <c r="H4817" i="21" s="1"/>
  <c r="G4816" i="21"/>
  <c r="H4816" i="21" s="1"/>
  <c r="G4815" i="21"/>
  <c r="H4815" i="21" s="1"/>
  <c r="G4814" i="21"/>
  <c r="H4814" i="21" s="1"/>
  <c r="G4813" i="21"/>
  <c r="H4813" i="21" s="1"/>
  <c r="G4812" i="21"/>
  <c r="H4812" i="21" s="1"/>
  <c r="G4811" i="21"/>
  <c r="H4811" i="21" s="1"/>
  <c r="G4810" i="21"/>
  <c r="H4810" i="21" s="1"/>
  <c r="G4809" i="21"/>
  <c r="H4809" i="21" s="1"/>
  <c r="G4808" i="21"/>
  <c r="H4808" i="21" s="1"/>
  <c r="G4807" i="21"/>
  <c r="H4807" i="21" s="1"/>
  <c r="G4806" i="21"/>
  <c r="H4806" i="21" s="1"/>
  <c r="G4805" i="21"/>
  <c r="H4805" i="21" s="1"/>
  <c r="G4804" i="21"/>
  <c r="H4804" i="21" s="1"/>
  <c r="G4803" i="21"/>
  <c r="H4803" i="21" s="1"/>
  <c r="G4802" i="21"/>
  <c r="H4802" i="21" s="1"/>
  <c r="G4801" i="21"/>
  <c r="H4801" i="21" s="1"/>
  <c r="G4800" i="21"/>
  <c r="H4800" i="21" s="1"/>
  <c r="G4799" i="21"/>
  <c r="H4799" i="21" s="1"/>
  <c r="G4798" i="21"/>
  <c r="H4798" i="21" s="1"/>
  <c r="G4797" i="21"/>
  <c r="H4797" i="21" s="1"/>
  <c r="G4796" i="21"/>
  <c r="H4796" i="21" s="1"/>
  <c r="G4795" i="21"/>
  <c r="H4795" i="21" s="1"/>
  <c r="G4794" i="21"/>
  <c r="H4794" i="21" s="1"/>
  <c r="G4793" i="21"/>
  <c r="H4793" i="21" s="1"/>
  <c r="G4792" i="21"/>
  <c r="H4792" i="21" s="1"/>
  <c r="G4791" i="21"/>
  <c r="H4791" i="21" s="1"/>
  <c r="G4790" i="21"/>
  <c r="H4790" i="21" s="1"/>
  <c r="G4789" i="21"/>
  <c r="H4789" i="21" s="1"/>
  <c r="G4788" i="21"/>
  <c r="H4788" i="21" s="1"/>
  <c r="G4787" i="21"/>
  <c r="H4787" i="21" s="1"/>
  <c r="G4786" i="21"/>
  <c r="H4786" i="21" s="1"/>
  <c r="G4785" i="21"/>
  <c r="H4785" i="21" s="1"/>
  <c r="G4784" i="21"/>
  <c r="H4784" i="21" s="1"/>
  <c r="G4783" i="21"/>
  <c r="H4783" i="21" s="1"/>
  <c r="G4782" i="21"/>
  <c r="H4782" i="21" s="1"/>
  <c r="G4781" i="21"/>
  <c r="H4781" i="21" s="1"/>
  <c r="G4780" i="21"/>
  <c r="H4780" i="21" s="1"/>
  <c r="G4779" i="21"/>
  <c r="H4779" i="21" s="1"/>
  <c r="G4778" i="21"/>
  <c r="H4778" i="21" s="1"/>
  <c r="G4777" i="21"/>
  <c r="H4777" i="21" s="1"/>
  <c r="G4776" i="21"/>
  <c r="H4776" i="21" s="1"/>
  <c r="G4775" i="21"/>
  <c r="H4775" i="21" s="1"/>
  <c r="G4774" i="21"/>
  <c r="H4774" i="21" s="1"/>
  <c r="G4773" i="21"/>
  <c r="H4773" i="21" s="1"/>
  <c r="G4772" i="21"/>
  <c r="H4772" i="21" s="1"/>
  <c r="G4771" i="21"/>
  <c r="H4771" i="21" s="1"/>
  <c r="G4770" i="21"/>
  <c r="H4770" i="21" s="1"/>
  <c r="G4769" i="21"/>
  <c r="H4769" i="21" s="1"/>
  <c r="G4768" i="21"/>
  <c r="H4768" i="21" s="1"/>
  <c r="G4767" i="21"/>
  <c r="H4767" i="21" s="1"/>
  <c r="G4766" i="21"/>
  <c r="H4766" i="21" s="1"/>
  <c r="G4765" i="21"/>
  <c r="H4765" i="21" s="1"/>
  <c r="G4764" i="21"/>
  <c r="H4764" i="21" s="1"/>
  <c r="G4763" i="21"/>
  <c r="H4763" i="21" s="1"/>
  <c r="G4762" i="21"/>
  <c r="H4762" i="21" s="1"/>
  <c r="G4761" i="21"/>
  <c r="H4761" i="21" s="1"/>
  <c r="G4760" i="21"/>
  <c r="H4760" i="21" s="1"/>
  <c r="G4759" i="21"/>
  <c r="H4759" i="21" s="1"/>
  <c r="G4758" i="21"/>
  <c r="H4758" i="21" s="1"/>
  <c r="G4757" i="21"/>
  <c r="H4757" i="21" s="1"/>
  <c r="G4756" i="21"/>
  <c r="H4756" i="21" s="1"/>
  <c r="G4755" i="21"/>
  <c r="H4755" i="21" s="1"/>
  <c r="G4754" i="21"/>
  <c r="H4754" i="21" s="1"/>
  <c r="G4753" i="21"/>
  <c r="H4753" i="21" s="1"/>
  <c r="G4752" i="21"/>
  <c r="H4752" i="21" s="1"/>
  <c r="G4751" i="21"/>
  <c r="H4751" i="21" s="1"/>
  <c r="G4750" i="21"/>
  <c r="H4750" i="21" s="1"/>
  <c r="G4749" i="21"/>
  <c r="H4749" i="21" s="1"/>
  <c r="G4748" i="21"/>
  <c r="H4748" i="21" s="1"/>
  <c r="G4747" i="21"/>
  <c r="H4747" i="21" s="1"/>
  <c r="G4746" i="21"/>
  <c r="H4746" i="21" s="1"/>
  <c r="G4745" i="21"/>
  <c r="H4745" i="21" s="1"/>
  <c r="G4744" i="21"/>
  <c r="H4744" i="21" s="1"/>
  <c r="G4743" i="21"/>
  <c r="H4743" i="21" s="1"/>
  <c r="G4742" i="21"/>
  <c r="H4742" i="21" s="1"/>
  <c r="G4741" i="21"/>
  <c r="H4741" i="21" s="1"/>
  <c r="G4740" i="21"/>
  <c r="H4740" i="21" s="1"/>
  <c r="G4739" i="21"/>
  <c r="H4739" i="21" s="1"/>
  <c r="G4738" i="21"/>
  <c r="H4738" i="21" s="1"/>
  <c r="G4737" i="21"/>
  <c r="H4737" i="21" s="1"/>
  <c r="G4736" i="21"/>
  <c r="H4736" i="21" s="1"/>
  <c r="G4735" i="21"/>
  <c r="H4735" i="21" s="1"/>
  <c r="G4734" i="21"/>
  <c r="H4734" i="21" s="1"/>
  <c r="G4733" i="21"/>
  <c r="H4733" i="21" s="1"/>
  <c r="G4732" i="21"/>
  <c r="H4732" i="21" s="1"/>
  <c r="G4731" i="21"/>
  <c r="H4731" i="21" s="1"/>
  <c r="G4730" i="21"/>
  <c r="H4730" i="21" s="1"/>
  <c r="G4729" i="21"/>
  <c r="H4729" i="21" s="1"/>
  <c r="G4728" i="21"/>
  <c r="H4728" i="21" s="1"/>
  <c r="G4727" i="21"/>
  <c r="H4727" i="21" s="1"/>
  <c r="G4726" i="21"/>
  <c r="H4726" i="21" s="1"/>
  <c r="G4725" i="21"/>
  <c r="H4725" i="21" s="1"/>
  <c r="G4724" i="21"/>
  <c r="H4724" i="21" s="1"/>
  <c r="G4723" i="21"/>
  <c r="H4723" i="21" s="1"/>
  <c r="G4722" i="21"/>
  <c r="H4722" i="21" s="1"/>
  <c r="G4721" i="21"/>
  <c r="H4721" i="21" s="1"/>
  <c r="G4720" i="21"/>
  <c r="H4720" i="21" s="1"/>
  <c r="G4719" i="21"/>
  <c r="H4719" i="21" s="1"/>
  <c r="G4718" i="21"/>
  <c r="H4718" i="21" s="1"/>
  <c r="G4717" i="21"/>
  <c r="H4717" i="21" s="1"/>
  <c r="G4716" i="21"/>
  <c r="H4716" i="21" s="1"/>
  <c r="G4715" i="21"/>
  <c r="H4715" i="21" s="1"/>
  <c r="G4714" i="21"/>
  <c r="H4714" i="21" s="1"/>
  <c r="G4713" i="21"/>
  <c r="H4713" i="21" s="1"/>
  <c r="G4712" i="21"/>
  <c r="H4712" i="21" s="1"/>
  <c r="G4711" i="21"/>
  <c r="H4711" i="21" s="1"/>
  <c r="G4710" i="21"/>
  <c r="H4710" i="21" s="1"/>
  <c r="G4709" i="21"/>
  <c r="H4709" i="21" s="1"/>
  <c r="G4708" i="21"/>
  <c r="H4708" i="21" s="1"/>
  <c r="G4707" i="21"/>
  <c r="H4707" i="21" s="1"/>
  <c r="G4706" i="21"/>
  <c r="H4706" i="21" s="1"/>
  <c r="G4705" i="21"/>
  <c r="H4705" i="21" s="1"/>
  <c r="G4704" i="21"/>
  <c r="H4704" i="21" s="1"/>
  <c r="G4703" i="21"/>
  <c r="H4703" i="21" s="1"/>
  <c r="G4702" i="21"/>
  <c r="H4702" i="21" s="1"/>
  <c r="G4701" i="21"/>
  <c r="H4701" i="21" s="1"/>
  <c r="G4700" i="21"/>
  <c r="H4700" i="21" s="1"/>
  <c r="G4699" i="21"/>
  <c r="H4699" i="21" s="1"/>
  <c r="G4698" i="21"/>
  <c r="H4698" i="21" s="1"/>
  <c r="G4697" i="21"/>
  <c r="H4697" i="21" s="1"/>
  <c r="G4696" i="21"/>
  <c r="H4696" i="21" s="1"/>
  <c r="G4695" i="21"/>
  <c r="H4695" i="21" s="1"/>
  <c r="G4694" i="21"/>
  <c r="H4694" i="21" s="1"/>
  <c r="G4693" i="21"/>
  <c r="H4693" i="21" s="1"/>
  <c r="G4692" i="21"/>
  <c r="H4692" i="21" s="1"/>
  <c r="G4691" i="21"/>
  <c r="H4691" i="21" s="1"/>
  <c r="G4690" i="21"/>
  <c r="H4690" i="21" s="1"/>
  <c r="G4689" i="21"/>
  <c r="H4689" i="21" s="1"/>
  <c r="G4688" i="21"/>
  <c r="H4688" i="21" s="1"/>
  <c r="G4687" i="21"/>
  <c r="H4687" i="21" s="1"/>
  <c r="G4686" i="21"/>
  <c r="H4686" i="21" s="1"/>
  <c r="G4685" i="21"/>
  <c r="H4685" i="21" s="1"/>
  <c r="G4684" i="21"/>
  <c r="H4684" i="21" s="1"/>
  <c r="G4683" i="21"/>
  <c r="H4683" i="21" s="1"/>
  <c r="G4682" i="21"/>
  <c r="H4682" i="21" s="1"/>
  <c r="G4681" i="21"/>
  <c r="H4681" i="21" s="1"/>
  <c r="G4680" i="21"/>
  <c r="H4680" i="21" s="1"/>
  <c r="G4679" i="21"/>
  <c r="H4679" i="21" s="1"/>
  <c r="G4678" i="21"/>
  <c r="H4678" i="21" s="1"/>
  <c r="G4677" i="21"/>
  <c r="H4677" i="21" s="1"/>
  <c r="G4676" i="21"/>
  <c r="H4676" i="21" s="1"/>
  <c r="G4675" i="21"/>
  <c r="H4675" i="21" s="1"/>
  <c r="G4674" i="21"/>
  <c r="H4674" i="21" s="1"/>
  <c r="G4673" i="21"/>
  <c r="H4673" i="21" s="1"/>
  <c r="G4672" i="21"/>
  <c r="H4672" i="21" s="1"/>
  <c r="G4671" i="21"/>
  <c r="H4671" i="21" s="1"/>
  <c r="G4670" i="21"/>
  <c r="H4670" i="21" s="1"/>
  <c r="G4669" i="21"/>
  <c r="H4669" i="21" s="1"/>
  <c r="G4668" i="21"/>
  <c r="H4668" i="21" s="1"/>
  <c r="G4667" i="21"/>
  <c r="H4667" i="21" s="1"/>
  <c r="G4666" i="21"/>
  <c r="H4666" i="21" s="1"/>
  <c r="G4665" i="21"/>
  <c r="H4665" i="21" s="1"/>
  <c r="G4664" i="21"/>
  <c r="H4664" i="21" s="1"/>
  <c r="G4663" i="21"/>
  <c r="H4663" i="21" s="1"/>
  <c r="G4662" i="21"/>
  <c r="H4662" i="21" s="1"/>
  <c r="G4661" i="21"/>
  <c r="H4661" i="21" s="1"/>
  <c r="H4660" i="21"/>
  <c r="G4660" i="21"/>
  <c r="G4659" i="21"/>
  <c r="H4659" i="21" s="1"/>
  <c r="G4658" i="21"/>
  <c r="H4658" i="21" s="1"/>
  <c r="G4657" i="21"/>
  <c r="H4657" i="21" s="1"/>
  <c r="G4656" i="21"/>
  <c r="H4656" i="21" s="1"/>
  <c r="G4655" i="21"/>
  <c r="H4655" i="21" s="1"/>
  <c r="G4654" i="21"/>
  <c r="H4654" i="21" s="1"/>
  <c r="G4653" i="21"/>
  <c r="H4653" i="21" s="1"/>
  <c r="G4652" i="21"/>
  <c r="H4652" i="21" s="1"/>
  <c r="G4651" i="21"/>
  <c r="H4651" i="21" s="1"/>
  <c r="G4650" i="21"/>
  <c r="H4650" i="21" s="1"/>
  <c r="G4649" i="21"/>
  <c r="H4649" i="21" s="1"/>
  <c r="G4648" i="21"/>
  <c r="H4648" i="21" s="1"/>
  <c r="G4647" i="21"/>
  <c r="H4647" i="21" s="1"/>
  <c r="G4646" i="21"/>
  <c r="H4646" i="21" s="1"/>
  <c r="G4645" i="21"/>
  <c r="H4645" i="21" s="1"/>
  <c r="G4644" i="21"/>
  <c r="H4644" i="21" s="1"/>
  <c r="G4643" i="21"/>
  <c r="H4643" i="21" s="1"/>
  <c r="H4642" i="21"/>
  <c r="G4642" i="21"/>
  <c r="G4641" i="21"/>
  <c r="H4641" i="21" s="1"/>
  <c r="G4640" i="21"/>
  <c r="H4640" i="21" s="1"/>
  <c r="G4639" i="21"/>
  <c r="H4639" i="21" s="1"/>
  <c r="G4638" i="21"/>
  <c r="H4638" i="21" s="1"/>
  <c r="G4637" i="21"/>
  <c r="H4637" i="21" s="1"/>
  <c r="G4636" i="21"/>
  <c r="H4636" i="21" s="1"/>
  <c r="G4635" i="21"/>
  <c r="H4635" i="21" s="1"/>
  <c r="G4634" i="21"/>
  <c r="H4634" i="21" s="1"/>
  <c r="G4633" i="21"/>
  <c r="H4633" i="21" s="1"/>
  <c r="G4632" i="21"/>
  <c r="H4632" i="21" s="1"/>
  <c r="G4631" i="21"/>
  <c r="H4631" i="21" s="1"/>
  <c r="G4630" i="21"/>
  <c r="H4630" i="21" s="1"/>
  <c r="G4629" i="21"/>
  <c r="H4629" i="21" s="1"/>
  <c r="G4628" i="21"/>
  <c r="H4628" i="21" s="1"/>
  <c r="G4627" i="21"/>
  <c r="H4627" i="21" s="1"/>
  <c r="G4626" i="21"/>
  <c r="H4626" i="21" s="1"/>
  <c r="G4625" i="21"/>
  <c r="H4625" i="21" s="1"/>
  <c r="G4624" i="21"/>
  <c r="H4624" i="21" s="1"/>
  <c r="H4623" i="21"/>
  <c r="G4623" i="21"/>
  <c r="G4622" i="21"/>
  <c r="H4622" i="21" s="1"/>
  <c r="G4621" i="21"/>
  <c r="H4621" i="21" s="1"/>
  <c r="G4620" i="21"/>
  <c r="H4620" i="21" s="1"/>
  <c r="G4619" i="21"/>
  <c r="H4619" i="21" s="1"/>
  <c r="H4618" i="21"/>
  <c r="G4618" i="21"/>
  <c r="G4617" i="21"/>
  <c r="H4617" i="21" s="1"/>
  <c r="H4616" i="21"/>
  <c r="G4616" i="21"/>
  <c r="G4615" i="21"/>
  <c r="H4615" i="21" s="1"/>
  <c r="H4614" i="21"/>
  <c r="G4614" i="21"/>
  <c r="G4613" i="21"/>
  <c r="H4613" i="21" s="1"/>
  <c r="G4612" i="21"/>
  <c r="H4612" i="21" s="1"/>
  <c r="G4611" i="21"/>
  <c r="H4611" i="21" s="1"/>
  <c r="G4610" i="21"/>
  <c r="H4610" i="21" s="1"/>
  <c r="G4609" i="21"/>
  <c r="H4609" i="21" s="1"/>
  <c r="G4608" i="21"/>
  <c r="H4608" i="21" s="1"/>
  <c r="G4607" i="21"/>
  <c r="H4607" i="21" s="1"/>
  <c r="G4606" i="21"/>
  <c r="H4606" i="21" s="1"/>
  <c r="G4605" i="21"/>
  <c r="H4605" i="21" s="1"/>
  <c r="G4604" i="21"/>
  <c r="H4604" i="21" s="1"/>
  <c r="G4603" i="21"/>
  <c r="H4603" i="21" s="1"/>
  <c r="G4602" i="21"/>
  <c r="H4602" i="21" s="1"/>
  <c r="G4601" i="21"/>
  <c r="H4601" i="21" s="1"/>
  <c r="G4600" i="21"/>
  <c r="H4600" i="21" s="1"/>
  <c r="G4599" i="21"/>
  <c r="H4599" i="21" s="1"/>
  <c r="G4598" i="21"/>
  <c r="H4598" i="21" s="1"/>
  <c r="G4597" i="21"/>
  <c r="H4597" i="21" s="1"/>
  <c r="G4596" i="21"/>
  <c r="H4596" i="21" s="1"/>
  <c r="G4595" i="21"/>
  <c r="H4595" i="21" s="1"/>
  <c r="G4594" i="21"/>
  <c r="H4594" i="21" s="1"/>
  <c r="G4593" i="21"/>
  <c r="H4593" i="21" s="1"/>
  <c r="G4592" i="21"/>
  <c r="H4592" i="21" s="1"/>
  <c r="G4591" i="21"/>
  <c r="H4591" i="21" s="1"/>
  <c r="G4590" i="21"/>
  <c r="H4590" i="21" s="1"/>
  <c r="G4589" i="21"/>
  <c r="H4589" i="21" s="1"/>
  <c r="G4588" i="21"/>
  <c r="H4588" i="21" s="1"/>
  <c r="G4587" i="21"/>
  <c r="H4587" i="21" s="1"/>
  <c r="G4586" i="21"/>
  <c r="H4586" i="21" s="1"/>
  <c r="G4585" i="21"/>
  <c r="H4585" i="21" s="1"/>
  <c r="G4584" i="21"/>
  <c r="H4584" i="21" s="1"/>
  <c r="G4583" i="21"/>
  <c r="H4583" i="21" s="1"/>
  <c r="G4582" i="21"/>
  <c r="H4582" i="21" s="1"/>
  <c r="G4581" i="21"/>
  <c r="H4581" i="21" s="1"/>
  <c r="G4580" i="21"/>
  <c r="H4580" i="21" s="1"/>
  <c r="G4579" i="21"/>
  <c r="H4579" i="21" s="1"/>
  <c r="G4578" i="21"/>
  <c r="H4578" i="21" s="1"/>
  <c r="G4577" i="21"/>
  <c r="H4577" i="21" s="1"/>
  <c r="G4576" i="21"/>
  <c r="H4576" i="21" s="1"/>
  <c r="H4575" i="21"/>
  <c r="G4575" i="21"/>
  <c r="G4574" i="21"/>
  <c r="H4574" i="21" s="1"/>
  <c r="G4573" i="21"/>
  <c r="H4573" i="21" s="1"/>
  <c r="G4572" i="21"/>
  <c r="H4572" i="21" s="1"/>
  <c r="G4571" i="21"/>
  <c r="H4571" i="21" s="1"/>
  <c r="G4570" i="21"/>
  <c r="H4570" i="21" s="1"/>
  <c r="G4569" i="21"/>
  <c r="H4569" i="21" s="1"/>
  <c r="G4568" i="21"/>
  <c r="H4568" i="21" s="1"/>
  <c r="G4567" i="21"/>
  <c r="H4567" i="21" s="1"/>
  <c r="G4566" i="21"/>
  <c r="H4566" i="21" s="1"/>
  <c r="G4565" i="21"/>
  <c r="H4565" i="21" s="1"/>
  <c r="G4564" i="21"/>
  <c r="H4564" i="21" s="1"/>
  <c r="G4563" i="21"/>
  <c r="H4563" i="21" s="1"/>
  <c r="G4562" i="21"/>
  <c r="H4562" i="21" s="1"/>
  <c r="G4561" i="21"/>
  <c r="H4561" i="21" s="1"/>
  <c r="G4560" i="21"/>
  <c r="H4560" i="21" s="1"/>
  <c r="G4559" i="21"/>
  <c r="H4559" i="21" s="1"/>
  <c r="G4558" i="21"/>
  <c r="H4558" i="21" s="1"/>
  <c r="G4557" i="21"/>
  <c r="H4557" i="21" s="1"/>
  <c r="G4556" i="21"/>
  <c r="H4556" i="21" s="1"/>
  <c r="G4555" i="21"/>
  <c r="H4555" i="21" s="1"/>
  <c r="G4554" i="21"/>
  <c r="H4554" i="21" s="1"/>
  <c r="G4553" i="21"/>
  <c r="H4553" i="21" s="1"/>
  <c r="G4552" i="21"/>
  <c r="H4552" i="21" s="1"/>
  <c r="G4551" i="21"/>
  <c r="H4551" i="21" s="1"/>
  <c r="G4550" i="21"/>
  <c r="H4550" i="21" s="1"/>
  <c r="G4549" i="21"/>
  <c r="H4549" i="21" s="1"/>
  <c r="G4548" i="21"/>
  <c r="H4548" i="21" s="1"/>
  <c r="G4547" i="21"/>
  <c r="H4547" i="21" s="1"/>
  <c r="G4546" i="21"/>
  <c r="H4546" i="21" s="1"/>
  <c r="G4545" i="21"/>
  <c r="H4545" i="21" s="1"/>
  <c r="G4544" i="21"/>
  <c r="H4544" i="21" s="1"/>
  <c r="G4543" i="21"/>
  <c r="H4543" i="21" s="1"/>
  <c r="G4542" i="21"/>
  <c r="H4542" i="21" s="1"/>
  <c r="G4541" i="21"/>
  <c r="H4541" i="21" s="1"/>
  <c r="G4540" i="21"/>
  <c r="H4540" i="21" s="1"/>
  <c r="G4539" i="21"/>
  <c r="H4539" i="21" s="1"/>
  <c r="G4538" i="21"/>
  <c r="H4538" i="21" s="1"/>
  <c r="G4537" i="21"/>
  <c r="H4537" i="21" s="1"/>
  <c r="G4536" i="21"/>
  <c r="H4536" i="21" s="1"/>
  <c r="G4535" i="21"/>
  <c r="H4535" i="21" s="1"/>
  <c r="G4534" i="21"/>
  <c r="H4534" i="21" s="1"/>
  <c r="G4533" i="21"/>
  <c r="H4533" i="21" s="1"/>
  <c r="G4532" i="21"/>
  <c r="H4532" i="21" s="1"/>
  <c r="G4531" i="21"/>
  <c r="H4531" i="21" s="1"/>
  <c r="G4530" i="21"/>
  <c r="H4530" i="21" s="1"/>
  <c r="G4529" i="21"/>
  <c r="H4529" i="21" s="1"/>
  <c r="G4528" i="21"/>
  <c r="H4528" i="21" s="1"/>
  <c r="G4527" i="21"/>
  <c r="H4527" i="21" s="1"/>
  <c r="G4526" i="21"/>
  <c r="H4526" i="21" s="1"/>
  <c r="G4525" i="21"/>
  <c r="H4525" i="21" s="1"/>
  <c r="G4524" i="21"/>
  <c r="H4524" i="21" s="1"/>
  <c r="G4523" i="21"/>
  <c r="H4523" i="21" s="1"/>
  <c r="G4522" i="21"/>
  <c r="H4522" i="21" s="1"/>
  <c r="G4521" i="21"/>
  <c r="H4521" i="21" s="1"/>
  <c r="G4520" i="21"/>
  <c r="H4520" i="21" s="1"/>
  <c r="G4519" i="21"/>
  <c r="H4519" i="21" s="1"/>
  <c r="G4518" i="21"/>
  <c r="H4518" i="21" s="1"/>
  <c r="G4517" i="21"/>
  <c r="H4517" i="21" s="1"/>
  <c r="G4516" i="21"/>
  <c r="H4516" i="21" s="1"/>
  <c r="G4515" i="21"/>
  <c r="H4515" i="21" s="1"/>
  <c r="G4514" i="21"/>
  <c r="H4514" i="21" s="1"/>
  <c r="G4513" i="21"/>
  <c r="H4513" i="21" s="1"/>
  <c r="G4512" i="21"/>
  <c r="H4512" i="21" s="1"/>
  <c r="G4511" i="21"/>
  <c r="H4511" i="21" s="1"/>
  <c r="G4510" i="21"/>
  <c r="H4510" i="21" s="1"/>
  <c r="G4509" i="21"/>
  <c r="H4509" i="21" s="1"/>
  <c r="G4508" i="21"/>
  <c r="H4508" i="21" s="1"/>
  <c r="G4507" i="21"/>
  <c r="H4507" i="21" s="1"/>
  <c r="G4506" i="21"/>
  <c r="H4506" i="21" s="1"/>
  <c r="G4505" i="21"/>
  <c r="H4505" i="21" s="1"/>
  <c r="G4504" i="21"/>
  <c r="H4504" i="21" s="1"/>
  <c r="G4503" i="21"/>
  <c r="H4503" i="21" s="1"/>
  <c r="G4502" i="21"/>
  <c r="H4502" i="21" s="1"/>
  <c r="G4501" i="21"/>
  <c r="H4501" i="21" s="1"/>
  <c r="G4500" i="21"/>
  <c r="H4500" i="21" s="1"/>
  <c r="G4499" i="21"/>
  <c r="H4499" i="21" s="1"/>
  <c r="G4498" i="21"/>
  <c r="H4498" i="21" s="1"/>
  <c r="G4497" i="21"/>
  <c r="H4497" i="21" s="1"/>
  <c r="G4496" i="21"/>
  <c r="H4496" i="21" s="1"/>
  <c r="G4495" i="21"/>
  <c r="H4495" i="21" s="1"/>
  <c r="G4494" i="21"/>
  <c r="H4494" i="21" s="1"/>
  <c r="G4493" i="21"/>
  <c r="H4493" i="21" s="1"/>
  <c r="G4492" i="21"/>
  <c r="H4492" i="21" s="1"/>
  <c r="G4491" i="21"/>
  <c r="H4491" i="21" s="1"/>
  <c r="G4490" i="21"/>
  <c r="H4490" i="21" s="1"/>
  <c r="G4489" i="21"/>
  <c r="H4489" i="21" s="1"/>
  <c r="G4488" i="21"/>
  <c r="H4488" i="21" s="1"/>
  <c r="G4487" i="21"/>
  <c r="H4487" i="21" s="1"/>
  <c r="G4486" i="21"/>
  <c r="H4486" i="21" s="1"/>
  <c r="G4485" i="21"/>
  <c r="H4485" i="21" s="1"/>
  <c r="G4484" i="21"/>
  <c r="H4484" i="21" s="1"/>
  <c r="G4483" i="21"/>
  <c r="H4483" i="21" s="1"/>
  <c r="G4482" i="21"/>
  <c r="H4482" i="21" s="1"/>
  <c r="G4481" i="21"/>
  <c r="H4481" i="21" s="1"/>
  <c r="G4480" i="21"/>
  <c r="H4480" i="21" s="1"/>
  <c r="G4479" i="21"/>
  <c r="H4479" i="21" s="1"/>
  <c r="G4478" i="21"/>
  <c r="H4478" i="21" s="1"/>
  <c r="G4477" i="21"/>
  <c r="H4477" i="21" s="1"/>
  <c r="G4476" i="21"/>
  <c r="H4476" i="21" s="1"/>
  <c r="G4475" i="21"/>
  <c r="H4475" i="21" s="1"/>
  <c r="G4474" i="21"/>
  <c r="H4474" i="21" s="1"/>
  <c r="G4473" i="21"/>
  <c r="H4473" i="21" s="1"/>
  <c r="G4472" i="21"/>
  <c r="H4472" i="21" s="1"/>
  <c r="G4471" i="21"/>
  <c r="H4471" i="21" s="1"/>
  <c r="G4470" i="21"/>
  <c r="H4470" i="21" s="1"/>
  <c r="G4469" i="21"/>
  <c r="H4469" i="21" s="1"/>
  <c r="G4468" i="21"/>
  <c r="H4468" i="21" s="1"/>
  <c r="G4467" i="21"/>
  <c r="H4467" i="21" s="1"/>
  <c r="G4466" i="21"/>
  <c r="H4466" i="21" s="1"/>
  <c r="G4465" i="21"/>
  <c r="H4465" i="21" s="1"/>
  <c r="G4464" i="21"/>
  <c r="H4464" i="21" s="1"/>
  <c r="G4463" i="21"/>
  <c r="H4463" i="21" s="1"/>
  <c r="G4462" i="21"/>
  <c r="H4462" i="21" s="1"/>
  <c r="G4461" i="21"/>
  <c r="H4461" i="21" s="1"/>
  <c r="G4460" i="21"/>
  <c r="H4460" i="21" s="1"/>
  <c r="G4459" i="21"/>
  <c r="H4459" i="21" s="1"/>
  <c r="G4458" i="21"/>
  <c r="H4458" i="21" s="1"/>
  <c r="G4457" i="21"/>
  <c r="H4457" i="21" s="1"/>
  <c r="G4456" i="21"/>
  <c r="H4456" i="21" s="1"/>
  <c r="G4455" i="21"/>
  <c r="H4455" i="21" s="1"/>
  <c r="G4454" i="21"/>
  <c r="H4454" i="21" s="1"/>
  <c r="G4453" i="21"/>
  <c r="H4453" i="21" s="1"/>
  <c r="G4452" i="21"/>
  <c r="H4452" i="21" s="1"/>
  <c r="G4451" i="21"/>
  <c r="H4451" i="21" s="1"/>
  <c r="G4450" i="21"/>
  <c r="H4450" i="21" s="1"/>
  <c r="G4449" i="21"/>
  <c r="H4449" i="21" s="1"/>
  <c r="G4448" i="21"/>
  <c r="H4448" i="21" s="1"/>
  <c r="G4447" i="21"/>
  <c r="H4447" i="21" s="1"/>
  <c r="G4446" i="21"/>
  <c r="H4446" i="21" s="1"/>
  <c r="G4445" i="21"/>
  <c r="H4445" i="21" s="1"/>
  <c r="G4444" i="21"/>
  <c r="H4444" i="21" s="1"/>
  <c r="G4443" i="21"/>
  <c r="H4443" i="21" s="1"/>
  <c r="G4442" i="21"/>
  <c r="H4442" i="21" s="1"/>
  <c r="G4441" i="21"/>
  <c r="H4441" i="21" s="1"/>
  <c r="G4440" i="21"/>
  <c r="H4440" i="21" s="1"/>
  <c r="G4439" i="21"/>
  <c r="H4439" i="21" s="1"/>
  <c r="G4438" i="21"/>
  <c r="H4438" i="21" s="1"/>
  <c r="G4437" i="21"/>
  <c r="H4437" i="21" s="1"/>
  <c r="G4436" i="21"/>
  <c r="H4436" i="21" s="1"/>
  <c r="G4435" i="21"/>
  <c r="H4435" i="21" s="1"/>
  <c r="G4434" i="21"/>
  <c r="H4434" i="21" s="1"/>
  <c r="H4433" i="21"/>
  <c r="G4433" i="21"/>
  <c r="G4432" i="21"/>
  <c r="H4432" i="21" s="1"/>
  <c r="G4431" i="21"/>
  <c r="H4431" i="21" s="1"/>
  <c r="G4430" i="21"/>
  <c r="H4430" i="21" s="1"/>
  <c r="G4429" i="21"/>
  <c r="H4429" i="21" s="1"/>
  <c r="G4428" i="21"/>
  <c r="H4428" i="21" s="1"/>
  <c r="G4427" i="21"/>
  <c r="H4427" i="21" s="1"/>
  <c r="G4426" i="21"/>
  <c r="H4426" i="21" s="1"/>
  <c r="G4425" i="21"/>
  <c r="H4425" i="21" s="1"/>
  <c r="G4424" i="21"/>
  <c r="H4424" i="21" s="1"/>
  <c r="G4423" i="21"/>
  <c r="H4423" i="21" s="1"/>
  <c r="G4422" i="21"/>
  <c r="H4422" i="21" s="1"/>
  <c r="G4421" i="21"/>
  <c r="H4421" i="21" s="1"/>
  <c r="G4420" i="21"/>
  <c r="H4420" i="21" s="1"/>
  <c r="G4419" i="21"/>
  <c r="H4419" i="21" s="1"/>
  <c r="G4418" i="21"/>
  <c r="H4418" i="21" s="1"/>
  <c r="G4417" i="21"/>
  <c r="H4417" i="21" s="1"/>
  <c r="G4416" i="21"/>
  <c r="H4416" i="21" s="1"/>
  <c r="G4415" i="21"/>
  <c r="H4415" i="21" s="1"/>
  <c r="G4414" i="21"/>
  <c r="H4414" i="21" s="1"/>
  <c r="G4413" i="21"/>
  <c r="H4413" i="21" s="1"/>
  <c r="G4412" i="21"/>
  <c r="H4412" i="21" s="1"/>
  <c r="G4411" i="21"/>
  <c r="H4411" i="21" s="1"/>
  <c r="G4410" i="21"/>
  <c r="H4410" i="21" s="1"/>
  <c r="G4409" i="21"/>
  <c r="H4409" i="21" s="1"/>
  <c r="G4408" i="21"/>
  <c r="H4408" i="21" s="1"/>
  <c r="G4407" i="21"/>
  <c r="H4407" i="21" s="1"/>
  <c r="G4406" i="21"/>
  <c r="H4406" i="21" s="1"/>
  <c r="G4405" i="21"/>
  <c r="H4405" i="21" s="1"/>
  <c r="G4404" i="21"/>
  <c r="H4404" i="21" s="1"/>
  <c r="G4403" i="21"/>
  <c r="H4403" i="21" s="1"/>
  <c r="G4402" i="21"/>
  <c r="H4402" i="21" s="1"/>
  <c r="G4401" i="21"/>
  <c r="H4401" i="21" s="1"/>
  <c r="G4400" i="21"/>
  <c r="H4400" i="21" s="1"/>
  <c r="G4399" i="21"/>
  <c r="H4399" i="21" s="1"/>
  <c r="G4398" i="21"/>
  <c r="H4398" i="21" s="1"/>
  <c r="G4397" i="21"/>
  <c r="H4397" i="21" s="1"/>
  <c r="G4396" i="21"/>
  <c r="H4396" i="21" s="1"/>
  <c r="G4395" i="21"/>
  <c r="H4395" i="21" s="1"/>
  <c r="G4394" i="21"/>
  <c r="H4394" i="21" s="1"/>
  <c r="G4393" i="21"/>
  <c r="H4393" i="21" s="1"/>
  <c r="G4392" i="21"/>
  <c r="H4392" i="21" s="1"/>
  <c r="G4391" i="21"/>
  <c r="H4391" i="21" s="1"/>
  <c r="G4390" i="21"/>
  <c r="H4390" i="21" s="1"/>
  <c r="G4389" i="21"/>
  <c r="H4389" i="21" s="1"/>
  <c r="G4388" i="21"/>
  <c r="H4388" i="21" s="1"/>
  <c r="G4387" i="21"/>
  <c r="H4387" i="21" s="1"/>
  <c r="G4386" i="21"/>
  <c r="H4386" i="21" s="1"/>
  <c r="G4385" i="21"/>
  <c r="H4385" i="21" s="1"/>
  <c r="G4384" i="21"/>
  <c r="H4384" i="21" s="1"/>
  <c r="G4383" i="21"/>
  <c r="H4383" i="21" s="1"/>
  <c r="G4382" i="21"/>
  <c r="H4382" i="21" s="1"/>
  <c r="G4381" i="21"/>
  <c r="H4381" i="21" s="1"/>
  <c r="G4380" i="21"/>
  <c r="H4380" i="21" s="1"/>
  <c r="G4379" i="21"/>
  <c r="H4379" i="21" s="1"/>
  <c r="G4378" i="21"/>
  <c r="H4378" i="21" s="1"/>
  <c r="G4377" i="21"/>
  <c r="H4377" i="21" s="1"/>
  <c r="G4376" i="21"/>
  <c r="H4376" i="21" s="1"/>
  <c r="G4375" i="21"/>
  <c r="H4375" i="21" s="1"/>
  <c r="G4374" i="21"/>
  <c r="H4374" i="21" s="1"/>
  <c r="G4373" i="21"/>
  <c r="H4373" i="21" s="1"/>
  <c r="G4372" i="21"/>
  <c r="H4372" i="21" s="1"/>
  <c r="G4371" i="21"/>
  <c r="H4371" i="21" s="1"/>
  <c r="G4370" i="21"/>
  <c r="H4370" i="21" s="1"/>
  <c r="G4369" i="21"/>
  <c r="H4369" i="21" s="1"/>
  <c r="G4368" i="21"/>
  <c r="H4368" i="21" s="1"/>
  <c r="G4367" i="21"/>
  <c r="H4367" i="21" s="1"/>
  <c r="G4366" i="21"/>
  <c r="H4366" i="21" s="1"/>
  <c r="G4365" i="21"/>
  <c r="H4365" i="21" s="1"/>
  <c r="G4364" i="21"/>
  <c r="H4364" i="21" s="1"/>
  <c r="G4363" i="21"/>
  <c r="H4363" i="21" s="1"/>
  <c r="G4362" i="21"/>
  <c r="H4362" i="21" s="1"/>
  <c r="G4361" i="21"/>
  <c r="H4361" i="21" s="1"/>
  <c r="G4360" i="21"/>
  <c r="H4360" i="21" s="1"/>
  <c r="G4359" i="21"/>
  <c r="H4359" i="21" s="1"/>
  <c r="G4358" i="21"/>
  <c r="H4358" i="21" s="1"/>
  <c r="G4357" i="21"/>
  <c r="H4357" i="21" s="1"/>
  <c r="G4356" i="21"/>
  <c r="H4356" i="21" s="1"/>
  <c r="G4355" i="21"/>
  <c r="H4355" i="21" s="1"/>
  <c r="G4354" i="21"/>
  <c r="H4354" i="21" s="1"/>
  <c r="G4353" i="21"/>
  <c r="H4353" i="21" s="1"/>
  <c r="G4352" i="21"/>
  <c r="H4352" i="21" s="1"/>
  <c r="G4351" i="21"/>
  <c r="H4351" i="21" s="1"/>
  <c r="G4350" i="21"/>
  <c r="H4350" i="21" s="1"/>
  <c r="G4349" i="21"/>
  <c r="H4349" i="21" s="1"/>
  <c r="G4348" i="21"/>
  <c r="H4348" i="21" s="1"/>
  <c r="G4347" i="21"/>
  <c r="H4347" i="21" s="1"/>
  <c r="G4346" i="21"/>
  <c r="H4346" i="21" s="1"/>
  <c r="G4345" i="21"/>
  <c r="H4345" i="21" s="1"/>
  <c r="G4344" i="21"/>
  <c r="H4344" i="21" s="1"/>
  <c r="G4343" i="21"/>
  <c r="H4343" i="21" s="1"/>
  <c r="G4342" i="21"/>
  <c r="H4342" i="21" s="1"/>
  <c r="G4341" i="21"/>
  <c r="H4341" i="21" s="1"/>
  <c r="G4340" i="21"/>
  <c r="H4340" i="21" s="1"/>
  <c r="G4339" i="21"/>
  <c r="H4339" i="21" s="1"/>
  <c r="G4338" i="21"/>
  <c r="H4338" i="21" s="1"/>
  <c r="G4337" i="21"/>
  <c r="H4337" i="21" s="1"/>
  <c r="G4336" i="21"/>
  <c r="H4336" i="21" s="1"/>
  <c r="G4335" i="21"/>
  <c r="H4335" i="21" s="1"/>
  <c r="G4334" i="21"/>
  <c r="H4334" i="21" s="1"/>
  <c r="G4333" i="21"/>
  <c r="H4333" i="21" s="1"/>
  <c r="G4332" i="21"/>
  <c r="H4332" i="21" s="1"/>
  <c r="G4331" i="21"/>
  <c r="H4331" i="21" s="1"/>
  <c r="G4330" i="21"/>
  <c r="H4330" i="21" s="1"/>
  <c r="G4329" i="21"/>
  <c r="H4329" i="21" s="1"/>
  <c r="G4328" i="21"/>
  <c r="H4328" i="21" s="1"/>
  <c r="G4327" i="21"/>
  <c r="H4327" i="21" s="1"/>
  <c r="G4326" i="21"/>
  <c r="H4326" i="21" s="1"/>
  <c r="G4325" i="21"/>
  <c r="H4325" i="21" s="1"/>
  <c r="G4324" i="21"/>
  <c r="H4324" i="21" s="1"/>
  <c r="G4323" i="21"/>
  <c r="H4323" i="21" s="1"/>
  <c r="G4322" i="21"/>
  <c r="H4322" i="21" s="1"/>
  <c r="G4321" i="21"/>
  <c r="H4321" i="21" s="1"/>
  <c r="G4320" i="21"/>
  <c r="H4320" i="21" s="1"/>
  <c r="G4319" i="21"/>
  <c r="H4319" i="21" s="1"/>
  <c r="G4318" i="21"/>
  <c r="H4318" i="21" s="1"/>
  <c r="G4317" i="21"/>
  <c r="H4317" i="21" s="1"/>
  <c r="G4316" i="21"/>
  <c r="H4316" i="21" s="1"/>
  <c r="G4315" i="21"/>
  <c r="H4315" i="21" s="1"/>
  <c r="G4314" i="21"/>
  <c r="H4314" i="21" s="1"/>
  <c r="G4313" i="21"/>
  <c r="H4313" i="21" s="1"/>
  <c r="G4312" i="21"/>
  <c r="H4312" i="21" s="1"/>
  <c r="G4311" i="21"/>
  <c r="H4311" i="21" s="1"/>
  <c r="G4310" i="21"/>
  <c r="H4310" i="21" s="1"/>
  <c r="G4309" i="21"/>
  <c r="H4309" i="21" s="1"/>
  <c r="G4308" i="21"/>
  <c r="H4308" i="21" s="1"/>
  <c r="G4307" i="21"/>
  <c r="H4307" i="21" s="1"/>
  <c r="G4306" i="21"/>
  <c r="H4306" i="21" s="1"/>
  <c r="G4305" i="21"/>
  <c r="H4305" i="21" s="1"/>
  <c r="H4304" i="21"/>
  <c r="G4304" i="21"/>
  <c r="G4303" i="21"/>
  <c r="H4303" i="21" s="1"/>
  <c r="H4302" i="21"/>
  <c r="G4302" i="21"/>
  <c r="G4301" i="21"/>
  <c r="H4301" i="21" s="1"/>
  <c r="G4300" i="21"/>
  <c r="H4300" i="21" s="1"/>
  <c r="G4299" i="21"/>
  <c r="H4299" i="21" s="1"/>
  <c r="G4298" i="21"/>
  <c r="H4298" i="21" s="1"/>
  <c r="G4297" i="21"/>
  <c r="H4297" i="21" s="1"/>
  <c r="G4296" i="21"/>
  <c r="H4296" i="21" s="1"/>
  <c r="G4295" i="21"/>
  <c r="H4295" i="21" s="1"/>
  <c r="G4294" i="21"/>
  <c r="H4294" i="21" s="1"/>
  <c r="G4293" i="21"/>
  <c r="H4293" i="21" s="1"/>
  <c r="G4292" i="21"/>
  <c r="H4292" i="21" s="1"/>
  <c r="G4291" i="21"/>
  <c r="H4291" i="21" s="1"/>
  <c r="G4290" i="21"/>
  <c r="H4290" i="21" s="1"/>
  <c r="G4289" i="21"/>
  <c r="H4289" i="21" s="1"/>
  <c r="G4288" i="21"/>
  <c r="H4288" i="21" s="1"/>
  <c r="G4287" i="21"/>
  <c r="H4287" i="21" s="1"/>
  <c r="G4286" i="21"/>
  <c r="H4286" i="21" s="1"/>
  <c r="G4285" i="21"/>
  <c r="H4285" i="21" s="1"/>
  <c r="G4284" i="21"/>
  <c r="H4284" i="21" s="1"/>
  <c r="G4283" i="21"/>
  <c r="H4283" i="21" s="1"/>
  <c r="G4282" i="21"/>
  <c r="H4282" i="21" s="1"/>
  <c r="G4281" i="21"/>
  <c r="H4281" i="21" s="1"/>
  <c r="G4280" i="21"/>
  <c r="H4280" i="21" s="1"/>
  <c r="G4279" i="21"/>
  <c r="H4279" i="21" s="1"/>
  <c r="G4278" i="21"/>
  <c r="H4278" i="21" s="1"/>
  <c r="G4277" i="21"/>
  <c r="H4277" i="21" s="1"/>
  <c r="G4276" i="21"/>
  <c r="H4276" i="21" s="1"/>
  <c r="G4275" i="21"/>
  <c r="H4275" i="21" s="1"/>
  <c r="G4274" i="21"/>
  <c r="H4274" i="21" s="1"/>
  <c r="G4273" i="21"/>
  <c r="H4273" i="21" s="1"/>
  <c r="G4272" i="21"/>
  <c r="H4272" i="21" s="1"/>
  <c r="G4271" i="21"/>
  <c r="H4271" i="21" s="1"/>
  <c r="G4270" i="21"/>
  <c r="H4270" i="21" s="1"/>
  <c r="G4269" i="21"/>
  <c r="H4269" i="21" s="1"/>
  <c r="G4268" i="21"/>
  <c r="H4268" i="21" s="1"/>
  <c r="G4267" i="21"/>
  <c r="H4267" i="21" s="1"/>
  <c r="G4266" i="21"/>
  <c r="H4266" i="21" s="1"/>
  <c r="G4265" i="21"/>
  <c r="H4265" i="21" s="1"/>
  <c r="G4264" i="21"/>
  <c r="H4264" i="21" s="1"/>
  <c r="G4263" i="21"/>
  <c r="H4263" i="21" s="1"/>
  <c r="G4262" i="21"/>
  <c r="H4262" i="21" s="1"/>
  <c r="G4261" i="21"/>
  <c r="H4261" i="21" s="1"/>
  <c r="G4260" i="21"/>
  <c r="H4260" i="21" s="1"/>
  <c r="G4259" i="21"/>
  <c r="H4259" i="21" s="1"/>
  <c r="G4258" i="21"/>
  <c r="H4258" i="21" s="1"/>
  <c r="G4257" i="21"/>
  <c r="H4257" i="21" s="1"/>
  <c r="G4256" i="21"/>
  <c r="H4256" i="21" s="1"/>
  <c r="G4255" i="21"/>
  <c r="H4255" i="21" s="1"/>
  <c r="G4254" i="21"/>
  <c r="H4254" i="21" s="1"/>
  <c r="G4253" i="21"/>
  <c r="H4253" i="21" s="1"/>
  <c r="G4252" i="21"/>
  <c r="H4252" i="21" s="1"/>
  <c r="G4251" i="21"/>
  <c r="H4251" i="21" s="1"/>
  <c r="G4250" i="21"/>
  <c r="H4250" i="21" s="1"/>
  <c r="G4249" i="21"/>
  <c r="H4249" i="21" s="1"/>
  <c r="G4248" i="21"/>
  <c r="H4248" i="21" s="1"/>
  <c r="G4247" i="21"/>
  <c r="H4247" i="21" s="1"/>
  <c r="G4246" i="21"/>
  <c r="H4246" i="21" s="1"/>
  <c r="G4245" i="21"/>
  <c r="H4245" i="21" s="1"/>
  <c r="G4244" i="21"/>
  <c r="H4244" i="21" s="1"/>
  <c r="G4243" i="21"/>
  <c r="H4243" i="21" s="1"/>
  <c r="G4242" i="21"/>
  <c r="H4242" i="21" s="1"/>
  <c r="G4241" i="21"/>
  <c r="H4241" i="21" s="1"/>
  <c r="G4240" i="21"/>
  <c r="H4240" i="21" s="1"/>
  <c r="G4239" i="21"/>
  <c r="H4239" i="21" s="1"/>
  <c r="G4238" i="21"/>
  <c r="H4238" i="21" s="1"/>
  <c r="G4237" i="21"/>
  <c r="H4237" i="21" s="1"/>
  <c r="G4236" i="21"/>
  <c r="H4236" i="21" s="1"/>
  <c r="G4235" i="21"/>
  <c r="H4235" i="21" s="1"/>
  <c r="G4234" i="21"/>
  <c r="H4234" i="21" s="1"/>
  <c r="G4233" i="21"/>
  <c r="H4233" i="21" s="1"/>
  <c r="G4232" i="21"/>
  <c r="H4232" i="21" s="1"/>
  <c r="G4231" i="21"/>
  <c r="H4231" i="21" s="1"/>
  <c r="G4230" i="21"/>
  <c r="H4230" i="21" s="1"/>
  <c r="G4229" i="21"/>
  <c r="H4229" i="21" s="1"/>
  <c r="G4228" i="21"/>
  <c r="H4228" i="21" s="1"/>
  <c r="G4227" i="21"/>
  <c r="H4227" i="21" s="1"/>
  <c r="G4226" i="21"/>
  <c r="H4226" i="21" s="1"/>
  <c r="G4225" i="21"/>
  <c r="H4225" i="21" s="1"/>
  <c r="G4224" i="21"/>
  <c r="H4224" i="21" s="1"/>
  <c r="G4223" i="21"/>
  <c r="H4223" i="21" s="1"/>
  <c r="G4222" i="21"/>
  <c r="H4222" i="21" s="1"/>
  <c r="G4221" i="21"/>
  <c r="H4221" i="21" s="1"/>
  <c r="G4220" i="21"/>
  <c r="H4220" i="21" s="1"/>
  <c r="G4219" i="21"/>
  <c r="H4219" i="21" s="1"/>
  <c r="G4218" i="21"/>
  <c r="H4218" i="21" s="1"/>
  <c r="G4217" i="21"/>
  <c r="H4217" i="21" s="1"/>
  <c r="G4216" i="21"/>
  <c r="H4216" i="21" s="1"/>
  <c r="G4215" i="21"/>
  <c r="H4215" i="21" s="1"/>
  <c r="G4214" i="21"/>
  <c r="H4214" i="21" s="1"/>
  <c r="G4213" i="21"/>
  <c r="H4213" i="21" s="1"/>
  <c r="G4212" i="21"/>
  <c r="H4212" i="21" s="1"/>
  <c r="G4211" i="21"/>
  <c r="H4211" i="21" s="1"/>
  <c r="G4210" i="21"/>
  <c r="H4210" i="21" s="1"/>
  <c r="G4209" i="21"/>
  <c r="H4209" i="21" s="1"/>
  <c r="G4208" i="21"/>
  <c r="H4208" i="21" s="1"/>
  <c r="G4207" i="21"/>
  <c r="H4207" i="21" s="1"/>
  <c r="G4206" i="21"/>
  <c r="H4206" i="21" s="1"/>
  <c r="G4205" i="21"/>
  <c r="H4205" i="21" s="1"/>
  <c r="G4204" i="21"/>
  <c r="H4204" i="21" s="1"/>
  <c r="G4203" i="21"/>
  <c r="H4203" i="21" s="1"/>
  <c r="G4202" i="21"/>
  <c r="H4202" i="21" s="1"/>
  <c r="G4201" i="21"/>
  <c r="H4201" i="21" s="1"/>
  <c r="G4200" i="21"/>
  <c r="H4200" i="21" s="1"/>
  <c r="G4199" i="21"/>
  <c r="H4199" i="21" s="1"/>
  <c r="G4198" i="21"/>
  <c r="H4198" i="21" s="1"/>
  <c r="G4197" i="21"/>
  <c r="H4197" i="21" s="1"/>
  <c r="G4196" i="21"/>
  <c r="H4196" i="21" s="1"/>
  <c r="G4195" i="21"/>
  <c r="H4195" i="21" s="1"/>
  <c r="G4194" i="21"/>
  <c r="H4194" i="21" s="1"/>
  <c r="G4193" i="21"/>
  <c r="H4193" i="21" s="1"/>
  <c r="G4192" i="21"/>
  <c r="H4192" i="21" s="1"/>
  <c r="G4191" i="21"/>
  <c r="H4191" i="21" s="1"/>
  <c r="G4190" i="21"/>
  <c r="H4190" i="21" s="1"/>
  <c r="G4189" i="21"/>
  <c r="H4189" i="21" s="1"/>
  <c r="G4188" i="21"/>
  <c r="H4188" i="21" s="1"/>
  <c r="G4187" i="21"/>
  <c r="H4187" i="21" s="1"/>
  <c r="G4186" i="21"/>
  <c r="H4186" i="21" s="1"/>
  <c r="G4185" i="21"/>
  <c r="H4185" i="21" s="1"/>
  <c r="G4184" i="21"/>
  <c r="H4184" i="21" s="1"/>
  <c r="G4183" i="21"/>
  <c r="H4183" i="21" s="1"/>
  <c r="G4182" i="21"/>
  <c r="H4182" i="21" s="1"/>
  <c r="G4181" i="21"/>
  <c r="H4181" i="21" s="1"/>
  <c r="G4180" i="21"/>
  <c r="H4180" i="21" s="1"/>
  <c r="G4179" i="21"/>
  <c r="H4179" i="21" s="1"/>
  <c r="G4178" i="21"/>
  <c r="H4178" i="21" s="1"/>
  <c r="G4177" i="21"/>
  <c r="H4177" i="21" s="1"/>
  <c r="H4176" i="21"/>
  <c r="G4176" i="21"/>
  <c r="G4175" i="21"/>
  <c r="H4175" i="21" s="1"/>
  <c r="H4174" i="21"/>
  <c r="G4174" i="21"/>
  <c r="G4173" i="21"/>
  <c r="H4173" i="21" s="1"/>
  <c r="G4172" i="21"/>
  <c r="H4172" i="21" s="1"/>
  <c r="G4171" i="21"/>
  <c r="H4171" i="21" s="1"/>
  <c r="G4170" i="21"/>
  <c r="H4170" i="21" s="1"/>
  <c r="G4169" i="21"/>
  <c r="H4169" i="21" s="1"/>
  <c r="H4168" i="21"/>
  <c r="G4168" i="21"/>
  <c r="G4167" i="21"/>
  <c r="H4167" i="21" s="1"/>
  <c r="G4166" i="21"/>
  <c r="H4166" i="21" s="1"/>
  <c r="H4165" i="21"/>
  <c r="G4165" i="21"/>
  <c r="G4164" i="21"/>
  <c r="H4164" i="21" s="1"/>
  <c r="G4163" i="21"/>
  <c r="H4163" i="21" s="1"/>
  <c r="H4162" i="21"/>
  <c r="G4162" i="21"/>
  <c r="G4161" i="21"/>
  <c r="H4161" i="21" s="1"/>
  <c r="G4160" i="21"/>
  <c r="H4160" i="21" s="1"/>
  <c r="H4159" i="21"/>
  <c r="G4159" i="21"/>
  <c r="G4158" i="21"/>
  <c r="H4158" i="21" s="1"/>
  <c r="G4157" i="21"/>
  <c r="H4157" i="21" s="1"/>
  <c r="G4156" i="21"/>
  <c r="H4156" i="21" s="1"/>
  <c r="G4155" i="21"/>
  <c r="H4155" i="21" s="1"/>
  <c r="G4154" i="21"/>
  <c r="H4154" i="21" s="1"/>
  <c r="G4153" i="21"/>
  <c r="H4153" i="21" s="1"/>
  <c r="G4152" i="21"/>
  <c r="H4152" i="21" s="1"/>
  <c r="G4151" i="21"/>
  <c r="H4151" i="21" s="1"/>
  <c r="G4150" i="21"/>
  <c r="H4150" i="21" s="1"/>
  <c r="G4149" i="21"/>
  <c r="H4149" i="21" s="1"/>
  <c r="G4148" i="21"/>
  <c r="H4148" i="21" s="1"/>
  <c r="G4147" i="21"/>
  <c r="H4147" i="21" s="1"/>
  <c r="G4146" i="21"/>
  <c r="H4146" i="21" s="1"/>
  <c r="G4145" i="21"/>
  <c r="H4145" i="21" s="1"/>
  <c r="G4144" i="21"/>
  <c r="H4144" i="21" s="1"/>
  <c r="G4143" i="21"/>
  <c r="H4143" i="21" s="1"/>
  <c r="G4142" i="21"/>
  <c r="H4142" i="21" s="1"/>
  <c r="G4141" i="21"/>
  <c r="H4141" i="21" s="1"/>
  <c r="G4140" i="21"/>
  <c r="H4140" i="21" s="1"/>
  <c r="G4139" i="21"/>
  <c r="H4139" i="21" s="1"/>
  <c r="G4138" i="21"/>
  <c r="H4138" i="21" s="1"/>
  <c r="G4137" i="21"/>
  <c r="H4137" i="21" s="1"/>
  <c r="G4136" i="21"/>
  <c r="H4136" i="21" s="1"/>
  <c r="G4135" i="21"/>
  <c r="H4135" i="21" s="1"/>
  <c r="G4134" i="21"/>
  <c r="H4134" i="21" s="1"/>
  <c r="G4133" i="21"/>
  <c r="H4133" i="21" s="1"/>
  <c r="G4132" i="21"/>
  <c r="H4132" i="21" s="1"/>
  <c r="H4131" i="21"/>
  <c r="G4131" i="21"/>
  <c r="G4130" i="21"/>
  <c r="H4130" i="21" s="1"/>
  <c r="G4129" i="21"/>
  <c r="H4129" i="21" s="1"/>
  <c r="G4128" i="21"/>
  <c r="H4128" i="21" s="1"/>
  <c r="G4127" i="21"/>
  <c r="H4127" i="21" s="1"/>
  <c r="G4126" i="21"/>
  <c r="H4126" i="21" s="1"/>
  <c r="G4125" i="21"/>
  <c r="H4125" i="21" s="1"/>
  <c r="G4124" i="21"/>
  <c r="H4124" i="21" s="1"/>
  <c r="G4123" i="21"/>
  <c r="H4123" i="21" s="1"/>
  <c r="G4122" i="21"/>
  <c r="H4122" i="21" s="1"/>
  <c r="G4121" i="21"/>
  <c r="H4121" i="21" s="1"/>
  <c r="G4120" i="21"/>
  <c r="H4120" i="21" s="1"/>
  <c r="G4119" i="21"/>
  <c r="H4119" i="21" s="1"/>
  <c r="G4118" i="21"/>
  <c r="H4118" i="21" s="1"/>
  <c r="G4117" i="21"/>
  <c r="H4117" i="21" s="1"/>
  <c r="G4116" i="21"/>
  <c r="H4116" i="21" s="1"/>
  <c r="G4115" i="21"/>
  <c r="H4115" i="21" s="1"/>
  <c r="G4114" i="21"/>
  <c r="H4114" i="21" s="1"/>
  <c r="G4113" i="21"/>
  <c r="H4113" i="21" s="1"/>
  <c r="G4112" i="21"/>
  <c r="H4112" i="21" s="1"/>
  <c r="G4111" i="21"/>
  <c r="H4111" i="21" s="1"/>
  <c r="G4110" i="21"/>
  <c r="H4110" i="21" s="1"/>
  <c r="G4109" i="21"/>
  <c r="H4109" i="21" s="1"/>
  <c r="G4108" i="21"/>
  <c r="H4108" i="21" s="1"/>
  <c r="G4107" i="21"/>
  <c r="H4107" i="21" s="1"/>
  <c r="G4106" i="21"/>
  <c r="H4106" i="21" s="1"/>
  <c r="G4105" i="21"/>
  <c r="H4105" i="21" s="1"/>
  <c r="G4104" i="21"/>
  <c r="H4104" i="21" s="1"/>
  <c r="G4103" i="21"/>
  <c r="H4103" i="21" s="1"/>
  <c r="G4102" i="21"/>
  <c r="H4102" i="21" s="1"/>
  <c r="G4101" i="21"/>
  <c r="H4101" i="21" s="1"/>
  <c r="G4100" i="21"/>
  <c r="H4100" i="21" s="1"/>
  <c r="G4099" i="21"/>
  <c r="H4099" i="21" s="1"/>
  <c r="G4098" i="21"/>
  <c r="H4098" i="21" s="1"/>
  <c r="G4097" i="21"/>
  <c r="H4097" i="21" s="1"/>
  <c r="G4096" i="21"/>
  <c r="H4096" i="21" s="1"/>
  <c r="G4095" i="21"/>
  <c r="H4095" i="21" s="1"/>
  <c r="G4094" i="21"/>
  <c r="H4094" i="21" s="1"/>
  <c r="G4093" i="21"/>
  <c r="H4093" i="21" s="1"/>
  <c r="G4092" i="21"/>
  <c r="H4092" i="21" s="1"/>
  <c r="G4091" i="21"/>
  <c r="H4091" i="21" s="1"/>
  <c r="G4090" i="21"/>
  <c r="H4090" i="21" s="1"/>
  <c r="G4089" i="21"/>
  <c r="H4089" i="21" s="1"/>
  <c r="G4088" i="21"/>
  <c r="H4088" i="21" s="1"/>
  <c r="G4087" i="21"/>
  <c r="H4087" i="21" s="1"/>
  <c r="G4086" i="21"/>
  <c r="H4086" i="21" s="1"/>
  <c r="G4085" i="21"/>
  <c r="H4085" i="21" s="1"/>
  <c r="G4084" i="21"/>
  <c r="H4084" i="21" s="1"/>
  <c r="G4083" i="21"/>
  <c r="H4083" i="21" s="1"/>
  <c r="G4082" i="21"/>
  <c r="H4082" i="21" s="1"/>
  <c r="G4081" i="21"/>
  <c r="H4081" i="21" s="1"/>
  <c r="G4080" i="21"/>
  <c r="H4080" i="21" s="1"/>
  <c r="G4079" i="21"/>
  <c r="H4079" i="21" s="1"/>
  <c r="G4078" i="21"/>
  <c r="H4078" i="21" s="1"/>
  <c r="G4077" i="21"/>
  <c r="H4077" i="21" s="1"/>
  <c r="G4076" i="21"/>
  <c r="H4076" i="21" s="1"/>
  <c r="G4075" i="21"/>
  <c r="H4075" i="21" s="1"/>
  <c r="G4074" i="21"/>
  <c r="H4074" i="21" s="1"/>
  <c r="G4073" i="21"/>
  <c r="H4073" i="21" s="1"/>
  <c r="G4072" i="21"/>
  <c r="H4072" i="21" s="1"/>
  <c r="G4071" i="21"/>
  <c r="H4071" i="21" s="1"/>
  <c r="G4070" i="21"/>
  <c r="H4070" i="21" s="1"/>
  <c r="G4069" i="21"/>
  <c r="H4069" i="21" s="1"/>
  <c r="G4068" i="21"/>
  <c r="H4068" i="21" s="1"/>
  <c r="G4067" i="21"/>
  <c r="H4067" i="21" s="1"/>
  <c r="G4066" i="21"/>
  <c r="H4066" i="21" s="1"/>
  <c r="G4065" i="21"/>
  <c r="H4065" i="21" s="1"/>
  <c r="G4064" i="21"/>
  <c r="H4064" i="21" s="1"/>
  <c r="H4063" i="21"/>
  <c r="G4063" i="21"/>
  <c r="G4062" i="21"/>
  <c r="H4062" i="21" s="1"/>
  <c r="G4061" i="21"/>
  <c r="H4061" i="21" s="1"/>
  <c r="G4060" i="21"/>
  <c r="H4060" i="21" s="1"/>
  <c r="G4059" i="21"/>
  <c r="H4059" i="21" s="1"/>
  <c r="G4058" i="21"/>
  <c r="H4058" i="21" s="1"/>
  <c r="G4057" i="21"/>
  <c r="H4057" i="21" s="1"/>
  <c r="G4056" i="21"/>
  <c r="H4056" i="21" s="1"/>
  <c r="G4055" i="21"/>
  <c r="H4055" i="21" s="1"/>
  <c r="G4054" i="21"/>
  <c r="H4054" i="21" s="1"/>
  <c r="G4053" i="21"/>
  <c r="H4053" i="21" s="1"/>
  <c r="G4052" i="21"/>
  <c r="H4052" i="21" s="1"/>
  <c r="G4051" i="21"/>
  <c r="H4051" i="21" s="1"/>
  <c r="G4050" i="21"/>
  <c r="H4050" i="21" s="1"/>
  <c r="G594" i="3" s="1"/>
  <c r="G4049" i="21"/>
  <c r="H4049" i="21" s="1"/>
  <c r="G4048" i="21"/>
  <c r="H4048" i="21" s="1"/>
  <c r="G4047" i="21"/>
  <c r="H4047" i="21" s="1"/>
  <c r="G4046" i="21"/>
  <c r="H4046" i="21" s="1"/>
  <c r="G4045" i="21"/>
  <c r="H4045" i="21" s="1"/>
  <c r="G4044" i="21"/>
  <c r="H4044" i="21" s="1"/>
  <c r="G4043" i="21"/>
  <c r="H4043" i="21" s="1"/>
  <c r="G4042" i="21"/>
  <c r="H4042" i="21" s="1"/>
  <c r="G4041" i="21"/>
  <c r="H4041" i="21" s="1"/>
  <c r="G4040" i="21"/>
  <c r="H4040" i="21" s="1"/>
  <c r="G4039" i="21"/>
  <c r="H4039" i="21" s="1"/>
  <c r="G4038" i="21"/>
  <c r="H4038" i="21" s="1"/>
  <c r="G4037" i="21"/>
  <c r="H4037" i="21" s="1"/>
  <c r="G4036" i="21"/>
  <c r="H4036" i="21" s="1"/>
  <c r="G4035" i="21"/>
  <c r="H4035" i="21" s="1"/>
  <c r="G4034" i="21"/>
  <c r="H4034" i="21" s="1"/>
  <c r="G4033" i="21"/>
  <c r="H4033" i="21" s="1"/>
  <c r="G4032" i="21"/>
  <c r="H4032" i="21" s="1"/>
  <c r="G4031" i="21"/>
  <c r="H4031" i="21" s="1"/>
  <c r="G4030" i="21"/>
  <c r="H4030" i="21" s="1"/>
  <c r="G4029" i="21"/>
  <c r="H4029" i="21" s="1"/>
  <c r="G4028" i="21"/>
  <c r="H4028" i="21" s="1"/>
  <c r="G4027" i="21"/>
  <c r="H4027" i="21" s="1"/>
  <c r="G4026" i="21"/>
  <c r="H4026" i="21" s="1"/>
  <c r="G4025" i="21"/>
  <c r="H4025" i="21" s="1"/>
  <c r="G4024" i="21"/>
  <c r="H4024" i="21" s="1"/>
  <c r="G4023" i="21"/>
  <c r="H4023" i="21" s="1"/>
  <c r="G4022" i="21"/>
  <c r="H4022" i="21" s="1"/>
  <c r="G4021" i="21"/>
  <c r="H4021" i="21" s="1"/>
  <c r="G4020" i="21"/>
  <c r="H4020" i="21" s="1"/>
  <c r="G4019" i="21"/>
  <c r="H4019" i="21" s="1"/>
  <c r="G4018" i="21"/>
  <c r="H4018" i="21" s="1"/>
  <c r="G4017" i="21"/>
  <c r="H4017" i="21" s="1"/>
  <c r="G4016" i="21"/>
  <c r="H4016" i="21" s="1"/>
  <c r="G4015" i="21"/>
  <c r="H4015" i="21" s="1"/>
  <c r="G4014" i="21"/>
  <c r="H4014" i="21" s="1"/>
  <c r="G4013" i="21"/>
  <c r="H4013" i="21" s="1"/>
  <c r="G4012" i="21"/>
  <c r="H4012" i="21" s="1"/>
  <c r="G4011" i="21"/>
  <c r="H4011" i="21" s="1"/>
  <c r="G4010" i="21"/>
  <c r="H4010" i="21" s="1"/>
  <c r="G4009" i="21"/>
  <c r="H4009" i="21" s="1"/>
  <c r="G4008" i="21"/>
  <c r="H4008" i="21" s="1"/>
  <c r="G4007" i="21"/>
  <c r="H4007" i="21" s="1"/>
  <c r="G4006" i="21"/>
  <c r="H4006" i="21" s="1"/>
  <c r="G4005" i="21"/>
  <c r="H4005" i="21" s="1"/>
  <c r="G4004" i="21"/>
  <c r="H4004" i="21" s="1"/>
  <c r="G4003" i="21"/>
  <c r="H4003" i="21" s="1"/>
  <c r="G4002" i="21"/>
  <c r="H4002" i="21" s="1"/>
  <c r="G4001" i="21"/>
  <c r="H4001" i="21" s="1"/>
  <c r="G4000" i="21"/>
  <c r="H4000" i="21" s="1"/>
  <c r="G3999" i="21"/>
  <c r="H3999" i="21" s="1"/>
  <c r="G3998" i="21"/>
  <c r="H3998" i="21" s="1"/>
  <c r="G3997" i="21"/>
  <c r="H3997" i="21" s="1"/>
  <c r="G3996" i="21"/>
  <c r="H3996" i="21" s="1"/>
  <c r="G3995" i="21"/>
  <c r="H3995" i="21" s="1"/>
  <c r="G3994" i="21"/>
  <c r="H3994" i="21" s="1"/>
  <c r="G3993" i="21"/>
  <c r="H3993" i="21" s="1"/>
  <c r="G3992" i="21"/>
  <c r="H3992" i="21" s="1"/>
  <c r="G3991" i="21"/>
  <c r="H3991" i="21" s="1"/>
  <c r="G3990" i="21"/>
  <c r="H3990" i="21" s="1"/>
  <c r="G3989" i="21"/>
  <c r="H3989" i="21" s="1"/>
  <c r="G3988" i="21"/>
  <c r="H3988" i="21" s="1"/>
  <c r="G3987" i="21"/>
  <c r="H3987" i="21" s="1"/>
  <c r="G3986" i="21"/>
  <c r="H3986" i="21" s="1"/>
  <c r="G3985" i="21"/>
  <c r="H3985" i="21" s="1"/>
  <c r="G3984" i="21"/>
  <c r="H3984" i="21" s="1"/>
  <c r="G3983" i="21"/>
  <c r="H3983" i="21" s="1"/>
  <c r="G3982" i="21"/>
  <c r="H3982" i="21" s="1"/>
  <c r="G3981" i="21"/>
  <c r="H3981" i="21" s="1"/>
  <c r="G3980" i="21"/>
  <c r="H3980" i="21" s="1"/>
  <c r="G3979" i="21"/>
  <c r="H3979" i="21" s="1"/>
  <c r="G3978" i="21"/>
  <c r="H3978" i="21" s="1"/>
  <c r="G3977" i="21"/>
  <c r="H3977" i="21" s="1"/>
  <c r="G3976" i="21"/>
  <c r="H3976" i="21" s="1"/>
  <c r="G3975" i="21"/>
  <c r="H3975" i="21" s="1"/>
  <c r="G3974" i="21"/>
  <c r="H3974" i="21" s="1"/>
  <c r="G3973" i="21"/>
  <c r="H3973" i="21" s="1"/>
  <c r="G3972" i="21"/>
  <c r="H3972" i="21" s="1"/>
  <c r="G3971" i="21"/>
  <c r="H3971" i="21" s="1"/>
  <c r="G3970" i="21"/>
  <c r="H3970" i="21" s="1"/>
  <c r="G3969" i="21"/>
  <c r="H3969" i="21" s="1"/>
  <c r="G3968" i="21"/>
  <c r="H3968" i="21" s="1"/>
  <c r="G3967" i="21"/>
  <c r="H3967" i="21" s="1"/>
  <c r="G3966" i="21"/>
  <c r="H3966" i="21" s="1"/>
  <c r="G3965" i="21"/>
  <c r="H3965" i="21" s="1"/>
  <c r="G3964" i="21"/>
  <c r="H3964" i="21" s="1"/>
  <c r="G3963" i="21"/>
  <c r="H3963" i="21" s="1"/>
  <c r="G3962" i="21"/>
  <c r="H3962" i="21" s="1"/>
  <c r="G3961" i="21"/>
  <c r="H3961" i="21" s="1"/>
  <c r="G3960" i="21"/>
  <c r="H3960" i="21" s="1"/>
  <c r="G3959" i="21"/>
  <c r="H3959" i="21" s="1"/>
  <c r="G3958" i="21"/>
  <c r="H3958" i="21" s="1"/>
  <c r="G3957" i="21"/>
  <c r="H3957" i="21" s="1"/>
  <c r="G3956" i="21"/>
  <c r="H3956" i="21" s="1"/>
  <c r="G3955" i="21"/>
  <c r="H3955" i="21" s="1"/>
  <c r="G3954" i="21"/>
  <c r="H3954" i="21" s="1"/>
  <c r="G3953" i="21"/>
  <c r="H3953" i="21" s="1"/>
  <c r="G3952" i="21"/>
  <c r="H3952" i="21" s="1"/>
  <c r="G3951" i="21"/>
  <c r="H3951" i="21" s="1"/>
  <c r="G3950" i="21"/>
  <c r="H3950" i="21" s="1"/>
  <c r="G3949" i="21"/>
  <c r="H3949" i="21" s="1"/>
  <c r="G3948" i="21"/>
  <c r="H3948" i="21" s="1"/>
  <c r="G3947" i="21"/>
  <c r="H3947" i="21" s="1"/>
  <c r="G3946" i="21"/>
  <c r="H3946" i="21" s="1"/>
  <c r="G3945" i="21"/>
  <c r="H3945" i="21" s="1"/>
  <c r="G3944" i="21"/>
  <c r="H3944" i="21" s="1"/>
  <c r="G3943" i="21"/>
  <c r="H3943" i="21" s="1"/>
  <c r="G3942" i="21"/>
  <c r="H3942" i="21" s="1"/>
  <c r="G3941" i="21"/>
  <c r="H3941" i="21" s="1"/>
  <c r="G3940" i="21"/>
  <c r="H3940" i="21" s="1"/>
  <c r="G3939" i="21"/>
  <c r="H3939" i="21" s="1"/>
  <c r="G3938" i="21"/>
  <c r="H3938" i="21" s="1"/>
  <c r="G3937" i="21"/>
  <c r="H3937" i="21" s="1"/>
  <c r="G3936" i="21"/>
  <c r="H3936" i="21" s="1"/>
  <c r="G3935" i="21"/>
  <c r="H3935" i="21" s="1"/>
  <c r="G3934" i="21"/>
  <c r="H3934" i="21" s="1"/>
  <c r="G3933" i="21"/>
  <c r="H3933" i="21" s="1"/>
  <c r="G3932" i="21"/>
  <c r="H3932" i="21" s="1"/>
  <c r="G3931" i="21"/>
  <c r="H3931" i="21" s="1"/>
  <c r="G3930" i="21"/>
  <c r="H3930" i="21" s="1"/>
  <c r="G3929" i="21"/>
  <c r="H3929" i="21" s="1"/>
  <c r="G3928" i="21"/>
  <c r="H3928" i="21" s="1"/>
  <c r="G3927" i="21"/>
  <c r="H3927" i="21" s="1"/>
  <c r="G3926" i="21"/>
  <c r="H3926" i="21" s="1"/>
  <c r="G3925" i="21"/>
  <c r="H3925" i="21" s="1"/>
  <c r="G3924" i="21"/>
  <c r="H3924" i="21" s="1"/>
  <c r="G3923" i="21"/>
  <c r="H3923" i="21" s="1"/>
  <c r="G3922" i="21"/>
  <c r="H3922" i="21" s="1"/>
  <c r="G3921" i="21"/>
  <c r="H3921" i="21" s="1"/>
  <c r="G3920" i="21"/>
  <c r="H3920" i="21" s="1"/>
  <c r="G3919" i="21"/>
  <c r="H3919" i="21" s="1"/>
  <c r="G3918" i="21"/>
  <c r="H3918" i="21" s="1"/>
  <c r="G3917" i="21"/>
  <c r="H3917" i="21" s="1"/>
  <c r="G3916" i="21"/>
  <c r="H3916" i="21" s="1"/>
  <c r="G3915" i="21"/>
  <c r="H3915" i="21" s="1"/>
  <c r="G3914" i="21"/>
  <c r="H3914" i="21" s="1"/>
  <c r="G3913" i="21"/>
  <c r="H3913" i="21" s="1"/>
  <c r="G3912" i="21"/>
  <c r="H3912" i="21" s="1"/>
  <c r="G3911" i="21"/>
  <c r="H3911" i="21" s="1"/>
  <c r="G3910" i="21"/>
  <c r="H3910" i="21" s="1"/>
  <c r="G3909" i="21"/>
  <c r="H3909" i="21" s="1"/>
  <c r="G3908" i="21"/>
  <c r="H3908" i="21" s="1"/>
  <c r="G3907" i="21"/>
  <c r="H3907" i="21" s="1"/>
  <c r="G3906" i="21"/>
  <c r="H3906" i="21" s="1"/>
  <c r="G3905" i="21"/>
  <c r="H3905" i="21" s="1"/>
  <c r="G3904" i="21"/>
  <c r="H3904" i="21" s="1"/>
  <c r="G3903" i="21"/>
  <c r="H3903" i="21" s="1"/>
  <c r="G3902" i="21"/>
  <c r="H3902" i="21" s="1"/>
  <c r="G3901" i="21"/>
  <c r="H3901" i="21" s="1"/>
  <c r="G3900" i="21"/>
  <c r="H3900" i="21" s="1"/>
  <c r="G3899" i="21"/>
  <c r="H3899" i="21" s="1"/>
  <c r="G3898" i="21"/>
  <c r="H3898" i="21" s="1"/>
  <c r="G3897" i="21"/>
  <c r="H3897" i="21" s="1"/>
  <c r="G3896" i="21"/>
  <c r="H3896" i="21" s="1"/>
  <c r="G3895" i="21"/>
  <c r="H3895" i="21" s="1"/>
  <c r="G3894" i="21"/>
  <c r="H3894" i="21" s="1"/>
  <c r="G3893" i="21"/>
  <c r="H3893" i="21" s="1"/>
  <c r="G3892" i="21"/>
  <c r="H3892" i="21" s="1"/>
  <c r="G3891" i="21"/>
  <c r="H3891" i="21" s="1"/>
  <c r="G3890" i="21"/>
  <c r="H3890" i="21" s="1"/>
  <c r="G3889" i="21"/>
  <c r="H3889" i="21" s="1"/>
  <c r="G3888" i="21"/>
  <c r="H3888" i="21" s="1"/>
  <c r="G3887" i="21"/>
  <c r="H3887" i="21" s="1"/>
  <c r="G3886" i="21"/>
  <c r="H3886" i="21" s="1"/>
  <c r="G3885" i="21"/>
  <c r="H3885" i="21" s="1"/>
  <c r="G3884" i="21"/>
  <c r="H3884" i="21" s="1"/>
  <c r="G3883" i="21"/>
  <c r="H3883" i="21" s="1"/>
  <c r="G3882" i="21"/>
  <c r="H3882" i="21" s="1"/>
  <c r="G3881" i="21"/>
  <c r="H3881" i="21" s="1"/>
  <c r="G3880" i="21"/>
  <c r="H3880" i="21" s="1"/>
  <c r="G3879" i="21"/>
  <c r="H3879" i="21" s="1"/>
  <c r="G3878" i="21"/>
  <c r="H3878" i="21" s="1"/>
  <c r="G3877" i="21"/>
  <c r="H3877" i="21" s="1"/>
  <c r="G3876" i="21"/>
  <c r="H3876" i="21" s="1"/>
  <c r="G3875" i="21"/>
  <c r="H3875" i="21" s="1"/>
  <c r="G3874" i="21"/>
  <c r="H3874" i="21" s="1"/>
  <c r="G3873" i="21"/>
  <c r="H3873" i="21" s="1"/>
  <c r="G3872" i="21"/>
  <c r="H3872" i="21" s="1"/>
  <c r="G3871" i="21"/>
  <c r="H3871" i="21" s="1"/>
  <c r="G3870" i="21"/>
  <c r="H3870" i="21" s="1"/>
  <c r="G3869" i="21"/>
  <c r="H3869" i="21" s="1"/>
  <c r="G3868" i="21"/>
  <c r="H3868" i="21" s="1"/>
  <c r="G3867" i="21"/>
  <c r="H3867" i="21" s="1"/>
  <c r="G3866" i="21"/>
  <c r="H3866" i="21" s="1"/>
  <c r="G3865" i="21"/>
  <c r="H3865" i="21" s="1"/>
  <c r="G3864" i="21"/>
  <c r="H3864" i="21" s="1"/>
  <c r="G3863" i="21"/>
  <c r="H3863" i="21" s="1"/>
  <c r="G3862" i="21"/>
  <c r="H3862" i="21" s="1"/>
  <c r="G3861" i="21"/>
  <c r="H3861" i="21" s="1"/>
  <c r="G3860" i="21"/>
  <c r="H3860" i="21" s="1"/>
  <c r="G3859" i="21"/>
  <c r="H3859" i="21" s="1"/>
  <c r="G3858" i="21"/>
  <c r="H3858" i="21" s="1"/>
  <c r="G3857" i="21"/>
  <c r="H3857" i="21" s="1"/>
  <c r="G3856" i="21"/>
  <c r="H3856" i="21" s="1"/>
  <c r="G3855" i="21"/>
  <c r="H3855" i="21" s="1"/>
  <c r="G3854" i="21"/>
  <c r="H3854" i="21" s="1"/>
  <c r="G3853" i="21"/>
  <c r="H3853" i="21" s="1"/>
  <c r="G3852" i="21"/>
  <c r="H3852" i="21" s="1"/>
  <c r="G3851" i="21"/>
  <c r="H3851" i="21" s="1"/>
  <c r="G3850" i="21"/>
  <c r="H3850" i="21" s="1"/>
  <c r="G3849" i="21"/>
  <c r="H3849" i="21" s="1"/>
  <c r="G3848" i="21"/>
  <c r="H3848" i="21" s="1"/>
  <c r="G3847" i="21"/>
  <c r="H3847" i="21" s="1"/>
  <c r="G3846" i="21"/>
  <c r="H3846" i="21" s="1"/>
  <c r="H3845" i="21"/>
  <c r="G3845" i="21"/>
  <c r="G3844" i="21"/>
  <c r="H3844" i="21" s="1"/>
  <c r="G3843" i="21"/>
  <c r="H3843" i="21" s="1"/>
  <c r="G3842" i="21"/>
  <c r="H3842" i="21" s="1"/>
  <c r="G3841" i="21"/>
  <c r="H3841" i="21" s="1"/>
  <c r="G3840" i="21"/>
  <c r="H3840" i="21" s="1"/>
  <c r="G3839" i="21"/>
  <c r="H3839" i="21" s="1"/>
  <c r="G3838" i="21"/>
  <c r="H3838" i="21" s="1"/>
  <c r="G3837" i="21"/>
  <c r="H3837" i="21" s="1"/>
  <c r="G3836" i="21"/>
  <c r="H3836" i="21" s="1"/>
  <c r="G3835" i="21"/>
  <c r="H3835" i="21" s="1"/>
  <c r="G3834" i="21"/>
  <c r="H3834" i="21" s="1"/>
  <c r="G3833" i="21"/>
  <c r="H3833" i="21" s="1"/>
  <c r="G3832" i="21"/>
  <c r="H3832" i="21" s="1"/>
  <c r="G3831" i="21"/>
  <c r="H3831" i="21" s="1"/>
  <c r="G3830" i="21"/>
  <c r="H3830" i="21" s="1"/>
  <c r="G3829" i="21"/>
  <c r="H3829" i="21" s="1"/>
  <c r="G3828" i="21"/>
  <c r="H3828" i="21" s="1"/>
  <c r="G3827" i="21"/>
  <c r="H3827" i="21" s="1"/>
  <c r="G3826" i="21"/>
  <c r="H3826" i="21" s="1"/>
  <c r="G3825" i="21"/>
  <c r="H3825" i="21" s="1"/>
  <c r="G3824" i="21"/>
  <c r="H3824" i="21" s="1"/>
  <c r="G3823" i="21"/>
  <c r="H3823" i="21" s="1"/>
  <c r="G3822" i="21"/>
  <c r="H3822" i="21" s="1"/>
  <c r="G3821" i="21"/>
  <c r="H3821" i="21" s="1"/>
  <c r="G3820" i="21"/>
  <c r="H3820" i="21" s="1"/>
  <c r="G3819" i="21"/>
  <c r="H3819" i="21" s="1"/>
  <c r="G3818" i="21"/>
  <c r="H3818" i="21" s="1"/>
  <c r="G3817" i="21"/>
  <c r="H3817" i="21" s="1"/>
  <c r="G3816" i="21"/>
  <c r="H3816" i="21" s="1"/>
  <c r="G3815" i="21"/>
  <c r="H3815" i="21" s="1"/>
  <c r="H3814" i="21"/>
  <c r="G3814" i="21"/>
  <c r="H3813" i="21"/>
  <c r="G3813" i="21"/>
  <c r="G3812" i="21"/>
  <c r="H3812" i="21" s="1"/>
  <c r="H3811" i="21"/>
  <c r="G3811" i="21"/>
  <c r="G3810" i="21"/>
  <c r="H3810" i="21" s="1"/>
  <c r="G3809" i="21"/>
  <c r="H3809" i="21" s="1"/>
  <c r="H3808" i="21"/>
  <c r="G3808" i="21"/>
  <c r="G3807" i="21"/>
  <c r="H3807" i="21" s="1"/>
  <c r="G3806" i="21"/>
  <c r="H3806" i="21" s="1"/>
  <c r="G3805" i="21"/>
  <c r="H3805" i="21" s="1"/>
  <c r="G3804" i="21"/>
  <c r="H3804" i="21" s="1"/>
  <c r="G3803" i="21"/>
  <c r="H3803" i="21" s="1"/>
  <c r="G3802" i="21"/>
  <c r="H3802" i="21" s="1"/>
  <c r="G3801" i="21"/>
  <c r="H3801" i="21" s="1"/>
  <c r="G3800" i="21"/>
  <c r="H3800" i="21" s="1"/>
  <c r="G3799" i="21"/>
  <c r="H3799" i="21" s="1"/>
  <c r="G3798" i="21"/>
  <c r="H3798" i="21" s="1"/>
  <c r="G3797" i="21"/>
  <c r="H3797" i="21" s="1"/>
  <c r="G3796" i="21"/>
  <c r="H3796" i="21" s="1"/>
  <c r="G3795" i="21"/>
  <c r="H3795" i="21" s="1"/>
  <c r="G3794" i="21"/>
  <c r="H3794" i="21" s="1"/>
  <c r="G3793" i="21"/>
  <c r="H3793" i="21" s="1"/>
  <c r="G3792" i="21"/>
  <c r="H3792" i="21" s="1"/>
  <c r="G3791" i="21"/>
  <c r="H3791" i="21" s="1"/>
  <c r="G3790" i="21"/>
  <c r="H3790" i="21" s="1"/>
  <c r="G3789" i="21"/>
  <c r="H3789" i="21" s="1"/>
  <c r="G3788" i="21"/>
  <c r="H3788" i="21" s="1"/>
  <c r="G3787" i="21"/>
  <c r="H3787" i="21" s="1"/>
  <c r="G3786" i="21"/>
  <c r="H3786" i="21" s="1"/>
  <c r="G3785" i="21"/>
  <c r="H3785" i="21" s="1"/>
  <c r="G3784" i="21"/>
  <c r="H3784" i="21" s="1"/>
  <c r="G3783" i="21"/>
  <c r="H3783" i="21" s="1"/>
  <c r="G3782" i="21"/>
  <c r="H3782" i="21" s="1"/>
  <c r="G3781" i="21"/>
  <c r="H3781" i="21" s="1"/>
  <c r="G3780" i="21"/>
  <c r="H3780" i="21" s="1"/>
  <c r="G3779" i="21"/>
  <c r="H3779" i="21" s="1"/>
  <c r="G3778" i="21"/>
  <c r="H3778" i="21" s="1"/>
  <c r="G3777" i="21"/>
  <c r="H3777" i="21" s="1"/>
  <c r="G3776" i="21"/>
  <c r="H3776" i="21" s="1"/>
  <c r="G3775" i="21"/>
  <c r="H3775" i="21" s="1"/>
  <c r="G3774" i="21"/>
  <c r="H3774" i="21" s="1"/>
  <c r="G3773" i="21"/>
  <c r="H3773" i="21" s="1"/>
  <c r="G3772" i="21"/>
  <c r="H3772" i="21" s="1"/>
  <c r="G3771" i="21"/>
  <c r="H3771" i="21" s="1"/>
  <c r="G3770" i="21"/>
  <c r="H3770" i="21" s="1"/>
  <c r="G3769" i="21"/>
  <c r="H3769" i="21" s="1"/>
  <c r="G3768" i="21"/>
  <c r="H3768" i="21" s="1"/>
  <c r="G3767" i="21"/>
  <c r="H3767" i="21" s="1"/>
  <c r="G3766" i="21"/>
  <c r="H3766" i="21" s="1"/>
  <c r="G3765" i="21"/>
  <c r="H3765" i="21" s="1"/>
  <c r="G3764" i="21"/>
  <c r="H3764" i="21" s="1"/>
  <c r="G3763" i="21"/>
  <c r="H3763" i="21" s="1"/>
  <c r="G3762" i="21"/>
  <c r="H3762" i="21" s="1"/>
  <c r="G3761" i="21"/>
  <c r="H3761" i="21" s="1"/>
  <c r="H3760" i="21"/>
  <c r="G3760" i="21"/>
  <c r="G3759" i="21"/>
  <c r="H3759" i="21" s="1"/>
  <c r="G3758" i="21"/>
  <c r="H3758" i="21" s="1"/>
  <c r="G3757" i="21"/>
  <c r="H3757" i="21" s="1"/>
  <c r="G3756" i="21"/>
  <c r="H3756" i="21" s="1"/>
  <c r="G3755" i="21"/>
  <c r="H3755" i="21" s="1"/>
  <c r="G3754" i="21"/>
  <c r="H3754" i="21" s="1"/>
  <c r="G3753" i="21"/>
  <c r="H3753" i="21" s="1"/>
  <c r="G3752" i="21"/>
  <c r="H3752" i="21" s="1"/>
  <c r="G3751" i="21"/>
  <c r="H3751" i="21" s="1"/>
  <c r="G3750" i="21"/>
  <c r="H3750" i="21" s="1"/>
  <c r="G3749" i="21"/>
  <c r="H3749" i="21" s="1"/>
  <c r="G3748" i="21"/>
  <c r="H3748" i="21" s="1"/>
  <c r="G3747" i="21"/>
  <c r="H3747" i="21" s="1"/>
  <c r="G3746" i="21"/>
  <c r="H3746" i="21" s="1"/>
  <c r="G3745" i="21"/>
  <c r="H3745" i="21" s="1"/>
  <c r="G3744" i="21"/>
  <c r="H3744" i="21" s="1"/>
  <c r="G3743" i="21"/>
  <c r="H3743" i="21" s="1"/>
  <c r="G3742" i="21"/>
  <c r="H3742" i="21" s="1"/>
  <c r="G3741" i="21"/>
  <c r="H3741" i="21" s="1"/>
  <c r="G3740" i="21"/>
  <c r="H3740" i="21" s="1"/>
  <c r="G3739" i="21"/>
  <c r="H3739" i="21" s="1"/>
  <c r="G3738" i="21"/>
  <c r="H3738" i="21" s="1"/>
  <c r="G3737" i="21"/>
  <c r="H3737" i="21" s="1"/>
  <c r="G3736" i="21"/>
  <c r="H3736" i="21" s="1"/>
  <c r="G3735" i="21"/>
  <c r="H3735" i="21" s="1"/>
  <c r="G3734" i="21"/>
  <c r="H3734" i="21" s="1"/>
  <c r="G3733" i="21"/>
  <c r="H3733" i="21" s="1"/>
  <c r="G3732" i="21"/>
  <c r="H3732" i="21" s="1"/>
  <c r="G3731" i="21"/>
  <c r="H3731" i="21" s="1"/>
  <c r="G3730" i="21"/>
  <c r="H3730" i="21" s="1"/>
  <c r="G3729" i="21"/>
  <c r="H3729" i="21" s="1"/>
  <c r="G3728" i="21"/>
  <c r="H3728" i="21" s="1"/>
  <c r="G3727" i="21"/>
  <c r="H3727" i="21" s="1"/>
  <c r="G3726" i="21"/>
  <c r="H3726" i="21" s="1"/>
  <c r="G3725" i="21"/>
  <c r="H3725" i="21" s="1"/>
  <c r="G3724" i="21"/>
  <c r="H3724" i="21" s="1"/>
  <c r="G3723" i="21"/>
  <c r="H3723" i="21" s="1"/>
  <c r="G3722" i="21"/>
  <c r="H3722" i="21" s="1"/>
  <c r="G3721" i="21"/>
  <c r="H3721" i="21" s="1"/>
  <c r="G3720" i="21"/>
  <c r="H3720" i="21" s="1"/>
  <c r="G3719" i="21"/>
  <c r="H3719" i="21" s="1"/>
  <c r="G3718" i="21"/>
  <c r="H3718" i="21" s="1"/>
  <c r="G3717" i="21"/>
  <c r="H3717" i="21" s="1"/>
  <c r="G3716" i="21"/>
  <c r="H3716" i="21" s="1"/>
  <c r="G3715" i="21"/>
  <c r="H3715" i="21" s="1"/>
  <c r="G3714" i="21"/>
  <c r="H3714" i="21" s="1"/>
  <c r="G3713" i="21"/>
  <c r="H3713" i="21" s="1"/>
  <c r="G3712" i="21"/>
  <c r="H3712" i="21" s="1"/>
  <c r="G3711" i="21"/>
  <c r="H3711" i="21" s="1"/>
  <c r="G3710" i="21"/>
  <c r="H3710" i="21" s="1"/>
  <c r="G3709" i="21"/>
  <c r="H3709" i="21" s="1"/>
  <c r="G3708" i="21"/>
  <c r="H3708" i="21" s="1"/>
  <c r="G3707" i="21"/>
  <c r="H3707" i="21" s="1"/>
  <c r="G3706" i="21"/>
  <c r="H3706" i="21" s="1"/>
  <c r="G3705" i="21"/>
  <c r="H3705" i="21" s="1"/>
  <c r="G3704" i="21"/>
  <c r="H3704" i="21" s="1"/>
  <c r="G3703" i="21"/>
  <c r="H3703" i="21" s="1"/>
  <c r="G3702" i="21"/>
  <c r="H3702" i="21" s="1"/>
  <c r="G3701" i="21"/>
  <c r="H3701" i="21" s="1"/>
  <c r="G3700" i="21"/>
  <c r="H3700" i="21" s="1"/>
  <c r="G3699" i="21"/>
  <c r="H3699" i="21" s="1"/>
  <c r="G3698" i="21"/>
  <c r="H3698" i="21" s="1"/>
  <c r="G3697" i="21"/>
  <c r="H3697" i="21" s="1"/>
  <c r="G3696" i="21"/>
  <c r="H3696" i="21" s="1"/>
  <c r="G3695" i="21"/>
  <c r="H3695" i="21" s="1"/>
  <c r="G3694" i="21"/>
  <c r="H3694" i="21" s="1"/>
  <c r="G3693" i="21"/>
  <c r="H3693" i="21" s="1"/>
  <c r="G3692" i="21"/>
  <c r="H3692" i="21" s="1"/>
  <c r="G3691" i="21"/>
  <c r="H3691" i="21" s="1"/>
  <c r="G3690" i="21"/>
  <c r="H3690" i="21" s="1"/>
  <c r="G3689" i="21"/>
  <c r="H3689" i="21" s="1"/>
  <c r="G3688" i="21"/>
  <c r="H3688" i="21" s="1"/>
  <c r="G3687" i="21"/>
  <c r="H3687" i="21" s="1"/>
  <c r="G3686" i="21"/>
  <c r="H3686" i="21" s="1"/>
  <c r="G3685" i="21"/>
  <c r="H3685" i="21" s="1"/>
  <c r="G3684" i="21"/>
  <c r="H3684" i="21" s="1"/>
  <c r="G3683" i="21"/>
  <c r="H3683" i="21" s="1"/>
  <c r="G3682" i="21"/>
  <c r="H3682" i="21" s="1"/>
  <c r="G3681" i="21"/>
  <c r="H3681" i="21" s="1"/>
  <c r="G3680" i="21"/>
  <c r="H3680" i="21" s="1"/>
  <c r="G3679" i="21"/>
  <c r="H3679" i="21" s="1"/>
  <c r="G3678" i="21"/>
  <c r="H3678" i="21" s="1"/>
  <c r="G3677" i="21"/>
  <c r="H3677" i="21" s="1"/>
  <c r="G3676" i="21"/>
  <c r="H3676" i="21" s="1"/>
  <c r="G3675" i="21"/>
  <c r="H3675" i="21" s="1"/>
  <c r="G3674" i="21"/>
  <c r="H3674" i="21" s="1"/>
  <c r="G3673" i="21"/>
  <c r="H3673" i="21" s="1"/>
  <c r="G3672" i="21"/>
  <c r="H3672" i="21" s="1"/>
  <c r="G3671" i="21"/>
  <c r="H3671" i="21" s="1"/>
  <c r="G3670" i="21"/>
  <c r="H3670" i="21" s="1"/>
  <c r="G3669" i="21"/>
  <c r="H3669" i="21" s="1"/>
  <c r="G3668" i="21"/>
  <c r="H3668" i="21" s="1"/>
  <c r="G3667" i="21"/>
  <c r="H3667" i="21" s="1"/>
  <c r="H3666" i="21"/>
  <c r="G3666" i="21"/>
  <c r="G3665" i="21"/>
  <c r="H3665" i="21" s="1"/>
  <c r="G3664" i="21"/>
  <c r="H3664" i="21" s="1"/>
  <c r="G3663" i="21"/>
  <c r="H3663" i="21" s="1"/>
  <c r="G3662" i="21"/>
  <c r="H3662" i="21" s="1"/>
  <c r="G3661" i="21"/>
  <c r="H3661" i="21" s="1"/>
  <c r="G3660" i="21"/>
  <c r="H3660" i="21" s="1"/>
  <c r="G3659" i="21"/>
  <c r="H3659" i="21" s="1"/>
  <c r="G3658" i="21"/>
  <c r="H3658" i="21" s="1"/>
  <c r="G3657" i="21"/>
  <c r="H3657" i="21" s="1"/>
  <c r="G3656" i="21"/>
  <c r="H3656" i="21" s="1"/>
  <c r="G3655" i="21"/>
  <c r="H3655" i="21" s="1"/>
  <c r="G3654" i="21"/>
  <c r="H3654" i="21" s="1"/>
  <c r="G3653" i="21"/>
  <c r="H3653" i="21" s="1"/>
  <c r="G3652" i="21"/>
  <c r="H3652" i="21" s="1"/>
  <c r="G3651" i="21"/>
  <c r="H3651" i="21" s="1"/>
  <c r="G3650" i="21"/>
  <c r="H3650" i="21" s="1"/>
  <c r="G3649" i="21"/>
  <c r="H3649" i="21" s="1"/>
  <c r="G3648" i="21"/>
  <c r="H3648" i="21" s="1"/>
  <c r="G3647" i="21"/>
  <c r="H3647" i="21" s="1"/>
  <c r="G3646" i="21"/>
  <c r="H3646" i="21" s="1"/>
  <c r="G3645" i="21"/>
  <c r="H3645" i="21" s="1"/>
  <c r="G3644" i="21"/>
  <c r="H3644" i="21" s="1"/>
  <c r="G3643" i="21"/>
  <c r="H3643" i="21" s="1"/>
  <c r="G3642" i="21"/>
  <c r="H3642" i="21" s="1"/>
  <c r="G3641" i="21"/>
  <c r="H3641" i="21" s="1"/>
  <c r="G3640" i="21"/>
  <c r="H3640" i="21" s="1"/>
  <c r="G3639" i="21"/>
  <c r="H3639" i="21" s="1"/>
  <c r="G3638" i="21"/>
  <c r="H3638" i="21" s="1"/>
  <c r="G3637" i="21"/>
  <c r="H3637" i="21" s="1"/>
  <c r="G3636" i="21"/>
  <c r="H3636" i="21" s="1"/>
  <c r="G3635" i="21"/>
  <c r="H3635" i="21" s="1"/>
  <c r="H139" i="2" s="1"/>
  <c r="G139" i="2" s="1"/>
  <c r="I139" i="2" s="1"/>
  <c r="K139" i="2" s="1"/>
  <c r="G3634" i="21"/>
  <c r="H3634" i="21" s="1"/>
  <c r="G3633" i="21"/>
  <c r="H3633" i="21" s="1"/>
  <c r="G3632" i="21"/>
  <c r="H3632" i="21" s="1"/>
  <c r="G3631" i="21"/>
  <c r="H3631" i="21" s="1"/>
  <c r="G3630" i="21"/>
  <c r="H3630" i="21" s="1"/>
  <c r="G3629" i="21"/>
  <c r="H3629" i="21" s="1"/>
  <c r="G3628" i="21"/>
  <c r="H3628" i="21" s="1"/>
  <c r="G3627" i="21"/>
  <c r="H3627" i="21" s="1"/>
  <c r="G3626" i="21"/>
  <c r="H3626" i="21" s="1"/>
  <c r="G3625" i="21"/>
  <c r="H3625" i="21" s="1"/>
  <c r="G3624" i="21"/>
  <c r="H3624" i="21" s="1"/>
  <c r="G3623" i="21"/>
  <c r="H3623" i="21" s="1"/>
  <c r="G3622" i="21"/>
  <c r="H3622" i="21" s="1"/>
  <c r="G3621" i="21"/>
  <c r="H3621" i="21" s="1"/>
  <c r="G3620" i="21"/>
  <c r="H3620" i="21" s="1"/>
  <c r="G3619" i="21"/>
  <c r="H3619" i="21" s="1"/>
  <c r="G3618" i="21"/>
  <c r="H3618" i="21" s="1"/>
  <c r="G3617" i="21"/>
  <c r="H3617" i="21" s="1"/>
  <c r="G3616" i="21"/>
  <c r="H3616" i="21" s="1"/>
  <c r="G3615" i="21"/>
  <c r="H3615" i="21" s="1"/>
  <c r="G3614" i="21"/>
  <c r="H3614" i="21" s="1"/>
  <c r="G3613" i="21"/>
  <c r="H3613" i="21" s="1"/>
  <c r="G3612" i="21"/>
  <c r="H3612" i="21" s="1"/>
  <c r="G3611" i="21"/>
  <c r="H3611" i="21" s="1"/>
  <c r="G3610" i="21"/>
  <c r="H3610" i="21" s="1"/>
  <c r="G3609" i="21"/>
  <c r="H3609" i="21" s="1"/>
  <c r="G3608" i="21"/>
  <c r="H3608" i="21" s="1"/>
  <c r="G3607" i="21"/>
  <c r="H3607" i="21" s="1"/>
  <c r="G3606" i="21"/>
  <c r="H3606" i="21" s="1"/>
  <c r="G3605" i="21"/>
  <c r="H3605" i="21" s="1"/>
  <c r="G3604" i="21"/>
  <c r="H3604" i="21" s="1"/>
  <c r="G3603" i="21"/>
  <c r="H3603" i="21" s="1"/>
  <c r="G3602" i="21"/>
  <c r="H3602" i="21" s="1"/>
  <c r="G3601" i="21"/>
  <c r="H3601" i="21" s="1"/>
  <c r="G3600" i="21"/>
  <c r="H3600" i="21" s="1"/>
  <c r="G3599" i="21"/>
  <c r="H3599" i="21" s="1"/>
  <c r="G3598" i="21"/>
  <c r="H3598" i="21" s="1"/>
  <c r="G3597" i="21"/>
  <c r="H3597" i="21" s="1"/>
  <c r="G3596" i="21"/>
  <c r="H3596" i="21" s="1"/>
  <c r="G3595" i="21"/>
  <c r="H3595" i="21" s="1"/>
  <c r="G3594" i="21"/>
  <c r="H3594" i="21" s="1"/>
  <c r="G3593" i="21"/>
  <c r="H3593" i="21" s="1"/>
  <c r="G3592" i="21"/>
  <c r="H3592" i="21" s="1"/>
  <c r="G3591" i="21"/>
  <c r="H3591" i="21" s="1"/>
  <c r="G3590" i="21"/>
  <c r="H3590" i="21" s="1"/>
  <c r="G3589" i="21"/>
  <c r="H3589" i="21" s="1"/>
  <c r="G3588" i="21"/>
  <c r="H3588" i="21" s="1"/>
  <c r="G3587" i="21"/>
  <c r="H3587" i="21" s="1"/>
  <c r="G3586" i="21"/>
  <c r="H3586" i="21" s="1"/>
  <c r="G3585" i="21"/>
  <c r="H3585" i="21" s="1"/>
  <c r="G3584" i="21"/>
  <c r="H3584" i="21" s="1"/>
  <c r="G3583" i="21"/>
  <c r="H3583" i="21" s="1"/>
  <c r="G3582" i="21"/>
  <c r="H3582" i="21" s="1"/>
  <c r="G3581" i="21"/>
  <c r="H3581" i="21" s="1"/>
  <c r="G3580" i="21"/>
  <c r="H3580" i="21" s="1"/>
  <c r="G3579" i="21"/>
  <c r="H3579" i="21" s="1"/>
  <c r="G3578" i="21"/>
  <c r="H3578" i="21" s="1"/>
  <c r="G3577" i="21"/>
  <c r="H3577" i="21" s="1"/>
  <c r="G3576" i="21"/>
  <c r="H3576" i="21" s="1"/>
  <c r="G3575" i="21"/>
  <c r="H3575" i="21" s="1"/>
  <c r="G3574" i="21"/>
  <c r="H3574" i="21" s="1"/>
  <c r="G3573" i="21"/>
  <c r="H3573" i="21" s="1"/>
  <c r="G3572" i="21"/>
  <c r="H3572" i="21" s="1"/>
  <c r="G3571" i="21"/>
  <c r="H3571" i="21" s="1"/>
  <c r="G3570" i="21"/>
  <c r="H3570" i="21" s="1"/>
  <c r="G3569" i="21"/>
  <c r="H3569" i="21" s="1"/>
  <c r="G3568" i="21"/>
  <c r="H3568" i="21" s="1"/>
  <c r="H3567" i="21"/>
  <c r="G3567" i="21"/>
  <c r="G3566" i="21"/>
  <c r="H3566" i="21" s="1"/>
  <c r="G3565" i="21"/>
  <c r="H3565" i="21" s="1"/>
  <c r="G3564" i="21"/>
  <c r="H3564" i="21" s="1"/>
  <c r="G3563" i="21"/>
  <c r="H3563" i="21" s="1"/>
  <c r="G3562" i="21"/>
  <c r="H3562" i="21" s="1"/>
  <c r="G3561" i="21"/>
  <c r="H3561" i="21" s="1"/>
  <c r="G3560" i="21"/>
  <c r="H3560" i="21" s="1"/>
  <c r="G3559" i="21"/>
  <c r="H3559" i="21" s="1"/>
  <c r="G3558" i="21"/>
  <c r="H3558" i="21" s="1"/>
  <c r="G3557" i="21"/>
  <c r="H3557" i="21" s="1"/>
  <c r="G3556" i="21"/>
  <c r="H3556" i="21" s="1"/>
  <c r="G3555" i="21"/>
  <c r="H3555" i="21" s="1"/>
  <c r="G3554" i="21"/>
  <c r="H3554" i="21" s="1"/>
  <c r="G3553" i="21"/>
  <c r="H3553" i="21" s="1"/>
  <c r="G3552" i="21"/>
  <c r="H3552" i="21" s="1"/>
  <c r="G3551" i="21"/>
  <c r="H3551" i="21" s="1"/>
  <c r="G3550" i="21"/>
  <c r="H3550" i="21" s="1"/>
  <c r="G3549" i="21"/>
  <c r="H3549" i="21" s="1"/>
  <c r="G3548" i="21"/>
  <c r="H3548" i="21" s="1"/>
  <c r="G3547" i="21"/>
  <c r="H3547" i="21" s="1"/>
  <c r="G3546" i="21"/>
  <c r="H3546" i="21" s="1"/>
  <c r="G3545" i="21"/>
  <c r="H3545" i="21" s="1"/>
  <c r="G3544" i="21"/>
  <c r="H3544" i="21" s="1"/>
  <c r="G3543" i="21"/>
  <c r="H3543" i="21" s="1"/>
  <c r="G3542" i="21"/>
  <c r="H3542" i="21" s="1"/>
  <c r="G3541" i="21"/>
  <c r="H3541" i="21" s="1"/>
  <c r="G3540" i="21"/>
  <c r="H3540" i="21" s="1"/>
  <c r="G3539" i="21"/>
  <c r="H3539" i="21" s="1"/>
  <c r="G3538" i="21"/>
  <c r="H3538" i="21" s="1"/>
  <c r="G3537" i="21"/>
  <c r="H3537" i="21" s="1"/>
  <c r="G3536" i="21"/>
  <c r="H3536" i="21" s="1"/>
  <c r="G3535" i="21"/>
  <c r="H3535" i="21" s="1"/>
  <c r="G3534" i="21"/>
  <c r="H3534" i="21" s="1"/>
  <c r="G3533" i="21"/>
  <c r="H3533" i="21" s="1"/>
  <c r="G3532" i="21"/>
  <c r="H3532" i="21" s="1"/>
  <c r="G3531" i="21"/>
  <c r="H3531" i="21" s="1"/>
  <c r="G3530" i="21"/>
  <c r="H3530" i="21" s="1"/>
  <c r="G3529" i="21"/>
  <c r="H3529" i="21" s="1"/>
  <c r="G3528" i="21"/>
  <c r="H3528" i="21" s="1"/>
  <c r="G3527" i="21"/>
  <c r="H3527" i="21" s="1"/>
  <c r="G3526" i="21"/>
  <c r="H3526" i="21" s="1"/>
  <c r="G3525" i="21"/>
  <c r="H3525" i="21" s="1"/>
  <c r="G3524" i="21"/>
  <c r="H3524" i="21" s="1"/>
  <c r="G3523" i="21"/>
  <c r="H3523" i="21" s="1"/>
  <c r="G3522" i="21"/>
  <c r="H3522" i="21" s="1"/>
  <c r="G3521" i="21"/>
  <c r="H3521" i="21" s="1"/>
  <c r="G3520" i="21"/>
  <c r="H3520" i="21" s="1"/>
  <c r="G3519" i="21"/>
  <c r="H3519" i="21" s="1"/>
  <c r="G3518" i="21"/>
  <c r="H3518" i="21" s="1"/>
  <c r="G3517" i="21"/>
  <c r="H3517" i="21" s="1"/>
  <c r="G3516" i="21"/>
  <c r="H3516" i="21" s="1"/>
  <c r="G3515" i="21"/>
  <c r="H3515" i="21" s="1"/>
  <c r="G3514" i="21"/>
  <c r="H3514" i="21" s="1"/>
  <c r="G3513" i="21"/>
  <c r="H3513" i="21" s="1"/>
  <c r="G3512" i="21"/>
  <c r="H3512" i="21" s="1"/>
  <c r="G3511" i="21"/>
  <c r="H3511" i="21" s="1"/>
  <c r="G3510" i="21"/>
  <c r="H3510" i="21" s="1"/>
  <c r="G3509" i="21"/>
  <c r="H3509" i="21" s="1"/>
  <c r="G3508" i="21"/>
  <c r="H3508" i="21" s="1"/>
  <c r="G3507" i="21"/>
  <c r="H3507" i="21" s="1"/>
  <c r="G3506" i="21"/>
  <c r="H3506" i="21" s="1"/>
  <c r="G3505" i="21"/>
  <c r="H3505" i="21" s="1"/>
  <c r="G3504" i="21"/>
  <c r="H3504" i="21" s="1"/>
  <c r="G3503" i="21"/>
  <c r="H3503" i="21" s="1"/>
  <c r="G3502" i="21"/>
  <c r="H3502" i="21" s="1"/>
  <c r="G3501" i="21"/>
  <c r="H3501" i="21" s="1"/>
  <c r="G3500" i="21"/>
  <c r="H3500" i="21" s="1"/>
  <c r="G3499" i="21"/>
  <c r="H3499" i="21" s="1"/>
  <c r="G3498" i="21"/>
  <c r="H3498" i="21" s="1"/>
  <c r="G3497" i="21"/>
  <c r="H3497" i="21" s="1"/>
  <c r="G3496" i="21"/>
  <c r="H3496" i="21" s="1"/>
  <c r="G3495" i="21"/>
  <c r="H3495" i="21" s="1"/>
  <c r="G3494" i="21"/>
  <c r="H3494" i="21" s="1"/>
  <c r="G3493" i="21"/>
  <c r="H3493" i="21" s="1"/>
  <c r="G3492" i="21"/>
  <c r="H3492" i="21" s="1"/>
  <c r="G3491" i="21"/>
  <c r="H3491" i="21" s="1"/>
  <c r="G3490" i="21"/>
  <c r="H3490" i="21" s="1"/>
  <c r="G3489" i="21"/>
  <c r="H3489" i="21" s="1"/>
  <c r="G3488" i="21"/>
  <c r="H3488" i="21" s="1"/>
  <c r="G3487" i="21"/>
  <c r="H3487" i="21" s="1"/>
  <c r="G3486" i="21"/>
  <c r="H3486" i="21" s="1"/>
  <c r="G3485" i="21"/>
  <c r="H3485" i="21" s="1"/>
  <c r="G3484" i="21"/>
  <c r="H3484" i="21" s="1"/>
  <c r="G3483" i="21"/>
  <c r="H3483" i="21" s="1"/>
  <c r="G3482" i="21"/>
  <c r="H3482" i="21" s="1"/>
  <c r="G3481" i="21"/>
  <c r="H3481" i="21" s="1"/>
  <c r="G3480" i="21"/>
  <c r="H3480" i="21" s="1"/>
  <c r="G3479" i="21"/>
  <c r="H3479" i="21" s="1"/>
  <c r="G3478" i="21"/>
  <c r="H3478" i="21" s="1"/>
  <c r="G3477" i="21"/>
  <c r="H3477" i="21" s="1"/>
  <c r="G3476" i="21"/>
  <c r="H3476" i="21" s="1"/>
  <c r="G3475" i="21"/>
  <c r="H3475" i="21" s="1"/>
  <c r="G3474" i="21"/>
  <c r="H3474" i="21" s="1"/>
  <c r="G3473" i="21"/>
  <c r="H3473" i="21" s="1"/>
  <c r="G3472" i="21"/>
  <c r="H3472" i="21" s="1"/>
  <c r="G3471" i="21"/>
  <c r="H3471" i="21" s="1"/>
  <c r="G3470" i="21"/>
  <c r="H3470" i="21" s="1"/>
  <c r="G3469" i="21"/>
  <c r="H3469" i="21" s="1"/>
  <c r="G3468" i="21"/>
  <c r="H3468" i="21" s="1"/>
  <c r="G3467" i="21"/>
  <c r="H3467" i="21" s="1"/>
  <c r="G3466" i="21"/>
  <c r="H3466" i="21" s="1"/>
  <c r="G3465" i="21"/>
  <c r="H3465" i="21" s="1"/>
  <c r="G3464" i="21"/>
  <c r="H3464" i="21" s="1"/>
  <c r="G3463" i="21"/>
  <c r="H3463" i="21" s="1"/>
  <c r="G3462" i="21"/>
  <c r="H3462" i="21" s="1"/>
  <c r="G3461" i="21"/>
  <c r="H3461" i="21" s="1"/>
  <c r="G3460" i="21"/>
  <c r="H3460" i="21" s="1"/>
  <c r="G3459" i="21"/>
  <c r="H3459" i="21" s="1"/>
  <c r="G3458" i="21"/>
  <c r="H3458" i="21" s="1"/>
  <c r="G3457" i="21"/>
  <c r="H3457" i="21" s="1"/>
  <c r="G3456" i="21"/>
  <c r="H3456" i="21" s="1"/>
  <c r="G3455" i="21"/>
  <c r="H3455" i="21" s="1"/>
  <c r="G3454" i="21"/>
  <c r="H3454" i="21" s="1"/>
  <c r="G3453" i="21"/>
  <c r="H3453" i="21" s="1"/>
  <c r="G3452" i="21"/>
  <c r="H3452" i="21" s="1"/>
  <c r="G3451" i="21"/>
  <c r="H3451" i="21" s="1"/>
  <c r="G3450" i="21"/>
  <c r="H3450" i="21" s="1"/>
  <c r="G3449" i="21"/>
  <c r="H3449" i="21" s="1"/>
  <c r="G3448" i="21"/>
  <c r="H3448" i="21" s="1"/>
  <c r="G3447" i="21"/>
  <c r="H3447" i="21" s="1"/>
  <c r="G3446" i="21"/>
  <c r="H3446" i="21" s="1"/>
  <c r="G3445" i="21"/>
  <c r="H3445" i="21" s="1"/>
  <c r="G3444" i="21"/>
  <c r="H3444" i="21" s="1"/>
  <c r="G3443" i="21"/>
  <c r="H3443" i="21" s="1"/>
  <c r="G3442" i="21"/>
  <c r="H3442" i="21" s="1"/>
  <c r="G3441" i="21"/>
  <c r="H3441" i="21" s="1"/>
  <c r="G3440" i="21"/>
  <c r="H3440" i="21" s="1"/>
  <c r="G3439" i="21"/>
  <c r="H3439" i="21" s="1"/>
  <c r="G3438" i="21"/>
  <c r="H3438" i="21" s="1"/>
  <c r="G3437" i="21"/>
  <c r="H3437" i="21" s="1"/>
  <c r="G3436" i="21"/>
  <c r="H3436" i="21" s="1"/>
  <c r="G3435" i="21"/>
  <c r="H3435" i="21" s="1"/>
  <c r="G3434" i="21"/>
  <c r="H3434" i="21" s="1"/>
  <c r="G3433" i="21"/>
  <c r="H3433" i="21" s="1"/>
  <c r="G3432" i="21"/>
  <c r="H3432" i="21" s="1"/>
  <c r="G3431" i="21"/>
  <c r="H3431" i="21" s="1"/>
  <c r="G3430" i="21"/>
  <c r="H3430" i="21" s="1"/>
  <c r="G3429" i="21"/>
  <c r="H3429" i="21" s="1"/>
  <c r="G3428" i="21"/>
  <c r="H3428" i="21" s="1"/>
  <c r="G3427" i="21"/>
  <c r="H3427" i="21" s="1"/>
  <c r="G3426" i="21"/>
  <c r="H3426" i="21" s="1"/>
  <c r="G3425" i="21"/>
  <c r="H3425" i="21" s="1"/>
  <c r="G3424" i="21"/>
  <c r="H3424" i="21" s="1"/>
  <c r="G3423" i="21"/>
  <c r="H3423" i="21" s="1"/>
  <c r="G3422" i="21"/>
  <c r="H3422" i="21" s="1"/>
  <c r="G3421" i="21"/>
  <c r="H3421" i="21" s="1"/>
  <c r="G3420" i="21"/>
  <c r="H3420" i="21" s="1"/>
  <c r="G3419" i="21"/>
  <c r="H3419" i="21" s="1"/>
  <c r="G3418" i="21"/>
  <c r="H3418" i="21" s="1"/>
  <c r="G3417" i="21"/>
  <c r="H3417" i="21" s="1"/>
  <c r="G3416" i="21"/>
  <c r="H3416" i="21" s="1"/>
  <c r="G3415" i="21"/>
  <c r="H3415" i="21" s="1"/>
  <c r="G3414" i="21"/>
  <c r="H3414" i="21" s="1"/>
  <c r="G3413" i="21"/>
  <c r="H3413" i="21" s="1"/>
  <c r="G3412" i="21"/>
  <c r="H3412" i="21" s="1"/>
  <c r="G3411" i="21"/>
  <c r="H3411" i="21" s="1"/>
  <c r="G3410" i="21"/>
  <c r="H3410" i="21" s="1"/>
  <c r="G3409" i="21"/>
  <c r="H3409" i="21" s="1"/>
  <c r="G3408" i="21"/>
  <c r="H3408" i="21" s="1"/>
  <c r="G3407" i="21"/>
  <c r="H3407" i="21" s="1"/>
  <c r="G3406" i="21"/>
  <c r="H3406" i="21" s="1"/>
  <c r="G3405" i="21"/>
  <c r="H3405" i="21" s="1"/>
  <c r="G3404" i="21"/>
  <c r="H3404" i="21" s="1"/>
  <c r="G3403" i="21"/>
  <c r="H3403" i="21" s="1"/>
  <c r="G3402" i="21"/>
  <c r="H3402" i="21" s="1"/>
  <c r="G3401" i="21"/>
  <c r="H3401" i="21" s="1"/>
  <c r="G3400" i="21"/>
  <c r="H3400" i="21" s="1"/>
  <c r="G3399" i="21"/>
  <c r="H3399" i="21" s="1"/>
  <c r="G3398" i="21"/>
  <c r="H3398" i="21" s="1"/>
  <c r="G3397" i="21"/>
  <c r="H3397" i="21" s="1"/>
  <c r="G3396" i="21"/>
  <c r="H3396" i="21" s="1"/>
  <c r="G3395" i="21"/>
  <c r="H3395" i="21" s="1"/>
  <c r="G3394" i="21"/>
  <c r="H3394" i="21" s="1"/>
  <c r="G3393" i="21"/>
  <c r="H3393" i="21" s="1"/>
  <c r="G3392" i="21"/>
  <c r="H3392" i="21" s="1"/>
  <c r="G3391" i="21"/>
  <c r="H3391" i="21" s="1"/>
  <c r="G3390" i="21"/>
  <c r="H3390" i="21" s="1"/>
  <c r="G3389" i="21"/>
  <c r="H3389" i="21" s="1"/>
  <c r="G3388" i="21"/>
  <c r="H3388" i="21" s="1"/>
  <c r="G3387" i="21"/>
  <c r="H3387" i="21" s="1"/>
  <c r="G3386" i="21"/>
  <c r="H3386" i="21" s="1"/>
  <c r="G3385" i="21"/>
  <c r="H3385" i="21" s="1"/>
  <c r="G3384" i="21"/>
  <c r="H3384" i="21" s="1"/>
  <c r="G3383" i="21"/>
  <c r="H3383" i="21" s="1"/>
  <c r="G3382" i="21"/>
  <c r="H3382" i="21" s="1"/>
  <c r="G3381" i="21"/>
  <c r="H3381" i="21" s="1"/>
  <c r="G3380" i="21"/>
  <c r="H3380" i="21" s="1"/>
  <c r="G3379" i="21"/>
  <c r="H3379" i="21" s="1"/>
  <c r="G3378" i="21"/>
  <c r="H3378" i="21" s="1"/>
  <c r="G3377" i="21"/>
  <c r="H3377" i="21" s="1"/>
  <c r="G3376" i="21"/>
  <c r="H3376" i="21" s="1"/>
  <c r="G3375" i="21"/>
  <c r="H3375" i="21" s="1"/>
  <c r="G3374" i="21"/>
  <c r="H3374" i="21" s="1"/>
  <c r="G3373" i="21"/>
  <c r="H3373" i="21" s="1"/>
  <c r="G3372" i="21"/>
  <c r="H3372" i="21" s="1"/>
  <c r="G3371" i="21"/>
  <c r="H3371" i="21" s="1"/>
  <c r="G3370" i="21"/>
  <c r="H3370" i="21" s="1"/>
  <c r="G3369" i="21"/>
  <c r="H3369" i="21" s="1"/>
  <c r="G3368" i="21"/>
  <c r="H3368" i="21" s="1"/>
  <c r="G3367" i="21"/>
  <c r="H3367" i="21" s="1"/>
  <c r="G3366" i="21"/>
  <c r="H3366" i="21" s="1"/>
  <c r="G3365" i="21"/>
  <c r="H3365" i="21" s="1"/>
  <c r="G3364" i="21"/>
  <c r="H3364" i="21" s="1"/>
  <c r="G3363" i="21"/>
  <c r="H3363" i="21" s="1"/>
  <c r="G3362" i="21"/>
  <c r="H3362" i="21" s="1"/>
  <c r="G3361" i="21"/>
  <c r="H3361" i="21" s="1"/>
  <c r="G3360" i="21"/>
  <c r="H3360" i="21" s="1"/>
  <c r="G3359" i="21"/>
  <c r="H3359" i="21" s="1"/>
  <c r="G3358" i="21"/>
  <c r="H3358" i="21" s="1"/>
  <c r="G3357" i="21"/>
  <c r="H3357" i="21" s="1"/>
  <c r="G3356" i="21"/>
  <c r="H3356" i="21" s="1"/>
  <c r="G3355" i="21"/>
  <c r="H3355" i="21" s="1"/>
  <c r="G3354" i="21"/>
  <c r="H3354" i="21" s="1"/>
  <c r="G3353" i="21"/>
  <c r="H3353" i="21" s="1"/>
  <c r="G3352" i="21"/>
  <c r="H3352" i="21" s="1"/>
  <c r="G3351" i="21"/>
  <c r="H3351" i="21" s="1"/>
  <c r="G3350" i="21"/>
  <c r="H3350" i="21" s="1"/>
  <c r="G3349" i="21"/>
  <c r="H3349" i="21" s="1"/>
  <c r="G3348" i="21"/>
  <c r="H3348" i="21" s="1"/>
  <c r="G3347" i="21"/>
  <c r="H3347" i="21" s="1"/>
  <c r="G3346" i="21"/>
  <c r="H3346" i="21" s="1"/>
  <c r="G3345" i="21"/>
  <c r="H3345" i="21" s="1"/>
  <c r="G3344" i="21"/>
  <c r="H3344" i="21" s="1"/>
  <c r="G3343" i="21"/>
  <c r="H3343" i="21" s="1"/>
  <c r="G3342" i="21"/>
  <c r="H3342" i="21" s="1"/>
  <c r="G3341" i="21"/>
  <c r="H3341" i="21" s="1"/>
  <c r="G3340" i="21"/>
  <c r="H3340" i="21" s="1"/>
  <c r="G3339" i="21"/>
  <c r="H3339" i="21" s="1"/>
  <c r="G3338" i="21"/>
  <c r="H3338" i="21" s="1"/>
  <c r="G3337" i="21"/>
  <c r="H3337" i="21" s="1"/>
  <c r="G3336" i="21"/>
  <c r="H3336" i="21" s="1"/>
  <c r="G3335" i="21"/>
  <c r="H3335" i="21" s="1"/>
  <c r="G3334" i="21"/>
  <c r="H3334" i="21" s="1"/>
  <c r="G3333" i="21"/>
  <c r="H3333" i="21" s="1"/>
  <c r="G3332" i="21"/>
  <c r="H3332" i="21" s="1"/>
  <c r="G3331" i="21"/>
  <c r="H3331" i="21" s="1"/>
  <c r="G3330" i="21"/>
  <c r="H3330" i="21" s="1"/>
  <c r="G3329" i="21"/>
  <c r="H3329" i="21" s="1"/>
  <c r="G3328" i="21"/>
  <c r="H3328" i="21" s="1"/>
  <c r="G3327" i="21"/>
  <c r="H3327" i="21" s="1"/>
  <c r="G3326" i="21"/>
  <c r="H3326" i="21" s="1"/>
  <c r="G3325" i="21"/>
  <c r="H3325" i="21" s="1"/>
  <c r="G3324" i="21"/>
  <c r="H3324" i="21" s="1"/>
  <c r="G3323" i="21"/>
  <c r="H3323" i="21" s="1"/>
  <c r="G3322" i="21"/>
  <c r="H3322" i="21" s="1"/>
  <c r="G3321" i="21"/>
  <c r="H3321" i="21" s="1"/>
  <c r="G3320" i="21"/>
  <c r="H3320" i="21" s="1"/>
  <c r="G3319" i="21"/>
  <c r="H3319" i="21" s="1"/>
  <c r="G3318" i="21"/>
  <c r="H3318" i="21" s="1"/>
  <c r="G3317" i="21"/>
  <c r="H3317" i="21" s="1"/>
  <c r="G3316" i="21"/>
  <c r="H3316" i="21" s="1"/>
  <c r="G3315" i="21"/>
  <c r="H3315" i="21" s="1"/>
  <c r="G3314" i="21"/>
  <c r="H3314" i="21" s="1"/>
  <c r="G3313" i="21"/>
  <c r="H3313" i="21" s="1"/>
  <c r="G3312" i="21"/>
  <c r="H3312" i="21" s="1"/>
  <c r="G3311" i="21"/>
  <c r="H3311" i="21" s="1"/>
  <c r="G3310" i="21"/>
  <c r="H3310" i="21" s="1"/>
  <c r="G3309" i="21"/>
  <c r="H3309" i="21" s="1"/>
  <c r="G3308" i="21"/>
  <c r="H3308" i="21" s="1"/>
  <c r="G3307" i="21"/>
  <c r="H3307" i="21" s="1"/>
  <c r="G3306" i="21"/>
  <c r="H3306" i="21" s="1"/>
  <c r="G3305" i="21"/>
  <c r="H3305" i="21" s="1"/>
  <c r="G3304" i="21"/>
  <c r="H3304" i="21" s="1"/>
  <c r="G3303" i="21"/>
  <c r="H3303" i="21" s="1"/>
  <c r="G3302" i="21"/>
  <c r="H3302" i="21" s="1"/>
  <c r="G3301" i="21"/>
  <c r="H3301" i="21" s="1"/>
  <c r="G3300" i="21"/>
  <c r="H3300" i="21" s="1"/>
  <c r="G3299" i="21"/>
  <c r="H3299" i="21" s="1"/>
  <c r="G3298" i="21"/>
  <c r="H3298" i="21" s="1"/>
  <c r="G3297" i="21"/>
  <c r="H3297" i="21" s="1"/>
  <c r="G3296" i="21"/>
  <c r="H3296" i="21" s="1"/>
  <c r="G3295" i="21"/>
  <c r="H3295" i="21" s="1"/>
  <c r="G3294" i="21"/>
  <c r="H3294" i="21" s="1"/>
  <c r="G3293" i="21"/>
  <c r="H3293" i="21" s="1"/>
  <c r="G3292" i="21"/>
  <c r="H3292" i="21" s="1"/>
  <c r="G3291" i="21"/>
  <c r="H3291" i="21" s="1"/>
  <c r="G3290" i="21"/>
  <c r="H3290" i="21" s="1"/>
  <c r="G3289" i="21"/>
  <c r="H3289" i="21" s="1"/>
  <c r="G3288" i="21"/>
  <c r="H3288" i="21" s="1"/>
  <c r="G3287" i="21"/>
  <c r="H3287" i="21" s="1"/>
  <c r="G3286" i="21"/>
  <c r="H3286" i="21" s="1"/>
  <c r="G3285" i="21"/>
  <c r="H3285" i="21" s="1"/>
  <c r="G3284" i="21"/>
  <c r="H3284" i="21" s="1"/>
  <c r="G3283" i="21"/>
  <c r="H3283" i="21" s="1"/>
  <c r="G3282" i="21"/>
  <c r="H3282" i="21" s="1"/>
  <c r="G3281" i="21"/>
  <c r="H3281" i="21" s="1"/>
  <c r="G3280" i="21"/>
  <c r="H3280" i="21" s="1"/>
  <c r="G3279" i="21"/>
  <c r="H3279" i="21" s="1"/>
  <c r="G3278" i="21"/>
  <c r="H3278" i="21" s="1"/>
  <c r="G3277" i="21"/>
  <c r="H3277" i="21" s="1"/>
  <c r="G3276" i="21"/>
  <c r="H3276" i="21" s="1"/>
  <c r="G3275" i="21"/>
  <c r="H3275" i="21" s="1"/>
  <c r="G3274" i="21"/>
  <c r="H3274" i="21" s="1"/>
  <c r="G3273" i="21"/>
  <c r="H3273" i="21" s="1"/>
  <c r="G3272" i="21"/>
  <c r="H3272" i="21" s="1"/>
  <c r="G3271" i="21"/>
  <c r="H3271" i="21" s="1"/>
  <c r="G3270" i="21"/>
  <c r="H3270" i="21" s="1"/>
  <c r="G3269" i="21"/>
  <c r="H3269" i="21" s="1"/>
  <c r="G3268" i="21"/>
  <c r="H3268" i="21" s="1"/>
  <c r="G3267" i="21"/>
  <c r="H3267" i="21" s="1"/>
  <c r="G3266" i="21"/>
  <c r="H3266" i="21" s="1"/>
  <c r="G3265" i="21"/>
  <c r="H3265" i="21" s="1"/>
  <c r="G3264" i="21"/>
  <c r="H3264" i="21" s="1"/>
  <c r="G3263" i="21"/>
  <c r="H3263" i="21" s="1"/>
  <c r="G3262" i="21"/>
  <c r="H3262" i="21" s="1"/>
  <c r="G3261" i="21"/>
  <c r="H3261" i="21" s="1"/>
  <c r="G3260" i="21"/>
  <c r="H3260" i="21" s="1"/>
  <c r="G3259" i="21"/>
  <c r="H3259" i="21" s="1"/>
  <c r="G3258" i="21"/>
  <c r="H3258" i="21" s="1"/>
  <c r="G3257" i="21"/>
  <c r="H3257" i="21" s="1"/>
  <c r="G3256" i="21"/>
  <c r="H3256" i="21" s="1"/>
  <c r="G3255" i="21"/>
  <c r="H3255" i="21" s="1"/>
  <c r="G3254" i="21"/>
  <c r="H3254" i="21" s="1"/>
  <c r="G3253" i="21"/>
  <c r="H3253" i="21" s="1"/>
  <c r="G3252" i="21"/>
  <c r="H3252" i="21" s="1"/>
  <c r="G3251" i="21"/>
  <c r="H3251" i="21" s="1"/>
  <c r="G3250" i="21"/>
  <c r="H3250" i="21" s="1"/>
  <c r="G3249" i="21"/>
  <c r="H3249" i="21" s="1"/>
  <c r="G3248" i="21"/>
  <c r="H3248" i="21" s="1"/>
  <c r="G3247" i="21"/>
  <c r="H3247" i="21" s="1"/>
  <c r="G3246" i="21"/>
  <c r="H3246" i="21" s="1"/>
  <c r="G3245" i="21"/>
  <c r="H3245" i="21" s="1"/>
  <c r="G3244" i="21"/>
  <c r="H3244" i="21" s="1"/>
  <c r="G3243" i="21"/>
  <c r="H3243" i="21" s="1"/>
  <c r="G3242" i="21"/>
  <c r="H3242" i="21" s="1"/>
  <c r="G3241" i="21"/>
  <c r="H3241" i="21" s="1"/>
  <c r="G3240" i="21"/>
  <c r="H3240" i="21" s="1"/>
  <c r="G3239" i="21"/>
  <c r="H3239" i="21" s="1"/>
  <c r="G3238" i="21"/>
  <c r="H3238" i="21" s="1"/>
  <c r="G3237" i="21"/>
  <c r="H3237" i="21" s="1"/>
  <c r="G3236" i="21"/>
  <c r="H3236" i="21" s="1"/>
  <c r="G3235" i="21"/>
  <c r="H3235" i="21" s="1"/>
  <c r="G3234" i="21"/>
  <c r="H3234" i="21" s="1"/>
  <c r="G3233" i="21"/>
  <c r="H3233" i="21" s="1"/>
  <c r="G3232" i="21"/>
  <c r="H3232" i="21" s="1"/>
  <c r="G3231" i="21"/>
  <c r="H3231" i="21" s="1"/>
  <c r="G3230" i="21"/>
  <c r="H3230" i="21" s="1"/>
  <c r="G3229" i="21"/>
  <c r="H3229" i="21" s="1"/>
  <c r="G3228" i="21"/>
  <c r="H3228" i="21" s="1"/>
  <c r="G3227" i="21"/>
  <c r="H3227" i="21" s="1"/>
  <c r="G3226" i="21"/>
  <c r="H3226" i="21" s="1"/>
  <c r="G3225" i="21"/>
  <c r="H3225" i="21" s="1"/>
  <c r="G3224" i="21"/>
  <c r="H3224" i="21" s="1"/>
  <c r="G3223" i="21"/>
  <c r="H3223" i="21" s="1"/>
  <c r="G3222" i="21"/>
  <c r="H3222" i="21" s="1"/>
  <c r="G3221" i="21"/>
  <c r="H3221" i="21" s="1"/>
  <c r="G3220" i="21"/>
  <c r="H3220" i="21" s="1"/>
  <c r="G3219" i="21"/>
  <c r="H3219" i="21" s="1"/>
  <c r="G3218" i="21"/>
  <c r="H3218" i="21" s="1"/>
  <c r="G3217" i="21"/>
  <c r="H3217" i="21" s="1"/>
  <c r="G3216" i="21"/>
  <c r="H3216" i="21" s="1"/>
  <c r="G3215" i="21"/>
  <c r="H3215" i="21" s="1"/>
  <c r="G3214" i="21"/>
  <c r="H3214" i="21" s="1"/>
  <c r="G3213" i="21"/>
  <c r="H3213" i="21" s="1"/>
  <c r="G3212" i="21"/>
  <c r="H3212" i="21" s="1"/>
  <c r="G3211" i="21"/>
  <c r="H3211" i="21" s="1"/>
  <c r="G3210" i="21"/>
  <c r="H3210" i="21" s="1"/>
  <c r="G3209" i="21"/>
  <c r="H3209" i="21" s="1"/>
  <c r="G3208" i="21"/>
  <c r="H3208" i="21" s="1"/>
  <c r="G3207" i="21"/>
  <c r="H3207" i="21" s="1"/>
  <c r="G3206" i="21"/>
  <c r="H3206" i="21" s="1"/>
  <c r="G3205" i="21"/>
  <c r="H3205" i="21" s="1"/>
  <c r="G3204" i="21"/>
  <c r="H3204" i="21" s="1"/>
  <c r="G3203" i="21"/>
  <c r="H3203" i="21" s="1"/>
  <c r="G3202" i="21"/>
  <c r="H3202" i="21" s="1"/>
  <c r="G3201" i="21"/>
  <c r="H3201" i="21" s="1"/>
  <c r="G3200" i="21"/>
  <c r="H3200" i="21" s="1"/>
  <c r="G3199" i="21"/>
  <c r="H3199" i="21" s="1"/>
  <c r="G3198" i="21"/>
  <c r="H3198" i="21" s="1"/>
  <c r="G3197" i="21"/>
  <c r="H3197" i="21" s="1"/>
  <c r="G3196" i="21"/>
  <c r="H3196" i="21" s="1"/>
  <c r="G3195" i="21"/>
  <c r="H3195" i="21" s="1"/>
  <c r="G3194" i="21"/>
  <c r="H3194" i="21" s="1"/>
  <c r="G3193" i="21"/>
  <c r="H3193" i="21" s="1"/>
  <c r="G3192" i="21"/>
  <c r="H3192" i="21" s="1"/>
  <c r="G3191" i="21"/>
  <c r="H3191" i="21" s="1"/>
  <c r="G3190" i="21"/>
  <c r="H3190" i="21" s="1"/>
  <c r="G3189" i="21"/>
  <c r="H3189" i="21" s="1"/>
  <c r="G3188" i="21"/>
  <c r="H3188" i="21" s="1"/>
  <c r="G3187" i="21"/>
  <c r="H3187" i="21" s="1"/>
  <c r="G3186" i="21"/>
  <c r="H3186" i="21" s="1"/>
  <c r="G3185" i="21"/>
  <c r="H3185" i="21" s="1"/>
  <c r="G3184" i="21"/>
  <c r="H3184" i="21" s="1"/>
  <c r="G3183" i="21"/>
  <c r="H3183" i="21" s="1"/>
  <c r="G3182" i="21"/>
  <c r="H3182" i="21" s="1"/>
  <c r="G3181" i="21"/>
  <c r="H3181" i="21" s="1"/>
  <c r="G3180" i="21"/>
  <c r="H3180" i="21" s="1"/>
  <c r="G3179" i="21"/>
  <c r="H3179" i="21" s="1"/>
  <c r="G3178" i="21"/>
  <c r="H3178" i="21" s="1"/>
  <c r="G3177" i="21"/>
  <c r="H3177" i="21" s="1"/>
  <c r="G3176" i="21"/>
  <c r="H3176" i="21" s="1"/>
  <c r="G3175" i="21"/>
  <c r="H3175" i="21" s="1"/>
  <c r="G3174" i="21"/>
  <c r="H3174" i="21" s="1"/>
  <c r="G3173" i="21"/>
  <c r="H3173" i="21" s="1"/>
  <c r="G3172" i="21"/>
  <c r="H3172" i="21" s="1"/>
  <c r="G3171" i="21"/>
  <c r="H3171" i="21" s="1"/>
  <c r="G3170" i="21"/>
  <c r="H3170" i="21" s="1"/>
  <c r="G3169" i="21"/>
  <c r="H3169" i="21" s="1"/>
  <c r="G3168" i="21"/>
  <c r="H3168" i="21" s="1"/>
  <c r="G3167" i="21"/>
  <c r="H3167" i="21" s="1"/>
  <c r="G3166" i="21"/>
  <c r="H3166" i="21" s="1"/>
  <c r="G3165" i="21"/>
  <c r="H3165" i="21" s="1"/>
  <c r="G3164" i="21"/>
  <c r="H3164" i="21" s="1"/>
  <c r="G3163" i="21"/>
  <c r="H3163" i="21" s="1"/>
  <c r="G3162" i="21"/>
  <c r="H3162" i="21" s="1"/>
  <c r="G3161" i="21"/>
  <c r="H3161" i="21" s="1"/>
  <c r="G3160" i="21"/>
  <c r="H3160" i="21" s="1"/>
  <c r="G3159" i="21"/>
  <c r="H3159" i="21" s="1"/>
  <c r="G3158" i="21"/>
  <c r="H3158" i="21" s="1"/>
  <c r="G3157" i="21"/>
  <c r="H3157" i="21" s="1"/>
  <c r="G3156" i="21"/>
  <c r="H3156" i="21" s="1"/>
  <c r="G3155" i="21"/>
  <c r="H3155" i="21" s="1"/>
  <c r="G3154" i="21"/>
  <c r="H3154" i="21" s="1"/>
  <c r="G3153" i="21"/>
  <c r="H3153" i="21" s="1"/>
  <c r="G3152" i="21"/>
  <c r="H3152" i="21" s="1"/>
  <c r="G3151" i="21"/>
  <c r="H3151" i="21" s="1"/>
  <c r="G3150" i="21"/>
  <c r="H3150" i="21" s="1"/>
  <c r="G3149" i="21"/>
  <c r="H3149" i="21" s="1"/>
  <c r="G3148" i="21"/>
  <c r="H3148" i="21" s="1"/>
  <c r="G3147" i="21"/>
  <c r="H3147" i="21" s="1"/>
  <c r="G3146" i="21"/>
  <c r="H3146" i="21" s="1"/>
  <c r="G3145" i="21"/>
  <c r="H3145" i="21" s="1"/>
  <c r="G3144" i="21"/>
  <c r="H3144" i="21" s="1"/>
  <c r="G3143" i="21"/>
  <c r="H3143" i="21" s="1"/>
  <c r="G3142" i="21"/>
  <c r="H3142" i="21" s="1"/>
  <c r="G3141" i="21"/>
  <c r="H3141" i="21" s="1"/>
  <c r="G3140" i="21"/>
  <c r="H3140" i="21" s="1"/>
  <c r="G3139" i="21"/>
  <c r="H3139" i="21" s="1"/>
  <c r="G3138" i="21"/>
  <c r="H3138" i="21" s="1"/>
  <c r="G3137" i="21"/>
  <c r="H3137" i="21" s="1"/>
  <c r="G3136" i="21"/>
  <c r="H3136" i="21" s="1"/>
  <c r="G3135" i="21"/>
  <c r="H3135" i="21" s="1"/>
  <c r="G3134" i="21"/>
  <c r="H3134" i="21" s="1"/>
  <c r="G3133" i="21"/>
  <c r="H3133" i="21" s="1"/>
  <c r="G3132" i="21"/>
  <c r="H3132" i="21" s="1"/>
  <c r="G3131" i="21"/>
  <c r="H3131" i="21" s="1"/>
  <c r="G3130" i="21"/>
  <c r="H3130" i="21" s="1"/>
  <c r="G3129" i="21"/>
  <c r="H3129" i="21" s="1"/>
  <c r="G3128" i="21"/>
  <c r="H3128" i="21" s="1"/>
  <c r="G3127" i="21"/>
  <c r="H3127" i="21" s="1"/>
  <c r="G3126" i="21"/>
  <c r="H3126" i="21" s="1"/>
  <c r="G3125" i="21"/>
  <c r="H3125" i="21" s="1"/>
  <c r="G3124" i="21"/>
  <c r="H3124" i="21" s="1"/>
  <c r="G3123" i="21"/>
  <c r="H3123" i="21" s="1"/>
  <c r="G3122" i="21"/>
  <c r="H3122" i="21" s="1"/>
  <c r="G3121" i="21"/>
  <c r="H3121" i="21" s="1"/>
  <c r="G3120" i="21"/>
  <c r="H3120" i="21" s="1"/>
  <c r="G3119" i="21"/>
  <c r="H3119" i="21" s="1"/>
  <c r="G3118" i="21"/>
  <c r="H3118" i="21" s="1"/>
  <c r="G3117" i="21"/>
  <c r="H3117" i="21" s="1"/>
  <c r="G3116" i="21"/>
  <c r="H3116" i="21" s="1"/>
  <c r="G3115" i="21"/>
  <c r="H3115" i="21" s="1"/>
  <c r="G3114" i="21"/>
  <c r="H3114" i="21" s="1"/>
  <c r="G3113" i="21"/>
  <c r="H3113" i="21" s="1"/>
  <c r="G3112" i="21"/>
  <c r="H3112" i="21" s="1"/>
  <c r="G3111" i="21"/>
  <c r="H3111" i="21" s="1"/>
  <c r="G3110" i="21"/>
  <c r="H3110" i="21" s="1"/>
  <c r="G3109" i="21"/>
  <c r="H3109" i="21" s="1"/>
  <c r="G3108" i="21"/>
  <c r="H3108" i="21" s="1"/>
  <c r="G3107" i="21"/>
  <c r="H3107" i="21" s="1"/>
  <c r="G3106" i="21"/>
  <c r="H3106" i="21" s="1"/>
  <c r="G3105" i="21"/>
  <c r="H3105" i="21" s="1"/>
  <c r="G3104" i="21"/>
  <c r="H3104" i="21" s="1"/>
  <c r="G3103" i="21"/>
  <c r="H3103" i="21" s="1"/>
  <c r="G3102" i="21"/>
  <c r="H3102" i="21" s="1"/>
  <c r="G3101" i="21"/>
  <c r="H3101" i="21" s="1"/>
  <c r="G3100" i="21"/>
  <c r="H3100" i="21" s="1"/>
  <c r="G3099" i="21"/>
  <c r="H3099" i="21" s="1"/>
  <c r="G3098" i="21"/>
  <c r="H3098" i="21" s="1"/>
  <c r="G3097" i="21"/>
  <c r="H3097" i="21" s="1"/>
  <c r="G3096" i="21"/>
  <c r="H3096" i="21" s="1"/>
  <c r="G3095" i="21"/>
  <c r="H3095" i="21" s="1"/>
  <c r="G3094" i="21"/>
  <c r="H3094" i="21" s="1"/>
  <c r="G3093" i="21"/>
  <c r="H3093" i="21" s="1"/>
  <c r="G3092" i="21"/>
  <c r="H3092" i="21" s="1"/>
  <c r="G3091" i="21"/>
  <c r="H3091" i="21" s="1"/>
  <c r="G3090" i="21"/>
  <c r="H3090" i="21" s="1"/>
  <c r="G3089" i="21"/>
  <c r="H3089" i="21" s="1"/>
  <c r="G3088" i="21"/>
  <c r="H3088" i="21" s="1"/>
  <c r="G3087" i="21"/>
  <c r="H3087" i="21" s="1"/>
  <c r="G3086" i="21"/>
  <c r="H3086" i="21" s="1"/>
  <c r="G3085" i="21"/>
  <c r="H3085" i="21" s="1"/>
  <c r="G3084" i="21"/>
  <c r="H3084" i="21" s="1"/>
  <c r="G3083" i="21"/>
  <c r="H3083" i="21" s="1"/>
  <c r="G3082" i="21"/>
  <c r="H3082" i="21" s="1"/>
  <c r="G3081" i="21"/>
  <c r="H3081" i="21" s="1"/>
  <c r="G3080" i="21"/>
  <c r="H3080" i="21" s="1"/>
  <c r="G3079" i="21"/>
  <c r="H3079" i="21" s="1"/>
  <c r="G3078" i="21"/>
  <c r="H3078" i="21" s="1"/>
  <c r="G3077" i="21"/>
  <c r="H3077" i="21" s="1"/>
  <c r="G3076" i="21"/>
  <c r="H3076" i="21" s="1"/>
  <c r="G3075" i="21"/>
  <c r="H3075" i="21" s="1"/>
  <c r="G3074" i="21"/>
  <c r="H3074" i="21" s="1"/>
  <c r="G3073" i="21"/>
  <c r="H3073" i="21" s="1"/>
  <c r="G3072" i="21"/>
  <c r="H3072" i="21" s="1"/>
  <c r="G3071" i="21"/>
  <c r="H3071" i="21" s="1"/>
  <c r="G3070" i="21"/>
  <c r="H3070" i="21" s="1"/>
  <c r="G3069" i="21"/>
  <c r="H3069" i="21" s="1"/>
  <c r="G3068" i="21"/>
  <c r="H3068" i="21" s="1"/>
  <c r="G3067" i="21"/>
  <c r="H3067" i="21" s="1"/>
  <c r="G3066" i="21"/>
  <c r="H3066" i="21" s="1"/>
  <c r="G3065" i="21"/>
  <c r="H3065" i="21" s="1"/>
  <c r="G3064" i="21"/>
  <c r="H3064" i="21" s="1"/>
  <c r="G3063" i="21"/>
  <c r="H3063" i="21" s="1"/>
  <c r="G3062" i="21"/>
  <c r="H3062" i="21" s="1"/>
  <c r="G3061" i="21"/>
  <c r="H3061" i="21" s="1"/>
  <c r="H3060" i="21"/>
  <c r="G3060" i="21"/>
  <c r="G3059" i="21"/>
  <c r="H3059" i="21" s="1"/>
  <c r="H3058" i="21"/>
  <c r="G3058" i="21"/>
  <c r="G3057" i="21"/>
  <c r="H3057" i="21" s="1"/>
  <c r="G3056" i="21"/>
  <c r="H3056" i="21" s="1"/>
  <c r="G3055" i="21"/>
  <c r="H3055" i="21" s="1"/>
  <c r="H3054" i="21"/>
  <c r="G3054" i="21"/>
  <c r="H3053" i="21"/>
  <c r="G3053" i="21"/>
  <c r="H3052" i="21"/>
  <c r="G3052" i="21"/>
  <c r="G3051" i="21"/>
  <c r="H3051" i="21" s="1"/>
  <c r="G3050" i="21"/>
  <c r="H3050" i="21" s="1"/>
  <c r="G3049" i="21"/>
  <c r="H3049" i="21" s="1"/>
  <c r="G3048" i="21"/>
  <c r="H3048" i="21" s="1"/>
  <c r="G3047" i="21"/>
  <c r="H3047" i="21" s="1"/>
  <c r="G3046" i="21"/>
  <c r="H3046" i="21" s="1"/>
  <c r="H3045" i="21"/>
  <c r="G3045" i="21"/>
  <c r="G3044" i="21"/>
  <c r="H3044" i="21" s="1"/>
  <c r="G3043" i="21"/>
  <c r="H3043" i="21" s="1"/>
  <c r="H3042" i="21"/>
  <c r="G3042" i="21"/>
  <c r="G3041" i="21"/>
  <c r="H3041" i="21" s="1"/>
  <c r="G3040" i="21"/>
  <c r="H3040" i="21" s="1"/>
  <c r="H3039" i="21"/>
  <c r="G3039" i="21"/>
  <c r="G3038" i="21"/>
  <c r="H3038" i="21" s="1"/>
  <c r="G3037" i="21"/>
  <c r="H3037" i="21" s="1"/>
  <c r="H3036" i="21"/>
  <c r="G3036" i="21"/>
  <c r="G3035" i="21"/>
  <c r="H3035" i="21" s="1"/>
  <c r="G3034" i="21"/>
  <c r="H3034" i="21" s="1"/>
  <c r="H3033" i="21"/>
  <c r="G3033" i="21"/>
  <c r="G3032" i="21"/>
  <c r="H3032" i="21" s="1"/>
  <c r="H3031" i="21"/>
  <c r="G3031" i="21"/>
  <c r="G3030" i="21"/>
  <c r="H3030" i="21" s="1"/>
  <c r="G3029" i="21"/>
  <c r="H3029" i="21" s="1"/>
  <c r="G3028" i="21"/>
  <c r="H3028" i="21" s="1"/>
  <c r="G3027" i="21"/>
  <c r="H3027" i="21" s="1"/>
  <c r="G3026" i="21"/>
  <c r="H3026" i="21" s="1"/>
  <c r="H3025" i="21"/>
  <c r="G3025" i="21"/>
  <c r="G3024" i="21"/>
  <c r="H3024" i="21" s="1"/>
  <c r="G3023" i="21"/>
  <c r="H3023" i="21" s="1"/>
  <c r="H3022" i="21"/>
  <c r="G3022" i="21"/>
  <c r="G3021" i="21"/>
  <c r="H3021" i="21" s="1"/>
  <c r="G3020" i="21"/>
  <c r="H3020" i="21" s="1"/>
  <c r="H3019" i="21"/>
  <c r="G3019" i="21"/>
  <c r="G3018" i="21"/>
  <c r="H3018" i="21" s="1"/>
  <c r="G3017" i="21"/>
  <c r="H3017" i="21" s="1"/>
  <c r="G3016" i="21"/>
  <c r="H3016" i="21" s="1"/>
  <c r="G3015" i="21"/>
  <c r="H3015" i="21" s="1"/>
  <c r="G3014" i="21"/>
  <c r="H3014" i="21" s="1"/>
  <c r="G3013" i="21"/>
  <c r="H3013" i="21" s="1"/>
  <c r="G3012" i="21"/>
  <c r="H3012" i="21" s="1"/>
  <c r="G3011" i="21"/>
  <c r="H3011" i="21" s="1"/>
  <c r="G3010" i="21"/>
  <c r="H3010" i="21" s="1"/>
  <c r="G3009" i="21"/>
  <c r="H3009" i="21" s="1"/>
  <c r="G3008" i="21"/>
  <c r="H3008" i="21" s="1"/>
  <c r="H3007" i="21"/>
  <c r="G3007" i="21"/>
  <c r="G3006" i="21"/>
  <c r="H3006" i="21" s="1"/>
  <c r="G3005" i="21"/>
  <c r="H3005" i="21" s="1"/>
  <c r="G3004" i="21"/>
  <c r="H3004" i="21" s="1"/>
  <c r="G3003" i="21"/>
  <c r="H3003" i="21" s="1"/>
  <c r="G3002" i="21"/>
  <c r="H3002" i="21" s="1"/>
  <c r="G3001" i="21"/>
  <c r="H3001" i="21" s="1"/>
  <c r="G3000" i="21"/>
  <c r="H3000" i="21" s="1"/>
  <c r="G2999" i="21"/>
  <c r="H2999" i="21" s="1"/>
  <c r="G2998" i="21"/>
  <c r="H2998" i="21" s="1"/>
  <c r="G2997" i="21"/>
  <c r="H2997" i="21" s="1"/>
  <c r="G2996" i="21"/>
  <c r="H2996" i="21" s="1"/>
  <c r="G2995" i="21"/>
  <c r="H2995" i="21" s="1"/>
  <c r="G2994" i="21"/>
  <c r="H2994" i="21" s="1"/>
  <c r="G2993" i="21"/>
  <c r="H2993" i="21" s="1"/>
  <c r="G2992" i="21"/>
  <c r="H2992" i="21" s="1"/>
  <c r="G2991" i="21"/>
  <c r="H2991" i="21" s="1"/>
  <c r="G2990" i="21"/>
  <c r="H2990" i="21" s="1"/>
  <c r="G2989" i="21"/>
  <c r="H2989" i="21" s="1"/>
  <c r="G2988" i="21"/>
  <c r="H2988" i="21" s="1"/>
  <c r="G2987" i="21"/>
  <c r="H2987" i="21" s="1"/>
  <c r="G2986" i="21"/>
  <c r="H2986" i="21" s="1"/>
  <c r="G2985" i="21"/>
  <c r="H2985" i="21" s="1"/>
  <c r="G2984" i="21"/>
  <c r="H2984" i="21" s="1"/>
  <c r="G2983" i="21"/>
  <c r="H2983" i="21" s="1"/>
  <c r="G2982" i="21"/>
  <c r="H2982" i="21" s="1"/>
  <c r="G2981" i="21"/>
  <c r="H2981" i="21" s="1"/>
  <c r="G2980" i="21"/>
  <c r="H2980" i="21" s="1"/>
  <c r="G2979" i="21"/>
  <c r="H2979" i="21" s="1"/>
  <c r="G2978" i="21"/>
  <c r="H2978" i="21" s="1"/>
  <c r="G2977" i="21"/>
  <c r="H2977" i="21" s="1"/>
  <c r="G2976" i="21"/>
  <c r="H2976" i="21" s="1"/>
  <c r="G2975" i="21"/>
  <c r="H2975" i="21" s="1"/>
  <c r="G2974" i="21"/>
  <c r="H2974" i="21" s="1"/>
  <c r="G2973" i="21"/>
  <c r="H2973" i="21" s="1"/>
  <c r="G2972" i="21"/>
  <c r="H2972" i="21" s="1"/>
  <c r="G2971" i="21"/>
  <c r="H2971" i="21" s="1"/>
  <c r="G2970" i="21"/>
  <c r="H2970" i="21" s="1"/>
  <c r="G2969" i="21"/>
  <c r="H2969" i="21" s="1"/>
  <c r="G2968" i="21"/>
  <c r="H2968" i="21" s="1"/>
  <c r="G2967" i="21"/>
  <c r="H2967" i="21" s="1"/>
  <c r="G2966" i="21"/>
  <c r="H2966" i="21" s="1"/>
  <c r="G2965" i="21"/>
  <c r="H2965" i="21" s="1"/>
  <c r="G2964" i="21"/>
  <c r="H2964" i="21" s="1"/>
  <c r="G2963" i="21"/>
  <c r="H2963" i="21" s="1"/>
  <c r="G2962" i="21"/>
  <c r="H2962" i="21" s="1"/>
  <c r="G2961" i="21"/>
  <c r="H2961" i="21" s="1"/>
  <c r="G2960" i="21"/>
  <c r="H2960" i="21" s="1"/>
  <c r="G2959" i="21"/>
  <c r="H2959" i="21" s="1"/>
  <c r="G2958" i="21"/>
  <c r="H2958" i="21" s="1"/>
  <c r="G2957" i="21"/>
  <c r="H2957" i="21" s="1"/>
  <c r="G2956" i="21"/>
  <c r="H2956" i="21" s="1"/>
  <c r="G2955" i="21"/>
  <c r="H2955" i="21" s="1"/>
  <c r="H2954" i="21"/>
  <c r="G2954" i="21"/>
  <c r="G2953" i="21"/>
  <c r="H2953" i="21" s="1"/>
  <c r="G2952" i="21"/>
  <c r="H2952" i="21" s="1"/>
  <c r="G2951" i="21"/>
  <c r="H2951" i="21" s="1"/>
  <c r="H2950" i="21"/>
  <c r="G2950" i="21"/>
  <c r="G2949" i="21"/>
  <c r="H2949" i="21" s="1"/>
  <c r="H2948" i="21"/>
  <c r="G2948" i="21"/>
  <c r="H2947" i="21"/>
  <c r="G2947" i="21"/>
  <c r="H2946" i="21"/>
  <c r="G2946" i="21"/>
  <c r="H2945" i="21"/>
  <c r="G2945" i="21"/>
  <c r="H2944" i="21"/>
  <c r="G2944" i="21"/>
  <c r="H2943" i="21"/>
  <c r="G2943" i="21"/>
  <c r="H2942" i="21"/>
  <c r="G2942" i="21"/>
  <c r="H2941" i="21"/>
  <c r="G2941" i="21"/>
  <c r="H2940" i="21"/>
  <c r="G2940" i="21"/>
  <c r="H2939" i="21"/>
  <c r="G2939" i="21"/>
  <c r="H2938" i="21"/>
  <c r="G2938" i="21"/>
  <c r="G2937" i="21"/>
  <c r="H2937" i="21" s="1"/>
  <c r="G2936" i="21"/>
  <c r="H2936" i="21" s="1"/>
  <c r="G2935" i="21"/>
  <c r="H2935" i="21" s="1"/>
  <c r="G2934" i="21"/>
  <c r="H2934" i="21" s="1"/>
  <c r="G2933" i="21"/>
  <c r="H2933" i="21" s="1"/>
  <c r="G2932" i="21"/>
  <c r="H2932" i="21" s="1"/>
  <c r="G2931" i="21"/>
  <c r="H2931" i="21" s="1"/>
  <c r="H2930" i="21"/>
  <c r="G2930" i="21"/>
  <c r="H2929" i="21"/>
  <c r="G2929" i="21"/>
  <c r="G2928" i="21"/>
  <c r="H2928" i="21" s="1"/>
  <c r="G2927" i="21"/>
  <c r="H2927" i="21" s="1"/>
  <c r="G2926" i="21"/>
  <c r="H2926" i="21" s="1"/>
  <c r="G2925" i="21"/>
  <c r="H2925" i="21" s="1"/>
  <c r="G2924" i="21"/>
  <c r="H2924" i="21" s="1"/>
  <c r="G2923" i="21"/>
  <c r="H2923" i="21" s="1"/>
  <c r="G2922" i="21"/>
  <c r="H2922" i="21" s="1"/>
  <c r="G2921" i="21"/>
  <c r="H2921" i="21" s="1"/>
  <c r="G2920" i="21"/>
  <c r="H2920" i="21" s="1"/>
  <c r="G2919" i="21"/>
  <c r="H2919" i="21" s="1"/>
  <c r="G2918" i="21"/>
  <c r="H2918" i="21" s="1"/>
  <c r="G2917" i="21"/>
  <c r="H2917" i="21" s="1"/>
  <c r="G2916" i="21"/>
  <c r="H2916" i="21" s="1"/>
  <c r="G2915" i="21"/>
  <c r="H2915" i="21" s="1"/>
  <c r="G2914" i="21"/>
  <c r="H2914" i="21" s="1"/>
  <c r="H2913" i="21"/>
  <c r="G2913" i="21"/>
  <c r="G2912" i="21"/>
  <c r="H2912" i="21" s="1"/>
  <c r="G2911" i="21"/>
  <c r="H2911" i="21" s="1"/>
  <c r="G2910" i="21"/>
  <c r="H2910" i="21" s="1"/>
  <c r="H2909" i="21"/>
  <c r="G2909" i="21"/>
  <c r="G2908" i="21"/>
  <c r="H2908" i="21" s="1"/>
  <c r="H2907" i="21"/>
  <c r="G2907" i="21"/>
  <c r="G2906" i="21"/>
  <c r="H2906" i="21" s="1"/>
  <c r="G2905" i="21"/>
  <c r="H2905" i="21" s="1"/>
  <c r="G2904" i="21"/>
  <c r="H2904" i="21" s="1"/>
  <c r="H2903" i="21"/>
  <c r="G2903" i="21"/>
  <c r="G2902" i="21"/>
  <c r="H2902" i="21" s="1"/>
  <c r="H2901" i="21"/>
  <c r="G2901" i="21"/>
  <c r="G2900" i="21"/>
  <c r="H2900" i="21" s="1"/>
  <c r="G2899" i="21"/>
  <c r="H2899" i="21" s="1"/>
  <c r="G2898" i="21"/>
  <c r="H2898" i="21" s="1"/>
  <c r="H2897" i="21"/>
  <c r="G2897" i="21"/>
  <c r="G2896" i="21"/>
  <c r="H2896" i="21" s="1"/>
  <c r="H2895" i="21"/>
  <c r="G2895" i="21"/>
  <c r="G2894" i="21"/>
  <c r="H2894" i="21" s="1"/>
  <c r="H2893" i="21"/>
  <c r="G2893" i="21"/>
  <c r="H2892" i="21"/>
  <c r="G2892" i="21"/>
  <c r="H2891" i="21"/>
  <c r="G2891" i="21"/>
  <c r="G2890" i="21"/>
  <c r="H2890" i="21" s="1"/>
  <c r="H2889" i="21"/>
  <c r="G2889" i="21"/>
  <c r="G2888" i="21"/>
  <c r="H2888" i="21" s="1"/>
  <c r="G2887" i="21"/>
  <c r="H2887" i="21" s="1"/>
  <c r="G2886" i="21"/>
  <c r="H2886" i="21" s="1"/>
  <c r="H2885" i="21"/>
  <c r="G2885" i="21"/>
  <c r="G2884" i="21"/>
  <c r="H2884" i="21" s="1"/>
  <c r="H2883" i="21"/>
  <c r="G2883" i="21"/>
  <c r="G2882" i="21"/>
  <c r="H2882" i="21" s="1"/>
  <c r="G2881" i="21"/>
  <c r="H2881" i="21" s="1"/>
  <c r="G2880" i="21"/>
  <c r="H2880" i="21" s="1"/>
  <c r="H2879" i="21"/>
  <c r="G2879" i="21"/>
  <c r="G2878" i="21"/>
  <c r="H2878" i="21" s="1"/>
  <c r="H2877" i="21"/>
  <c r="G2877" i="21"/>
  <c r="G2876" i="21"/>
  <c r="H2876" i="21" s="1"/>
  <c r="G2875" i="21"/>
  <c r="H2875" i="21" s="1"/>
  <c r="G2874" i="21"/>
  <c r="H2874" i="21" s="1"/>
  <c r="G2873" i="21"/>
  <c r="H2873" i="21" s="1"/>
  <c r="G2872" i="21"/>
  <c r="H2872" i="21" s="1"/>
  <c r="G2871" i="21"/>
  <c r="H2871" i="21" s="1"/>
  <c r="G2870" i="21"/>
  <c r="H2870" i="21" s="1"/>
  <c r="G2869" i="21"/>
  <c r="H2869" i="21" s="1"/>
  <c r="G2868" i="21"/>
  <c r="H2868" i="21" s="1"/>
  <c r="G2867" i="21"/>
  <c r="H2867" i="21" s="1"/>
  <c r="G2866" i="21"/>
  <c r="H2866" i="21" s="1"/>
  <c r="G2865" i="21"/>
  <c r="H2865" i="21" s="1"/>
  <c r="G2864" i="21"/>
  <c r="H2864" i="21" s="1"/>
  <c r="G2863" i="21"/>
  <c r="H2863" i="21" s="1"/>
  <c r="G2862" i="21"/>
  <c r="H2862" i="21" s="1"/>
  <c r="G2861" i="21"/>
  <c r="H2861" i="21" s="1"/>
  <c r="G2860" i="21"/>
  <c r="H2860" i="21" s="1"/>
  <c r="G2859" i="21"/>
  <c r="H2859" i="21" s="1"/>
  <c r="G2858" i="21"/>
  <c r="H2858" i="21" s="1"/>
  <c r="G2857" i="21"/>
  <c r="H2857" i="21" s="1"/>
  <c r="G2856" i="21"/>
  <c r="H2856" i="21" s="1"/>
  <c r="G2855" i="21"/>
  <c r="H2855" i="21" s="1"/>
  <c r="G2854" i="21"/>
  <c r="H2854" i="21" s="1"/>
  <c r="G2853" i="21"/>
  <c r="H2853" i="21" s="1"/>
  <c r="G2852" i="21"/>
  <c r="H2852" i="21" s="1"/>
  <c r="G2851" i="21"/>
  <c r="H2851" i="21" s="1"/>
  <c r="G2850" i="21"/>
  <c r="H2850" i="21" s="1"/>
  <c r="G2849" i="21"/>
  <c r="H2849" i="21" s="1"/>
  <c r="G2848" i="21"/>
  <c r="H2848" i="21" s="1"/>
  <c r="H2847" i="21"/>
  <c r="G2847" i="21"/>
  <c r="G2846" i="21"/>
  <c r="H2846" i="21" s="1"/>
  <c r="G2845" i="21"/>
  <c r="H2845" i="21" s="1"/>
  <c r="G2844" i="21"/>
  <c r="H2844" i="21" s="1"/>
  <c r="G2843" i="21"/>
  <c r="H2843" i="21" s="1"/>
  <c r="G2842" i="21"/>
  <c r="H2842" i="21" s="1"/>
  <c r="G2841" i="21"/>
  <c r="H2841" i="21" s="1"/>
  <c r="G2840" i="21"/>
  <c r="H2840" i="21" s="1"/>
  <c r="G2839" i="21"/>
  <c r="H2839" i="21" s="1"/>
  <c r="G2838" i="21"/>
  <c r="H2838" i="21" s="1"/>
  <c r="G2837" i="21"/>
  <c r="H2837" i="21" s="1"/>
  <c r="G2836" i="21"/>
  <c r="H2836" i="21" s="1"/>
  <c r="G2835" i="21"/>
  <c r="H2835" i="21" s="1"/>
  <c r="G2834" i="21"/>
  <c r="H2834" i="21" s="1"/>
  <c r="G2833" i="21"/>
  <c r="H2833" i="21" s="1"/>
  <c r="G2832" i="21"/>
  <c r="H2832" i="21" s="1"/>
  <c r="G2831" i="21"/>
  <c r="H2831" i="21" s="1"/>
  <c r="G2830" i="21"/>
  <c r="H2830" i="21" s="1"/>
  <c r="G2829" i="21"/>
  <c r="H2829" i="21" s="1"/>
  <c r="G2828" i="21"/>
  <c r="H2828" i="21" s="1"/>
  <c r="G2827" i="21"/>
  <c r="H2827" i="21" s="1"/>
  <c r="G2826" i="21"/>
  <c r="H2826" i="21" s="1"/>
  <c r="G2825" i="21"/>
  <c r="H2825" i="21" s="1"/>
  <c r="G2824" i="21"/>
  <c r="H2824" i="21" s="1"/>
  <c r="G2823" i="21"/>
  <c r="H2823" i="21" s="1"/>
  <c r="G2822" i="21"/>
  <c r="H2822" i="21" s="1"/>
  <c r="G2821" i="21"/>
  <c r="H2821" i="21" s="1"/>
  <c r="G2820" i="21"/>
  <c r="H2820" i="21" s="1"/>
  <c r="G2819" i="21"/>
  <c r="H2819" i="21" s="1"/>
  <c r="G2818" i="21"/>
  <c r="H2818" i="21" s="1"/>
  <c r="G2817" i="21"/>
  <c r="H2817" i="21" s="1"/>
  <c r="G2816" i="21"/>
  <c r="H2816" i="21" s="1"/>
  <c r="G2815" i="21"/>
  <c r="H2815" i="21" s="1"/>
  <c r="H2814" i="21"/>
  <c r="G2814" i="21"/>
  <c r="G2813" i="21"/>
  <c r="H2813" i="21" s="1"/>
  <c r="H2812" i="21"/>
  <c r="G2812" i="21"/>
  <c r="G2811" i="21"/>
  <c r="H2811" i="21" s="1"/>
  <c r="G2810" i="21"/>
  <c r="H2810" i="21" s="1"/>
  <c r="G2809" i="21"/>
  <c r="H2809" i="21" s="1"/>
  <c r="G2808" i="21"/>
  <c r="H2808" i="21" s="1"/>
  <c r="G2807" i="21"/>
  <c r="H2807" i="21" s="1"/>
  <c r="G2806" i="21"/>
  <c r="H2806" i="21" s="1"/>
  <c r="G2805" i="21"/>
  <c r="H2805" i="21" s="1"/>
  <c r="G2804" i="21"/>
  <c r="H2804" i="21" s="1"/>
  <c r="G2803" i="21"/>
  <c r="H2803" i="21" s="1"/>
  <c r="G2802" i="21"/>
  <c r="H2802" i="21" s="1"/>
  <c r="G2801" i="21"/>
  <c r="H2801" i="21" s="1"/>
  <c r="G2800" i="21"/>
  <c r="H2800" i="21" s="1"/>
  <c r="G2799" i="21"/>
  <c r="H2799" i="21" s="1"/>
  <c r="G2798" i="21"/>
  <c r="H2798" i="21" s="1"/>
  <c r="G2797" i="21"/>
  <c r="H2797" i="21" s="1"/>
  <c r="G2796" i="21"/>
  <c r="H2796" i="21" s="1"/>
  <c r="G2795" i="21"/>
  <c r="H2795" i="21" s="1"/>
  <c r="G2794" i="21"/>
  <c r="H2794" i="21" s="1"/>
  <c r="G2793" i="21"/>
  <c r="H2793" i="21" s="1"/>
  <c r="G2792" i="21"/>
  <c r="H2792" i="21" s="1"/>
  <c r="G2791" i="21"/>
  <c r="H2791" i="21" s="1"/>
  <c r="G2790" i="21"/>
  <c r="H2790" i="21" s="1"/>
  <c r="G2789" i="21"/>
  <c r="H2789" i="21" s="1"/>
  <c r="G2788" i="21"/>
  <c r="H2788" i="21" s="1"/>
  <c r="G2787" i="21"/>
  <c r="H2787" i="21" s="1"/>
  <c r="G2786" i="21"/>
  <c r="H2786" i="21" s="1"/>
  <c r="G2785" i="21"/>
  <c r="H2785" i="21" s="1"/>
  <c r="G2784" i="21"/>
  <c r="H2784" i="21" s="1"/>
  <c r="G2783" i="21"/>
  <c r="H2783" i="21" s="1"/>
  <c r="G2782" i="21"/>
  <c r="H2782" i="21" s="1"/>
  <c r="G2781" i="21"/>
  <c r="H2781" i="21" s="1"/>
  <c r="G2780" i="21"/>
  <c r="H2780" i="21" s="1"/>
  <c r="G2779" i="21"/>
  <c r="H2779" i="21" s="1"/>
  <c r="G2778" i="21"/>
  <c r="H2778" i="21" s="1"/>
  <c r="G2777" i="21"/>
  <c r="H2777" i="21" s="1"/>
  <c r="G2776" i="21"/>
  <c r="H2776" i="21" s="1"/>
  <c r="G2775" i="21"/>
  <c r="H2775" i="21" s="1"/>
  <c r="G2774" i="21"/>
  <c r="H2774" i="21" s="1"/>
  <c r="G2773" i="21"/>
  <c r="H2773" i="21" s="1"/>
  <c r="G2772" i="21"/>
  <c r="H2772" i="21" s="1"/>
  <c r="G2771" i="21"/>
  <c r="H2771" i="21" s="1"/>
  <c r="G2770" i="21"/>
  <c r="H2770" i="21" s="1"/>
  <c r="G2769" i="21"/>
  <c r="H2769" i="21" s="1"/>
  <c r="G2768" i="21"/>
  <c r="H2768" i="21" s="1"/>
  <c r="G2767" i="21"/>
  <c r="H2767" i="21" s="1"/>
  <c r="G2766" i="21"/>
  <c r="H2766" i="21" s="1"/>
  <c r="G2765" i="21"/>
  <c r="H2765" i="21" s="1"/>
  <c r="G2764" i="21"/>
  <c r="H2764" i="21" s="1"/>
  <c r="G2763" i="21"/>
  <c r="H2763" i="21" s="1"/>
  <c r="G2762" i="21"/>
  <c r="H2762" i="21" s="1"/>
  <c r="G2761" i="21"/>
  <c r="H2761" i="21" s="1"/>
  <c r="G2760" i="21"/>
  <c r="H2760" i="21" s="1"/>
  <c r="G2759" i="21"/>
  <c r="H2759" i="21" s="1"/>
  <c r="G2758" i="21"/>
  <c r="H2758" i="21" s="1"/>
  <c r="G2757" i="21"/>
  <c r="H2757" i="21" s="1"/>
  <c r="G2756" i="21"/>
  <c r="H2756" i="21" s="1"/>
  <c r="G2755" i="21"/>
  <c r="H2755" i="21" s="1"/>
  <c r="G2754" i="21"/>
  <c r="H2754" i="21" s="1"/>
  <c r="G2753" i="21"/>
  <c r="H2753" i="21" s="1"/>
  <c r="G2752" i="21"/>
  <c r="H2752" i="21" s="1"/>
  <c r="G2751" i="21"/>
  <c r="H2751" i="21" s="1"/>
  <c r="G2750" i="21"/>
  <c r="H2750" i="21" s="1"/>
  <c r="G2749" i="21"/>
  <c r="H2749" i="21" s="1"/>
  <c r="G2748" i="21"/>
  <c r="H2748" i="21" s="1"/>
  <c r="G2747" i="21"/>
  <c r="H2747" i="21" s="1"/>
  <c r="G2746" i="21"/>
  <c r="H2746" i="21" s="1"/>
  <c r="G2745" i="21"/>
  <c r="H2745" i="21" s="1"/>
  <c r="G2744" i="21"/>
  <c r="H2744" i="21" s="1"/>
  <c r="G2743" i="21"/>
  <c r="H2743" i="21" s="1"/>
  <c r="G2742" i="21"/>
  <c r="H2742" i="21" s="1"/>
  <c r="G2741" i="21"/>
  <c r="H2741" i="21" s="1"/>
  <c r="G2740" i="21"/>
  <c r="H2740" i="21" s="1"/>
  <c r="G2739" i="21"/>
  <c r="H2739" i="21" s="1"/>
  <c r="G2738" i="21"/>
  <c r="H2738" i="21" s="1"/>
  <c r="G2737" i="21"/>
  <c r="H2737" i="21" s="1"/>
  <c r="G2736" i="21"/>
  <c r="H2736" i="21" s="1"/>
  <c r="G2735" i="21"/>
  <c r="H2735" i="21" s="1"/>
  <c r="G2734" i="21"/>
  <c r="H2734" i="21" s="1"/>
  <c r="G2733" i="21"/>
  <c r="H2733" i="21" s="1"/>
  <c r="G2732" i="21"/>
  <c r="H2732" i="21" s="1"/>
  <c r="G2731" i="21"/>
  <c r="H2731" i="21" s="1"/>
  <c r="G2730" i="21"/>
  <c r="H2730" i="21" s="1"/>
  <c r="G2729" i="21"/>
  <c r="H2729" i="21" s="1"/>
  <c r="G2728" i="21"/>
  <c r="H2728" i="21" s="1"/>
  <c r="G2727" i="21"/>
  <c r="H2727" i="21" s="1"/>
  <c r="G2726" i="21"/>
  <c r="H2726" i="21" s="1"/>
  <c r="G2725" i="21"/>
  <c r="H2725" i="21" s="1"/>
  <c r="G2724" i="21"/>
  <c r="H2724" i="21" s="1"/>
  <c r="G2723" i="21"/>
  <c r="H2723" i="21" s="1"/>
  <c r="G2722" i="21"/>
  <c r="H2722" i="21" s="1"/>
  <c r="G2721" i="21"/>
  <c r="H2721" i="21" s="1"/>
  <c r="G2720" i="21"/>
  <c r="H2720" i="21" s="1"/>
  <c r="G2719" i="21"/>
  <c r="H2719" i="21" s="1"/>
  <c r="G2718" i="21"/>
  <c r="H2718" i="21" s="1"/>
  <c r="G2717" i="21"/>
  <c r="H2717" i="21" s="1"/>
  <c r="G2716" i="21"/>
  <c r="H2716" i="21" s="1"/>
  <c r="G2715" i="21"/>
  <c r="H2715" i="21" s="1"/>
  <c r="G2714" i="21"/>
  <c r="H2714" i="21" s="1"/>
  <c r="G2713" i="21"/>
  <c r="H2713" i="21" s="1"/>
  <c r="G2712" i="21"/>
  <c r="H2712" i="21" s="1"/>
  <c r="G2711" i="21"/>
  <c r="H2711" i="21" s="1"/>
  <c r="G2710" i="21"/>
  <c r="H2710" i="21" s="1"/>
  <c r="G2709" i="21"/>
  <c r="H2709" i="21" s="1"/>
  <c r="G2708" i="21"/>
  <c r="H2708" i="21" s="1"/>
  <c r="G2707" i="21"/>
  <c r="H2707" i="21" s="1"/>
  <c r="G2706" i="21"/>
  <c r="H2706" i="21" s="1"/>
  <c r="G2705" i="21"/>
  <c r="H2705" i="21" s="1"/>
  <c r="G2704" i="21"/>
  <c r="H2704" i="21" s="1"/>
  <c r="G2703" i="21"/>
  <c r="H2703" i="21" s="1"/>
  <c r="G2702" i="21"/>
  <c r="H2702" i="21" s="1"/>
  <c r="G2701" i="21"/>
  <c r="H2701" i="21" s="1"/>
  <c r="G2700" i="21"/>
  <c r="H2700" i="21" s="1"/>
  <c r="G2699" i="21"/>
  <c r="H2699" i="21" s="1"/>
  <c r="G2698" i="21"/>
  <c r="H2698" i="21" s="1"/>
  <c r="G2697" i="21"/>
  <c r="H2697" i="21" s="1"/>
  <c r="G2696" i="21"/>
  <c r="H2696" i="21" s="1"/>
  <c r="G2695" i="21"/>
  <c r="H2695" i="21" s="1"/>
  <c r="G2694" i="21"/>
  <c r="H2694" i="21" s="1"/>
  <c r="G2693" i="21"/>
  <c r="H2693" i="21" s="1"/>
  <c r="G2692" i="21"/>
  <c r="H2692" i="21" s="1"/>
  <c r="G2691" i="21"/>
  <c r="H2691" i="21" s="1"/>
  <c r="G2690" i="21"/>
  <c r="H2690" i="21" s="1"/>
  <c r="G2689" i="21"/>
  <c r="H2689" i="21" s="1"/>
  <c r="G2688" i="21"/>
  <c r="H2688" i="21" s="1"/>
  <c r="G2687" i="21"/>
  <c r="H2687" i="21" s="1"/>
  <c r="G2686" i="21"/>
  <c r="H2686" i="21" s="1"/>
  <c r="G2685" i="21"/>
  <c r="H2685" i="21" s="1"/>
  <c r="G2684" i="21"/>
  <c r="H2684" i="21" s="1"/>
  <c r="G2683" i="21"/>
  <c r="H2683" i="21" s="1"/>
  <c r="G2682" i="21"/>
  <c r="H2682" i="21" s="1"/>
  <c r="G2681" i="21"/>
  <c r="H2681" i="21" s="1"/>
  <c r="G2680" i="21"/>
  <c r="H2680" i="21" s="1"/>
  <c r="G2679" i="21"/>
  <c r="H2679" i="21" s="1"/>
  <c r="G2678" i="21"/>
  <c r="H2678" i="21" s="1"/>
  <c r="G2677" i="21"/>
  <c r="H2677" i="21" s="1"/>
  <c r="G2676" i="21"/>
  <c r="H2676" i="21" s="1"/>
  <c r="G2675" i="21"/>
  <c r="H2675" i="21" s="1"/>
  <c r="G2674" i="21"/>
  <c r="H2674" i="21" s="1"/>
  <c r="G2673" i="21"/>
  <c r="H2673" i="21" s="1"/>
  <c r="G2672" i="21"/>
  <c r="H2672" i="21" s="1"/>
  <c r="G2671" i="21"/>
  <c r="H2671" i="21" s="1"/>
  <c r="G2670" i="21"/>
  <c r="H2670" i="21" s="1"/>
  <c r="G2669" i="21"/>
  <c r="H2669" i="21" s="1"/>
  <c r="G2668" i="21"/>
  <c r="H2668" i="21" s="1"/>
  <c r="G2667" i="21"/>
  <c r="H2667" i="21" s="1"/>
  <c r="G2666" i="21"/>
  <c r="H2666" i="21" s="1"/>
  <c r="G2665" i="21"/>
  <c r="H2665" i="21" s="1"/>
  <c r="G2664" i="21"/>
  <c r="H2664" i="21" s="1"/>
  <c r="G2663" i="21"/>
  <c r="H2663" i="21" s="1"/>
  <c r="G2662" i="21"/>
  <c r="H2662" i="21" s="1"/>
  <c r="G2661" i="21"/>
  <c r="H2661" i="21" s="1"/>
  <c r="G2660" i="21"/>
  <c r="H2660" i="21" s="1"/>
  <c r="G2659" i="21"/>
  <c r="H2659" i="21" s="1"/>
  <c r="G2658" i="21"/>
  <c r="H2658" i="21" s="1"/>
  <c r="G2657" i="21"/>
  <c r="H2657" i="21" s="1"/>
  <c r="G2656" i="21"/>
  <c r="H2656" i="21" s="1"/>
  <c r="G2655" i="21"/>
  <c r="H2655" i="21" s="1"/>
  <c r="G2654" i="21"/>
  <c r="H2654" i="21" s="1"/>
  <c r="G2653" i="21"/>
  <c r="H2653" i="21" s="1"/>
  <c r="G2652" i="21"/>
  <c r="H2652" i="21" s="1"/>
  <c r="G2651" i="21"/>
  <c r="H2651" i="21" s="1"/>
  <c r="G2650" i="21"/>
  <c r="H2650" i="21" s="1"/>
  <c r="G2649" i="21"/>
  <c r="H2649" i="21" s="1"/>
  <c r="G2648" i="21"/>
  <c r="H2648" i="21" s="1"/>
  <c r="G2647" i="21"/>
  <c r="H2647" i="21" s="1"/>
  <c r="G2646" i="21"/>
  <c r="H2646" i="21" s="1"/>
  <c r="G2645" i="21"/>
  <c r="H2645" i="21" s="1"/>
  <c r="G2644" i="21"/>
  <c r="H2644" i="21" s="1"/>
  <c r="G2643" i="21"/>
  <c r="H2643" i="21" s="1"/>
  <c r="G2642" i="21"/>
  <c r="H2642" i="21" s="1"/>
  <c r="G2641" i="21"/>
  <c r="H2641" i="21" s="1"/>
  <c r="G2640" i="21"/>
  <c r="H2640" i="21" s="1"/>
  <c r="G2639" i="21"/>
  <c r="H2639" i="21" s="1"/>
  <c r="G2638" i="21"/>
  <c r="H2638" i="21" s="1"/>
  <c r="G2637" i="21"/>
  <c r="H2637" i="21" s="1"/>
  <c r="G2636" i="21"/>
  <c r="H2636" i="21" s="1"/>
  <c r="G2635" i="21"/>
  <c r="H2635" i="21" s="1"/>
  <c r="G2634" i="21"/>
  <c r="H2634" i="21" s="1"/>
  <c r="G2633" i="21"/>
  <c r="H2633" i="21" s="1"/>
  <c r="G2632" i="21"/>
  <c r="H2632" i="21" s="1"/>
  <c r="G2631" i="21"/>
  <c r="H2631" i="21" s="1"/>
  <c r="G2630" i="21"/>
  <c r="H2630" i="21" s="1"/>
  <c r="G2629" i="21"/>
  <c r="H2629" i="21" s="1"/>
  <c r="G2628" i="21"/>
  <c r="H2628" i="21" s="1"/>
  <c r="G2627" i="21"/>
  <c r="H2627" i="21" s="1"/>
  <c r="G2626" i="21"/>
  <c r="H2626" i="21" s="1"/>
  <c r="G2625" i="21"/>
  <c r="H2625" i="21" s="1"/>
  <c r="G2624" i="21"/>
  <c r="H2624" i="21" s="1"/>
  <c r="G2623" i="21"/>
  <c r="H2623" i="21" s="1"/>
  <c r="G2622" i="21"/>
  <c r="H2622" i="21" s="1"/>
  <c r="G2621" i="21"/>
  <c r="H2621" i="21" s="1"/>
  <c r="G2620" i="21"/>
  <c r="H2620" i="21" s="1"/>
  <c r="G2619" i="21"/>
  <c r="H2619" i="21" s="1"/>
  <c r="G2618" i="21"/>
  <c r="H2618" i="21" s="1"/>
  <c r="G2617" i="21"/>
  <c r="H2617" i="21" s="1"/>
  <c r="G2616" i="21"/>
  <c r="H2616" i="21" s="1"/>
  <c r="G2615" i="21"/>
  <c r="H2615" i="21" s="1"/>
  <c r="G2614" i="21"/>
  <c r="H2614" i="21" s="1"/>
  <c r="G2613" i="21"/>
  <c r="H2613" i="21" s="1"/>
  <c r="G2612" i="21"/>
  <c r="H2612" i="21" s="1"/>
  <c r="G2611" i="21"/>
  <c r="H2611" i="21" s="1"/>
  <c r="G2610" i="21"/>
  <c r="H2610" i="21" s="1"/>
  <c r="G2609" i="21"/>
  <c r="H2609" i="21" s="1"/>
  <c r="G2608" i="21"/>
  <c r="H2608" i="21" s="1"/>
  <c r="G2607" i="21"/>
  <c r="H2607" i="21" s="1"/>
  <c r="G2606" i="21"/>
  <c r="H2606" i="21" s="1"/>
  <c r="G2605" i="21"/>
  <c r="H2605" i="21" s="1"/>
  <c r="G2604" i="21"/>
  <c r="H2604" i="21" s="1"/>
  <c r="G2603" i="21"/>
  <c r="H2603" i="21" s="1"/>
  <c r="G2602" i="21"/>
  <c r="H2602" i="21" s="1"/>
  <c r="G2601" i="21"/>
  <c r="H2601" i="21" s="1"/>
  <c r="G2600" i="21"/>
  <c r="H2600" i="21" s="1"/>
  <c r="G2599" i="21"/>
  <c r="H2599" i="21" s="1"/>
  <c r="G2598" i="21"/>
  <c r="H2598" i="21" s="1"/>
  <c r="G2597" i="21"/>
  <c r="H2597" i="21" s="1"/>
  <c r="G2596" i="21"/>
  <c r="H2596" i="21" s="1"/>
  <c r="G2595" i="21"/>
  <c r="H2595" i="21" s="1"/>
  <c r="G2594" i="21"/>
  <c r="H2594" i="21" s="1"/>
  <c r="G2593" i="21"/>
  <c r="H2593" i="21" s="1"/>
  <c r="G2592" i="21"/>
  <c r="H2592" i="21" s="1"/>
  <c r="G2591" i="21"/>
  <c r="H2591" i="21" s="1"/>
  <c r="G2590" i="21"/>
  <c r="H2590" i="21" s="1"/>
  <c r="G2589" i="21"/>
  <c r="H2589" i="21" s="1"/>
  <c r="G2588" i="21"/>
  <c r="H2588" i="21" s="1"/>
  <c r="G2587" i="21"/>
  <c r="H2587" i="21" s="1"/>
  <c r="G2586" i="21"/>
  <c r="H2586" i="21" s="1"/>
  <c r="G2585" i="21"/>
  <c r="H2585" i="21" s="1"/>
  <c r="G2584" i="21"/>
  <c r="H2584" i="21" s="1"/>
  <c r="G2583" i="21"/>
  <c r="H2583" i="21" s="1"/>
  <c r="G2582" i="21"/>
  <c r="H2582" i="21" s="1"/>
  <c r="G2581" i="21"/>
  <c r="H2581" i="21" s="1"/>
  <c r="G2580" i="21"/>
  <c r="H2580" i="21" s="1"/>
  <c r="G2579" i="21"/>
  <c r="H2579" i="21" s="1"/>
  <c r="G2578" i="21"/>
  <c r="H2578" i="21" s="1"/>
  <c r="G2577" i="21"/>
  <c r="H2577" i="21" s="1"/>
  <c r="G2576" i="21"/>
  <c r="H2576" i="21" s="1"/>
  <c r="G2575" i="21"/>
  <c r="H2575" i="21" s="1"/>
  <c r="G2574" i="21"/>
  <c r="H2574" i="21" s="1"/>
  <c r="G2573" i="21"/>
  <c r="H2573" i="21" s="1"/>
  <c r="G2572" i="21"/>
  <c r="H2572" i="21" s="1"/>
  <c r="G2571" i="21"/>
  <c r="H2571" i="21" s="1"/>
  <c r="G2570" i="21"/>
  <c r="H2570" i="21" s="1"/>
  <c r="G2569" i="21"/>
  <c r="H2569" i="21" s="1"/>
  <c r="G2568" i="21"/>
  <c r="H2568" i="21" s="1"/>
  <c r="G2567" i="21"/>
  <c r="H2567" i="21" s="1"/>
  <c r="G2566" i="21"/>
  <c r="H2566" i="21" s="1"/>
  <c r="G2565" i="21"/>
  <c r="H2565" i="21" s="1"/>
  <c r="G2564" i="21"/>
  <c r="H2564" i="21" s="1"/>
  <c r="G2563" i="21"/>
  <c r="H2563" i="21" s="1"/>
  <c r="G2562" i="21"/>
  <c r="H2562" i="21" s="1"/>
  <c r="G2561" i="21"/>
  <c r="H2561" i="21" s="1"/>
  <c r="G2560" i="21"/>
  <c r="H2560" i="21" s="1"/>
  <c r="G2559" i="21"/>
  <c r="H2559" i="21" s="1"/>
  <c r="G2558" i="21"/>
  <c r="H2558" i="21" s="1"/>
  <c r="G2557" i="21"/>
  <c r="H2557" i="21" s="1"/>
  <c r="G2556" i="21"/>
  <c r="H2556" i="21" s="1"/>
  <c r="G2555" i="21"/>
  <c r="H2555" i="21" s="1"/>
  <c r="G2554" i="21"/>
  <c r="H2554" i="21" s="1"/>
  <c r="G2553" i="21"/>
  <c r="H2553" i="21" s="1"/>
  <c r="G2552" i="21"/>
  <c r="H2552" i="21" s="1"/>
  <c r="G2551" i="21"/>
  <c r="H2551" i="21" s="1"/>
  <c r="G2550" i="21"/>
  <c r="H2550" i="21" s="1"/>
  <c r="G2549" i="21"/>
  <c r="H2549" i="21" s="1"/>
  <c r="G2548" i="21"/>
  <c r="H2548" i="21" s="1"/>
  <c r="G2547" i="21"/>
  <c r="H2547" i="21" s="1"/>
  <c r="G2546" i="21"/>
  <c r="H2546" i="21" s="1"/>
  <c r="G2545" i="21"/>
  <c r="H2545" i="21" s="1"/>
  <c r="G2544" i="21"/>
  <c r="H2544" i="21" s="1"/>
  <c r="G2543" i="21"/>
  <c r="H2543" i="21" s="1"/>
  <c r="G2542" i="21"/>
  <c r="H2542" i="21" s="1"/>
  <c r="G2541" i="21"/>
  <c r="H2541" i="21" s="1"/>
  <c r="G2540" i="21"/>
  <c r="H2540" i="21" s="1"/>
  <c r="G2539" i="21"/>
  <c r="H2539" i="21" s="1"/>
  <c r="G2538" i="21"/>
  <c r="H2538" i="21" s="1"/>
  <c r="G2537" i="21"/>
  <c r="H2537" i="21" s="1"/>
  <c r="G2536" i="21"/>
  <c r="H2536" i="21" s="1"/>
  <c r="G2535" i="21"/>
  <c r="H2535" i="21" s="1"/>
  <c r="G2534" i="21"/>
  <c r="H2534" i="21" s="1"/>
  <c r="G2533" i="21"/>
  <c r="H2533" i="21" s="1"/>
  <c r="G2532" i="21"/>
  <c r="H2532" i="21" s="1"/>
  <c r="G2531" i="21"/>
  <c r="H2531" i="21" s="1"/>
  <c r="G2530" i="21"/>
  <c r="H2530" i="21" s="1"/>
  <c r="G2529" i="21"/>
  <c r="H2529" i="21" s="1"/>
  <c r="G2528" i="21"/>
  <c r="H2528" i="21" s="1"/>
  <c r="G2527" i="21"/>
  <c r="H2527" i="21" s="1"/>
  <c r="G2526" i="21"/>
  <c r="H2526" i="21" s="1"/>
  <c r="G2525" i="21"/>
  <c r="H2525" i="21" s="1"/>
  <c r="G2524" i="21"/>
  <c r="H2524" i="21" s="1"/>
  <c r="G2523" i="21"/>
  <c r="H2523" i="21" s="1"/>
  <c r="G2522" i="21"/>
  <c r="H2522" i="21" s="1"/>
  <c r="G2521" i="21"/>
  <c r="H2521" i="21" s="1"/>
  <c r="G2520" i="21"/>
  <c r="H2520" i="21" s="1"/>
  <c r="G2519" i="21"/>
  <c r="H2519" i="21" s="1"/>
  <c r="G2518" i="21"/>
  <c r="H2518" i="21" s="1"/>
  <c r="G2517" i="21"/>
  <c r="H2517" i="21" s="1"/>
  <c r="G2516" i="21"/>
  <c r="H2516" i="21" s="1"/>
  <c r="G2515" i="21"/>
  <c r="H2515" i="21" s="1"/>
  <c r="G2514" i="21"/>
  <c r="H2514" i="21" s="1"/>
  <c r="G2513" i="21"/>
  <c r="H2513" i="21" s="1"/>
  <c r="G2512" i="21"/>
  <c r="H2512" i="21" s="1"/>
  <c r="G2511" i="21"/>
  <c r="H2511" i="21" s="1"/>
  <c r="G2510" i="21"/>
  <c r="H2510" i="21" s="1"/>
  <c r="G2509" i="21"/>
  <c r="H2509" i="21" s="1"/>
  <c r="G2508" i="21"/>
  <c r="H2508" i="21" s="1"/>
  <c r="G2507" i="21"/>
  <c r="H2507" i="21" s="1"/>
  <c r="G2506" i="21"/>
  <c r="H2506" i="21" s="1"/>
  <c r="G2505" i="21"/>
  <c r="H2505" i="21" s="1"/>
  <c r="G2504" i="21"/>
  <c r="H2504" i="21" s="1"/>
  <c r="G2503" i="21"/>
  <c r="H2503" i="21" s="1"/>
  <c r="G2502" i="21"/>
  <c r="H2502" i="21" s="1"/>
  <c r="G2501" i="21"/>
  <c r="H2501" i="21" s="1"/>
  <c r="G2500" i="21"/>
  <c r="H2500" i="21" s="1"/>
  <c r="G2499" i="21"/>
  <c r="H2499" i="21" s="1"/>
  <c r="G2498" i="21"/>
  <c r="H2498" i="21" s="1"/>
  <c r="G2497" i="21"/>
  <c r="H2497" i="21" s="1"/>
  <c r="G2496" i="21"/>
  <c r="H2496" i="21" s="1"/>
  <c r="G2495" i="21"/>
  <c r="H2495" i="21" s="1"/>
  <c r="G2494" i="21"/>
  <c r="H2494" i="21" s="1"/>
  <c r="G2493" i="21"/>
  <c r="H2493" i="21" s="1"/>
  <c r="G2492" i="21"/>
  <c r="H2492" i="21" s="1"/>
  <c r="G2491" i="21"/>
  <c r="H2491" i="21" s="1"/>
  <c r="G2490" i="21"/>
  <c r="H2490" i="21" s="1"/>
  <c r="G2489" i="21"/>
  <c r="H2489" i="21" s="1"/>
  <c r="G2488" i="21"/>
  <c r="H2488" i="21" s="1"/>
  <c r="G2487" i="21"/>
  <c r="H2487" i="21" s="1"/>
  <c r="G2486" i="21"/>
  <c r="H2486" i="21" s="1"/>
  <c r="G2485" i="21"/>
  <c r="H2485" i="21" s="1"/>
  <c r="G2484" i="21"/>
  <c r="H2484" i="21" s="1"/>
  <c r="G2483" i="21"/>
  <c r="H2483" i="21" s="1"/>
  <c r="G2482" i="21"/>
  <c r="H2482" i="21" s="1"/>
  <c r="G2481" i="21"/>
  <c r="H2481" i="21" s="1"/>
  <c r="G2480" i="21"/>
  <c r="H2480" i="21" s="1"/>
  <c r="G2479" i="21"/>
  <c r="H2479" i="21" s="1"/>
  <c r="G2478" i="21"/>
  <c r="H2478" i="21" s="1"/>
  <c r="G2477" i="21"/>
  <c r="H2477" i="21" s="1"/>
  <c r="G2476" i="21"/>
  <c r="H2476" i="21" s="1"/>
  <c r="G2475" i="21"/>
  <c r="H2475" i="21" s="1"/>
  <c r="G2474" i="21"/>
  <c r="H2474" i="21" s="1"/>
  <c r="G2473" i="21"/>
  <c r="H2473" i="21" s="1"/>
  <c r="G2472" i="21"/>
  <c r="H2472" i="21" s="1"/>
  <c r="G2471" i="21"/>
  <c r="H2471" i="21" s="1"/>
  <c r="G2470" i="21"/>
  <c r="H2470" i="21" s="1"/>
  <c r="G2469" i="21"/>
  <c r="H2469" i="21" s="1"/>
  <c r="G2468" i="21"/>
  <c r="H2468" i="21" s="1"/>
  <c r="G2467" i="21"/>
  <c r="H2467" i="21" s="1"/>
  <c r="G2466" i="21"/>
  <c r="H2466" i="21" s="1"/>
  <c r="G2465" i="21"/>
  <c r="H2465" i="21" s="1"/>
  <c r="G2464" i="21"/>
  <c r="H2464" i="21" s="1"/>
  <c r="G2463" i="21"/>
  <c r="H2463" i="21" s="1"/>
  <c r="G2462" i="21"/>
  <c r="H2462" i="21" s="1"/>
  <c r="G2461" i="21"/>
  <c r="H2461" i="21" s="1"/>
  <c r="G2460" i="21"/>
  <c r="H2460" i="21" s="1"/>
  <c r="G2459" i="21"/>
  <c r="H2459" i="21" s="1"/>
  <c r="G2458" i="21"/>
  <c r="H2458" i="21" s="1"/>
  <c r="G2457" i="21"/>
  <c r="H2457" i="21" s="1"/>
  <c r="G2456" i="21"/>
  <c r="H2456" i="21" s="1"/>
  <c r="G2455" i="21"/>
  <c r="H2455" i="21" s="1"/>
  <c r="G2454" i="21"/>
  <c r="H2454" i="21" s="1"/>
  <c r="G2453" i="21"/>
  <c r="H2453" i="21" s="1"/>
  <c r="G2452" i="21"/>
  <c r="H2452" i="21" s="1"/>
  <c r="G2451" i="21"/>
  <c r="H2451" i="21" s="1"/>
  <c r="G2450" i="21"/>
  <c r="H2450" i="21" s="1"/>
  <c r="G2449" i="21"/>
  <c r="H2449" i="21" s="1"/>
  <c r="G2448" i="21"/>
  <c r="H2448" i="21" s="1"/>
  <c r="G2447" i="21"/>
  <c r="H2447" i="21" s="1"/>
  <c r="G2446" i="21"/>
  <c r="H2446" i="21" s="1"/>
  <c r="G2445" i="21"/>
  <c r="H2445" i="21" s="1"/>
  <c r="G2444" i="21"/>
  <c r="H2444" i="21" s="1"/>
  <c r="G2443" i="21"/>
  <c r="H2443" i="21" s="1"/>
  <c r="G2442" i="21"/>
  <c r="H2442" i="21" s="1"/>
  <c r="G2441" i="21"/>
  <c r="H2441" i="21" s="1"/>
  <c r="G2440" i="21"/>
  <c r="H2440" i="21" s="1"/>
  <c r="G2439" i="21"/>
  <c r="H2439" i="21" s="1"/>
  <c r="G2438" i="21"/>
  <c r="H2438" i="21" s="1"/>
  <c r="G2437" i="21"/>
  <c r="H2437" i="21" s="1"/>
  <c r="G2436" i="21"/>
  <c r="H2436" i="21" s="1"/>
  <c r="G2435" i="21"/>
  <c r="H2435" i="21" s="1"/>
  <c r="G2434" i="21"/>
  <c r="H2434" i="21" s="1"/>
  <c r="G2433" i="21"/>
  <c r="H2433" i="21" s="1"/>
  <c r="G2432" i="21"/>
  <c r="H2432" i="21" s="1"/>
  <c r="G2431" i="21"/>
  <c r="H2431" i="21" s="1"/>
  <c r="G2430" i="21"/>
  <c r="H2430" i="21" s="1"/>
  <c r="G2429" i="21"/>
  <c r="H2429" i="21" s="1"/>
  <c r="G2428" i="21"/>
  <c r="H2428" i="21" s="1"/>
  <c r="G2427" i="21"/>
  <c r="H2427" i="21" s="1"/>
  <c r="G2426" i="21"/>
  <c r="H2426" i="21" s="1"/>
  <c r="G2425" i="21"/>
  <c r="H2425" i="21" s="1"/>
  <c r="G2424" i="21"/>
  <c r="H2424" i="21" s="1"/>
  <c r="G2423" i="21"/>
  <c r="H2423" i="21" s="1"/>
  <c r="H2422" i="21"/>
  <c r="G2422" i="21"/>
  <c r="H2421" i="21"/>
  <c r="G2421" i="21"/>
  <c r="G2420" i="21"/>
  <c r="H2420" i="21" s="1"/>
  <c r="G2419" i="21"/>
  <c r="H2419" i="21" s="1"/>
  <c r="G2418" i="21"/>
  <c r="H2418" i="21" s="1"/>
  <c r="G2417" i="21"/>
  <c r="H2417" i="21" s="1"/>
  <c r="G2416" i="21"/>
  <c r="H2416" i="21" s="1"/>
  <c r="G2415" i="21"/>
  <c r="H2415" i="21" s="1"/>
  <c r="G2414" i="21"/>
  <c r="H2414" i="21" s="1"/>
  <c r="G2413" i="21"/>
  <c r="H2413" i="21" s="1"/>
  <c r="G2412" i="21"/>
  <c r="H2412" i="21" s="1"/>
  <c r="G2411" i="21"/>
  <c r="H2411" i="21" s="1"/>
  <c r="G2410" i="21"/>
  <c r="H2410" i="21" s="1"/>
  <c r="G2409" i="21"/>
  <c r="H2409" i="21" s="1"/>
  <c r="G2408" i="21"/>
  <c r="H2408" i="21" s="1"/>
  <c r="G2407" i="21"/>
  <c r="H2407" i="21" s="1"/>
  <c r="G2406" i="21"/>
  <c r="H2406" i="21" s="1"/>
  <c r="G2405" i="21"/>
  <c r="H2405" i="21" s="1"/>
  <c r="G2404" i="21"/>
  <c r="H2404" i="21" s="1"/>
  <c r="G2403" i="21"/>
  <c r="H2403" i="21" s="1"/>
  <c r="H2402" i="21"/>
  <c r="G2402" i="21"/>
  <c r="G2401" i="21"/>
  <c r="H2401" i="21" s="1"/>
  <c r="G2400" i="21"/>
  <c r="H2400" i="21" s="1"/>
  <c r="G2399" i="21"/>
  <c r="H2399" i="21" s="1"/>
  <c r="G2398" i="21"/>
  <c r="H2398" i="21" s="1"/>
  <c r="H2397" i="21"/>
  <c r="G2397" i="21"/>
  <c r="G2396" i="21"/>
  <c r="H2396" i="21" s="1"/>
  <c r="G2395" i="21"/>
  <c r="H2395" i="21" s="1"/>
  <c r="H2394" i="21"/>
  <c r="G2394" i="21"/>
  <c r="G2393" i="21"/>
  <c r="H2393" i="21" s="1"/>
  <c r="G2392" i="21"/>
  <c r="H2392" i="21" s="1"/>
  <c r="G2391" i="21"/>
  <c r="H2391" i="21" s="1"/>
  <c r="G2390" i="21"/>
  <c r="H2390" i="21" s="1"/>
  <c r="G2389" i="21"/>
  <c r="H2389" i="21" s="1"/>
  <c r="G2388" i="21"/>
  <c r="H2388" i="21" s="1"/>
  <c r="G2387" i="21"/>
  <c r="H2387" i="21" s="1"/>
  <c r="G2386" i="21"/>
  <c r="H2386" i="21" s="1"/>
  <c r="G2385" i="21"/>
  <c r="H2385" i="21" s="1"/>
  <c r="G2384" i="21"/>
  <c r="H2384" i="21" s="1"/>
  <c r="G2383" i="21"/>
  <c r="H2383" i="21" s="1"/>
  <c r="G2382" i="21"/>
  <c r="H2382" i="21" s="1"/>
  <c r="G2381" i="21"/>
  <c r="H2381" i="21" s="1"/>
  <c r="G2380" i="21"/>
  <c r="H2380" i="21" s="1"/>
  <c r="G2379" i="21"/>
  <c r="H2379" i="21" s="1"/>
  <c r="G2378" i="21"/>
  <c r="H2378" i="21" s="1"/>
  <c r="G2377" i="21"/>
  <c r="H2377" i="21" s="1"/>
  <c r="G2376" i="21"/>
  <c r="H2376" i="21" s="1"/>
  <c r="G2375" i="21"/>
  <c r="H2375" i="21" s="1"/>
  <c r="G2374" i="21"/>
  <c r="H2374" i="21" s="1"/>
  <c r="G2373" i="21"/>
  <c r="H2373" i="21" s="1"/>
  <c r="G2372" i="21"/>
  <c r="H2372" i="21" s="1"/>
  <c r="G2371" i="21"/>
  <c r="H2371" i="21" s="1"/>
  <c r="G2370" i="21"/>
  <c r="H2370" i="21" s="1"/>
  <c r="G2369" i="21"/>
  <c r="H2369" i="21" s="1"/>
  <c r="G2368" i="21"/>
  <c r="H2368" i="21" s="1"/>
  <c r="G2367" i="21"/>
  <c r="H2367" i="21" s="1"/>
  <c r="G2366" i="21"/>
  <c r="H2366" i="21" s="1"/>
  <c r="G2365" i="21"/>
  <c r="H2365" i="21" s="1"/>
  <c r="G2364" i="21"/>
  <c r="H2364" i="21" s="1"/>
  <c r="G2363" i="21"/>
  <c r="H2363" i="21" s="1"/>
  <c r="G2362" i="21"/>
  <c r="H2362" i="21" s="1"/>
  <c r="G2361" i="21"/>
  <c r="H2361" i="21" s="1"/>
  <c r="G2360" i="21"/>
  <c r="H2360" i="21" s="1"/>
  <c r="G2359" i="21"/>
  <c r="H2359" i="21" s="1"/>
  <c r="G2358" i="21"/>
  <c r="H2358" i="21" s="1"/>
  <c r="G2357" i="21"/>
  <c r="H2357" i="21" s="1"/>
  <c r="G2356" i="21"/>
  <c r="H2356" i="21" s="1"/>
  <c r="G2355" i="21"/>
  <c r="H2355" i="21" s="1"/>
  <c r="G2354" i="21"/>
  <c r="H2354" i="21" s="1"/>
  <c r="G2353" i="21"/>
  <c r="H2353" i="21" s="1"/>
  <c r="G2352" i="21"/>
  <c r="H2352" i="21" s="1"/>
  <c r="G2351" i="21"/>
  <c r="H2351" i="21" s="1"/>
  <c r="G2350" i="21"/>
  <c r="H2350" i="21" s="1"/>
  <c r="G2349" i="21"/>
  <c r="H2349" i="21" s="1"/>
  <c r="G2348" i="21"/>
  <c r="H2348" i="21" s="1"/>
  <c r="G2347" i="21"/>
  <c r="H2347" i="21" s="1"/>
  <c r="G2346" i="21"/>
  <c r="H2346" i="21" s="1"/>
  <c r="G2345" i="21"/>
  <c r="H2345" i="21" s="1"/>
  <c r="G2344" i="21"/>
  <c r="H2344" i="21" s="1"/>
  <c r="G2343" i="21"/>
  <c r="H2343" i="21" s="1"/>
  <c r="G2342" i="21"/>
  <c r="H2342" i="21" s="1"/>
  <c r="G2341" i="21"/>
  <c r="H2341" i="21" s="1"/>
  <c r="G2340" i="21"/>
  <c r="H2340" i="21" s="1"/>
  <c r="G2339" i="21"/>
  <c r="H2339" i="21" s="1"/>
  <c r="G2338" i="21"/>
  <c r="H2338" i="21" s="1"/>
  <c r="G2337" i="21"/>
  <c r="H2337" i="21" s="1"/>
  <c r="G2336" i="21"/>
  <c r="H2336" i="21" s="1"/>
  <c r="G2335" i="21"/>
  <c r="H2335" i="21" s="1"/>
  <c r="G2334" i="21"/>
  <c r="H2334" i="21" s="1"/>
  <c r="H2333" i="21"/>
  <c r="G2333" i="21"/>
  <c r="G2332" i="21"/>
  <c r="H2332" i="21" s="1"/>
  <c r="G2331" i="21"/>
  <c r="H2331" i="21" s="1"/>
  <c r="G2330" i="21"/>
  <c r="H2330" i="21" s="1"/>
  <c r="G2329" i="21"/>
  <c r="H2329" i="21" s="1"/>
  <c r="G2328" i="21"/>
  <c r="H2328" i="21" s="1"/>
  <c r="G2327" i="21"/>
  <c r="H2327" i="21" s="1"/>
  <c r="G2326" i="21"/>
  <c r="H2326" i="21" s="1"/>
  <c r="G2325" i="21"/>
  <c r="H2325" i="21" s="1"/>
  <c r="G2324" i="21"/>
  <c r="H2324" i="21" s="1"/>
  <c r="G2323" i="21"/>
  <c r="H2323" i="21" s="1"/>
  <c r="G2322" i="21"/>
  <c r="H2322" i="21" s="1"/>
  <c r="G2321" i="21"/>
  <c r="H2321" i="21" s="1"/>
  <c r="G2320" i="21"/>
  <c r="H2320" i="21" s="1"/>
  <c r="G2319" i="21"/>
  <c r="H2319" i="21" s="1"/>
  <c r="G2318" i="21"/>
  <c r="H2318" i="21" s="1"/>
  <c r="G2317" i="21"/>
  <c r="H2317" i="21" s="1"/>
  <c r="G2316" i="21"/>
  <c r="H2316" i="21" s="1"/>
  <c r="G2315" i="21"/>
  <c r="H2315" i="21" s="1"/>
  <c r="G2314" i="21"/>
  <c r="H2314" i="21" s="1"/>
  <c r="G2313" i="21"/>
  <c r="H2313" i="21" s="1"/>
  <c r="G2312" i="21"/>
  <c r="H2312" i="21" s="1"/>
  <c r="G2311" i="21"/>
  <c r="H2311" i="21" s="1"/>
  <c r="G2310" i="21"/>
  <c r="H2310" i="21" s="1"/>
  <c r="G2309" i="21"/>
  <c r="H2309" i="21" s="1"/>
  <c r="G2308" i="21"/>
  <c r="H2308" i="21" s="1"/>
  <c r="G2307" i="21"/>
  <c r="H2307" i="21" s="1"/>
  <c r="G2306" i="21"/>
  <c r="H2306" i="21" s="1"/>
  <c r="G2305" i="21"/>
  <c r="H2305" i="21" s="1"/>
  <c r="G2304" i="21"/>
  <c r="H2304" i="21" s="1"/>
  <c r="G2303" i="21"/>
  <c r="H2303" i="21" s="1"/>
  <c r="G2302" i="21"/>
  <c r="H2302" i="21" s="1"/>
  <c r="G2301" i="21"/>
  <c r="H2301" i="21" s="1"/>
  <c r="G2300" i="21"/>
  <c r="H2300" i="21" s="1"/>
  <c r="G2299" i="21"/>
  <c r="H2299" i="21" s="1"/>
  <c r="G2298" i="21"/>
  <c r="H2298" i="21" s="1"/>
  <c r="G2297" i="21"/>
  <c r="H2297" i="21" s="1"/>
  <c r="G2296" i="21"/>
  <c r="H2296" i="21" s="1"/>
  <c r="G2295" i="21"/>
  <c r="H2295" i="21" s="1"/>
  <c r="G2294" i="21"/>
  <c r="H2294" i="21" s="1"/>
  <c r="G2293" i="21"/>
  <c r="H2293" i="21" s="1"/>
  <c r="G2292" i="21"/>
  <c r="H2292" i="21" s="1"/>
  <c r="G2291" i="21"/>
  <c r="H2291" i="21" s="1"/>
  <c r="G2290" i="21"/>
  <c r="H2290" i="21" s="1"/>
  <c r="G2289" i="21"/>
  <c r="H2289" i="21" s="1"/>
  <c r="G2288" i="21"/>
  <c r="H2288" i="21" s="1"/>
  <c r="G2287" i="21"/>
  <c r="H2287" i="21" s="1"/>
  <c r="H2286" i="21"/>
  <c r="G2286" i="21"/>
  <c r="G2285" i="21"/>
  <c r="H2285" i="21" s="1"/>
  <c r="G2284" i="21"/>
  <c r="H2284" i="21" s="1"/>
  <c r="H2283" i="21"/>
  <c r="G2283" i="21"/>
  <c r="G2282" i="21"/>
  <c r="H2282" i="21" s="1"/>
  <c r="G2281" i="21"/>
  <c r="H2281" i="21" s="1"/>
  <c r="G2280" i="21"/>
  <c r="H2280" i="21" s="1"/>
  <c r="G2279" i="21"/>
  <c r="H2279" i="21" s="1"/>
  <c r="G2278" i="21"/>
  <c r="H2278" i="21" s="1"/>
  <c r="G2277" i="21"/>
  <c r="H2277" i="21" s="1"/>
  <c r="G2276" i="21"/>
  <c r="H2276" i="21" s="1"/>
  <c r="G2275" i="21"/>
  <c r="H2275" i="21" s="1"/>
  <c r="G2274" i="21"/>
  <c r="H2274" i="21" s="1"/>
  <c r="G2273" i="21"/>
  <c r="H2273" i="21" s="1"/>
  <c r="G2272" i="21"/>
  <c r="H2272" i="21" s="1"/>
  <c r="H2271" i="21"/>
  <c r="G2271" i="21"/>
  <c r="H2270" i="21"/>
  <c r="G2270" i="21"/>
  <c r="G2269" i="21"/>
  <c r="H2269" i="21" s="1"/>
  <c r="G2268" i="21"/>
  <c r="H2268" i="21" s="1"/>
  <c r="G2267" i="21"/>
  <c r="H2267" i="21" s="1"/>
  <c r="G2266" i="21"/>
  <c r="H2266" i="21" s="1"/>
  <c r="G2265" i="21"/>
  <c r="H2265" i="21" s="1"/>
  <c r="H2264" i="21"/>
  <c r="G2264" i="21"/>
  <c r="G2263" i="21"/>
  <c r="H2263" i="21" s="1"/>
  <c r="G2262" i="21"/>
  <c r="H2262" i="21" s="1"/>
  <c r="G2261" i="21"/>
  <c r="H2261" i="21" s="1"/>
  <c r="G2260" i="21"/>
  <c r="H2260" i="21" s="1"/>
  <c r="G2259" i="21"/>
  <c r="H2259" i="21" s="1"/>
  <c r="G2258" i="21"/>
  <c r="H2258" i="21" s="1"/>
  <c r="G2257" i="21"/>
  <c r="H2257" i="21" s="1"/>
  <c r="G2256" i="21"/>
  <c r="H2256" i="21" s="1"/>
  <c r="G2255" i="21"/>
  <c r="H2255" i="21" s="1"/>
  <c r="G2254" i="21"/>
  <c r="H2254" i="21" s="1"/>
  <c r="G2253" i="21"/>
  <c r="H2253" i="21" s="1"/>
  <c r="G2252" i="21"/>
  <c r="H2252" i="21" s="1"/>
  <c r="G2251" i="21"/>
  <c r="H2251" i="21" s="1"/>
  <c r="G2250" i="21"/>
  <c r="H2250" i="21" s="1"/>
  <c r="G2249" i="21"/>
  <c r="H2249" i="21" s="1"/>
  <c r="G2248" i="21"/>
  <c r="H2248" i="21" s="1"/>
  <c r="G2247" i="21"/>
  <c r="H2247" i="21" s="1"/>
  <c r="G2246" i="21"/>
  <c r="H2246" i="21" s="1"/>
  <c r="G2245" i="21"/>
  <c r="H2245" i="21" s="1"/>
  <c r="G2244" i="21"/>
  <c r="H2244" i="21" s="1"/>
  <c r="G2243" i="21"/>
  <c r="H2243" i="21" s="1"/>
  <c r="G2242" i="21"/>
  <c r="H2242" i="21" s="1"/>
  <c r="G2241" i="21"/>
  <c r="H2241" i="21" s="1"/>
  <c r="G2240" i="21"/>
  <c r="H2240" i="21" s="1"/>
  <c r="G2239" i="21"/>
  <c r="H2239" i="21" s="1"/>
  <c r="G2238" i="21"/>
  <c r="H2238" i="21" s="1"/>
  <c r="G2237" i="21"/>
  <c r="H2237" i="21" s="1"/>
  <c r="G2236" i="21"/>
  <c r="H2236" i="21" s="1"/>
  <c r="G2235" i="21"/>
  <c r="H2235" i="21" s="1"/>
  <c r="G2234" i="21"/>
  <c r="H2234" i="21" s="1"/>
  <c r="G2233" i="21"/>
  <c r="H2233" i="21" s="1"/>
  <c r="G2232" i="21"/>
  <c r="H2232" i="21" s="1"/>
  <c r="G2231" i="21"/>
  <c r="H2231" i="21" s="1"/>
  <c r="G2230" i="21"/>
  <c r="H2230" i="21" s="1"/>
  <c r="G2229" i="21"/>
  <c r="H2229" i="21" s="1"/>
  <c r="G2228" i="21"/>
  <c r="H2228" i="21" s="1"/>
  <c r="G2227" i="21"/>
  <c r="H2227" i="21" s="1"/>
  <c r="H2226" i="21"/>
  <c r="G2226" i="21"/>
  <c r="G2225" i="21"/>
  <c r="H2225" i="21" s="1"/>
  <c r="G2224" i="21"/>
  <c r="H2224" i="21" s="1"/>
  <c r="G2223" i="21"/>
  <c r="H2223" i="21" s="1"/>
  <c r="G2222" i="21"/>
  <c r="H2222" i="21" s="1"/>
  <c r="G2221" i="21"/>
  <c r="H2221" i="21" s="1"/>
  <c r="G2220" i="21"/>
  <c r="H2220" i="21" s="1"/>
  <c r="G2219" i="21"/>
  <c r="H2219" i="21" s="1"/>
  <c r="G2218" i="21"/>
  <c r="H2218" i="21" s="1"/>
  <c r="G2217" i="21"/>
  <c r="H2217" i="21" s="1"/>
  <c r="G2216" i="21"/>
  <c r="H2216" i="21" s="1"/>
  <c r="G2215" i="21"/>
  <c r="H2215" i="21" s="1"/>
  <c r="G2214" i="21"/>
  <c r="H2214" i="21" s="1"/>
  <c r="G2213" i="21"/>
  <c r="H2213" i="21" s="1"/>
  <c r="G2212" i="21"/>
  <c r="H2212" i="21" s="1"/>
  <c r="G2211" i="21"/>
  <c r="H2211" i="21" s="1"/>
  <c r="G2210" i="21"/>
  <c r="H2210" i="21" s="1"/>
  <c r="G2209" i="21"/>
  <c r="H2209" i="21" s="1"/>
  <c r="G2208" i="21"/>
  <c r="H2208" i="21" s="1"/>
  <c r="G2207" i="21"/>
  <c r="H2207" i="21" s="1"/>
  <c r="G2206" i="21"/>
  <c r="H2206" i="21" s="1"/>
  <c r="G2205" i="21"/>
  <c r="H2205" i="21" s="1"/>
  <c r="G2204" i="21"/>
  <c r="H2204" i="21" s="1"/>
  <c r="G2203" i="21"/>
  <c r="H2203" i="21" s="1"/>
  <c r="G2202" i="21"/>
  <c r="H2202" i="21" s="1"/>
  <c r="G2201" i="21"/>
  <c r="H2201" i="21" s="1"/>
  <c r="G2200" i="21"/>
  <c r="H2200" i="21" s="1"/>
  <c r="G2199" i="21"/>
  <c r="H2199" i="21" s="1"/>
  <c r="G2198" i="21"/>
  <c r="H2198" i="21" s="1"/>
  <c r="G2197" i="21"/>
  <c r="H2197" i="21" s="1"/>
  <c r="G2196" i="21"/>
  <c r="H2196" i="21" s="1"/>
  <c r="G2195" i="21"/>
  <c r="H2195" i="21" s="1"/>
  <c r="G2194" i="21"/>
  <c r="H2194" i="21" s="1"/>
  <c r="G2193" i="21"/>
  <c r="H2193" i="21" s="1"/>
  <c r="G2192" i="21"/>
  <c r="H2192" i="21" s="1"/>
  <c r="G2191" i="21"/>
  <c r="H2191" i="21" s="1"/>
  <c r="H2190" i="21"/>
  <c r="G2190" i="21"/>
  <c r="G2189" i="21"/>
  <c r="H2189" i="21" s="1"/>
  <c r="G2188" i="21"/>
  <c r="H2188" i="21" s="1"/>
  <c r="G2187" i="21"/>
  <c r="H2187" i="21" s="1"/>
  <c r="G2186" i="21"/>
  <c r="H2186" i="21" s="1"/>
  <c r="G2185" i="21"/>
  <c r="H2185" i="21" s="1"/>
  <c r="G2184" i="21"/>
  <c r="H2184" i="21" s="1"/>
  <c r="G2183" i="21"/>
  <c r="H2183" i="21" s="1"/>
  <c r="G2182" i="21"/>
  <c r="H2182" i="21" s="1"/>
  <c r="G2181" i="21"/>
  <c r="H2181" i="21" s="1"/>
  <c r="H2180" i="21"/>
  <c r="G2180" i="21"/>
  <c r="G2179" i="21"/>
  <c r="H2179" i="21" s="1"/>
  <c r="G2178" i="21"/>
  <c r="H2178" i="21" s="1"/>
  <c r="G2177" i="21"/>
  <c r="H2177" i="21" s="1"/>
  <c r="G2176" i="21"/>
  <c r="H2176" i="21" s="1"/>
  <c r="G2175" i="21"/>
  <c r="H2175" i="21" s="1"/>
  <c r="G2174" i="21"/>
  <c r="H2174" i="21" s="1"/>
  <c r="G2173" i="21"/>
  <c r="H2173" i="21" s="1"/>
  <c r="G2172" i="21"/>
  <c r="H2172" i="21" s="1"/>
  <c r="G2171" i="21"/>
  <c r="H2171" i="21" s="1"/>
  <c r="G2170" i="21"/>
  <c r="H2170" i="21" s="1"/>
  <c r="G2169" i="21"/>
  <c r="H2169" i="21" s="1"/>
  <c r="G2168" i="21"/>
  <c r="H2168" i="21" s="1"/>
  <c r="G2167" i="21"/>
  <c r="H2167" i="21" s="1"/>
  <c r="G2166" i="21"/>
  <c r="H2166" i="21" s="1"/>
  <c r="G2165" i="21"/>
  <c r="H2165" i="21" s="1"/>
  <c r="G2164" i="21"/>
  <c r="H2164" i="21" s="1"/>
  <c r="G2163" i="21"/>
  <c r="H2163" i="21" s="1"/>
  <c r="G2162" i="21"/>
  <c r="H2162" i="21" s="1"/>
  <c r="G2161" i="21"/>
  <c r="H2161" i="21" s="1"/>
  <c r="G2160" i="21"/>
  <c r="H2160" i="21" s="1"/>
  <c r="G2159" i="21"/>
  <c r="H2159" i="21" s="1"/>
  <c r="G2158" i="21"/>
  <c r="H2158" i="21" s="1"/>
  <c r="G2157" i="21"/>
  <c r="H2157" i="21" s="1"/>
  <c r="G2156" i="21"/>
  <c r="H2156" i="21" s="1"/>
  <c r="G2155" i="21"/>
  <c r="H2155" i="21" s="1"/>
  <c r="G2154" i="21"/>
  <c r="H2154" i="21" s="1"/>
  <c r="G2153" i="21"/>
  <c r="H2153" i="21" s="1"/>
  <c r="G2152" i="21"/>
  <c r="H2152" i="21" s="1"/>
  <c r="G2151" i="21"/>
  <c r="H2151" i="21" s="1"/>
  <c r="G2150" i="21"/>
  <c r="H2150" i="21" s="1"/>
  <c r="G2149" i="21"/>
  <c r="H2149" i="21" s="1"/>
  <c r="G2148" i="21"/>
  <c r="H2148" i="21" s="1"/>
  <c r="G2147" i="21"/>
  <c r="H2147" i="21" s="1"/>
  <c r="G2146" i="21"/>
  <c r="H2146" i="21" s="1"/>
  <c r="G2145" i="21"/>
  <c r="H2145" i="21" s="1"/>
  <c r="G2144" i="21"/>
  <c r="H2144" i="21" s="1"/>
  <c r="G2143" i="21"/>
  <c r="H2143" i="21" s="1"/>
  <c r="G2142" i="21"/>
  <c r="H2142" i="21" s="1"/>
  <c r="H2141" i="21"/>
  <c r="G2141" i="21"/>
  <c r="G2140" i="21"/>
  <c r="H2140" i="21" s="1"/>
  <c r="G2139" i="21"/>
  <c r="H2139" i="21" s="1"/>
  <c r="G2138" i="21"/>
  <c r="H2138" i="21" s="1"/>
  <c r="G2137" i="21"/>
  <c r="H2137" i="21" s="1"/>
  <c r="G2136" i="21"/>
  <c r="H2136" i="21" s="1"/>
  <c r="G2135" i="21"/>
  <c r="H2135" i="21" s="1"/>
  <c r="G2134" i="21"/>
  <c r="H2134" i="21" s="1"/>
  <c r="G2133" i="21"/>
  <c r="H2133" i="21" s="1"/>
  <c r="G2132" i="21"/>
  <c r="H2132" i="21" s="1"/>
  <c r="G2131" i="21"/>
  <c r="H2131" i="21" s="1"/>
  <c r="G2130" i="21"/>
  <c r="H2130" i="21" s="1"/>
  <c r="G2129" i="21"/>
  <c r="H2129" i="21" s="1"/>
  <c r="G2128" i="21"/>
  <c r="H2128" i="21" s="1"/>
  <c r="G2127" i="21"/>
  <c r="H2127" i="21" s="1"/>
  <c r="G2126" i="21"/>
  <c r="H2126" i="21" s="1"/>
  <c r="G2125" i="21"/>
  <c r="H2125" i="21" s="1"/>
  <c r="G2124" i="21"/>
  <c r="H2124" i="21" s="1"/>
  <c r="G2123" i="21"/>
  <c r="H2123" i="21" s="1"/>
  <c r="G2122" i="21"/>
  <c r="H2122" i="21" s="1"/>
  <c r="G2121" i="21"/>
  <c r="H2121" i="21" s="1"/>
  <c r="G2120" i="21"/>
  <c r="H2120" i="21" s="1"/>
  <c r="G2119" i="21"/>
  <c r="H2119" i="21" s="1"/>
  <c r="G2118" i="21"/>
  <c r="H2118" i="21" s="1"/>
  <c r="G2117" i="21"/>
  <c r="H2117" i="21" s="1"/>
  <c r="G2116" i="21"/>
  <c r="H2116" i="21" s="1"/>
  <c r="G2115" i="21"/>
  <c r="H2115" i="21" s="1"/>
  <c r="G2114" i="21"/>
  <c r="H2114" i="21" s="1"/>
  <c r="G2113" i="21"/>
  <c r="H2113" i="21" s="1"/>
  <c r="G2112" i="21"/>
  <c r="H2112" i="21" s="1"/>
  <c r="G2111" i="21"/>
  <c r="H2111" i="21" s="1"/>
  <c r="G2110" i="21"/>
  <c r="H2110" i="21" s="1"/>
  <c r="G2109" i="21"/>
  <c r="H2109" i="21" s="1"/>
  <c r="G2108" i="21"/>
  <c r="H2108" i="21" s="1"/>
  <c r="G2107" i="21"/>
  <c r="H2107" i="21" s="1"/>
  <c r="G2106" i="21"/>
  <c r="H2106" i="21" s="1"/>
  <c r="G2105" i="21"/>
  <c r="H2105" i="21" s="1"/>
  <c r="G2104" i="21"/>
  <c r="H2104" i="21" s="1"/>
  <c r="G2103" i="21"/>
  <c r="H2103" i="21" s="1"/>
  <c r="G2102" i="21"/>
  <c r="H2102" i="21" s="1"/>
  <c r="G2101" i="21"/>
  <c r="H2101" i="21" s="1"/>
  <c r="G2100" i="21"/>
  <c r="H2100" i="21" s="1"/>
  <c r="G2099" i="21"/>
  <c r="H2099" i="21" s="1"/>
  <c r="G2098" i="21"/>
  <c r="H2098" i="21" s="1"/>
  <c r="G2097" i="21"/>
  <c r="H2097" i="21" s="1"/>
  <c r="G2096" i="21"/>
  <c r="H2096" i="21" s="1"/>
  <c r="G2095" i="21"/>
  <c r="H2095" i="21" s="1"/>
  <c r="G2094" i="21"/>
  <c r="H2094" i="21" s="1"/>
  <c r="G2093" i="21"/>
  <c r="H2093" i="21" s="1"/>
  <c r="G2092" i="21"/>
  <c r="H2092" i="21" s="1"/>
  <c r="H2091" i="21"/>
  <c r="G2091" i="21"/>
  <c r="G2090" i="21"/>
  <c r="H2090" i="21" s="1"/>
  <c r="G2089" i="21"/>
  <c r="H2089" i="21" s="1"/>
  <c r="G2088" i="21"/>
  <c r="H2088" i="21" s="1"/>
  <c r="G2087" i="21"/>
  <c r="H2087" i="21" s="1"/>
  <c r="G2086" i="21"/>
  <c r="H2086" i="21" s="1"/>
  <c r="G2085" i="21"/>
  <c r="H2085" i="21" s="1"/>
  <c r="G2084" i="21"/>
  <c r="H2084" i="21" s="1"/>
  <c r="G2083" i="21"/>
  <c r="H2083" i="21" s="1"/>
  <c r="G2082" i="21"/>
  <c r="H2082" i="21" s="1"/>
  <c r="G2081" i="21"/>
  <c r="H2081" i="21" s="1"/>
  <c r="G2080" i="21"/>
  <c r="H2080" i="21" s="1"/>
  <c r="G2079" i="21"/>
  <c r="H2079" i="21" s="1"/>
  <c r="G2078" i="21"/>
  <c r="H2078" i="21" s="1"/>
  <c r="G2077" i="21"/>
  <c r="H2077" i="21" s="1"/>
  <c r="G2076" i="21"/>
  <c r="H2076" i="21" s="1"/>
  <c r="G2075" i="21"/>
  <c r="H2075" i="21" s="1"/>
  <c r="G2074" i="21"/>
  <c r="H2074" i="21" s="1"/>
  <c r="G2073" i="21"/>
  <c r="H2073" i="21" s="1"/>
  <c r="G2072" i="21"/>
  <c r="H2072" i="21" s="1"/>
  <c r="G2071" i="21"/>
  <c r="H2071" i="21" s="1"/>
  <c r="G2070" i="21"/>
  <c r="H2070" i="21" s="1"/>
  <c r="G2069" i="21"/>
  <c r="H2069" i="21" s="1"/>
  <c r="G2068" i="21"/>
  <c r="H2068" i="21" s="1"/>
  <c r="G2067" i="21"/>
  <c r="H2067" i="21" s="1"/>
  <c r="G2066" i="21"/>
  <c r="H2066" i="21" s="1"/>
  <c r="G2065" i="21"/>
  <c r="H2065" i="21" s="1"/>
  <c r="G2064" i="21"/>
  <c r="H2064" i="21" s="1"/>
  <c r="G2063" i="21"/>
  <c r="H2063" i="21" s="1"/>
  <c r="G2062" i="21"/>
  <c r="H2062" i="21" s="1"/>
  <c r="G2061" i="21"/>
  <c r="H2061" i="21" s="1"/>
  <c r="G2060" i="21"/>
  <c r="H2060" i="21" s="1"/>
  <c r="G2059" i="21"/>
  <c r="H2059" i="21" s="1"/>
  <c r="G2058" i="21"/>
  <c r="H2058" i="21" s="1"/>
  <c r="G2057" i="21"/>
  <c r="H2057" i="21" s="1"/>
  <c r="G2056" i="21"/>
  <c r="H2056" i="21" s="1"/>
  <c r="G2055" i="21"/>
  <c r="H2055" i="21" s="1"/>
  <c r="G2054" i="21"/>
  <c r="H2054" i="21" s="1"/>
  <c r="G2053" i="21"/>
  <c r="H2053" i="21" s="1"/>
  <c r="G2052" i="21"/>
  <c r="H2052" i="21" s="1"/>
  <c r="G2051" i="21"/>
  <c r="H2051" i="21" s="1"/>
  <c r="G2050" i="21"/>
  <c r="H2050" i="21" s="1"/>
  <c r="G2049" i="21"/>
  <c r="H2049" i="21" s="1"/>
  <c r="G2048" i="21"/>
  <c r="H2048" i="21" s="1"/>
  <c r="G2047" i="21"/>
  <c r="H2047" i="21" s="1"/>
  <c r="G2046" i="21"/>
  <c r="H2046" i="21" s="1"/>
  <c r="G2045" i="21"/>
  <c r="H2045" i="21" s="1"/>
  <c r="G2044" i="21"/>
  <c r="H2044" i="21" s="1"/>
  <c r="G2043" i="21"/>
  <c r="H2043" i="21" s="1"/>
  <c r="G2042" i="21"/>
  <c r="H2042" i="21" s="1"/>
  <c r="G2041" i="21"/>
  <c r="H2041" i="21" s="1"/>
  <c r="G2040" i="21"/>
  <c r="H2040" i="21" s="1"/>
  <c r="G2039" i="21"/>
  <c r="H2039" i="21" s="1"/>
  <c r="G2038" i="21"/>
  <c r="H2038" i="21" s="1"/>
  <c r="G2037" i="21"/>
  <c r="H2037" i="21" s="1"/>
  <c r="G2036" i="21"/>
  <c r="H2036" i="21" s="1"/>
  <c r="G2035" i="21"/>
  <c r="H2035" i="21" s="1"/>
  <c r="G2034" i="21"/>
  <c r="H2034" i="21" s="1"/>
  <c r="G2033" i="21"/>
  <c r="H2033" i="21" s="1"/>
  <c r="G2032" i="21"/>
  <c r="H2032" i="21" s="1"/>
  <c r="G2031" i="21"/>
  <c r="H2031" i="21" s="1"/>
  <c r="G2030" i="21"/>
  <c r="H2030" i="21" s="1"/>
  <c r="G2029" i="21"/>
  <c r="H2029" i="21" s="1"/>
  <c r="G2028" i="21"/>
  <c r="H2028" i="21" s="1"/>
  <c r="G2027" i="21"/>
  <c r="H2027" i="21" s="1"/>
  <c r="G2026" i="21"/>
  <c r="H2026" i="21" s="1"/>
  <c r="G2025" i="21"/>
  <c r="H2025" i="21" s="1"/>
  <c r="G2024" i="21"/>
  <c r="H2024" i="21" s="1"/>
  <c r="G2023" i="21"/>
  <c r="H2023" i="21" s="1"/>
  <c r="G2022" i="21"/>
  <c r="H2022" i="21" s="1"/>
  <c r="G2021" i="21"/>
  <c r="H2021" i="21" s="1"/>
  <c r="G2020" i="21"/>
  <c r="H2020" i="21" s="1"/>
  <c r="G2019" i="21"/>
  <c r="H2019" i="21" s="1"/>
  <c r="G2018" i="21"/>
  <c r="H2018" i="21" s="1"/>
  <c r="G2017" i="21"/>
  <c r="H2017" i="21" s="1"/>
  <c r="G2016" i="21"/>
  <c r="H2016" i="21" s="1"/>
  <c r="G2015" i="21"/>
  <c r="H2015" i="21" s="1"/>
  <c r="G2014" i="21"/>
  <c r="H2014" i="21" s="1"/>
  <c r="G2013" i="21"/>
  <c r="H2013" i="21" s="1"/>
  <c r="G2012" i="21"/>
  <c r="H2012" i="21" s="1"/>
  <c r="G2011" i="21"/>
  <c r="H2011" i="21" s="1"/>
  <c r="G2010" i="21"/>
  <c r="H2010" i="21" s="1"/>
  <c r="G2009" i="21"/>
  <c r="H2009" i="21" s="1"/>
  <c r="G2008" i="21"/>
  <c r="H2008" i="21" s="1"/>
  <c r="G2007" i="21"/>
  <c r="H2007" i="21" s="1"/>
  <c r="G2006" i="21"/>
  <c r="H2006" i="21" s="1"/>
  <c r="G2005" i="21"/>
  <c r="H2005" i="21" s="1"/>
  <c r="G2004" i="21"/>
  <c r="H2004" i="21" s="1"/>
  <c r="G2003" i="21"/>
  <c r="H2003" i="21" s="1"/>
  <c r="G2002" i="21"/>
  <c r="H2002" i="21" s="1"/>
  <c r="G2001" i="21"/>
  <c r="H2001" i="21" s="1"/>
  <c r="G2000" i="21"/>
  <c r="H2000" i="21" s="1"/>
  <c r="G1999" i="21"/>
  <c r="H1999" i="21" s="1"/>
  <c r="G1998" i="21"/>
  <c r="H1998" i="21" s="1"/>
  <c r="G1997" i="21"/>
  <c r="H1997" i="21" s="1"/>
  <c r="G1996" i="21"/>
  <c r="H1996" i="21" s="1"/>
  <c r="G1995" i="21"/>
  <c r="H1995" i="21" s="1"/>
  <c r="G1994" i="21"/>
  <c r="H1994" i="21" s="1"/>
  <c r="G1993" i="21"/>
  <c r="H1993" i="21" s="1"/>
  <c r="G1992" i="21"/>
  <c r="H1992" i="21" s="1"/>
  <c r="G1991" i="21"/>
  <c r="H1991" i="21" s="1"/>
  <c r="G1990" i="21"/>
  <c r="H1990" i="21" s="1"/>
  <c r="G1989" i="21"/>
  <c r="H1989" i="21" s="1"/>
  <c r="G1988" i="21"/>
  <c r="H1988" i="21" s="1"/>
  <c r="G1987" i="21"/>
  <c r="H1987" i="21" s="1"/>
  <c r="G1986" i="21"/>
  <c r="H1986" i="21" s="1"/>
  <c r="G1985" i="21"/>
  <c r="H1985" i="21" s="1"/>
  <c r="G1984" i="21"/>
  <c r="H1984" i="21" s="1"/>
  <c r="G1983" i="21"/>
  <c r="H1983" i="21" s="1"/>
  <c r="G1982" i="21"/>
  <c r="H1982" i="21" s="1"/>
  <c r="G1981" i="21"/>
  <c r="H1981" i="21" s="1"/>
  <c r="G1980" i="21"/>
  <c r="H1980" i="21" s="1"/>
  <c r="G1979" i="21"/>
  <c r="H1979" i="21" s="1"/>
  <c r="H1978" i="21"/>
  <c r="G1978" i="21"/>
  <c r="G1977" i="21"/>
  <c r="H1977" i="21" s="1"/>
  <c r="G1976" i="21"/>
  <c r="H1976" i="21" s="1"/>
  <c r="G1975" i="21"/>
  <c r="H1975" i="21" s="1"/>
  <c r="G1974" i="21"/>
  <c r="H1974" i="21" s="1"/>
  <c r="G1973" i="21"/>
  <c r="H1973" i="21" s="1"/>
  <c r="G1972" i="21"/>
  <c r="H1972" i="21" s="1"/>
  <c r="G1971" i="21"/>
  <c r="H1971" i="21" s="1"/>
  <c r="G1970" i="21"/>
  <c r="H1970" i="21" s="1"/>
  <c r="G1969" i="21"/>
  <c r="H1969" i="21" s="1"/>
  <c r="G1968" i="21"/>
  <c r="H1968" i="21" s="1"/>
  <c r="G1967" i="21"/>
  <c r="H1967" i="21" s="1"/>
  <c r="G1966" i="21"/>
  <c r="H1966" i="21" s="1"/>
  <c r="G1965" i="21"/>
  <c r="H1965" i="21" s="1"/>
  <c r="G1964" i="21"/>
  <c r="H1964" i="21" s="1"/>
  <c r="G1963" i="21"/>
  <c r="H1963" i="21" s="1"/>
  <c r="G1962" i="21"/>
  <c r="H1962" i="21" s="1"/>
  <c r="G1961" i="21"/>
  <c r="H1961" i="21" s="1"/>
  <c r="G1960" i="21"/>
  <c r="H1960" i="21" s="1"/>
  <c r="G1959" i="21"/>
  <c r="H1959" i="21" s="1"/>
  <c r="G1958" i="21"/>
  <c r="H1958" i="21" s="1"/>
  <c r="G1957" i="21"/>
  <c r="H1957" i="21" s="1"/>
  <c r="G1956" i="21"/>
  <c r="H1956" i="21" s="1"/>
  <c r="G1955" i="21"/>
  <c r="H1955" i="21" s="1"/>
  <c r="G1954" i="21"/>
  <c r="H1954" i="21" s="1"/>
  <c r="G1953" i="21"/>
  <c r="H1953" i="21" s="1"/>
  <c r="G1952" i="21"/>
  <c r="H1952" i="21" s="1"/>
  <c r="G1951" i="21"/>
  <c r="H1951" i="21" s="1"/>
  <c r="G1950" i="21"/>
  <c r="H1950" i="21" s="1"/>
  <c r="G1949" i="21"/>
  <c r="H1949" i="21" s="1"/>
  <c r="G1948" i="21"/>
  <c r="H1948" i="21" s="1"/>
  <c r="G1947" i="21"/>
  <c r="H1947" i="21" s="1"/>
  <c r="G1946" i="21"/>
  <c r="H1946" i="21" s="1"/>
  <c r="G1945" i="21"/>
  <c r="H1945" i="21" s="1"/>
  <c r="G1944" i="21"/>
  <c r="H1944" i="21" s="1"/>
  <c r="G1943" i="21"/>
  <c r="H1943" i="21" s="1"/>
  <c r="G1942" i="21"/>
  <c r="H1942" i="21" s="1"/>
  <c r="G1941" i="21"/>
  <c r="H1941" i="21" s="1"/>
  <c r="G1940" i="21"/>
  <c r="H1940" i="21" s="1"/>
  <c r="G1939" i="21"/>
  <c r="H1939" i="21" s="1"/>
  <c r="G1938" i="21"/>
  <c r="H1938" i="21" s="1"/>
  <c r="G1937" i="21"/>
  <c r="H1937" i="21" s="1"/>
  <c r="G1936" i="21"/>
  <c r="H1936" i="21" s="1"/>
  <c r="G1935" i="21"/>
  <c r="H1935" i="21" s="1"/>
  <c r="G1934" i="21"/>
  <c r="H1934" i="21" s="1"/>
  <c r="G1933" i="21"/>
  <c r="H1933" i="21" s="1"/>
  <c r="G1932" i="21"/>
  <c r="H1932" i="21" s="1"/>
  <c r="G1931" i="21"/>
  <c r="H1931" i="21" s="1"/>
  <c r="G1930" i="21"/>
  <c r="H1930" i="21" s="1"/>
  <c r="G1929" i="21"/>
  <c r="H1929" i="21" s="1"/>
  <c r="G1928" i="21"/>
  <c r="H1928" i="21" s="1"/>
  <c r="G1927" i="21"/>
  <c r="H1927" i="21" s="1"/>
  <c r="G1926" i="21"/>
  <c r="H1926" i="21" s="1"/>
  <c r="G1925" i="21"/>
  <c r="H1925" i="21" s="1"/>
  <c r="G1924" i="21"/>
  <c r="H1924" i="21" s="1"/>
  <c r="G1923" i="21"/>
  <c r="H1923" i="21" s="1"/>
  <c r="G1922" i="21"/>
  <c r="H1922" i="21" s="1"/>
  <c r="G1921" i="21"/>
  <c r="H1921" i="21" s="1"/>
  <c r="G1920" i="21"/>
  <c r="H1920" i="21" s="1"/>
  <c r="G1919" i="21"/>
  <c r="H1919" i="21" s="1"/>
  <c r="G1918" i="21"/>
  <c r="H1918" i="21" s="1"/>
  <c r="G1917" i="21"/>
  <c r="H1917" i="21" s="1"/>
  <c r="G1916" i="21"/>
  <c r="H1916" i="21" s="1"/>
  <c r="G1915" i="21"/>
  <c r="H1915" i="21" s="1"/>
  <c r="G1914" i="21"/>
  <c r="H1914" i="21" s="1"/>
  <c r="G1913" i="21"/>
  <c r="H1913" i="21" s="1"/>
  <c r="G1912" i="21"/>
  <c r="H1912" i="21" s="1"/>
  <c r="G1911" i="21"/>
  <c r="H1911" i="21" s="1"/>
  <c r="G1910" i="21"/>
  <c r="H1910" i="21" s="1"/>
  <c r="G1909" i="21"/>
  <c r="H1909" i="21" s="1"/>
  <c r="G1908" i="21"/>
  <c r="H1908" i="21" s="1"/>
  <c r="G1907" i="21"/>
  <c r="H1907" i="21" s="1"/>
  <c r="G1906" i="21"/>
  <c r="H1906" i="21" s="1"/>
  <c r="G1905" i="21"/>
  <c r="H1905" i="21" s="1"/>
  <c r="G1904" i="21"/>
  <c r="H1904" i="21" s="1"/>
  <c r="G1903" i="21"/>
  <c r="H1903" i="21" s="1"/>
  <c r="G107" i="3" s="1"/>
  <c r="G1902" i="21"/>
  <c r="H1902" i="21" s="1"/>
  <c r="G1901" i="21"/>
  <c r="H1901" i="21" s="1"/>
  <c r="G1900" i="21"/>
  <c r="H1900" i="21" s="1"/>
  <c r="G1899" i="21"/>
  <c r="H1899" i="21" s="1"/>
  <c r="G1898" i="21"/>
  <c r="H1898" i="21" s="1"/>
  <c r="G1897" i="21"/>
  <c r="H1897" i="21" s="1"/>
  <c r="G1896" i="21"/>
  <c r="H1896" i="21" s="1"/>
  <c r="G1895" i="21"/>
  <c r="H1895" i="21" s="1"/>
  <c r="G1894" i="21"/>
  <c r="H1894" i="21" s="1"/>
  <c r="G1893" i="21"/>
  <c r="H1893" i="21" s="1"/>
  <c r="G1892" i="21"/>
  <c r="H1892" i="21" s="1"/>
  <c r="G1891" i="21"/>
  <c r="H1891" i="21" s="1"/>
  <c r="G1890" i="21"/>
  <c r="H1890" i="21" s="1"/>
  <c r="G1889" i="21"/>
  <c r="H1889" i="21" s="1"/>
  <c r="G1888" i="21"/>
  <c r="H1888" i="21" s="1"/>
  <c r="G1887" i="21"/>
  <c r="H1887" i="21" s="1"/>
  <c r="G1886" i="21"/>
  <c r="H1886" i="21" s="1"/>
  <c r="G1885" i="21"/>
  <c r="H1885" i="21" s="1"/>
  <c r="G1884" i="21"/>
  <c r="H1884" i="21" s="1"/>
  <c r="G1883" i="21"/>
  <c r="H1883" i="21" s="1"/>
  <c r="G1882" i="21"/>
  <c r="H1882" i="21" s="1"/>
  <c r="G1881" i="21"/>
  <c r="H1881" i="21" s="1"/>
  <c r="G1880" i="21"/>
  <c r="H1880" i="21" s="1"/>
  <c r="G1879" i="21"/>
  <c r="H1879" i="21" s="1"/>
  <c r="G1878" i="21"/>
  <c r="H1878" i="21" s="1"/>
  <c r="G1877" i="21"/>
  <c r="H1877" i="21" s="1"/>
  <c r="G1876" i="21"/>
  <c r="H1876" i="21" s="1"/>
  <c r="G1875" i="21"/>
  <c r="H1875" i="21" s="1"/>
  <c r="G1874" i="21"/>
  <c r="H1874" i="21" s="1"/>
  <c r="G1873" i="21"/>
  <c r="H1873" i="21" s="1"/>
  <c r="G1872" i="21"/>
  <c r="H1872" i="21" s="1"/>
  <c r="G1871" i="21"/>
  <c r="H1871" i="21" s="1"/>
  <c r="G1870" i="21"/>
  <c r="H1870" i="21" s="1"/>
  <c r="G1869" i="21"/>
  <c r="H1869" i="21" s="1"/>
  <c r="G1868" i="21"/>
  <c r="H1868" i="21" s="1"/>
  <c r="G1867" i="21"/>
  <c r="H1867" i="21" s="1"/>
  <c r="G1866" i="21"/>
  <c r="H1866" i="21" s="1"/>
  <c r="G1865" i="21"/>
  <c r="H1865" i="21" s="1"/>
  <c r="G1864" i="21"/>
  <c r="H1864" i="21" s="1"/>
  <c r="G1863" i="21"/>
  <c r="H1863" i="21" s="1"/>
  <c r="G1862" i="21"/>
  <c r="H1862" i="21" s="1"/>
  <c r="G1861" i="21"/>
  <c r="H1861" i="21" s="1"/>
  <c r="G1860" i="21"/>
  <c r="H1860" i="21" s="1"/>
  <c r="G1859" i="21"/>
  <c r="H1859" i="21" s="1"/>
  <c r="G1858" i="21"/>
  <c r="H1858" i="21" s="1"/>
  <c r="G1857" i="21"/>
  <c r="H1857" i="21" s="1"/>
  <c r="G1856" i="21"/>
  <c r="H1856" i="21" s="1"/>
  <c r="G1855" i="21"/>
  <c r="H1855" i="21" s="1"/>
  <c r="G1854" i="21"/>
  <c r="H1854" i="21" s="1"/>
  <c r="G391" i="3" s="1"/>
  <c r="G1853" i="21"/>
  <c r="H1853" i="21" s="1"/>
  <c r="G1852" i="21"/>
  <c r="H1852" i="21" s="1"/>
  <c r="G1851" i="21"/>
  <c r="H1851" i="21" s="1"/>
  <c r="G1850" i="21"/>
  <c r="H1850" i="21" s="1"/>
  <c r="G1849" i="21"/>
  <c r="H1849" i="21" s="1"/>
  <c r="G1848" i="21"/>
  <c r="H1848" i="21" s="1"/>
  <c r="G1847" i="21"/>
  <c r="H1847" i="21" s="1"/>
  <c r="G1846" i="21"/>
  <c r="H1846" i="21" s="1"/>
  <c r="G1845" i="21"/>
  <c r="H1845" i="21" s="1"/>
  <c r="G1844" i="21"/>
  <c r="H1844" i="21" s="1"/>
  <c r="G1843" i="21"/>
  <c r="H1843" i="21" s="1"/>
  <c r="G1842" i="21"/>
  <c r="H1842" i="21" s="1"/>
  <c r="G1841" i="21"/>
  <c r="H1841" i="21" s="1"/>
  <c r="G1840" i="21"/>
  <c r="H1840" i="21" s="1"/>
  <c r="G1839" i="21"/>
  <c r="H1839" i="21" s="1"/>
  <c r="G1838" i="21"/>
  <c r="H1838" i="21" s="1"/>
  <c r="G1837" i="21"/>
  <c r="H1837" i="21" s="1"/>
  <c r="G1836" i="21"/>
  <c r="H1836" i="21" s="1"/>
  <c r="G1835" i="21"/>
  <c r="H1835" i="21" s="1"/>
  <c r="G1834" i="21"/>
  <c r="H1834" i="21" s="1"/>
  <c r="G1833" i="21"/>
  <c r="H1833" i="21" s="1"/>
  <c r="G1832" i="21"/>
  <c r="H1832" i="21" s="1"/>
  <c r="G1831" i="21"/>
  <c r="H1831" i="21" s="1"/>
  <c r="G1830" i="21"/>
  <c r="H1830" i="21" s="1"/>
  <c r="G1829" i="21"/>
  <c r="H1829" i="21" s="1"/>
  <c r="G1828" i="21"/>
  <c r="H1828" i="21" s="1"/>
  <c r="G1827" i="21"/>
  <c r="H1827" i="21" s="1"/>
  <c r="G416" i="3" s="1"/>
  <c r="G1826" i="21"/>
  <c r="H1826" i="21" s="1"/>
  <c r="G1825" i="21"/>
  <c r="H1825" i="21" s="1"/>
  <c r="G1824" i="21"/>
  <c r="H1824" i="21" s="1"/>
  <c r="G1823" i="21"/>
  <c r="H1823" i="21" s="1"/>
  <c r="G1822" i="21"/>
  <c r="H1822" i="21" s="1"/>
  <c r="G1821" i="21"/>
  <c r="H1821" i="21" s="1"/>
  <c r="G1820" i="21"/>
  <c r="H1820" i="21" s="1"/>
  <c r="G1819" i="21"/>
  <c r="H1819" i="21" s="1"/>
  <c r="G1818" i="21"/>
  <c r="H1818" i="21" s="1"/>
  <c r="H1817" i="21"/>
  <c r="G1817" i="21"/>
  <c r="G1816" i="21"/>
  <c r="H1816" i="21" s="1"/>
  <c r="G1815" i="21"/>
  <c r="H1815" i="21" s="1"/>
  <c r="G1814" i="21"/>
  <c r="H1814" i="21" s="1"/>
  <c r="G1813" i="21"/>
  <c r="H1813" i="21" s="1"/>
  <c r="G1812" i="21"/>
  <c r="H1812" i="21" s="1"/>
  <c r="G1811" i="21"/>
  <c r="H1811" i="21" s="1"/>
  <c r="G1810" i="21"/>
  <c r="H1810" i="21" s="1"/>
  <c r="G1809" i="21"/>
  <c r="H1809" i="21" s="1"/>
  <c r="G1808" i="21"/>
  <c r="H1808" i="21" s="1"/>
  <c r="G1807" i="21"/>
  <c r="H1807" i="21" s="1"/>
  <c r="G1806" i="21"/>
  <c r="H1806" i="21" s="1"/>
  <c r="G1805" i="21"/>
  <c r="H1805" i="21" s="1"/>
  <c r="G1804" i="21"/>
  <c r="H1804" i="21" s="1"/>
  <c r="G1803" i="21"/>
  <c r="H1803" i="21" s="1"/>
  <c r="G1802" i="21"/>
  <c r="H1802" i="21" s="1"/>
  <c r="G1801" i="21"/>
  <c r="H1801" i="21" s="1"/>
  <c r="H1800" i="21"/>
  <c r="G1800" i="21"/>
  <c r="G1799" i="21"/>
  <c r="H1799" i="21" s="1"/>
  <c r="G1798" i="21"/>
  <c r="H1798" i="21" s="1"/>
  <c r="G1797" i="21"/>
  <c r="H1797" i="21" s="1"/>
  <c r="G1796" i="21"/>
  <c r="H1796" i="21" s="1"/>
  <c r="H1795" i="21"/>
  <c r="G1795" i="21"/>
  <c r="G1794" i="21"/>
  <c r="H1794" i="21" s="1"/>
  <c r="G1793" i="21"/>
  <c r="H1793" i="21" s="1"/>
  <c r="G1792" i="21"/>
  <c r="H1792" i="21" s="1"/>
  <c r="G1791" i="21"/>
  <c r="H1791" i="21" s="1"/>
  <c r="G1790" i="21"/>
  <c r="H1790" i="21" s="1"/>
  <c r="G1789" i="21"/>
  <c r="H1789" i="21" s="1"/>
  <c r="G1788" i="21"/>
  <c r="H1788" i="21" s="1"/>
  <c r="G1787" i="21"/>
  <c r="H1787" i="21" s="1"/>
  <c r="G1786" i="21"/>
  <c r="H1786" i="21" s="1"/>
  <c r="G1785" i="21"/>
  <c r="H1785" i="21" s="1"/>
  <c r="G1784" i="21"/>
  <c r="H1784" i="21" s="1"/>
  <c r="G1783" i="21"/>
  <c r="H1783" i="21" s="1"/>
  <c r="G1782" i="21"/>
  <c r="H1782" i="21" s="1"/>
  <c r="G1781" i="21"/>
  <c r="H1781" i="21" s="1"/>
  <c r="G1780" i="21"/>
  <c r="H1780" i="21" s="1"/>
  <c r="G1779" i="21"/>
  <c r="H1779" i="21" s="1"/>
  <c r="G1778" i="21"/>
  <c r="H1778" i="21" s="1"/>
  <c r="G1777" i="21"/>
  <c r="H1777" i="21" s="1"/>
  <c r="G1776" i="21"/>
  <c r="H1776" i="21" s="1"/>
  <c r="G1775" i="21"/>
  <c r="H1775" i="21" s="1"/>
  <c r="G1774" i="21"/>
  <c r="H1774" i="21" s="1"/>
  <c r="G1773" i="21"/>
  <c r="H1773" i="21" s="1"/>
  <c r="G1772" i="21"/>
  <c r="H1772" i="21" s="1"/>
  <c r="G1771" i="21"/>
  <c r="H1771" i="21" s="1"/>
  <c r="G1770" i="21"/>
  <c r="H1770" i="21" s="1"/>
  <c r="G1769" i="21"/>
  <c r="H1769" i="21" s="1"/>
  <c r="G1768" i="21"/>
  <c r="H1768" i="21" s="1"/>
  <c r="G1767" i="21"/>
  <c r="H1767" i="21" s="1"/>
  <c r="G1766" i="21"/>
  <c r="H1766" i="21" s="1"/>
  <c r="G1765" i="21"/>
  <c r="H1765" i="21" s="1"/>
  <c r="G1764" i="21"/>
  <c r="H1764" i="21" s="1"/>
  <c r="G1763" i="21"/>
  <c r="H1763" i="21" s="1"/>
  <c r="G1762" i="21"/>
  <c r="H1762" i="21" s="1"/>
  <c r="G1761" i="21"/>
  <c r="H1761" i="21" s="1"/>
  <c r="G1760" i="21"/>
  <c r="H1760" i="21" s="1"/>
  <c r="G1759" i="21"/>
  <c r="H1759" i="21" s="1"/>
  <c r="G1758" i="21"/>
  <c r="H1758" i="21" s="1"/>
  <c r="H1757" i="21"/>
  <c r="G1757" i="21"/>
  <c r="G1756" i="21"/>
  <c r="H1756" i="21" s="1"/>
  <c r="G1755" i="21"/>
  <c r="H1755" i="21" s="1"/>
  <c r="G1754" i="21"/>
  <c r="H1754" i="21" s="1"/>
  <c r="G1753" i="21"/>
  <c r="H1753" i="21" s="1"/>
  <c r="H1752" i="21"/>
  <c r="G1752" i="21"/>
  <c r="G1751" i="21"/>
  <c r="H1751" i="21" s="1"/>
  <c r="G1750" i="21"/>
  <c r="H1750" i="21" s="1"/>
  <c r="G1749" i="21"/>
  <c r="H1749" i="21" s="1"/>
  <c r="G1748" i="21"/>
  <c r="H1748" i="21" s="1"/>
  <c r="G1747" i="21"/>
  <c r="H1747" i="21" s="1"/>
  <c r="G1746" i="21"/>
  <c r="H1746" i="21" s="1"/>
  <c r="G1745" i="21"/>
  <c r="H1745" i="21" s="1"/>
  <c r="G1744" i="21"/>
  <c r="H1744" i="21" s="1"/>
  <c r="G1743" i="21"/>
  <c r="H1743" i="21" s="1"/>
  <c r="G1742" i="21"/>
  <c r="H1742" i="21" s="1"/>
  <c r="G1741" i="21"/>
  <c r="H1741" i="21" s="1"/>
  <c r="G1740" i="21"/>
  <c r="H1740" i="21" s="1"/>
  <c r="G1739" i="21"/>
  <c r="H1739" i="21" s="1"/>
  <c r="G1738" i="21"/>
  <c r="H1738" i="21" s="1"/>
  <c r="G1737" i="21"/>
  <c r="H1737" i="21" s="1"/>
  <c r="G1736" i="21"/>
  <c r="H1736" i="21" s="1"/>
  <c r="G1735" i="21"/>
  <c r="H1735" i="21" s="1"/>
  <c r="G1734" i="21"/>
  <c r="H1734" i="21" s="1"/>
  <c r="G1733" i="21"/>
  <c r="H1733" i="21" s="1"/>
  <c r="G1732" i="21"/>
  <c r="H1732" i="21" s="1"/>
  <c r="G1731" i="21"/>
  <c r="H1731" i="21" s="1"/>
  <c r="G1730" i="21"/>
  <c r="H1730" i="21" s="1"/>
  <c r="G1729" i="21"/>
  <c r="H1729" i="21" s="1"/>
  <c r="G1728" i="21"/>
  <c r="H1728" i="21" s="1"/>
  <c r="G1727" i="21"/>
  <c r="H1727" i="21" s="1"/>
  <c r="G1726" i="21"/>
  <c r="H1726" i="21" s="1"/>
  <c r="G1725" i="21"/>
  <c r="H1725" i="21" s="1"/>
  <c r="G1724" i="21"/>
  <c r="H1724" i="21" s="1"/>
  <c r="G1723" i="21"/>
  <c r="H1723" i="21" s="1"/>
  <c r="G1722" i="21"/>
  <c r="H1722" i="21" s="1"/>
  <c r="G1721" i="21"/>
  <c r="H1721" i="21" s="1"/>
  <c r="G1720" i="21"/>
  <c r="H1720" i="21" s="1"/>
  <c r="G1719" i="21"/>
  <c r="H1719" i="21" s="1"/>
  <c r="G1718" i="21"/>
  <c r="H1718" i="21" s="1"/>
  <c r="G1717" i="21"/>
  <c r="H1717" i="21" s="1"/>
  <c r="G1716" i="21"/>
  <c r="H1716" i="21" s="1"/>
  <c r="G1715" i="21"/>
  <c r="H1715" i="21" s="1"/>
  <c r="G1714" i="21"/>
  <c r="H1714" i="21" s="1"/>
  <c r="G1713" i="21"/>
  <c r="H1713" i="21" s="1"/>
  <c r="G1712" i="21"/>
  <c r="H1712" i="21" s="1"/>
  <c r="G1711" i="21"/>
  <c r="H1711" i="21" s="1"/>
  <c r="G1710" i="21"/>
  <c r="H1710" i="21" s="1"/>
  <c r="G1709" i="21"/>
  <c r="H1709" i="21" s="1"/>
  <c r="G1708" i="21"/>
  <c r="H1708" i="21" s="1"/>
  <c r="G1707" i="21"/>
  <c r="H1707" i="21" s="1"/>
  <c r="G1706" i="21"/>
  <c r="H1706" i="21" s="1"/>
  <c r="G1705" i="21"/>
  <c r="H1705" i="21" s="1"/>
  <c r="G1704" i="21"/>
  <c r="H1704" i="21" s="1"/>
  <c r="G1703" i="21"/>
  <c r="H1703" i="21" s="1"/>
  <c r="G1702" i="21"/>
  <c r="H1702" i="21" s="1"/>
  <c r="G1701" i="21"/>
  <c r="H1701" i="21" s="1"/>
  <c r="G1700" i="21"/>
  <c r="H1700" i="21" s="1"/>
  <c r="G1699" i="21"/>
  <c r="H1699" i="21" s="1"/>
  <c r="G1698" i="21"/>
  <c r="H1698" i="21" s="1"/>
  <c r="G1697" i="21"/>
  <c r="H1697" i="21" s="1"/>
  <c r="G1696" i="21"/>
  <c r="H1696" i="21" s="1"/>
  <c r="G1695" i="21"/>
  <c r="H1695" i="21" s="1"/>
  <c r="G1694" i="21"/>
  <c r="H1694" i="21" s="1"/>
  <c r="G1693" i="21"/>
  <c r="H1693" i="21" s="1"/>
  <c r="G1692" i="21"/>
  <c r="H1692" i="21" s="1"/>
  <c r="G1691" i="21"/>
  <c r="H1691" i="21" s="1"/>
  <c r="G1690" i="21"/>
  <c r="H1690" i="21" s="1"/>
  <c r="G1689" i="21"/>
  <c r="H1689" i="21" s="1"/>
  <c r="G1688" i="21"/>
  <c r="H1688" i="21" s="1"/>
  <c r="G1687" i="21"/>
  <c r="H1687" i="21" s="1"/>
  <c r="G1686" i="21"/>
  <c r="H1686" i="21" s="1"/>
  <c r="G1685" i="21"/>
  <c r="H1685" i="21" s="1"/>
  <c r="G1684" i="21"/>
  <c r="H1684" i="21" s="1"/>
  <c r="G1683" i="21"/>
  <c r="H1683" i="21" s="1"/>
  <c r="H1682" i="21"/>
  <c r="G1682" i="21"/>
  <c r="G1681" i="21"/>
  <c r="H1681" i="21" s="1"/>
  <c r="G1680" i="21"/>
  <c r="H1680" i="21" s="1"/>
  <c r="G1679" i="21"/>
  <c r="H1679" i="21" s="1"/>
  <c r="G1678" i="21"/>
  <c r="H1678" i="21" s="1"/>
  <c r="G1677" i="21"/>
  <c r="H1677" i="21" s="1"/>
  <c r="G1676" i="21"/>
  <c r="H1676" i="21" s="1"/>
  <c r="G1675" i="21"/>
  <c r="H1675" i="21" s="1"/>
  <c r="G1674" i="21"/>
  <c r="H1674" i="21" s="1"/>
  <c r="G1673" i="21"/>
  <c r="H1673" i="21" s="1"/>
  <c r="G1672" i="21"/>
  <c r="H1672" i="21" s="1"/>
  <c r="G1671" i="21"/>
  <c r="H1671" i="21" s="1"/>
  <c r="G1670" i="21"/>
  <c r="H1670" i="21" s="1"/>
  <c r="G1669" i="21"/>
  <c r="H1669" i="21" s="1"/>
  <c r="G1668" i="21"/>
  <c r="H1668" i="21" s="1"/>
  <c r="G1667" i="21"/>
  <c r="H1667" i="21" s="1"/>
  <c r="G1666" i="21"/>
  <c r="H1666" i="21" s="1"/>
  <c r="G1665" i="21"/>
  <c r="H1665" i="21" s="1"/>
  <c r="G1664" i="21"/>
  <c r="H1664" i="21" s="1"/>
  <c r="G1663" i="21"/>
  <c r="H1663" i="21" s="1"/>
  <c r="G1662" i="21"/>
  <c r="H1662" i="21" s="1"/>
  <c r="G1661" i="21"/>
  <c r="H1661" i="21" s="1"/>
  <c r="G1660" i="21"/>
  <c r="H1660" i="21" s="1"/>
  <c r="G1659" i="21"/>
  <c r="H1659" i="21" s="1"/>
  <c r="G1658" i="21"/>
  <c r="H1658" i="21" s="1"/>
  <c r="H1657" i="21"/>
  <c r="G1657" i="21"/>
  <c r="G1656" i="21"/>
  <c r="H1656" i="21" s="1"/>
  <c r="G1655" i="21"/>
  <c r="H1655" i="21" s="1"/>
  <c r="G1654" i="21"/>
  <c r="H1654" i="21" s="1"/>
  <c r="G1653" i="21"/>
  <c r="H1653" i="21" s="1"/>
  <c r="G1652" i="21"/>
  <c r="H1652" i="21" s="1"/>
  <c r="G1651" i="21"/>
  <c r="H1651" i="21" s="1"/>
  <c r="G1650" i="21"/>
  <c r="H1650" i="21" s="1"/>
  <c r="G1649" i="21"/>
  <c r="H1649" i="21" s="1"/>
  <c r="G1648" i="21"/>
  <c r="H1648" i="21" s="1"/>
  <c r="G640" i="3" s="1"/>
  <c r="G1647" i="21"/>
  <c r="H1647" i="21" s="1"/>
  <c r="G639" i="3" s="1"/>
  <c r="G1646" i="21"/>
  <c r="H1646" i="21" s="1"/>
  <c r="G1645" i="21"/>
  <c r="H1645" i="21" s="1"/>
  <c r="G1644" i="21"/>
  <c r="H1644" i="21" s="1"/>
  <c r="G1643" i="21"/>
  <c r="H1643" i="21" s="1"/>
  <c r="H1642" i="21"/>
  <c r="G1642" i="21"/>
  <c r="G1641" i="21"/>
  <c r="H1641" i="21" s="1"/>
  <c r="G1640" i="21"/>
  <c r="H1640" i="21" s="1"/>
  <c r="G1639" i="21"/>
  <c r="H1639" i="21" s="1"/>
  <c r="G1638" i="21"/>
  <c r="H1638" i="21" s="1"/>
  <c r="G1637" i="21"/>
  <c r="H1637" i="21" s="1"/>
  <c r="G1636" i="21"/>
  <c r="H1636" i="21" s="1"/>
  <c r="G1635" i="21"/>
  <c r="H1635" i="21" s="1"/>
  <c r="G1634" i="21"/>
  <c r="H1634" i="21" s="1"/>
  <c r="G1633" i="21"/>
  <c r="H1633" i="21" s="1"/>
  <c r="G1632" i="21"/>
  <c r="H1632" i="21" s="1"/>
  <c r="G1631" i="21"/>
  <c r="H1631" i="21" s="1"/>
  <c r="G1630" i="21"/>
  <c r="H1630" i="21" s="1"/>
  <c r="G1629" i="21"/>
  <c r="H1629" i="21" s="1"/>
  <c r="G1628" i="21"/>
  <c r="H1628" i="21" s="1"/>
  <c r="G1627" i="21"/>
  <c r="H1627" i="21" s="1"/>
  <c r="G1626" i="21"/>
  <c r="H1626" i="21" s="1"/>
  <c r="H1625" i="21"/>
  <c r="G1625" i="21"/>
  <c r="H1624" i="21"/>
  <c r="G1624" i="21"/>
  <c r="G1623" i="21"/>
  <c r="H1623" i="21" s="1"/>
  <c r="G1622" i="21"/>
  <c r="H1622" i="21" s="1"/>
  <c r="H1621" i="21"/>
  <c r="G1621" i="21"/>
  <c r="G1620" i="21"/>
  <c r="H1620" i="21" s="1"/>
  <c r="G1619" i="21"/>
  <c r="H1619" i="21" s="1"/>
  <c r="G1618" i="21"/>
  <c r="H1618" i="21" s="1"/>
  <c r="G1617" i="21"/>
  <c r="H1617" i="21" s="1"/>
  <c r="G1616" i="21"/>
  <c r="H1616" i="21" s="1"/>
  <c r="H1615" i="21"/>
  <c r="G1615" i="21"/>
  <c r="G1614" i="21"/>
  <c r="H1614" i="21" s="1"/>
  <c r="G1613" i="21"/>
  <c r="H1613" i="21" s="1"/>
  <c r="H1612" i="21"/>
  <c r="G1612" i="21"/>
  <c r="G1611" i="21"/>
  <c r="H1611" i="21" s="1"/>
  <c r="G1610" i="21"/>
  <c r="H1610" i="21" s="1"/>
  <c r="G1609" i="21"/>
  <c r="H1609" i="21" s="1"/>
  <c r="G1608" i="21"/>
  <c r="H1608" i="21" s="1"/>
  <c r="G1607" i="21"/>
  <c r="H1607" i="21" s="1"/>
  <c r="G1606" i="21"/>
  <c r="H1606" i="21" s="1"/>
  <c r="G1605" i="21"/>
  <c r="H1605" i="21" s="1"/>
  <c r="G1604" i="21"/>
  <c r="H1604" i="21" s="1"/>
  <c r="G1603" i="21"/>
  <c r="H1603" i="21" s="1"/>
  <c r="G1602" i="21"/>
  <c r="H1602" i="21" s="1"/>
  <c r="G1601" i="21"/>
  <c r="H1601" i="21" s="1"/>
  <c r="G1600" i="21"/>
  <c r="H1600" i="21" s="1"/>
  <c r="G1599" i="21"/>
  <c r="H1599" i="21" s="1"/>
  <c r="G1598" i="21"/>
  <c r="H1598" i="21" s="1"/>
  <c r="G1597" i="21"/>
  <c r="H1597" i="21" s="1"/>
  <c r="G1596" i="21"/>
  <c r="H1596" i="21" s="1"/>
  <c r="G1595" i="21"/>
  <c r="H1595" i="21" s="1"/>
  <c r="G1594" i="21"/>
  <c r="H1594" i="21" s="1"/>
  <c r="G1593" i="21"/>
  <c r="H1593" i="21" s="1"/>
  <c r="G1592" i="21"/>
  <c r="H1592" i="21" s="1"/>
  <c r="G1591" i="21"/>
  <c r="H1591" i="21" s="1"/>
  <c r="G1590" i="21"/>
  <c r="H1590" i="21" s="1"/>
  <c r="G1589" i="21"/>
  <c r="H1589" i="21" s="1"/>
  <c r="G1588" i="21"/>
  <c r="H1588" i="21" s="1"/>
  <c r="G1587" i="21"/>
  <c r="H1587" i="21" s="1"/>
  <c r="G1586" i="21"/>
  <c r="H1586" i="21" s="1"/>
  <c r="G1585" i="21"/>
  <c r="H1585" i="21" s="1"/>
  <c r="G1584" i="21"/>
  <c r="H1584" i="21" s="1"/>
  <c r="G1583" i="21"/>
  <c r="H1583" i="21" s="1"/>
  <c r="G1582" i="21"/>
  <c r="H1582" i="21" s="1"/>
  <c r="G1581" i="21"/>
  <c r="H1581" i="21" s="1"/>
  <c r="H1580" i="21"/>
  <c r="G1580" i="21"/>
  <c r="G1579" i="21"/>
  <c r="H1579" i="21" s="1"/>
  <c r="G1578" i="21"/>
  <c r="H1578" i="21" s="1"/>
  <c r="G1577" i="21"/>
  <c r="H1577" i="21" s="1"/>
  <c r="G1576" i="21"/>
  <c r="H1576" i="21" s="1"/>
  <c r="G1575" i="21"/>
  <c r="H1575" i="21" s="1"/>
  <c r="G1574" i="21"/>
  <c r="H1574" i="21" s="1"/>
  <c r="G1573" i="21"/>
  <c r="H1573" i="21" s="1"/>
  <c r="G1572" i="21"/>
  <c r="H1572" i="21" s="1"/>
  <c r="H1571" i="21"/>
  <c r="G1571" i="21"/>
  <c r="G1570" i="21"/>
  <c r="H1570" i="21" s="1"/>
  <c r="G1569" i="21"/>
  <c r="H1569" i="21" s="1"/>
  <c r="G1568" i="21"/>
  <c r="H1568" i="21" s="1"/>
  <c r="G1567" i="21"/>
  <c r="H1567" i="21" s="1"/>
  <c r="G1566" i="21"/>
  <c r="H1566" i="21" s="1"/>
  <c r="G1565" i="21"/>
  <c r="H1565" i="21" s="1"/>
  <c r="G1564" i="21"/>
  <c r="H1564" i="21" s="1"/>
  <c r="G1563" i="21"/>
  <c r="H1563" i="21" s="1"/>
  <c r="G1562" i="21"/>
  <c r="H1562" i="21" s="1"/>
  <c r="G1561" i="21"/>
  <c r="H1561" i="21" s="1"/>
  <c r="H1560" i="21"/>
  <c r="G1560" i="21"/>
  <c r="G1559" i="21"/>
  <c r="H1559" i="21" s="1"/>
  <c r="G1558" i="21"/>
  <c r="H1558" i="21" s="1"/>
  <c r="G1557" i="21"/>
  <c r="H1557" i="21" s="1"/>
  <c r="G1556" i="21"/>
  <c r="H1556" i="21" s="1"/>
  <c r="G1555" i="21"/>
  <c r="H1555" i="21" s="1"/>
  <c r="G1554" i="21"/>
  <c r="H1554" i="21" s="1"/>
  <c r="G1553" i="21"/>
  <c r="H1553" i="21" s="1"/>
  <c r="G1552" i="21"/>
  <c r="H1552" i="21" s="1"/>
  <c r="G1551" i="21"/>
  <c r="H1551" i="21" s="1"/>
  <c r="G1550" i="21"/>
  <c r="H1550" i="21" s="1"/>
  <c r="G1549" i="21"/>
  <c r="H1549" i="21" s="1"/>
  <c r="G1548" i="21"/>
  <c r="H1548" i="21" s="1"/>
  <c r="G1547" i="21"/>
  <c r="H1547" i="21" s="1"/>
  <c r="G1546" i="21"/>
  <c r="H1546" i="21" s="1"/>
  <c r="G1545" i="21"/>
  <c r="H1545" i="21" s="1"/>
  <c r="G1544" i="21"/>
  <c r="H1544" i="21" s="1"/>
  <c r="G1543" i="21"/>
  <c r="H1543" i="21" s="1"/>
  <c r="G1542" i="21"/>
  <c r="H1542" i="21" s="1"/>
  <c r="G1541" i="21"/>
  <c r="H1541" i="21" s="1"/>
  <c r="G1540" i="21"/>
  <c r="H1540" i="21" s="1"/>
  <c r="G1539" i="21"/>
  <c r="H1539" i="21" s="1"/>
  <c r="G1538" i="21"/>
  <c r="H1538" i="21" s="1"/>
  <c r="G1537" i="21"/>
  <c r="H1537" i="21" s="1"/>
  <c r="G1536" i="21"/>
  <c r="H1536" i="21" s="1"/>
  <c r="G1535" i="21"/>
  <c r="H1535" i="21" s="1"/>
  <c r="G1534" i="21"/>
  <c r="H1534" i="21" s="1"/>
  <c r="G1533" i="21"/>
  <c r="H1533" i="21" s="1"/>
  <c r="G1532" i="21"/>
  <c r="H1532" i="21" s="1"/>
  <c r="G1531" i="21"/>
  <c r="H1531" i="21" s="1"/>
  <c r="G1530" i="21"/>
  <c r="H1530" i="21" s="1"/>
  <c r="G1529" i="21"/>
  <c r="H1529" i="21" s="1"/>
  <c r="G1528" i="21"/>
  <c r="H1528" i="21" s="1"/>
  <c r="G1527" i="21"/>
  <c r="H1527" i="21" s="1"/>
  <c r="G1526" i="21"/>
  <c r="H1526" i="21" s="1"/>
  <c r="G1525" i="21"/>
  <c r="H1525" i="21" s="1"/>
  <c r="G1524" i="21"/>
  <c r="H1524" i="21" s="1"/>
  <c r="G1523" i="21"/>
  <c r="H1523" i="21" s="1"/>
  <c r="G1522" i="21"/>
  <c r="H1522" i="21" s="1"/>
  <c r="G1521" i="21"/>
  <c r="H1521" i="21" s="1"/>
  <c r="G1520" i="21"/>
  <c r="H1520" i="21" s="1"/>
  <c r="G1519" i="21"/>
  <c r="H1519" i="21" s="1"/>
  <c r="G1518" i="21"/>
  <c r="H1518" i="21" s="1"/>
  <c r="G1517" i="21"/>
  <c r="H1517" i="21" s="1"/>
  <c r="G1516" i="21"/>
  <c r="H1516" i="21" s="1"/>
  <c r="G1515" i="21"/>
  <c r="H1515" i="21" s="1"/>
  <c r="G1514" i="21"/>
  <c r="H1514" i="21" s="1"/>
  <c r="G1513" i="21"/>
  <c r="H1513" i="21" s="1"/>
  <c r="G1512" i="21"/>
  <c r="H1512" i="21" s="1"/>
  <c r="G1511" i="21"/>
  <c r="H1511" i="21" s="1"/>
  <c r="G1510" i="21"/>
  <c r="H1510" i="21" s="1"/>
  <c r="G1509" i="21"/>
  <c r="H1509" i="21" s="1"/>
  <c r="G1508" i="21"/>
  <c r="H1508" i="21" s="1"/>
  <c r="G1507" i="21"/>
  <c r="H1507" i="21" s="1"/>
  <c r="G1506" i="21"/>
  <c r="H1506" i="21" s="1"/>
  <c r="G1505" i="21"/>
  <c r="H1505" i="21" s="1"/>
  <c r="G1504" i="21"/>
  <c r="H1504" i="21" s="1"/>
  <c r="G1503" i="21"/>
  <c r="H1503" i="21" s="1"/>
  <c r="G1502" i="21"/>
  <c r="H1502" i="21" s="1"/>
  <c r="G1501" i="21"/>
  <c r="H1501" i="21" s="1"/>
  <c r="G1500" i="21"/>
  <c r="H1500" i="21" s="1"/>
  <c r="G1499" i="21"/>
  <c r="H1499" i="21" s="1"/>
  <c r="G1498" i="21"/>
  <c r="H1498" i="21" s="1"/>
  <c r="G1497" i="21"/>
  <c r="H1497" i="21" s="1"/>
  <c r="G1496" i="21"/>
  <c r="H1496" i="21" s="1"/>
  <c r="G1495" i="21"/>
  <c r="H1495" i="21" s="1"/>
  <c r="G1494" i="21"/>
  <c r="H1494" i="21" s="1"/>
  <c r="G1493" i="21"/>
  <c r="H1493" i="21" s="1"/>
  <c r="G1492" i="21"/>
  <c r="H1492" i="21" s="1"/>
  <c r="G1491" i="21"/>
  <c r="H1491" i="21" s="1"/>
  <c r="G1490" i="21"/>
  <c r="H1490" i="21" s="1"/>
  <c r="G1489" i="21"/>
  <c r="H1489" i="21" s="1"/>
  <c r="G1488" i="21"/>
  <c r="H1488" i="21" s="1"/>
  <c r="G1487" i="21"/>
  <c r="H1487" i="21" s="1"/>
  <c r="G1486" i="21"/>
  <c r="H1486" i="21" s="1"/>
  <c r="G1485" i="21"/>
  <c r="H1485" i="21" s="1"/>
  <c r="G1484" i="21"/>
  <c r="H1484" i="21" s="1"/>
  <c r="G1483" i="21"/>
  <c r="H1483" i="21" s="1"/>
  <c r="G1482" i="21"/>
  <c r="H1482" i="21" s="1"/>
  <c r="G1481" i="21"/>
  <c r="H1481" i="21" s="1"/>
  <c r="G1480" i="21"/>
  <c r="H1480" i="21" s="1"/>
  <c r="G1479" i="21"/>
  <c r="H1479" i="21" s="1"/>
  <c r="G1478" i="21"/>
  <c r="H1478" i="21" s="1"/>
  <c r="G1477" i="21"/>
  <c r="H1477" i="21" s="1"/>
  <c r="G1476" i="21"/>
  <c r="H1476" i="21" s="1"/>
  <c r="G1475" i="21"/>
  <c r="H1475" i="21" s="1"/>
  <c r="G1474" i="21"/>
  <c r="H1474" i="21" s="1"/>
  <c r="G1473" i="21"/>
  <c r="H1473" i="21" s="1"/>
  <c r="G1472" i="21"/>
  <c r="H1472" i="21" s="1"/>
  <c r="G1471" i="21"/>
  <c r="H1471" i="21" s="1"/>
  <c r="G1470" i="21"/>
  <c r="H1470" i="21" s="1"/>
  <c r="G1469" i="21"/>
  <c r="H1469" i="21" s="1"/>
  <c r="G1468" i="21"/>
  <c r="H1468" i="21" s="1"/>
  <c r="G1467" i="21"/>
  <c r="H1467" i="21" s="1"/>
  <c r="G1466" i="21"/>
  <c r="H1466" i="21" s="1"/>
  <c r="G1465" i="21"/>
  <c r="H1465" i="21" s="1"/>
  <c r="G1464" i="21"/>
  <c r="H1464" i="21" s="1"/>
  <c r="G1463" i="21"/>
  <c r="H1463" i="21" s="1"/>
  <c r="G1462" i="21"/>
  <c r="H1462" i="21" s="1"/>
  <c r="G1461" i="21"/>
  <c r="H1461" i="21" s="1"/>
  <c r="G1460" i="21"/>
  <c r="H1460" i="21" s="1"/>
  <c r="G1459" i="21"/>
  <c r="H1459" i="21" s="1"/>
  <c r="G1458" i="21"/>
  <c r="H1458" i="21" s="1"/>
  <c r="G1457" i="21"/>
  <c r="H1457" i="21" s="1"/>
  <c r="G1456" i="21"/>
  <c r="H1456" i="21" s="1"/>
  <c r="G1455" i="21"/>
  <c r="H1455" i="21" s="1"/>
  <c r="G1454" i="21"/>
  <c r="H1454" i="21" s="1"/>
  <c r="G1453" i="21"/>
  <c r="H1453" i="21" s="1"/>
  <c r="G1452" i="21"/>
  <c r="H1452" i="21" s="1"/>
  <c r="G1451" i="21"/>
  <c r="H1451" i="21" s="1"/>
  <c r="G1450" i="21"/>
  <c r="H1450" i="21" s="1"/>
  <c r="G1449" i="21"/>
  <c r="H1449" i="21" s="1"/>
  <c r="G1448" i="21"/>
  <c r="H1448" i="21" s="1"/>
  <c r="G1447" i="21"/>
  <c r="H1447" i="21" s="1"/>
  <c r="G1446" i="21"/>
  <c r="H1446" i="21" s="1"/>
  <c r="G1445" i="21"/>
  <c r="H1445" i="21" s="1"/>
  <c r="G1444" i="21"/>
  <c r="H1444" i="21" s="1"/>
  <c r="G1443" i="21"/>
  <c r="H1443" i="21" s="1"/>
  <c r="G1442" i="21"/>
  <c r="H1442" i="21" s="1"/>
  <c r="G1441" i="21"/>
  <c r="H1441" i="21" s="1"/>
  <c r="G1440" i="21"/>
  <c r="H1440" i="21" s="1"/>
  <c r="G1439" i="21"/>
  <c r="H1439" i="21" s="1"/>
  <c r="G1438" i="21"/>
  <c r="H1438" i="21" s="1"/>
  <c r="G1437" i="21"/>
  <c r="H1437" i="21" s="1"/>
  <c r="G1436" i="21"/>
  <c r="H1436" i="21" s="1"/>
  <c r="G1435" i="21"/>
  <c r="H1435" i="21" s="1"/>
  <c r="G1434" i="21"/>
  <c r="H1434" i="21" s="1"/>
  <c r="G1433" i="21"/>
  <c r="H1433" i="21" s="1"/>
  <c r="G1432" i="21"/>
  <c r="H1432" i="21" s="1"/>
  <c r="G1431" i="21"/>
  <c r="H1431" i="21" s="1"/>
  <c r="G1430" i="21"/>
  <c r="H1430" i="21" s="1"/>
  <c r="G1429" i="21"/>
  <c r="H1429" i="21" s="1"/>
  <c r="G1428" i="21"/>
  <c r="H1428" i="21" s="1"/>
  <c r="G1427" i="21"/>
  <c r="H1427" i="21" s="1"/>
  <c r="G1426" i="21"/>
  <c r="H1426" i="21" s="1"/>
  <c r="G1425" i="21"/>
  <c r="H1425" i="21" s="1"/>
  <c r="G1424" i="21"/>
  <c r="H1424" i="21" s="1"/>
  <c r="G1423" i="21"/>
  <c r="H1423" i="21" s="1"/>
  <c r="G1422" i="21"/>
  <c r="H1422" i="21" s="1"/>
  <c r="G1421" i="21"/>
  <c r="H1421" i="21" s="1"/>
  <c r="G1420" i="21"/>
  <c r="H1420" i="21" s="1"/>
  <c r="G1419" i="21"/>
  <c r="H1419" i="21" s="1"/>
  <c r="G1418" i="21"/>
  <c r="H1418" i="21" s="1"/>
  <c r="G1417" i="21"/>
  <c r="H1417" i="21" s="1"/>
  <c r="G1416" i="21"/>
  <c r="H1416" i="21" s="1"/>
  <c r="G1415" i="21"/>
  <c r="H1415" i="21" s="1"/>
  <c r="G1414" i="21"/>
  <c r="H1414" i="21" s="1"/>
  <c r="G1413" i="21"/>
  <c r="H1413" i="21" s="1"/>
  <c r="G1412" i="21"/>
  <c r="H1412" i="21" s="1"/>
  <c r="G1411" i="21"/>
  <c r="H1411" i="21" s="1"/>
  <c r="G1410" i="21"/>
  <c r="H1410" i="21" s="1"/>
  <c r="G1409" i="21"/>
  <c r="H1409" i="21" s="1"/>
  <c r="G1408" i="21"/>
  <c r="H1408" i="21" s="1"/>
  <c r="G1407" i="21"/>
  <c r="H1407" i="21" s="1"/>
  <c r="G1406" i="21"/>
  <c r="H1406" i="21" s="1"/>
  <c r="G1405" i="21"/>
  <c r="H1405" i="21" s="1"/>
  <c r="G1404" i="21"/>
  <c r="H1404" i="21" s="1"/>
  <c r="G1403" i="21"/>
  <c r="H1403" i="21" s="1"/>
  <c r="G1402" i="21"/>
  <c r="H1402" i="21" s="1"/>
  <c r="G1401" i="21"/>
  <c r="H1401" i="21" s="1"/>
  <c r="G1400" i="21"/>
  <c r="H1400" i="21" s="1"/>
  <c r="G1399" i="21"/>
  <c r="H1399" i="21" s="1"/>
  <c r="G1398" i="21"/>
  <c r="H1398" i="21" s="1"/>
  <c r="G1397" i="21"/>
  <c r="H1397" i="21" s="1"/>
  <c r="G1396" i="21"/>
  <c r="H1396" i="21" s="1"/>
  <c r="G1395" i="21"/>
  <c r="H1395" i="21" s="1"/>
  <c r="H1394" i="21"/>
  <c r="G1394" i="21"/>
  <c r="G1393" i="21"/>
  <c r="H1393" i="21" s="1"/>
  <c r="H1392" i="21"/>
  <c r="G1392" i="21"/>
  <c r="H1391" i="21"/>
  <c r="G1391" i="21"/>
  <c r="G1390" i="21"/>
  <c r="H1390" i="21" s="1"/>
  <c r="G1389" i="21"/>
  <c r="H1389" i="21" s="1"/>
  <c r="H1388" i="21"/>
  <c r="G1388" i="21"/>
  <c r="G1387" i="21"/>
  <c r="H1387" i="21" s="1"/>
  <c r="H1386" i="21"/>
  <c r="G1386" i="21"/>
  <c r="H1385" i="21"/>
  <c r="G1385" i="21"/>
  <c r="G1384" i="21"/>
  <c r="H1384" i="21" s="1"/>
  <c r="G1383" i="21"/>
  <c r="H1383" i="21" s="1"/>
  <c r="H1382" i="21"/>
  <c r="G1382" i="21"/>
  <c r="G1381" i="21"/>
  <c r="H1381" i="21" s="1"/>
  <c r="H1380" i="21"/>
  <c r="G1380" i="21"/>
  <c r="H1379" i="21"/>
  <c r="G1379" i="21"/>
  <c r="G1378" i="21"/>
  <c r="H1378" i="21" s="1"/>
  <c r="G1377" i="21"/>
  <c r="H1377" i="21" s="1"/>
  <c r="H1376" i="21"/>
  <c r="G1376" i="21"/>
  <c r="G1375" i="21"/>
  <c r="H1375" i="21" s="1"/>
  <c r="G1374" i="21"/>
  <c r="H1374" i="21" s="1"/>
  <c r="G1373" i="21"/>
  <c r="H1373" i="21" s="1"/>
  <c r="G1372" i="21"/>
  <c r="H1372" i="21" s="1"/>
  <c r="G1371" i="21"/>
  <c r="H1371" i="21" s="1"/>
  <c r="G1370" i="21"/>
  <c r="H1370" i="21" s="1"/>
  <c r="G1369" i="21"/>
  <c r="H1369" i="21" s="1"/>
  <c r="G1368" i="21"/>
  <c r="H1368" i="21" s="1"/>
  <c r="G1367" i="21"/>
  <c r="H1367" i="21" s="1"/>
  <c r="G1366" i="21"/>
  <c r="H1366" i="21" s="1"/>
  <c r="G1365" i="21"/>
  <c r="H1365" i="21" s="1"/>
  <c r="G1364" i="21"/>
  <c r="H1364" i="21" s="1"/>
  <c r="G1363" i="21"/>
  <c r="H1363" i="21" s="1"/>
  <c r="G1362" i="21"/>
  <c r="H1362" i="21" s="1"/>
  <c r="G1361" i="21"/>
  <c r="H1361" i="21" s="1"/>
  <c r="G1360" i="21"/>
  <c r="H1360" i="21" s="1"/>
  <c r="G1359" i="21"/>
  <c r="H1359" i="21" s="1"/>
  <c r="G1358" i="21"/>
  <c r="H1358" i="21" s="1"/>
  <c r="G1357" i="21"/>
  <c r="H1357" i="21" s="1"/>
  <c r="G1356" i="21"/>
  <c r="H1356" i="21" s="1"/>
  <c r="G1355" i="21"/>
  <c r="H1355" i="21" s="1"/>
  <c r="G1354" i="21"/>
  <c r="H1354" i="21" s="1"/>
  <c r="G1353" i="21"/>
  <c r="H1353" i="21" s="1"/>
  <c r="G1352" i="21"/>
  <c r="H1352" i="21" s="1"/>
  <c r="G1351" i="21"/>
  <c r="H1351" i="21" s="1"/>
  <c r="G1350" i="21"/>
  <c r="H1350" i="21" s="1"/>
  <c r="G1349" i="21"/>
  <c r="H1349" i="21" s="1"/>
  <c r="G1348" i="21"/>
  <c r="H1348" i="21" s="1"/>
  <c r="G1347" i="21"/>
  <c r="H1347" i="21" s="1"/>
  <c r="G1346" i="21"/>
  <c r="H1346" i="21" s="1"/>
  <c r="G1345" i="21"/>
  <c r="H1345" i="21" s="1"/>
  <c r="G1344" i="21"/>
  <c r="H1344" i="21" s="1"/>
  <c r="G1343" i="21"/>
  <c r="H1343" i="21" s="1"/>
  <c r="G1342" i="21"/>
  <c r="H1342" i="21" s="1"/>
  <c r="G1341" i="21"/>
  <c r="H1341" i="21" s="1"/>
  <c r="G1340" i="21"/>
  <c r="H1340" i="21" s="1"/>
  <c r="G1339" i="21"/>
  <c r="H1339" i="21" s="1"/>
  <c r="G1338" i="21"/>
  <c r="H1338" i="21" s="1"/>
  <c r="G1337" i="21"/>
  <c r="H1337" i="21" s="1"/>
  <c r="G1336" i="21"/>
  <c r="H1336" i="21" s="1"/>
  <c r="G1335" i="21"/>
  <c r="H1335" i="21" s="1"/>
  <c r="G1334" i="21"/>
  <c r="H1334" i="21" s="1"/>
  <c r="G1333" i="21"/>
  <c r="H1333" i="21" s="1"/>
  <c r="G1332" i="21"/>
  <c r="H1332" i="21" s="1"/>
  <c r="G1331" i="21"/>
  <c r="H1331" i="21" s="1"/>
  <c r="G1330" i="21"/>
  <c r="H1330" i="21" s="1"/>
  <c r="G1329" i="21"/>
  <c r="H1329" i="21" s="1"/>
  <c r="G1328" i="21"/>
  <c r="H1328" i="21" s="1"/>
  <c r="G1327" i="21"/>
  <c r="H1327" i="21" s="1"/>
  <c r="G1326" i="21"/>
  <c r="H1326" i="21" s="1"/>
  <c r="G1325" i="21"/>
  <c r="H1325" i="21" s="1"/>
  <c r="G1324" i="21"/>
  <c r="H1324" i="21" s="1"/>
  <c r="G1323" i="21"/>
  <c r="H1323" i="21" s="1"/>
  <c r="G1322" i="21"/>
  <c r="H1322" i="21" s="1"/>
  <c r="G1321" i="21"/>
  <c r="H1321" i="21" s="1"/>
  <c r="G1320" i="21"/>
  <c r="H1320" i="21" s="1"/>
  <c r="G1319" i="21"/>
  <c r="H1319" i="21" s="1"/>
  <c r="G1318" i="21"/>
  <c r="H1318" i="21" s="1"/>
  <c r="G1317" i="21"/>
  <c r="H1317" i="21" s="1"/>
  <c r="G1316" i="21"/>
  <c r="H1316" i="21" s="1"/>
  <c r="G1315" i="21"/>
  <c r="H1315" i="21" s="1"/>
  <c r="G1314" i="21"/>
  <c r="H1314" i="21" s="1"/>
  <c r="G1313" i="21"/>
  <c r="H1313" i="21" s="1"/>
  <c r="G1312" i="21"/>
  <c r="H1312" i="21" s="1"/>
  <c r="G1311" i="21"/>
  <c r="H1311" i="21" s="1"/>
  <c r="G1310" i="21"/>
  <c r="H1310" i="21" s="1"/>
  <c r="G1309" i="21"/>
  <c r="H1309" i="21" s="1"/>
  <c r="G1308" i="21"/>
  <c r="H1308" i="21" s="1"/>
  <c r="G1307" i="21"/>
  <c r="H1307" i="21" s="1"/>
  <c r="G1306" i="21"/>
  <c r="H1306" i="21" s="1"/>
  <c r="G1305" i="21"/>
  <c r="H1305" i="21" s="1"/>
  <c r="G1304" i="21"/>
  <c r="H1304" i="21" s="1"/>
  <c r="G1303" i="21"/>
  <c r="H1303" i="21" s="1"/>
  <c r="G1302" i="21"/>
  <c r="H1302" i="21" s="1"/>
  <c r="G1301" i="21"/>
  <c r="H1301" i="21" s="1"/>
  <c r="G1300" i="21"/>
  <c r="H1300" i="21" s="1"/>
  <c r="G1299" i="21"/>
  <c r="H1299" i="21" s="1"/>
  <c r="G1298" i="21"/>
  <c r="H1298" i="21" s="1"/>
  <c r="G1297" i="21"/>
  <c r="H1297" i="21" s="1"/>
  <c r="G1296" i="21"/>
  <c r="H1296" i="21" s="1"/>
  <c r="G1295" i="21"/>
  <c r="H1295" i="21" s="1"/>
  <c r="G1294" i="21"/>
  <c r="H1294" i="21" s="1"/>
  <c r="G1293" i="21"/>
  <c r="H1293" i="21" s="1"/>
  <c r="G1292" i="21"/>
  <c r="H1292" i="21" s="1"/>
  <c r="G1291" i="21"/>
  <c r="H1291" i="21" s="1"/>
  <c r="G1290" i="21"/>
  <c r="H1290" i="21" s="1"/>
  <c r="G1289" i="21"/>
  <c r="H1289" i="21" s="1"/>
  <c r="G1288" i="21"/>
  <c r="H1288" i="21" s="1"/>
  <c r="G1287" i="21"/>
  <c r="H1287" i="21" s="1"/>
  <c r="G1286" i="21"/>
  <c r="H1286" i="21" s="1"/>
  <c r="G1285" i="21"/>
  <c r="H1285" i="21" s="1"/>
  <c r="G1284" i="21"/>
  <c r="H1284" i="21" s="1"/>
  <c r="G1283" i="21"/>
  <c r="H1283" i="21" s="1"/>
  <c r="G1282" i="21"/>
  <c r="H1282" i="21" s="1"/>
  <c r="G1281" i="21"/>
  <c r="H1281" i="21" s="1"/>
  <c r="G1280" i="21"/>
  <c r="H1280" i="21" s="1"/>
  <c r="G1279" i="21"/>
  <c r="H1279" i="21" s="1"/>
  <c r="G1278" i="21"/>
  <c r="H1278" i="21" s="1"/>
  <c r="G1277" i="21"/>
  <c r="H1277" i="21" s="1"/>
  <c r="G1276" i="21"/>
  <c r="H1276" i="21" s="1"/>
  <c r="G1275" i="21"/>
  <c r="H1275" i="21" s="1"/>
  <c r="G1274" i="21"/>
  <c r="H1274" i="21" s="1"/>
  <c r="G1273" i="21"/>
  <c r="H1273" i="21" s="1"/>
  <c r="G1272" i="21"/>
  <c r="H1272" i="21" s="1"/>
  <c r="G1271" i="21"/>
  <c r="H1271" i="21" s="1"/>
  <c r="G1270" i="21"/>
  <c r="H1270" i="21" s="1"/>
  <c r="G1269" i="21"/>
  <c r="H1269" i="21" s="1"/>
  <c r="G1268" i="21"/>
  <c r="H1268" i="21" s="1"/>
  <c r="G1267" i="21"/>
  <c r="H1267" i="21" s="1"/>
  <c r="G1266" i="21"/>
  <c r="H1266" i="21" s="1"/>
  <c r="G1265" i="21"/>
  <c r="H1265" i="21" s="1"/>
  <c r="G1264" i="21"/>
  <c r="H1264" i="21" s="1"/>
  <c r="G1263" i="21"/>
  <c r="H1263" i="21" s="1"/>
  <c r="G1262" i="21"/>
  <c r="H1262" i="21" s="1"/>
  <c r="G1261" i="21"/>
  <c r="H1261" i="21" s="1"/>
  <c r="G1260" i="21"/>
  <c r="H1260" i="21" s="1"/>
  <c r="G1259" i="21"/>
  <c r="H1259" i="21" s="1"/>
  <c r="G1258" i="21"/>
  <c r="H1258" i="21" s="1"/>
  <c r="G1257" i="21"/>
  <c r="H1257" i="21" s="1"/>
  <c r="G1256" i="21"/>
  <c r="H1256" i="21" s="1"/>
  <c r="G1255" i="21"/>
  <c r="H1255" i="21" s="1"/>
  <c r="G1254" i="21"/>
  <c r="H1254" i="21" s="1"/>
  <c r="G1253" i="21"/>
  <c r="H1253" i="21" s="1"/>
  <c r="G1252" i="21"/>
  <c r="H1252" i="21" s="1"/>
  <c r="G1251" i="21"/>
  <c r="H1251" i="21" s="1"/>
  <c r="G1250" i="21"/>
  <c r="H1250" i="21" s="1"/>
  <c r="G1249" i="21"/>
  <c r="H1249" i="21" s="1"/>
  <c r="G1248" i="21"/>
  <c r="H1248" i="21" s="1"/>
  <c r="G1247" i="21"/>
  <c r="H1247" i="21" s="1"/>
  <c r="G1246" i="21"/>
  <c r="H1246" i="21" s="1"/>
  <c r="G1245" i="21"/>
  <c r="H1245" i="21" s="1"/>
  <c r="G1244" i="21"/>
  <c r="H1244" i="21" s="1"/>
  <c r="G1243" i="21"/>
  <c r="H1243" i="21" s="1"/>
  <c r="G1242" i="21"/>
  <c r="H1242" i="21" s="1"/>
  <c r="G1241" i="21"/>
  <c r="H1241" i="21" s="1"/>
  <c r="G1240" i="21"/>
  <c r="H1240" i="21" s="1"/>
  <c r="G1239" i="21"/>
  <c r="H1239" i="21" s="1"/>
  <c r="G1238" i="21"/>
  <c r="H1238" i="21" s="1"/>
  <c r="G1237" i="21"/>
  <c r="H1237" i="21" s="1"/>
  <c r="G1236" i="21"/>
  <c r="H1236" i="21" s="1"/>
  <c r="G1235" i="21"/>
  <c r="H1235" i="21" s="1"/>
  <c r="G1234" i="21"/>
  <c r="H1234" i="21" s="1"/>
  <c r="G1233" i="21"/>
  <c r="H1233" i="21" s="1"/>
  <c r="G1232" i="21"/>
  <c r="H1232" i="21" s="1"/>
  <c r="G1231" i="21"/>
  <c r="H1231" i="21" s="1"/>
  <c r="G1230" i="21"/>
  <c r="H1230" i="21" s="1"/>
  <c r="G1229" i="21"/>
  <c r="H1229" i="21" s="1"/>
  <c r="G1228" i="21"/>
  <c r="H1228" i="21" s="1"/>
  <c r="G1227" i="21"/>
  <c r="H1227" i="21" s="1"/>
  <c r="G1226" i="21"/>
  <c r="H1226" i="21" s="1"/>
  <c r="G1225" i="21"/>
  <c r="H1225" i="21" s="1"/>
  <c r="G1224" i="21"/>
  <c r="H1224" i="21" s="1"/>
  <c r="G1223" i="21"/>
  <c r="H1223" i="21" s="1"/>
  <c r="G1222" i="21"/>
  <c r="H1222" i="21" s="1"/>
  <c r="G1221" i="21"/>
  <c r="H1221" i="21" s="1"/>
  <c r="G1220" i="21"/>
  <c r="H1220" i="21" s="1"/>
  <c r="G1219" i="21"/>
  <c r="H1219" i="21" s="1"/>
  <c r="G1218" i="21"/>
  <c r="H1218" i="21" s="1"/>
  <c r="G1217" i="21"/>
  <c r="H1217" i="21" s="1"/>
  <c r="G1216" i="21"/>
  <c r="H1216" i="21" s="1"/>
  <c r="G1215" i="21"/>
  <c r="H1215" i="21" s="1"/>
  <c r="G1214" i="21"/>
  <c r="H1214" i="21" s="1"/>
  <c r="G1213" i="21"/>
  <c r="H1213" i="21" s="1"/>
  <c r="G1212" i="21"/>
  <c r="H1212" i="21" s="1"/>
  <c r="G1211" i="21"/>
  <c r="H1211" i="21" s="1"/>
  <c r="G1210" i="21"/>
  <c r="H1210" i="21" s="1"/>
  <c r="G1209" i="21"/>
  <c r="H1209" i="21" s="1"/>
  <c r="G1208" i="21"/>
  <c r="H1208" i="21" s="1"/>
  <c r="G1207" i="21"/>
  <c r="H1207" i="21" s="1"/>
  <c r="G1206" i="21"/>
  <c r="H1206" i="21" s="1"/>
  <c r="G1205" i="21"/>
  <c r="H1205" i="21" s="1"/>
  <c r="G1204" i="21"/>
  <c r="H1204" i="21" s="1"/>
  <c r="G1203" i="21"/>
  <c r="H1203" i="21" s="1"/>
  <c r="G1202" i="21"/>
  <c r="H1202" i="21" s="1"/>
  <c r="G1201" i="21"/>
  <c r="H1201" i="21" s="1"/>
  <c r="G1200" i="21"/>
  <c r="H1200" i="21" s="1"/>
  <c r="G1199" i="21"/>
  <c r="H1199" i="21" s="1"/>
  <c r="G1198" i="21"/>
  <c r="H1198" i="21" s="1"/>
  <c r="G1197" i="21"/>
  <c r="H1197" i="21" s="1"/>
  <c r="G1196" i="21"/>
  <c r="H1196" i="21" s="1"/>
  <c r="G1195" i="21"/>
  <c r="H1195" i="21" s="1"/>
  <c r="G1194" i="21"/>
  <c r="H1194" i="21" s="1"/>
  <c r="G1193" i="21"/>
  <c r="H1193" i="21" s="1"/>
  <c r="G1192" i="21"/>
  <c r="H1192" i="21" s="1"/>
  <c r="G1191" i="21"/>
  <c r="H1191" i="21" s="1"/>
  <c r="G1190" i="21"/>
  <c r="H1190" i="21" s="1"/>
  <c r="G1189" i="21"/>
  <c r="H1189" i="21" s="1"/>
  <c r="G1188" i="21"/>
  <c r="H1188" i="21" s="1"/>
  <c r="G1187" i="21"/>
  <c r="H1187" i="21" s="1"/>
  <c r="G1186" i="21"/>
  <c r="H1186" i="21" s="1"/>
  <c r="G1185" i="21"/>
  <c r="H1185" i="21" s="1"/>
  <c r="G1184" i="21"/>
  <c r="H1184" i="21" s="1"/>
  <c r="G1183" i="21"/>
  <c r="H1183" i="21" s="1"/>
  <c r="G1182" i="21"/>
  <c r="H1182" i="21" s="1"/>
  <c r="G1181" i="21"/>
  <c r="H1181" i="21" s="1"/>
  <c r="G1180" i="21"/>
  <c r="H1180" i="21" s="1"/>
  <c r="G1179" i="21"/>
  <c r="H1179" i="21" s="1"/>
  <c r="G1178" i="21"/>
  <c r="H1178" i="21" s="1"/>
  <c r="G1177" i="21"/>
  <c r="H1177" i="21" s="1"/>
  <c r="G1176" i="21"/>
  <c r="H1176" i="21" s="1"/>
  <c r="G1175" i="21"/>
  <c r="H1175" i="21" s="1"/>
  <c r="G1174" i="21"/>
  <c r="H1174" i="21" s="1"/>
  <c r="G1173" i="21"/>
  <c r="H1173" i="21" s="1"/>
  <c r="G1172" i="21"/>
  <c r="H1172" i="21" s="1"/>
  <c r="G1171" i="21"/>
  <c r="H1171" i="21" s="1"/>
  <c r="G1170" i="21"/>
  <c r="H1170" i="21" s="1"/>
  <c r="G1169" i="21"/>
  <c r="H1169" i="21" s="1"/>
  <c r="G1168" i="21"/>
  <c r="H1168" i="21" s="1"/>
  <c r="G1167" i="21"/>
  <c r="H1167" i="21" s="1"/>
  <c r="H73" i="2" s="1"/>
  <c r="G73" i="2" s="1"/>
  <c r="G1166" i="21"/>
  <c r="H1166" i="21" s="1"/>
  <c r="G1165" i="21"/>
  <c r="H1165" i="21" s="1"/>
  <c r="G1164" i="21"/>
  <c r="H1164" i="21" s="1"/>
  <c r="G1163" i="21"/>
  <c r="H1163" i="21" s="1"/>
  <c r="G1162" i="21"/>
  <c r="H1162" i="21" s="1"/>
  <c r="G1161" i="21"/>
  <c r="H1161" i="21" s="1"/>
  <c r="G1160" i="21"/>
  <c r="H1160" i="21" s="1"/>
  <c r="G1159" i="21"/>
  <c r="H1159" i="21" s="1"/>
  <c r="G1158" i="21"/>
  <c r="H1158" i="21" s="1"/>
  <c r="G1157" i="21"/>
  <c r="H1157" i="21" s="1"/>
  <c r="G1156" i="21"/>
  <c r="H1156" i="21" s="1"/>
  <c r="G1155" i="21"/>
  <c r="H1155" i="21" s="1"/>
  <c r="G1154" i="21"/>
  <c r="H1154" i="21" s="1"/>
  <c r="G1153" i="21"/>
  <c r="H1153" i="21" s="1"/>
  <c r="G1152" i="21"/>
  <c r="H1152" i="21" s="1"/>
  <c r="G1151" i="21"/>
  <c r="H1151" i="21" s="1"/>
  <c r="G1150" i="21"/>
  <c r="H1150" i="21" s="1"/>
  <c r="G1149" i="21"/>
  <c r="H1149" i="21" s="1"/>
  <c r="G1148" i="21"/>
  <c r="H1148" i="21" s="1"/>
  <c r="G1147" i="21"/>
  <c r="H1147" i="21" s="1"/>
  <c r="G1146" i="21"/>
  <c r="H1146" i="21" s="1"/>
  <c r="G1145" i="21"/>
  <c r="H1145" i="21" s="1"/>
  <c r="G1144" i="21"/>
  <c r="H1144" i="21" s="1"/>
  <c r="G1143" i="21"/>
  <c r="H1143" i="21" s="1"/>
  <c r="G1142" i="21"/>
  <c r="H1142" i="21" s="1"/>
  <c r="G1141" i="21"/>
  <c r="H1141" i="21" s="1"/>
  <c r="G1140" i="21"/>
  <c r="H1140" i="21" s="1"/>
  <c r="G1139" i="21"/>
  <c r="H1139" i="21" s="1"/>
  <c r="G1138" i="21"/>
  <c r="H1138" i="21" s="1"/>
  <c r="G1137" i="21"/>
  <c r="H1137" i="21" s="1"/>
  <c r="G1136" i="21"/>
  <c r="H1136" i="21" s="1"/>
  <c r="G1135" i="21"/>
  <c r="H1135" i="21" s="1"/>
  <c r="G1134" i="21"/>
  <c r="H1134" i="21" s="1"/>
  <c r="G1133" i="21"/>
  <c r="H1133" i="21" s="1"/>
  <c r="G1132" i="21"/>
  <c r="H1132" i="21" s="1"/>
  <c r="G1131" i="21"/>
  <c r="H1131" i="21" s="1"/>
  <c r="G1130" i="21"/>
  <c r="H1130" i="21" s="1"/>
  <c r="G1129" i="21"/>
  <c r="H1129" i="21" s="1"/>
  <c r="G1128" i="21"/>
  <c r="H1128" i="21" s="1"/>
  <c r="G1127" i="21"/>
  <c r="H1127" i="21" s="1"/>
  <c r="G1126" i="21"/>
  <c r="H1126" i="21" s="1"/>
  <c r="G1125" i="21"/>
  <c r="H1125" i="21" s="1"/>
  <c r="G1124" i="21"/>
  <c r="H1124" i="21" s="1"/>
  <c r="G1123" i="21"/>
  <c r="H1123" i="21" s="1"/>
  <c r="G1122" i="21"/>
  <c r="H1122" i="21" s="1"/>
  <c r="G1121" i="21"/>
  <c r="H1121" i="21" s="1"/>
  <c r="G1120" i="21"/>
  <c r="H1120" i="21" s="1"/>
  <c r="G1119" i="21"/>
  <c r="H1119" i="21" s="1"/>
  <c r="G1118" i="21"/>
  <c r="H1118" i="21" s="1"/>
  <c r="G1117" i="21"/>
  <c r="H1117" i="21" s="1"/>
  <c r="G1116" i="21"/>
  <c r="H1116" i="21" s="1"/>
  <c r="G1115" i="21"/>
  <c r="H1115" i="21" s="1"/>
  <c r="G1114" i="21"/>
  <c r="H1114" i="21" s="1"/>
  <c r="G1113" i="21"/>
  <c r="H1113" i="21" s="1"/>
  <c r="G1112" i="21"/>
  <c r="H1112" i="21" s="1"/>
  <c r="G1111" i="21"/>
  <c r="H1111" i="21" s="1"/>
  <c r="G1110" i="21"/>
  <c r="H1110" i="21" s="1"/>
  <c r="G1109" i="21"/>
  <c r="H1109" i="21" s="1"/>
  <c r="G1108" i="21"/>
  <c r="H1108" i="21" s="1"/>
  <c r="G1107" i="21"/>
  <c r="H1107" i="21" s="1"/>
  <c r="G1106" i="21"/>
  <c r="H1106" i="21" s="1"/>
  <c r="G1105" i="21"/>
  <c r="H1105" i="21" s="1"/>
  <c r="G1104" i="21"/>
  <c r="H1104" i="21" s="1"/>
  <c r="G1103" i="21"/>
  <c r="H1103" i="21" s="1"/>
  <c r="G1102" i="21"/>
  <c r="H1102" i="21" s="1"/>
  <c r="G1101" i="21"/>
  <c r="H1101" i="21" s="1"/>
  <c r="G1100" i="21"/>
  <c r="H1100" i="21" s="1"/>
  <c r="H1099" i="21"/>
  <c r="G1099" i="21"/>
  <c r="H1098" i="21"/>
  <c r="G1098" i="21"/>
  <c r="G1097" i="21"/>
  <c r="H1097" i="21" s="1"/>
  <c r="G1096" i="21"/>
  <c r="H1096" i="21" s="1"/>
  <c r="G1095" i="21"/>
  <c r="H1095" i="21" s="1"/>
  <c r="G1094" i="21"/>
  <c r="H1094" i="21" s="1"/>
  <c r="G1093" i="21"/>
  <c r="H1093" i="21" s="1"/>
  <c r="G1092" i="21"/>
  <c r="H1092" i="21" s="1"/>
  <c r="G1091" i="21"/>
  <c r="H1091" i="21" s="1"/>
  <c r="G1090" i="21"/>
  <c r="H1090" i="21" s="1"/>
  <c r="G1089" i="21"/>
  <c r="H1089" i="21" s="1"/>
  <c r="G1088" i="21"/>
  <c r="H1088" i="21" s="1"/>
  <c r="G1087" i="21"/>
  <c r="H1087" i="21" s="1"/>
  <c r="G1086" i="21"/>
  <c r="H1086" i="21" s="1"/>
  <c r="G1085" i="21"/>
  <c r="H1085" i="21" s="1"/>
  <c r="G1084" i="21"/>
  <c r="H1084" i="21" s="1"/>
  <c r="G1083" i="21"/>
  <c r="H1083" i="21" s="1"/>
  <c r="G1082" i="21"/>
  <c r="H1082" i="21" s="1"/>
  <c r="G1081" i="21"/>
  <c r="H1081" i="21" s="1"/>
  <c r="G1080" i="21"/>
  <c r="H1080" i="21" s="1"/>
  <c r="G1079" i="21"/>
  <c r="H1079" i="21" s="1"/>
  <c r="G1078" i="21"/>
  <c r="H1078" i="21" s="1"/>
  <c r="G1077" i="21"/>
  <c r="H1077" i="21" s="1"/>
  <c r="G1076" i="21"/>
  <c r="H1076" i="21" s="1"/>
  <c r="G1075" i="21"/>
  <c r="H1075" i="21" s="1"/>
  <c r="G1074" i="21"/>
  <c r="H1074" i="21" s="1"/>
  <c r="G1073" i="21"/>
  <c r="H1073" i="21" s="1"/>
  <c r="G1072" i="21"/>
  <c r="H1072" i="21" s="1"/>
  <c r="G1071" i="21"/>
  <c r="H1071" i="21" s="1"/>
  <c r="G1070" i="21"/>
  <c r="H1070" i="21" s="1"/>
  <c r="G1069" i="21"/>
  <c r="H1069" i="21" s="1"/>
  <c r="G1068" i="21"/>
  <c r="H1068" i="21" s="1"/>
  <c r="G1067" i="21"/>
  <c r="H1067" i="21" s="1"/>
  <c r="G1066" i="21"/>
  <c r="H1066" i="21" s="1"/>
  <c r="G1065" i="21"/>
  <c r="H1065" i="21" s="1"/>
  <c r="G1064" i="21"/>
  <c r="H1064" i="21" s="1"/>
  <c r="G1063" i="21"/>
  <c r="H1063" i="21" s="1"/>
  <c r="G1062" i="21"/>
  <c r="H1062" i="21" s="1"/>
  <c r="G1061" i="21"/>
  <c r="H1061" i="21" s="1"/>
  <c r="G1060" i="21"/>
  <c r="H1060" i="21" s="1"/>
  <c r="G1059" i="21"/>
  <c r="H1059" i="21" s="1"/>
  <c r="G1058" i="21"/>
  <c r="H1058" i="21" s="1"/>
  <c r="G1057" i="21"/>
  <c r="H1057" i="21" s="1"/>
  <c r="G1056" i="21"/>
  <c r="H1056" i="21" s="1"/>
  <c r="G1055" i="21"/>
  <c r="H1055" i="21" s="1"/>
  <c r="G1054" i="21"/>
  <c r="H1054" i="21" s="1"/>
  <c r="G1053" i="21"/>
  <c r="H1053" i="21" s="1"/>
  <c r="G1052" i="21"/>
  <c r="H1052" i="21" s="1"/>
  <c r="G1051" i="21"/>
  <c r="H1051" i="21" s="1"/>
  <c r="G1050" i="21"/>
  <c r="H1050" i="21" s="1"/>
  <c r="G1049" i="21"/>
  <c r="H1049" i="21" s="1"/>
  <c r="G1048" i="21"/>
  <c r="H1048" i="21" s="1"/>
  <c r="G1047" i="21"/>
  <c r="H1047" i="21" s="1"/>
  <c r="G1046" i="21"/>
  <c r="H1046" i="21" s="1"/>
  <c r="G1045" i="21"/>
  <c r="H1045" i="21" s="1"/>
  <c r="G1044" i="21"/>
  <c r="H1044" i="21" s="1"/>
  <c r="G1043" i="21"/>
  <c r="H1043" i="21" s="1"/>
  <c r="G1042" i="21"/>
  <c r="H1042" i="21" s="1"/>
  <c r="G1041" i="21"/>
  <c r="H1041" i="21" s="1"/>
  <c r="G1040" i="21"/>
  <c r="H1040" i="21" s="1"/>
  <c r="G1039" i="21"/>
  <c r="H1039" i="21" s="1"/>
  <c r="G1038" i="21"/>
  <c r="H1038" i="21" s="1"/>
  <c r="G1037" i="21"/>
  <c r="H1037" i="21" s="1"/>
  <c r="G1036" i="21"/>
  <c r="H1036" i="21" s="1"/>
  <c r="G1035" i="21"/>
  <c r="H1035" i="21" s="1"/>
  <c r="G1034" i="21"/>
  <c r="H1034" i="21" s="1"/>
  <c r="G1033" i="21"/>
  <c r="H1033" i="21" s="1"/>
  <c r="G1032" i="21"/>
  <c r="H1032" i="21" s="1"/>
  <c r="G1031" i="21"/>
  <c r="H1031" i="21" s="1"/>
  <c r="G1030" i="21"/>
  <c r="H1030" i="21" s="1"/>
  <c r="G1029" i="21"/>
  <c r="H1029" i="21" s="1"/>
  <c r="G1028" i="21"/>
  <c r="H1028" i="21" s="1"/>
  <c r="G1027" i="21"/>
  <c r="H1027" i="21" s="1"/>
  <c r="G1026" i="21"/>
  <c r="H1026" i="21" s="1"/>
  <c r="G1025" i="21"/>
  <c r="H1025" i="21" s="1"/>
  <c r="G1024" i="21"/>
  <c r="H1024" i="21" s="1"/>
  <c r="G1023" i="21"/>
  <c r="H1023" i="21" s="1"/>
  <c r="G1022" i="21"/>
  <c r="H1022" i="21" s="1"/>
  <c r="G1021" i="21"/>
  <c r="H1021" i="21" s="1"/>
  <c r="G1020" i="21"/>
  <c r="H1020" i="21" s="1"/>
  <c r="G1019" i="21"/>
  <c r="H1019" i="21" s="1"/>
  <c r="G1018" i="21"/>
  <c r="H1018" i="21" s="1"/>
  <c r="G1017" i="21"/>
  <c r="H1017" i="21" s="1"/>
  <c r="G1016" i="21"/>
  <c r="H1016" i="21" s="1"/>
  <c r="G1015" i="21"/>
  <c r="H1015" i="21" s="1"/>
  <c r="G1014" i="21"/>
  <c r="H1014" i="21" s="1"/>
  <c r="G1013" i="21"/>
  <c r="H1013" i="21" s="1"/>
  <c r="G1012" i="21"/>
  <c r="H1012" i="21" s="1"/>
  <c r="G1011" i="21"/>
  <c r="H1011" i="21" s="1"/>
  <c r="G1010" i="21"/>
  <c r="H1010" i="21" s="1"/>
  <c r="G1009" i="21"/>
  <c r="H1009" i="21" s="1"/>
  <c r="G1008" i="21"/>
  <c r="H1008" i="21" s="1"/>
  <c r="G1007" i="21"/>
  <c r="H1007" i="21" s="1"/>
  <c r="G1006" i="21"/>
  <c r="H1006" i="21" s="1"/>
  <c r="G1005" i="21"/>
  <c r="H1005" i="21" s="1"/>
  <c r="G1004" i="21"/>
  <c r="H1004" i="21" s="1"/>
  <c r="G1003" i="21"/>
  <c r="H1003" i="21" s="1"/>
  <c r="G1002" i="21"/>
  <c r="H1002" i="21" s="1"/>
  <c r="G1001" i="21"/>
  <c r="H1001" i="21" s="1"/>
  <c r="G1000" i="21"/>
  <c r="H1000" i="21" s="1"/>
  <c r="G999" i="21"/>
  <c r="H999" i="21" s="1"/>
  <c r="G998" i="21"/>
  <c r="H998" i="21" s="1"/>
  <c r="G997" i="21"/>
  <c r="H997" i="21" s="1"/>
  <c r="G996" i="21"/>
  <c r="H996" i="21" s="1"/>
  <c r="G995" i="21"/>
  <c r="H995" i="21" s="1"/>
  <c r="G994" i="21"/>
  <c r="H994" i="21" s="1"/>
  <c r="G993" i="21"/>
  <c r="H993" i="21" s="1"/>
  <c r="G992" i="21"/>
  <c r="H992" i="21" s="1"/>
  <c r="G991" i="21"/>
  <c r="H991" i="21" s="1"/>
  <c r="G990" i="21"/>
  <c r="H990" i="21" s="1"/>
  <c r="G989" i="21"/>
  <c r="H989" i="21" s="1"/>
  <c r="G988" i="21"/>
  <c r="H988" i="21" s="1"/>
  <c r="G987" i="21"/>
  <c r="H987" i="21" s="1"/>
  <c r="G986" i="21"/>
  <c r="H986" i="21" s="1"/>
  <c r="G985" i="21"/>
  <c r="H985" i="21" s="1"/>
  <c r="G984" i="21"/>
  <c r="H984" i="21" s="1"/>
  <c r="G983" i="21"/>
  <c r="H983" i="21" s="1"/>
  <c r="G982" i="21"/>
  <c r="H982" i="21" s="1"/>
  <c r="G981" i="21"/>
  <c r="H981" i="21" s="1"/>
  <c r="G980" i="21"/>
  <c r="H980" i="21" s="1"/>
  <c r="G979" i="21"/>
  <c r="H979" i="21" s="1"/>
  <c r="G978" i="21"/>
  <c r="H978" i="21" s="1"/>
  <c r="G977" i="21"/>
  <c r="H977" i="21" s="1"/>
  <c r="G976" i="21"/>
  <c r="H976" i="21" s="1"/>
  <c r="G975" i="21"/>
  <c r="H975" i="21" s="1"/>
  <c r="G974" i="21"/>
  <c r="H974" i="21" s="1"/>
  <c r="G973" i="21"/>
  <c r="H973" i="21" s="1"/>
  <c r="G972" i="21"/>
  <c r="H972" i="21" s="1"/>
  <c r="G971" i="21"/>
  <c r="H971" i="21" s="1"/>
  <c r="G970" i="21"/>
  <c r="H970" i="21" s="1"/>
  <c r="G969" i="21"/>
  <c r="H969" i="21" s="1"/>
  <c r="G968" i="21"/>
  <c r="H968" i="21" s="1"/>
  <c r="G967" i="21"/>
  <c r="H967" i="21" s="1"/>
  <c r="G966" i="21"/>
  <c r="H966" i="21" s="1"/>
  <c r="G965" i="21"/>
  <c r="H965" i="21" s="1"/>
  <c r="G964" i="21"/>
  <c r="H964" i="21" s="1"/>
  <c r="G963" i="21"/>
  <c r="H963" i="21" s="1"/>
  <c r="G962" i="21"/>
  <c r="H962" i="21" s="1"/>
  <c r="G961" i="21"/>
  <c r="H961" i="21" s="1"/>
  <c r="G960" i="21"/>
  <c r="H960" i="21" s="1"/>
  <c r="G959" i="21"/>
  <c r="H959" i="21" s="1"/>
  <c r="G958" i="21"/>
  <c r="H958" i="21" s="1"/>
  <c r="G957" i="21"/>
  <c r="H957" i="21" s="1"/>
  <c r="G956" i="21"/>
  <c r="H956" i="21" s="1"/>
  <c r="G955" i="21"/>
  <c r="H955" i="21" s="1"/>
  <c r="G954" i="21"/>
  <c r="H954" i="21" s="1"/>
  <c r="G953" i="21"/>
  <c r="H953" i="21" s="1"/>
  <c r="G952" i="21"/>
  <c r="H952" i="21" s="1"/>
  <c r="G951" i="21"/>
  <c r="H951" i="21" s="1"/>
  <c r="G950" i="21"/>
  <c r="H950" i="21" s="1"/>
  <c r="G949" i="21"/>
  <c r="H949" i="21" s="1"/>
  <c r="G948" i="21"/>
  <c r="H948" i="21" s="1"/>
  <c r="G947" i="21"/>
  <c r="H947" i="21" s="1"/>
  <c r="G946" i="21"/>
  <c r="H946" i="21" s="1"/>
  <c r="G945" i="21"/>
  <c r="H945" i="21" s="1"/>
  <c r="G944" i="21"/>
  <c r="H944" i="21" s="1"/>
  <c r="G943" i="21"/>
  <c r="H943" i="21" s="1"/>
  <c r="G942" i="21"/>
  <c r="H942" i="21" s="1"/>
  <c r="G941" i="21"/>
  <c r="H941" i="21" s="1"/>
  <c r="G940" i="21"/>
  <c r="H940" i="21" s="1"/>
  <c r="G939" i="21"/>
  <c r="H939" i="21" s="1"/>
  <c r="G938" i="21"/>
  <c r="H938" i="21" s="1"/>
  <c r="G937" i="21"/>
  <c r="H937" i="21" s="1"/>
  <c r="G936" i="21"/>
  <c r="H936" i="21" s="1"/>
  <c r="G935" i="21"/>
  <c r="H935" i="21" s="1"/>
  <c r="G934" i="21"/>
  <c r="H934" i="21" s="1"/>
  <c r="G933" i="21"/>
  <c r="H933" i="21" s="1"/>
  <c r="G932" i="21"/>
  <c r="H932" i="21" s="1"/>
  <c r="G931" i="21"/>
  <c r="H931" i="21" s="1"/>
  <c r="G930" i="21"/>
  <c r="H930" i="21" s="1"/>
  <c r="G929" i="21"/>
  <c r="H929" i="21" s="1"/>
  <c r="G928" i="21"/>
  <c r="H928" i="21" s="1"/>
  <c r="G927" i="21"/>
  <c r="H927" i="21" s="1"/>
  <c r="G926" i="21"/>
  <c r="H926" i="21" s="1"/>
  <c r="G925" i="21"/>
  <c r="H925" i="21" s="1"/>
  <c r="G924" i="21"/>
  <c r="H924" i="21" s="1"/>
  <c r="G923" i="21"/>
  <c r="H923" i="21" s="1"/>
  <c r="G922" i="21"/>
  <c r="H922" i="21" s="1"/>
  <c r="G921" i="21"/>
  <c r="H921" i="21" s="1"/>
  <c r="G920" i="21"/>
  <c r="H920" i="21" s="1"/>
  <c r="G919" i="21"/>
  <c r="H919" i="21" s="1"/>
  <c r="G918" i="21"/>
  <c r="H918" i="21" s="1"/>
  <c r="G917" i="21"/>
  <c r="H917" i="21" s="1"/>
  <c r="G916" i="21"/>
  <c r="H916" i="21" s="1"/>
  <c r="G915" i="21"/>
  <c r="H915" i="21" s="1"/>
  <c r="G914" i="21"/>
  <c r="H914" i="21" s="1"/>
  <c r="G913" i="21"/>
  <c r="H913" i="21" s="1"/>
  <c r="G912" i="21"/>
  <c r="H912" i="21" s="1"/>
  <c r="G911" i="21"/>
  <c r="H911" i="21" s="1"/>
  <c r="G910" i="21"/>
  <c r="H910" i="21" s="1"/>
  <c r="G909" i="21"/>
  <c r="H909" i="21" s="1"/>
  <c r="G908" i="21"/>
  <c r="H908" i="21" s="1"/>
  <c r="G907" i="21"/>
  <c r="H907" i="21" s="1"/>
  <c r="G906" i="21"/>
  <c r="H906" i="21" s="1"/>
  <c r="G905" i="21"/>
  <c r="H905" i="21" s="1"/>
  <c r="G904" i="21"/>
  <c r="H904" i="21" s="1"/>
  <c r="G903" i="21"/>
  <c r="H903" i="21" s="1"/>
  <c r="G902" i="21"/>
  <c r="H902" i="21" s="1"/>
  <c r="G901" i="21"/>
  <c r="H901" i="21" s="1"/>
  <c r="G900" i="21"/>
  <c r="H900" i="21" s="1"/>
  <c r="G899" i="21"/>
  <c r="H899" i="21" s="1"/>
  <c r="G898" i="21"/>
  <c r="H898" i="21" s="1"/>
  <c r="G897" i="21"/>
  <c r="H897" i="21" s="1"/>
  <c r="G896" i="21"/>
  <c r="H896" i="21" s="1"/>
  <c r="G895" i="21"/>
  <c r="H895" i="21" s="1"/>
  <c r="G894" i="21"/>
  <c r="H894" i="21" s="1"/>
  <c r="G893" i="21"/>
  <c r="H893" i="21" s="1"/>
  <c r="G892" i="21"/>
  <c r="H892" i="21" s="1"/>
  <c r="G891" i="21"/>
  <c r="H891" i="21" s="1"/>
  <c r="G890" i="21"/>
  <c r="H890" i="21" s="1"/>
  <c r="G889" i="21"/>
  <c r="H889" i="21" s="1"/>
  <c r="G888" i="21"/>
  <c r="H888" i="21" s="1"/>
  <c r="G887" i="21"/>
  <c r="H887" i="21" s="1"/>
  <c r="G886" i="21"/>
  <c r="H886" i="21" s="1"/>
  <c r="G885" i="21"/>
  <c r="H885" i="21" s="1"/>
  <c r="G884" i="21"/>
  <c r="H884" i="21" s="1"/>
  <c r="G883" i="21"/>
  <c r="H883" i="21" s="1"/>
  <c r="G882" i="21"/>
  <c r="H882" i="21" s="1"/>
  <c r="G881" i="21"/>
  <c r="H881" i="21" s="1"/>
  <c r="G880" i="21"/>
  <c r="H880" i="21" s="1"/>
  <c r="G879" i="21"/>
  <c r="H879" i="21" s="1"/>
  <c r="G878" i="21"/>
  <c r="H878" i="21" s="1"/>
  <c r="G877" i="21"/>
  <c r="H877" i="21" s="1"/>
  <c r="G876" i="21"/>
  <c r="H876" i="21" s="1"/>
  <c r="G875" i="21"/>
  <c r="H875" i="21" s="1"/>
  <c r="G874" i="21"/>
  <c r="H874" i="21" s="1"/>
  <c r="G873" i="21"/>
  <c r="H873" i="21" s="1"/>
  <c r="G872" i="21"/>
  <c r="H872" i="21" s="1"/>
  <c r="G871" i="21"/>
  <c r="H871" i="21" s="1"/>
  <c r="G870" i="21"/>
  <c r="H870" i="21" s="1"/>
  <c r="G869" i="21"/>
  <c r="H869" i="21" s="1"/>
  <c r="G868" i="21"/>
  <c r="H868" i="21" s="1"/>
  <c r="G867" i="21"/>
  <c r="H867" i="21" s="1"/>
  <c r="G866" i="21"/>
  <c r="H866" i="21" s="1"/>
  <c r="G865" i="21"/>
  <c r="H865" i="21" s="1"/>
  <c r="G864" i="21"/>
  <c r="H864" i="21" s="1"/>
  <c r="G863" i="21"/>
  <c r="H863" i="21" s="1"/>
  <c r="G862" i="21"/>
  <c r="H862" i="21" s="1"/>
  <c r="G861" i="21"/>
  <c r="H861" i="21" s="1"/>
  <c r="G860" i="21"/>
  <c r="H860" i="21" s="1"/>
  <c r="G859" i="21"/>
  <c r="H859" i="21" s="1"/>
  <c r="G858" i="21"/>
  <c r="H858" i="21" s="1"/>
  <c r="G857" i="21"/>
  <c r="H857" i="21" s="1"/>
  <c r="G856" i="21"/>
  <c r="H856" i="21" s="1"/>
  <c r="G855" i="21"/>
  <c r="H855" i="21" s="1"/>
  <c r="G854" i="21"/>
  <c r="H854" i="21" s="1"/>
  <c r="G853" i="21"/>
  <c r="H853" i="21" s="1"/>
  <c r="G852" i="21"/>
  <c r="H852" i="21" s="1"/>
  <c r="G851" i="21"/>
  <c r="H851" i="21" s="1"/>
  <c r="G850" i="21"/>
  <c r="H850" i="21" s="1"/>
  <c r="G849" i="21"/>
  <c r="H849" i="21" s="1"/>
  <c r="G848" i="21"/>
  <c r="H848" i="21" s="1"/>
  <c r="G847" i="21"/>
  <c r="H847" i="21" s="1"/>
  <c r="G846" i="21"/>
  <c r="H846" i="21" s="1"/>
  <c r="G845" i="21"/>
  <c r="H845" i="21" s="1"/>
  <c r="G844" i="21"/>
  <c r="H844" i="21" s="1"/>
  <c r="G843" i="21"/>
  <c r="H843" i="21" s="1"/>
  <c r="G842" i="21"/>
  <c r="H842" i="21" s="1"/>
  <c r="G841" i="21"/>
  <c r="H841" i="21" s="1"/>
  <c r="G840" i="21"/>
  <c r="H840" i="21" s="1"/>
  <c r="G839" i="21"/>
  <c r="H839" i="21" s="1"/>
  <c r="G838" i="21"/>
  <c r="H838" i="21" s="1"/>
  <c r="G837" i="21"/>
  <c r="H837" i="21" s="1"/>
  <c r="G836" i="21"/>
  <c r="H836" i="21" s="1"/>
  <c r="G835" i="21"/>
  <c r="H835" i="21" s="1"/>
  <c r="G834" i="21"/>
  <c r="H834" i="21" s="1"/>
  <c r="G833" i="21"/>
  <c r="H833" i="21" s="1"/>
  <c r="G832" i="21"/>
  <c r="H832" i="21" s="1"/>
  <c r="G831" i="21"/>
  <c r="H831" i="21" s="1"/>
  <c r="G830" i="21"/>
  <c r="H830" i="21" s="1"/>
  <c r="G829" i="21"/>
  <c r="H829" i="21" s="1"/>
  <c r="G828" i="21"/>
  <c r="H828" i="21" s="1"/>
  <c r="G827" i="21"/>
  <c r="H827" i="21" s="1"/>
  <c r="G826" i="21"/>
  <c r="H826" i="21" s="1"/>
  <c r="G825" i="21"/>
  <c r="H825" i="21" s="1"/>
  <c r="G824" i="21"/>
  <c r="H824" i="21" s="1"/>
  <c r="G823" i="21"/>
  <c r="H823" i="21" s="1"/>
  <c r="G822" i="21"/>
  <c r="H822" i="21" s="1"/>
  <c r="G821" i="21"/>
  <c r="H821" i="21" s="1"/>
  <c r="G820" i="21"/>
  <c r="H820" i="21" s="1"/>
  <c r="G819" i="21"/>
  <c r="H819" i="21" s="1"/>
  <c r="G818" i="21"/>
  <c r="H818" i="21" s="1"/>
  <c r="G817" i="21"/>
  <c r="H817" i="21" s="1"/>
  <c r="G816" i="21"/>
  <c r="H816" i="21" s="1"/>
  <c r="G815" i="21"/>
  <c r="H815" i="21" s="1"/>
  <c r="G814" i="21"/>
  <c r="H814" i="21" s="1"/>
  <c r="G813" i="21"/>
  <c r="H813" i="21" s="1"/>
  <c r="G812" i="21"/>
  <c r="H812" i="21" s="1"/>
  <c r="G811" i="21"/>
  <c r="H811" i="21" s="1"/>
  <c r="G810" i="21"/>
  <c r="H810" i="21" s="1"/>
  <c r="G809" i="21"/>
  <c r="H809" i="21" s="1"/>
  <c r="G808" i="21"/>
  <c r="H808" i="21" s="1"/>
  <c r="G807" i="21"/>
  <c r="H807" i="21" s="1"/>
  <c r="G806" i="21"/>
  <c r="H806" i="21" s="1"/>
  <c r="G805" i="21"/>
  <c r="H805" i="21" s="1"/>
  <c r="G804" i="21"/>
  <c r="H804" i="21" s="1"/>
  <c r="G803" i="21"/>
  <c r="H803" i="21" s="1"/>
  <c r="G802" i="21"/>
  <c r="H802" i="21" s="1"/>
  <c r="G801" i="21"/>
  <c r="H801" i="21" s="1"/>
  <c r="G800" i="21"/>
  <c r="H800" i="21" s="1"/>
  <c r="G799" i="21"/>
  <c r="H799" i="21" s="1"/>
  <c r="G798" i="21"/>
  <c r="H798" i="21" s="1"/>
  <c r="G797" i="21"/>
  <c r="H797" i="21" s="1"/>
  <c r="G796" i="21"/>
  <c r="H796" i="21" s="1"/>
  <c r="G795" i="21"/>
  <c r="H795" i="21" s="1"/>
  <c r="G794" i="21"/>
  <c r="H794" i="21" s="1"/>
  <c r="G793" i="21"/>
  <c r="H793" i="21" s="1"/>
  <c r="G792" i="21"/>
  <c r="H792" i="21" s="1"/>
  <c r="G791" i="21"/>
  <c r="H791" i="21" s="1"/>
  <c r="G790" i="21"/>
  <c r="H790" i="21" s="1"/>
  <c r="G789" i="21"/>
  <c r="H789" i="21" s="1"/>
  <c r="G788" i="21"/>
  <c r="H788" i="21" s="1"/>
  <c r="G787" i="21"/>
  <c r="H787" i="21" s="1"/>
  <c r="G786" i="21"/>
  <c r="H786" i="21" s="1"/>
  <c r="G785" i="21"/>
  <c r="H785" i="21" s="1"/>
  <c r="G784" i="21"/>
  <c r="H784" i="21" s="1"/>
  <c r="G783" i="21"/>
  <c r="H783" i="21" s="1"/>
  <c r="G782" i="21"/>
  <c r="H782" i="21" s="1"/>
  <c r="G781" i="21"/>
  <c r="H781" i="21" s="1"/>
  <c r="G780" i="21"/>
  <c r="H780" i="21" s="1"/>
  <c r="G779" i="21"/>
  <c r="H779" i="21" s="1"/>
  <c r="G778" i="21"/>
  <c r="H778" i="21" s="1"/>
  <c r="G777" i="21"/>
  <c r="H777" i="21" s="1"/>
  <c r="G776" i="21"/>
  <c r="H776" i="21" s="1"/>
  <c r="G775" i="21"/>
  <c r="H775" i="21" s="1"/>
  <c r="G774" i="21"/>
  <c r="H774" i="21" s="1"/>
  <c r="G773" i="21"/>
  <c r="H773" i="21" s="1"/>
  <c r="G772" i="21"/>
  <c r="H772" i="21" s="1"/>
  <c r="G771" i="21"/>
  <c r="H771" i="21" s="1"/>
  <c r="G770" i="21"/>
  <c r="H770" i="21" s="1"/>
  <c r="G769" i="21"/>
  <c r="H769" i="21" s="1"/>
  <c r="G768" i="21"/>
  <c r="H768" i="21" s="1"/>
  <c r="G767" i="21"/>
  <c r="H767" i="21" s="1"/>
  <c r="G766" i="21"/>
  <c r="H766" i="21" s="1"/>
  <c r="G765" i="21"/>
  <c r="H765" i="21" s="1"/>
  <c r="G764" i="21"/>
  <c r="H764" i="21" s="1"/>
  <c r="G763" i="21"/>
  <c r="H763" i="21" s="1"/>
  <c r="G762" i="21"/>
  <c r="H762" i="21" s="1"/>
  <c r="G761" i="21"/>
  <c r="H761" i="21" s="1"/>
  <c r="G760" i="21"/>
  <c r="H760" i="21" s="1"/>
  <c r="G759" i="21"/>
  <c r="H759" i="21" s="1"/>
  <c r="G758" i="21"/>
  <c r="H758" i="21" s="1"/>
  <c r="G757" i="21"/>
  <c r="H757" i="21" s="1"/>
  <c r="G756" i="21"/>
  <c r="H756" i="21" s="1"/>
  <c r="G755" i="21"/>
  <c r="H755" i="21" s="1"/>
  <c r="G754" i="21"/>
  <c r="H754" i="21" s="1"/>
  <c r="G753" i="21"/>
  <c r="H753" i="21" s="1"/>
  <c r="G752" i="21"/>
  <c r="H752" i="21" s="1"/>
  <c r="G751" i="21"/>
  <c r="H751" i="21" s="1"/>
  <c r="G750" i="21"/>
  <c r="H750" i="21" s="1"/>
  <c r="G749" i="21"/>
  <c r="H749" i="21" s="1"/>
  <c r="G748" i="21"/>
  <c r="H748" i="21" s="1"/>
  <c r="G747" i="21"/>
  <c r="H747" i="21" s="1"/>
  <c r="G746" i="21"/>
  <c r="H746" i="21" s="1"/>
  <c r="G745" i="21"/>
  <c r="H745" i="21" s="1"/>
  <c r="G744" i="21"/>
  <c r="H744" i="21" s="1"/>
  <c r="G743" i="21"/>
  <c r="H743" i="21" s="1"/>
  <c r="G742" i="21"/>
  <c r="H742" i="21" s="1"/>
  <c r="G741" i="21"/>
  <c r="H741" i="21" s="1"/>
  <c r="G740" i="21"/>
  <c r="H740" i="21" s="1"/>
  <c r="G739" i="21"/>
  <c r="H739" i="21" s="1"/>
  <c r="G738" i="21"/>
  <c r="H738" i="21" s="1"/>
  <c r="G737" i="21"/>
  <c r="H737" i="21" s="1"/>
  <c r="G736" i="21"/>
  <c r="H736" i="21" s="1"/>
  <c r="G735" i="21"/>
  <c r="H735" i="21" s="1"/>
  <c r="G734" i="21"/>
  <c r="H734" i="21" s="1"/>
  <c r="G733" i="21"/>
  <c r="H733" i="21" s="1"/>
  <c r="G732" i="21"/>
  <c r="H732" i="21" s="1"/>
  <c r="G731" i="21"/>
  <c r="H731" i="21" s="1"/>
  <c r="G730" i="21"/>
  <c r="H730" i="21" s="1"/>
  <c r="G729" i="21"/>
  <c r="H729" i="21" s="1"/>
  <c r="G728" i="21"/>
  <c r="H728" i="21" s="1"/>
  <c r="G727" i="21"/>
  <c r="H727" i="21" s="1"/>
  <c r="G726" i="21"/>
  <c r="H726" i="21" s="1"/>
  <c r="G725" i="21"/>
  <c r="H725" i="21" s="1"/>
  <c r="G724" i="21"/>
  <c r="H724" i="21" s="1"/>
  <c r="G723" i="21"/>
  <c r="H723" i="21" s="1"/>
  <c r="G722" i="21"/>
  <c r="H722" i="21" s="1"/>
  <c r="G721" i="21"/>
  <c r="H721" i="21" s="1"/>
  <c r="G720" i="21"/>
  <c r="H720" i="21" s="1"/>
  <c r="G719" i="21"/>
  <c r="H719" i="21" s="1"/>
  <c r="G718" i="21"/>
  <c r="H718" i="21" s="1"/>
  <c r="G717" i="21"/>
  <c r="H717" i="21" s="1"/>
  <c r="G716" i="21"/>
  <c r="H716" i="21" s="1"/>
  <c r="G715" i="21"/>
  <c r="H715" i="21" s="1"/>
  <c r="G714" i="21"/>
  <c r="H714" i="21" s="1"/>
  <c r="G713" i="21"/>
  <c r="H713" i="21" s="1"/>
  <c r="G712" i="21"/>
  <c r="H712" i="21" s="1"/>
  <c r="G711" i="21"/>
  <c r="H711" i="21" s="1"/>
  <c r="G710" i="21"/>
  <c r="H710" i="21" s="1"/>
  <c r="G709" i="21"/>
  <c r="H709" i="21" s="1"/>
  <c r="G708" i="21"/>
  <c r="H708" i="21" s="1"/>
  <c r="G707" i="21"/>
  <c r="H707" i="21" s="1"/>
  <c r="G706" i="21"/>
  <c r="H706" i="21" s="1"/>
  <c r="G705" i="21"/>
  <c r="H705" i="21" s="1"/>
  <c r="G704" i="21"/>
  <c r="H704" i="21" s="1"/>
  <c r="G703" i="21"/>
  <c r="H703" i="21" s="1"/>
  <c r="G702" i="21"/>
  <c r="H702" i="21" s="1"/>
  <c r="G701" i="21"/>
  <c r="H701" i="21" s="1"/>
  <c r="G700" i="21"/>
  <c r="H700" i="21" s="1"/>
  <c r="G699" i="21"/>
  <c r="H699" i="21" s="1"/>
  <c r="G698" i="21"/>
  <c r="H698" i="21" s="1"/>
  <c r="G697" i="21"/>
  <c r="H697" i="21" s="1"/>
  <c r="G696" i="21"/>
  <c r="H696" i="21" s="1"/>
  <c r="G695" i="21"/>
  <c r="H695" i="21" s="1"/>
  <c r="G694" i="21"/>
  <c r="H694" i="21" s="1"/>
  <c r="G693" i="21"/>
  <c r="H693" i="21" s="1"/>
  <c r="G692" i="21"/>
  <c r="H692" i="21" s="1"/>
  <c r="G691" i="21"/>
  <c r="H691" i="21" s="1"/>
  <c r="G690" i="21"/>
  <c r="H690" i="21" s="1"/>
  <c r="G689" i="21"/>
  <c r="H689" i="21" s="1"/>
  <c r="G688" i="21"/>
  <c r="H688" i="21" s="1"/>
  <c r="G687" i="21"/>
  <c r="H687" i="21" s="1"/>
  <c r="G686" i="21"/>
  <c r="H686" i="21" s="1"/>
  <c r="G685" i="21"/>
  <c r="H685" i="21" s="1"/>
  <c r="G684" i="21"/>
  <c r="H684" i="21" s="1"/>
  <c r="G683" i="21"/>
  <c r="H683" i="21" s="1"/>
  <c r="G682" i="21"/>
  <c r="H682" i="21" s="1"/>
  <c r="G681" i="21"/>
  <c r="H681" i="21" s="1"/>
  <c r="G680" i="21"/>
  <c r="H680" i="21" s="1"/>
  <c r="G679" i="21"/>
  <c r="H679" i="21" s="1"/>
  <c r="G678" i="21"/>
  <c r="H678" i="21" s="1"/>
  <c r="G677" i="21"/>
  <c r="H677" i="21" s="1"/>
  <c r="G676" i="21"/>
  <c r="H676" i="21" s="1"/>
  <c r="G675" i="21"/>
  <c r="H675" i="21" s="1"/>
  <c r="G674" i="21"/>
  <c r="H674" i="21" s="1"/>
  <c r="G673" i="21"/>
  <c r="H673" i="21" s="1"/>
  <c r="G672" i="21"/>
  <c r="H672" i="21" s="1"/>
  <c r="G671" i="21"/>
  <c r="H671" i="21" s="1"/>
  <c r="G670" i="21"/>
  <c r="H670" i="21" s="1"/>
  <c r="G669" i="21"/>
  <c r="H669" i="21" s="1"/>
  <c r="G668" i="21"/>
  <c r="H668" i="21" s="1"/>
  <c r="G667" i="21"/>
  <c r="H667" i="21" s="1"/>
  <c r="G666" i="21"/>
  <c r="H666" i="21" s="1"/>
  <c r="G665" i="21"/>
  <c r="H665" i="21" s="1"/>
  <c r="G664" i="21"/>
  <c r="H664" i="21" s="1"/>
  <c r="G663" i="21"/>
  <c r="H663" i="21" s="1"/>
  <c r="G662" i="21"/>
  <c r="H662" i="21" s="1"/>
  <c r="G661" i="21"/>
  <c r="H661" i="21" s="1"/>
  <c r="G660" i="21"/>
  <c r="H660" i="21" s="1"/>
  <c r="G659" i="21"/>
  <c r="H659" i="21" s="1"/>
  <c r="G658" i="21"/>
  <c r="H658" i="21" s="1"/>
  <c r="G657" i="21"/>
  <c r="H657" i="21" s="1"/>
  <c r="G656" i="21"/>
  <c r="H656" i="21" s="1"/>
  <c r="G655" i="21"/>
  <c r="H655" i="21" s="1"/>
  <c r="G654" i="21"/>
  <c r="H654" i="21" s="1"/>
  <c r="G653" i="21"/>
  <c r="H653" i="21" s="1"/>
  <c r="G652" i="21"/>
  <c r="H652" i="21" s="1"/>
  <c r="G651" i="21"/>
  <c r="H651" i="21" s="1"/>
  <c r="G650" i="21"/>
  <c r="H650" i="21" s="1"/>
  <c r="G649" i="21"/>
  <c r="H649" i="21" s="1"/>
  <c r="G648" i="21"/>
  <c r="H648" i="21" s="1"/>
  <c r="G647" i="21"/>
  <c r="H647" i="21" s="1"/>
  <c r="G646" i="21"/>
  <c r="H646" i="21" s="1"/>
  <c r="G645" i="21"/>
  <c r="H645" i="21" s="1"/>
  <c r="G644" i="21"/>
  <c r="H644" i="21" s="1"/>
  <c r="G643" i="21"/>
  <c r="H643" i="21" s="1"/>
  <c r="G642" i="21"/>
  <c r="H642" i="21" s="1"/>
  <c r="G641" i="21"/>
  <c r="H641" i="21" s="1"/>
  <c r="G640" i="21"/>
  <c r="H640" i="21" s="1"/>
  <c r="G639" i="21"/>
  <c r="H639" i="21" s="1"/>
  <c r="G638" i="21"/>
  <c r="H638" i="21" s="1"/>
  <c r="G637" i="21"/>
  <c r="H637" i="21" s="1"/>
  <c r="G636" i="21"/>
  <c r="H636" i="21" s="1"/>
  <c r="G635" i="21"/>
  <c r="H635" i="21" s="1"/>
  <c r="G634" i="21"/>
  <c r="H634" i="21" s="1"/>
  <c r="G633" i="21"/>
  <c r="H633" i="21" s="1"/>
  <c r="G632" i="21"/>
  <c r="H632" i="21" s="1"/>
  <c r="G631" i="21"/>
  <c r="H631" i="21" s="1"/>
  <c r="G630" i="21"/>
  <c r="H630" i="21" s="1"/>
  <c r="G629" i="21"/>
  <c r="H629" i="21" s="1"/>
  <c r="G628" i="21"/>
  <c r="H628" i="21" s="1"/>
  <c r="G627" i="21"/>
  <c r="H627" i="21" s="1"/>
  <c r="G626" i="21"/>
  <c r="H626" i="21" s="1"/>
  <c r="G625" i="21"/>
  <c r="H625" i="21" s="1"/>
  <c r="G624" i="21"/>
  <c r="H624" i="21" s="1"/>
  <c r="G623" i="21"/>
  <c r="H623" i="21" s="1"/>
  <c r="G622" i="21"/>
  <c r="H622" i="21" s="1"/>
  <c r="G621" i="21"/>
  <c r="H621" i="21" s="1"/>
  <c r="G620" i="21"/>
  <c r="H620" i="21" s="1"/>
  <c r="G619" i="21"/>
  <c r="H619" i="21" s="1"/>
  <c r="G618" i="21"/>
  <c r="H618" i="21" s="1"/>
  <c r="G617" i="21"/>
  <c r="H617" i="21" s="1"/>
  <c r="G616" i="21"/>
  <c r="H616" i="21" s="1"/>
  <c r="G615" i="21"/>
  <c r="H615" i="21" s="1"/>
  <c r="G614" i="21"/>
  <c r="H614" i="21" s="1"/>
  <c r="G613" i="21"/>
  <c r="H613" i="21" s="1"/>
  <c r="G612" i="21"/>
  <c r="H612" i="21" s="1"/>
  <c r="G611" i="21"/>
  <c r="H611" i="21" s="1"/>
  <c r="G610" i="21"/>
  <c r="H610" i="21" s="1"/>
  <c r="G609" i="21"/>
  <c r="H609" i="21" s="1"/>
  <c r="G608" i="21"/>
  <c r="H608" i="21" s="1"/>
  <c r="G607" i="21"/>
  <c r="H607" i="21" s="1"/>
  <c r="G606" i="21"/>
  <c r="H606" i="21" s="1"/>
  <c r="G605" i="21"/>
  <c r="H605" i="21" s="1"/>
  <c r="G604" i="21"/>
  <c r="H604" i="21" s="1"/>
  <c r="G603" i="21"/>
  <c r="H603" i="21" s="1"/>
  <c r="G602" i="21"/>
  <c r="H602" i="21" s="1"/>
  <c r="G601" i="21"/>
  <c r="H601" i="21" s="1"/>
  <c r="G600" i="21"/>
  <c r="H600" i="21" s="1"/>
  <c r="G599" i="21"/>
  <c r="H599" i="21" s="1"/>
  <c r="G598" i="21"/>
  <c r="H598" i="21" s="1"/>
  <c r="G597" i="21"/>
  <c r="H597" i="21" s="1"/>
  <c r="G596" i="21"/>
  <c r="H596" i="21" s="1"/>
  <c r="G595" i="21"/>
  <c r="H595" i="21" s="1"/>
  <c r="G594" i="21"/>
  <c r="H594" i="21" s="1"/>
  <c r="G593" i="21"/>
  <c r="H593" i="21" s="1"/>
  <c r="G592" i="21"/>
  <c r="H592" i="21" s="1"/>
  <c r="G591" i="21"/>
  <c r="H591" i="21" s="1"/>
  <c r="G590" i="21"/>
  <c r="H590" i="21" s="1"/>
  <c r="G589" i="21"/>
  <c r="H589" i="21" s="1"/>
  <c r="G588" i="21"/>
  <c r="H588" i="21" s="1"/>
  <c r="G587" i="21"/>
  <c r="H587" i="21" s="1"/>
  <c r="G586" i="21"/>
  <c r="H586" i="21" s="1"/>
  <c r="G585" i="21"/>
  <c r="H585" i="21" s="1"/>
  <c r="G584" i="21"/>
  <c r="H584" i="21" s="1"/>
  <c r="G583" i="21"/>
  <c r="H583" i="21" s="1"/>
  <c r="G582" i="21"/>
  <c r="H582" i="21" s="1"/>
  <c r="G581" i="21"/>
  <c r="H581" i="21" s="1"/>
  <c r="G580" i="21"/>
  <c r="H580" i="21" s="1"/>
  <c r="G579" i="21"/>
  <c r="H579" i="21" s="1"/>
  <c r="G578" i="21"/>
  <c r="H578" i="21" s="1"/>
  <c r="G577" i="21"/>
  <c r="H577" i="21" s="1"/>
  <c r="G576" i="21"/>
  <c r="H576" i="21" s="1"/>
  <c r="G575" i="21"/>
  <c r="H575" i="21" s="1"/>
  <c r="G574" i="21"/>
  <c r="H574" i="21" s="1"/>
  <c r="G573" i="21"/>
  <c r="H573" i="21" s="1"/>
  <c r="G572" i="21"/>
  <c r="H572" i="21" s="1"/>
  <c r="G571" i="21"/>
  <c r="H571" i="21" s="1"/>
  <c r="G570" i="21"/>
  <c r="H570" i="21" s="1"/>
  <c r="G569" i="21"/>
  <c r="H569" i="21" s="1"/>
  <c r="G568" i="21"/>
  <c r="H568" i="21" s="1"/>
  <c r="G567" i="21"/>
  <c r="H567" i="21" s="1"/>
  <c r="G566" i="21"/>
  <c r="H566" i="21" s="1"/>
  <c r="G565" i="21"/>
  <c r="H565" i="21" s="1"/>
  <c r="G564" i="21"/>
  <c r="H564" i="21" s="1"/>
  <c r="G563" i="21"/>
  <c r="H563" i="21" s="1"/>
  <c r="G562" i="21"/>
  <c r="H562" i="21" s="1"/>
  <c r="G561" i="21"/>
  <c r="H561" i="21" s="1"/>
  <c r="G560" i="21"/>
  <c r="H560" i="21" s="1"/>
  <c r="G559" i="21"/>
  <c r="H559" i="21" s="1"/>
  <c r="G558" i="21"/>
  <c r="H558" i="21" s="1"/>
  <c r="G557" i="21"/>
  <c r="H557" i="21" s="1"/>
  <c r="G556" i="21"/>
  <c r="H556" i="21" s="1"/>
  <c r="G555" i="21"/>
  <c r="H555" i="21" s="1"/>
  <c r="G554" i="21"/>
  <c r="H554" i="21" s="1"/>
  <c r="G553" i="21"/>
  <c r="H553" i="21" s="1"/>
  <c r="G552" i="21"/>
  <c r="H552" i="21" s="1"/>
  <c r="G551" i="21"/>
  <c r="H551" i="21" s="1"/>
  <c r="G550" i="21"/>
  <c r="H550" i="21" s="1"/>
  <c r="G549" i="21"/>
  <c r="H549" i="21" s="1"/>
  <c r="G548" i="21"/>
  <c r="H548" i="21" s="1"/>
  <c r="G547" i="21"/>
  <c r="H547" i="21" s="1"/>
  <c r="G546" i="21"/>
  <c r="H546" i="21" s="1"/>
  <c r="G545" i="21"/>
  <c r="H545" i="21" s="1"/>
  <c r="G544" i="21"/>
  <c r="H544" i="21" s="1"/>
  <c r="G543" i="21"/>
  <c r="H543" i="21" s="1"/>
  <c r="G542" i="21"/>
  <c r="H542" i="21" s="1"/>
  <c r="G541" i="21"/>
  <c r="H541" i="21" s="1"/>
  <c r="G540" i="21"/>
  <c r="H540" i="21" s="1"/>
  <c r="G539" i="21"/>
  <c r="H539" i="21" s="1"/>
  <c r="G538" i="21"/>
  <c r="H538" i="21" s="1"/>
  <c r="G537" i="21"/>
  <c r="H537" i="21" s="1"/>
  <c r="G536" i="21"/>
  <c r="H536" i="21" s="1"/>
  <c r="G535" i="21"/>
  <c r="H535" i="21" s="1"/>
  <c r="G534" i="21"/>
  <c r="H534" i="21" s="1"/>
  <c r="G533" i="21"/>
  <c r="H533" i="21" s="1"/>
  <c r="G532" i="21"/>
  <c r="H532" i="21" s="1"/>
  <c r="G531" i="21"/>
  <c r="H531" i="21" s="1"/>
  <c r="G530" i="21"/>
  <c r="H530" i="21" s="1"/>
  <c r="G529" i="21"/>
  <c r="H529" i="21" s="1"/>
  <c r="G528" i="21"/>
  <c r="H528" i="21" s="1"/>
  <c r="G527" i="21"/>
  <c r="H527" i="21" s="1"/>
  <c r="G526" i="21"/>
  <c r="H526" i="21" s="1"/>
  <c r="G525" i="21"/>
  <c r="H525" i="21" s="1"/>
  <c r="G524" i="21"/>
  <c r="H524" i="21" s="1"/>
  <c r="G523" i="21"/>
  <c r="H523" i="21" s="1"/>
  <c r="G522" i="21"/>
  <c r="H522" i="21" s="1"/>
  <c r="G521" i="21"/>
  <c r="H521" i="21" s="1"/>
  <c r="G520" i="21"/>
  <c r="H520" i="21" s="1"/>
  <c r="G519" i="21"/>
  <c r="H519" i="21" s="1"/>
  <c r="G518" i="21"/>
  <c r="H518" i="21" s="1"/>
  <c r="G517" i="21"/>
  <c r="H517" i="21" s="1"/>
  <c r="G516" i="21"/>
  <c r="H516" i="21" s="1"/>
  <c r="G515" i="21"/>
  <c r="H515" i="21" s="1"/>
  <c r="G514" i="21"/>
  <c r="H514" i="21" s="1"/>
  <c r="G513" i="21"/>
  <c r="H513" i="21" s="1"/>
  <c r="G512" i="21"/>
  <c r="H512" i="21" s="1"/>
  <c r="G511" i="21"/>
  <c r="H511" i="21" s="1"/>
  <c r="G510" i="21"/>
  <c r="H510" i="21" s="1"/>
  <c r="G509" i="21"/>
  <c r="H509" i="21" s="1"/>
  <c r="G508" i="21"/>
  <c r="H508" i="21" s="1"/>
  <c r="G507" i="21"/>
  <c r="H507" i="21" s="1"/>
  <c r="G506" i="21"/>
  <c r="H506" i="21" s="1"/>
  <c r="G505" i="21"/>
  <c r="H505" i="21" s="1"/>
  <c r="G504" i="21"/>
  <c r="H504" i="21" s="1"/>
  <c r="G503" i="21"/>
  <c r="H503" i="21" s="1"/>
  <c r="G502" i="21"/>
  <c r="H502" i="21" s="1"/>
  <c r="G501" i="21"/>
  <c r="H501" i="21" s="1"/>
  <c r="G500" i="21"/>
  <c r="H500" i="21" s="1"/>
  <c r="G499" i="21"/>
  <c r="H499" i="21" s="1"/>
  <c r="G498" i="21"/>
  <c r="H498" i="21" s="1"/>
  <c r="G497" i="21"/>
  <c r="H497" i="21" s="1"/>
  <c r="G496" i="21"/>
  <c r="H496" i="21" s="1"/>
  <c r="G495" i="21"/>
  <c r="H495" i="21" s="1"/>
  <c r="G494" i="21"/>
  <c r="H494" i="21" s="1"/>
  <c r="G493" i="21"/>
  <c r="H493" i="21" s="1"/>
  <c r="G492" i="21"/>
  <c r="H492" i="21" s="1"/>
  <c r="G491" i="21"/>
  <c r="H491" i="21" s="1"/>
  <c r="G490" i="21"/>
  <c r="H490" i="21" s="1"/>
  <c r="G489" i="21"/>
  <c r="H489" i="21" s="1"/>
  <c r="G488" i="21"/>
  <c r="H488" i="21" s="1"/>
  <c r="G487" i="21"/>
  <c r="H487" i="21" s="1"/>
  <c r="G486" i="21"/>
  <c r="H486" i="21" s="1"/>
  <c r="G485" i="21"/>
  <c r="H485" i="21" s="1"/>
  <c r="G484" i="21"/>
  <c r="H484" i="21" s="1"/>
  <c r="G483" i="21"/>
  <c r="H483" i="21" s="1"/>
  <c r="G482" i="21"/>
  <c r="H482" i="21" s="1"/>
  <c r="G481" i="21"/>
  <c r="H481" i="21" s="1"/>
  <c r="G480" i="21"/>
  <c r="H480" i="21" s="1"/>
  <c r="G479" i="21"/>
  <c r="H479" i="21" s="1"/>
  <c r="G478" i="21"/>
  <c r="H478" i="21" s="1"/>
  <c r="G477" i="21"/>
  <c r="H477" i="21" s="1"/>
  <c r="G476" i="21"/>
  <c r="H476" i="21" s="1"/>
  <c r="G475" i="21"/>
  <c r="H475" i="21" s="1"/>
  <c r="G474" i="21"/>
  <c r="H474" i="21" s="1"/>
  <c r="G473" i="21"/>
  <c r="H473" i="21" s="1"/>
  <c r="G472" i="21"/>
  <c r="H472" i="21" s="1"/>
  <c r="G471" i="21"/>
  <c r="H471" i="21" s="1"/>
  <c r="G470" i="21"/>
  <c r="H470" i="21" s="1"/>
  <c r="G469" i="21"/>
  <c r="H469" i="21" s="1"/>
  <c r="G468" i="21"/>
  <c r="H468" i="21" s="1"/>
  <c r="G467" i="21"/>
  <c r="H467" i="21" s="1"/>
  <c r="G466" i="21"/>
  <c r="H466" i="21" s="1"/>
  <c r="G465" i="21"/>
  <c r="H465" i="21" s="1"/>
  <c r="G464" i="21"/>
  <c r="H464" i="21" s="1"/>
  <c r="G463" i="21"/>
  <c r="H463" i="21" s="1"/>
  <c r="G462" i="21"/>
  <c r="H462" i="21" s="1"/>
  <c r="G461" i="21"/>
  <c r="H461" i="21" s="1"/>
  <c r="G460" i="21"/>
  <c r="H460" i="21" s="1"/>
  <c r="G459" i="21"/>
  <c r="H459" i="21" s="1"/>
  <c r="G458" i="21"/>
  <c r="H458" i="21" s="1"/>
  <c r="G457" i="21"/>
  <c r="H457" i="21" s="1"/>
  <c r="G456" i="21"/>
  <c r="H456" i="21" s="1"/>
  <c r="G455" i="21"/>
  <c r="H455" i="21" s="1"/>
  <c r="G454" i="21"/>
  <c r="H454" i="21" s="1"/>
  <c r="G453" i="21"/>
  <c r="H453" i="21" s="1"/>
  <c r="G452" i="21"/>
  <c r="H452" i="21" s="1"/>
  <c r="G451" i="21"/>
  <c r="H451" i="21" s="1"/>
  <c r="G450" i="21"/>
  <c r="H450" i="21" s="1"/>
  <c r="G449" i="21"/>
  <c r="H449" i="21" s="1"/>
  <c r="G448" i="21"/>
  <c r="H448" i="21" s="1"/>
  <c r="G447" i="21"/>
  <c r="H447" i="21" s="1"/>
  <c r="G446" i="21"/>
  <c r="H446" i="21" s="1"/>
  <c r="G445" i="21"/>
  <c r="H445" i="21" s="1"/>
  <c r="G444" i="21"/>
  <c r="H444" i="21" s="1"/>
  <c r="G443" i="21"/>
  <c r="H443" i="21" s="1"/>
  <c r="G442" i="21"/>
  <c r="H442" i="21" s="1"/>
  <c r="G441" i="21"/>
  <c r="H441" i="21" s="1"/>
  <c r="G440" i="21"/>
  <c r="H440" i="21" s="1"/>
  <c r="G439" i="21"/>
  <c r="H439" i="21" s="1"/>
  <c r="G438" i="21"/>
  <c r="H438" i="21" s="1"/>
  <c r="G437" i="21"/>
  <c r="H437" i="21" s="1"/>
  <c r="G436" i="21"/>
  <c r="H436" i="21" s="1"/>
  <c r="G435" i="21"/>
  <c r="H435" i="21" s="1"/>
  <c r="G434" i="21"/>
  <c r="H434" i="21" s="1"/>
  <c r="G433" i="21"/>
  <c r="H433" i="21" s="1"/>
  <c r="G432" i="21"/>
  <c r="H432" i="21" s="1"/>
  <c r="G431" i="21"/>
  <c r="H431" i="21" s="1"/>
  <c r="G430" i="21"/>
  <c r="H430" i="21" s="1"/>
  <c r="G429" i="21"/>
  <c r="H429" i="21" s="1"/>
  <c r="G428" i="21"/>
  <c r="H428" i="21" s="1"/>
  <c r="G427" i="21"/>
  <c r="H427" i="21" s="1"/>
  <c r="G426" i="21"/>
  <c r="H426" i="21" s="1"/>
  <c r="G425" i="21"/>
  <c r="H425" i="21" s="1"/>
  <c r="G424" i="21"/>
  <c r="H424" i="21" s="1"/>
  <c r="G423" i="21"/>
  <c r="H423" i="21" s="1"/>
  <c r="G422" i="21"/>
  <c r="H422" i="21" s="1"/>
  <c r="G421" i="21"/>
  <c r="H421" i="21" s="1"/>
  <c r="G420" i="21"/>
  <c r="H420" i="21" s="1"/>
  <c r="G419" i="21"/>
  <c r="H419" i="21" s="1"/>
  <c r="G418" i="21"/>
  <c r="H418" i="21" s="1"/>
  <c r="G417" i="21"/>
  <c r="H417" i="21" s="1"/>
  <c r="G416" i="21"/>
  <c r="H416" i="21" s="1"/>
  <c r="G415" i="21"/>
  <c r="H415" i="21" s="1"/>
  <c r="G414" i="21"/>
  <c r="H414" i="21" s="1"/>
  <c r="G413" i="21"/>
  <c r="H413" i="21" s="1"/>
  <c r="G412" i="21"/>
  <c r="H412" i="21" s="1"/>
  <c r="G411" i="21"/>
  <c r="H411" i="21" s="1"/>
  <c r="G410" i="21"/>
  <c r="H410" i="21" s="1"/>
  <c r="G409" i="21"/>
  <c r="H409" i="21" s="1"/>
  <c r="G408" i="21"/>
  <c r="H408" i="21" s="1"/>
  <c r="G407" i="21"/>
  <c r="H407" i="21" s="1"/>
  <c r="G406" i="21"/>
  <c r="H406" i="21" s="1"/>
  <c r="G405" i="21"/>
  <c r="H405" i="21" s="1"/>
  <c r="G404" i="21"/>
  <c r="H404" i="21" s="1"/>
  <c r="G403" i="21"/>
  <c r="H403" i="21" s="1"/>
  <c r="G402" i="21"/>
  <c r="H402" i="21" s="1"/>
  <c r="G401" i="21"/>
  <c r="H401" i="21" s="1"/>
  <c r="G400" i="21"/>
  <c r="H400" i="21" s="1"/>
  <c r="G399" i="21"/>
  <c r="H399" i="21" s="1"/>
  <c r="G398" i="21"/>
  <c r="H398" i="21" s="1"/>
  <c r="G397" i="21"/>
  <c r="H397" i="21" s="1"/>
  <c r="G396" i="21"/>
  <c r="H396" i="21" s="1"/>
  <c r="G395" i="21"/>
  <c r="H395" i="21" s="1"/>
  <c r="G394" i="21"/>
  <c r="H394" i="21" s="1"/>
  <c r="G393" i="21"/>
  <c r="H393" i="21" s="1"/>
  <c r="G392" i="21"/>
  <c r="H392" i="21" s="1"/>
  <c r="G391" i="21"/>
  <c r="H391" i="21" s="1"/>
  <c r="G390" i="21"/>
  <c r="H390" i="21" s="1"/>
  <c r="G389" i="21"/>
  <c r="H389" i="21" s="1"/>
  <c r="G388" i="21"/>
  <c r="H388" i="21" s="1"/>
  <c r="G387" i="21"/>
  <c r="H387" i="21" s="1"/>
  <c r="G386" i="21"/>
  <c r="H386" i="21" s="1"/>
  <c r="G385" i="21"/>
  <c r="H385" i="21" s="1"/>
  <c r="G384" i="21"/>
  <c r="H384" i="21" s="1"/>
  <c r="G383" i="21"/>
  <c r="H383" i="21" s="1"/>
  <c r="G382" i="21"/>
  <c r="H382" i="21" s="1"/>
  <c r="G381" i="21"/>
  <c r="H381" i="21" s="1"/>
  <c r="G380" i="21"/>
  <c r="H380" i="21" s="1"/>
  <c r="G379" i="21"/>
  <c r="H379" i="21" s="1"/>
  <c r="G378" i="21"/>
  <c r="H378" i="21" s="1"/>
  <c r="G377" i="21"/>
  <c r="H377" i="21" s="1"/>
  <c r="G376" i="21"/>
  <c r="H376" i="21" s="1"/>
  <c r="G375" i="21"/>
  <c r="H375" i="21" s="1"/>
  <c r="G374" i="21"/>
  <c r="H374" i="21" s="1"/>
  <c r="G373" i="21"/>
  <c r="H373" i="21" s="1"/>
  <c r="G372" i="21"/>
  <c r="H372" i="21" s="1"/>
  <c r="G371" i="21"/>
  <c r="H371" i="21" s="1"/>
  <c r="G370" i="21"/>
  <c r="H370" i="21" s="1"/>
  <c r="G369" i="21"/>
  <c r="H369" i="21" s="1"/>
  <c r="G368" i="21"/>
  <c r="H368" i="21" s="1"/>
  <c r="G367" i="21"/>
  <c r="H367" i="21" s="1"/>
  <c r="G366" i="21"/>
  <c r="H366" i="21" s="1"/>
  <c r="G365" i="21"/>
  <c r="H365" i="21" s="1"/>
  <c r="G364" i="21"/>
  <c r="H364" i="21" s="1"/>
  <c r="G363" i="21"/>
  <c r="H363" i="21" s="1"/>
  <c r="G362" i="21"/>
  <c r="H362" i="21" s="1"/>
  <c r="G361" i="21"/>
  <c r="H361" i="21" s="1"/>
  <c r="G360" i="21"/>
  <c r="H360" i="21" s="1"/>
  <c r="G359" i="21"/>
  <c r="H359" i="21" s="1"/>
  <c r="G358" i="21"/>
  <c r="H358" i="21" s="1"/>
  <c r="G357" i="21"/>
  <c r="H357" i="21" s="1"/>
  <c r="G356" i="21"/>
  <c r="H356" i="21" s="1"/>
  <c r="G355" i="21"/>
  <c r="H355" i="21" s="1"/>
  <c r="G354" i="21"/>
  <c r="H354" i="21" s="1"/>
  <c r="G353" i="21"/>
  <c r="H353" i="21" s="1"/>
  <c r="G352" i="21"/>
  <c r="H352" i="21" s="1"/>
  <c r="G351" i="21"/>
  <c r="H351" i="21" s="1"/>
  <c r="G350" i="21"/>
  <c r="H350" i="21" s="1"/>
  <c r="G349" i="21"/>
  <c r="H349" i="21" s="1"/>
  <c r="G348" i="21"/>
  <c r="H348" i="21" s="1"/>
  <c r="G347" i="21"/>
  <c r="H347" i="21" s="1"/>
  <c r="G346" i="21"/>
  <c r="H346" i="21" s="1"/>
  <c r="G345" i="21"/>
  <c r="H345" i="21" s="1"/>
  <c r="G344" i="21"/>
  <c r="H344" i="21" s="1"/>
  <c r="G343" i="21"/>
  <c r="H343" i="21" s="1"/>
  <c r="G342" i="21"/>
  <c r="H342" i="21" s="1"/>
  <c r="G341" i="21"/>
  <c r="H341" i="21" s="1"/>
  <c r="G340" i="21"/>
  <c r="H340" i="21" s="1"/>
  <c r="G339" i="21"/>
  <c r="H339" i="21" s="1"/>
  <c r="G338" i="21"/>
  <c r="H338" i="21" s="1"/>
  <c r="G337" i="21"/>
  <c r="H337" i="21" s="1"/>
  <c r="G336" i="21"/>
  <c r="H336" i="21" s="1"/>
  <c r="G335" i="21"/>
  <c r="H335" i="21" s="1"/>
  <c r="G334" i="21"/>
  <c r="H334" i="21" s="1"/>
  <c r="G333" i="21"/>
  <c r="H333" i="21" s="1"/>
  <c r="G332" i="21"/>
  <c r="H332" i="21" s="1"/>
  <c r="G331" i="21"/>
  <c r="H331" i="21" s="1"/>
  <c r="G330" i="21"/>
  <c r="H330" i="21" s="1"/>
  <c r="G329" i="21"/>
  <c r="H329" i="21" s="1"/>
  <c r="G328" i="21"/>
  <c r="H328" i="21" s="1"/>
  <c r="G327" i="21"/>
  <c r="H327" i="21" s="1"/>
  <c r="G326" i="21"/>
  <c r="H326" i="21" s="1"/>
  <c r="G325" i="21"/>
  <c r="H325" i="21" s="1"/>
  <c r="G324" i="21"/>
  <c r="H324" i="21" s="1"/>
  <c r="G323" i="21"/>
  <c r="H323" i="21" s="1"/>
  <c r="G322" i="21"/>
  <c r="H322" i="21" s="1"/>
  <c r="G321" i="21"/>
  <c r="H321" i="21" s="1"/>
  <c r="G320" i="21"/>
  <c r="H320" i="21" s="1"/>
  <c r="G319" i="21"/>
  <c r="H319" i="21" s="1"/>
  <c r="G318" i="21"/>
  <c r="H318" i="21" s="1"/>
  <c r="G317" i="21"/>
  <c r="H317" i="21" s="1"/>
  <c r="G316" i="21"/>
  <c r="H316" i="21" s="1"/>
  <c r="G315" i="21"/>
  <c r="H315" i="21" s="1"/>
  <c r="G314" i="21"/>
  <c r="H314" i="21" s="1"/>
  <c r="G313" i="21"/>
  <c r="H313" i="21" s="1"/>
  <c r="G312" i="21"/>
  <c r="H312" i="21" s="1"/>
  <c r="G311" i="21"/>
  <c r="H311" i="21" s="1"/>
  <c r="G310" i="21"/>
  <c r="H310" i="21" s="1"/>
  <c r="G309" i="21"/>
  <c r="H309" i="21" s="1"/>
  <c r="G308" i="21"/>
  <c r="H308" i="21" s="1"/>
  <c r="G307" i="21"/>
  <c r="H307" i="21" s="1"/>
  <c r="G306" i="21"/>
  <c r="H306" i="21" s="1"/>
  <c r="G305" i="21"/>
  <c r="H305" i="21" s="1"/>
  <c r="G304" i="21"/>
  <c r="H304" i="21" s="1"/>
  <c r="G303" i="21"/>
  <c r="H303" i="21" s="1"/>
  <c r="G302" i="21"/>
  <c r="H302" i="21" s="1"/>
  <c r="G301" i="21"/>
  <c r="H301" i="21" s="1"/>
  <c r="G300" i="21"/>
  <c r="H300" i="21" s="1"/>
  <c r="G299" i="21"/>
  <c r="H299" i="21" s="1"/>
  <c r="G298" i="21"/>
  <c r="H298" i="21" s="1"/>
  <c r="G297" i="21"/>
  <c r="H297" i="21" s="1"/>
  <c r="G296" i="21"/>
  <c r="H296" i="21" s="1"/>
  <c r="G295" i="21"/>
  <c r="H295" i="21" s="1"/>
  <c r="G294" i="21"/>
  <c r="H294" i="21" s="1"/>
  <c r="G293" i="21"/>
  <c r="H293" i="21" s="1"/>
  <c r="G292" i="21"/>
  <c r="H292" i="21" s="1"/>
  <c r="G291" i="21"/>
  <c r="H291" i="21" s="1"/>
  <c r="G290" i="21"/>
  <c r="H290" i="21" s="1"/>
  <c r="G289" i="21"/>
  <c r="H289" i="21" s="1"/>
  <c r="G288" i="21"/>
  <c r="H288" i="21" s="1"/>
  <c r="G287" i="21"/>
  <c r="H287" i="21" s="1"/>
  <c r="G286" i="21"/>
  <c r="H286" i="21" s="1"/>
  <c r="G285" i="21"/>
  <c r="H285" i="21" s="1"/>
  <c r="G284" i="21"/>
  <c r="H284" i="21" s="1"/>
  <c r="G283" i="21"/>
  <c r="H283" i="21" s="1"/>
  <c r="G282" i="21"/>
  <c r="H282" i="21" s="1"/>
  <c r="G281" i="21"/>
  <c r="H281" i="21" s="1"/>
  <c r="G280" i="21"/>
  <c r="H280" i="21" s="1"/>
  <c r="G279" i="21"/>
  <c r="H279" i="21" s="1"/>
  <c r="G278" i="21"/>
  <c r="H278" i="21" s="1"/>
  <c r="G277" i="21"/>
  <c r="H277" i="21" s="1"/>
  <c r="G276" i="21"/>
  <c r="H276" i="21" s="1"/>
  <c r="G275" i="21"/>
  <c r="H275" i="21" s="1"/>
  <c r="G274" i="21"/>
  <c r="H274" i="21" s="1"/>
  <c r="G273" i="21"/>
  <c r="H273" i="21" s="1"/>
  <c r="G272" i="21"/>
  <c r="H272" i="21" s="1"/>
  <c r="G271" i="21"/>
  <c r="H271" i="21" s="1"/>
  <c r="G270" i="21"/>
  <c r="H270" i="21" s="1"/>
  <c r="G269" i="21"/>
  <c r="H269" i="21" s="1"/>
  <c r="H268" i="21"/>
  <c r="G268" i="21"/>
  <c r="G267" i="21"/>
  <c r="H267" i="21" s="1"/>
  <c r="G266" i="21"/>
  <c r="H266" i="21" s="1"/>
  <c r="G265" i="21"/>
  <c r="H265" i="21" s="1"/>
  <c r="G264" i="21"/>
  <c r="H264" i="21" s="1"/>
  <c r="G263" i="21"/>
  <c r="H263" i="21" s="1"/>
  <c r="H262" i="21"/>
  <c r="G262" i="21"/>
  <c r="G261" i="21"/>
  <c r="H261" i="21" s="1"/>
  <c r="G260" i="21"/>
  <c r="H260" i="21" s="1"/>
  <c r="G259" i="21"/>
  <c r="H259" i="21" s="1"/>
  <c r="G258" i="21"/>
  <c r="H258" i="21" s="1"/>
  <c r="G257" i="21"/>
  <c r="H257" i="21" s="1"/>
  <c r="H256" i="21"/>
  <c r="G256" i="21"/>
  <c r="G255" i="21"/>
  <c r="H255" i="21" s="1"/>
  <c r="G254" i="21"/>
  <c r="H254" i="21" s="1"/>
  <c r="G253" i="21"/>
  <c r="H253" i="21" s="1"/>
  <c r="G252" i="21"/>
  <c r="H252" i="21" s="1"/>
  <c r="G251" i="21"/>
  <c r="H251" i="21" s="1"/>
  <c r="G250" i="21"/>
  <c r="H250" i="21" s="1"/>
  <c r="G249" i="21"/>
  <c r="H249" i="21" s="1"/>
  <c r="G248" i="21"/>
  <c r="H248" i="21" s="1"/>
  <c r="G247" i="21"/>
  <c r="H247" i="21" s="1"/>
  <c r="G246" i="21"/>
  <c r="H246" i="21" s="1"/>
  <c r="G245" i="21"/>
  <c r="H245" i="21" s="1"/>
  <c r="G244" i="21"/>
  <c r="H244" i="21" s="1"/>
  <c r="G243" i="21"/>
  <c r="H243" i="21" s="1"/>
  <c r="G242" i="21"/>
  <c r="H242" i="21" s="1"/>
  <c r="G241" i="21"/>
  <c r="H241" i="21" s="1"/>
  <c r="G240" i="21"/>
  <c r="H240" i="21" s="1"/>
  <c r="G239" i="21"/>
  <c r="H239" i="21" s="1"/>
  <c r="G238" i="21"/>
  <c r="H238" i="21" s="1"/>
  <c r="G237" i="21"/>
  <c r="H237" i="21" s="1"/>
  <c r="G236" i="21"/>
  <c r="H236" i="21" s="1"/>
  <c r="G235" i="21"/>
  <c r="H235" i="21" s="1"/>
  <c r="G234" i="21"/>
  <c r="H234" i="21" s="1"/>
  <c r="G233" i="21"/>
  <c r="H233" i="21" s="1"/>
  <c r="G232" i="21"/>
  <c r="H232" i="21" s="1"/>
  <c r="G231" i="21"/>
  <c r="H231" i="21" s="1"/>
  <c r="G230" i="21"/>
  <c r="H230" i="21" s="1"/>
  <c r="G229" i="21"/>
  <c r="H229" i="21" s="1"/>
  <c r="G228" i="21"/>
  <c r="H228" i="21" s="1"/>
  <c r="G227" i="21"/>
  <c r="H227" i="21" s="1"/>
  <c r="G226" i="21"/>
  <c r="H226" i="21" s="1"/>
  <c r="G225" i="21"/>
  <c r="H225" i="21" s="1"/>
  <c r="H224" i="21"/>
  <c r="G224" i="21"/>
  <c r="G223" i="21"/>
  <c r="H223" i="21" s="1"/>
  <c r="G222" i="21"/>
  <c r="H222" i="21" s="1"/>
  <c r="G221" i="21"/>
  <c r="H221" i="21" s="1"/>
  <c r="G220" i="21"/>
  <c r="H220" i="21" s="1"/>
  <c r="G219" i="21"/>
  <c r="H219" i="21" s="1"/>
  <c r="G218" i="21"/>
  <c r="H218" i="21" s="1"/>
  <c r="H217" i="21"/>
  <c r="G217" i="21"/>
  <c r="G216" i="21"/>
  <c r="H216" i="21" s="1"/>
  <c r="G215" i="21"/>
  <c r="H215" i="21" s="1"/>
  <c r="G214" i="21"/>
  <c r="H214" i="21" s="1"/>
  <c r="G213" i="21"/>
  <c r="H213" i="21" s="1"/>
  <c r="G212" i="21"/>
  <c r="H212" i="21" s="1"/>
  <c r="G211" i="21"/>
  <c r="H211" i="21" s="1"/>
  <c r="G210" i="21"/>
  <c r="H210" i="21" s="1"/>
  <c r="G209" i="21"/>
  <c r="H209" i="21" s="1"/>
  <c r="G208" i="21"/>
  <c r="H208" i="21" s="1"/>
  <c r="G207" i="21"/>
  <c r="H207" i="21" s="1"/>
  <c r="G206" i="21"/>
  <c r="H206" i="21" s="1"/>
  <c r="G205" i="21"/>
  <c r="H205" i="21" s="1"/>
  <c r="H204" i="21"/>
  <c r="G204" i="21"/>
  <c r="G203" i="21"/>
  <c r="H203" i="21" s="1"/>
  <c r="G202" i="21"/>
  <c r="H202" i="21" s="1"/>
  <c r="G201" i="21"/>
  <c r="H201" i="21" s="1"/>
  <c r="G200" i="21"/>
  <c r="H200" i="21" s="1"/>
  <c r="G199" i="21"/>
  <c r="H199" i="21" s="1"/>
  <c r="G198" i="21"/>
  <c r="H198" i="21" s="1"/>
  <c r="G197" i="21"/>
  <c r="H197" i="21" s="1"/>
  <c r="G196" i="21"/>
  <c r="H196" i="21" s="1"/>
  <c r="G195" i="21"/>
  <c r="H195" i="21" s="1"/>
  <c r="G194" i="21"/>
  <c r="H194" i="21" s="1"/>
  <c r="G193" i="21"/>
  <c r="H193" i="21" s="1"/>
  <c r="H192" i="21"/>
  <c r="G192" i="21"/>
  <c r="G191" i="21"/>
  <c r="H191" i="21" s="1"/>
  <c r="G190" i="21"/>
  <c r="H190" i="21" s="1"/>
  <c r="G189" i="21"/>
  <c r="H189" i="21" s="1"/>
  <c r="G188" i="21"/>
  <c r="H188" i="21" s="1"/>
  <c r="G187" i="21"/>
  <c r="H187" i="21" s="1"/>
  <c r="G186" i="21"/>
  <c r="H186" i="21" s="1"/>
  <c r="G185" i="21"/>
  <c r="H185" i="21" s="1"/>
  <c r="G184" i="21"/>
  <c r="H184" i="21" s="1"/>
  <c r="G183" i="21"/>
  <c r="H183" i="21" s="1"/>
  <c r="G182" i="21"/>
  <c r="H182" i="21" s="1"/>
  <c r="G181" i="21"/>
  <c r="H181" i="21" s="1"/>
  <c r="G180" i="21"/>
  <c r="H180" i="21" s="1"/>
  <c r="G179" i="21"/>
  <c r="H179" i="21" s="1"/>
  <c r="H178" i="21"/>
  <c r="G178" i="21"/>
  <c r="G177" i="21"/>
  <c r="H177" i="21" s="1"/>
  <c r="G176" i="21"/>
  <c r="H176" i="21" s="1"/>
  <c r="G175" i="21"/>
  <c r="H175" i="21" s="1"/>
  <c r="G174" i="21"/>
  <c r="H174" i="21" s="1"/>
  <c r="G173" i="21"/>
  <c r="H173" i="21" s="1"/>
  <c r="G172" i="21"/>
  <c r="H172" i="21" s="1"/>
  <c r="H171" i="21"/>
  <c r="G171" i="21"/>
  <c r="G170" i="21"/>
  <c r="H170" i="21" s="1"/>
  <c r="G169" i="21"/>
  <c r="H169" i="21" s="1"/>
  <c r="G168" i="21"/>
  <c r="H168" i="21" s="1"/>
  <c r="G167" i="21"/>
  <c r="H167" i="21" s="1"/>
  <c r="G166" i="21"/>
  <c r="H166" i="21" s="1"/>
  <c r="G165" i="21"/>
  <c r="H165" i="21" s="1"/>
  <c r="H164" i="21"/>
  <c r="G164" i="21"/>
  <c r="G163" i="21"/>
  <c r="H163" i="21" s="1"/>
  <c r="G162" i="21"/>
  <c r="H162" i="21" s="1"/>
  <c r="G161" i="21"/>
  <c r="H161" i="21" s="1"/>
  <c r="G160" i="21"/>
  <c r="H160" i="21" s="1"/>
  <c r="G159" i="21"/>
  <c r="H159" i="21" s="1"/>
  <c r="H158" i="21"/>
  <c r="G158" i="21"/>
  <c r="G157" i="21"/>
  <c r="H157" i="21" s="1"/>
  <c r="G156" i="21"/>
  <c r="H156" i="21" s="1"/>
  <c r="G155" i="21"/>
  <c r="H155" i="21" s="1"/>
  <c r="G154" i="21"/>
  <c r="H154" i="21" s="1"/>
  <c r="G153" i="21"/>
  <c r="H153" i="21" s="1"/>
  <c r="G152" i="21"/>
  <c r="H152" i="21" s="1"/>
  <c r="G151" i="21"/>
  <c r="H151" i="21" s="1"/>
  <c r="G150" i="21"/>
  <c r="H150" i="21" s="1"/>
  <c r="G149" i="21"/>
  <c r="H149" i="21" s="1"/>
  <c r="G148" i="21"/>
  <c r="H148" i="21" s="1"/>
  <c r="G147" i="21"/>
  <c r="H147" i="21" s="1"/>
  <c r="G146" i="21"/>
  <c r="H146" i="21" s="1"/>
  <c r="G145" i="21"/>
  <c r="H145" i="21" s="1"/>
  <c r="G144" i="21"/>
  <c r="H144" i="21" s="1"/>
  <c r="G143" i="21"/>
  <c r="H143" i="21" s="1"/>
  <c r="G142" i="21"/>
  <c r="H142" i="21" s="1"/>
  <c r="G141" i="21"/>
  <c r="H141" i="21" s="1"/>
  <c r="H140" i="21"/>
  <c r="G140" i="21"/>
  <c r="G139" i="21"/>
  <c r="H139" i="21" s="1"/>
  <c r="G138" i="21"/>
  <c r="H138" i="21" s="1"/>
  <c r="G137" i="21"/>
  <c r="H137" i="21" s="1"/>
  <c r="G136" i="21"/>
  <c r="H136" i="21" s="1"/>
  <c r="G135" i="21"/>
  <c r="H135" i="21" s="1"/>
  <c r="G134" i="21"/>
  <c r="H134" i="21" s="1"/>
  <c r="G133" i="21"/>
  <c r="H133" i="21" s="1"/>
  <c r="G132" i="21"/>
  <c r="H132" i="21" s="1"/>
  <c r="G131" i="21"/>
  <c r="H131" i="21" s="1"/>
  <c r="G130" i="21"/>
  <c r="H130" i="21" s="1"/>
  <c r="G129" i="21"/>
  <c r="H129" i="21" s="1"/>
  <c r="G128" i="21"/>
  <c r="H128" i="21" s="1"/>
  <c r="G127" i="21"/>
  <c r="H127" i="21" s="1"/>
  <c r="G126" i="21"/>
  <c r="H126" i="21" s="1"/>
  <c r="G125" i="21"/>
  <c r="H125" i="21" s="1"/>
  <c r="G124" i="21"/>
  <c r="H124" i="21" s="1"/>
  <c r="G123" i="21"/>
  <c r="H123" i="21" s="1"/>
  <c r="G122" i="21"/>
  <c r="H122" i="21" s="1"/>
  <c r="G121" i="21"/>
  <c r="H121" i="21" s="1"/>
  <c r="G120" i="21"/>
  <c r="H120" i="21" s="1"/>
  <c r="G119" i="21"/>
  <c r="H119" i="21" s="1"/>
  <c r="G118" i="21"/>
  <c r="H118" i="21" s="1"/>
  <c r="G117" i="21"/>
  <c r="H117" i="21" s="1"/>
  <c r="G116" i="21"/>
  <c r="H116" i="21" s="1"/>
  <c r="G115" i="21"/>
  <c r="H115" i="21" s="1"/>
  <c r="G114" i="21"/>
  <c r="H114" i="21" s="1"/>
  <c r="G113" i="21"/>
  <c r="H113" i="21" s="1"/>
  <c r="G112" i="21"/>
  <c r="H112" i="21" s="1"/>
  <c r="G111" i="21"/>
  <c r="H111" i="21" s="1"/>
  <c r="G110" i="21"/>
  <c r="H110" i="21" s="1"/>
  <c r="G109" i="21"/>
  <c r="H109" i="21" s="1"/>
  <c r="G108" i="21"/>
  <c r="H108" i="21" s="1"/>
  <c r="G107" i="21"/>
  <c r="H107" i="21" s="1"/>
  <c r="G106" i="21"/>
  <c r="H106" i="21" s="1"/>
  <c r="G105" i="21"/>
  <c r="H105" i="21" s="1"/>
  <c r="G104" i="21"/>
  <c r="H104" i="21" s="1"/>
  <c r="G103" i="21"/>
  <c r="H103" i="21" s="1"/>
  <c r="G102" i="21"/>
  <c r="H102" i="21" s="1"/>
  <c r="G101" i="21"/>
  <c r="H101" i="21" s="1"/>
  <c r="G100" i="21"/>
  <c r="H100" i="21" s="1"/>
  <c r="G99" i="21"/>
  <c r="H99" i="21" s="1"/>
  <c r="G98" i="21"/>
  <c r="H98" i="21" s="1"/>
  <c r="G97" i="21"/>
  <c r="H97" i="21" s="1"/>
  <c r="G96" i="21"/>
  <c r="H96" i="21" s="1"/>
  <c r="G95" i="21"/>
  <c r="H95" i="21" s="1"/>
  <c r="G94" i="21"/>
  <c r="H94" i="21" s="1"/>
  <c r="G93" i="21"/>
  <c r="H93" i="21" s="1"/>
  <c r="G92" i="21"/>
  <c r="H92" i="21" s="1"/>
  <c r="G91" i="21"/>
  <c r="H91" i="21" s="1"/>
  <c r="G90" i="21"/>
  <c r="H90" i="21" s="1"/>
  <c r="G89" i="21"/>
  <c r="H89" i="21" s="1"/>
  <c r="G88" i="21"/>
  <c r="H88" i="21" s="1"/>
  <c r="G87" i="21"/>
  <c r="H87" i="21" s="1"/>
  <c r="G86" i="21"/>
  <c r="H86" i="21" s="1"/>
  <c r="G85" i="21"/>
  <c r="H85" i="21" s="1"/>
  <c r="G84" i="21"/>
  <c r="H84" i="21" s="1"/>
  <c r="G83" i="21"/>
  <c r="H83" i="21" s="1"/>
  <c r="G82" i="21"/>
  <c r="H82" i="21" s="1"/>
  <c r="G81" i="21"/>
  <c r="H81" i="21" s="1"/>
  <c r="G80" i="21"/>
  <c r="H80" i="21" s="1"/>
  <c r="G79" i="21"/>
  <c r="H79" i="21" s="1"/>
  <c r="G78" i="21"/>
  <c r="H78" i="21" s="1"/>
  <c r="G77" i="21"/>
  <c r="H77" i="21" s="1"/>
  <c r="G76" i="21"/>
  <c r="H76" i="21" s="1"/>
  <c r="G75" i="21"/>
  <c r="H75" i="21" s="1"/>
  <c r="G74" i="21"/>
  <c r="H74" i="21" s="1"/>
  <c r="G73" i="21"/>
  <c r="H73" i="21" s="1"/>
  <c r="G72" i="21"/>
  <c r="H72" i="21" s="1"/>
  <c r="G71" i="21"/>
  <c r="H71" i="21" s="1"/>
  <c r="G70" i="21"/>
  <c r="H70" i="21" s="1"/>
  <c r="G69" i="21"/>
  <c r="H69" i="21" s="1"/>
  <c r="G68" i="21"/>
  <c r="H68" i="21" s="1"/>
  <c r="G67" i="21"/>
  <c r="H67" i="21" s="1"/>
  <c r="G66" i="21"/>
  <c r="H66" i="21" s="1"/>
  <c r="G65" i="21"/>
  <c r="H65" i="21" s="1"/>
  <c r="G64" i="21"/>
  <c r="H64" i="21" s="1"/>
  <c r="G63" i="21"/>
  <c r="H63" i="21" s="1"/>
  <c r="G62" i="21"/>
  <c r="H62" i="21" s="1"/>
  <c r="G61" i="21"/>
  <c r="H61" i="21" s="1"/>
  <c r="G60" i="21"/>
  <c r="H60" i="21" s="1"/>
  <c r="G59" i="21"/>
  <c r="H59" i="21" s="1"/>
  <c r="G58" i="21"/>
  <c r="H58" i="21" s="1"/>
  <c r="G57" i="21"/>
  <c r="H57" i="21" s="1"/>
  <c r="G56" i="21"/>
  <c r="H56" i="21" s="1"/>
  <c r="G55" i="21"/>
  <c r="H55" i="21" s="1"/>
  <c r="G54" i="21"/>
  <c r="H54" i="21" s="1"/>
  <c r="G53" i="21"/>
  <c r="H53" i="21" s="1"/>
  <c r="G52" i="21"/>
  <c r="H52" i="21" s="1"/>
  <c r="G51" i="21"/>
  <c r="H51" i="21" s="1"/>
  <c r="G50" i="21"/>
  <c r="H50" i="21" s="1"/>
  <c r="G49" i="21"/>
  <c r="H49" i="21" s="1"/>
  <c r="G48" i="21"/>
  <c r="H48" i="21" s="1"/>
  <c r="G47" i="21"/>
  <c r="H47" i="21" s="1"/>
  <c r="G46" i="21"/>
  <c r="H46" i="21" s="1"/>
  <c r="G45" i="21"/>
  <c r="H45" i="21" s="1"/>
  <c r="G44" i="21"/>
  <c r="H44" i="21" s="1"/>
  <c r="G43" i="21"/>
  <c r="H43" i="21" s="1"/>
  <c r="G42" i="21"/>
  <c r="H42" i="21" s="1"/>
  <c r="G41" i="21"/>
  <c r="H41" i="21" s="1"/>
  <c r="G40" i="21"/>
  <c r="H40" i="21" s="1"/>
  <c r="H39" i="21"/>
  <c r="G39" i="21"/>
  <c r="H38" i="21"/>
  <c r="G38" i="21"/>
  <c r="G37" i="21"/>
  <c r="H37" i="21" s="1"/>
  <c r="G36" i="21"/>
  <c r="H36" i="21" s="1"/>
  <c r="G35" i="21"/>
  <c r="H35" i="21" s="1"/>
  <c r="G34" i="21"/>
  <c r="H34" i="21" s="1"/>
  <c r="G33" i="21"/>
  <c r="H33" i="21" s="1"/>
  <c r="H32" i="21"/>
  <c r="G32" i="21"/>
  <c r="G31" i="21"/>
  <c r="H31" i="21" s="1"/>
  <c r="G30" i="21"/>
  <c r="H30" i="21" s="1"/>
  <c r="G29" i="21"/>
  <c r="H29" i="21" s="1"/>
  <c r="G28" i="21"/>
  <c r="H28" i="21" s="1"/>
  <c r="G27" i="21"/>
  <c r="H27" i="21" s="1"/>
  <c r="G26" i="21"/>
  <c r="H26" i="21" s="1"/>
  <c r="G25" i="21"/>
  <c r="H25" i="21" s="1"/>
  <c r="G24" i="21"/>
  <c r="H24" i="21" s="1"/>
  <c r="G23" i="21"/>
  <c r="H23" i="21" s="1"/>
  <c r="G22" i="21"/>
  <c r="H22" i="21" s="1"/>
  <c r="G21" i="21"/>
  <c r="H21" i="21" s="1"/>
  <c r="G20" i="21"/>
  <c r="H20" i="21" s="1"/>
  <c r="G19" i="21"/>
  <c r="H19" i="21" s="1"/>
  <c r="G18" i="21"/>
  <c r="H18" i="21" s="1"/>
  <c r="H17" i="21"/>
  <c r="G17" i="21"/>
  <c r="H16" i="21"/>
  <c r="G16" i="21"/>
  <c r="G15" i="21"/>
  <c r="H15" i="21" s="1"/>
  <c r="G14" i="21"/>
  <c r="H14" i="21" s="1"/>
  <c r="G13" i="21"/>
  <c r="H13" i="21" s="1"/>
  <c r="G12" i="21"/>
  <c r="H12" i="21" s="1"/>
  <c r="G11" i="21"/>
  <c r="H11" i="21" s="1"/>
  <c r="H124" i="2" s="1"/>
  <c r="G124" i="2" s="1"/>
  <c r="C76" i="14"/>
  <c r="D400" i="3"/>
  <c r="C62" i="14"/>
  <c r="O33" i="14"/>
  <c r="L33" i="14"/>
  <c r="I33" i="14"/>
  <c r="F33" i="14"/>
  <c r="B28" i="14"/>
  <c r="E25" i="14"/>
  <c r="E14" i="14"/>
  <c r="C2" i="8"/>
  <c r="A189" i="5"/>
  <c r="B188" i="5"/>
  <c r="A188" i="5"/>
  <c r="B119" i="5"/>
  <c r="A119" i="5"/>
  <c r="B174" i="5"/>
  <c r="A174" i="5"/>
  <c r="A163" i="5"/>
  <c r="B162" i="5"/>
  <c r="A162" i="5"/>
  <c r="A161" i="5"/>
  <c r="A160" i="5"/>
  <c r="A159" i="5"/>
  <c r="A158" i="5"/>
  <c r="B157" i="5"/>
  <c r="A157" i="5"/>
  <c r="A156" i="5"/>
  <c r="A155" i="5"/>
  <c r="A154" i="5"/>
  <c r="A153" i="5"/>
  <c r="A152" i="5"/>
  <c r="A151" i="5"/>
  <c r="A150" i="5"/>
  <c r="A149" i="5"/>
  <c r="A148" i="5"/>
  <c r="B147" i="5"/>
  <c r="A147" i="5"/>
  <c r="A146" i="5"/>
  <c r="A145" i="5"/>
  <c r="A144" i="5"/>
  <c r="A142" i="5"/>
  <c r="A141" i="5"/>
  <c r="A140" i="5"/>
  <c r="A139" i="5"/>
  <c r="A138" i="5"/>
  <c r="B137" i="5"/>
  <c r="A137" i="5"/>
  <c r="A105" i="5"/>
  <c r="B103" i="5"/>
  <c r="A103" i="5"/>
  <c r="A98" i="5"/>
  <c r="B97" i="5"/>
  <c r="A97" i="5"/>
  <c r="A96" i="5"/>
  <c r="A95" i="5"/>
  <c r="A90" i="5"/>
  <c r="B89" i="5"/>
  <c r="A89" i="5"/>
  <c r="C58" i="5"/>
  <c r="G58" i="5" s="1"/>
  <c r="O58" i="5" s="1"/>
  <c r="A58" i="5"/>
  <c r="C57" i="5"/>
  <c r="G57" i="5" s="1"/>
  <c r="O57" i="5" s="1"/>
  <c r="A57" i="5"/>
  <c r="C56" i="5"/>
  <c r="G56" i="5" s="1"/>
  <c r="O56" i="5" s="1"/>
  <c r="A56" i="5"/>
  <c r="C55" i="5"/>
  <c r="G55" i="5" s="1"/>
  <c r="O55" i="5" s="1"/>
  <c r="A55" i="5"/>
  <c r="C54" i="5"/>
  <c r="G54" i="5" s="1"/>
  <c r="O54" i="5" s="1"/>
  <c r="A54" i="5"/>
  <c r="B53" i="5"/>
  <c r="A53" i="5"/>
  <c r="C51" i="5"/>
  <c r="G51" i="5" s="1"/>
  <c r="O51" i="5" s="1"/>
  <c r="A51" i="5"/>
  <c r="C50" i="5"/>
  <c r="O50" i="5" s="1"/>
  <c r="A50" i="5"/>
  <c r="C49" i="5"/>
  <c r="G49" i="5" s="1"/>
  <c r="O49" i="5" s="1"/>
  <c r="A49" i="5"/>
  <c r="B48" i="5"/>
  <c r="A48" i="5"/>
  <c r="C46" i="5"/>
  <c r="A46" i="5"/>
  <c r="C45" i="5"/>
  <c r="G45" i="5" s="1"/>
  <c r="O45" i="5" s="1"/>
  <c r="A45" i="5"/>
  <c r="B44" i="5"/>
  <c r="A44" i="5"/>
  <c r="C43" i="5"/>
  <c r="A43" i="5"/>
  <c r="C42" i="5"/>
  <c r="A42" i="5"/>
  <c r="B41" i="5"/>
  <c r="A41" i="5"/>
  <c r="C15" i="5"/>
  <c r="M15" i="5" s="1"/>
  <c r="O15" i="5" s="1"/>
  <c r="A15" i="5"/>
  <c r="C14" i="5"/>
  <c r="M14" i="5" s="1"/>
  <c r="O14" i="5" s="1"/>
  <c r="A14" i="5"/>
  <c r="C16" i="5"/>
  <c r="A16" i="5"/>
  <c r="C11" i="5"/>
  <c r="A11" i="5"/>
  <c r="B10" i="5"/>
  <c r="A10" i="5"/>
  <c r="L26" i="4"/>
  <c r="G429" i="3" s="1"/>
  <c r="K429" i="3" s="1"/>
  <c r="K427" i="3" s="1"/>
  <c r="L23" i="4"/>
  <c r="H136" i="2" s="1"/>
  <c r="I136" i="2" s="1"/>
  <c r="K136" i="2" s="1"/>
  <c r="L24" i="4"/>
  <c r="H43" i="2" s="1"/>
  <c r="I43" i="2" s="1"/>
  <c r="K43" i="2" s="1"/>
  <c r="L14" i="4"/>
  <c r="G102" i="3" s="1"/>
  <c r="K102" i="3" s="1"/>
  <c r="G280" i="3"/>
  <c r="K280" i="3" s="1"/>
  <c r="L10" i="4"/>
  <c r="H13" i="2" s="1"/>
  <c r="I13" i="2" s="1"/>
  <c r="K13" i="2" s="1"/>
  <c r="J8" i="4"/>
  <c r="F11" i="4" s="1"/>
  <c r="B4" i="4"/>
  <c r="B3" i="4"/>
  <c r="B2" i="4"/>
  <c r="C471" i="3"/>
  <c r="B471" i="3"/>
  <c r="C465" i="3"/>
  <c r="B465" i="3"/>
  <c r="C459" i="3"/>
  <c r="B459" i="3"/>
  <c r="D297" i="3"/>
  <c r="C297" i="3"/>
  <c r="B297" i="3"/>
  <c r="C265" i="3"/>
  <c r="B265" i="3"/>
  <c r="G264" i="3"/>
  <c r="K264" i="3" s="1"/>
  <c r="C264" i="3"/>
  <c r="B264" i="3"/>
  <c r="D633" i="3"/>
  <c r="C633" i="3"/>
  <c r="B633" i="3"/>
  <c r="C627" i="3"/>
  <c r="B627" i="3"/>
  <c r="C613" i="3"/>
  <c r="B613" i="3"/>
  <c r="C610" i="3"/>
  <c r="B610" i="3"/>
  <c r="G609" i="3"/>
  <c r="K609" i="3" s="1"/>
  <c r="C609" i="3"/>
  <c r="B609" i="3"/>
  <c r="D603" i="3"/>
  <c r="C603" i="3"/>
  <c r="B603" i="3"/>
  <c r="G602" i="3"/>
  <c r="K602" i="3" s="1"/>
  <c r="C602" i="3"/>
  <c r="B602" i="3"/>
  <c r="C601" i="3"/>
  <c r="B601" i="3"/>
  <c r="G600" i="3"/>
  <c r="K600" i="3" s="1"/>
  <c r="C600" i="3"/>
  <c r="B600" i="3"/>
  <c r="D535" i="3"/>
  <c r="C535" i="3"/>
  <c r="B535" i="3"/>
  <c r="D534" i="3"/>
  <c r="C534" i="3"/>
  <c r="B534" i="3"/>
  <c r="D533" i="3"/>
  <c r="C533" i="3"/>
  <c r="B533" i="3"/>
  <c r="G532" i="3"/>
  <c r="F532" i="3" s="1"/>
  <c r="D532" i="3"/>
  <c r="C532" i="3"/>
  <c r="B532" i="3"/>
  <c r="D531" i="3"/>
  <c r="C531" i="3"/>
  <c r="B531" i="3"/>
  <c r="D530" i="3"/>
  <c r="C530" i="3"/>
  <c r="B530" i="3"/>
  <c r="C514" i="3"/>
  <c r="B514" i="3"/>
  <c r="D513" i="3"/>
  <c r="C513" i="3"/>
  <c r="B513" i="3"/>
  <c r="D512" i="3"/>
  <c r="C512" i="3"/>
  <c r="B512" i="3"/>
  <c r="G511" i="3"/>
  <c r="F511" i="3" s="1"/>
  <c r="D511" i="3"/>
  <c r="C511" i="3"/>
  <c r="B511" i="3"/>
  <c r="D510" i="3"/>
  <c r="C510" i="3"/>
  <c r="B510" i="3"/>
  <c r="D509" i="3"/>
  <c r="C509" i="3"/>
  <c r="B509" i="3"/>
  <c r="C380" i="3"/>
  <c r="B380" i="3"/>
  <c r="C379" i="3"/>
  <c r="B379" i="3"/>
  <c r="C378" i="3"/>
  <c r="B378" i="3"/>
  <c r="C377" i="3"/>
  <c r="B377" i="3"/>
  <c r="C369" i="3"/>
  <c r="B369" i="3"/>
  <c r="C368" i="3"/>
  <c r="B368" i="3"/>
  <c r="C367" i="3"/>
  <c r="B367" i="3"/>
  <c r="C366" i="3"/>
  <c r="B366" i="3"/>
  <c r="C358" i="3"/>
  <c r="B358" i="3"/>
  <c r="C357" i="3"/>
  <c r="B357" i="3"/>
  <c r="C356" i="3"/>
  <c r="B356" i="3"/>
  <c r="C355" i="3"/>
  <c r="B355" i="3"/>
  <c r="C349" i="3"/>
  <c r="B349" i="3"/>
  <c r="C347" i="3"/>
  <c r="B347" i="3"/>
  <c r="C346" i="3"/>
  <c r="B346" i="3"/>
  <c r="C345" i="3"/>
  <c r="B345" i="3"/>
  <c r="C344" i="3"/>
  <c r="B344" i="3"/>
  <c r="C338" i="3"/>
  <c r="B338" i="3"/>
  <c r="C337" i="3"/>
  <c r="B337" i="3"/>
  <c r="C336" i="3"/>
  <c r="B336" i="3"/>
  <c r="C335" i="3"/>
  <c r="B335" i="3"/>
  <c r="C334" i="3"/>
  <c r="B334" i="3"/>
  <c r="G328" i="3"/>
  <c r="K328" i="3" s="1"/>
  <c r="C328" i="3"/>
  <c r="B328" i="3"/>
  <c r="C327" i="3"/>
  <c r="B327" i="3"/>
  <c r="C326" i="3"/>
  <c r="B326" i="3"/>
  <c r="C320" i="3"/>
  <c r="B320" i="3"/>
  <c r="C319" i="3"/>
  <c r="B319" i="3"/>
  <c r="C318" i="3"/>
  <c r="B318" i="3"/>
  <c r="J435" i="3"/>
  <c r="J433" i="3" s="1"/>
  <c r="G110" i="2" s="1"/>
  <c r="C447" i="3"/>
  <c r="B447" i="3"/>
  <c r="C446" i="3"/>
  <c r="B446" i="3"/>
  <c r="C445" i="3"/>
  <c r="B445" i="3"/>
  <c r="C444" i="3"/>
  <c r="B444" i="3"/>
  <c r="C443" i="3"/>
  <c r="B443" i="3"/>
  <c r="C442" i="3"/>
  <c r="B442" i="3"/>
  <c r="C441" i="3"/>
  <c r="B441" i="3"/>
  <c r="J429" i="3"/>
  <c r="J427" i="3" s="1"/>
  <c r="G109" i="2" s="1"/>
  <c r="C429" i="3"/>
  <c r="B429" i="3"/>
  <c r="C312" i="3"/>
  <c r="B312" i="3"/>
  <c r="C311" i="3"/>
  <c r="B311" i="3"/>
  <c r="G310" i="3"/>
  <c r="K310" i="3" s="1"/>
  <c r="C310" i="3"/>
  <c r="B310" i="3"/>
  <c r="C309" i="3"/>
  <c r="B309" i="3"/>
  <c r="C303" i="3"/>
  <c r="B303" i="3"/>
  <c r="C258" i="3"/>
  <c r="B258" i="3"/>
  <c r="C257" i="3"/>
  <c r="B257" i="3"/>
  <c r="C291" i="3"/>
  <c r="B291" i="3"/>
  <c r="C290" i="3"/>
  <c r="B290" i="3"/>
  <c r="C289" i="3"/>
  <c r="B289" i="3"/>
  <c r="C288" i="3"/>
  <c r="B288" i="3"/>
  <c r="C287" i="3"/>
  <c r="B287" i="3"/>
  <c r="C281" i="3"/>
  <c r="B281" i="3"/>
  <c r="J280" i="3"/>
  <c r="C280" i="3"/>
  <c r="B280" i="3"/>
  <c r="D274" i="3"/>
  <c r="C274" i="3"/>
  <c r="B274" i="3"/>
  <c r="D273" i="3"/>
  <c r="C273" i="3"/>
  <c r="B273" i="3"/>
  <c r="C272" i="3"/>
  <c r="B272" i="3"/>
  <c r="C271" i="3"/>
  <c r="B271" i="3"/>
  <c r="C83" i="3"/>
  <c r="B83" i="3"/>
  <c r="C82" i="3"/>
  <c r="B82" i="3"/>
  <c r="C81" i="3"/>
  <c r="B81" i="3"/>
  <c r="C80" i="3"/>
  <c r="B80" i="3"/>
  <c r="C79" i="3"/>
  <c r="B79" i="3"/>
  <c r="C78" i="3"/>
  <c r="B78" i="3"/>
  <c r="D77" i="3"/>
  <c r="C77" i="3"/>
  <c r="B77" i="3"/>
  <c r="C76" i="3"/>
  <c r="B76" i="3"/>
  <c r="C74" i="3"/>
  <c r="B74" i="3"/>
  <c r="D73" i="3"/>
  <c r="D74" i="3" s="1"/>
  <c r="C73" i="3"/>
  <c r="B73" i="3"/>
  <c r="C72" i="3"/>
  <c r="B72" i="3"/>
  <c r="C71" i="3"/>
  <c r="B71" i="3"/>
  <c r="C70" i="3"/>
  <c r="B70" i="3"/>
  <c r="C68" i="3"/>
  <c r="B68" i="3"/>
  <c r="C67" i="3"/>
  <c r="B67" i="3"/>
  <c r="C66" i="3"/>
  <c r="B66" i="3"/>
  <c r="C65" i="3"/>
  <c r="B65" i="3"/>
  <c r="C64" i="3"/>
  <c r="B64" i="3"/>
  <c r="C63" i="3"/>
  <c r="B63" i="3"/>
  <c r="C62" i="3"/>
  <c r="B62" i="3"/>
  <c r="C61" i="3"/>
  <c r="B61" i="3"/>
  <c r="C45" i="3"/>
  <c r="B45" i="3"/>
  <c r="C39" i="3"/>
  <c r="B39" i="3"/>
  <c r="C54" i="3"/>
  <c r="B54" i="3"/>
  <c r="C53" i="3"/>
  <c r="B53" i="3"/>
  <c r="G52" i="3"/>
  <c r="F52" i="3" s="1"/>
  <c r="C52" i="3"/>
  <c r="B52" i="3"/>
  <c r="C51" i="3"/>
  <c r="B51" i="3"/>
  <c r="G15" i="3"/>
  <c r="F15" i="3" s="1"/>
  <c r="C15" i="3"/>
  <c r="B15" i="3"/>
  <c r="C33" i="3"/>
  <c r="B33" i="3"/>
  <c r="C32" i="3"/>
  <c r="B32" i="3"/>
  <c r="C31" i="3"/>
  <c r="B31" i="3"/>
  <c r="C30" i="3"/>
  <c r="B30" i="3"/>
  <c r="C29" i="3"/>
  <c r="B29" i="3"/>
  <c r="C28" i="3"/>
  <c r="B28" i="3"/>
  <c r="C27" i="3"/>
  <c r="B27" i="3"/>
  <c r="F26" i="3"/>
  <c r="J26" i="3" s="1"/>
  <c r="K26" i="3"/>
  <c r="C26" i="3"/>
  <c r="B26" i="3"/>
  <c r="C24" i="3"/>
  <c r="B24" i="3"/>
  <c r="C14" i="3"/>
  <c r="B14" i="3"/>
  <c r="G13" i="3"/>
  <c r="C13" i="3"/>
  <c r="B13" i="3"/>
  <c r="D12" i="3"/>
  <c r="D14" i="3" s="1"/>
  <c r="C12" i="3"/>
  <c r="B12" i="3"/>
  <c r="C11" i="3"/>
  <c r="B11" i="3"/>
  <c r="E189" i="2"/>
  <c r="I190" i="25" s="1"/>
  <c r="F190" i="26" s="1"/>
  <c r="D189" i="2"/>
  <c r="G190" i="25" s="1"/>
  <c r="D190" i="26" s="1"/>
  <c r="E124" i="2"/>
  <c r="I125" i="25" s="1"/>
  <c r="F125" i="26" s="1"/>
  <c r="D124" i="2"/>
  <c r="G125" i="25" s="1"/>
  <c r="D125" i="26" s="1"/>
  <c r="E175" i="2"/>
  <c r="I176" i="25" s="1"/>
  <c r="F176" i="26" s="1"/>
  <c r="D175" i="2"/>
  <c r="G176" i="25" s="1"/>
  <c r="D176" i="26" s="1"/>
  <c r="E177" i="2"/>
  <c r="I178" i="25" s="1"/>
  <c r="F178" i="26" s="1"/>
  <c r="D177" i="2"/>
  <c r="G178" i="25" s="1"/>
  <c r="D178" i="26" s="1"/>
  <c r="H135" i="2"/>
  <c r="G135" i="2" s="1"/>
  <c r="I135" i="2" s="1"/>
  <c r="K135" i="2" s="1"/>
  <c r="E135" i="2"/>
  <c r="I136" i="25" s="1"/>
  <c r="F136" i="26" s="1"/>
  <c r="D135" i="2"/>
  <c r="G136" i="25" s="1"/>
  <c r="D136" i="26" s="1"/>
  <c r="H134" i="2"/>
  <c r="G134" i="2" s="1"/>
  <c r="E134" i="2"/>
  <c r="I135" i="25" s="1"/>
  <c r="F135" i="26" s="1"/>
  <c r="D134" i="2"/>
  <c r="G135" i="25" s="1"/>
  <c r="D135" i="26" s="1"/>
  <c r="E132" i="2"/>
  <c r="I133" i="25" s="1"/>
  <c r="F133" i="26" s="1"/>
  <c r="D132" i="2"/>
  <c r="G133" i="25" s="1"/>
  <c r="D133" i="26" s="1"/>
  <c r="E167" i="2"/>
  <c r="I168" i="25" s="1"/>
  <c r="F168" i="26" s="1"/>
  <c r="D167" i="2"/>
  <c r="G168" i="25" s="1"/>
  <c r="D168" i="26" s="1"/>
  <c r="E166" i="2"/>
  <c r="I167" i="25" s="1"/>
  <c r="F167" i="26" s="1"/>
  <c r="D166" i="2"/>
  <c r="G167" i="25" s="1"/>
  <c r="D167" i="26" s="1"/>
  <c r="E165" i="2"/>
  <c r="I166" i="25" s="1"/>
  <c r="F166" i="26" s="1"/>
  <c r="D165" i="2"/>
  <c r="G166" i="25" s="1"/>
  <c r="D166" i="26" s="1"/>
  <c r="E164" i="2"/>
  <c r="I165" i="25" s="1"/>
  <c r="F165" i="26" s="1"/>
  <c r="D164" i="2"/>
  <c r="G165" i="25" s="1"/>
  <c r="D165" i="26" s="1"/>
  <c r="H163" i="2"/>
  <c r="G163" i="2" s="1"/>
  <c r="I163" i="2" s="1"/>
  <c r="K163" i="2" s="1"/>
  <c r="E163" i="2"/>
  <c r="I164" i="25" s="1"/>
  <c r="F164" i="26" s="1"/>
  <c r="D163" i="2"/>
  <c r="G164" i="25" s="1"/>
  <c r="D164" i="26" s="1"/>
  <c r="E161" i="2"/>
  <c r="I162" i="25" s="1"/>
  <c r="F162" i="26" s="1"/>
  <c r="D161" i="2"/>
  <c r="G162" i="25" s="1"/>
  <c r="D162" i="26" s="1"/>
  <c r="E160" i="2"/>
  <c r="I161" i="25" s="1"/>
  <c r="F161" i="26" s="1"/>
  <c r="D160" i="2"/>
  <c r="G161" i="25" s="1"/>
  <c r="D161" i="26" s="1"/>
  <c r="E159" i="2"/>
  <c r="I160" i="25" s="1"/>
  <c r="F160" i="26" s="1"/>
  <c r="D159" i="2"/>
  <c r="G160" i="25" s="1"/>
  <c r="D160" i="26" s="1"/>
  <c r="E158" i="2"/>
  <c r="I159" i="25" s="1"/>
  <c r="F159" i="26" s="1"/>
  <c r="D158" i="2"/>
  <c r="G159" i="25" s="1"/>
  <c r="D159" i="26" s="1"/>
  <c r="H156" i="2"/>
  <c r="G156" i="2" s="1"/>
  <c r="E156" i="2"/>
  <c r="I157" i="25" s="1"/>
  <c r="F157" i="26" s="1"/>
  <c r="D156" i="2"/>
  <c r="G157" i="25" s="1"/>
  <c r="D157" i="26" s="1"/>
  <c r="H155" i="2"/>
  <c r="G155" i="2" s="1"/>
  <c r="I155" i="2" s="1"/>
  <c r="K155" i="2" s="1"/>
  <c r="E155" i="2"/>
  <c r="I156" i="25" s="1"/>
  <c r="F156" i="26" s="1"/>
  <c r="D155" i="2"/>
  <c r="G156" i="25" s="1"/>
  <c r="D156" i="26" s="1"/>
  <c r="H154" i="2"/>
  <c r="G154" i="2" s="1"/>
  <c r="I154" i="2" s="1"/>
  <c r="K154" i="2" s="1"/>
  <c r="E154" i="2"/>
  <c r="I155" i="25" s="1"/>
  <c r="F155" i="26" s="1"/>
  <c r="D154" i="2"/>
  <c r="G155" i="25" s="1"/>
  <c r="D155" i="26" s="1"/>
  <c r="H153" i="2"/>
  <c r="G153" i="2" s="1"/>
  <c r="I153" i="2" s="1"/>
  <c r="K153" i="2" s="1"/>
  <c r="E153" i="2"/>
  <c r="I154" i="25" s="1"/>
  <c r="F154" i="26" s="1"/>
  <c r="D153" i="2"/>
  <c r="G154" i="25" s="1"/>
  <c r="D154" i="26" s="1"/>
  <c r="H152" i="2"/>
  <c r="G152" i="2" s="1"/>
  <c r="I152" i="2" s="1"/>
  <c r="K152" i="2" s="1"/>
  <c r="E152" i="2"/>
  <c r="I153" i="25" s="1"/>
  <c r="F153" i="26" s="1"/>
  <c r="D152" i="2"/>
  <c r="G153" i="25" s="1"/>
  <c r="D153" i="26" s="1"/>
  <c r="E151" i="2"/>
  <c r="I152" i="25" s="1"/>
  <c r="F152" i="26" s="1"/>
  <c r="D151" i="2"/>
  <c r="G152" i="25" s="1"/>
  <c r="D152" i="26" s="1"/>
  <c r="E150" i="2"/>
  <c r="I151" i="25" s="1"/>
  <c r="F151" i="26" s="1"/>
  <c r="D150" i="2"/>
  <c r="G151" i="25" s="1"/>
  <c r="D151" i="26" s="1"/>
  <c r="E149" i="2"/>
  <c r="I150" i="25" s="1"/>
  <c r="F150" i="26" s="1"/>
  <c r="D149" i="2"/>
  <c r="G150" i="25" s="1"/>
  <c r="D150" i="26" s="1"/>
  <c r="E148" i="2"/>
  <c r="I149" i="25" s="1"/>
  <c r="F149" i="26" s="1"/>
  <c r="D148" i="2"/>
  <c r="G149" i="25" s="1"/>
  <c r="D149" i="26" s="1"/>
  <c r="E146" i="2"/>
  <c r="I147" i="25" s="1"/>
  <c r="F147" i="26" s="1"/>
  <c r="D146" i="2"/>
  <c r="G147" i="25" s="1"/>
  <c r="D147" i="26" s="1"/>
  <c r="H145" i="2"/>
  <c r="G145" i="2" s="1"/>
  <c r="I145" i="2" s="1"/>
  <c r="K145" i="2" s="1"/>
  <c r="E145" i="2"/>
  <c r="I146" i="25" s="1"/>
  <c r="F146" i="26" s="1"/>
  <c r="D145" i="2"/>
  <c r="G146" i="25" s="1"/>
  <c r="D146" i="26" s="1"/>
  <c r="H144" i="2"/>
  <c r="G144" i="2" s="1"/>
  <c r="I144" i="2" s="1"/>
  <c r="K144" i="2" s="1"/>
  <c r="E144" i="2"/>
  <c r="I145" i="25" s="1"/>
  <c r="F145" i="26" s="1"/>
  <c r="D144" i="2"/>
  <c r="G145" i="25" s="1"/>
  <c r="D145" i="26" s="1"/>
  <c r="E142" i="2"/>
  <c r="I143" i="25" s="1"/>
  <c r="F143" i="26" s="1"/>
  <c r="D142" i="2"/>
  <c r="G143" i="25" s="1"/>
  <c r="D143" i="26" s="1"/>
  <c r="E141" i="2"/>
  <c r="I142" i="25" s="1"/>
  <c r="F142" i="26" s="1"/>
  <c r="D141" i="2"/>
  <c r="G142" i="25" s="1"/>
  <c r="D142" i="26" s="1"/>
  <c r="E140" i="2"/>
  <c r="I141" i="25" s="1"/>
  <c r="F141" i="26" s="1"/>
  <c r="D140" i="2"/>
  <c r="G141" i="25" s="1"/>
  <c r="D141" i="26" s="1"/>
  <c r="E139" i="2"/>
  <c r="I140" i="25" s="1"/>
  <c r="F140" i="26" s="1"/>
  <c r="D139" i="2"/>
  <c r="G140" i="25" s="1"/>
  <c r="D140" i="26" s="1"/>
  <c r="E138" i="2"/>
  <c r="I139" i="25" s="1"/>
  <c r="F139" i="26" s="1"/>
  <c r="D138" i="2"/>
  <c r="G139" i="25" s="1"/>
  <c r="D139" i="26" s="1"/>
  <c r="H118" i="2"/>
  <c r="G118" i="2" s="1"/>
  <c r="E118" i="2"/>
  <c r="I119" i="25" s="1"/>
  <c r="F119" i="26" s="1"/>
  <c r="D118" i="2"/>
  <c r="G119" i="25" s="1"/>
  <c r="D119" i="26" s="1"/>
  <c r="E117" i="2"/>
  <c r="I118" i="25" s="1"/>
  <c r="F118" i="26" s="1"/>
  <c r="D117" i="2"/>
  <c r="G118" i="25" s="1"/>
  <c r="D118" i="26" s="1"/>
  <c r="H116" i="2"/>
  <c r="G116" i="2" s="1"/>
  <c r="I116" i="2" s="1"/>
  <c r="K116" i="2" s="1"/>
  <c r="E116" i="2"/>
  <c r="I117" i="25" s="1"/>
  <c r="F117" i="26" s="1"/>
  <c r="D116" i="2"/>
  <c r="G117" i="25" s="1"/>
  <c r="D117" i="26" s="1"/>
  <c r="E115" i="2"/>
  <c r="I116" i="25" s="1"/>
  <c r="F116" i="26" s="1"/>
  <c r="D115" i="2"/>
  <c r="G116" i="25" s="1"/>
  <c r="D116" i="26" s="1"/>
  <c r="E126" i="2"/>
  <c r="I127" i="25" s="1"/>
  <c r="F127" i="26" s="1"/>
  <c r="D126" i="2"/>
  <c r="G127" i="25" s="1"/>
  <c r="D127" i="26" s="1"/>
  <c r="E125" i="2"/>
  <c r="I126" i="25" s="1"/>
  <c r="F126" i="26" s="1"/>
  <c r="D125" i="2"/>
  <c r="G126" i="25" s="1"/>
  <c r="D126" i="26" s="1"/>
  <c r="E122" i="2"/>
  <c r="I123" i="25" s="1"/>
  <c r="F123" i="26" s="1"/>
  <c r="D122" i="2"/>
  <c r="G123" i="25" s="1"/>
  <c r="D123" i="26" s="1"/>
  <c r="E121" i="2"/>
  <c r="I122" i="25" s="1"/>
  <c r="F122" i="26" s="1"/>
  <c r="D121" i="2"/>
  <c r="G122" i="25" s="1"/>
  <c r="D122" i="26" s="1"/>
  <c r="E108" i="2"/>
  <c r="I109" i="25" s="1"/>
  <c r="F109" i="26" s="1"/>
  <c r="D108" i="2"/>
  <c r="G109" i="25" s="1"/>
  <c r="D109" i="26" s="1"/>
  <c r="E107" i="2"/>
  <c r="I108" i="25" s="1"/>
  <c r="F108" i="26" s="1"/>
  <c r="D107" i="2"/>
  <c r="G108" i="25" s="1"/>
  <c r="D108" i="26" s="1"/>
  <c r="E106" i="2"/>
  <c r="I107" i="25" s="1"/>
  <c r="F107" i="26" s="1"/>
  <c r="D106" i="2"/>
  <c r="G107" i="25" s="1"/>
  <c r="D107" i="26" s="1"/>
  <c r="E105" i="2"/>
  <c r="I106" i="25" s="1"/>
  <c r="F106" i="26" s="1"/>
  <c r="D105" i="2"/>
  <c r="G106" i="25" s="1"/>
  <c r="D106" i="26" s="1"/>
  <c r="E102" i="2"/>
  <c r="I103" i="25" s="1"/>
  <c r="F103" i="26" s="1"/>
  <c r="D102" i="2"/>
  <c r="G103" i="25" s="1"/>
  <c r="D103" i="26" s="1"/>
  <c r="H101" i="2"/>
  <c r="G101" i="2" s="1"/>
  <c r="E101" i="2"/>
  <c r="I102" i="25" s="1"/>
  <c r="F102" i="26" s="1"/>
  <c r="D101" i="2"/>
  <c r="G102" i="25" s="1"/>
  <c r="D102" i="26" s="1"/>
  <c r="H100" i="2"/>
  <c r="G100" i="2" s="1"/>
  <c r="I100" i="2" s="1"/>
  <c r="K100" i="2" s="1"/>
  <c r="E100" i="2"/>
  <c r="I101" i="25" s="1"/>
  <c r="F101" i="26" s="1"/>
  <c r="D100" i="2"/>
  <c r="G101" i="25" s="1"/>
  <c r="D101" i="26" s="1"/>
  <c r="E99" i="2"/>
  <c r="I100" i="25" s="1"/>
  <c r="F100" i="26" s="1"/>
  <c r="D99" i="2"/>
  <c r="G100" i="25" s="1"/>
  <c r="D100" i="26" s="1"/>
  <c r="E98" i="2"/>
  <c r="I99" i="25" s="1"/>
  <c r="F99" i="26" s="1"/>
  <c r="D98" i="2"/>
  <c r="G99" i="25" s="1"/>
  <c r="D99" i="26" s="1"/>
  <c r="E104" i="2"/>
  <c r="I105" i="25" s="1"/>
  <c r="F105" i="26" s="1"/>
  <c r="D104" i="2"/>
  <c r="G105" i="25" s="1"/>
  <c r="D105" i="26" s="1"/>
  <c r="E96" i="2"/>
  <c r="I97" i="25" s="1"/>
  <c r="F97" i="26" s="1"/>
  <c r="D96" i="2"/>
  <c r="G97" i="25" s="1"/>
  <c r="D97" i="26" s="1"/>
  <c r="H95" i="2"/>
  <c r="G95" i="2" s="1"/>
  <c r="E95" i="2"/>
  <c r="I96" i="25" s="1"/>
  <c r="F96" i="26" s="1"/>
  <c r="D95" i="2"/>
  <c r="G96" i="25" s="1"/>
  <c r="D96" i="26" s="1"/>
  <c r="H94" i="2"/>
  <c r="G94" i="2" s="1"/>
  <c r="I94" i="2" s="1"/>
  <c r="K94" i="2" s="1"/>
  <c r="E94" i="2"/>
  <c r="I95" i="25" s="1"/>
  <c r="F95" i="26" s="1"/>
  <c r="D94" i="2"/>
  <c r="G95" i="25" s="1"/>
  <c r="D95" i="26" s="1"/>
  <c r="E58" i="2"/>
  <c r="I59" i="25" s="1"/>
  <c r="F59" i="26" s="1"/>
  <c r="D58" i="2"/>
  <c r="G59" i="25" s="1"/>
  <c r="D59" i="26" s="1"/>
  <c r="H57" i="2"/>
  <c r="G57" i="2" s="1"/>
  <c r="L57" i="2" s="1"/>
  <c r="M58" i="26" s="1"/>
  <c r="E57" i="2"/>
  <c r="I58" i="25" s="1"/>
  <c r="F58" i="26" s="1"/>
  <c r="D57" i="2"/>
  <c r="G58" i="25" s="1"/>
  <c r="D58" i="26" s="1"/>
  <c r="E56" i="2"/>
  <c r="I57" i="25" s="1"/>
  <c r="F57" i="26" s="1"/>
  <c r="D56" i="2"/>
  <c r="G57" i="25" s="1"/>
  <c r="D57" i="26" s="1"/>
  <c r="E55" i="2"/>
  <c r="I56" i="25" s="1"/>
  <c r="F56" i="26" s="1"/>
  <c r="D55" i="2"/>
  <c r="G56" i="25" s="1"/>
  <c r="D56" i="26" s="1"/>
  <c r="E52" i="2"/>
  <c r="I53" i="25" s="1"/>
  <c r="F53" i="26" s="1"/>
  <c r="D52" i="2"/>
  <c r="G53" i="25" s="1"/>
  <c r="D53" i="26" s="1"/>
  <c r="E54" i="2"/>
  <c r="I55" i="25" s="1"/>
  <c r="F55" i="26" s="1"/>
  <c r="D54" i="2"/>
  <c r="G55" i="25" s="1"/>
  <c r="D55" i="26" s="1"/>
  <c r="E51" i="2"/>
  <c r="I52" i="25" s="1"/>
  <c r="F52" i="26" s="1"/>
  <c r="D51" i="2"/>
  <c r="G52" i="25" s="1"/>
  <c r="D52" i="26" s="1"/>
  <c r="E50" i="2"/>
  <c r="I51" i="25" s="1"/>
  <c r="F51" i="26" s="1"/>
  <c r="D50" i="2"/>
  <c r="G51" i="25" s="1"/>
  <c r="D51" i="26" s="1"/>
  <c r="E49" i="2"/>
  <c r="I50" i="25" s="1"/>
  <c r="F50" i="26" s="1"/>
  <c r="D49" i="2"/>
  <c r="G50" i="25" s="1"/>
  <c r="D50" i="26" s="1"/>
  <c r="E192" i="2"/>
  <c r="I193" i="25" s="1"/>
  <c r="F193" i="26" s="1"/>
  <c r="D192" i="2"/>
  <c r="G193" i="25" s="1"/>
  <c r="D193" i="26" s="1"/>
  <c r="E46" i="2"/>
  <c r="I47" i="25" s="1"/>
  <c r="F47" i="26" s="1"/>
  <c r="D46" i="2"/>
  <c r="G47" i="25" s="1"/>
  <c r="D47" i="26" s="1"/>
  <c r="E45" i="2"/>
  <c r="I46" i="25" s="1"/>
  <c r="F46" i="26" s="1"/>
  <c r="D45" i="2"/>
  <c r="G46" i="25" s="1"/>
  <c r="D46" i="26" s="1"/>
  <c r="L43" i="2"/>
  <c r="M44" i="26" s="1"/>
  <c r="E43" i="2"/>
  <c r="I44" i="25" s="1"/>
  <c r="F44" i="26" s="1"/>
  <c r="D43" i="2"/>
  <c r="G44" i="25" s="1"/>
  <c r="D44" i="26" s="1"/>
  <c r="E15" i="2"/>
  <c r="I16" i="25" s="1"/>
  <c r="F16" i="26" s="1"/>
  <c r="D15" i="2"/>
  <c r="G16" i="25" s="1"/>
  <c r="D16" i="26" s="1"/>
  <c r="E14" i="2"/>
  <c r="I15" i="25" s="1"/>
  <c r="F15" i="26" s="1"/>
  <c r="D14" i="2"/>
  <c r="G15" i="25" s="1"/>
  <c r="D15" i="26" s="1"/>
  <c r="E16" i="2"/>
  <c r="I17" i="25" s="1"/>
  <c r="F17" i="26" s="1"/>
  <c r="D16" i="2"/>
  <c r="G17" i="25" s="1"/>
  <c r="D17" i="26" s="1"/>
  <c r="E11" i="2"/>
  <c r="D11" i="2"/>
  <c r="D6" i="2"/>
  <c r="D4" i="2"/>
  <c r="D3" i="2"/>
  <c r="D2" i="2"/>
  <c r="B4" i="24" s="1"/>
  <c r="C4" i="25" s="1"/>
  <c r="G140" i="26" l="1"/>
  <c r="H140" i="26" s="1"/>
  <c r="J140" i="25"/>
  <c r="K140" i="25" s="1"/>
  <c r="G128" i="26"/>
  <c r="H128" i="26" s="1"/>
  <c r="J128" i="25"/>
  <c r="K128" i="25" s="1"/>
  <c r="G447" i="3"/>
  <c r="K447" i="3" s="1"/>
  <c r="G95" i="26"/>
  <c r="H95" i="26" s="1"/>
  <c r="J95" i="25"/>
  <c r="K95" i="25" s="1"/>
  <c r="G145" i="26"/>
  <c r="H145" i="26" s="1"/>
  <c r="J145" i="25"/>
  <c r="K145" i="25" s="1"/>
  <c r="G611" i="3"/>
  <c r="K611" i="3" s="1"/>
  <c r="G327" i="3"/>
  <c r="F327" i="3" s="1"/>
  <c r="J327" i="3" s="1"/>
  <c r="G156" i="26"/>
  <c r="H156" i="26" s="1"/>
  <c r="J156" i="25"/>
  <c r="K156" i="25" s="1"/>
  <c r="F95" i="2"/>
  <c r="H96" i="25" s="1"/>
  <c r="F101" i="2"/>
  <c r="H102" i="25" s="1"/>
  <c r="F135" i="2"/>
  <c r="F145" i="2"/>
  <c r="H146" i="25" s="1"/>
  <c r="G612" i="3"/>
  <c r="G56" i="26"/>
  <c r="H56" i="26" s="1"/>
  <c r="J56" i="25"/>
  <c r="K56" i="25" s="1"/>
  <c r="G187" i="26"/>
  <c r="H187" i="26" s="1"/>
  <c r="J187" i="25"/>
  <c r="K187" i="25" s="1"/>
  <c r="J155" i="25"/>
  <c r="K155" i="25" s="1"/>
  <c r="G155" i="26"/>
  <c r="H155" i="26" s="1"/>
  <c r="D399" i="3"/>
  <c r="F187" i="2"/>
  <c r="F118" i="2"/>
  <c r="H119" i="25" s="1"/>
  <c r="G101" i="26"/>
  <c r="H101" i="26" s="1"/>
  <c r="J101" i="25"/>
  <c r="K101" i="25" s="1"/>
  <c r="G53" i="3"/>
  <c r="J146" i="25"/>
  <c r="G146" i="26"/>
  <c r="G164" i="26"/>
  <c r="H164" i="26" s="1"/>
  <c r="J164" i="25"/>
  <c r="K164" i="25" s="1"/>
  <c r="G153" i="26"/>
  <c r="H153" i="26" s="1"/>
  <c r="J153" i="25"/>
  <c r="K153" i="25" s="1"/>
  <c r="F639" i="3"/>
  <c r="J639" i="3" s="1"/>
  <c r="K639" i="3"/>
  <c r="G592" i="3"/>
  <c r="K592" i="3" s="1"/>
  <c r="K641" i="3"/>
  <c r="F641" i="3"/>
  <c r="J641" i="3" s="1"/>
  <c r="G129" i="26"/>
  <c r="H129" i="26" s="1"/>
  <c r="J129" i="25"/>
  <c r="K129" i="25" s="1"/>
  <c r="G188" i="26"/>
  <c r="J188" i="25"/>
  <c r="G117" i="26"/>
  <c r="H117" i="26" s="1"/>
  <c r="J117" i="25"/>
  <c r="K117" i="25" s="1"/>
  <c r="K640" i="3"/>
  <c r="F640" i="3"/>
  <c r="J640" i="3" s="1"/>
  <c r="H70" i="2"/>
  <c r="G70" i="2" s="1"/>
  <c r="H84" i="2"/>
  <c r="G84" i="2" s="1"/>
  <c r="G154" i="26"/>
  <c r="H154" i="26" s="1"/>
  <c r="J154" i="25"/>
  <c r="K154" i="25" s="1"/>
  <c r="G136" i="26"/>
  <c r="J136" i="25"/>
  <c r="K642" i="3"/>
  <c r="F642" i="3"/>
  <c r="J642" i="3" s="1"/>
  <c r="N78" i="2"/>
  <c r="G79" i="26"/>
  <c r="H79" i="26" s="1"/>
  <c r="J79" i="25"/>
  <c r="K79" i="25" s="1"/>
  <c r="H69" i="2"/>
  <c r="G69" i="2" s="1"/>
  <c r="H85" i="2"/>
  <c r="G85" i="2" s="1"/>
  <c r="H93" i="2"/>
  <c r="G93" i="2" s="1"/>
  <c r="L93" i="2" s="1"/>
  <c r="M94" i="26" s="1"/>
  <c r="G44" i="26"/>
  <c r="H44" i="26" s="1"/>
  <c r="J44" i="25"/>
  <c r="K44" i="25" s="1"/>
  <c r="J137" i="25"/>
  <c r="K137" i="25" s="1"/>
  <c r="G137" i="26"/>
  <c r="H137" i="26" s="1"/>
  <c r="G14" i="26"/>
  <c r="H14" i="26" s="1"/>
  <c r="J14" i="25"/>
  <c r="K14" i="25" s="1"/>
  <c r="M78" i="2"/>
  <c r="L79" i="26" s="1"/>
  <c r="H120" i="2"/>
  <c r="G120" i="2" s="1"/>
  <c r="G92" i="3"/>
  <c r="G274" i="3"/>
  <c r="F274" i="3" s="1"/>
  <c r="H99" i="2"/>
  <c r="G99" i="2" s="1"/>
  <c r="G112" i="3"/>
  <c r="K112" i="3" s="1"/>
  <c r="G390" i="3"/>
  <c r="G503" i="3"/>
  <c r="F503" i="3" s="1"/>
  <c r="J503" i="3" s="1"/>
  <c r="G417" i="3"/>
  <c r="H98" i="2"/>
  <c r="G98" i="2" s="1"/>
  <c r="I98" i="2" s="1"/>
  <c r="K98" i="2" s="1"/>
  <c r="G297" i="3"/>
  <c r="F297" i="3" s="1"/>
  <c r="G418" i="3"/>
  <c r="K418" i="3" s="1"/>
  <c r="G422" i="3"/>
  <c r="F422" i="3" s="1"/>
  <c r="J422" i="3" s="1"/>
  <c r="H91" i="2"/>
  <c r="G91" i="2" s="1"/>
  <c r="H140" i="2"/>
  <c r="G140" i="2" s="1"/>
  <c r="I140" i="2" s="1"/>
  <c r="K140" i="2" s="1"/>
  <c r="G419" i="3"/>
  <c r="F419" i="3" s="1"/>
  <c r="J419" i="3" s="1"/>
  <c r="G423" i="3"/>
  <c r="G100" i="3"/>
  <c r="K100" i="3" s="1"/>
  <c r="H126" i="2"/>
  <c r="G126" i="2" s="1"/>
  <c r="I126" i="2" s="1"/>
  <c r="K126" i="2" s="1"/>
  <c r="G619" i="3"/>
  <c r="K619" i="3" s="1"/>
  <c r="G90" i="3"/>
  <c r="F90" i="3" s="1"/>
  <c r="J90" i="3" s="1"/>
  <c r="H121" i="2"/>
  <c r="G121" i="2" s="1"/>
  <c r="I121" i="2" s="1"/>
  <c r="K121" i="2" s="1"/>
  <c r="H178" i="2"/>
  <c r="G178" i="2" s="1"/>
  <c r="L178" i="2" s="1"/>
  <c r="M179" i="26" s="1"/>
  <c r="H138" i="2"/>
  <c r="G138" i="2" s="1"/>
  <c r="I138" i="2" s="1"/>
  <c r="K138" i="2" s="1"/>
  <c r="G318" i="3"/>
  <c r="F318" i="3" s="1"/>
  <c r="J318" i="3" s="1"/>
  <c r="H66" i="2"/>
  <c r="G66" i="2" s="1"/>
  <c r="I66" i="2" s="1"/>
  <c r="K66" i="2" s="1"/>
  <c r="H179" i="2"/>
  <c r="G179" i="2" s="1"/>
  <c r="I179" i="2" s="1"/>
  <c r="K179" i="2" s="1"/>
  <c r="G93" i="3"/>
  <c r="G111" i="3"/>
  <c r="G99" i="3"/>
  <c r="F99" i="3" s="1"/>
  <c r="J99" i="3" s="1"/>
  <c r="G442" i="3"/>
  <c r="F442" i="3" s="1"/>
  <c r="J442" i="3" s="1"/>
  <c r="G420" i="3"/>
  <c r="F420" i="3" s="1"/>
  <c r="J420" i="3" s="1"/>
  <c r="H65" i="2"/>
  <c r="G65" i="2" s="1"/>
  <c r="L65" i="2" s="1"/>
  <c r="M66" i="26" s="1"/>
  <c r="H68" i="2"/>
  <c r="G68" i="2" s="1"/>
  <c r="I68" i="2" s="1"/>
  <c r="K68" i="2" s="1"/>
  <c r="G421" i="3"/>
  <c r="K421" i="3" s="1"/>
  <c r="H132" i="2"/>
  <c r="G132" i="2" s="1"/>
  <c r="I132" i="2" s="1"/>
  <c r="K132" i="2" s="1"/>
  <c r="H143" i="2"/>
  <c r="G143" i="2" s="1"/>
  <c r="I143" i="2" s="1"/>
  <c r="K143" i="2" s="1"/>
  <c r="G471" i="3"/>
  <c r="K471" i="3" s="1"/>
  <c r="K469" i="3" s="1"/>
  <c r="H151" i="2" s="1"/>
  <c r="K360" i="3"/>
  <c r="F360" i="3"/>
  <c r="J360" i="3" s="1"/>
  <c r="K371" i="3"/>
  <c r="F371" i="3"/>
  <c r="J371" i="3" s="1"/>
  <c r="G530" i="3"/>
  <c r="F530" i="3" s="1"/>
  <c r="G312" i="3"/>
  <c r="K312" i="3" s="1"/>
  <c r="K382" i="3"/>
  <c r="F382" i="3"/>
  <c r="J382" i="3" s="1"/>
  <c r="G64" i="3"/>
  <c r="F64" i="3" s="1"/>
  <c r="J64" i="3" s="1"/>
  <c r="H64" i="2"/>
  <c r="G64" i="2" s="1"/>
  <c r="I64" i="2" s="1"/>
  <c r="K64" i="2" s="1"/>
  <c r="G257" i="3"/>
  <c r="K257" i="3" s="1"/>
  <c r="G319" i="3"/>
  <c r="K319" i="3" s="1"/>
  <c r="H80" i="2"/>
  <c r="G80" i="2" s="1"/>
  <c r="L80" i="2" s="1"/>
  <c r="M81" i="26" s="1"/>
  <c r="G593" i="3"/>
  <c r="H77" i="2"/>
  <c r="G77" i="2" s="1"/>
  <c r="I77" i="2" s="1"/>
  <c r="K77" i="2" s="1"/>
  <c r="H79" i="2"/>
  <c r="G79" i="2" s="1"/>
  <c r="L79" i="2" s="1"/>
  <c r="M80" i="26" s="1"/>
  <c r="H90" i="2"/>
  <c r="G90" i="2" s="1"/>
  <c r="I90" i="2" s="1"/>
  <c r="K90" i="2" s="1"/>
  <c r="G39" i="3"/>
  <c r="F39" i="3" s="1"/>
  <c r="J39" i="3" s="1"/>
  <c r="J37" i="3" s="1"/>
  <c r="G14" i="2" s="1"/>
  <c r="H62" i="2"/>
  <c r="G62" i="2" s="1"/>
  <c r="L62" i="2" s="1"/>
  <c r="M63" i="26" s="1"/>
  <c r="G348" i="3"/>
  <c r="G381" i="3"/>
  <c r="G359" i="3"/>
  <c r="G370" i="3"/>
  <c r="H104" i="2"/>
  <c r="G104" i="2" s="1"/>
  <c r="I104" i="2" s="1"/>
  <c r="K104" i="2" s="1"/>
  <c r="H54" i="2"/>
  <c r="G54" i="2" s="1"/>
  <c r="L54" i="2" s="1"/>
  <c r="M55" i="26" s="1"/>
  <c r="H63" i="2"/>
  <c r="G63" i="2" s="1"/>
  <c r="L63" i="2" s="1"/>
  <c r="M64" i="26" s="1"/>
  <c r="H125" i="2"/>
  <c r="G125" i="2" s="1"/>
  <c r="I125" i="2" s="1"/>
  <c r="K125" i="2" s="1"/>
  <c r="K612" i="3"/>
  <c r="F612" i="3"/>
  <c r="J612" i="3" s="1"/>
  <c r="C12" i="6"/>
  <c r="C10" i="6"/>
  <c r="C11" i="6"/>
  <c r="C13" i="6"/>
  <c r="C14" i="6"/>
  <c r="C16" i="6"/>
  <c r="C27" i="6"/>
  <c r="C29" i="6"/>
  <c r="C30" i="6"/>
  <c r="C31" i="6"/>
  <c r="C32" i="6"/>
  <c r="C33" i="6"/>
  <c r="C34" i="6"/>
  <c r="C36" i="6"/>
  <c r="E78" i="5"/>
  <c r="F78" i="5" s="1"/>
  <c r="N78" i="5" s="1"/>
  <c r="H86" i="2"/>
  <c r="G86" i="2" s="1"/>
  <c r="L86" i="2" s="1"/>
  <c r="M87" i="26" s="1"/>
  <c r="H76" i="2"/>
  <c r="G76" i="2" s="1"/>
  <c r="I76" i="2" s="1"/>
  <c r="K76" i="2" s="1"/>
  <c r="H59" i="2"/>
  <c r="G59" i="2" s="1"/>
  <c r="I59" i="2" s="1"/>
  <c r="K59" i="2" s="1"/>
  <c r="H61" i="2"/>
  <c r="G61" i="2" s="1"/>
  <c r="I61" i="2" s="1"/>
  <c r="K61" i="2" s="1"/>
  <c r="H75" i="2"/>
  <c r="G75" i="2" s="1"/>
  <c r="L75" i="2" s="1"/>
  <c r="M76" i="26" s="1"/>
  <c r="G346" i="3"/>
  <c r="K346" i="3" s="1"/>
  <c r="G14" i="3"/>
  <c r="F14" i="3" s="1"/>
  <c r="J14" i="3" s="1"/>
  <c r="G311" i="3"/>
  <c r="K311" i="3" s="1"/>
  <c r="H164" i="2"/>
  <c r="G164" i="2" s="1"/>
  <c r="I164" i="2" s="1"/>
  <c r="K164" i="2" s="1"/>
  <c r="H71" i="2"/>
  <c r="G71" i="2" s="1"/>
  <c r="L71" i="2" s="1"/>
  <c r="M72" i="26" s="1"/>
  <c r="H83" i="2"/>
  <c r="G83" i="2" s="1"/>
  <c r="L83" i="2" s="1"/>
  <c r="M84" i="26" s="1"/>
  <c r="G345" i="3"/>
  <c r="F345" i="3" s="1"/>
  <c r="J345" i="3" s="1"/>
  <c r="H123" i="2"/>
  <c r="G123" i="2" s="1"/>
  <c r="L123" i="2" s="1"/>
  <c r="M124" i="26" s="1"/>
  <c r="H72" i="2"/>
  <c r="G72" i="2" s="1"/>
  <c r="L72" i="2" s="1"/>
  <c r="M73" i="26" s="1"/>
  <c r="H106" i="2"/>
  <c r="G106" i="2" s="1"/>
  <c r="I106" i="2" s="1"/>
  <c r="K106" i="2" s="1"/>
  <c r="H67" i="2"/>
  <c r="G67" i="2" s="1"/>
  <c r="I67" i="2" s="1"/>
  <c r="K67" i="2" s="1"/>
  <c r="F397" i="3"/>
  <c r="J397" i="3" s="1"/>
  <c r="K397" i="3"/>
  <c r="G338" i="3"/>
  <c r="K338" i="3" s="1"/>
  <c r="G395" i="3"/>
  <c r="F396" i="3"/>
  <c r="J396" i="3" s="1"/>
  <c r="K396" i="3"/>
  <c r="K483" i="3"/>
  <c r="F483" i="3"/>
  <c r="J483" i="3" s="1"/>
  <c r="F394" i="3"/>
  <c r="J394" i="3" s="1"/>
  <c r="K394" i="3"/>
  <c r="G552" i="3"/>
  <c r="G563" i="3"/>
  <c r="G541" i="3"/>
  <c r="G520" i="3"/>
  <c r="G574" i="3"/>
  <c r="F586" i="3"/>
  <c r="J586" i="3" s="1"/>
  <c r="K586" i="3"/>
  <c r="F16" i="3"/>
  <c r="J16" i="3" s="1"/>
  <c r="K16" i="3"/>
  <c r="I60" i="2"/>
  <c r="K60" i="2" s="1"/>
  <c r="L60" i="2"/>
  <c r="M61" i="26" s="1"/>
  <c r="L74" i="2"/>
  <c r="M75" i="26" s="1"/>
  <c r="I74" i="2"/>
  <c r="K74" i="2" s="1"/>
  <c r="G109" i="3"/>
  <c r="G80" i="3"/>
  <c r="F80" i="3" s="1"/>
  <c r="J80" i="3" s="1"/>
  <c r="G81" i="3"/>
  <c r="F81" i="3" s="1"/>
  <c r="J81" i="3" s="1"/>
  <c r="G110" i="3"/>
  <c r="F592" i="3"/>
  <c r="J592" i="3" s="1"/>
  <c r="G336" i="3"/>
  <c r="K336" i="3" s="1"/>
  <c r="G493" i="3"/>
  <c r="G481" i="3"/>
  <c r="G97" i="3"/>
  <c r="G68" i="3"/>
  <c r="K68" i="3" s="1"/>
  <c r="G620" i="3"/>
  <c r="G94" i="3"/>
  <c r="G446" i="3"/>
  <c r="F446" i="3" s="1"/>
  <c r="J446" i="3" s="1"/>
  <c r="K416" i="3"/>
  <c r="F416" i="3"/>
  <c r="J416" i="3" s="1"/>
  <c r="K390" i="3"/>
  <c r="F390" i="3"/>
  <c r="J390" i="3" s="1"/>
  <c r="K417" i="3"/>
  <c r="F417" i="3"/>
  <c r="J417" i="3" s="1"/>
  <c r="G66" i="3"/>
  <c r="F66" i="3" s="1"/>
  <c r="J66" i="3" s="1"/>
  <c r="G95" i="3"/>
  <c r="G96" i="3"/>
  <c r="G389" i="3"/>
  <c r="K420" i="3"/>
  <c r="L84" i="2"/>
  <c r="M85" i="26" s="1"/>
  <c r="I84" i="2"/>
  <c r="K84" i="2" s="1"/>
  <c r="G271" i="3"/>
  <c r="F271" i="3" s="1"/>
  <c r="J271" i="3" s="1"/>
  <c r="K419" i="3"/>
  <c r="G502" i="3"/>
  <c r="G585" i="3"/>
  <c r="G494" i="3"/>
  <c r="G482" i="3"/>
  <c r="G106" i="3"/>
  <c r="G621" i="3"/>
  <c r="G103" i="3"/>
  <c r="G523" i="3"/>
  <c r="G393" i="3"/>
  <c r="G544" i="3"/>
  <c r="G577" i="3"/>
  <c r="G555" i="3"/>
  <c r="G566" i="3"/>
  <c r="G77" i="3"/>
  <c r="F77" i="3" s="1"/>
  <c r="J77" i="3" s="1"/>
  <c r="G610" i="3"/>
  <c r="F610" i="3" s="1"/>
  <c r="J610" i="3" s="1"/>
  <c r="G288" i="3"/>
  <c r="K288" i="3" s="1"/>
  <c r="G265" i="3"/>
  <c r="K265" i="3" s="1"/>
  <c r="K262" i="3" s="1"/>
  <c r="H49" i="2" s="1"/>
  <c r="G443" i="3"/>
  <c r="K443" i="3" s="1"/>
  <c r="G512" i="3"/>
  <c r="K512" i="3" s="1"/>
  <c r="G533" i="3"/>
  <c r="K533" i="3" s="1"/>
  <c r="G320" i="3"/>
  <c r="K320" i="3" s="1"/>
  <c r="G74" i="3"/>
  <c r="F74" i="3" s="1"/>
  <c r="J74" i="3" s="1"/>
  <c r="G513" i="3"/>
  <c r="F513" i="3" s="1"/>
  <c r="J513" i="3" s="1"/>
  <c r="G524" i="3"/>
  <c r="G545" i="3"/>
  <c r="G578" i="3"/>
  <c r="G556" i="3"/>
  <c r="G567" i="3"/>
  <c r="G78" i="3"/>
  <c r="F78" i="3" s="1"/>
  <c r="J78" i="3" s="1"/>
  <c r="G601" i="3"/>
  <c r="K601" i="3" s="1"/>
  <c r="G627" i="3"/>
  <c r="K627" i="3" s="1"/>
  <c r="K625" i="3" s="1"/>
  <c r="H189" i="2" s="1"/>
  <c r="G633" i="3"/>
  <c r="K633" i="3" s="1"/>
  <c r="K631" i="3" s="1"/>
  <c r="H192" i="2" s="1"/>
  <c r="H82" i="2"/>
  <c r="G82" i="2" s="1"/>
  <c r="H88" i="2"/>
  <c r="G88" i="2" s="1"/>
  <c r="H81" i="2"/>
  <c r="G81" i="2" s="1"/>
  <c r="H87" i="2"/>
  <c r="G87" i="2" s="1"/>
  <c r="F112" i="3"/>
  <c r="J112" i="3" s="1"/>
  <c r="G514" i="3"/>
  <c r="K514" i="3" s="1"/>
  <c r="G546" i="3"/>
  <c r="G579" i="3"/>
  <c r="G557" i="3"/>
  <c r="G568" i="3"/>
  <c r="G575" i="3"/>
  <c r="G553" i="3"/>
  <c r="G564" i="3"/>
  <c r="G542" i="3"/>
  <c r="G521" i="3"/>
  <c r="K107" i="3"/>
  <c r="F107" i="3"/>
  <c r="J107" i="3" s="1"/>
  <c r="H92" i="2"/>
  <c r="G92" i="2" s="1"/>
  <c r="H131" i="2"/>
  <c r="G131" i="2" s="1"/>
  <c r="G349" i="3"/>
  <c r="F349" i="3" s="1"/>
  <c r="J349" i="3" s="1"/>
  <c r="G337" i="3"/>
  <c r="F337" i="3" s="1"/>
  <c r="J337" i="3" s="1"/>
  <c r="K423" i="3"/>
  <c r="F423" i="3"/>
  <c r="J423" i="3" s="1"/>
  <c r="G258" i="3"/>
  <c r="K258" i="3" s="1"/>
  <c r="K255" i="3" s="1"/>
  <c r="H191" i="2" s="1"/>
  <c r="G477" i="3"/>
  <c r="G489" i="3"/>
  <c r="G108" i="3"/>
  <c r="I73" i="2"/>
  <c r="K73" i="2" s="1"/>
  <c r="L73" i="2"/>
  <c r="M74" i="26" s="1"/>
  <c r="G444" i="3"/>
  <c r="K444" i="3" s="1"/>
  <c r="L120" i="2"/>
  <c r="M121" i="26" s="1"/>
  <c r="I120" i="2"/>
  <c r="K120" i="2" s="1"/>
  <c r="G490" i="3"/>
  <c r="G478" i="3"/>
  <c r="G281" i="3"/>
  <c r="K281" i="3" s="1"/>
  <c r="K278" i="3" s="1"/>
  <c r="G492" i="3"/>
  <c r="G480" i="3"/>
  <c r="L85" i="2"/>
  <c r="M86" i="26" s="1"/>
  <c r="I85" i="2"/>
  <c r="K85" i="2" s="1"/>
  <c r="K415" i="3"/>
  <c r="F415" i="3"/>
  <c r="J415" i="3" s="1"/>
  <c r="F593" i="3"/>
  <c r="J593" i="3" s="1"/>
  <c r="K593" i="3"/>
  <c r="H47" i="2"/>
  <c r="G47" i="2" s="1"/>
  <c r="G613" i="3"/>
  <c r="K613" i="3" s="1"/>
  <c r="E127" i="5"/>
  <c r="N127" i="2"/>
  <c r="G168" i="3"/>
  <c r="G217" i="3"/>
  <c r="G241" i="3"/>
  <c r="G208" i="3"/>
  <c r="G233" i="3"/>
  <c r="G225" i="3"/>
  <c r="G192" i="3"/>
  <c r="G176" i="3"/>
  <c r="G200" i="3"/>
  <c r="G221" i="3"/>
  <c r="G127" i="3"/>
  <c r="G249" i="3"/>
  <c r="G131" i="3"/>
  <c r="G160" i="3"/>
  <c r="G152" i="3"/>
  <c r="G148" i="3"/>
  <c r="G139" i="3"/>
  <c r="G118" i="3"/>
  <c r="G184" i="3"/>
  <c r="E186" i="5"/>
  <c r="N186" i="2"/>
  <c r="K594" i="3"/>
  <c r="F594" i="3"/>
  <c r="J594" i="3" s="1"/>
  <c r="L69" i="2"/>
  <c r="M70" i="26" s="1"/>
  <c r="I69" i="2"/>
  <c r="K69" i="2" s="1"/>
  <c r="I70" i="2"/>
  <c r="K70" i="2" s="1"/>
  <c r="L70" i="2"/>
  <c r="M71" i="26" s="1"/>
  <c r="G501" i="3"/>
  <c r="G491" i="3"/>
  <c r="G479" i="3"/>
  <c r="G565" i="3"/>
  <c r="G522" i="3"/>
  <c r="G576" i="3"/>
  <c r="G543" i="3"/>
  <c r="G554" i="3"/>
  <c r="G226" i="3"/>
  <c r="G201" i="3"/>
  <c r="G242" i="3"/>
  <c r="G209" i="3"/>
  <c r="G218" i="3"/>
  <c r="G177" i="3"/>
  <c r="G234" i="3"/>
  <c r="G222" i="3"/>
  <c r="G193" i="3"/>
  <c r="G169" i="3"/>
  <c r="G128" i="3"/>
  <c r="G161" i="3"/>
  <c r="G149" i="3"/>
  <c r="G140" i="3"/>
  <c r="G119" i="3"/>
  <c r="G250" i="3"/>
  <c r="G153" i="3"/>
  <c r="G185" i="3"/>
  <c r="G132" i="3"/>
  <c r="F100" i="3"/>
  <c r="J100" i="3" s="1"/>
  <c r="I178" i="2"/>
  <c r="K178" i="2" s="1"/>
  <c r="K93" i="3"/>
  <c r="F93" i="3"/>
  <c r="J93" i="3" s="1"/>
  <c r="G62" i="3"/>
  <c r="K62" i="3" s="1"/>
  <c r="G91" i="3"/>
  <c r="G414" i="3"/>
  <c r="I93" i="2"/>
  <c r="K93" i="2" s="1"/>
  <c r="E128" i="5"/>
  <c r="J128" i="5" s="1"/>
  <c r="N128" i="2"/>
  <c r="K92" i="3"/>
  <c r="F92" i="3"/>
  <c r="J92" i="3" s="1"/>
  <c r="H105" i="2"/>
  <c r="G105" i="2" s="1"/>
  <c r="L105" i="2" s="1"/>
  <c r="M106" i="26" s="1"/>
  <c r="G72" i="3"/>
  <c r="F72" i="3" s="1"/>
  <c r="J72" i="3" s="1"/>
  <c r="G101" i="3"/>
  <c r="K422" i="3"/>
  <c r="G82" i="3"/>
  <c r="K82" i="3" s="1"/>
  <c r="G105" i="3"/>
  <c r="K111" i="3"/>
  <c r="F111" i="3"/>
  <c r="J111" i="3" s="1"/>
  <c r="F391" i="3"/>
  <c r="J391" i="3" s="1"/>
  <c r="K391" i="3"/>
  <c r="N187" i="2"/>
  <c r="E187" i="5"/>
  <c r="G46" i="5"/>
  <c r="O46" i="5" s="1"/>
  <c r="D126" i="5"/>
  <c r="D125" i="5"/>
  <c r="B126" i="5"/>
  <c r="B125" i="5"/>
  <c r="B124" i="5"/>
  <c r="D124" i="5"/>
  <c r="B99" i="5"/>
  <c r="D99" i="5"/>
  <c r="E136" i="5"/>
  <c r="J136" i="5" s="1"/>
  <c r="L136" i="5" s="1"/>
  <c r="N136" i="5" s="1"/>
  <c r="B134" i="5"/>
  <c r="E100" i="5"/>
  <c r="H100" i="5" s="1"/>
  <c r="J100" i="5" s="1"/>
  <c r="D134" i="5"/>
  <c r="B135" i="5"/>
  <c r="D135" i="5"/>
  <c r="E135" i="5"/>
  <c r="E116" i="5"/>
  <c r="B104" i="5"/>
  <c r="E94" i="5"/>
  <c r="F94" i="5" s="1"/>
  <c r="N94" i="5" s="1"/>
  <c r="D104" i="5"/>
  <c r="B132" i="5"/>
  <c r="D132" i="5"/>
  <c r="B100" i="5"/>
  <c r="D100" i="5"/>
  <c r="B101" i="5"/>
  <c r="D101" i="5"/>
  <c r="C101" i="5"/>
  <c r="B102" i="5"/>
  <c r="D102" i="5"/>
  <c r="B121" i="5"/>
  <c r="D192" i="5"/>
  <c r="D121" i="5"/>
  <c r="B164" i="5"/>
  <c r="B116" i="5"/>
  <c r="B165" i="5"/>
  <c r="B177" i="5"/>
  <c r="N13" i="2"/>
  <c r="E13" i="5"/>
  <c r="F13" i="5" s="1"/>
  <c r="N13" i="5" s="1"/>
  <c r="D94" i="5"/>
  <c r="D115" i="5"/>
  <c r="B172" i="5"/>
  <c r="D117" i="5"/>
  <c r="D165" i="5"/>
  <c r="D177" i="5"/>
  <c r="D116" i="5"/>
  <c r="D52" i="5"/>
  <c r="B118" i="5"/>
  <c r="B107" i="5"/>
  <c r="D107" i="5"/>
  <c r="D118" i="5"/>
  <c r="B166" i="5"/>
  <c r="B175" i="5"/>
  <c r="B117" i="5"/>
  <c r="B52" i="5"/>
  <c r="D166" i="5"/>
  <c r="D175" i="5"/>
  <c r="B94" i="5"/>
  <c r="B167" i="5"/>
  <c r="B192" i="5"/>
  <c r="D122" i="5"/>
  <c r="B115" i="5"/>
  <c r="B106" i="5"/>
  <c r="D172" i="5"/>
  <c r="D106" i="5"/>
  <c r="B108" i="5"/>
  <c r="D167" i="5"/>
  <c r="D164" i="5"/>
  <c r="B122" i="5"/>
  <c r="D108" i="5"/>
  <c r="G73" i="3"/>
  <c r="K73" i="3" s="1"/>
  <c r="H107" i="2"/>
  <c r="L110" i="2"/>
  <c r="M111" i="26" s="1"/>
  <c r="L109" i="2"/>
  <c r="M110" i="26" s="1"/>
  <c r="H180" i="2"/>
  <c r="H109" i="2"/>
  <c r="I109" i="2" s="1"/>
  <c r="K109" i="2" s="1"/>
  <c r="K400" i="3"/>
  <c r="J400" i="3"/>
  <c r="K399" i="3"/>
  <c r="J399" i="3"/>
  <c r="H146" i="2"/>
  <c r="I146" i="2" s="1"/>
  <c r="K146" i="2" s="1"/>
  <c r="H96" i="2"/>
  <c r="I96" i="2" s="1"/>
  <c r="K96" i="2" s="1"/>
  <c r="H102" i="2"/>
  <c r="I102" i="2" s="1"/>
  <c r="K102" i="2" s="1"/>
  <c r="G180" i="2"/>
  <c r="G181" i="2"/>
  <c r="F156" i="2"/>
  <c r="H157" i="25" s="1"/>
  <c r="J73" i="3"/>
  <c r="K13" i="3"/>
  <c r="D53" i="3"/>
  <c r="K53" i="3" s="1"/>
  <c r="J273" i="3"/>
  <c r="K12" i="3"/>
  <c r="K51" i="3"/>
  <c r="J532" i="3"/>
  <c r="K24" i="3"/>
  <c r="C9" i="6"/>
  <c r="D9" i="6" s="1"/>
  <c r="C28" i="6"/>
  <c r="C15" i="6"/>
  <c r="C35" i="6"/>
  <c r="C38" i="6"/>
  <c r="C19" i="6"/>
  <c r="C39" i="6"/>
  <c r="C20" i="6"/>
  <c r="C40" i="6"/>
  <c r="C21" i="6"/>
  <c r="C41" i="6"/>
  <c r="C22" i="6"/>
  <c r="C23" i="6"/>
  <c r="C24" i="6"/>
  <c r="C25" i="6"/>
  <c r="C17" i="6"/>
  <c r="C37" i="6"/>
  <c r="C18" i="6"/>
  <c r="C26" i="6"/>
  <c r="G367" i="3"/>
  <c r="K367" i="3" s="1"/>
  <c r="G71" i="3"/>
  <c r="K71" i="3" s="1"/>
  <c r="G368" i="3"/>
  <c r="F368" i="3" s="1"/>
  <c r="J368" i="3" s="1"/>
  <c r="G378" i="3"/>
  <c r="K378" i="3" s="1"/>
  <c r="G356" i="3"/>
  <c r="K356" i="3" s="1"/>
  <c r="G535" i="3"/>
  <c r="F535" i="3" s="1"/>
  <c r="J535" i="3" s="1"/>
  <c r="G379" i="3"/>
  <c r="K379" i="3" s="1"/>
  <c r="G76" i="3"/>
  <c r="K76" i="3" s="1"/>
  <c r="G357" i="3"/>
  <c r="F357" i="3" s="1"/>
  <c r="J357" i="3" s="1"/>
  <c r="G510" i="3"/>
  <c r="F510" i="3" s="1"/>
  <c r="J510" i="3" s="1"/>
  <c r="G603" i="3"/>
  <c r="K603" i="3" s="1"/>
  <c r="G534" i="3"/>
  <c r="F534" i="3" s="1"/>
  <c r="J534" i="3" s="1"/>
  <c r="G70" i="3"/>
  <c r="K70" i="3" s="1"/>
  <c r="G531" i="3"/>
  <c r="F531" i="3" s="1"/>
  <c r="J531" i="3" s="1"/>
  <c r="G63" i="3"/>
  <c r="G54" i="3"/>
  <c r="F54" i="3" s="1"/>
  <c r="J54" i="3" s="1"/>
  <c r="G83" i="3"/>
  <c r="K83" i="3" s="1"/>
  <c r="G67" i="3"/>
  <c r="F67" i="3" s="1"/>
  <c r="J67" i="3" s="1"/>
  <c r="G79" i="3"/>
  <c r="K79" i="3" s="1"/>
  <c r="K509" i="3"/>
  <c r="G445" i="3"/>
  <c r="K445" i="3" s="1"/>
  <c r="F447" i="3"/>
  <c r="J447" i="3" s="1"/>
  <c r="K511" i="3"/>
  <c r="K530" i="3"/>
  <c r="F13" i="3"/>
  <c r="J13" i="3" s="1"/>
  <c r="F264" i="3"/>
  <c r="J264" i="3" s="1"/>
  <c r="F600" i="3"/>
  <c r="J600" i="3" s="1"/>
  <c r="G441" i="3"/>
  <c r="K318" i="3"/>
  <c r="K77" i="3"/>
  <c r="K532" i="3"/>
  <c r="F33" i="3"/>
  <c r="J33" i="3" s="1"/>
  <c r="G335" i="3"/>
  <c r="F290" i="3"/>
  <c r="J290" i="3" s="1"/>
  <c r="G369" i="3"/>
  <c r="G358" i="3"/>
  <c r="K358" i="3" s="1"/>
  <c r="F30" i="3"/>
  <c r="J30" i="3" s="1"/>
  <c r="G65" i="3"/>
  <c r="F65" i="3" s="1"/>
  <c r="J65" i="3" s="1"/>
  <c r="F272" i="3"/>
  <c r="J272" i="3" s="1"/>
  <c r="K287" i="3"/>
  <c r="G347" i="3"/>
  <c r="K347" i="3" s="1"/>
  <c r="G380" i="3"/>
  <c r="F51" i="3"/>
  <c r="J51" i="3" s="1"/>
  <c r="K273" i="3"/>
  <c r="L42" i="2"/>
  <c r="M43" i="26" s="1"/>
  <c r="G344" i="3"/>
  <c r="K344" i="3" s="1"/>
  <c r="G355" i="3"/>
  <c r="G366" i="3"/>
  <c r="F366" i="3" s="1"/>
  <c r="J366" i="3" s="1"/>
  <c r="G377" i="3"/>
  <c r="K377" i="3" s="1"/>
  <c r="G309" i="3"/>
  <c r="F28" i="3"/>
  <c r="J28" i="3" s="1"/>
  <c r="K28" i="3"/>
  <c r="K29" i="3"/>
  <c r="F29" i="3"/>
  <c r="J29" i="3" s="1"/>
  <c r="K289" i="3"/>
  <c r="F289" i="3"/>
  <c r="J289" i="3" s="1"/>
  <c r="F53" i="3"/>
  <c r="K442" i="3"/>
  <c r="F459" i="3"/>
  <c r="J459" i="3" s="1"/>
  <c r="J457" i="3" s="1"/>
  <c r="G149" i="2" s="1"/>
  <c r="L149" i="2" s="1"/>
  <c r="M150" i="26" s="1"/>
  <c r="K459" i="3"/>
  <c r="K457" i="3" s="1"/>
  <c r="H149" i="2" s="1"/>
  <c r="K326" i="3"/>
  <c r="G334" i="3"/>
  <c r="F31" i="3"/>
  <c r="J31" i="3" s="1"/>
  <c r="G61" i="3"/>
  <c r="J15" i="3"/>
  <c r="K297" i="3"/>
  <c r="K295" i="3" s="1"/>
  <c r="F303" i="3"/>
  <c r="J303" i="3" s="1"/>
  <c r="J301" i="3" s="1"/>
  <c r="G107" i="2" s="1"/>
  <c r="L107" i="2" s="1"/>
  <c r="M108" i="26" s="1"/>
  <c r="F346" i="3"/>
  <c r="J346" i="3" s="1"/>
  <c r="L122" i="2"/>
  <c r="M123" i="26" s="1"/>
  <c r="I57" i="2"/>
  <c r="K57" i="2" s="1"/>
  <c r="F158" i="2"/>
  <c r="H159" i="25" s="1"/>
  <c r="E159" i="26" s="1"/>
  <c r="L163" i="2"/>
  <c r="M164" i="26" s="1"/>
  <c r="F160" i="2"/>
  <c r="H161" i="25" s="1"/>
  <c r="E161" i="26" s="1"/>
  <c r="E55" i="5"/>
  <c r="F55" i="5" s="1"/>
  <c r="N55" i="5" s="1"/>
  <c r="N55" i="2"/>
  <c r="E145" i="5"/>
  <c r="E139" i="5"/>
  <c r="N139" i="2"/>
  <c r="E163" i="5"/>
  <c r="N163" i="2"/>
  <c r="E152" i="5"/>
  <c r="N152" i="2"/>
  <c r="E155" i="5"/>
  <c r="I95" i="2"/>
  <c r="K95" i="2" s="1"/>
  <c r="I156" i="2"/>
  <c r="K156" i="2" s="1"/>
  <c r="E144" i="5"/>
  <c r="I134" i="2"/>
  <c r="K134" i="2" s="1"/>
  <c r="I99" i="2"/>
  <c r="K99" i="2" s="1"/>
  <c r="L56" i="2"/>
  <c r="M57" i="26" s="1"/>
  <c r="I56" i="2"/>
  <c r="K56" i="2" s="1"/>
  <c r="E138" i="5"/>
  <c r="E154" i="5"/>
  <c r="E43" i="5"/>
  <c r="N43" i="2"/>
  <c r="B42" i="5"/>
  <c r="D90" i="5"/>
  <c r="B140" i="5"/>
  <c r="C141" i="5"/>
  <c r="C149" i="5"/>
  <c r="D160" i="5"/>
  <c r="D42" i="5"/>
  <c r="C90" i="5"/>
  <c r="G90" i="5" s="1"/>
  <c r="O90" i="5" s="1"/>
  <c r="I117" i="2"/>
  <c r="K117" i="2" s="1"/>
  <c r="D140" i="5"/>
  <c r="B146" i="5"/>
  <c r="B153" i="5"/>
  <c r="B95" i="5"/>
  <c r="B15" i="5"/>
  <c r="B51" i="5"/>
  <c r="B139" i="5"/>
  <c r="C140" i="5"/>
  <c r="D146" i="5"/>
  <c r="D153" i="5"/>
  <c r="D15" i="5"/>
  <c r="D51" i="5"/>
  <c r="L121" i="2"/>
  <c r="M122" i="26" s="1"/>
  <c r="F125" i="2"/>
  <c r="H126" i="25" s="1"/>
  <c r="D139" i="5"/>
  <c r="B144" i="5"/>
  <c r="C153" i="5"/>
  <c r="B158" i="5"/>
  <c r="B163" i="5"/>
  <c r="D144" i="5"/>
  <c r="B151" i="5"/>
  <c r="D158" i="5"/>
  <c r="D163" i="5"/>
  <c r="B16" i="5"/>
  <c r="B138" i="5"/>
  <c r="C139" i="5"/>
  <c r="D16" i="5"/>
  <c r="D49" i="5"/>
  <c r="B57" i="5"/>
  <c r="D138" i="5"/>
  <c r="L139" i="2"/>
  <c r="M140" i="26" s="1"/>
  <c r="D151" i="5"/>
  <c r="C163" i="5"/>
  <c r="K163" i="5" s="1"/>
  <c r="O163" i="5" s="1"/>
  <c r="B105" i="5"/>
  <c r="C151" i="5"/>
  <c r="E153" i="5"/>
  <c r="B155" i="5"/>
  <c r="C138" i="5"/>
  <c r="D46" i="5"/>
  <c r="D105" i="5"/>
  <c r="B150" i="5"/>
  <c r="L153" i="2"/>
  <c r="M154" i="26" s="1"/>
  <c r="D155" i="5"/>
  <c r="K52" i="3"/>
  <c r="J52" i="3"/>
  <c r="B55" i="5"/>
  <c r="C105" i="5"/>
  <c r="N121" i="2"/>
  <c r="D150" i="5"/>
  <c r="N153" i="2"/>
  <c r="C155" i="5"/>
  <c r="B154" i="5"/>
  <c r="B46" i="5"/>
  <c r="B43" i="5"/>
  <c r="C150" i="5"/>
  <c r="D43" i="5"/>
  <c r="B148" i="5"/>
  <c r="D148" i="5"/>
  <c r="C154" i="5"/>
  <c r="B159" i="5"/>
  <c r="B54" i="5"/>
  <c r="B145" i="5"/>
  <c r="B58" i="5"/>
  <c r="B98" i="5"/>
  <c r="D145" i="5"/>
  <c r="D152" i="5"/>
  <c r="F159" i="2"/>
  <c r="H160" i="25" s="1"/>
  <c r="E160" i="26" s="1"/>
  <c r="D154" i="5"/>
  <c r="L55" i="2"/>
  <c r="M56" i="26" s="1"/>
  <c r="I122" i="2"/>
  <c r="K122" i="2" s="1"/>
  <c r="D14" i="5"/>
  <c r="D50" i="5"/>
  <c r="D58" i="5"/>
  <c r="D98" i="5"/>
  <c r="I101" i="2"/>
  <c r="K101" i="2" s="1"/>
  <c r="C152" i="5"/>
  <c r="N155" i="2"/>
  <c r="J274" i="3"/>
  <c r="G12" i="25"/>
  <c r="B11" i="5"/>
  <c r="L154" i="2"/>
  <c r="M155" i="26" s="1"/>
  <c r="B156" i="5"/>
  <c r="B161" i="5"/>
  <c r="B49" i="5"/>
  <c r="I118" i="2"/>
  <c r="K118" i="2" s="1"/>
  <c r="B3" i="24"/>
  <c r="A3" i="6"/>
  <c r="B3" i="5"/>
  <c r="B3" i="3"/>
  <c r="B152" i="5"/>
  <c r="D159" i="5"/>
  <c r="A4" i="6"/>
  <c r="B4" i="5"/>
  <c r="B4" i="3"/>
  <c r="B142" i="5"/>
  <c r="I12" i="25"/>
  <c r="F12" i="26" s="1"/>
  <c r="D11" i="5"/>
  <c r="B96" i="5"/>
  <c r="D142" i="5"/>
  <c r="L148" i="2"/>
  <c r="M149" i="26" s="1"/>
  <c r="D156" i="5"/>
  <c r="D161" i="5"/>
  <c r="D55" i="5"/>
  <c r="C148" i="5"/>
  <c r="B14" i="5"/>
  <c r="B50" i="5"/>
  <c r="F108" i="2"/>
  <c r="H109" i="25" s="1"/>
  <c r="E109" i="26" s="1"/>
  <c r="B56" i="5"/>
  <c r="B45" i="5"/>
  <c r="D96" i="5"/>
  <c r="C142" i="5"/>
  <c r="N154" i="2"/>
  <c r="F161" i="2"/>
  <c r="H162" i="25" s="1"/>
  <c r="E162" i="26" s="1"/>
  <c r="L124" i="2"/>
  <c r="M125" i="26" s="1"/>
  <c r="I124" i="2"/>
  <c r="K124" i="2" s="1"/>
  <c r="D189" i="5"/>
  <c r="D54" i="5"/>
  <c r="L155" i="2"/>
  <c r="M156" i="26" s="1"/>
  <c r="D56" i="5"/>
  <c r="D45" i="5"/>
  <c r="B141" i="5"/>
  <c r="B149" i="5"/>
  <c r="L152" i="2"/>
  <c r="M153" i="26" s="1"/>
  <c r="C189" i="5"/>
  <c r="M189" i="5" s="1"/>
  <c r="B90" i="5"/>
  <c r="D141" i="5"/>
  <c r="D149" i="5"/>
  <c r="B160" i="5"/>
  <c r="K15" i="3"/>
  <c r="K66" i="3"/>
  <c r="K274" i="3"/>
  <c r="F12" i="3"/>
  <c r="J12" i="3" s="1"/>
  <c r="F312" i="3"/>
  <c r="J312" i="3" s="1"/>
  <c r="J297" i="3"/>
  <c r="J295" i="3" s="1"/>
  <c r="F24" i="3"/>
  <c r="J24" i="3" s="1"/>
  <c r="F291" i="3"/>
  <c r="J291" i="3" s="1"/>
  <c r="F32" i="3"/>
  <c r="J32" i="3" s="1"/>
  <c r="J509" i="3"/>
  <c r="J530" i="3"/>
  <c r="D57" i="5"/>
  <c r="B189" i="5"/>
  <c r="F310" i="3"/>
  <c r="J310" i="3" s="1"/>
  <c r="F328" i="3"/>
  <c r="J328" i="3" s="1"/>
  <c r="D95" i="5"/>
  <c r="F11" i="3"/>
  <c r="J11" i="3" s="1"/>
  <c r="F27" i="3"/>
  <c r="J27" i="3" s="1"/>
  <c r="J511" i="3"/>
  <c r="C21" i="14"/>
  <c r="E21" i="14"/>
  <c r="F465" i="3"/>
  <c r="J465" i="3" s="1"/>
  <c r="J463" i="3" s="1"/>
  <c r="F609" i="3"/>
  <c r="J609" i="3" s="1"/>
  <c r="F602" i="3"/>
  <c r="J602" i="3" s="1"/>
  <c r="C20" i="14"/>
  <c r="E19" i="14"/>
  <c r="C19" i="14"/>
  <c r="E20" i="14"/>
  <c r="J180" i="25" l="1"/>
  <c r="K180" i="25" s="1"/>
  <c r="G180" i="26"/>
  <c r="H180" i="26" s="1"/>
  <c r="E140" i="5"/>
  <c r="G141" i="26"/>
  <c r="H141" i="26" s="1"/>
  <c r="J141" i="25"/>
  <c r="K141" i="25" s="1"/>
  <c r="J75" i="25"/>
  <c r="K75" i="25" s="1"/>
  <c r="G75" i="26"/>
  <c r="H75" i="26" s="1"/>
  <c r="G144" i="26"/>
  <c r="H144" i="26" s="1"/>
  <c r="J144" i="25"/>
  <c r="K144" i="25" s="1"/>
  <c r="G133" i="26"/>
  <c r="H133" i="26" s="1"/>
  <c r="J133" i="25"/>
  <c r="K133" i="25" s="1"/>
  <c r="G139" i="26"/>
  <c r="H139" i="26" s="1"/>
  <c r="J139" i="25"/>
  <c r="K139" i="25" s="1"/>
  <c r="G157" i="26"/>
  <c r="J157" i="25"/>
  <c r="J86" i="25"/>
  <c r="K86" i="25" s="1"/>
  <c r="G86" i="26"/>
  <c r="H86" i="26" s="1"/>
  <c r="G74" i="26"/>
  <c r="H74" i="26" s="1"/>
  <c r="J74" i="25"/>
  <c r="K74" i="25" s="1"/>
  <c r="G60" i="26"/>
  <c r="H60" i="26" s="1"/>
  <c r="J60" i="25"/>
  <c r="K60" i="25" s="1"/>
  <c r="G67" i="26"/>
  <c r="H67" i="26" s="1"/>
  <c r="J67" i="25"/>
  <c r="K67" i="25" s="1"/>
  <c r="G65" i="26"/>
  <c r="H65" i="26" s="1"/>
  <c r="J65" i="25"/>
  <c r="K65" i="25" s="1"/>
  <c r="G96" i="26"/>
  <c r="J96" i="25"/>
  <c r="J94" i="25"/>
  <c r="K94" i="25" s="1"/>
  <c r="G94" i="26"/>
  <c r="H94" i="26" s="1"/>
  <c r="G71" i="26"/>
  <c r="H71" i="26" s="1"/>
  <c r="J71" i="25"/>
  <c r="K71" i="25" s="1"/>
  <c r="J69" i="25"/>
  <c r="K69" i="25" s="1"/>
  <c r="G69" i="26"/>
  <c r="H69" i="26" s="1"/>
  <c r="E121" i="5"/>
  <c r="G122" i="26"/>
  <c r="H122" i="26" s="1"/>
  <c r="J122" i="25"/>
  <c r="K122" i="25" s="1"/>
  <c r="G99" i="26"/>
  <c r="H99" i="26" s="1"/>
  <c r="J99" i="25"/>
  <c r="K99" i="25" s="1"/>
  <c r="G125" i="26"/>
  <c r="H125" i="26" s="1"/>
  <c r="J125" i="25"/>
  <c r="K125" i="25" s="1"/>
  <c r="K327" i="3"/>
  <c r="G61" i="26"/>
  <c r="H61" i="26" s="1"/>
  <c r="J61" i="25"/>
  <c r="K61" i="25" s="1"/>
  <c r="L138" i="2"/>
  <c r="M139" i="26" s="1"/>
  <c r="F257" i="3"/>
  <c r="J257" i="3" s="1"/>
  <c r="G102" i="26"/>
  <c r="J102" i="25"/>
  <c r="G70" i="26"/>
  <c r="H70" i="26" s="1"/>
  <c r="J70" i="25"/>
  <c r="K70" i="25" s="1"/>
  <c r="J165" i="25"/>
  <c r="K165" i="25" s="1"/>
  <c r="G165" i="26"/>
  <c r="H165" i="26" s="1"/>
  <c r="G100" i="26"/>
  <c r="H100" i="26" s="1"/>
  <c r="J100" i="25"/>
  <c r="K100" i="25" s="1"/>
  <c r="G105" i="26"/>
  <c r="H105" i="26" s="1"/>
  <c r="J105" i="25"/>
  <c r="K105" i="25" s="1"/>
  <c r="G135" i="26"/>
  <c r="H135" i="26" s="1"/>
  <c r="J135" i="25"/>
  <c r="K135" i="25" s="1"/>
  <c r="G58" i="26"/>
  <c r="H58" i="26" s="1"/>
  <c r="J58" i="25"/>
  <c r="K58" i="25" s="1"/>
  <c r="J135" i="5"/>
  <c r="L135" i="5" s="1"/>
  <c r="N135" i="5" s="1"/>
  <c r="K146" i="25"/>
  <c r="E146" i="26"/>
  <c r="H146" i="26" s="1"/>
  <c r="F611" i="3"/>
  <c r="J611" i="3" s="1"/>
  <c r="E90" i="5"/>
  <c r="G91" i="26"/>
  <c r="H91" i="26" s="1"/>
  <c r="J91" i="25"/>
  <c r="K91" i="25" s="1"/>
  <c r="G127" i="26"/>
  <c r="H127" i="26" s="1"/>
  <c r="J127" i="25"/>
  <c r="K127" i="25" s="1"/>
  <c r="H136" i="25"/>
  <c r="C135" i="5"/>
  <c r="K135" i="5" s="1"/>
  <c r="M135" i="5" s="1"/>
  <c r="O135" i="5" s="1"/>
  <c r="G85" i="26"/>
  <c r="H85" i="26" s="1"/>
  <c r="J85" i="25"/>
  <c r="K85" i="25" s="1"/>
  <c r="E119" i="26"/>
  <c r="E102" i="26"/>
  <c r="H102" i="26" s="1"/>
  <c r="K102" i="25"/>
  <c r="G121" i="26"/>
  <c r="H121" i="26" s="1"/>
  <c r="J121" i="25"/>
  <c r="K121" i="25" s="1"/>
  <c r="N106" i="2"/>
  <c r="G107" i="26"/>
  <c r="H107" i="26" s="1"/>
  <c r="J107" i="25"/>
  <c r="K107" i="25" s="1"/>
  <c r="E126" i="26"/>
  <c r="H126" i="26" s="1"/>
  <c r="J324" i="3"/>
  <c r="G141" i="2" s="1"/>
  <c r="G118" i="26"/>
  <c r="H118" i="26" s="1"/>
  <c r="J118" i="25"/>
  <c r="K118" i="25" s="1"/>
  <c r="E157" i="26"/>
  <c r="H157" i="26" s="1"/>
  <c r="K157" i="25"/>
  <c r="F418" i="3"/>
  <c r="J418" i="3" s="1"/>
  <c r="G126" i="26"/>
  <c r="J126" i="25"/>
  <c r="K126" i="25" s="1"/>
  <c r="G78" i="26"/>
  <c r="H78" i="26" s="1"/>
  <c r="J78" i="25"/>
  <c r="K78" i="25" s="1"/>
  <c r="K637" i="3"/>
  <c r="H130" i="2" s="1"/>
  <c r="H188" i="25"/>
  <c r="C187" i="5"/>
  <c r="K187" i="5" s="1"/>
  <c r="M187" i="5" s="1"/>
  <c r="O187" i="5" s="1"/>
  <c r="L187" i="2"/>
  <c r="M188" i="26" s="1"/>
  <c r="E96" i="26"/>
  <c r="H96" i="26" s="1"/>
  <c r="K96" i="25"/>
  <c r="G77" i="26"/>
  <c r="H77" i="26" s="1"/>
  <c r="J77" i="25"/>
  <c r="K77" i="25" s="1"/>
  <c r="G119" i="26"/>
  <c r="J119" i="25"/>
  <c r="K119" i="25" s="1"/>
  <c r="L179" i="2"/>
  <c r="M180" i="26" s="1"/>
  <c r="G123" i="26"/>
  <c r="H123" i="26" s="1"/>
  <c r="J123" i="25"/>
  <c r="K123" i="25" s="1"/>
  <c r="G57" i="26"/>
  <c r="H57" i="26" s="1"/>
  <c r="J57" i="25"/>
  <c r="K57" i="25" s="1"/>
  <c r="G179" i="26"/>
  <c r="H179" i="26" s="1"/>
  <c r="J179" i="25"/>
  <c r="K179" i="25" s="1"/>
  <c r="G68" i="26"/>
  <c r="H68" i="26" s="1"/>
  <c r="J68" i="25"/>
  <c r="K68" i="25" s="1"/>
  <c r="J62" i="25"/>
  <c r="K62" i="25" s="1"/>
  <c r="G62" i="26"/>
  <c r="H62" i="26" s="1"/>
  <c r="J637" i="3"/>
  <c r="G130" i="2" s="1"/>
  <c r="G97" i="26"/>
  <c r="J97" i="25"/>
  <c r="G110" i="26"/>
  <c r="H110" i="26" s="1"/>
  <c r="J110" i="25"/>
  <c r="K110" i="25" s="1"/>
  <c r="J147" i="25"/>
  <c r="K147" i="25" s="1"/>
  <c r="G147" i="26"/>
  <c r="H147" i="26" s="1"/>
  <c r="J103" i="25"/>
  <c r="K103" i="25" s="1"/>
  <c r="G103" i="26"/>
  <c r="H103" i="26" s="1"/>
  <c r="L66" i="2"/>
  <c r="M67" i="26" s="1"/>
  <c r="L132" i="2"/>
  <c r="M133" i="26" s="1"/>
  <c r="N138" i="2"/>
  <c r="M128" i="2"/>
  <c r="L129" i="26" s="1"/>
  <c r="M127" i="2"/>
  <c r="L128" i="26" s="1"/>
  <c r="E98" i="5"/>
  <c r="M187" i="2"/>
  <c r="L188" i="26" s="1"/>
  <c r="M186" i="2"/>
  <c r="L187" i="26" s="1"/>
  <c r="L143" i="2"/>
  <c r="M144" i="26" s="1"/>
  <c r="N132" i="2"/>
  <c r="L140" i="2"/>
  <c r="M141" i="26" s="1"/>
  <c r="N140" i="2"/>
  <c r="E132" i="5"/>
  <c r="J132" i="5" s="1"/>
  <c r="F619" i="3"/>
  <c r="J619" i="3" s="1"/>
  <c r="K80" i="3"/>
  <c r="I83" i="2"/>
  <c r="K83" i="2" s="1"/>
  <c r="L68" i="2"/>
  <c r="M69" i="26" s="1"/>
  <c r="I65" i="2"/>
  <c r="K65" i="2" s="1"/>
  <c r="K99" i="3"/>
  <c r="F421" i="3"/>
  <c r="J421" i="3" s="1"/>
  <c r="K513" i="3"/>
  <c r="F471" i="3"/>
  <c r="J471" i="3" s="1"/>
  <c r="J469" i="3" s="1"/>
  <c r="G151" i="2" s="1"/>
  <c r="L151" i="2" s="1"/>
  <c r="M152" i="26" s="1"/>
  <c r="L64" i="2"/>
  <c r="M65" i="26" s="1"/>
  <c r="K90" i="3"/>
  <c r="L126" i="2"/>
  <c r="M127" i="26" s="1"/>
  <c r="E106" i="5"/>
  <c r="J106" i="5" s="1"/>
  <c r="L106" i="5" s="1"/>
  <c r="L77" i="2"/>
  <c r="M78" i="26" s="1"/>
  <c r="E126" i="5"/>
  <c r="J126" i="5" s="1"/>
  <c r="L126" i="5" s="1"/>
  <c r="N126" i="5" s="1"/>
  <c r="K503" i="3"/>
  <c r="F288" i="3"/>
  <c r="J288" i="3" s="1"/>
  <c r="J285" i="3" s="1"/>
  <c r="G52" i="2" s="1"/>
  <c r="N126" i="2"/>
  <c r="L90" i="2"/>
  <c r="M91" i="26" s="1"/>
  <c r="K39" i="3"/>
  <c r="K37" i="3" s="1"/>
  <c r="H14" i="2" s="1"/>
  <c r="I14" i="2" s="1"/>
  <c r="K14" i="2" s="1"/>
  <c r="I80" i="2"/>
  <c r="K80" i="2" s="1"/>
  <c r="K81" i="3"/>
  <c r="F319" i="3"/>
  <c r="J319" i="3" s="1"/>
  <c r="I79" i="2"/>
  <c r="K79" i="2" s="1"/>
  <c r="K64" i="3"/>
  <c r="I62" i="2"/>
  <c r="K62" i="2" s="1"/>
  <c r="I71" i="2"/>
  <c r="K71" i="2" s="1"/>
  <c r="I63" i="2"/>
  <c r="K63" i="2" s="1"/>
  <c r="I54" i="2"/>
  <c r="K54" i="2" s="1"/>
  <c r="F338" i="3"/>
  <c r="J338" i="3" s="1"/>
  <c r="F265" i="3"/>
  <c r="J265" i="3" s="1"/>
  <c r="J262" i="3" s="1"/>
  <c r="G49" i="2" s="1"/>
  <c r="K271" i="3"/>
  <c r="K269" i="3" s="1"/>
  <c r="H50" i="2" s="1"/>
  <c r="F512" i="3"/>
  <c r="J512" i="3" s="1"/>
  <c r="K370" i="3"/>
  <c r="F370" i="3"/>
  <c r="J370" i="3" s="1"/>
  <c r="K359" i="3"/>
  <c r="F359" i="3"/>
  <c r="J359" i="3" s="1"/>
  <c r="K381" i="3"/>
  <c r="F381" i="3"/>
  <c r="J381" i="3" s="1"/>
  <c r="K348" i="3"/>
  <c r="F348" i="3"/>
  <c r="J348" i="3" s="1"/>
  <c r="D10" i="6"/>
  <c r="D11" i="6" s="1"/>
  <c r="D12" i="6" s="1"/>
  <c r="D13" i="6" s="1"/>
  <c r="D14" i="6" s="1"/>
  <c r="D15" i="6" s="1"/>
  <c r="D16" i="6" s="1"/>
  <c r="D17" i="6" s="1"/>
  <c r="D18" i="6" s="1"/>
  <c r="D19" i="6" s="1"/>
  <c r="D20" i="6" s="1"/>
  <c r="D21" i="6" s="1"/>
  <c r="D22" i="6" s="1"/>
  <c r="D23" i="6" s="1"/>
  <c r="D24" i="6" s="1"/>
  <c r="D25" i="6" s="1"/>
  <c r="D26" i="6" s="1"/>
  <c r="D27" i="6" s="1"/>
  <c r="D28" i="6" s="1"/>
  <c r="D29" i="6" s="1"/>
  <c r="D30" i="6" s="1"/>
  <c r="D31" i="6" s="1"/>
  <c r="D32" i="6" s="1"/>
  <c r="D33" i="6" s="1"/>
  <c r="D34" i="6" s="1"/>
  <c r="D35" i="6" s="1"/>
  <c r="D36" i="6" s="1"/>
  <c r="D37" i="6" s="1"/>
  <c r="D38" i="6" s="1"/>
  <c r="D39" i="6" s="1"/>
  <c r="D40" i="6" s="1"/>
  <c r="D41" i="6" s="1"/>
  <c r="D42" i="6" s="1"/>
  <c r="D43" i="6" s="1"/>
  <c r="D44" i="6" s="1"/>
  <c r="D45" i="6" s="1"/>
  <c r="D46" i="6" s="1"/>
  <c r="D47" i="6" s="1"/>
  <c r="D48" i="6" s="1"/>
  <c r="D49" i="6" s="1"/>
  <c r="D50" i="6" s="1"/>
  <c r="D51" i="6" s="1"/>
  <c r="D52" i="6" s="1"/>
  <c r="D53" i="6" s="1"/>
  <c r="D54" i="6" s="1"/>
  <c r="D55" i="6" s="1"/>
  <c r="D56" i="6" s="1"/>
  <c r="D57" i="6" s="1"/>
  <c r="D58" i="6" s="1"/>
  <c r="D59" i="6" s="1"/>
  <c r="D60" i="6" s="1"/>
  <c r="D61" i="6" s="1"/>
  <c r="D62" i="6" s="1"/>
  <c r="D63" i="6" s="1"/>
  <c r="D64" i="6" s="1"/>
  <c r="D65" i="6" s="1"/>
  <c r="D66" i="6" s="1"/>
  <c r="D67" i="6" s="1"/>
  <c r="D68" i="6" s="1"/>
  <c r="D69" i="6" s="1"/>
  <c r="D70" i="6" s="1"/>
  <c r="D71" i="6" s="1"/>
  <c r="D72" i="6" s="1"/>
  <c r="D73" i="6" s="1"/>
  <c r="D74" i="6" s="1"/>
  <c r="D75" i="6" s="1"/>
  <c r="D76" i="6" s="1"/>
  <c r="D77" i="6" s="1"/>
  <c r="D78" i="6" s="1"/>
  <c r="D79" i="6" s="1"/>
  <c r="D80" i="6" s="1"/>
  <c r="D81" i="6" s="1"/>
  <c r="D82" i="6" s="1"/>
  <c r="D83" i="6" s="1"/>
  <c r="D84" i="6" s="1"/>
  <c r="D85" i="6" s="1"/>
  <c r="D86" i="6" s="1"/>
  <c r="D87" i="6" s="1"/>
  <c r="D88" i="6" s="1"/>
  <c r="D89" i="6" s="1"/>
  <c r="D90" i="6" s="1"/>
  <c r="D91" i="6" s="1"/>
  <c r="D92" i="6" s="1"/>
  <c r="D93" i="6" s="1"/>
  <c r="D94" i="6" s="1"/>
  <c r="D95" i="6" s="1"/>
  <c r="D96" i="6" s="1"/>
  <c r="D97" i="6" s="1"/>
  <c r="D98" i="6" s="1"/>
  <c r="D99" i="6" s="1"/>
  <c r="D100" i="6" s="1"/>
  <c r="D101" i="6" s="1"/>
  <c r="D102" i="6" s="1"/>
  <c r="D103" i="6" s="1"/>
  <c r="D104" i="6" s="1"/>
  <c r="D105" i="6" s="1"/>
  <c r="D106" i="6" s="1"/>
  <c r="D107" i="6" s="1"/>
  <c r="D108" i="6" s="1"/>
  <c r="D109" i="6" s="1"/>
  <c r="D110" i="6" s="1"/>
  <c r="D111" i="6" s="1"/>
  <c r="D112" i="6" s="1"/>
  <c r="D113" i="6" s="1"/>
  <c r="D114" i="6" s="1"/>
  <c r="D115" i="6" s="1"/>
  <c r="D116" i="6" s="1"/>
  <c r="D117" i="6" s="1"/>
  <c r="D118" i="6" s="1"/>
  <c r="D119" i="6" s="1"/>
  <c r="D120" i="6" s="1"/>
  <c r="D121" i="6" s="1"/>
  <c r="D122" i="6" s="1"/>
  <c r="D123" i="6" s="1"/>
  <c r="D124" i="6" s="1"/>
  <c r="D125" i="6" s="1"/>
  <c r="D126" i="6" s="1"/>
  <c r="D127" i="6" s="1"/>
  <c r="D128" i="6" s="1"/>
  <c r="D129" i="6" s="1"/>
  <c r="D130" i="6" s="1"/>
  <c r="D131" i="6" s="1"/>
  <c r="D132" i="6" s="1"/>
  <c r="D133" i="6" s="1"/>
  <c r="D134" i="6" s="1"/>
  <c r="D135" i="6" s="1"/>
  <c r="D136" i="6" s="1"/>
  <c r="D137" i="6" s="1"/>
  <c r="F258" i="3"/>
  <c r="J258" i="3" s="1"/>
  <c r="J255" i="3" s="1"/>
  <c r="K446" i="3"/>
  <c r="F444" i="3"/>
  <c r="J444" i="3" s="1"/>
  <c r="F627" i="3"/>
  <c r="J627" i="3" s="1"/>
  <c r="J625" i="3" s="1"/>
  <c r="G189" i="2" s="1"/>
  <c r="F533" i="3"/>
  <c r="J533" i="3" s="1"/>
  <c r="J528" i="3" s="1"/>
  <c r="K316" i="3"/>
  <c r="H115" i="2" s="1"/>
  <c r="J53" i="3"/>
  <c r="I72" i="2"/>
  <c r="K72" i="2" s="1"/>
  <c r="L164" i="2"/>
  <c r="M165" i="26" s="1"/>
  <c r="I86" i="2"/>
  <c r="K86" i="2" s="1"/>
  <c r="L106" i="2"/>
  <c r="M107" i="26" s="1"/>
  <c r="I75" i="2"/>
  <c r="K75" i="2" s="1"/>
  <c r="L67" i="2"/>
  <c r="M68" i="26" s="1"/>
  <c r="I123" i="2"/>
  <c r="K123" i="2" s="1"/>
  <c r="L59" i="2"/>
  <c r="M60" i="26" s="1"/>
  <c r="L76" i="2"/>
  <c r="M77" i="26" s="1"/>
  <c r="L61" i="2"/>
  <c r="M62" i="26" s="1"/>
  <c r="F336" i="3"/>
  <c r="J336" i="3" s="1"/>
  <c r="K74" i="3"/>
  <c r="F320" i="3"/>
  <c r="J320" i="3" s="1"/>
  <c r="K78" i="3"/>
  <c r="K14" i="3"/>
  <c r="F311" i="3"/>
  <c r="J311" i="3" s="1"/>
  <c r="K345" i="3"/>
  <c r="K349" i="3"/>
  <c r="F68" i="3"/>
  <c r="J68" i="3" s="1"/>
  <c r="F62" i="3"/>
  <c r="J62" i="3" s="1"/>
  <c r="K337" i="3"/>
  <c r="F633" i="3"/>
  <c r="J633" i="3" s="1"/>
  <c r="J631" i="3" s="1"/>
  <c r="G192" i="2" s="1"/>
  <c r="I192" i="2" s="1"/>
  <c r="K192" i="2" s="1"/>
  <c r="I105" i="2"/>
  <c r="K105" i="2" s="1"/>
  <c r="F281" i="3"/>
  <c r="J281" i="3" s="1"/>
  <c r="J278" i="3" s="1"/>
  <c r="G51" i="2" s="1"/>
  <c r="L51" i="2" s="1"/>
  <c r="M52" i="26" s="1"/>
  <c r="F443" i="3"/>
  <c r="J443" i="3" s="1"/>
  <c r="F601" i="3"/>
  <c r="J601" i="3" s="1"/>
  <c r="K598" i="3"/>
  <c r="H177" i="2" s="1"/>
  <c r="F514" i="3"/>
  <c r="J514" i="3" s="1"/>
  <c r="F613" i="3"/>
  <c r="J613" i="3" s="1"/>
  <c r="J607" i="3" s="1"/>
  <c r="N60" i="2"/>
  <c r="E60" i="5"/>
  <c r="F60" i="5" s="1"/>
  <c r="N60" i="5" s="1"/>
  <c r="F574" i="3"/>
  <c r="J574" i="3" s="1"/>
  <c r="K574" i="3"/>
  <c r="F520" i="3"/>
  <c r="J520" i="3" s="1"/>
  <c r="K520" i="3"/>
  <c r="F541" i="3"/>
  <c r="J541" i="3" s="1"/>
  <c r="K541" i="3"/>
  <c r="F563" i="3"/>
  <c r="J563" i="3" s="1"/>
  <c r="K563" i="3"/>
  <c r="F552" i="3"/>
  <c r="J552" i="3" s="1"/>
  <c r="K552" i="3"/>
  <c r="K610" i="3"/>
  <c r="K607" i="3" s="1"/>
  <c r="H175" i="2" s="1"/>
  <c r="F395" i="3"/>
  <c r="J395" i="3" s="1"/>
  <c r="K395" i="3"/>
  <c r="N74" i="2"/>
  <c r="E74" i="5"/>
  <c r="F74" i="5" s="1"/>
  <c r="N74" i="5" s="1"/>
  <c r="F119" i="3"/>
  <c r="J119" i="3" s="1"/>
  <c r="K119" i="3"/>
  <c r="F140" i="3"/>
  <c r="J140" i="3" s="1"/>
  <c r="K140" i="3"/>
  <c r="K491" i="3"/>
  <c r="F491" i="3"/>
  <c r="J491" i="3" s="1"/>
  <c r="F149" i="3"/>
  <c r="J149" i="3" s="1"/>
  <c r="K149" i="3"/>
  <c r="F501" i="3"/>
  <c r="J501" i="3" s="1"/>
  <c r="K501" i="3"/>
  <c r="F184" i="3"/>
  <c r="J184" i="3" s="1"/>
  <c r="K184" i="3"/>
  <c r="J127" i="5"/>
  <c r="L127" i="5" s="1"/>
  <c r="N127" i="5" s="1"/>
  <c r="F480" i="3"/>
  <c r="J480" i="3" s="1"/>
  <c r="K480" i="3"/>
  <c r="N67" i="2"/>
  <c r="E67" i="5"/>
  <c r="F67" i="5" s="1"/>
  <c r="N67" i="5" s="1"/>
  <c r="L128" i="5"/>
  <c r="N128" i="5" s="1"/>
  <c r="K161" i="3"/>
  <c r="F161" i="3"/>
  <c r="J161" i="3" s="1"/>
  <c r="K118" i="3"/>
  <c r="F118" i="3"/>
  <c r="J118" i="3" s="1"/>
  <c r="F492" i="3"/>
  <c r="J492" i="3" s="1"/>
  <c r="K492" i="3"/>
  <c r="N84" i="2"/>
  <c r="E84" i="5"/>
  <c r="F84" i="5" s="1"/>
  <c r="N84" i="5" s="1"/>
  <c r="K128" i="3"/>
  <c r="F128" i="3"/>
  <c r="J128" i="3" s="1"/>
  <c r="N70" i="2"/>
  <c r="E70" i="5"/>
  <c r="F70" i="5" s="1"/>
  <c r="N70" i="5" s="1"/>
  <c r="F139" i="3"/>
  <c r="J139" i="3" s="1"/>
  <c r="K139" i="3"/>
  <c r="N76" i="2"/>
  <c r="E76" i="5"/>
  <c r="F76" i="5" s="1"/>
  <c r="N76" i="5" s="1"/>
  <c r="K94" i="3"/>
  <c r="F94" i="3"/>
  <c r="J94" i="3" s="1"/>
  <c r="K169" i="3"/>
  <c r="F169" i="3"/>
  <c r="J169" i="3" s="1"/>
  <c r="E69" i="5"/>
  <c r="F69" i="5" s="1"/>
  <c r="N69" i="5" s="1"/>
  <c r="N69" i="2"/>
  <c r="F148" i="3"/>
  <c r="J148" i="3" s="1"/>
  <c r="K148" i="3"/>
  <c r="N179" i="2"/>
  <c r="E179" i="5"/>
  <c r="J179" i="5" s="1"/>
  <c r="L87" i="2"/>
  <c r="M88" i="26" s="1"/>
  <c r="I87" i="2"/>
  <c r="K87" i="2" s="1"/>
  <c r="K620" i="3"/>
  <c r="F620" i="3"/>
  <c r="J620" i="3" s="1"/>
  <c r="N93" i="2"/>
  <c r="E93" i="5"/>
  <c r="F93" i="5" s="1"/>
  <c r="N93" i="5" s="1"/>
  <c r="F193" i="3"/>
  <c r="J193" i="3" s="1"/>
  <c r="K193" i="3"/>
  <c r="K152" i="3"/>
  <c r="F152" i="3"/>
  <c r="J152" i="3" s="1"/>
  <c r="L81" i="2"/>
  <c r="M82" i="26" s="1"/>
  <c r="I81" i="2"/>
  <c r="K81" i="2" s="1"/>
  <c r="F414" i="3"/>
  <c r="J414" i="3" s="1"/>
  <c r="K414" i="3"/>
  <c r="K412" i="3" s="1"/>
  <c r="F222" i="3"/>
  <c r="J222" i="3" s="1"/>
  <c r="K222" i="3"/>
  <c r="K160" i="3"/>
  <c r="F160" i="3"/>
  <c r="J160" i="3" s="1"/>
  <c r="I47" i="2"/>
  <c r="K47" i="2" s="1"/>
  <c r="L47" i="2"/>
  <c r="M48" i="26" s="1"/>
  <c r="K478" i="3"/>
  <c r="F478" i="3"/>
  <c r="J478" i="3" s="1"/>
  <c r="L131" i="2"/>
  <c r="M132" i="26" s="1"/>
  <c r="I131" i="2"/>
  <c r="K131" i="2" s="1"/>
  <c r="L88" i="2"/>
  <c r="M89" i="26" s="1"/>
  <c r="I88" i="2"/>
  <c r="K88" i="2" s="1"/>
  <c r="F566" i="3"/>
  <c r="J566" i="3" s="1"/>
  <c r="K566" i="3"/>
  <c r="K97" i="3"/>
  <c r="F97" i="3"/>
  <c r="J97" i="3" s="1"/>
  <c r="K481" i="3"/>
  <c r="F481" i="3"/>
  <c r="J481" i="3" s="1"/>
  <c r="F555" i="3"/>
  <c r="J555" i="3" s="1"/>
  <c r="K555" i="3"/>
  <c r="K177" i="3"/>
  <c r="F177" i="3"/>
  <c r="J177" i="3" s="1"/>
  <c r="N90" i="2"/>
  <c r="F249" i="3"/>
  <c r="J249" i="3" s="1"/>
  <c r="K249" i="3"/>
  <c r="N120" i="2"/>
  <c r="E120" i="5"/>
  <c r="N143" i="2"/>
  <c r="E143" i="5"/>
  <c r="F577" i="3"/>
  <c r="J577" i="3" s="1"/>
  <c r="K577" i="3"/>
  <c r="K493" i="3"/>
  <c r="F493" i="3"/>
  <c r="J493" i="3" s="1"/>
  <c r="K234" i="3"/>
  <c r="F234" i="3"/>
  <c r="J234" i="3" s="1"/>
  <c r="K490" i="3"/>
  <c r="F490" i="3"/>
  <c r="J490" i="3" s="1"/>
  <c r="L82" i="2"/>
  <c r="M83" i="26" s="1"/>
  <c r="I82" i="2"/>
  <c r="K82" i="2" s="1"/>
  <c r="K105" i="3"/>
  <c r="F105" i="3"/>
  <c r="J105" i="3" s="1"/>
  <c r="K218" i="3"/>
  <c r="F218" i="3"/>
  <c r="J218" i="3" s="1"/>
  <c r="K127" i="3"/>
  <c r="F127" i="3"/>
  <c r="J127" i="3" s="1"/>
  <c r="N77" i="2"/>
  <c r="E77" i="5"/>
  <c r="F77" i="5" s="1"/>
  <c r="N77" i="5" s="1"/>
  <c r="F567" i="3"/>
  <c r="J567" i="3" s="1"/>
  <c r="K567" i="3"/>
  <c r="F544" i="3"/>
  <c r="J544" i="3" s="1"/>
  <c r="K544" i="3"/>
  <c r="N64" i="2"/>
  <c r="E64" i="5"/>
  <c r="F64" i="5" s="1"/>
  <c r="N64" i="5" s="1"/>
  <c r="F131" i="3"/>
  <c r="J131" i="3" s="1"/>
  <c r="K131" i="3"/>
  <c r="K209" i="3"/>
  <c r="F209" i="3"/>
  <c r="J209" i="3" s="1"/>
  <c r="K221" i="3"/>
  <c r="F221" i="3"/>
  <c r="J221" i="3" s="1"/>
  <c r="F521" i="3"/>
  <c r="J521" i="3" s="1"/>
  <c r="K521" i="3"/>
  <c r="F556" i="3"/>
  <c r="J556" i="3" s="1"/>
  <c r="K556" i="3"/>
  <c r="F393" i="3"/>
  <c r="J393" i="3" s="1"/>
  <c r="K393" i="3"/>
  <c r="F389" i="3"/>
  <c r="J389" i="3" s="1"/>
  <c r="K389" i="3"/>
  <c r="F242" i="3"/>
  <c r="J242" i="3" s="1"/>
  <c r="K242" i="3"/>
  <c r="K200" i="3"/>
  <c r="F200" i="3"/>
  <c r="J200" i="3" s="1"/>
  <c r="F542" i="3"/>
  <c r="J542" i="3" s="1"/>
  <c r="K542" i="3"/>
  <c r="F578" i="3"/>
  <c r="J578" i="3" s="1"/>
  <c r="K578" i="3"/>
  <c r="F523" i="3"/>
  <c r="J523" i="3" s="1"/>
  <c r="K523" i="3"/>
  <c r="K96" i="3"/>
  <c r="F96" i="3"/>
  <c r="J96" i="3" s="1"/>
  <c r="K72" i="3"/>
  <c r="N59" i="2"/>
  <c r="E59" i="5"/>
  <c r="F59" i="5" s="1"/>
  <c r="N59" i="5" s="1"/>
  <c r="N178" i="2"/>
  <c r="E178" i="5"/>
  <c r="J178" i="5" s="1"/>
  <c r="F201" i="3"/>
  <c r="J201" i="3" s="1"/>
  <c r="K201" i="3"/>
  <c r="K176" i="3"/>
  <c r="F176" i="3"/>
  <c r="J176" i="3" s="1"/>
  <c r="N66" i="2"/>
  <c r="E66" i="5"/>
  <c r="F66" i="5" s="1"/>
  <c r="N66" i="5" s="1"/>
  <c r="F564" i="3"/>
  <c r="J564" i="3" s="1"/>
  <c r="K564" i="3"/>
  <c r="F545" i="3"/>
  <c r="J545" i="3" s="1"/>
  <c r="K545" i="3"/>
  <c r="F103" i="3"/>
  <c r="J103" i="3" s="1"/>
  <c r="K103" i="3"/>
  <c r="K590" i="3"/>
  <c r="H176" i="2" s="1"/>
  <c r="F91" i="3"/>
  <c r="J91" i="3" s="1"/>
  <c r="K91" i="3"/>
  <c r="F82" i="3"/>
  <c r="J82" i="3" s="1"/>
  <c r="K226" i="3"/>
  <c r="F226" i="3"/>
  <c r="J226" i="3" s="1"/>
  <c r="K192" i="3"/>
  <c r="F192" i="3"/>
  <c r="J192" i="3" s="1"/>
  <c r="F553" i="3"/>
  <c r="J553" i="3" s="1"/>
  <c r="K553" i="3"/>
  <c r="F524" i="3"/>
  <c r="J524" i="3" s="1"/>
  <c r="K524" i="3"/>
  <c r="K621" i="3"/>
  <c r="F621" i="3"/>
  <c r="J621" i="3" s="1"/>
  <c r="J590" i="3"/>
  <c r="G176" i="2" s="1"/>
  <c r="I92" i="2"/>
  <c r="K92" i="2" s="1"/>
  <c r="L92" i="2"/>
  <c r="M93" i="26" s="1"/>
  <c r="F554" i="3"/>
  <c r="J554" i="3" s="1"/>
  <c r="K554" i="3"/>
  <c r="F225" i="3"/>
  <c r="J225" i="3" s="1"/>
  <c r="K225" i="3"/>
  <c r="K575" i="3"/>
  <c r="F575" i="3"/>
  <c r="J575" i="3" s="1"/>
  <c r="K106" i="3"/>
  <c r="F106" i="3"/>
  <c r="J106" i="3" s="1"/>
  <c r="K95" i="3"/>
  <c r="F95" i="3"/>
  <c r="J95" i="3" s="1"/>
  <c r="K110" i="3"/>
  <c r="F110" i="3"/>
  <c r="J110" i="3" s="1"/>
  <c r="F101" i="3"/>
  <c r="J101" i="3" s="1"/>
  <c r="K101" i="3"/>
  <c r="F132" i="3"/>
  <c r="J132" i="3" s="1"/>
  <c r="K132" i="3"/>
  <c r="F543" i="3"/>
  <c r="J543" i="3" s="1"/>
  <c r="K543" i="3"/>
  <c r="F233" i="3"/>
  <c r="J233" i="3" s="1"/>
  <c r="K233" i="3"/>
  <c r="N73" i="2"/>
  <c r="E73" i="5"/>
  <c r="F73" i="5" s="1"/>
  <c r="N73" i="5" s="1"/>
  <c r="F568" i="3"/>
  <c r="J568" i="3" s="1"/>
  <c r="K568" i="3"/>
  <c r="K482" i="3"/>
  <c r="F482" i="3"/>
  <c r="J482" i="3" s="1"/>
  <c r="F185" i="3"/>
  <c r="J185" i="3" s="1"/>
  <c r="K185" i="3"/>
  <c r="F576" i="3"/>
  <c r="J576" i="3" s="1"/>
  <c r="K576" i="3"/>
  <c r="N61" i="2"/>
  <c r="E61" i="5"/>
  <c r="F61" i="5" s="1"/>
  <c r="N61" i="5" s="1"/>
  <c r="K208" i="3"/>
  <c r="F208" i="3"/>
  <c r="J208" i="3" s="1"/>
  <c r="K108" i="3"/>
  <c r="F108" i="3"/>
  <c r="J108" i="3" s="1"/>
  <c r="F557" i="3"/>
  <c r="J557" i="3" s="1"/>
  <c r="K557" i="3"/>
  <c r="K494" i="3"/>
  <c r="F494" i="3"/>
  <c r="J494" i="3" s="1"/>
  <c r="F153" i="3"/>
  <c r="J153" i="3" s="1"/>
  <c r="K153" i="3"/>
  <c r="F522" i="3"/>
  <c r="J522" i="3" s="1"/>
  <c r="K522" i="3"/>
  <c r="K241" i="3"/>
  <c r="F241" i="3"/>
  <c r="J241" i="3" s="1"/>
  <c r="N85" i="2"/>
  <c r="E85" i="5"/>
  <c r="F85" i="5" s="1"/>
  <c r="N85" i="5" s="1"/>
  <c r="F489" i="3"/>
  <c r="J489" i="3" s="1"/>
  <c r="K489" i="3"/>
  <c r="F579" i="3"/>
  <c r="J579" i="3" s="1"/>
  <c r="K579" i="3"/>
  <c r="N68" i="2"/>
  <c r="E68" i="5"/>
  <c r="F68" i="5" s="1"/>
  <c r="N68" i="5" s="1"/>
  <c r="F585" i="3"/>
  <c r="J585" i="3" s="1"/>
  <c r="J583" i="3" s="1"/>
  <c r="G172" i="2" s="1"/>
  <c r="K585" i="3"/>
  <c r="K583" i="3" s="1"/>
  <c r="H172" i="2" s="1"/>
  <c r="K109" i="3"/>
  <c r="F109" i="3"/>
  <c r="J109" i="3" s="1"/>
  <c r="F250" i="3"/>
  <c r="J250" i="3" s="1"/>
  <c r="K250" i="3"/>
  <c r="F565" i="3"/>
  <c r="J565" i="3" s="1"/>
  <c r="K565" i="3"/>
  <c r="J186" i="5"/>
  <c r="L186" i="5" s="1"/>
  <c r="N186" i="5" s="1"/>
  <c r="K217" i="3"/>
  <c r="F217" i="3"/>
  <c r="J217" i="3" s="1"/>
  <c r="F477" i="3"/>
  <c r="J477" i="3" s="1"/>
  <c r="K477" i="3"/>
  <c r="F546" i="3"/>
  <c r="J546" i="3" s="1"/>
  <c r="K546" i="3"/>
  <c r="K502" i="3"/>
  <c r="F502" i="3"/>
  <c r="J502" i="3" s="1"/>
  <c r="K479" i="3"/>
  <c r="F479" i="3"/>
  <c r="J479" i="3" s="1"/>
  <c r="F168" i="3"/>
  <c r="J168" i="3" s="1"/>
  <c r="K168" i="3"/>
  <c r="K166" i="3" s="1"/>
  <c r="H25" i="2" s="1"/>
  <c r="H46" i="2"/>
  <c r="K324" i="3"/>
  <c r="H141" i="2" s="1"/>
  <c r="I141" i="2" s="1"/>
  <c r="K141" i="2" s="1"/>
  <c r="J9" i="3"/>
  <c r="G11" i="2" s="1"/>
  <c r="K285" i="3"/>
  <c r="H52" i="2" s="1"/>
  <c r="E125" i="5"/>
  <c r="J121" i="5"/>
  <c r="L121" i="5" s="1"/>
  <c r="E124" i="5"/>
  <c r="J124" i="5" s="1"/>
  <c r="C125" i="5"/>
  <c r="E118" i="5"/>
  <c r="E99" i="5"/>
  <c r="H99" i="5" s="1"/>
  <c r="J99" i="5" s="1"/>
  <c r="E117" i="5"/>
  <c r="E146" i="5"/>
  <c r="E104" i="5"/>
  <c r="E134" i="5"/>
  <c r="J134" i="5" s="1"/>
  <c r="E101" i="5"/>
  <c r="I101" i="5"/>
  <c r="K138" i="5"/>
  <c r="K155" i="5"/>
  <c r="K151" i="5"/>
  <c r="K149" i="5"/>
  <c r="K154" i="5"/>
  <c r="K105" i="5"/>
  <c r="M105" i="5" s="1"/>
  <c r="K140" i="5"/>
  <c r="K141" i="5"/>
  <c r="K139" i="5"/>
  <c r="K152" i="5"/>
  <c r="K150" i="5"/>
  <c r="K148" i="5"/>
  <c r="K153" i="5"/>
  <c r="K142" i="5"/>
  <c r="F90" i="5"/>
  <c r="N90" i="5" s="1"/>
  <c r="N100" i="5"/>
  <c r="E29" i="14"/>
  <c r="G28" i="4" s="1"/>
  <c r="L28" i="4" s="1"/>
  <c r="G408" i="3" s="1"/>
  <c r="K408" i="3" s="1"/>
  <c r="K405" i="3" s="1"/>
  <c r="E28" i="14"/>
  <c r="G29" i="4" s="1"/>
  <c r="L29" i="4" s="1"/>
  <c r="G435" i="3" s="1"/>
  <c r="K435" i="3" s="1"/>
  <c r="K433" i="3" s="1"/>
  <c r="E102" i="5"/>
  <c r="N116" i="2"/>
  <c r="C116" i="5"/>
  <c r="N122" i="2"/>
  <c r="E122" i="5"/>
  <c r="M43" i="2"/>
  <c r="L44" i="26" s="1"/>
  <c r="N164" i="2"/>
  <c r="E164" i="5"/>
  <c r="J164" i="5" s="1"/>
  <c r="N164" i="5" s="1"/>
  <c r="N109" i="2"/>
  <c r="E109" i="5"/>
  <c r="M13" i="2"/>
  <c r="L14" i="26" s="1"/>
  <c r="C108" i="5"/>
  <c r="O189" i="5"/>
  <c r="K451" i="3"/>
  <c r="H148" i="2" s="1"/>
  <c r="I148" i="2" s="1"/>
  <c r="K148" i="2" s="1"/>
  <c r="H58" i="2"/>
  <c r="K21" i="3"/>
  <c r="H12" i="2" s="1"/>
  <c r="K357" i="3"/>
  <c r="E96" i="5"/>
  <c r="K535" i="3"/>
  <c r="F344" i="3"/>
  <c r="J344" i="3" s="1"/>
  <c r="K67" i="3"/>
  <c r="L181" i="2"/>
  <c r="M182" i="26" s="1"/>
  <c r="L180" i="2"/>
  <c r="M181" i="26" s="1"/>
  <c r="I180" i="2"/>
  <c r="K180" i="2" s="1"/>
  <c r="L136" i="2"/>
  <c r="M137" i="26" s="1"/>
  <c r="N136" i="2"/>
  <c r="K534" i="3"/>
  <c r="K368" i="3"/>
  <c r="F76" i="3"/>
  <c r="J76" i="3" s="1"/>
  <c r="F367" i="3"/>
  <c r="J367" i="3" s="1"/>
  <c r="K366" i="3"/>
  <c r="F358" i="3"/>
  <c r="J358" i="3" s="1"/>
  <c r="J21" i="3"/>
  <c r="G12" i="2" s="1"/>
  <c r="L116" i="2"/>
  <c r="M117" i="26" s="1"/>
  <c r="K531" i="3"/>
  <c r="K54" i="3"/>
  <c r="K49" i="3" s="1"/>
  <c r="F71" i="3"/>
  <c r="J71" i="3" s="1"/>
  <c r="L144" i="2"/>
  <c r="M145" i="26" s="1"/>
  <c r="C160" i="5"/>
  <c r="F70" i="3"/>
  <c r="J70" i="3" s="1"/>
  <c r="F379" i="3"/>
  <c r="J379" i="3" s="1"/>
  <c r="F356" i="3"/>
  <c r="J356" i="3" s="1"/>
  <c r="F445" i="3"/>
  <c r="J445" i="3" s="1"/>
  <c r="F347" i="3"/>
  <c r="J347" i="3" s="1"/>
  <c r="F79" i="3"/>
  <c r="J79" i="3" s="1"/>
  <c r="J316" i="3"/>
  <c r="G115" i="2" s="1"/>
  <c r="K510" i="3"/>
  <c r="K507" i="3" s="1"/>
  <c r="F603" i="3"/>
  <c r="J603" i="3" s="1"/>
  <c r="F378" i="3"/>
  <c r="J378" i="3" s="1"/>
  <c r="F83" i="3"/>
  <c r="J83" i="3" s="1"/>
  <c r="F63" i="3"/>
  <c r="J63" i="3" s="1"/>
  <c r="K63" i="3"/>
  <c r="K65" i="3"/>
  <c r="I107" i="2"/>
  <c r="K107" i="2" s="1"/>
  <c r="F377" i="3"/>
  <c r="J377" i="3" s="1"/>
  <c r="M163" i="2"/>
  <c r="L164" i="26" s="1"/>
  <c r="K441" i="3"/>
  <c r="F441" i="3"/>
  <c r="J441" i="3" s="1"/>
  <c r="J269" i="3"/>
  <c r="G50" i="2" s="1"/>
  <c r="K369" i="3"/>
  <c r="F369" i="3"/>
  <c r="J369" i="3" s="1"/>
  <c r="J49" i="3"/>
  <c r="G16" i="2" s="1"/>
  <c r="F380" i="3"/>
  <c r="J380" i="3" s="1"/>
  <c r="K380" i="3"/>
  <c r="K335" i="3"/>
  <c r="F335" i="3"/>
  <c r="J335" i="3" s="1"/>
  <c r="M138" i="2"/>
  <c r="L139" i="26" s="1"/>
  <c r="I149" i="2"/>
  <c r="K149" i="2" s="1"/>
  <c r="I42" i="2"/>
  <c r="K42" i="2" s="1"/>
  <c r="K309" i="3"/>
  <c r="K307" i="3" s="1"/>
  <c r="F309" i="3"/>
  <c r="J309" i="3" s="1"/>
  <c r="L91" i="2"/>
  <c r="M92" i="26" s="1"/>
  <c r="F61" i="3"/>
  <c r="J61" i="3" s="1"/>
  <c r="K61" i="3"/>
  <c r="K355" i="3"/>
  <c r="F355" i="3"/>
  <c r="J355" i="3" s="1"/>
  <c r="F334" i="3"/>
  <c r="J334" i="3" s="1"/>
  <c r="K334" i="3"/>
  <c r="L145" i="2"/>
  <c r="M146" i="26" s="1"/>
  <c r="C145" i="5"/>
  <c r="C158" i="5"/>
  <c r="L125" i="2"/>
  <c r="M126" i="26" s="1"/>
  <c r="L156" i="2"/>
  <c r="M157" i="26" s="1"/>
  <c r="L134" i="2"/>
  <c r="M135" i="26" s="1"/>
  <c r="N134" i="2"/>
  <c r="N57" i="2"/>
  <c r="M121" i="2"/>
  <c r="L122" i="26" s="1"/>
  <c r="E57" i="5"/>
  <c r="F57" i="5" s="1"/>
  <c r="N57" i="5" s="1"/>
  <c r="L94" i="2"/>
  <c r="M95" i="26" s="1"/>
  <c r="C118" i="5"/>
  <c r="N144" i="2"/>
  <c r="C144" i="5"/>
  <c r="N145" i="2"/>
  <c r="L141" i="2"/>
  <c r="M142" i="26" s="1"/>
  <c r="E156" i="5"/>
  <c r="K45" i="3"/>
  <c r="K43" i="3" s="1"/>
  <c r="H15" i="2" s="1"/>
  <c r="J45" i="3"/>
  <c r="J43" i="3" s="1"/>
  <c r="G15" i="2" s="1"/>
  <c r="L14" i="2"/>
  <c r="M15" i="26" s="1"/>
  <c r="J43" i="5"/>
  <c r="H43" i="5"/>
  <c r="F43" i="5"/>
  <c r="J163" i="5"/>
  <c r="C22" i="14"/>
  <c r="F96" i="2"/>
  <c r="H97" i="25" s="1"/>
  <c r="E97" i="26" s="1"/>
  <c r="N94" i="2"/>
  <c r="C3" i="26"/>
  <c r="C3" i="25"/>
  <c r="B13" i="24"/>
  <c r="E95" i="5"/>
  <c r="N124" i="2"/>
  <c r="C146" i="5"/>
  <c r="L146" i="2"/>
  <c r="M147" i="26" s="1"/>
  <c r="N146" i="2"/>
  <c r="C161" i="5"/>
  <c r="M155" i="2"/>
  <c r="L156" i="26" s="1"/>
  <c r="M139" i="2"/>
  <c r="L140" i="26" s="1"/>
  <c r="C156" i="5"/>
  <c r="N156" i="2"/>
  <c r="M154" i="2"/>
  <c r="L155" i="26" s="1"/>
  <c r="E56" i="5"/>
  <c r="F56" i="5" s="1"/>
  <c r="N56" i="5" s="1"/>
  <c r="N56" i="2"/>
  <c r="M152" i="2"/>
  <c r="L153" i="26" s="1"/>
  <c r="M153" i="2"/>
  <c r="L154" i="26" s="1"/>
  <c r="N125" i="2"/>
  <c r="E54" i="5"/>
  <c r="F54" i="5" s="1"/>
  <c r="N54" i="5" s="1"/>
  <c r="D12" i="26"/>
  <c r="C159" i="5"/>
  <c r="M55" i="2"/>
  <c r="L56" i="26" s="1"/>
  <c r="G150" i="2"/>
  <c r="H51" i="2"/>
  <c r="G58" i="2"/>
  <c r="E75" i="5" l="1"/>
  <c r="F75" i="5" s="1"/>
  <c r="N75" i="5" s="1"/>
  <c r="G76" i="26"/>
  <c r="H76" i="26" s="1"/>
  <c r="J76" i="25"/>
  <c r="K76" i="25" s="1"/>
  <c r="K188" i="25"/>
  <c r="E188" i="26"/>
  <c r="H188" i="26" s="1"/>
  <c r="G66" i="26"/>
  <c r="H66" i="26" s="1"/>
  <c r="J66" i="25"/>
  <c r="K66" i="25" s="1"/>
  <c r="E86" i="5"/>
  <c r="F86" i="5" s="1"/>
  <c r="N86" i="5" s="1"/>
  <c r="J87" i="25"/>
  <c r="K87" i="25" s="1"/>
  <c r="G87" i="26"/>
  <c r="H87" i="26" s="1"/>
  <c r="N63" i="2"/>
  <c r="G64" i="26"/>
  <c r="H64" i="26" s="1"/>
  <c r="J64" i="25"/>
  <c r="K64" i="25" s="1"/>
  <c r="E136" i="26"/>
  <c r="H136" i="26" s="1"/>
  <c r="K136" i="25"/>
  <c r="G55" i="26"/>
  <c r="H55" i="26" s="1"/>
  <c r="J55" i="25"/>
  <c r="K55" i="25" s="1"/>
  <c r="N71" i="2"/>
  <c r="G72" i="26"/>
  <c r="H72" i="26" s="1"/>
  <c r="J72" i="25"/>
  <c r="K72" i="25" s="1"/>
  <c r="E83" i="5"/>
  <c r="F83" i="5" s="1"/>
  <c r="N83" i="5" s="1"/>
  <c r="J84" i="25"/>
  <c r="K84" i="25" s="1"/>
  <c r="G84" i="26"/>
  <c r="H84" i="26" s="1"/>
  <c r="L130" i="2"/>
  <c r="M131" i="26" s="1"/>
  <c r="I130" i="2"/>
  <c r="K130" i="2" s="1"/>
  <c r="G43" i="26"/>
  <c r="H43" i="26" s="1"/>
  <c r="J43" i="25"/>
  <c r="K43" i="25" s="1"/>
  <c r="G48" i="26"/>
  <c r="H48" i="26" s="1"/>
  <c r="J48" i="25"/>
  <c r="K48" i="25" s="1"/>
  <c r="E72" i="5"/>
  <c r="F72" i="5" s="1"/>
  <c r="N72" i="5" s="1"/>
  <c r="G73" i="26"/>
  <c r="H73" i="26" s="1"/>
  <c r="J73" i="25"/>
  <c r="K73" i="25" s="1"/>
  <c r="G63" i="26"/>
  <c r="H63" i="26" s="1"/>
  <c r="J63" i="25"/>
  <c r="K63" i="25" s="1"/>
  <c r="G93" i="26"/>
  <c r="H93" i="26" s="1"/>
  <c r="J93" i="25"/>
  <c r="K93" i="25" s="1"/>
  <c r="G83" i="26"/>
  <c r="H83" i="26" s="1"/>
  <c r="J83" i="25"/>
  <c r="K83" i="25" s="1"/>
  <c r="N105" i="2"/>
  <c r="G106" i="26"/>
  <c r="H106" i="26" s="1"/>
  <c r="J106" i="25"/>
  <c r="K106" i="25" s="1"/>
  <c r="G80" i="26"/>
  <c r="H80" i="26" s="1"/>
  <c r="J80" i="25"/>
  <c r="K80" i="25" s="1"/>
  <c r="G132" i="26"/>
  <c r="H132" i="26" s="1"/>
  <c r="J132" i="25"/>
  <c r="K132" i="25" s="1"/>
  <c r="G89" i="26"/>
  <c r="H89" i="26" s="1"/>
  <c r="J89" i="25"/>
  <c r="K89" i="25" s="1"/>
  <c r="G88" i="26"/>
  <c r="H88" i="26" s="1"/>
  <c r="J88" i="25"/>
  <c r="K88" i="25" s="1"/>
  <c r="G81" i="26"/>
  <c r="H81" i="26" s="1"/>
  <c r="J81" i="25"/>
  <c r="K81" i="25" s="1"/>
  <c r="J82" i="25"/>
  <c r="K82" i="25" s="1"/>
  <c r="G82" i="26"/>
  <c r="H82" i="26" s="1"/>
  <c r="J412" i="3"/>
  <c r="E123" i="5"/>
  <c r="J123" i="5" s="1"/>
  <c r="G124" i="26"/>
  <c r="H124" i="26" s="1"/>
  <c r="J124" i="25"/>
  <c r="K124" i="25" s="1"/>
  <c r="J187" i="5"/>
  <c r="L187" i="5" s="1"/>
  <c r="N187" i="5" s="1"/>
  <c r="H119" i="26"/>
  <c r="K97" i="25"/>
  <c r="H97" i="26"/>
  <c r="G149" i="26"/>
  <c r="H149" i="26" s="1"/>
  <c r="J149" i="25"/>
  <c r="K149" i="25" s="1"/>
  <c r="J150" i="25"/>
  <c r="K150" i="25" s="1"/>
  <c r="G150" i="26"/>
  <c r="H150" i="26" s="1"/>
  <c r="G193" i="26"/>
  <c r="H193" i="26" s="1"/>
  <c r="J193" i="25"/>
  <c r="K193" i="25" s="1"/>
  <c r="G108" i="26"/>
  <c r="H108" i="26" s="1"/>
  <c r="J108" i="25"/>
  <c r="K108" i="25" s="1"/>
  <c r="J142" i="25"/>
  <c r="K142" i="25" s="1"/>
  <c r="G142" i="26"/>
  <c r="H142" i="26" s="1"/>
  <c r="G181" i="26"/>
  <c r="H181" i="26" s="1"/>
  <c r="J181" i="25"/>
  <c r="K181" i="25" s="1"/>
  <c r="J15" i="25"/>
  <c r="K15" i="25" s="1"/>
  <c r="G15" i="26"/>
  <c r="H15" i="26" s="1"/>
  <c r="N65" i="2"/>
  <c r="E65" i="5"/>
  <c r="F65" i="5" s="1"/>
  <c r="N65" i="5" s="1"/>
  <c r="M73" i="2"/>
  <c r="L74" i="26" s="1"/>
  <c r="M93" i="2"/>
  <c r="L94" i="26" s="1"/>
  <c r="M70" i="2"/>
  <c r="L71" i="26" s="1"/>
  <c r="M66" i="2"/>
  <c r="L67" i="26" s="1"/>
  <c r="M143" i="2"/>
  <c r="L144" i="26" s="1"/>
  <c r="M106" i="2"/>
  <c r="L107" i="26" s="1"/>
  <c r="M84" i="2"/>
  <c r="L85" i="26" s="1"/>
  <c r="M71" i="2"/>
  <c r="L72" i="26" s="1"/>
  <c r="M120" i="2"/>
  <c r="L121" i="26" s="1"/>
  <c r="M60" i="2"/>
  <c r="L61" i="26" s="1"/>
  <c r="E105" i="5"/>
  <c r="J105" i="5" s="1"/>
  <c r="L105" i="5" s="1"/>
  <c r="M132" i="2"/>
  <c r="L133" i="26" s="1"/>
  <c r="M85" i="2"/>
  <c r="L86" i="26" s="1"/>
  <c r="M59" i="2"/>
  <c r="L60" i="26" s="1"/>
  <c r="M90" i="2"/>
  <c r="L91" i="26" s="1"/>
  <c r="M69" i="2"/>
  <c r="L70" i="26" s="1"/>
  <c r="M68" i="2"/>
  <c r="L69" i="26" s="1"/>
  <c r="N83" i="2"/>
  <c r="M63" i="2"/>
  <c r="L64" i="26" s="1"/>
  <c r="M178" i="2"/>
  <c r="L179" i="26" s="1"/>
  <c r="M179" i="2"/>
  <c r="L180" i="26" s="1"/>
  <c r="M140" i="2"/>
  <c r="L141" i="26" s="1"/>
  <c r="L132" i="5"/>
  <c r="N132" i="5" s="1"/>
  <c r="M65" i="2"/>
  <c r="L66" i="26" s="1"/>
  <c r="M74" i="2"/>
  <c r="L75" i="26" s="1"/>
  <c r="N72" i="2"/>
  <c r="E62" i="5"/>
  <c r="F62" i="5" s="1"/>
  <c r="N62" i="5" s="1"/>
  <c r="N62" i="2"/>
  <c r="E80" i="5"/>
  <c r="F80" i="5" s="1"/>
  <c r="N80" i="5" s="1"/>
  <c r="N80" i="2"/>
  <c r="N79" i="2"/>
  <c r="E79" i="5"/>
  <c r="F79" i="5" s="1"/>
  <c r="N79" i="5" s="1"/>
  <c r="N54" i="2"/>
  <c r="I151" i="2"/>
  <c r="K151" i="2" s="1"/>
  <c r="M77" i="2"/>
  <c r="L78" i="26" s="1"/>
  <c r="K439" i="3"/>
  <c r="M64" i="2"/>
  <c r="L65" i="26" s="1"/>
  <c r="M126" i="2"/>
  <c r="L127" i="26" s="1"/>
  <c r="N106" i="5"/>
  <c r="J507" i="3"/>
  <c r="K342" i="3"/>
  <c r="H158" i="2" s="1"/>
  <c r="J206" i="3"/>
  <c r="G34" i="2" s="1"/>
  <c r="L34" i="2" s="1"/>
  <c r="M35" i="26" s="1"/>
  <c r="K375" i="3"/>
  <c r="K247" i="3"/>
  <c r="H40" i="2" s="1"/>
  <c r="E63" i="5"/>
  <c r="F63" i="5" s="1"/>
  <c r="N63" i="5" s="1"/>
  <c r="E71" i="5"/>
  <c r="F71" i="5" s="1"/>
  <c r="N71" i="5" s="1"/>
  <c r="J307" i="3"/>
  <c r="G108" i="2" s="1"/>
  <c r="L108" i="2" s="1"/>
  <c r="M109" i="26" s="1"/>
  <c r="N86" i="2"/>
  <c r="K617" i="3"/>
  <c r="H133" i="2" s="1"/>
  <c r="M76" i="2"/>
  <c r="L77" i="26" s="1"/>
  <c r="N75" i="2"/>
  <c r="M61" i="2"/>
  <c r="L62" i="26" s="1"/>
  <c r="N123" i="2"/>
  <c r="M67" i="2"/>
  <c r="L68" i="26" s="1"/>
  <c r="J116" i="3"/>
  <c r="G19" i="2" s="1"/>
  <c r="L192" i="2"/>
  <c r="M193" i="26" s="1"/>
  <c r="I51" i="2"/>
  <c r="K51" i="2" s="1"/>
  <c r="K239" i="3"/>
  <c r="H38" i="2" s="1"/>
  <c r="K158" i="3"/>
  <c r="H23" i="2" s="1"/>
  <c r="K206" i="3"/>
  <c r="H34" i="2" s="1"/>
  <c r="K116" i="3"/>
  <c r="H19" i="2" s="1"/>
  <c r="K550" i="3"/>
  <c r="H169" i="2" s="1"/>
  <c r="J598" i="3"/>
  <c r="G177" i="2" s="1"/>
  <c r="I177" i="2" s="1"/>
  <c r="K177" i="2" s="1"/>
  <c r="K572" i="3"/>
  <c r="H171" i="2" s="1"/>
  <c r="K137" i="3"/>
  <c r="H21" i="2" s="1"/>
  <c r="K386" i="3"/>
  <c r="H112" i="2" s="1"/>
  <c r="J137" i="3"/>
  <c r="G21" i="2" s="1"/>
  <c r="L21" i="2" s="1"/>
  <c r="M22" i="26" s="1"/>
  <c r="K487" i="3"/>
  <c r="J617" i="3"/>
  <c r="G133" i="2" s="1"/>
  <c r="L133" i="2" s="1"/>
  <c r="M134" i="26" s="1"/>
  <c r="J145" i="3"/>
  <c r="G22" i="2" s="1"/>
  <c r="K475" i="3"/>
  <c r="J487" i="3"/>
  <c r="J386" i="3"/>
  <c r="G183" i="2" s="1"/>
  <c r="L183" i="2" s="1"/>
  <c r="M184" i="26" s="1"/>
  <c r="J214" i="3"/>
  <c r="G36" i="2" s="1"/>
  <c r="L36" i="2" s="1"/>
  <c r="M37" i="26" s="1"/>
  <c r="J158" i="3"/>
  <c r="G23" i="2" s="1"/>
  <c r="L23" i="2" s="1"/>
  <c r="M24" i="26" s="1"/>
  <c r="K518" i="3"/>
  <c r="H166" i="2" s="1"/>
  <c r="J539" i="3"/>
  <c r="G168" i="2" s="1"/>
  <c r="L168" i="2" s="1"/>
  <c r="M169" i="26" s="1"/>
  <c r="J499" i="3"/>
  <c r="G173" i="2" s="1"/>
  <c r="L173" i="2" s="1"/>
  <c r="M174" i="26" s="1"/>
  <c r="J174" i="3"/>
  <c r="G27" i="2" s="1"/>
  <c r="K231" i="3"/>
  <c r="H37" i="2" s="1"/>
  <c r="L176" i="2"/>
  <c r="M177" i="26" s="1"/>
  <c r="I176" i="2"/>
  <c r="K176" i="2" s="1"/>
  <c r="J518" i="3"/>
  <c r="G166" i="2" s="1"/>
  <c r="L166" i="2" s="1"/>
  <c r="M167" i="26" s="1"/>
  <c r="K124" i="3"/>
  <c r="H20" i="2" s="1"/>
  <c r="E131" i="5"/>
  <c r="J131" i="5" s="1"/>
  <c r="L131" i="5" s="1"/>
  <c r="N131" i="5" s="1"/>
  <c r="N131" i="2"/>
  <c r="K214" i="3"/>
  <c r="H36" i="2" s="1"/>
  <c r="L178" i="5"/>
  <c r="N178" i="5" s="1"/>
  <c r="K87" i="3"/>
  <c r="K539" i="3"/>
  <c r="H168" i="2" s="1"/>
  <c r="J166" i="3"/>
  <c r="G25" i="2" s="1"/>
  <c r="K182" i="3"/>
  <c r="H28" i="2" s="1"/>
  <c r="J247" i="3"/>
  <c r="G40" i="2" s="1"/>
  <c r="J182" i="3"/>
  <c r="G28" i="2" s="1"/>
  <c r="J120" i="5"/>
  <c r="L120" i="5" s="1"/>
  <c r="N120" i="5" s="1"/>
  <c r="J475" i="3"/>
  <c r="J239" i="3"/>
  <c r="G38" i="2" s="1"/>
  <c r="N82" i="2"/>
  <c r="E82" i="5"/>
  <c r="F82" i="5" s="1"/>
  <c r="N82" i="5" s="1"/>
  <c r="N47" i="2"/>
  <c r="E47" i="5"/>
  <c r="F47" i="5" s="1"/>
  <c r="N47" i="5" s="1"/>
  <c r="K499" i="3"/>
  <c r="H173" i="2" s="1"/>
  <c r="J124" i="3"/>
  <c r="G20" i="2" s="1"/>
  <c r="J87" i="3"/>
  <c r="J198" i="3"/>
  <c r="G32" i="2" s="1"/>
  <c r="J550" i="3"/>
  <c r="G169" i="2" s="1"/>
  <c r="K561" i="3"/>
  <c r="H170" i="2" s="1"/>
  <c r="K198" i="3"/>
  <c r="H32" i="2" s="1"/>
  <c r="H114" i="2"/>
  <c r="H185" i="2"/>
  <c r="J572" i="3"/>
  <c r="G171" i="2" s="1"/>
  <c r="J561" i="3"/>
  <c r="G170" i="2" s="1"/>
  <c r="G114" i="2"/>
  <c r="G185" i="2"/>
  <c r="N87" i="2"/>
  <c r="E87" i="5"/>
  <c r="F87" i="5" s="1"/>
  <c r="N87" i="5" s="1"/>
  <c r="L123" i="5"/>
  <c r="N123" i="5" s="1"/>
  <c r="J190" i="3"/>
  <c r="G30" i="2" s="1"/>
  <c r="L179" i="5"/>
  <c r="N179" i="5" s="1"/>
  <c r="I172" i="2"/>
  <c r="K172" i="2" s="1"/>
  <c r="L172" i="2"/>
  <c r="M173" i="26" s="1"/>
  <c r="K190" i="3"/>
  <c r="H30" i="2" s="1"/>
  <c r="J143" i="5"/>
  <c r="L143" i="5" s="1"/>
  <c r="N143" i="5" s="1"/>
  <c r="K174" i="3"/>
  <c r="H27" i="2" s="1"/>
  <c r="N81" i="2"/>
  <c r="E81" i="5"/>
  <c r="F81" i="5" s="1"/>
  <c r="N81" i="5" s="1"/>
  <c r="K145" i="3"/>
  <c r="J231" i="3"/>
  <c r="G37" i="2" s="1"/>
  <c r="N92" i="2"/>
  <c r="E92" i="5"/>
  <c r="F92" i="5" s="1"/>
  <c r="N92" i="5" s="1"/>
  <c r="N88" i="2"/>
  <c r="E88" i="5"/>
  <c r="F88" i="5" s="1"/>
  <c r="N88" i="5" s="1"/>
  <c r="K364" i="3"/>
  <c r="H160" i="2" s="1"/>
  <c r="K528" i="3"/>
  <c r="H167" i="2" s="1"/>
  <c r="K332" i="3"/>
  <c r="K353" i="3"/>
  <c r="H159" i="2" s="1"/>
  <c r="O105" i="5"/>
  <c r="K125" i="5"/>
  <c r="M125" i="5" s="1"/>
  <c r="O125" i="5" s="1"/>
  <c r="N121" i="5"/>
  <c r="L124" i="5"/>
  <c r="N124" i="5" s="1"/>
  <c r="L43" i="5"/>
  <c r="N43" i="5" s="1"/>
  <c r="L134" i="5"/>
  <c r="N134" i="5" s="1"/>
  <c r="H101" i="5"/>
  <c r="J101" i="5" s="1"/>
  <c r="J104" i="5"/>
  <c r="L104" i="5" s="1"/>
  <c r="N104" i="5" s="1"/>
  <c r="E192" i="5"/>
  <c r="L192" i="5" s="1"/>
  <c r="N192" i="5" s="1"/>
  <c r="K101" i="5"/>
  <c r="O101" i="5" s="1"/>
  <c r="K158" i="5"/>
  <c r="M158" i="5" s="1"/>
  <c r="O158" i="5" s="1"/>
  <c r="K146" i="5"/>
  <c r="K159" i="5"/>
  <c r="K160" i="5"/>
  <c r="M160" i="5" s="1"/>
  <c r="O160" i="5" s="1"/>
  <c r="K116" i="5"/>
  <c r="M116" i="5" s="1"/>
  <c r="K145" i="5"/>
  <c r="M145" i="5" s="1"/>
  <c r="O145" i="5" s="1"/>
  <c r="K156" i="5"/>
  <c r="K161" i="5"/>
  <c r="K144" i="5"/>
  <c r="M144" i="5" s="1"/>
  <c r="O144" i="5" s="1"/>
  <c r="G46" i="2"/>
  <c r="L46" i="2" s="1"/>
  <c r="M47" i="26" s="1"/>
  <c r="G191" i="2"/>
  <c r="N99" i="5"/>
  <c r="H113" i="2"/>
  <c r="I113" i="2" s="1"/>
  <c r="K113" i="2" s="1"/>
  <c r="H184" i="2"/>
  <c r="I184" i="2" s="1"/>
  <c r="K184" i="2" s="1"/>
  <c r="H102" i="5"/>
  <c r="J102" i="5" s="1"/>
  <c r="K108" i="5"/>
  <c r="M108" i="5" s="1"/>
  <c r="K118" i="5"/>
  <c r="J122" i="5"/>
  <c r="L122" i="5" s="1"/>
  <c r="J109" i="5"/>
  <c r="L109" i="5" s="1"/>
  <c r="C117" i="5"/>
  <c r="M57" i="2"/>
  <c r="L58" i="26" s="1"/>
  <c r="M109" i="2"/>
  <c r="L110" i="26" s="1"/>
  <c r="N107" i="2"/>
  <c r="E107" i="5"/>
  <c r="M122" i="2"/>
  <c r="L123" i="26" s="1"/>
  <c r="N180" i="2"/>
  <c r="E180" i="5"/>
  <c r="M164" i="2"/>
  <c r="L165" i="26" s="1"/>
  <c r="M56" i="2"/>
  <c r="L57" i="26" s="1"/>
  <c r="M124" i="2"/>
  <c r="L125" i="26" s="1"/>
  <c r="M105" i="2"/>
  <c r="L106" i="26" s="1"/>
  <c r="J152" i="5"/>
  <c r="L152" i="5" s="1"/>
  <c r="J138" i="5"/>
  <c r="L138" i="5" s="1"/>
  <c r="J140" i="5"/>
  <c r="L140" i="5" s="1"/>
  <c r="N163" i="5"/>
  <c r="J154" i="5"/>
  <c r="L154" i="5" s="1"/>
  <c r="J153" i="5"/>
  <c r="L153" i="5" s="1"/>
  <c r="J155" i="5"/>
  <c r="L155" i="5" s="1"/>
  <c r="N148" i="2"/>
  <c r="E148" i="5"/>
  <c r="H111" i="2"/>
  <c r="K58" i="3"/>
  <c r="H165" i="2"/>
  <c r="H161" i="2"/>
  <c r="H108" i="2"/>
  <c r="H16" i="2"/>
  <c r="I16" i="2" s="1"/>
  <c r="K16" i="2" s="1"/>
  <c r="H181" i="2"/>
  <c r="I181" i="2" s="1"/>
  <c r="K181" i="2" s="1"/>
  <c r="H110" i="2"/>
  <c r="I110" i="2" s="1"/>
  <c r="K110" i="2" s="1"/>
  <c r="J342" i="3"/>
  <c r="G158" i="2" s="1"/>
  <c r="L158" i="2" s="1"/>
  <c r="M159" i="26" s="1"/>
  <c r="M136" i="2"/>
  <c r="L137" i="26" s="1"/>
  <c r="I91" i="2"/>
  <c r="K91" i="2" s="1"/>
  <c r="M116" i="2"/>
  <c r="L117" i="26" s="1"/>
  <c r="J364" i="3"/>
  <c r="G160" i="2" s="1"/>
  <c r="L12" i="2"/>
  <c r="M13" i="26" s="1"/>
  <c r="I12" i="2"/>
  <c r="K12" i="2" s="1"/>
  <c r="M144" i="2"/>
  <c r="L145" i="26" s="1"/>
  <c r="N135" i="2"/>
  <c r="L135" i="2"/>
  <c r="M136" i="26" s="1"/>
  <c r="N117" i="2"/>
  <c r="L117" i="2"/>
  <c r="M118" i="26" s="1"/>
  <c r="K9" i="3"/>
  <c r="H11" i="2" s="1"/>
  <c r="I11" i="2" s="1"/>
  <c r="K11" i="2" s="1"/>
  <c r="J353" i="3"/>
  <c r="G159" i="2" s="1"/>
  <c r="J439" i="3"/>
  <c r="G111" i="2" s="1"/>
  <c r="J58" i="3"/>
  <c r="N192" i="2"/>
  <c r="J375" i="3"/>
  <c r="G161" i="2" s="1"/>
  <c r="M94" i="2"/>
  <c r="L95" i="26" s="1"/>
  <c r="M125" i="2"/>
  <c r="L126" i="26" s="1"/>
  <c r="L16" i="2"/>
  <c r="M17" i="26" s="1"/>
  <c r="J332" i="3"/>
  <c r="G142" i="2" s="1"/>
  <c r="L142" i="2" s="1"/>
  <c r="M143" i="26" s="1"/>
  <c r="E149" i="5"/>
  <c r="N149" i="2"/>
  <c r="M145" i="2"/>
  <c r="L146" i="26" s="1"/>
  <c r="N42" i="2"/>
  <c r="E42" i="5"/>
  <c r="M134" i="2"/>
  <c r="L135" i="26" s="1"/>
  <c r="N118" i="2"/>
  <c r="L118" i="2"/>
  <c r="M119" i="26" s="1"/>
  <c r="M156" i="2"/>
  <c r="L157" i="26" s="1"/>
  <c r="M141" i="5"/>
  <c r="O141" i="5" s="1"/>
  <c r="J139" i="5"/>
  <c r="L139" i="5" s="1"/>
  <c r="C95" i="5"/>
  <c r="N95" i="2"/>
  <c r="L95" i="2"/>
  <c r="M96" i="26" s="1"/>
  <c r="M148" i="5"/>
  <c r="O148" i="5" s="1"/>
  <c r="C96" i="5"/>
  <c r="G96" i="5" s="1"/>
  <c r="O96" i="5" s="1"/>
  <c r="N96" i="2"/>
  <c r="L96" i="2"/>
  <c r="M97" i="26" s="1"/>
  <c r="I189" i="2"/>
  <c r="K189" i="2" s="1"/>
  <c r="L189" i="2"/>
  <c r="M190" i="26" s="1"/>
  <c r="M139" i="5"/>
  <c r="O139" i="5" s="1"/>
  <c r="I52" i="2"/>
  <c r="K52" i="2" s="1"/>
  <c r="L52" i="2"/>
  <c r="M53" i="26" s="1"/>
  <c r="L11" i="2"/>
  <c r="M12" i="26" s="1"/>
  <c r="M153" i="5"/>
  <c r="O153" i="5" s="1"/>
  <c r="M151" i="5"/>
  <c r="O151" i="5" s="1"/>
  <c r="M154" i="5"/>
  <c r="O154" i="5" s="1"/>
  <c r="L115" i="2"/>
  <c r="M116" i="26" s="1"/>
  <c r="I115" i="2"/>
  <c r="K115" i="2" s="1"/>
  <c r="I15" i="2"/>
  <c r="K15" i="2" s="1"/>
  <c r="L15" i="2"/>
  <c r="M16" i="26" s="1"/>
  <c r="M149" i="5"/>
  <c r="O149" i="5" s="1"/>
  <c r="M152" i="5"/>
  <c r="O152" i="5" s="1"/>
  <c r="E14" i="5"/>
  <c r="L14" i="5" s="1"/>
  <c r="N14" i="5" s="1"/>
  <c r="N14" i="2"/>
  <c r="M138" i="5"/>
  <c r="O138" i="5" s="1"/>
  <c r="L50" i="2"/>
  <c r="M51" i="26" s="1"/>
  <c r="I50" i="2"/>
  <c r="K50" i="2" s="1"/>
  <c r="M142" i="5"/>
  <c r="O142" i="5" s="1"/>
  <c r="G165" i="2"/>
  <c r="I150" i="2"/>
  <c r="K150" i="2" s="1"/>
  <c r="L150" i="2"/>
  <c r="M151" i="26" s="1"/>
  <c r="M150" i="5"/>
  <c r="O150" i="5" s="1"/>
  <c r="I49" i="2"/>
  <c r="K49" i="2" s="1"/>
  <c r="L49" i="2"/>
  <c r="M50" i="26" s="1"/>
  <c r="M155" i="5"/>
  <c r="O155" i="5" s="1"/>
  <c r="E141" i="5"/>
  <c r="N141" i="2"/>
  <c r="G167" i="2"/>
  <c r="C98" i="5"/>
  <c r="L98" i="2"/>
  <c r="M99" i="26" s="1"/>
  <c r="N98" i="2"/>
  <c r="M140" i="5"/>
  <c r="O140" i="5" s="1"/>
  <c r="L58" i="2"/>
  <c r="M59" i="26" s="1"/>
  <c r="I58" i="2"/>
  <c r="K58" i="2" s="1"/>
  <c r="M146" i="2"/>
  <c r="L147" i="26" s="1"/>
  <c r="G175" i="2"/>
  <c r="G92" i="26" l="1"/>
  <c r="H92" i="26" s="1"/>
  <c r="J92" i="25"/>
  <c r="K92" i="25" s="1"/>
  <c r="N130" i="2"/>
  <c r="M130" i="2" s="1"/>
  <c r="L131" i="26" s="1"/>
  <c r="G131" i="26"/>
  <c r="H131" i="26" s="1"/>
  <c r="J131" i="25"/>
  <c r="K131" i="25" s="1"/>
  <c r="E130" i="5"/>
  <c r="J130" i="5" s="1"/>
  <c r="L130" i="5" s="1"/>
  <c r="N130" i="5" s="1"/>
  <c r="J178" i="25"/>
  <c r="K178" i="25" s="1"/>
  <c r="G178" i="26"/>
  <c r="H178" i="26" s="1"/>
  <c r="G50" i="26"/>
  <c r="H50" i="26" s="1"/>
  <c r="J50" i="25"/>
  <c r="K50" i="25" s="1"/>
  <c r="G114" i="26"/>
  <c r="H114" i="26" s="1"/>
  <c r="J114" i="25"/>
  <c r="K114" i="25" s="1"/>
  <c r="E51" i="5"/>
  <c r="F51" i="5" s="1"/>
  <c r="N51" i="5" s="1"/>
  <c r="G52" i="26"/>
  <c r="H52" i="26" s="1"/>
  <c r="J52" i="25"/>
  <c r="K52" i="25" s="1"/>
  <c r="E151" i="5"/>
  <c r="J151" i="5" s="1"/>
  <c r="L151" i="5" s="1"/>
  <c r="J152" i="25"/>
  <c r="K152" i="25" s="1"/>
  <c r="G152" i="26"/>
  <c r="H152" i="26" s="1"/>
  <c r="G185" i="26"/>
  <c r="H185" i="26" s="1"/>
  <c r="J185" i="25"/>
  <c r="K185" i="25" s="1"/>
  <c r="G13" i="26"/>
  <c r="H13" i="26" s="1"/>
  <c r="J13" i="25"/>
  <c r="K13" i="25" s="1"/>
  <c r="G53" i="26"/>
  <c r="H53" i="26" s="1"/>
  <c r="J53" i="25"/>
  <c r="K53" i="25" s="1"/>
  <c r="J111" i="25"/>
  <c r="K111" i="25" s="1"/>
  <c r="G111" i="26"/>
  <c r="H111" i="26" s="1"/>
  <c r="G59" i="26"/>
  <c r="H59" i="26" s="1"/>
  <c r="J59" i="25"/>
  <c r="K59" i="25" s="1"/>
  <c r="J173" i="25"/>
  <c r="K173" i="25" s="1"/>
  <c r="G173" i="26"/>
  <c r="H173" i="26" s="1"/>
  <c r="G190" i="26"/>
  <c r="H190" i="26" s="1"/>
  <c r="J190" i="25"/>
  <c r="K190" i="25" s="1"/>
  <c r="J51" i="25"/>
  <c r="K51" i="25" s="1"/>
  <c r="G51" i="26"/>
  <c r="H51" i="26" s="1"/>
  <c r="G177" i="26"/>
  <c r="H177" i="26" s="1"/>
  <c r="J177" i="25"/>
  <c r="K177" i="25" s="1"/>
  <c r="J182" i="25"/>
  <c r="K182" i="25" s="1"/>
  <c r="G182" i="26"/>
  <c r="H182" i="26" s="1"/>
  <c r="G17" i="26"/>
  <c r="H17" i="26" s="1"/>
  <c r="J17" i="25"/>
  <c r="K17" i="25" s="1"/>
  <c r="G16" i="26"/>
  <c r="H16" i="26" s="1"/>
  <c r="J16" i="25"/>
  <c r="K16" i="25" s="1"/>
  <c r="J151" i="25"/>
  <c r="K151" i="25" s="1"/>
  <c r="G151" i="26"/>
  <c r="H151" i="26" s="1"/>
  <c r="G116" i="26"/>
  <c r="H116" i="26" s="1"/>
  <c r="J116" i="25"/>
  <c r="K116" i="25" s="1"/>
  <c r="N151" i="2"/>
  <c r="M151" i="2" s="1"/>
  <c r="L152" i="26" s="1"/>
  <c r="M86" i="2"/>
  <c r="L87" i="26" s="1"/>
  <c r="M79" i="2"/>
  <c r="L80" i="26" s="1"/>
  <c r="M82" i="2"/>
  <c r="L83" i="26" s="1"/>
  <c r="M83" i="2"/>
  <c r="L84" i="26" s="1"/>
  <c r="M123" i="2"/>
  <c r="L124" i="26" s="1"/>
  <c r="M88" i="2"/>
  <c r="L89" i="26" s="1"/>
  <c r="M72" i="2"/>
  <c r="L73" i="26" s="1"/>
  <c r="M54" i="2"/>
  <c r="L55" i="26" s="1"/>
  <c r="M80" i="2"/>
  <c r="L81" i="26" s="1"/>
  <c r="M62" i="2"/>
  <c r="L63" i="26" s="1"/>
  <c r="M92" i="2"/>
  <c r="L93" i="26" s="1"/>
  <c r="M131" i="2"/>
  <c r="L132" i="26" s="1"/>
  <c r="M47" i="2"/>
  <c r="L48" i="26" s="1"/>
  <c r="M87" i="2"/>
  <c r="L88" i="26" s="1"/>
  <c r="M81" i="2"/>
  <c r="L82" i="26" s="1"/>
  <c r="M75" i="2"/>
  <c r="L76" i="26" s="1"/>
  <c r="I34" i="2"/>
  <c r="K34" i="2" s="1"/>
  <c r="I108" i="2"/>
  <c r="K108" i="2" s="1"/>
  <c r="G112" i="2"/>
  <c r="L112" i="2" s="1"/>
  <c r="M113" i="26" s="1"/>
  <c r="G29" i="2"/>
  <c r="L29" i="2" s="1"/>
  <c r="M30" i="26" s="1"/>
  <c r="G26" i="2"/>
  <c r="L26" i="2" s="1"/>
  <c r="M27" i="26" s="1"/>
  <c r="N51" i="2"/>
  <c r="H26" i="2"/>
  <c r="J125" i="5"/>
  <c r="L125" i="5" s="1"/>
  <c r="N125" i="5" s="1"/>
  <c r="H183" i="2"/>
  <c r="I183" i="2" s="1"/>
  <c r="K183" i="2" s="1"/>
  <c r="I21" i="2"/>
  <c r="K21" i="2" s="1"/>
  <c r="I168" i="2"/>
  <c r="K168" i="2" s="1"/>
  <c r="I36" i="2"/>
  <c r="K36" i="2" s="1"/>
  <c r="I23" i="2"/>
  <c r="K23" i="2" s="1"/>
  <c r="I173" i="2"/>
  <c r="K173" i="2" s="1"/>
  <c r="I27" i="2"/>
  <c r="K27" i="2" s="1"/>
  <c r="I133" i="2"/>
  <c r="K133" i="2" s="1"/>
  <c r="L27" i="2"/>
  <c r="M28" i="26" s="1"/>
  <c r="L170" i="2"/>
  <c r="M171" i="26" s="1"/>
  <c r="I170" i="2"/>
  <c r="K170" i="2" s="1"/>
  <c r="I171" i="2"/>
  <c r="K171" i="2" s="1"/>
  <c r="L171" i="2"/>
  <c r="M172" i="26" s="1"/>
  <c r="L22" i="2"/>
  <c r="M23" i="26" s="1"/>
  <c r="I166" i="2"/>
  <c r="K166" i="2" s="1"/>
  <c r="L38" i="2"/>
  <c r="M39" i="26" s="1"/>
  <c r="I38" i="2"/>
  <c r="K38" i="2" s="1"/>
  <c r="E172" i="5"/>
  <c r="J172" i="5" s="1"/>
  <c r="N172" i="5" s="1"/>
  <c r="N172" i="2"/>
  <c r="I169" i="2"/>
  <c r="K169" i="2" s="1"/>
  <c r="L169" i="2"/>
  <c r="M170" i="26" s="1"/>
  <c r="L19" i="2"/>
  <c r="M20" i="26" s="1"/>
  <c r="I19" i="2"/>
  <c r="K19" i="2" s="1"/>
  <c r="L30" i="2"/>
  <c r="M31" i="26" s="1"/>
  <c r="I30" i="2"/>
  <c r="K30" i="2" s="1"/>
  <c r="L32" i="2"/>
  <c r="M33" i="26" s="1"/>
  <c r="I32" i="2"/>
  <c r="K32" i="2" s="1"/>
  <c r="L28" i="2"/>
  <c r="M29" i="26" s="1"/>
  <c r="I28" i="2"/>
  <c r="K28" i="2" s="1"/>
  <c r="L40" i="2"/>
  <c r="M41" i="26" s="1"/>
  <c r="I40" i="2"/>
  <c r="K40" i="2" s="1"/>
  <c r="I20" i="2"/>
  <c r="K20" i="2" s="1"/>
  <c r="L20" i="2"/>
  <c r="M21" i="26" s="1"/>
  <c r="L25" i="2"/>
  <c r="M26" i="26" s="1"/>
  <c r="I25" i="2"/>
  <c r="K25" i="2" s="1"/>
  <c r="N176" i="2"/>
  <c r="E176" i="5"/>
  <c r="J176" i="5" s="1"/>
  <c r="L37" i="2"/>
  <c r="M38" i="26" s="1"/>
  <c r="I37" i="2"/>
  <c r="K37" i="2" s="1"/>
  <c r="H29" i="2"/>
  <c r="H22" i="2"/>
  <c r="I22" i="2" s="1"/>
  <c r="K22" i="2" s="1"/>
  <c r="L185" i="2"/>
  <c r="M186" i="26" s="1"/>
  <c r="I185" i="2"/>
  <c r="K185" i="2" s="1"/>
  <c r="L114" i="2"/>
  <c r="M115" i="26" s="1"/>
  <c r="I114" i="2"/>
  <c r="K114" i="2" s="1"/>
  <c r="G95" i="5"/>
  <c r="O95" i="5" s="1"/>
  <c r="E177" i="5"/>
  <c r="J177" i="5" s="1"/>
  <c r="L177" i="5" s="1"/>
  <c r="N101" i="5"/>
  <c r="E16" i="5"/>
  <c r="J16" i="5" s="1"/>
  <c r="E115" i="5"/>
  <c r="J115" i="5" s="1"/>
  <c r="L115" i="5" s="1"/>
  <c r="E52" i="5"/>
  <c r="F52" i="5" s="1"/>
  <c r="N52" i="5" s="1"/>
  <c r="J144" i="5"/>
  <c r="L144" i="5" s="1"/>
  <c r="J116" i="5"/>
  <c r="L116" i="5" s="1"/>
  <c r="N116" i="5" s="1"/>
  <c r="N105" i="5"/>
  <c r="I46" i="2"/>
  <c r="K46" i="2" s="1"/>
  <c r="J145" i="5"/>
  <c r="L145" i="5" s="1"/>
  <c r="J148" i="5"/>
  <c r="L148" i="5" s="1"/>
  <c r="N148" i="5" s="1"/>
  <c r="J149" i="5"/>
  <c r="L149" i="5" s="1"/>
  <c r="N149" i="5" s="1"/>
  <c r="K117" i="5"/>
  <c r="M117" i="5" s="1"/>
  <c r="I98" i="5"/>
  <c r="K98" i="5" s="1"/>
  <c r="L191" i="2"/>
  <c r="M192" i="26" s="1"/>
  <c r="I191" i="2"/>
  <c r="K191" i="2" s="1"/>
  <c r="N184" i="2"/>
  <c r="E184" i="5"/>
  <c r="N113" i="2"/>
  <c r="E113" i="5"/>
  <c r="N102" i="5"/>
  <c r="M180" i="2"/>
  <c r="L181" i="26" s="1"/>
  <c r="F96" i="5"/>
  <c r="N96" i="5" s="1"/>
  <c r="O116" i="5"/>
  <c r="N109" i="5"/>
  <c r="N122" i="5"/>
  <c r="J107" i="5"/>
  <c r="L107" i="5" s="1"/>
  <c r="M118" i="5"/>
  <c r="J118" i="5"/>
  <c r="L118" i="5" s="1"/>
  <c r="O108" i="5"/>
  <c r="N110" i="2"/>
  <c r="E110" i="5"/>
  <c r="M107" i="2"/>
  <c r="L108" i="26" s="1"/>
  <c r="M141" i="2"/>
  <c r="L142" i="26" s="1"/>
  <c r="M14" i="2"/>
  <c r="L15" i="26" s="1"/>
  <c r="M42" i="2"/>
  <c r="L43" i="26" s="1"/>
  <c r="J180" i="5"/>
  <c r="L180" i="5" s="1"/>
  <c r="M192" i="2"/>
  <c r="L193" i="26" s="1"/>
  <c r="M148" i="2"/>
  <c r="L149" i="26" s="1"/>
  <c r="E91" i="5"/>
  <c r="F91" i="5" s="1"/>
  <c r="N91" i="5" s="1"/>
  <c r="M149" i="2"/>
  <c r="L150" i="26" s="1"/>
  <c r="N181" i="2"/>
  <c r="E181" i="5"/>
  <c r="N12" i="2"/>
  <c r="E12" i="5"/>
  <c r="J156" i="5"/>
  <c r="L156" i="5" s="1"/>
  <c r="H182" i="2"/>
  <c r="I161" i="2"/>
  <c r="K161" i="2" s="1"/>
  <c r="I159" i="2"/>
  <c r="K159" i="2" s="1"/>
  <c r="I158" i="2"/>
  <c r="K158" i="2" s="1"/>
  <c r="L111" i="2"/>
  <c r="M112" i="26" s="1"/>
  <c r="I111" i="2"/>
  <c r="K111" i="2" s="1"/>
  <c r="I160" i="2"/>
  <c r="K160" i="2" s="1"/>
  <c r="G182" i="2"/>
  <c r="L160" i="2"/>
  <c r="M161" i="26" s="1"/>
  <c r="M135" i="2"/>
  <c r="L136" i="26" s="1"/>
  <c r="G45" i="2"/>
  <c r="L45" i="2" s="1"/>
  <c r="M46" i="26" s="1"/>
  <c r="G190" i="2"/>
  <c r="L190" i="2" s="1"/>
  <c r="M191" i="26" s="1"/>
  <c r="M117" i="2"/>
  <c r="L118" i="26" s="1"/>
  <c r="H45" i="2"/>
  <c r="H190" i="2"/>
  <c r="H142" i="2"/>
  <c r="I142" i="2" s="1"/>
  <c r="K142" i="2" s="1"/>
  <c r="N16" i="2"/>
  <c r="L177" i="2"/>
  <c r="M178" i="26" s="1"/>
  <c r="L159" i="2"/>
  <c r="M160" i="26" s="1"/>
  <c r="L161" i="2"/>
  <c r="M162" i="26" s="1"/>
  <c r="N91" i="2"/>
  <c r="J42" i="5"/>
  <c r="H42" i="5"/>
  <c r="F42" i="5"/>
  <c r="M96" i="2"/>
  <c r="L97" i="26" s="1"/>
  <c r="M118" i="2"/>
  <c r="L119" i="26" s="1"/>
  <c r="M98" i="2"/>
  <c r="L99" i="26" s="1"/>
  <c r="E49" i="5"/>
  <c r="F49" i="5" s="1"/>
  <c r="N49" i="5" s="1"/>
  <c r="N49" i="2"/>
  <c r="N139" i="5"/>
  <c r="M156" i="5"/>
  <c r="O156" i="5" s="1"/>
  <c r="I167" i="2"/>
  <c r="K167" i="2" s="1"/>
  <c r="L167" i="2"/>
  <c r="M168" i="26" s="1"/>
  <c r="N152" i="5"/>
  <c r="E189" i="5"/>
  <c r="N189" i="2"/>
  <c r="E50" i="5"/>
  <c r="N50" i="2"/>
  <c r="N153" i="5"/>
  <c r="M95" i="2"/>
  <c r="L96" i="26" s="1"/>
  <c r="M159" i="5"/>
  <c r="O159" i="5" s="1"/>
  <c r="E15" i="5"/>
  <c r="L15" i="5" s="1"/>
  <c r="N15" i="5" s="1"/>
  <c r="N15" i="2"/>
  <c r="J141" i="5"/>
  <c r="L141" i="5" s="1"/>
  <c r="I175" i="2"/>
  <c r="K175" i="2" s="1"/>
  <c r="L175" i="2"/>
  <c r="M176" i="26" s="1"/>
  <c r="N138" i="5"/>
  <c r="N115" i="2"/>
  <c r="E58" i="5"/>
  <c r="F58" i="5" s="1"/>
  <c r="N58" i="5" s="1"/>
  <c r="N58" i="2"/>
  <c r="G12" i="26"/>
  <c r="H12" i="26" s="1"/>
  <c r="J12" i="25"/>
  <c r="E11" i="5"/>
  <c r="N11" i="2"/>
  <c r="N154" i="5"/>
  <c r="M161" i="5"/>
  <c r="O161" i="5" s="1"/>
  <c r="N155" i="5"/>
  <c r="N104" i="2"/>
  <c r="L104" i="2"/>
  <c r="M105" i="26" s="1"/>
  <c r="N99" i="2"/>
  <c r="L99" i="2"/>
  <c r="M100" i="26" s="1"/>
  <c r="N52" i="2"/>
  <c r="M146" i="5"/>
  <c r="O146" i="5" s="1"/>
  <c r="J146" i="5"/>
  <c r="L146" i="5" s="1"/>
  <c r="I165" i="2"/>
  <c r="K165" i="2" s="1"/>
  <c r="L165" i="2"/>
  <c r="M166" i="26" s="1"/>
  <c r="N140" i="5"/>
  <c r="E150" i="5"/>
  <c r="N150" i="2"/>
  <c r="N177" i="2"/>
  <c r="J26" i="25" l="1"/>
  <c r="K26" i="25" s="1"/>
  <c r="G26" i="26"/>
  <c r="H26" i="26" s="1"/>
  <c r="J171" i="25"/>
  <c r="K171" i="25" s="1"/>
  <c r="G171" i="26"/>
  <c r="H171" i="26" s="1"/>
  <c r="G47" i="26"/>
  <c r="H47" i="26" s="1"/>
  <c r="J47" i="25"/>
  <c r="K47" i="25" s="1"/>
  <c r="J35" i="25"/>
  <c r="K35" i="25" s="1"/>
  <c r="G35" i="26"/>
  <c r="H35" i="26" s="1"/>
  <c r="E108" i="5"/>
  <c r="J108" i="5" s="1"/>
  <c r="L108" i="5" s="1"/>
  <c r="J109" i="25"/>
  <c r="K109" i="25" s="1"/>
  <c r="G109" i="26"/>
  <c r="H109" i="26" s="1"/>
  <c r="J115" i="25"/>
  <c r="K115" i="25" s="1"/>
  <c r="G115" i="26"/>
  <c r="H115" i="26" s="1"/>
  <c r="G192" i="26"/>
  <c r="H192" i="26" s="1"/>
  <c r="J192" i="25"/>
  <c r="K192" i="25" s="1"/>
  <c r="G22" i="26"/>
  <c r="H22" i="26" s="1"/>
  <c r="J22" i="25"/>
  <c r="K22" i="25" s="1"/>
  <c r="J162" i="25"/>
  <c r="K162" i="25" s="1"/>
  <c r="G162" i="26"/>
  <c r="H162" i="26" s="1"/>
  <c r="J29" i="25"/>
  <c r="K29" i="25" s="1"/>
  <c r="G29" i="26"/>
  <c r="H29" i="26" s="1"/>
  <c r="J168" i="25"/>
  <c r="K168" i="25" s="1"/>
  <c r="G168" i="26"/>
  <c r="H168" i="26" s="1"/>
  <c r="J31" i="25"/>
  <c r="K31" i="25" s="1"/>
  <c r="G31" i="26"/>
  <c r="H31" i="26" s="1"/>
  <c r="J184" i="25"/>
  <c r="K184" i="25" s="1"/>
  <c r="G184" i="26"/>
  <c r="H184" i="26" s="1"/>
  <c r="G161" i="26"/>
  <c r="H161" i="26" s="1"/>
  <c r="J161" i="25"/>
  <c r="K161" i="25" s="1"/>
  <c r="J170" i="25"/>
  <c r="K170" i="25" s="1"/>
  <c r="G170" i="26"/>
  <c r="H170" i="26" s="1"/>
  <c r="G172" i="26"/>
  <c r="H172" i="26" s="1"/>
  <c r="J172" i="25"/>
  <c r="K172" i="25" s="1"/>
  <c r="G134" i="26"/>
  <c r="H134" i="26" s="1"/>
  <c r="J134" i="25"/>
  <c r="K134" i="25" s="1"/>
  <c r="G23" i="26"/>
  <c r="H23" i="26" s="1"/>
  <c r="J23" i="25"/>
  <c r="K23" i="25" s="1"/>
  <c r="G166" i="26"/>
  <c r="H166" i="26" s="1"/>
  <c r="J166" i="25"/>
  <c r="K166" i="25" s="1"/>
  <c r="G176" i="26"/>
  <c r="H176" i="26" s="1"/>
  <c r="J176" i="25"/>
  <c r="K176" i="25" s="1"/>
  <c r="G112" i="26"/>
  <c r="H112" i="26" s="1"/>
  <c r="J112" i="25"/>
  <c r="K112" i="25" s="1"/>
  <c r="J38" i="25"/>
  <c r="K38" i="25" s="1"/>
  <c r="G38" i="26"/>
  <c r="H38" i="26" s="1"/>
  <c r="N36" i="2"/>
  <c r="M36" i="2" s="1"/>
  <c r="L37" i="26" s="1"/>
  <c r="G37" i="26"/>
  <c r="H37" i="26" s="1"/>
  <c r="J37" i="25"/>
  <c r="K37" i="25" s="1"/>
  <c r="E168" i="5"/>
  <c r="J168" i="5" s="1"/>
  <c r="N168" i="5" s="1"/>
  <c r="J169" i="25"/>
  <c r="K169" i="25" s="1"/>
  <c r="G169" i="26"/>
  <c r="H169" i="26" s="1"/>
  <c r="G167" i="26"/>
  <c r="H167" i="26" s="1"/>
  <c r="J167" i="25"/>
  <c r="K167" i="25" s="1"/>
  <c r="J143" i="25"/>
  <c r="K143" i="25" s="1"/>
  <c r="G143" i="26"/>
  <c r="H143" i="26" s="1"/>
  <c r="J33" i="25"/>
  <c r="K33" i="25" s="1"/>
  <c r="G33" i="26"/>
  <c r="H33" i="26" s="1"/>
  <c r="J20" i="25"/>
  <c r="K20" i="25" s="1"/>
  <c r="G20" i="26"/>
  <c r="H20" i="26" s="1"/>
  <c r="G159" i="26"/>
  <c r="H159" i="26" s="1"/>
  <c r="J159" i="25"/>
  <c r="K159" i="25" s="1"/>
  <c r="G39" i="26"/>
  <c r="H39" i="26" s="1"/>
  <c r="J39" i="25"/>
  <c r="K39" i="25" s="1"/>
  <c r="G21" i="26"/>
  <c r="H21" i="26" s="1"/>
  <c r="J21" i="25"/>
  <c r="K21" i="25" s="1"/>
  <c r="J41" i="25"/>
  <c r="K41" i="25" s="1"/>
  <c r="G41" i="26"/>
  <c r="H41" i="26" s="1"/>
  <c r="E27" i="5"/>
  <c r="H27" i="5" s="1"/>
  <c r="N27" i="5" s="1"/>
  <c r="J28" i="25"/>
  <c r="K28" i="25" s="1"/>
  <c r="G28" i="26"/>
  <c r="H28" i="26" s="1"/>
  <c r="N173" i="2"/>
  <c r="M173" i="2" s="1"/>
  <c r="L174" i="26" s="1"/>
  <c r="G174" i="26"/>
  <c r="H174" i="26" s="1"/>
  <c r="J174" i="25"/>
  <c r="K174" i="25" s="1"/>
  <c r="N23" i="2"/>
  <c r="M23" i="2" s="1"/>
  <c r="L24" i="26" s="1"/>
  <c r="G24" i="26"/>
  <c r="H24" i="26" s="1"/>
  <c r="J24" i="25"/>
  <c r="K24" i="25" s="1"/>
  <c r="J186" i="25"/>
  <c r="K186" i="25" s="1"/>
  <c r="G186" i="26"/>
  <c r="H186" i="26" s="1"/>
  <c r="G160" i="26"/>
  <c r="H160" i="26" s="1"/>
  <c r="J160" i="25"/>
  <c r="K160" i="25" s="1"/>
  <c r="N21" i="2"/>
  <c r="M21" i="2" s="1"/>
  <c r="L22" i="26" s="1"/>
  <c r="N108" i="2"/>
  <c r="M108" i="2" s="1"/>
  <c r="L109" i="26" s="1"/>
  <c r="N34" i="2"/>
  <c r="M34" i="2" s="1"/>
  <c r="L35" i="26" s="1"/>
  <c r="E34" i="5"/>
  <c r="L34" i="5" s="1"/>
  <c r="N34" i="5" s="1"/>
  <c r="M51" i="2"/>
  <c r="L52" i="26" s="1"/>
  <c r="M172" i="2"/>
  <c r="L173" i="26" s="1"/>
  <c r="M12" i="2"/>
  <c r="L13" i="26" s="1"/>
  <c r="M176" i="2"/>
  <c r="L177" i="26" s="1"/>
  <c r="E23" i="5"/>
  <c r="F23" i="5" s="1"/>
  <c r="N23" i="5" s="1"/>
  <c r="E21" i="5"/>
  <c r="F21" i="5" s="1"/>
  <c r="N21" i="5" s="1"/>
  <c r="I112" i="2"/>
  <c r="K112" i="2" s="1"/>
  <c r="I26" i="2"/>
  <c r="K26" i="2" s="1"/>
  <c r="I29" i="2"/>
  <c r="K29" i="2" s="1"/>
  <c r="N168" i="2"/>
  <c r="N27" i="2"/>
  <c r="F50" i="5"/>
  <c r="J50" i="5"/>
  <c r="F95" i="5"/>
  <c r="N95" i="5" s="1"/>
  <c r="E36" i="5"/>
  <c r="L36" i="5" s="1"/>
  <c r="N36" i="5" s="1"/>
  <c r="E173" i="5"/>
  <c r="J173" i="5" s="1"/>
  <c r="N173" i="5" s="1"/>
  <c r="E166" i="5"/>
  <c r="J166" i="5" s="1"/>
  <c r="N166" i="5" s="1"/>
  <c r="N133" i="2"/>
  <c r="E133" i="5"/>
  <c r="J133" i="5" s="1"/>
  <c r="L133" i="5" s="1"/>
  <c r="N133" i="5" s="1"/>
  <c r="N166" i="2"/>
  <c r="N22" i="2"/>
  <c r="E22" i="5"/>
  <c r="F22" i="5" s="1"/>
  <c r="N22" i="5" s="1"/>
  <c r="N114" i="2"/>
  <c r="E114" i="5"/>
  <c r="J114" i="5" s="1"/>
  <c r="N20" i="2"/>
  <c r="E20" i="5"/>
  <c r="F20" i="5" s="1"/>
  <c r="N20" i="5" s="1"/>
  <c r="E185" i="5"/>
  <c r="J185" i="5" s="1"/>
  <c r="N185" i="2"/>
  <c r="N40" i="2"/>
  <c r="E40" i="5"/>
  <c r="N38" i="2"/>
  <c r="E38" i="5"/>
  <c r="L38" i="5" s="1"/>
  <c r="N38" i="5" s="1"/>
  <c r="N28" i="2"/>
  <c r="E28" i="5"/>
  <c r="H28" i="5" s="1"/>
  <c r="N28" i="5" s="1"/>
  <c r="E37" i="5"/>
  <c r="L37" i="5" s="1"/>
  <c r="N37" i="5" s="1"/>
  <c r="N37" i="2"/>
  <c r="N32" i="2"/>
  <c r="E32" i="5"/>
  <c r="L32" i="5" s="1"/>
  <c r="N32" i="5" s="1"/>
  <c r="L176" i="5"/>
  <c r="N176" i="5" s="1"/>
  <c r="E30" i="5"/>
  <c r="H30" i="5" s="1"/>
  <c r="N30" i="5" s="1"/>
  <c r="N30" i="2"/>
  <c r="N19" i="2"/>
  <c r="E19" i="5"/>
  <c r="F19" i="5" s="1"/>
  <c r="N19" i="5" s="1"/>
  <c r="N171" i="2"/>
  <c r="E171" i="5"/>
  <c r="J171" i="5" s="1"/>
  <c r="N171" i="5" s="1"/>
  <c r="E25" i="5"/>
  <c r="H25" i="5" s="1"/>
  <c r="N25" i="5" s="1"/>
  <c r="N25" i="2"/>
  <c r="N170" i="2"/>
  <c r="E170" i="5"/>
  <c r="J170" i="5" s="1"/>
  <c r="N170" i="5" s="1"/>
  <c r="N169" i="2"/>
  <c r="E169" i="5"/>
  <c r="J169" i="5" s="1"/>
  <c r="N169" i="5" s="1"/>
  <c r="N46" i="2"/>
  <c r="H16" i="5"/>
  <c r="F16" i="5"/>
  <c r="E161" i="5"/>
  <c r="J161" i="5" s="1"/>
  <c r="L161" i="5" s="1"/>
  <c r="E142" i="5"/>
  <c r="J142" i="5" s="1"/>
  <c r="L142" i="5" s="1"/>
  <c r="E165" i="5"/>
  <c r="J165" i="5" s="1"/>
  <c r="N165" i="5" s="1"/>
  <c r="E175" i="5"/>
  <c r="J175" i="5" s="1"/>
  <c r="L175" i="5" s="1"/>
  <c r="E167" i="5"/>
  <c r="J167" i="5" s="1"/>
  <c r="N167" i="5" s="1"/>
  <c r="N160" i="2"/>
  <c r="N144" i="5"/>
  <c r="N145" i="5"/>
  <c r="E46" i="5"/>
  <c r="F46" i="5" s="1"/>
  <c r="N46" i="5" s="1"/>
  <c r="E158" i="5"/>
  <c r="J158" i="5" s="1"/>
  <c r="L158" i="5" s="1"/>
  <c r="N159" i="2"/>
  <c r="J117" i="5"/>
  <c r="L117" i="5" s="1"/>
  <c r="L42" i="5"/>
  <c r="N42" i="5" s="1"/>
  <c r="H98" i="5"/>
  <c r="J98" i="5" s="1"/>
  <c r="N191" i="2"/>
  <c r="E191" i="5"/>
  <c r="L191" i="5" s="1"/>
  <c r="N191" i="5" s="1"/>
  <c r="N118" i="5"/>
  <c r="J113" i="5"/>
  <c r="L113" i="5" s="1"/>
  <c r="M113" i="2"/>
  <c r="L114" i="26" s="1"/>
  <c r="J184" i="5"/>
  <c r="L184" i="5" s="1"/>
  <c r="E159" i="5"/>
  <c r="M184" i="2"/>
  <c r="L185" i="26" s="1"/>
  <c r="O118" i="5"/>
  <c r="N158" i="2"/>
  <c r="N161" i="2"/>
  <c r="O117" i="5"/>
  <c r="N107" i="5"/>
  <c r="N115" i="5"/>
  <c r="J110" i="5"/>
  <c r="L110" i="5" s="1"/>
  <c r="M189" i="2"/>
  <c r="L190" i="26" s="1"/>
  <c r="M181" i="2"/>
  <c r="L182" i="26" s="1"/>
  <c r="N151" i="5"/>
  <c r="N177" i="5"/>
  <c r="M150" i="2"/>
  <c r="L151" i="26" s="1"/>
  <c r="M15" i="2"/>
  <c r="L16" i="26" s="1"/>
  <c r="J181" i="5"/>
  <c r="L181" i="5" s="1"/>
  <c r="M49" i="2"/>
  <c r="L50" i="26" s="1"/>
  <c r="M115" i="2"/>
  <c r="L116" i="26" s="1"/>
  <c r="M16" i="2"/>
  <c r="L17" i="26" s="1"/>
  <c r="M110" i="2"/>
  <c r="L111" i="26" s="1"/>
  <c r="M58" i="2"/>
  <c r="L59" i="26" s="1"/>
  <c r="N183" i="2"/>
  <c r="E183" i="5"/>
  <c r="N111" i="2"/>
  <c r="E111" i="5"/>
  <c r="M52" i="2"/>
  <c r="L53" i="26" s="1"/>
  <c r="M50" i="2"/>
  <c r="L51" i="26" s="1"/>
  <c r="M91" i="2"/>
  <c r="L92" i="26" s="1"/>
  <c r="N180" i="5"/>
  <c r="L189" i="5"/>
  <c r="N189" i="5" s="1"/>
  <c r="N141" i="5"/>
  <c r="E160" i="5"/>
  <c r="I45" i="2"/>
  <c r="K45" i="2" s="1"/>
  <c r="L182" i="2"/>
  <c r="M183" i="26" s="1"/>
  <c r="I182" i="2"/>
  <c r="K182" i="2" s="1"/>
  <c r="I190" i="2"/>
  <c r="K190" i="2" s="1"/>
  <c r="N142" i="2"/>
  <c r="M177" i="2"/>
  <c r="L178" i="26" s="1"/>
  <c r="M99" i="2"/>
  <c r="L100" i="26" s="1"/>
  <c r="N100" i="2"/>
  <c r="L100" i="2"/>
  <c r="M101" i="26" s="1"/>
  <c r="N156" i="5"/>
  <c r="M104" i="2"/>
  <c r="L105" i="26" s="1"/>
  <c r="N146" i="5"/>
  <c r="J150" i="5"/>
  <c r="L150" i="5" s="1"/>
  <c r="K12" i="25"/>
  <c r="B12" i="25" s="1"/>
  <c r="N167" i="2"/>
  <c r="N175" i="2"/>
  <c r="N101" i="2"/>
  <c r="L101" i="2"/>
  <c r="M102" i="26" s="1"/>
  <c r="N102" i="2"/>
  <c r="L102" i="2"/>
  <c r="M103" i="26" s="1"/>
  <c r="N165" i="2"/>
  <c r="M11" i="2"/>
  <c r="L12" i="26" s="1"/>
  <c r="N108" i="5" l="1"/>
  <c r="J191" i="25"/>
  <c r="K191" i="25" s="1"/>
  <c r="G191" i="26"/>
  <c r="H191" i="26" s="1"/>
  <c r="J30" i="25"/>
  <c r="K30" i="25" s="1"/>
  <c r="G30" i="26"/>
  <c r="H30" i="26" s="1"/>
  <c r="N112" i="2"/>
  <c r="M112" i="2" s="1"/>
  <c r="L113" i="26" s="1"/>
  <c r="G113" i="26"/>
  <c r="H113" i="26" s="1"/>
  <c r="J113" i="25"/>
  <c r="K113" i="25" s="1"/>
  <c r="J46" i="25"/>
  <c r="K46" i="25" s="1"/>
  <c r="G46" i="26"/>
  <c r="H46" i="26" s="1"/>
  <c r="E26" i="5"/>
  <c r="H26" i="5" s="1"/>
  <c r="N26" i="5" s="1"/>
  <c r="G27" i="26"/>
  <c r="H27" i="26" s="1"/>
  <c r="J27" i="25"/>
  <c r="K27" i="25" s="1"/>
  <c r="G183" i="26"/>
  <c r="H183" i="26" s="1"/>
  <c r="J183" i="25"/>
  <c r="K183" i="25" s="1"/>
  <c r="B13" i="25"/>
  <c r="N26" i="2"/>
  <c r="E112" i="5"/>
  <c r="J112" i="5" s="1"/>
  <c r="L112" i="5" s="1"/>
  <c r="M169" i="2"/>
  <c r="L170" i="26" s="1"/>
  <c r="M26" i="2"/>
  <c r="L27" i="26" s="1"/>
  <c r="M40" i="2"/>
  <c r="L41" i="26" s="1"/>
  <c r="M38" i="2"/>
  <c r="L39" i="26" s="1"/>
  <c r="M25" i="2"/>
  <c r="L26" i="26" s="1"/>
  <c r="M22" i="2"/>
  <c r="L23" i="26" s="1"/>
  <c r="M166" i="2"/>
  <c r="L167" i="26" s="1"/>
  <c r="M27" i="2"/>
  <c r="L28" i="26" s="1"/>
  <c r="M28" i="2"/>
  <c r="L29" i="26" s="1"/>
  <c r="M46" i="2"/>
  <c r="L47" i="26" s="1"/>
  <c r="M159" i="2"/>
  <c r="L160" i="26" s="1"/>
  <c r="M20" i="2"/>
  <c r="L21" i="26" s="1"/>
  <c r="M19" i="2"/>
  <c r="L20" i="26" s="1"/>
  <c r="M160" i="2"/>
  <c r="L161" i="26" s="1"/>
  <c r="M32" i="2"/>
  <c r="L33" i="26" s="1"/>
  <c r="M133" i="2"/>
  <c r="L134" i="26" s="1"/>
  <c r="M168" i="2"/>
  <c r="L169" i="26" s="1"/>
  <c r="M170" i="2"/>
  <c r="L171" i="26" s="1"/>
  <c r="M171" i="2"/>
  <c r="L172" i="26" s="1"/>
  <c r="M114" i="2"/>
  <c r="L115" i="26" s="1"/>
  <c r="M37" i="2"/>
  <c r="L38" i="26" s="1"/>
  <c r="M185" i="2"/>
  <c r="L186" i="26" s="1"/>
  <c r="M30" i="2"/>
  <c r="L31" i="26" s="1"/>
  <c r="E29" i="5"/>
  <c r="H29" i="5" s="1"/>
  <c r="N29" i="5" s="1"/>
  <c r="N29" i="2"/>
  <c r="N50" i="5"/>
  <c r="L185" i="5"/>
  <c r="N185" i="5" s="1"/>
  <c r="L40" i="5"/>
  <c r="H40" i="5"/>
  <c r="F40" i="5"/>
  <c r="L114" i="5"/>
  <c r="N114" i="5" s="1"/>
  <c r="L16" i="5"/>
  <c r="N16" i="5" s="1"/>
  <c r="N45" i="2"/>
  <c r="N117" i="5"/>
  <c r="J159" i="5"/>
  <c r="L159" i="5" s="1"/>
  <c r="N159" i="5" s="1"/>
  <c r="N184" i="5"/>
  <c r="M191" i="2"/>
  <c r="L192" i="26" s="1"/>
  <c r="M161" i="2"/>
  <c r="L162" i="26" s="1"/>
  <c r="N175" i="5"/>
  <c r="M158" i="2"/>
  <c r="L159" i="26" s="1"/>
  <c r="N113" i="5"/>
  <c r="N110" i="5"/>
  <c r="J111" i="5"/>
  <c r="L111" i="5" s="1"/>
  <c r="M183" i="2"/>
  <c r="L184" i="26" s="1"/>
  <c r="J183" i="5"/>
  <c r="L183" i="5" s="1"/>
  <c r="N181" i="5"/>
  <c r="M142" i="2"/>
  <c r="L143" i="26" s="1"/>
  <c r="N190" i="2"/>
  <c r="E190" i="5"/>
  <c r="L190" i="5" s="1"/>
  <c r="N190" i="5" s="1"/>
  <c r="M111" i="2"/>
  <c r="L112" i="26" s="1"/>
  <c r="N182" i="2"/>
  <c r="E182" i="5"/>
  <c r="M175" i="2"/>
  <c r="L176" i="26" s="1"/>
  <c r="M167" i="2"/>
  <c r="L168" i="26" s="1"/>
  <c r="M165" i="2"/>
  <c r="L166" i="26" s="1"/>
  <c r="N150" i="5"/>
  <c r="N142" i="5"/>
  <c r="N158" i="5"/>
  <c r="N161" i="5"/>
  <c r="J160" i="5"/>
  <c r="L160" i="5" s="1"/>
  <c r="E45" i="5"/>
  <c r="M100" i="2"/>
  <c r="L101" i="26" s="1"/>
  <c r="M101" i="2"/>
  <c r="L102" i="26" s="1"/>
  <c r="B12" i="26"/>
  <c r="O98" i="5"/>
  <c r="M102" i="2"/>
  <c r="L103" i="26" s="1"/>
  <c r="B14" i="25" l="1"/>
  <c r="B14" i="26" s="1"/>
  <c r="B13" i="26"/>
  <c r="M29" i="2"/>
  <c r="L30" i="26" s="1"/>
  <c r="N40" i="5"/>
  <c r="I11" i="5"/>
  <c r="I12" i="5" s="1"/>
  <c r="N193" i="2"/>
  <c r="C11" i="1" s="1"/>
  <c r="M45" i="2"/>
  <c r="L46" i="26" s="1"/>
  <c r="N183" i="5"/>
  <c r="F45" i="5"/>
  <c r="G11" i="5" s="1"/>
  <c r="M182" i="2"/>
  <c r="L183" i="26" s="1"/>
  <c r="N112" i="5"/>
  <c r="N111" i="5"/>
  <c r="J182" i="5"/>
  <c r="L182" i="5" s="1"/>
  <c r="M190" i="2"/>
  <c r="L191" i="26" s="1"/>
  <c r="N160" i="5"/>
  <c r="G13" i="24"/>
  <c r="N98" i="5"/>
  <c r="B15" i="25" l="1"/>
  <c r="B15" i="26" s="1"/>
  <c r="K11" i="5"/>
  <c r="K12" i="5" s="1"/>
  <c r="N45" i="5"/>
  <c r="N182" i="5"/>
  <c r="H11" i="5"/>
  <c r="B16" i="25" l="1"/>
  <c r="B16" i="26" s="1"/>
  <c r="G12" i="5"/>
  <c r="M11" i="5"/>
  <c r="M12" i="5" s="1"/>
  <c r="F11" i="5"/>
  <c r="J11" i="5"/>
  <c r="B17" i="25" l="1"/>
  <c r="B17" i="26" s="1"/>
  <c r="L11" i="5"/>
  <c r="O11" i="5"/>
  <c r="B20" i="25" l="1"/>
  <c r="B20" i="26" s="1"/>
  <c r="J12" i="5"/>
  <c r="N11" i="5"/>
  <c r="B21" i="25" l="1"/>
  <c r="B21" i="26"/>
  <c r="B22" i="25"/>
  <c r="J193" i="5"/>
  <c r="B23" i="25" l="1"/>
  <c r="B23" i="26" s="1"/>
  <c r="B22" i="26"/>
  <c r="F12" i="5"/>
  <c r="B24" i="25" l="1"/>
  <c r="B26" i="25" s="1"/>
  <c r="F193" i="5"/>
  <c r="B24" i="26" l="1"/>
  <c r="B27" i="25"/>
  <c r="B26" i="26"/>
  <c r="F195" i="5"/>
  <c r="B28" i="25" l="1"/>
  <c r="B27" i="26"/>
  <c r="H12" i="5"/>
  <c r="L12" i="5" s="1"/>
  <c r="B29" i="25" l="1"/>
  <c r="B28" i="26"/>
  <c r="H193" i="5"/>
  <c r="B30" i="25" l="1"/>
  <c r="B29" i="26"/>
  <c r="H195" i="5"/>
  <c r="B31" i="25" l="1"/>
  <c r="B30" i="26"/>
  <c r="J195" i="5"/>
  <c r="O12" i="5"/>
  <c r="N12" i="5"/>
  <c r="B33" i="25" l="1"/>
  <c r="B31" i="26"/>
  <c r="N193" i="5"/>
  <c r="J194" i="5" s="1"/>
  <c r="L193" i="5"/>
  <c r="B35" i="25" l="1"/>
  <c r="B33" i="26"/>
  <c r="H196" i="5"/>
  <c r="J196" i="5"/>
  <c r="H194" i="5"/>
  <c r="F194" i="5"/>
  <c r="F196" i="5"/>
  <c r="L194" i="5"/>
  <c r="L195" i="5"/>
  <c r="L196" i="5" s="1"/>
  <c r="B37" i="25" l="1"/>
  <c r="B35" i="26"/>
  <c r="B38" i="25" l="1"/>
  <c r="B37" i="26"/>
  <c r="B39" i="25" l="1"/>
  <c r="B38" i="26"/>
  <c r="B41" i="25" l="1"/>
  <c r="B39" i="26"/>
  <c r="B43" i="25" l="1"/>
  <c r="B41" i="26"/>
  <c r="B44" i="25" l="1"/>
  <c r="B43" i="26"/>
  <c r="B46" i="25" l="1"/>
  <c r="B44" i="26"/>
  <c r="B47" i="25" l="1"/>
  <c r="B46" i="26"/>
  <c r="B48" i="25" l="1"/>
  <c r="B47" i="26"/>
  <c r="B50" i="25" l="1"/>
  <c r="B48" i="26"/>
  <c r="B51" i="25" l="1"/>
  <c r="B50" i="26"/>
  <c r="B52" i="25" l="1"/>
  <c r="B51" i="26"/>
  <c r="B53" i="25" l="1"/>
  <c r="B52" i="26"/>
  <c r="B55" i="25" l="1"/>
  <c r="B53" i="26"/>
  <c r="B56" i="25" l="1"/>
  <c r="B55" i="26"/>
  <c r="B57" i="25" l="1"/>
  <c r="B56" i="26"/>
  <c r="B58" i="25" l="1"/>
  <c r="B57" i="26"/>
  <c r="B59" i="25" l="1"/>
  <c r="B58" i="26"/>
  <c r="B59" i="26" l="1"/>
  <c r="B60" i="25"/>
  <c r="B61" i="25" l="1"/>
  <c r="B60" i="26"/>
  <c r="B62" i="25" l="1"/>
  <c r="B61" i="26"/>
  <c r="B63" i="25" l="1"/>
  <c r="B62" i="26"/>
  <c r="B64" i="25" l="1"/>
  <c r="B63" i="26"/>
  <c r="B65" i="25" l="1"/>
  <c r="B64" i="26"/>
  <c r="B66" i="25" l="1"/>
  <c r="B65" i="26"/>
  <c r="B67" i="25" l="1"/>
  <c r="B66" i="26"/>
  <c r="B68" i="25" l="1"/>
  <c r="B67" i="26"/>
  <c r="B69" i="25" l="1"/>
  <c r="B68" i="26"/>
  <c r="B70" i="25" l="1"/>
  <c r="B69" i="26"/>
  <c r="B71" i="25" l="1"/>
  <c r="B70" i="26"/>
  <c r="B72" i="25" l="1"/>
  <c r="B71" i="26"/>
  <c r="B73" i="25" l="1"/>
  <c r="B72" i="26"/>
  <c r="B74" i="25" l="1"/>
  <c r="B73" i="26"/>
  <c r="B75" i="25" l="1"/>
  <c r="B74" i="26"/>
  <c r="B76" i="25" l="1"/>
  <c r="B75" i="26"/>
  <c r="B77" i="25" l="1"/>
  <c r="B76" i="26"/>
  <c r="B78" i="25" l="1"/>
  <c r="B77" i="26"/>
  <c r="B79" i="25" l="1"/>
  <c r="B78" i="26"/>
  <c r="B80" i="25" l="1"/>
  <c r="B79" i="26"/>
  <c r="B81" i="25" l="1"/>
  <c r="B80" i="26"/>
  <c r="B82" i="25" l="1"/>
  <c r="B81" i="26"/>
  <c r="B83" i="25" l="1"/>
  <c r="B82" i="26"/>
  <c r="B84" i="25" l="1"/>
  <c r="B83" i="26"/>
  <c r="B85" i="25" l="1"/>
  <c r="B84" i="26"/>
  <c r="B86" i="25" l="1"/>
  <c r="B85" i="26"/>
  <c r="B87" i="25" l="1"/>
  <c r="B86" i="26"/>
  <c r="B88" i="25" l="1"/>
  <c r="B87" i="26"/>
  <c r="B89" i="25" l="1"/>
  <c r="B88" i="26"/>
  <c r="B91" i="25" l="1"/>
  <c r="B89" i="26"/>
  <c r="B92" i="25" l="1"/>
  <c r="B91" i="26"/>
  <c r="B93" i="25" l="1"/>
  <c r="B92" i="26"/>
  <c r="B94" i="25" l="1"/>
  <c r="B93" i="26"/>
  <c r="B95" i="25" l="1"/>
  <c r="B94" i="26"/>
  <c r="B96" i="25" l="1"/>
  <c r="B95" i="26"/>
  <c r="B97" i="25" l="1"/>
  <c r="B96" i="26"/>
  <c r="B99" i="25" l="1"/>
  <c r="B97" i="26"/>
  <c r="B100" i="25" l="1"/>
  <c r="B99" i="26"/>
  <c r="B101" i="25" l="1"/>
  <c r="B100" i="26"/>
  <c r="B102" i="25" l="1"/>
  <c r="B101" i="26"/>
  <c r="B103" i="25" l="1"/>
  <c r="B102" i="26"/>
  <c r="B105" i="25" l="1"/>
  <c r="B103" i="26"/>
  <c r="B106" i="25" l="1"/>
  <c r="B105" i="26"/>
  <c r="B107" i="25" l="1"/>
  <c r="B106" i="26"/>
  <c r="B108" i="25" l="1"/>
  <c r="B107" i="26"/>
  <c r="B109" i="25" l="1"/>
  <c r="B108" i="26"/>
  <c r="B110" i="25" l="1"/>
  <c r="B109" i="26"/>
  <c r="B111" i="25" l="1"/>
  <c r="B110" i="26"/>
  <c r="B112" i="25" l="1"/>
  <c r="B111" i="26"/>
  <c r="B113" i="25" l="1"/>
  <c r="B112" i="26"/>
  <c r="B114" i="25" l="1"/>
  <c r="B113" i="26"/>
  <c r="B115" i="25" l="1"/>
  <c r="B114" i="26"/>
  <c r="B116" i="25" l="1"/>
  <c r="B115" i="26"/>
  <c r="B117" i="25" l="1"/>
  <c r="B116" i="26"/>
  <c r="B118" i="25" l="1"/>
  <c r="B117" i="26"/>
  <c r="B119" i="25" l="1"/>
  <c r="B118" i="26"/>
  <c r="B121" i="25" l="1"/>
  <c r="B119" i="26"/>
  <c r="B122" i="25" l="1"/>
  <c r="B121" i="26"/>
  <c r="B123" i="25" l="1"/>
  <c r="B122" i="26"/>
  <c r="B124" i="25" l="1"/>
  <c r="B123" i="26"/>
  <c r="B125" i="25" l="1"/>
  <c r="B124" i="26"/>
  <c r="B126" i="25" l="1"/>
  <c r="B125" i="26"/>
  <c r="B127" i="25" l="1"/>
  <c r="B126" i="26"/>
  <c r="B128" i="25" l="1"/>
  <c r="B127" i="26"/>
  <c r="B129" i="25" l="1"/>
  <c r="B128" i="26"/>
  <c r="B131" i="25" l="1"/>
  <c r="B129" i="26"/>
  <c r="B132" i="25" l="1"/>
  <c r="B131" i="26"/>
  <c r="B133" i="25" l="1"/>
  <c r="B132" i="26"/>
  <c r="B134" i="25" l="1"/>
  <c r="B133" i="26"/>
  <c r="B135" i="25" l="1"/>
  <c r="B134" i="26"/>
  <c r="B136" i="25" l="1"/>
  <c r="B135" i="26"/>
  <c r="B137" i="25" l="1"/>
  <c r="B136" i="26"/>
  <c r="B139" i="25" l="1"/>
  <c r="B137" i="26"/>
  <c r="B140" i="25" l="1"/>
  <c r="B139" i="26"/>
  <c r="B141" i="25" l="1"/>
  <c r="B140" i="26"/>
  <c r="B142" i="25" l="1"/>
  <c r="B141" i="26"/>
  <c r="B143" i="25" l="1"/>
  <c r="B142" i="26"/>
  <c r="B144" i="25" l="1"/>
  <c r="B143" i="26"/>
  <c r="B145" i="25" l="1"/>
  <c r="B144" i="26"/>
  <c r="B146" i="25" l="1"/>
  <c r="B145" i="26"/>
  <c r="B147" i="25" l="1"/>
  <c r="B146" i="26"/>
  <c r="B149" i="25" l="1"/>
  <c r="B147" i="26"/>
  <c r="B150" i="25" l="1"/>
  <c r="B149" i="26"/>
  <c r="B151" i="25" l="1"/>
  <c r="B150" i="26"/>
  <c r="B152" i="25" l="1"/>
  <c r="B151" i="26"/>
  <c r="B153" i="25" l="1"/>
  <c r="B152" i="26"/>
  <c r="B154" i="25" l="1"/>
  <c r="B153" i="26"/>
  <c r="B155" i="25" l="1"/>
  <c r="B154" i="26"/>
  <c r="B156" i="25" l="1"/>
  <c r="B155" i="26"/>
  <c r="B157" i="25" l="1"/>
  <c r="B156" i="26"/>
  <c r="B159" i="25" l="1"/>
  <c r="B157" i="26"/>
  <c r="B160" i="25" l="1"/>
  <c r="B159" i="26"/>
  <c r="B161" i="25" l="1"/>
  <c r="B160" i="26"/>
  <c r="B162" i="25" l="1"/>
  <c r="B161" i="26"/>
  <c r="B164" i="25" l="1"/>
  <c r="B162" i="26"/>
  <c r="B165" i="25" l="1"/>
  <c r="B164" i="26"/>
  <c r="B166" i="25" l="1"/>
  <c r="B165" i="26"/>
  <c r="B167" i="25" l="1"/>
  <c r="B166" i="26"/>
  <c r="B168" i="25" l="1"/>
  <c r="B167" i="26"/>
  <c r="B169" i="25" l="1"/>
  <c r="B168" i="26"/>
  <c r="B170" i="25" l="1"/>
  <c r="B169" i="26"/>
  <c r="B171" i="25" l="1"/>
  <c r="B170" i="26"/>
  <c r="B172" i="25" l="1"/>
  <c r="B171" i="26"/>
  <c r="B173" i="25" l="1"/>
  <c r="B172" i="26"/>
  <c r="B174" i="25" l="1"/>
  <c r="B173" i="26"/>
  <c r="B176" i="25" l="1"/>
  <c r="B174" i="26"/>
  <c r="B177" i="25" l="1"/>
  <c r="B176" i="26"/>
  <c r="B178" i="25" l="1"/>
  <c r="B177" i="26"/>
  <c r="B179" i="25" l="1"/>
  <c r="B178" i="26"/>
  <c r="B180" i="25" l="1"/>
  <c r="B179" i="26"/>
  <c r="B181" i="25" l="1"/>
  <c r="B180" i="26"/>
  <c r="B182" i="25" l="1"/>
  <c r="B181" i="26"/>
  <c r="B183" i="25" l="1"/>
  <c r="B182" i="26"/>
  <c r="B184" i="25" l="1"/>
  <c r="B183" i="26"/>
  <c r="B185" i="25" l="1"/>
  <c r="B184" i="26"/>
  <c r="B186" i="25" l="1"/>
  <c r="B185" i="26"/>
  <c r="B187" i="25" l="1"/>
  <c r="B186" i="26"/>
  <c r="B188" i="25" l="1"/>
  <c r="B187" i="26"/>
  <c r="B190" i="25" l="1"/>
  <c r="B188" i="26"/>
  <c r="B191" i="25" l="1"/>
  <c r="B190" i="26"/>
  <c r="B192" i="25" l="1"/>
  <c r="B191" i="26"/>
  <c r="B193" i="25" l="1"/>
  <c r="B192" i="26"/>
  <c r="B193" i="26" l="1"/>
  <c r="C6" i="26" s="1"/>
  <c r="B7" i="24" s="1"/>
  <c r="B8" i="24"/>
  <c r="C6" i="25"/>
</calcChain>
</file>

<file path=xl/sharedStrings.xml><?xml version="1.0" encoding="utf-8"?>
<sst xmlns="http://schemas.openxmlformats.org/spreadsheetml/2006/main" count="55828" uniqueCount="16438">
  <si>
    <t>DADOS DO ORÇAMENTO</t>
  </si>
  <si>
    <t>SECRETARIA:</t>
  </si>
  <si>
    <t>SECRETARIA MUNICIPAL DE OBRAS E INFRAESTRUTURA</t>
  </si>
  <si>
    <t>OBJETO:</t>
  </si>
  <si>
    <t>ENDEREÇO:</t>
  </si>
  <si>
    <t>AUTOR:</t>
  </si>
  <si>
    <t>Demitrio Fleck</t>
  </si>
  <si>
    <t>TÍTULO:</t>
  </si>
  <si>
    <t>Engenheiro Civil</t>
  </si>
  <si>
    <t>CONSELHO:</t>
  </si>
  <si>
    <t>CREA RS-145877</t>
  </si>
  <si>
    <t>REVISÃO:</t>
  </si>
  <si>
    <t>DATA BASE:</t>
  </si>
  <si>
    <t>ENCARGOS SOCIAIS:</t>
  </si>
  <si>
    <t>Não Desonerado</t>
  </si>
  <si>
    <t>PERCENTUAL DE MÃO DE OBRA EM RELAÇÃO AO VALOR TOTAL DO ORÇAMENTO:</t>
  </si>
  <si>
    <t>PREFEITURA MUNICIPAL DE PORTO ALEGRE</t>
  </si>
  <si>
    <t>CÓDIGO</t>
  </si>
  <si>
    <t>FONTE</t>
  </si>
  <si>
    <t>DESCRIÇÃO</t>
  </si>
  <si>
    <t>UNID.</t>
  </si>
  <si>
    <t>QUANT.</t>
  </si>
  <si>
    <t>Custo Unitário</t>
  </si>
  <si>
    <t>BDI</t>
  </si>
  <si>
    <t>Preço Unitário</t>
  </si>
  <si>
    <t>Preço Total</t>
  </si>
  <si>
    <t>Mão de obra</t>
  </si>
  <si>
    <t>Material+Equip.</t>
  </si>
  <si>
    <t>Total</t>
  </si>
  <si>
    <t>1.1</t>
  </si>
  <si>
    <t>CCU 01</t>
  </si>
  <si>
    <t>COMPOSICAO_PROPRIA</t>
  </si>
  <si>
    <t>1.2</t>
  </si>
  <si>
    <t>CCU 02</t>
  </si>
  <si>
    <t>1.3</t>
  </si>
  <si>
    <t>CCU 03</t>
  </si>
  <si>
    <t>1.4</t>
  </si>
  <si>
    <t>CCU 04</t>
  </si>
  <si>
    <t>2.1</t>
  </si>
  <si>
    <t>2.2</t>
  </si>
  <si>
    <t>2.3</t>
  </si>
  <si>
    <t>TAB 04.01</t>
  </si>
  <si>
    <t>COTACAO</t>
  </si>
  <si>
    <t>3.1</t>
  </si>
  <si>
    <t>CCU 05</t>
  </si>
  <si>
    <t>3.2</t>
  </si>
  <si>
    <t>CCU 09</t>
  </si>
  <si>
    <t>4.1</t>
  </si>
  <si>
    <t>4.2</t>
  </si>
  <si>
    <t>CCU 06</t>
  </si>
  <si>
    <t>4.3</t>
  </si>
  <si>
    <t>CCU 07</t>
  </si>
  <si>
    <t>5.1</t>
  </si>
  <si>
    <t>SINAPI</t>
  </si>
  <si>
    <t>5.2</t>
  </si>
  <si>
    <t>5.3</t>
  </si>
  <si>
    <t>5.4</t>
  </si>
  <si>
    <t>6.1</t>
  </si>
  <si>
    <t>6.2</t>
  </si>
  <si>
    <t>6.3</t>
  </si>
  <si>
    <t>6.4</t>
  </si>
  <si>
    <t>6.5</t>
  </si>
  <si>
    <t>6.6</t>
  </si>
  <si>
    <t>7.1</t>
  </si>
  <si>
    <t>7.2</t>
  </si>
  <si>
    <t>7.4</t>
  </si>
  <si>
    <t>7.5</t>
  </si>
  <si>
    <t>7.6</t>
  </si>
  <si>
    <t>7.7</t>
  </si>
  <si>
    <t>8.1</t>
  </si>
  <si>
    <t>8.2</t>
  </si>
  <si>
    <t>8.3</t>
  </si>
  <si>
    <t>CCU 23</t>
  </si>
  <si>
    <t>8.4</t>
  </si>
  <si>
    <t>CCU 24</t>
  </si>
  <si>
    <t>8.5</t>
  </si>
  <si>
    <t>8.6</t>
  </si>
  <si>
    <t>8.7</t>
  </si>
  <si>
    <t>8.8</t>
  </si>
  <si>
    <t>8.9</t>
  </si>
  <si>
    <t>8.10</t>
  </si>
  <si>
    <t>8.11</t>
  </si>
  <si>
    <t>8.12</t>
  </si>
  <si>
    <t>8.13</t>
  </si>
  <si>
    <t>8.14</t>
  </si>
  <si>
    <t>8.15</t>
  </si>
  <si>
    <t>CCU 29</t>
  </si>
  <si>
    <t>9.1</t>
  </si>
  <si>
    <t>9.2</t>
  </si>
  <si>
    <t>9.3</t>
  </si>
  <si>
    <t>9.4</t>
  </si>
  <si>
    <t>9.5</t>
  </si>
  <si>
    <t>9.6</t>
  </si>
  <si>
    <t>9.7</t>
  </si>
  <si>
    <t>CCU 33</t>
  </si>
  <si>
    <t>CCU 34</t>
  </si>
  <si>
    <t>10.1</t>
  </si>
  <si>
    <t>10.2</t>
  </si>
  <si>
    <t>10.3</t>
  </si>
  <si>
    <t>10.4</t>
  </si>
  <si>
    <t>10.5</t>
  </si>
  <si>
    <t>10.6</t>
  </si>
  <si>
    <t>11.1</t>
  </si>
  <si>
    <t>CCU 39</t>
  </si>
  <si>
    <t>11.2</t>
  </si>
  <si>
    <t>CCU 40</t>
  </si>
  <si>
    <t>11.3</t>
  </si>
  <si>
    <t>CCU 41</t>
  </si>
  <si>
    <t>11.4</t>
  </si>
  <si>
    <t>CCU 42</t>
  </si>
  <si>
    <t>CCU 43</t>
  </si>
  <si>
    <t>12.1</t>
  </si>
  <si>
    <t>12.2</t>
  </si>
  <si>
    <t>12.3</t>
  </si>
  <si>
    <t>12.4</t>
  </si>
  <si>
    <t>CCU 61</t>
  </si>
  <si>
    <t>CCU 62</t>
  </si>
  <si>
    <t>CCU 63</t>
  </si>
  <si>
    <t>CCU 64</t>
  </si>
  <si>
    <t>CCU 47</t>
  </si>
  <si>
    <t>CCU 48</t>
  </si>
  <si>
    <t>CCU 71</t>
  </si>
  <si>
    <t>CCU 67</t>
  </si>
  <si>
    <t>CCU 70</t>
  </si>
  <si>
    <t>LUVA, PEAD PE 100, DE 20 MM, PARA ELETROFUSAO</t>
  </si>
  <si>
    <t>CCU 69</t>
  </si>
  <si>
    <t>CCU 15</t>
  </si>
  <si>
    <t>CCU 65</t>
  </si>
  <si>
    <t>CCU 66</t>
  </si>
  <si>
    <t>TOTAL</t>
  </si>
  <si>
    <t>COMPOSIÇÕES DE CUSTOS UNITÁRIAS</t>
  </si>
  <si>
    <t>CÓDIGO:</t>
  </si>
  <si>
    <t>DESCRIÇÃO:</t>
  </si>
  <si>
    <t>UNIDADE:</t>
  </si>
  <si>
    <t>CUSTO TOTAL (MO):</t>
  </si>
  <si>
    <t>EQUIPE E CONSUMOS DE ADMINISTRAÇÃO LOCAL</t>
  </si>
  <si>
    <t>UN</t>
  </si>
  <si>
    <t>ITEM</t>
  </si>
  <si>
    <t>COEF.</t>
  </si>
  <si>
    <t>REFERENCIAL COEF.</t>
  </si>
  <si>
    <t>CUSTO UNITARIO (MO)</t>
  </si>
  <si>
    <t>CUSTO UNITARIO (MAT)</t>
  </si>
  <si>
    <t>REFERENCIAL CUSTO</t>
  </si>
  <si>
    <t>CUSTO TOTAL
(MO)</t>
  </si>
  <si>
    <t>CUSTO TOTAL
(MAT)</t>
  </si>
  <si>
    <t>4h/dia</t>
  </si>
  <si>
    <t>VIGILANCIA FINAIS DE SEMANA</t>
  </si>
  <si>
    <t>12h/dia; 8 dias/mês</t>
  </si>
  <si>
    <t>VIGILANCIA NOTURNA</t>
  </si>
  <si>
    <t>SINAPI-I</t>
  </si>
  <si>
    <t>350KWH/mês</t>
  </si>
  <si>
    <t>1,5m3/dia</t>
  </si>
  <si>
    <t>TAB 01</t>
  </si>
  <si>
    <t>Equipamento Autopropelido</t>
  </si>
  <si>
    <t>Equipamentos Pesado</t>
  </si>
  <si>
    <t>TAB 03.02</t>
  </si>
  <si>
    <t>auxilio nas manobras e carga/descarga</t>
  </si>
  <si>
    <t>Equipamentos Leve</t>
  </si>
  <si>
    <t>TELA TAPUME LARANJA - FORNECIMENTO E INSTALAÇÃO COM MADEIRA</t>
  </si>
  <si>
    <t>M</t>
  </si>
  <si>
    <t>SINAPI 97010</t>
  </si>
  <si>
    <t>1 poste cada 2m</t>
  </si>
  <si>
    <t>pe de apoio</t>
  </si>
  <si>
    <t>BALIZADOR REFLETIVO - FORNECIMENTO E MANUTENÇÃO</t>
  </si>
  <si>
    <t>10% reposição/manutenção</t>
  </si>
  <si>
    <t>TAB 03.01</t>
  </si>
  <si>
    <t>SINAPI 97054</t>
  </si>
  <si>
    <t>PASSADICOS C/ TÁBUAS DE MADEIRA P/ PEDESTRES - FORNEC., INST. E DESLOCAMENTOS AO LONGO DA OBRA</t>
  </si>
  <si>
    <t>M2</t>
  </si>
  <si>
    <t>FRETE CONTAINER</t>
  </si>
  <si>
    <t>M3</t>
  </si>
  <si>
    <t>MEIO-FIO EM TRECHO RETO, CONFECCIONADA EM CONCRETO PRÉ-FABRICADO, DIMENSÕES 100X15X13X30 CM , PARA VIAS URBANAS - FORNECIMENTO</t>
  </si>
  <si>
    <t>SINAPI 94273</t>
  </si>
  <si>
    <t>MEIO-FIO EM TRECHO RETO, CONFECCIONADA EM CONCRETO PRÉ-FABRICADO, DIMENSÕES 100X15X13X30 CM , PARA VIAS URBANAS - EXECUÇÃO</t>
  </si>
  <si>
    <t>IMPRIMAÇÃO ASFÁLTICA - FORNECIMENTO</t>
  </si>
  <si>
    <t>KG</t>
  </si>
  <si>
    <t>coeficiente: SINAPI 102470
insumo: conf. Oficio 109348/25 DNIT</t>
  </si>
  <si>
    <t>TAB 05.01</t>
  </si>
  <si>
    <t>IMPRIMAÇÃO ASFÁLTICA - APLICAÇÃO</t>
  </si>
  <si>
    <t>SINAPI 102470</t>
  </si>
  <si>
    <t>T</t>
  </si>
  <si>
    <t>Distribuidora de derivado de petróleo ate Obra, incluso passagem pela pavimentadora</t>
  </si>
  <si>
    <t>CARGA, MANOBRA E DESCARGA DE PRÉ-MOLDADOS DE CONCRETO, EM CAMINHÃO CARROCERIA COM GUINDAUTO (MUNCK) 11,7 TM</t>
  </si>
  <si>
    <t>SINAPI 101013</t>
  </si>
  <si>
    <t>EXECUÇÃO DE RADIER, ESPESSURA DE 10 CM, FCK = 30 MPA, COM USO DE FORMAS EM MADEIRA SERRADA</t>
  </si>
  <si>
    <t>SINAPI 97101</t>
  </si>
  <si>
    <t>ATERRO MECANIZADO DE VALA COM RETROESCAVADEIRA, COM BRITA, EXCLUSO CARGA/DESCARGA E TRANSPORTE</t>
  </si>
  <si>
    <t>SINAPI 94339</t>
  </si>
  <si>
    <t>SINAPI 101624</t>
  </si>
  <si>
    <t>SINAPI 95566</t>
  </si>
  <si>
    <t>SINAPI 92219</t>
  </si>
  <si>
    <t>SINAPI 92220</t>
  </si>
  <si>
    <t>SINAPI 92223</t>
  </si>
  <si>
    <t>POÇO DE VISITA TIPO A, 0,80x0,80x1,00m EM TIJOLO MACIÇO, SEM TAMPA</t>
  </si>
  <si>
    <t>SINAPI 99255 (3,20m2 / 1,92m2)
3,20m2 = 0,8x0,8x1,0m (projeto)
1,92m2 = 0,8x0,8x0,6m (sinapi)</t>
  </si>
  <si>
    <t>SINAPI 99255 (3,20m2 / 1,92m2)</t>
  </si>
  <si>
    <t>SINAPI 99255</t>
  </si>
  <si>
    <t>SINAPI 99243 (2,8m2 / 4,1m2)
2,8m2 = 1,0x1,0x1,0m (projeto)
4,1m2 = Ø1,2m (sinapi)</t>
  </si>
  <si>
    <t>SINAPI 99243 (2,8m2 / 4,1m2)</t>
  </si>
  <si>
    <t>SINAPI 99255 (6,00m2 / 1,92m2)
6,00m2 = 1,0x1,0x1,5m (projeto)
1,92m2 = 0,8x0,8x0,60m (sinapi)</t>
  </si>
  <si>
    <t>SINAPI 99255 (6,00m2 / 1,92m2)</t>
  </si>
  <si>
    <t>SINAPI 99255 (1,00m2 / 0,64m2)</t>
  </si>
  <si>
    <t>ALVENARIA DE PEDRA GRANITICA, E=25CM</t>
  </si>
  <si>
    <t>SINAPI 100350</t>
  </si>
  <si>
    <t>ORSE 6191</t>
  </si>
  <si>
    <t>DESMONTAGEM DO CANTEIRO</t>
  </si>
  <si>
    <t>4 serventes; 2 dias; 8h/dia</t>
  </si>
  <si>
    <t>LOCACAO DE CONTAINER 2,30 X 4,30 M, ALT. 2,50 M, PARA SANITARIO, COM 3 BACIAS, 4 CHUVEIROS, 1 LAVATORIO E 1 MICTORIO (NAO INCLUI MOBILIZACAO/DESMOBILIZACAO)</t>
  </si>
  <si>
    <t>MES</t>
  </si>
  <si>
    <t>LOCACAO DE CONTAINER 2,30 X 6,00 M, ALT. 2,50 M, PARA ESCRITORIO, SEM DIVISORIAS INTERNAS E SEM SANITARIO (NAO INCLUI MOBILIZACAO/DESMOBILIZACAO)</t>
  </si>
  <si>
    <t>CONE DE SINALIZACAO EM PVC FLEXIVEL, H = 70 / 76 CM - FORNECIMENTO E INSTALAÇÃO</t>
  </si>
  <si>
    <t>FORNECIMENTO DE ENERGIA PARA INÍCIO DE INSTALAÇÃO DE CANTEIRO POR MEIO DE GRUPO GERADOR REBOCÁVEL, POTÊNCIA 66 KVA, MOTOR A DIESEL</t>
  </si>
  <si>
    <t>5 dias; 4 h/dia</t>
  </si>
  <si>
    <t>TABELAS PÚBLICAS</t>
  </si>
  <si>
    <t>DATA ORIGEM</t>
  </si>
  <si>
    <t>CUSTO ORIGEM</t>
  </si>
  <si>
    <t>REAJUSTE PARA:</t>
  </si>
  <si>
    <t>CUSTO ATUAL</t>
  </si>
  <si>
    <t>Índice</t>
  </si>
  <si>
    <t>i0</t>
  </si>
  <si>
    <t>i1</t>
  </si>
  <si>
    <t>%</t>
  </si>
  <si>
    <t>CREA RS</t>
  </si>
  <si>
    <t>acima de R$15mil</t>
  </si>
  <si>
    <t>DOCUMENTO DE RESPONSABILIDADE TÉCNICA</t>
  </si>
  <si>
    <t>TAB 02</t>
  </si>
  <si>
    <t>SINAPI RS (*)</t>
  </si>
  <si>
    <t>SICRO RS</t>
  </si>
  <si>
    <t>M0048</t>
  </si>
  <si>
    <t>A9316</t>
  </si>
  <si>
    <t>CHP</t>
  </si>
  <si>
    <t>Pref. POA</t>
  </si>
  <si>
    <t>PE 132/2025, item 26 (anexo ao lado)</t>
  </si>
  <si>
    <t>TAXA PARA BOTA FORA</t>
  </si>
  <si>
    <t>H</t>
  </si>
  <si>
    <t>(*) conforme tabela anexa (aba oculta)</t>
  </si>
  <si>
    <t>PIS+COFINS - Distribuidor:</t>
  </si>
  <si>
    <t>PIS+COFINS incluso no BDI - a descontar devido a direito de crédito pela executora da obra:</t>
  </si>
  <si>
    <t>Alíquota PIS/COFINS resultante:</t>
  </si>
  <si>
    <t>Alíquota ICMS a partir jan/2022:</t>
  </si>
  <si>
    <t>FONTE: www.gov.br/anp/pt-br/assuntos/precos-e-defesa-da-concorrencia/precos/precos-de-distribuicao-de-produtos-asfalticos</t>
  </si>
  <si>
    <t>CRONOGRAMA FISICO-FINANCEIRO</t>
  </si>
  <si>
    <t>MÊS 1</t>
  </si>
  <si>
    <t>MÊS 2</t>
  </si>
  <si>
    <t>MÊS 3</t>
  </si>
  <si>
    <t>MÊS 4</t>
  </si>
  <si>
    <t>PREÇO UNITARIO</t>
  </si>
  <si>
    <t>R$</t>
  </si>
  <si>
    <t xml:space="preserve">QUANT. </t>
  </si>
  <si>
    <t>Total por Mês</t>
  </si>
  <si>
    <t>Total Acumulado</t>
  </si>
  <si>
    <t>CURVA ABC</t>
  </si>
  <si>
    <t>DESCRIÇÃO SERVIÇO</t>
  </si>
  <si>
    <t>PREÇO TOTAL</t>
  </si>
  <si>
    <t>% SOBRE TOTAL</t>
  </si>
  <si>
    <t>% ACUMULADO</t>
  </si>
  <si>
    <t>EXECUÇÃO DE PASSEIO (CALÇADA) OU PISO DE CONCRETO COM CONCRETO MOLDADO IN LOCO, USINADO C20, ACABAMENTO CONVENCIONAL, NÃO ARMADO. AF_08/2022</t>
  </si>
  <si>
    <t>CONSTRUÇÃO DE BASE E SUB-BASE PARA PAVIMENTAÇÃO DE BRITA GRADUADA SIMPLES, COM ESPESSURA DE 15 CM - EXCLUSIVE CARGA E TRANSPORTE. AF_09/2024</t>
  </si>
  <si>
    <t>PISO PODOTÁTIL DE ALERTA OU DIRECIONAL, DE CONCRETO, ASSENTADO SOBRE ARGAMASSA. AF_03/2024</t>
  </si>
  <si>
    <t>CONSTRUÇÃO DE BASE E SUB-BASE PARA PAVIMENTAÇÃO DE RACHÃO, COM ESPESSURA DE 40 CM - EXCLUSIVE CARGA E TRANSPORTE. AF_09/2024</t>
  </si>
  <si>
    <t>TRATAMENTO DE JUNTA SERRADA, COM TARUGO DE POLIETILENO E SELANTE À BASE DE SILICONE. AF_09/2023</t>
  </si>
  <si>
    <t>ESCAVAÇÃO HORIZONTAL, INCLUINDO CARGA, DESCARGA E TRANSPORTE EM SOLO DE 1A CATEGORIA COM TRATOR DE ESTEIRAS (125HP/LÂMINA: 2,70M3) E CAMINHÃO BASCULANTE DE 10M3, DMT ATÉ 200M. AF_07/2020</t>
  </si>
  <si>
    <t>CAIXA PARA BOCA DE LOBO DUPLA RETANGULAR, EM ALVENARIA COM TIJOLOS CERÂMICOS MACIÇOS, DIMENSÕES INTERNAS: 0,6X2,2X1,2 M. AF_12/2020</t>
  </si>
  <si>
    <t>TÊ DE SERVIÇO, EM PEAD LISO PARA REDE DE ÁGUA OU ESGOTO, DIÂMETRO DE 63 X 20 MM, JUNTA SOLDADA POR ELETROFUSÃO (NÃO INCLUI A EXECUÇÃO DE SOLDA). AF_12/2021</t>
  </si>
  <si>
    <t>CAIXA PARA BOCA DE LOBO DUPLA COMBINADA COM GRELHA RETANGULAR, EM ALVENARIA COM TIJOLOS CERÂMICOS MACIÇOS, DIMENSÕES INTERNAS: 1,3X2,2X1,2 M. AF_12/2020</t>
  </si>
  <si>
    <t>TAMPA CIRCULAR PARA ESGOTO E DRENAGEM, EM FERRO FUNDIDO, DIÂMETRO INTERNO = 0,6 M. AF_12/2020</t>
  </si>
  <si>
    <t>ESCAVAÇÃO MANUAL DE VALA. AF_09/2024</t>
  </si>
  <si>
    <t>ATERRO MECANIZADO DE VALA COM RETROESCAVADEIRA (CAPACIDADE DA CAÇAMBA DA RETRO: 0,26 M³/POTÊNCIA: 88 HP), LARGURA ATÉ 1,5 M, PROFUNDIDADE ATÉ 1,5 M, COM AREIA PARA ATERRO. AF_08/2023</t>
  </si>
  <si>
    <t>ESCAVAÇÃO MECANIZADA DE VALA COM PROFUNDIDADE ATÉ 1,5 M (MÉDIA MONTANTE E JUSANTE/UMA COMPOSIÇÃO POR TRECHO), RETROESCAV. (0,26 M3), LARGURA DE 0,8 M A 1,5 M, EM SOLO DE 1A CATEGORIA, LOCAIS COM BAIXO NÍVEL DE INTERFERÊNCIA. AF_09/2024</t>
  </si>
  <si>
    <t>PLANTIO DE GRAMA BATATAIS EM PLACAS. AF_07/2024</t>
  </si>
  <si>
    <t>CAIXA PARA BOCA DE LOBO SIMPLES RETANGULAR, EM ALVENARIA COM TIJOLOS CERÂMICOS MACIÇOS, DIMENSÕES INTERNAS: 0,6X1X1,2 M. AF_12/2020</t>
  </si>
  <si>
    <t>LASTRO COM MATERIAL GRANULAR (PEDRA BRITADA N.2), APLICADO EM PISOS OU LAJES SOBRE SOLO, ESPESSURA DE *10 CM*. AF_01/2024</t>
  </si>
  <si>
    <t>CAIXA PARA BOCA DE LOBO COMBINADA COM GRELHA RETANGULAR, EM ALVENARIA COM TIJOLOS CERÂMICOS MACIÇOS, DIMENSÕES INTERNAS: 1,3X1X1,2 M. AF_12/2020</t>
  </si>
  <si>
    <t>ESGOTAMENTO DE VALA COM BOMBA SUBMERSÍVEL. AF_12/2022</t>
  </si>
  <si>
    <t>FORNECIMENTO E INSTALAÇÃO DE PLACA DE OBRA COM CHAPA GALVANIZADA E ESTRUTURA DE MADEIRA. AF_03/2022_PS</t>
  </si>
  <si>
    <t>LASTRO COM MATERIAL GRANULAR (PEDRA BRITADA N.3), APLICADO EM PISOS OU LAJES SOBRE SOLO, ESPESSURA DE *10 CM*. AF_01/2024</t>
  </si>
  <si>
    <t>TUBO, PEAD, PE-80, DE = 20 MM X 2,3 MM, PARA LIGAÇÃO PREDIAL DE ÁGUA. AF_06/2022</t>
  </si>
  <si>
    <t>APLICAÇÃO DE ADUBO EM SOLO. AF_07/2024</t>
  </si>
  <si>
    <t>DEMOLIÇÃO DE PISO DE CONCRETO SIMPLES, DE FORMA MANUAL, SEM REAPROVEITAMENTO. AF_09/2023</t>
  </si>
  <si>
    <t>LIMPEZA MECANIZADA DE CAMADA VEGETAL, VEGETAÇÃO E PEQUENAS ÁRVORES (DIÂMETRO DE TRONCO MENOR QUE 0,20 M), COM TRATOR DE ESTEIRAS. AF_03/2024</t>
  </si>
  <si>
    <t>ESCAVAÇÃO MECANIZADA DE VALA COM PROF. MAIOR QUE 1,5 M E ATÉ 3,0 M(MÉDIA MONTANTE E JUSANTE/UMA COMPOSIÇÃO POR TRECHO), ESCAVADEIRA (0,8 M3), LARG. MENOR QUE 1,5 M, EM SOLO DE 1A CATEGORIA, LOCAIS COM BAIXO NÍVEL DE INTERFERÊNCIA. AF_09/2024</t>
  </si>
  <si>
    <t>REMOÇAO DE GUIAS PRÉ-FABRICADAS DE CONCRETO, DE FORMA MECANIZADA, COM REAPROVEITAMENTO. AF_09/2023</t>
  </si>
  <si>
    <t>DRENO SUBSUPERFICIAL (SEÇÃO 0,40 X 0,40 M), COM TUBO DE PVC CORRUGADO RÍGIDO PERFURADO, DN 100 MM, ENCHIMENTO COM BRITA, ENVOLVIDO COM MANTA GEOTÊXTIL. AF_07/2021</t>
  </si>
  <si>
    <t>ESPALHAMENTO DE TERRA VEGETAL PARA O PLANTIO. AF_07/2024</t>
  </si>
  <si>
    <t>CONSTRUÇÃO DE BASE E SUB-BASE PARA PAVIMENTAÇÃO DE SOLO DE COMPORTAMENTO LATERÍTICO (ARENOSO), COM ESPESSURA DE 20 CM - EXCLUSIVE ESCAVAÇÃO, CARGA E TRANSPORTE E SOLO. AF_09/2024</t>
  </si>
  <si>
    <t>EXECUÇÃO E COMPACTAÇÃO DE CORPO DE ATERRO (95% DE ENERGIA DO PROCTOR NORMAL) COM SOLO PREDOMINANTEMENTE ARENOSO ESPESSURA 15CM - EXCLUSIVE MATERIAL, ESCAVAÇÃO, CARGA E TRANSPORTE. AF_09/2024</t>
  </si>
  <si>
    <t>LASTRO DE CONCRETO MAGRO, APLICADO EM PISOS, LAJES SOBRE SOLO OU RADIERS. AF_01/2024</t>
  </si>
  <si>
    <t>LUVA, EM PEAD LISO PARA REDE DE ÁGUA OU ESGOTO, DIÂMETRO DE 20 MM, JUNTA SOLDADA POR ELETROFUSÃO (NÃO INCLUI A EXECUÇÃO DE SOLDA). AF_12/2021</t>
  </si>
  <si>
    <t>DEMOLIÇÃO DE ALVENARIA DE TIJOLO MACIÇO, DE FORMA MANUAL, SEM REAPROVEITAMENTO. AF_09/2023</t>
  </si>
  <si>
    <t>COTOVELO 90 GRAUS, EM PEAD LISO PARA REDE DE ÁGUA OU ESGOTO, DIÂMETRO DE 63 MM, JUNTA SOLDADA POR ELETROFUSÃO (NÃO INCLUI A EXECUÇÃO DE SOLDA). AF_12/2021</t>
  </si>
  <si>
    <t>DEMOLIÇÃO DE REVESTIMENTO CERÂMICO, DE FORMA MANUAL, SEM REAPROVEITAMENTO. AF_09/2023</t>
  </si>
  <si>
    <t>REMOÇÃO DE RAÍZES REMANESCENTES DE TRONCO DE ÁRVORE COM DIÂMETRO MAIOR OU IGUAL A 0,20 M E MENOR QUE 0,40 M. AF_03/2024</t>
  </si>
  <si>
    <t>REMOÇÃO DE PISO DE BLOCO INTERTRAVADO OU DE PEDRA PORTUGUESA, DE FORMA MANUAL, COM REAPROVEITAMENTO. AF_09/2023</t>
  </si>
  <si>
    <t>CORTE RASO E RECORTE DE ÁRVORE COM DIÂMETRO DE TRONCO MAIOR OU IGUAL A 0,20 M E MENOR QUE 0,40 M. AF_03/2024</t>
  </si>
  <si>
    <t>DEMOLIÇÃO DE GUIAS, SARJETAS OU SARJETÕES, DE FORMA MECANIZADA, SEM REAPROVEITAMENTO. AF_09/2023</t>
  </si>
  <si>
    <t>LUVA, EM PEAD LISO PARA REDE DE ÁGUA OU ESGOTO, DIÂMETRO DE 63 MM, JUNTA SOLDADA POR ELETROFUSÃO (NÃO INCLUI A EXECUÇÃO DE SOLDA). AF_12/2021</t>
  </si>
  <si>
    <t>PARCELAS</t>
  </si>
  <si>
    <t xml:space="preserve">(AC) - Administraçã o Central </t>
  </si>
  <si>
    <t>(S) + (G) - Seguro e Garantia</t>
  </si>
  <si>
    <t>(R) - Risco</t>
  </si>
  <si>
    <t>(DF) - Despesas Financeiras</t>
  </si>
  <si>
    <t>(L) - Lucro</t>
  </si>
  <si>
    <t>Impostos (I= I1+I2+I3):</t>
  </si>
  <si>
    <t>(I1) - PIS</t>
  </si>
  <si>
    <t>(I2 ) - COFINS</t>
  </si>
  <si>
    <t>(I3 ) - ISSQN</t>
  </si>
  <si>
    <t>(I4 ) - Contribuição Previdenciária (CPRB)</t>
  </si>
  <si>
    <t xml:space="preserve">BDI </t>
  </si>
  <si>
    <t>Fonte: Decreto 23.379/2025</t>
  </si>
  <si>
    <r>
      <rPr>
        <sz val="11"/>
        <rFont val="Calibri"/>
        <family val="2"/>
        <charset val="1"/>
      </rPr>
      <t xml:space="preserve">BDI = </t>
    </r>
    <r>
      <rPr>
        <u/>
        <sz val="11"/>
        <rFont val="Calibri"/>
        <family val="2"/>
        <charset val="1"/>
      </rPr>
      <t>( 1 + ( AC + S + G + R ) )  (1 + DF) ( 1+ L)</t>
    </r>
    <r>
      <rPr>
        <sz val="11"/>
        <rFont val="Calibri"/>
        <family val="2"/>
        <charset val="1"/>
      </rPr>
      <t xml:space="preserve">  -  1</t>
    </r>
  </si>
  <si>
    <t>( 1 - l1 + l2 + l3 + l4 )</t>
  </si>
  <si>
    <t>TABELA DE ENCARGOS SOCIAIS</t>
  </si>
  <si>
    <t>CÓD.</t>
  </si>
  <si>
    <t>GRUPO A: ENCARGOS BÁSICOS PREVIDENCIÁRIOS</t>
  </si>
  <si>
    <t>Horista</t>
  </si>
  <si>
    <t>Mensalista</t>
  </si>
  <si>
    <t>A1</t>
  </si>
  <si>
    <t>INSS</t>
  </si>
  <si>
    <t>A2</t>
  </si>
  <si>
    <t>SESI</t>
  </si>
  <si>
    <t>A3</t>
  </si>
  <si>
    <t>SENAI</t>
  </si>
  <si>
    <t>A4</t>
  </si>
  <si>
    <t>INCRA</t>
  </si>
  <si>
    <t>A5</t>
  </si>
  <si>
    <t>SEBRAE</t>
  </si>
  <si>
    <t>A6</t>
  </si>
  <si>
    <t>SALÁRIO-EDUCAÇÃO</t>
  </si>
  <si>
    <t>A7</t>
  </si>
  <si>
    <t>SEGURO-ACIDENTE</t>
  </si>
  <si>
    <t>A8</t>
  </si>
  <si>
    <t>FGTS</t>
  </si>
  <si>
    <t>A9</t>
  </si>
  <si>
    <t>SECONDI</t>
  </si>
  <si>
    <t>TOTAL GRUPO A</t>
  </si>
  <si>
    <t>GRUPO B: ENCARGOS QUE RECEBEM INCIDÊNCIA DE A</t>
  </si>
  <si>
    <t>B1</t>
  </si>
  <si>
    <t>REPOUSO SEMANAL REMUNERADO</t>
  </si>
  <si>
    <t>-</t>
  </si>
  <si>
    <t>B2</t>
  </si>
  <si>
    <t>FERIADOS</t>
  </si>
  <si>
    <t>B3</t>
  </si>
  <si>
    <t>AUXÍLIO-ENFERMIDADE</t>
  </si>
  <si>
    <t>B4</t>
  </si>
  <si>
    <t>13º SALÁRIO</t>
  </si>
  <si>
    <t>B5</t>
  </si>
  <si>
    <t>LICENÇA-PATERNIDADE</t>
  </si>
  <si>
    <t>B6</t>
  </si>
  <si>
    <t>FALTAS JUSTIFICADAS</t>
  </si>
  <si>
    <t>B7</t>
  </si>
  <si>
    <t>DIAS DE CHUVAS</t>
  </si>
  <si>
    <t>B8</t>
  </si>
  <si>
    <t>ACIDENTES DE TRABALHO</t>
  </si>
  <si>
    <t>B9</t>
  </si>
  <si>
    <t>FÉRIAS</t>
  </si>
  <si>
    <t>B10</t>
  </si>
  <si>
    <t>SALARIO MATERNIDADE</t>
  </si>
  <si>
    <t>TOTAL GRUPO B</t>
  </si>
  <si>
    <t>GRUPO C: ENCARGOS QUE NÃO RECEBEM A INCIDÊNCIA DE A</t>
  </si>
  <si>
    <t>C1</t>
  </si>
  <si>
    <t>AVISO PRÉVIO INDENIZADO</t>
  </si>
  <si>
    <t>C2</t>
  </si>
  <si>
    <t>AVISO PRÉVIO TRABALHADO</t>
  </si>
  <si>
    <t>C3</t>
  </si>
  <si>
    <t>FÉRIAS INDENIZADAS + 1/3</t>
  </si>
  <si>
    <t>C4</t>
  </si>
  <si>
    <t>DEPOSITO POR DESPEDIDA INJUSTA</t>
  </si>
  <si>
    <t>C5</t>
  </si>
  <si>
    <t>INDENIZAÇÃO ADICIONAL</t>
  </si>
  <si>
    <t>TOTAL GRUPO C</t>
  </si>
  <si>
    <t>GRUPO D: INCIDÊNCIA DE ENCARGOS</t>
  </si>
  <si>
    <t>D1</t>
  </si>
  <si>
    <t>REINCIDÊNCIA DE A SOBRE B</t>
  </si>
  <si>
    <t>D2</t>
  </si>
  <si>
    <t>REINCIDÊNCIA DE A SOBRE C2 + REINCIDÊNCIA DE FGTS SOBRE C1</t>
  </si>
  <si>
    <t>TOTAL GRUPO D</t>
  </si>
  <si>
    <t>TOTAL GERAL A + B + C + D</t>
  </si>
  <si>
    <t>Fonte: SINAPI</t>
  </si>
  <si>
    <t>PASSEIO</t>
  </si>
  <si>
    <t>Volume (m³)</t>
  </si>
  <si>
    <t>QUANTITATIVO DE PROJETO</t>
  </si>
  <si>
    <t>QUANTITATIVO DE TERRAPLANAGEM</t>
  </si>
  <si>
    <t>EXTENSÃO DE PROJETO:</t>
  </si>
  <si>
    <t>ESTACA</t>
  </si>
  <si>
    <t>ÁREAS (m²)</t>
  </si>
  <si>
    <t>DISTÂNCIA (m)</t>
  </si>
  <si>
    <t>Material Escavado</t>
  </si>
  <si>
    <t>Destino</t>
  </si>
  <si>
    <t>Pavimentação pista</t>
  </si>
  <si>
    <t>CORTE</t>
  </si>
  <si>
    <t>ATERRO</t>
  </si>
  <si>
    <t>LIMPEZA</t>
  </si>
  <si>
    <t>Tipo</t>
  </si>
  <si>
    <t>Un.</t>
  </si>
  <si>
    <t>Corte Solo</t>
  </si>
  <si>
    <t>Aterro</t>
  </si>
  <si>
    <t>Bota-fora</t>
  </si>
  <si>
    <t>Material</t>
  </si>
  <si>
    <t>Camada (m)</t>
  </si>
  <si>
    <t>Área (m²)</t>
  </si>
  <si>
    <t>PISTA</t>
  </si>
  <si>
    <t xml:space="preserve"> PISTA</t>
  </si>
  <si>
    <t>VALA</t>
  </si>
  <si>
    <t>Pista</t>
  </si>
  <si>
    <t>m³</t>
  </si>
  <si>
    <t>Passeio</t>
  </si>
  <si>
    <t>Rachão</t>
  </si>
  <si>
    <t>Área de regularização do passeio</t>
  </si>
  <si>
    <t>m²</t>
  </si>
  <si>
    <t>Aterro Projeto</t>
  </si>
  <si>
    <t>Origem</t>
  </si>
  <si>
    <t>Material Importado</t>
  </si>
  <si>
    <t>Meio-fio de concreto</t>
  </si>
  <si>
    <t>m</t>
  </si>
  <si>
    <t>Grama para enleivamento do passeio</t>
  </si>
  <si>
    <t>Aterro Total</t>
  </si>
  <si>
    <t>Descrição</t>
  </si>
  <si>
    <t>Unidade</t>
  </si>
  <si>
    <t>Remoção</t>
  </si>
  <si>
    <t>Pavimento Asfáltico (Pista)</t>
  </si>
  <si>
    <t>Pavimento Asfáltico (Passeio)</t>
  </si>
  <si>
    <t>Piso de Concreto</t>
  </si>
  <si>
    <t>TOTAL:</t>
  </si>
  <si>
    <t>Basalto Regular</t>
  </si>
  <si>
    <t>Basalto Irregular</t>
  </si>
  <si>
    <t>Lajota de Concreto</t>
  </si>
  <si>
    <t>APOIO TERRAPLENAGEM</t>
  </si>
  <si>
    <t>Qtd.</t>
  </si>
  <si>
    <t>1.5</t>
  </si>
  <si>
    <t>REMANEJAMENTO DE REDE DE ÁGUA ATÉ DN 300mm</t>
  </si>
  <si>
    <t>Meio-fio</t>
  </si>
  <si>
    <t>EQUAÇÕES TARIFÁRIAS PARA O TRANSPORTE DE MATERIAIS BETUMINOSOS S/ICMS - Data-base: JUL/2014</t>
  </si>
  <si>
    <t>Atendendo a Portaria nº 1078, de 11 de agosto de 2015 - DNIT</t>
  </si>
  <si>
    <t xml:space="preserve">Revestimento </t>
  </si>
  <si>
    <t xml:space="preserve">Equações tarifárias </t>
  </si>
  <si>
    <t xml:space="preserve">(Custo Direto - R$/ton) </t>
  </si>
  <si>
    <t xml:space="preserve">Rodovia com revestimento asfáltico </t>
  </si>
  <si>
    <t>+</t>
  </si>
  <si>
    <t xml:space="preserve">Rodovia com revestimento primário </t>
  </si>
  <si>
    <t xml:space="preserve">Rodovia em leito natural </t>
  </si>
  <si>
    <t>Custo do transporte = Custo direto do transporte / (1 - % ICMS/100)  - ICMS = 17% ( a partir de 01/01/2022)</t>
  </si>
  <si>
    <t>Io (JUL/2014)</t>
  </si>
  <si>
    <t>Índice Atualização</t>
  </si>
  <si>
    <t>Pavimentação</t>
  </si>
  <si>
    <t>EQUAÇÕES TARIFÁRIAS PARA O TRANSPORTE DE MATERIAIS BETUMINOSOS C/ICMS (17%) - Data-base: AGO/2023</t>
  </si>
  <si>
    <t>1 - %ICMS/100</t>
  </si>
  <si>
    <t>1 - 0,17=</t>
  </si>
  <si>
    <t>EMULSÃO ASFALTICA</t>
  </si>
  <si>
    <r>
      <rPr>
        <b/>
        <sz val="10"/>
        <rFont val="Arial"/>
        <family val="2"/>
        <charset val="1"/>
      </rPr>
      <t>Rodovia com revestimento asfáltico  (D</t>
    </r>
    <r>
      <rPr>
        <b/>
        <vertAlign val="subscript"/>
        <sz val="10"/>
        <rFont val="Arial"/>
        <family val="2"/>
        <charset val="1"/>
      </rPr>
      <t>1</t>
    </r>
    <r>
      <rPr>
        <b/>
        <sz val="10"/>
        <rFont val="Arial"/>
        <family val="2"/>
        <charset val="1"/>
      </rPr>
      <t>)</t>
    </r>
  </si>
  <si>
    <r>
      <rPr>
        <b/>
        <sz val="10"/>
        <rFont val="Arial"/>
        <family val="2"/>
        <charset val="1"/>
      </rPr>
      <t>Rodovia com revestimento primário (D</t>
    </r>
    <r>
      <rPr>
        <b/>
        <vertAlign val="subscript"/>
        <sz val="10"/>
        <rFont val="Arial"/>
        <family val="2"/>
        <charset val="1"/>
      </rPr>
      <t>2</t>
    </r>
    <r>
      <rPr>
        <b/>
        <sz val="10"/>
        <rFont val="Arial"/>
        <family val="2"/>
        <charset val="1"/>
      </rPr>
      <t>)</t>
    </r>
  </si>
  <si>
    <t>Rodovia em leito natural (D3)</t>
  </si>
  <si>
    <t>Custo Transporte Materiais Betuminosos (R$/T)</t>
  </si>
  <si>
    <t>DMT da EMULSÃO ASFALTICA (incluso passagem pela pavimentadora)</t>
  </si>
  <si>
    <t>PEDRACCON (Bc. do Davi, 124, Porto Alegre)</t>
  </si>
  <si>
    <t>ENCOPAV (Estr. Julio de Castilhos, 1009, São Leopoldo)</t>
  </si>
  <si>
    <t>TONIOLO (Rua Reinaldo Leopoldino de Souza, 555, Portão)</t>
  </si>
  <si>
    <t>GIOVANELLA (R. Tilápia, 160, Estância Velha)</t>
  </si>
  <si>
    <t>SULTEPA (R. Florianópolis, 1000, Estância Velha)</t>
  </si>
  <si>
    <t>DMT
(média)</t>
  </si>
  <si>
    <t>BETUNEL</t>
  </si>
  <si>
    <t>BR-470, 14 - Faxinal, Montenegro/RS</t>
  </si>
  <si>
    <t>GRECA</t>
  </si>
  <si>
    <t>R. Bento Gonçalves, 1850, Esteio/RS</t>
  </si>
  <si>
    <t>STRATURA</t>
  </si>
  <si>
    <t>OBRA</t>
  </si>
  <si>
    <t>DMT ADOTADO (KM)</t>
  </si>
  <si>
    <t>DMT de Peças de Concreto Pré-moldados</t>
  </si>
  <si>
    <t>ENGEMIX</t>
  </si>
  <si>
    <t>R. Gen. Câmara, 1042, Rio Branco, Canoas/RS</t>
  </si>
  <si>
    <t>DOMUS</t>
  </si>
  <si>
    <t>R. Araçá, 1109, Centro, Canoas/RS</t>
  </si>
  <si>
    <t>DIBLOCOS</t>
  </si>
  <si>
    <t>R. Voluntários da Pátria, 4069, Navegantes
Porto Alegre/RS</t>
  </si>
  <si>
    <t>DICONCRETUS</t>
  </si>
  <si>
    <t>Av. Antunes Ribas, 206, Jardim Itu, Porto Alegre/RS</t>
  </si>
  <si>
    <t>PEDRACCON</t>
  </si>
  <si>
    <t>Bc. do Davi, 124
Porto Alegre/RS</t>
  </si>
  <si>
    <t>MINERAÇÃO VERA CRUZ</t>
  </si>
  <si>
    <t>Estrada Henrique Closs, 200, Gravataí/RS</t>
  </si>
  <si>
    <t>INCOPEL</t>
  </si>
  <si>
    <t>Rod. BR 116, Km 232, Estância Velha/RS</t>
  </si>
  <si>
    <t>H V TRANS. E COM. DE AREIA LTDA</t>
  </si>
  <si>
    <t>R. Saco do Cabral, 521, Porto Alegre/RS</t>
  </si>
  <si>
    <t>COMERCIAL DE AREIA FERRAZ</t>
  </si>
  <si>
    <t>R. Saco do Cabral, 701, Porto Alegre/RS</t>
  </si>
  <si>
    <t>ARGAMASSA PAMPA</t>
  </si>
  <si>
    <t>R. Saco do Cabral, 219, Porto Alegre/RS</t>
  </si>
  <si>
    <t>DMT do BOTA FORA</t>
  </si>
  <si>
    <t>MIN. VERA CRUZ</t>
  </si>
  <si>
    <t>BRASERV</t>
  </si>
  <si>
    <t>Av. Ricardo Leonidas Ribas 275, Restinga, Porto Alegre/RS</t>
  </si>
  <si>
    <t>Índice empolamento</t>
  </si>
  <si>
    <t>Fonte</t>
  </si>
  <si>
    <t>Entulho</t>
  </si>
  <si>
    <t>bibliografias</t>
  </si>
  <si>
    <t>Areia (aterro)</t>
  </si>
  <si>
    <t>Brita Graduada</t>
  </si>
  <si>
    <t>SICRO 4011276 - TCPO 02.720.8.3.1</t>
  </si>
  <si>
    <t>Limpeza Terreno</t>
  </si>
  <si>
    <t>CADERNO SINAPI</t>
  </si>
  <si>
    <t>Escavação Solo 1a cat.</t>
  </si>
  <si>
    <t>Brita</t>
  </si>
  <si>
    <t>SINAPI 96399</t>
  </si>
  <si>
    <t>Peças pre-moldadas</t>
  </si>
  <si>
    <t>toneladas/m3</t>
  </si>
  <si>
    <t>SINAPI - Sistema Nacional de Pesquisa de Custos e Índices da Construção Civil</t>
  </si>
  <si>
    <t>RELATÓRIO DE CUSTOS DE COMPOSIÇÕES - ENCARGOS SOCIAIS SEM DESONERAÇÃO</t>
  </si>
  <si>
    <t>Mês de Referência:</t>
  </si>
  <si>
    <t>Data de emissão:</t>
  </si>
  <si>
    <t>RS</t>
  </si>
  <si>
    <t>Localidade</t>
  </si>
  <si>
    <t>PORTO ALEGRE</t>
  </si>
  <si>
    <t>Observação:</t>
  </si>
  <si>
    <t>%AS (porcentagem Atribuído São Paulo) corresponde a porcentagem do custo total da</t>
  </si>
  <si>
    <t>composição que foi obtida utilizando preços de insumos de São Paulo por indisponibilidade</t>
  </si>
  <si>
    <t>dos preços de insumos necessários à composição no estado em questão. Custo zerado (hífen)</t>
  </si>
  <si>
    <t>indica que pelo menos um dos itens da composição não tem custo/preço.</t>
  </si>
  <si>
    <t>Grupo</t>
  </si>
  <si>
    <t>Código da
Composição</t>
  </si>
  <si>
    <t>Custo (R$)</t>
  </si>
  <si>
    <t>%AS</t>
  </si>
  <si>
    <t>% de MO</t>
  </si>
  <si>
    <t>R$ de MAT+EQ</t>
  </si>
  <si>
    <t>RAMPA DE ACESSIBILIDADE EM CONCRETO MOLDADO IN LOCO, EM CALÇADA NOVA COM LARGURA MAIOR OU IGUAL À 3,00 M, FCK 25MPA, COM PISO PODOTÁTIL. AF_03/2024</t>
  </si>
  <si>
    <t>RAMPA DE ACESSIBILIDADE EM CONCRETO MOLDADO IN LOCO, EM CALÇADA NOVA COM LARGURA MENOR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</si>
  <si>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</si>
  <si>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PRÉ EXISTENTE COM LARGURA MENOR À 3,00 M, FCK 25MPA, COM PISO PODOTÁTIL. AF_03/2024</t>
  </si>
  <si>
    <t>RAMPA DE ACESSIBILIDADE EM CONCRETO PRÉ MOLDADO, EM CALÇADA NOVA COM LARGURA MAIOR OU IGUAL À 3,00 M, FCK 25MPA, COM PISO PODOTÁTIL. AF_03/2024</t>
  </si>
  <si>
    <t>RAMPA DE ACESSIBILIDADE EM CONCRETO PRÉ MOLDADO, EM CALÇADA PRÉ EXISTENTE COM LARGURA MAIOR OU IGUAL À 3,00 M, FCK 25MPA, COM PISO PODOTÁTIL. AF_03/2024</t>
  </si>
  <si>
    <t>RAMPA DE ACESSIBILIDADE PARA ACESSO A EDIFICAÇÕES COM INCLINAÇÃO DE 8,33% EM CONCRETO MOLDADO IN LOCO, COM LARGURA DE 1,20M, FCK 25MPA, NÃO ARMADA, COM JUNTA A CADA 2M COM CORTE À SECO. AF_03/2024</t>
  </si>
  <si>
    <t>RAMPA DE ACESSIBILIDADE PARA ACESSO A EDIFICAÇÕES COM INCLINAÇÃO DE 8,33% EM CONCRETO MOLDADO IN LOCO, COM LARGURA DE 1,50M, FCK 25MPA, NÃO ARMADA, COM JUNTA A CADA 2M COM CORTE À SECO. AF_03/2024</t>
  </si>
  <si>
    <t>ALVENARIA DE VEDAÇÃO DE BLOCOS CERÂMICOS FURADOS NA HORIZONTAL DE 11,5X14X24 CM (ESPESSURA 11,5 CM) E ARGAMASSA DE ASSENTAMENTO COM PREPARO EM BETONEIRA. AF_12/2021</t>
  </si>
  <si>
    <t>ALVENARIA DE VEDAÇÃO DE BLOCOS CERÂMICOS FURADOS NA HORIZONTAL DE 11,5X14X24 CM (ESPESSURA 11,5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</si>
  <si>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</si>
  <si>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</si>
  <si>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11,5X19X29 CM (ESPESSURA 11,5 CM) E ARGAMASSA DE ASSENTAMENTO COM PREPARO EM BETONEIRA. AF_12/2021</t>
  </si>
  <si>
    <t>ALVENARIA DE VEDAÇÃO DE BLOCOS CERÂMICOS FURADOS NA HORIZONTAL DE 11,5X19X29 CM (ESPESSURA 11,5 CM) E ARGAMASSA DE ASSENTAMENTO COM PREPARO MANUAL. AF_12/2021</t>
  </si>
  <si>
    <t>ALVENARIA DE VEDAÇÃO DE BLOCOS CERÂMICOS FURADOS NA HORIZONTAL DE 11,5X19X39 CM (ESPESSURA 11,5 CM) E ARGAMASSA DE ASSENTAMENTO COM PREPARO EM BETONEIRA. AF_12/2021</t>
  </si>
  <si>
    <t>ALVENARIA DE VEDAÇÃO DE BLOCOS CERÂMICOS FURADOS NA HORIZONTAL DE 11,5X19X39 CM (ESPESSURA 11,5 CM) E ARGAMASSA DE ASSENTAMENTO COM PREPARO MANUAL. AF_12/2021</t>
  </si>
  <si>
    <t>ALVENARIA DE VEDAÇÃO DE BLOCOS CERÂMICOS FURADOS NA HORIZONTAL DE 14X19X29 CM (ESPESSURA 14 CM) E ARGAMASSA DE ASSENTAMENTO COM PREPARO EM BETONEIRA. AF_12/2021</t>
  </si>
  <si>
    <t>ALVENARIA DE VEDAÇÃO DE BLOCOS CERÂMICOS FURADOS NA HORIZONTAL DE 14X19X29 CM (ESPESSURA 14 CM) E ARGAMASSA DE ASSENTAMENTO COM PREPARO MANUAL. AF_12/2021</t>
  </si>
  <si>
    <t>ALVENARIA DE VEDAÇÃO DE BLOCOS CERÂMICOS FURADOS NA HORIZONTAL DE 14X19X39 CM (ESPESSURA 14 CM) E ARGAMASSA DE ASSENTAMENTO COM PREPARO EM BETONEIRA. AF_12/2021</t>
  </si>
  <si>
    <t>ALVENARIA DE VEDAÇÃO DE BLOCOS CERÂMICOS FURADOS NA HORIZONTAL DE 14X19X39 CM (ESPESSURA 14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</si>
  <si>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</si>
  <si>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</si>
  <si>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19X19X29 CM (ESPESSURA 19 CM) E ARGAMASSA DE ASSENTAMENTO COM PREPARO EM BETONEIRA. AF_12/2021</t>
  </si>
  <si>
    <t>ALVENARIA DE VEDAÇÃO DE BLOCOS CERÂMICOS FURADOS NA HORIZONTAL DE 19X19X29 CM (ESPESSURA 19 CM) E ARGAMASSA DE ASSENTAMENTO COM PREPARO MANUAL. AF_12/2021</t>
  </si>
  <si>
    <t>ALVENARIA DE VEDAÇÃO DE BLOCOS CERÂMICOS FURADOS NA HORIZONTAL DE 19X19X39 CM (ESPESSURA 19 CM) E ARGAMASSA DE ASSENTAMENTO COM PREPARO EM BETONEIRA. AF_12/2021</t>
  </si>
  <si>
    <t>ALVENARIA DE VEDAÇÃO DE BLOCOS CERÂMICOS FURADOS NA HORIZONTAL DE 19X19X39 CM (ESPESSURA 19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</si>
  <si>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</si>
  <si>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</si>
  <si>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9X14X24 CM (ESPESSURA 9 CM) E ARGAMASSA DE ASSENTAMENTO COM PREPARO EM BETONEIRA. AF_12/2021</t>
  </si>
  <si>
    <t>ALVENARIA DE VEDAÇÃO DE BLOCOS CERÂMICOS FURADOS NA HORIZONTAL DE 9X14X24 CM (ESPESSURA 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</si>
  <si>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</si>
  <si>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</si>
  <si>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</si>
  <si>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</si>
  <si>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DE VEDAÇÃO DE BLOCOS CERÂMICOS FURADOS NA HORIZONTAL DE 9X19X39 CM (ESPESSURA 9 CM) E ARGAMASSA DE ASSENTAMENTO COM PREPARO EM BETONEIRA. AF_12/2021</t>
  </si>
  <si>
    <t>ALVENARIA DE VEDAÇÃO DE BLOCOS CERÂMICOS FURADOS NA HORIZONTAL DE 9X19X39 CM (ESPESSURA 9 CM)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</si>
  <si>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</si>
  <si>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</si>
  <si>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VERTICAL DE 11,5X19X29 CM (ESPESSURA 11,5 CM) E ARGAMASSA DE ASSENTAMENTO COM PREPARO EM BETONEIRA. AF_12/2021</t>
  </si>
  <si>
    <t>ALVENARIA DE VEDAÇÃO DE BLOCOS CERÂMICOS FURADOS NA VERTICAL DE 11,5X19X29 CM (ESPESSURA 11,5 CM) E ARGAMASSA DE ASSENTAMENTO COM PREPARO MANUAL. AF_12/2021</t>
  </si>
  <si>
    <t>ALVENARIA DE VEDAÇÃO DE BLOCOS CERÂMICOS FURADOS NA VERTICAL DE 11,5X19X39 CM (ESPESSURA 11,5 CM) E ARGAMASSA DE ASSENTAMENTO COM PREPARO EM BETONEIRA. AF_12/2021</t>
  </si>
  <si>
    <t>ALVENARIA DE VEDAÇÃO DE BLOCOS CERÂMICOS FURADOS NA VERTICAL DE 11,5X19X39 CM (ESPESSURA 11,5 CM) E ARGAMASSA DE ASSENTAMENTO COM PREPARO MANUAL. AF_12/2021</t>
  </si>
  <si>
    <t>ALVENARIA DE VEDAÇÃO DE BLOCOS CERÂMICOS FURADOS NA VERTICAL DE 14X19X29 CM (ESPESSURA 14 CM) E ARGAMASSA DE ASSENTAMENTO COM PREPARO EM BETONEIRA. AF_12/2021</t>
  </si>
  <si>
    <t>ALVENARIA DE VEDAÇÃO DE BLOCOS CERÂMICOS FURADOS NA VERTICAL DE 14X19X29 CM (ESPESSURA 14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</si>
  <si>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</si>
  <si>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</si>
  <si>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</si>
  <si>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</si>
  <si>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</si>
  <si>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</si>
  <si>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</si>
  <si>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</si>
  <si>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</si>
  <si>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</si>
  <si>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</si>
  <si>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</si>
  <si>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</si>
  <si>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</si>
  <si>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VEDAÇÃO DE BLOCOS VAZADOS DE CONCRETO DE 14X19X39 CM (ESPESSURA 14 CM) E ARGAMASSA DE ASSENTAMENTO COM PREPARO EM BETONEIRA.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</si>
  <si>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</si>
  <si>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</si>
  <si>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</si>
  <si>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</si>
  <si>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</si>
  <si>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EMBASAMENTO COM BLOCO ESTRUTURAL DE CERÂMICA, DE 14X19X29CM E ARGAMASSA DE ASSENTAMENTO COM PREPARO EM BETONEIRA. AF_05/2020</t>
  </si>
  <si>
    <t>ALVENARIA DE EMBASAMENTO COM BLOCO ESTRUTURAL DE CONCRETO, DE 14X19X29CM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</si>
  <si>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</si>
  <si>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</si>
  <si>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ALVENARIA DE VEDAÇÃO COM ELEMENTO VAZADO DE CERÂMICA (COBOGÓ) DE 7X20X20CM E ARGAMASSA DE ASSENTAMENTO COM PREPARO EM BETONEIRA. AF_05/2020</t>
  </si>
  <si>
    <t>ALVENARIA DE VEDAÇÃO COM ELEMENTO VAZADO DE CONCRETO (COBOGÓ) DE 7X50X50CM E ARGAMASSA DE ASSENTAMENTO COM PREPARO EM BETONEIRA. AF_05/2020</t>
  </si>
  <si>
    <t>ALVENARIA DE VEDAÇÃO DE BLOCO DE SOLO-CIMENTO (TIJOLO ECOLÓGICO) DE 7X15X30CM (ESPESSURA 15CM). AF_05/2020</t>
  </si>
  <si>
    <t>ALVENARIA DE VEDAÇÃO DE BLOCOS CERÂMICOS MACIÇOS DE 5X10X20CM (ESPESSURA 10CM) E ARGAMASSA DE ASSENTAMENTO COM PREPARO EM BETONEIRA. AF_05/2020</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</si>
  <si>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</si>
  <si>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</si>
  <si>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</si>
  <si>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ALVENARIA DE VEDAÇÃO DE BLOCOS DE GESSO DE 10X50X66CM (ESPESSURA 10CM). AF_05/2020</t>
  </si>
  <si>
    <t>ALVENARIA DE VEDAÇÃO DE BLOCOS DE GESSO DE 7X50X66CM (ESPESSURA 7CM). AF_05/2020</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</si>
  <si>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</si>
  <si>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</si>
  <si>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</si>
  <si>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</si>
  <si>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</si>
  <si>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DE ESTACAS, DIÂMETRO = 32,0 MM. AF_09/2021_PS</t>
  </si>
  <si>
    <t>MONTAGEM DE ARMADURA DE ESTACAS, DIÂMETRO = 8,0 MM. AF_09/2021_PS</t>
  </si>
  <si>
    <t>MONTAGEM DE ARMADURA TRANSVERSAL DE ESTACAS DE SEÇÃO CIRCULAR, DIÂMETRO = 5,0 MM. AF_09/2021_PS</t>
  </si>
  <si>
    <t>MONTAGEM DE ARMADURA TRANSVERSAL DE ESTACAS DE SEÇÃO CIRCULAR, DIÂMETRO = 6,30 MM. AF_09/2021_PS</t>
  </si>
  <si>
    <t>MONTAGEM DE ARMADURA TRANSVERSAL DE ESTACAS DE SEÇÃO RETANGULAR, DIÂMETRO = 6,30 MM. AF_09/2021_PS</t>
  </si>
  <si>
    <t>MONTAGEM DE ARMADURA TRANVERSAL DE ESTACAS DE SEÇÃO RETANGULAR, DIÂMETRO = 5,0 MM. AF_09/2021_PS</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</si>
  <si>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</si>
  <si>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</si>
  <si>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</si>
  <si>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</si>
  <si>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</si>
  <si>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ARMAÇÃO DE ESTRUTURAS DIVERSAS DE CONCRETO ARMADO, EXCETO VIGAS, PILARES, LAJES E FUNDAÇÕES, UTILIZANDO AÇO CA-50 DE 32,0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</si>
  <si>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</si>
  <si>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</si>
  <si>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CA-60 DE 5,0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</si>
  <si>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</si>
  <si>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</si>
  <si>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</si>
  <si>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</si>
  <si>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</si>
  <si>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</si>
  <si>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</si>
  <si>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</si>
  <si>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</si>
  <si>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</si>
  <si>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</si>
  <si>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</si>
  <si>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</si>
  <si>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PILAR OU VIGA DE ESTRUTURA CONVENCIONAL DE CONCRETO ARMADO UTILIZANDO AÇO CA-50 DE 32,0 MM.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</si>
  <si>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</si>
  <si>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</si>
  <si>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CA-60 DE 5,0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</si>
  <si>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</si>
  <si>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</si>
  <si>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</si>
  <si>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</si>
  <si>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</si>
  <si>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CA-60 DE 5,0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</si>
  <si>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</si>
  <si>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</si>
  <si>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</si>
  <si>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</si>
  <si>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</si>
  <si>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UTILIZANDO AÇO CA-25 DE 6,3 MM - MONTAGEM. AF_06/2022</t>
  </si>
  <si>
    <t>ARMAÇÃO UTILIZANDO AÇO CA-25 DE 8,0 MM - MONTAGEM.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</si>
  <si>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</si>
  <si>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</si>
  <si>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</si>
  <si>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</si>
  <si>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</si>
  <si>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CORTE E DOBRA DE AÇO CA-25, DIÂMETRO DE 6,3 MM. AF_06/2022</t>
  </si>
  <si>
    <t>CORTE E DOBRA DE AÇO CA-25,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</si>
  <si>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</si>
  <si>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</si>
  <si>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</si>
  <si>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</si>
  <si>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CA-50, DIÂMETRO DE 25,0 MM. AF_06/2022</t>
  </si>
  <si>
    <t>CORTE E DOBRA DE AÇO CA-50, DIÂMETRO DE 32 MM. AF_06/2022</t>
  </si>
  <si>
    <t>CORTE E DOBRA DE AÇO CA-50, DIÂMETRO DE 6,3 MM. AF_06/2022</t>
  </si>
  <si>
    <t>CORTE E DOBRA DE AÇO CA-50, DIÂMETRO DE 8,0 MM. AF_06/2022</t>
  </si>
  <si>
    <t>CORTE E DOBRA DE AÇO CA-60, DIÂMETRO DE 4,2 MM. AF_06/2022</t>
  </si>
  <si>
    <t>CORTE E DOBRA DE AÇO CA-60, DIÂMETRO DE 5,0 MM. AF_06/2022</t>
  </si>
  <si>
    <t>ARRASAMENTO MECANICO DE ESTACA DE CONCRETO ARMADO, DIAMETROS DE 101 CM A 150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</si>
  <si>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</si>
  <si>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</si>
  <si>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</si>
  <si>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ATÉ 40 CM. AF_05/2021</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</si>
  <si>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</si>
  <si>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</si>
  <si>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</si>
  <si>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ARRASAMENTO MECÂNICO DE ESTACA METÁLICA, PERFIL LAMINADO TIPO H - FAMÍLIA 250. AF_05/2021</t>
  </si>
  <si>
    <t>ARRASAMENTO MECÂNICO DE ESTACA METÁLICA, PERFIL LAMINADO TIPO H - FAMÍLIA 310. AF_05/2021</t>
  </si>
  <si>
    <t>ARRASAMENTO MECÂNICO DE ESTACA METÁLICA, PERFIL LAMINADO TIPO I FAMÍLIA 250. AF_05/2021</t>
  </si>
  <si>
    <t>ASSENTAMENTO DE TUBO DE PEAD CORRUGADO DE DUPLA PAREDE PARA REDE COLETORA DE ESGOTO, DN 1000 MM, JUNTA ELÁSTICA INTEGRADA (NÃO INCLUI FORNECIMENTO).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</si>
  <si>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</si>
  <si>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</si>
  <si>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ASSENTAMENTO DE TUBO DE PEAD CORRUGADO DE DUPLA PAREDE PARA REDE COLETORA DE ESGOTO, DN 250 MM, JUNTA ELÁSTICA INTEGRADA (NÃO INCLUI FORNECIMENTO). AF_01/2021</t>
  </si>
  <si>
    <t>ASSENTAMENTO DE TUBO DE PEAD CORRUGADO DE DUPLA PAREDE PARA REDE COLETORA DE ESGOTO, DN 300 MM, JUNTA ELÁSTICA INTEGRADA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</si>
  <si>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</si>
  <si>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</si>
  <si>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ASSENTAMENTO DE TUBO DE PEAD CORRUGADO DE DUPLA PAREDE PARA REDE COLETORA DE ESGOTO, DN 800 MM, JUNTA ELÁSTICA INTEGRADA (NÃO INCLUI FORNECIMENTO). AF_01/2021</t>
  </si>
  <si>
    <t>ASSENTAMENTO DE TUBO DE PEAD CORRUGADO DE DUPLA PAREDE PARA REDE COLETORA DE ESGOTO, DN 900 MM, JUNTA ELÁSTICA INTEGRADA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</si>
  <si>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</si>
  <si>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</si>
  <si>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</si>
  <si>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</si>
  <si>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</si>
  <si>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</si>
  <si>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</si>
  <si>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</si>
  <si>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</si>
  <si>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</si>
  <si>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</si>
  <si>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</si>
  <si>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</si>
  <si>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JUNTA ARGAMASSADA ENTRE TUBO DN 100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</si>
  <si>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</si>
  <si>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</si>
  <si>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 MM E O POÇO DE VISITA/ CAIXA DE CONCRETO OU ALVENARIA EM REDES DE ESGOTO. AF_01/2021</t>
  </si>
  <si>
    <t>JUNTA ARGAMASSADA ENTRE TUBO DN 1500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</si>
  <si>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</si>
  <si>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</si>
  <si>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</si>
  <si>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</si>
  <si>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</si>
  <si>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</si>
  <si>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</si>
  <si>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JUNTA ARGAMASSADA ENTRE TUBO DN 800 MM E O POÇO DE VISITA/ CAIXA DE CONCRETO OU ALVENARIA EM REDES DE ESGOTO. AF_01/2021</t>
  </si>
  <si>
    <t>JUNTA ARGAMASSADA ENTRE TUBO DN 900 MM E O POÇO DE VISITA/ CAIXA DE CONCRETO OU ALVENARIA EM REDES DE ESGOTO. AF_01/2021</t>
  </si>
  <si>
    <t>TUBO DE PEAD CORRUGADO DE DUPLA PAREDE PARA REDE COLETORA DE ESGOTO, DN 1000 MM, JUNTA ELÁSTICA INTEGRADA - FORNECIMENTO E ASSENTAMENTO. AF_01/2021</t>
  </si>
  <si>
    <t>TUBO DE PEAD CORRUGADO DE DUPLA PAREDE PARA REDE COLETORA DE ESGOTO, DN 1200 MM, JUNTA ELÁSTICA INTEGRADA - FORNECIMENTO E ASSENTAMENTO. AF_01/2021</t>
  </si>
  <si>
    <t>TUBO DE PEAD CORRUGADO DE DUPLA PAREDE PARA REDE COLETORA DE ESGOTO, DN 250 MM, JUNTA ELÁSTICA INTEGRADA - FORNECIMENTO E ASSENTAMENTO. AF_01/2021</t>
  </si>
  <si>
    <t>TUBO DE PEAD CORRUGADO DE DUPLA PAREDE PARA REDE COLETORA DE ESGOTO, DN 300 MM, JUNTA ELÁSTICA INTEGRADA - FORNECIMENTO E ASSENTAMENTO. AF_01/2021</t>
  </si>
  <si>
    <t>TUBO DE PEAD CORRUGADO DE DUPLA PAREDE PARA REDE COLETORA DE ESGOTO, DN 600 MM, JUNTA ELÁSTICA INTEGRADA - FORNECIMENTO E ASSENTAMENTO. AF_01/2021</t>
  </si>
  <si>
    <t>TUBO DE PEAD CORRUGADO DE DUPLA PAREDE PARA REDE COLETORA DE ESGOTO, DN 800 MM, JUNTA ELÁSTICA INTEGRADA - FORNECIMENTO E ASSENTAMENTO. AF_01/2021</t>
  </si>
  <si>
    <t>TUBO DE PVC BRANCO PARA REDE COLETORA DE ESGOTO CONDOMINIAL DE PAREDE MACIÇA, DN 100 MM, JUNTA ELÁSTICA -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</si>
  <si>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</si>
  <si>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</si>
  <si>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</si>
  <si>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</si>
  <si>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</si>
  <si>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</si>
  <si>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</si>
  <si>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</si>
  <si>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</si>
  <si>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</si>
  <si>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</si>
  <si>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</si>
  <si>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</si>
  <si>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</si>
  <si>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100, JUNTA ELÁSTICA, INSTALADO EM LOCAL COM NÍVEL BAIXO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</si>
  <si>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</si>
  <si>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</si>
  <si>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</si>
  <si>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</si>
  <si>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</si>
  <si>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</si>
  <si>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</si>
  <si>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</si>
  <si>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</si>
  <si>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250, JUNTA ELÁSTICA, INSTALADO EM LOCAL COM NÍVEL BAIXO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</si>
  <si>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</si>
  <si>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</si>
  <si>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</si>
  <si>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</si>
  <si>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</si>
  <si>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</si>
  <si>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</si>
  <si>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</si>
  <si>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</si>
  <si>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</si>
  <si>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</si>
  <si>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</si>
  <si>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</si>
  <si>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</si>
  <si>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</si>
  <si>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</si>
  <si>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</si>
  <si>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</si>
  <si>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</si>
  <si>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</si>
  <si>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</si>
  <si>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</si>
  <si>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</si>
  <si>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</si>
  <si>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</si>
  <si>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75, JUNTA ELÁSTICA INTEGRADA, INSTALADO EM LOCAL COM NÍVEL BAIXO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</si>
  <si>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</si>
  <si>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</si>
  <si>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</si>
  <si>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</si>
  <si>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</si>
  <si>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</si>
  <si>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</si>
  <si>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</si>
  <si>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</si>
  <si>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</si>
  <si>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</si>
  <si>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</si>
  <si>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</si>
  <si>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</si>
  <si>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</si>
  <si>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</si>
  <si>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</si>
  <si>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</si>
  <si>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</si>
  <si>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</si>
  <si>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</si>
  <si>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</si>
  <si>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</si>
  <si>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</si>
  <si>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</si>
  <si>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</si>
  <si>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</si>
  <si>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</si>
  <si>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</si>
  <si>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</si>
  <si>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</si>
  <si>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</si>
  <si>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</si>
  <si>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</si>
  <si>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</si>
  <si>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</si>
  <si>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</si>
  <si>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</si>
  <si>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</si>
  <si>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</si>
  <si>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</si>
  <si>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</si>
  <si>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ALTO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</si>
  <si>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</si>
  <si>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</si>
  <si>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</si>
  <si>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</si>
  <si>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</si>
  <si>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</si>
  <si>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</si>
  <si>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</si>
  <si>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</si>
  <si>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</si>
  <si>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</si>
  <si>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</si>
  <si>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</si>
  <si>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</si>
  <si>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</si>
  <si>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</si>
  <si>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</si>
  <si>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</si>
  <si>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</si>
  <si>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</si>
  <si>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</si>
  <si>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</si>
  <si>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</si>
  <si>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</si>
  <si>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</si>
  <si>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</si>
  <si>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</si>
  <si>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PVC PBA PARA REDE DE ÁGUA, DN 100, JUNTA ELÁSTICA INTEGRADA, INSTALADO EM LOCAL COM NÍVEL ALTO DE INTERFERÊNCIAS (NÃO INCLUI FORNECIMENTO). AF_05/2024</t>
  </si>
  <si>
    <t>ASSENTAMENTO DE CONEXÃO 3 ACESSOS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</si>
  <si>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</si>
  <si>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</si>
  <si>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</si>
  <si>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75, JUNTA ELÁSTICA INTEGRADA, INSTALADO EM LOCAL COM NÍVEL BAIXO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</si>
  <si>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</si>
  <si>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</si>
  <si>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</si>
  <si>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</si>
  <si>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</si>
  <si>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</si>
  <si>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</si>
  <si>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</si>
  <si>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</si>
  <si>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</si>
  <si>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</si>
  <si>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2000 MM (80") OU DN 2100 MM (84"), JUNTA SOLDADA, INSTALADO EM LOCAL COM NÍVEL BAIXO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</si>
  <si>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</si>
  <si>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</si>
  <si>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</si>
  <si>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</si>
  <si>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</si>
  <si>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</si>
  <si>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</si>
  <si>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900 MM (36"), JUNTA SOLDADA, INSTALADO EM LOCAL COM NÍVEL BAIXO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</si>
  <si>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</si>
  <si>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</si>
  <si>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</si>
  <si>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</si>
  <si>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</si>
  <si>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1200 MM, JUNTA ELÁSTICA, INSTALADO EM LOCAL COM NÍVEL BAIXO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</si>
  <si>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</si>
  <si>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</si>
  <si>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</si>
  <si>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</si>
  <si>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</si>
  <si>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</si>
  <si>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</si>
  <si>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</si>
  <si>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</si>
  <si>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</si>
  <si>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</si>
  <si>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</si>
  <si>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</si>
  <si>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</si>
  <si>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</si>
  <si>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</si>
  <si>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</si>
  <si>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</si>
  <si>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</si>
  <si>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</si>
  <si>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</si>
  <si>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</si>
  <si>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</si>
  <si>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</si>
  <si>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</si>
  <si>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900 MM, JUNTA ELÁSTICA, INSTALADO EM LOCAL COM NÍVEL BAIXO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</si>
  <si>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</si>
  <si>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DEFOFO OU PRFV OU RPVC PARA REDE DE ÁGUA, DN 100, JUNTA ELÁSTICA INTEGRADA, INSTALADO EM LOCAL COM NÍVEL BAIXO DE INTERFERÊNCIAS (NÃO INCLUI FORNECIMENTO). AF_05/2024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</si>
  <si>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</si>
  <si>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</si>
  <si>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</si>
  <si>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</si>
  <si>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</si>
  <si>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</si>
  <si>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</si>
  <si>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</si>
  <si>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</si>
  <si>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</si>
  <si>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</si>
  <si>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</si>
  <si>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</si>
  <si>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500 MM, JUNTA ELÁSTICA INTEGRADA, INSTALADO EM LOCAL COM NÍVEL BAIXO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</si>
  <si>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</si>
  <si>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100 MM, JUNTA ELÁSTICA INTEGRADA, INSTALADO EM LOCAL COM NÍVEL BAIXO DE INTERFERÊNCIAS (NÃO INCLUI FORNECIMENTO). AF_05/2024</t>
  </si>
  <si>
    <t>ASSENTAMENTO DE TUBO DE PVC PBA PARA REDE DE ÁGUA, DN 125,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</si>
  <si>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</si>
  <si>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</si>
  <si>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</si>
  <si>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ALTO DE INTERFERÊNCIAS (NÃO INCLUI FORNECIMENTO). AF_05/2024</t>
  </si>
  <si>
    <t>ASSENTAMENTO DE TUBO DE PVC PBA PARA REDE DE ÁGUA, DN 180, JUNTA ELÁSTICA INTEGRADA, INSTALADO EM LOCAL COM NÍVEL BAIXO DE INTERFERÊNCIAS (NÃO INCLUI FORNECIMENTO). AF_05/2024</t>
  </si>
  <si>
    <t>ASSENTAMENTO DE TUBO DE PVC PBA PARA REDE DE ÁGUA, DN 50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</si>
  <si>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</si>
  <si>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</si>
  <si>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75 MM, JUNTA ELÁSTICA INTEGRADA, INSTALADO EM LOCAL COM NÍVEL BAIXO DE INTERFERÊNCIAS (NÃO INCLUI FORNECIMENTO). AF_05/2024</t>
  </si>
  <si>
    <t>ASSENTAMENTO E FORNECIMENTO DE CURVA PVC PBA, JE, PB, 45 GRAUS, DN 100 / DE 110 MM, PARA REDE AGUA, JUNTA ELÁSTICA INTEGRADA, INSTALADO EM LOCAL COM NÍVEL ALTO DE INTERFERÊNCIAS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</si>
  <si>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</si>
  <si>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</si>
  <si>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</si>
  <si>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</si>
  <si>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</si>
  <si>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</si>
  <si>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</si>
  <si>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</si>
  <si>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</si>
  <si>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</si>
  <si>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</si>
  <si>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</si>
  <si>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</si>
  <si>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</si>
  <si>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</si>
  <si>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</si>
  <si>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</si>
  <si>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</si>
  <si>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</si>
  <si>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</si>
  <si>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</si>
  <si>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</si>
  <si>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</si>
  <si>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</si>
  <si>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</si>
  <si>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</si>
  <si>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</si>
  <si>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FORNECIMENTO E ASSENTAMENTO DE CURVA 45 GRAUS RANHURADA EM FERRO FUNDIDO, DN 80 MM (3") PARA REDE DE ÁGUA, INSTALADO EM LOCAL COM NÍVEL ALTO DE INTERFERÊNCIAS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</si>
  <si>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</si>
  <si>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ALTO DE INTERFERÊNCIAS (INCLUI FORNECIMENTO). AF_05/2024</t>
  </si>
  <si>
    <t>FORNECIMENTO E ASSENTAMENTO DE TE RANHURADO EM FERRO FUNDIDO, DN 80 (3") PARA REDE DE ÁGUA, INSTALADO EM LOCAL COM NÍVEL BAIXO DE INTERFERÊNCIAS (INCLUI FORNECIMENTO). AF_05/2024</t>
  </si>
  <si>
    <t>ASSENTAMENTO DE TUBO DE CONCRETO PARA REDES COLETORAS DE ESGOTO SANITÁRIO, DIÂMETRO DE 1000 MM, JUNTA ELÁSTICA, INSTALADO EM LOCAL COM ALTO NÍVEL DE INTERFERÊNCIAS (NÃO INCLUI FORNECIMENTO). AF_03/2024</t>
  </si>
  <si>
    <t>ASSENTAMENTO DE TUBO DE CONCRETO PARA REDES COLETORAS DE ESGOTO SANITÁRIO, DIÂMETRO DE 1000 MM, JUNTA ELÁSTICA, INSTALADO EM LOCAL COM BAIXO NÍVEL DE INTERFERÊNCIAS (NÃO INCLUI FORNECIMENTO). AF_03/2024</t>
  </si>
  <si>
    <t>ASSENTAMENTO DE TUBO DE CONCRETO PARA REDES COLETORAS DE ESGOTO SANITÁRIO, DIÂMETRO DE 1200 MM, JUNTA ELÁSTICA, INSTALADO EM LOCAL COM ALTO NÍVEL DE INTERFERÊNCIAS (NÃO INCLUI FORNECIMENTO). AF_03/2024</t>
  </si>
  <si>
    <t>ASSENTAMENTO DE TUBO DE CONCRETO PARA REDES COLETORAS DE ESGOTO SANITÁRIO, DIÂMETRO DE 1200 MM, JUNTA ELÁSTICA, INSTALADO EM LOCAL COM BAIXO NÍVEL DE INTERFERÊNCIAS (NÃO INCLUI FORNECIMENTO). AF_03/2024</t>
  </si>
  <si>
    <t>ASSENTAMENTO DE TUBO DE CONCRETO PARA REDES COLETORAS DE ESGOTO SANITÁRIO, DIÂMETRO DE 1500 MM, JUNTA ELÁSTICA, INSTALADO EM LOCAL COM ALTO NÍVEL DE INTERFERÊNCIAS (NÃO INCLUI FORNECIMENTO). AF_03/2024</t>
  </si>
  <si>
    <t>ASSENTAMENTO DE TUBO DE CONCRETO PARA REDES COLETORAS DE ESGOTO SANITÁRIO, DIÂMETRO DE 1500 MM, JUNTA ELÁSTICA, INSTALADO EM LOCAL COM BAIXO NÍVEL DE INTERFERÊNCIAS (NÃO INCLUI FORNECIMENTO). AF_03/2024</t>
  </si>
  <si>
    <t>ASSENTAMENTO DE TUBO DE CONCRETO PARA REDES COLETORAS DE ESGOTO SANITÁRIO, DIÂMETRO DE 300 MM, JUNTA ELÁSTICA, INSTALADO EM LOCAL COM ALTO NÍVEL DE INTERFERÊNCIAS (NÃO INCLUI FORNECIMENTO). AF_03/2024</t>
  </si>
  <si>
    <t>ASSENTAMENTO DE TUBO DE CONCRETO PARA REDES COLETORAS DE ESGOTO SANITÁRIO, DIÂMETRO DE 300 MM, JUNTA ELÁSTICA, INSTALADO EM LOCAL COM BAIXO NÍVEL DE INTERFERÊNCIAS (NÃO INCLUI FORNECIMENTO). AF_03/2024</t>
  </si>
  <si>
    <t>ASSENTAMENTO DE TUBO DE CONCRETO PARA REDES COLETORAS DE ESGOTO SANITÁRIO, DIÂMETRO DE 400 MM, JUNTA ELÁSTICA, INSTALADO EM LOCAL COM ALTO NÍVEL DE INTERFERÊNCIAS (NÃO INCLUI FORNECIMENTO). AF_03/2024</t>
  </si>
  <si>
    <t>ASSENTAMENTO DE TUBO DE CONCRETO PARA REDES COLETORAS DE ESGOTO SANITÁRIO, DIÂMETRO DE 400 MM, JUNTA ELÁSTICA, INSTALADO EM LOCAL COM BAIXO NÍVEL DE INTERFERÊNCIAS (NÃO INCLUI FORNECIMENTO). AF_03/2024</t>
  </si>
  <si>
    <t>ASSENTAMENTO DE TUBO DE CONCRETO PARA REDES COLETORAS DE ESGOTO SANITÁRIO, DIÂMETRO DE 500 MM, JUNTA ELÁSTICA, INSTALADO EM LOCAL COM ALTO NÍVEL DE INTERFERÊNCIAS (NÃO INCLUI FORNECIMENTO). AF_03/2024</t>
  </si>
  <si>
    <t>ASSENTAMENTO DE TUBO DE CONCRETO PARA REDES COLETORAS DE ESGOTO SANITÁRIO, DIÂMETRO DE 500 MM, JUNTA ELÁSTICA, INSTALADO EM LOCAL COM BAIXO NÍVEL DE INTERFERÊNCIAS (NÃO INCLUI FORNECIMENTO). AF_03/2024</t>
  </si>
  <si>
    <t>ASSENTAMENTO DE TUBO DE CONCRETO PARA REDES COLETORAS DE ESGOTO SANITÁRIO, DIÂMETRO DE 600 MM, JUNTA ELÁSTICA, INSTALADO EM LOCAL COM ALTO NÍVEL DE INTERFERÊNCIAS (NÃO INCLUI FORNECIMENTO). AF_03/2024</t>
  </si>
  <si>
    <t>ASSENTAMENTO DE TUBO DE CONCRETO PARA REDES COLETORAS DE ESGOTO SANITÁRIO, DIÂMETRO DE 600 MM, JUNTA ELÁSTICA, INSTALADO EM LOCAL COM BAIXO NÍVEL DE INTERFERÊNCIAS (NÃO INCLUI FORNECIMENTO). AF_03/2024</t>
  </si>
  <si>
    <t>ASSENTAMENTO DE TUBO DE CONCRETO PARA REDES COLETORAS DE ESGOTO SANITÁRIO, DIÂMETRO DE 700 MM, JUNTA ELÁSTICA, INSTALADO EM LOCAL COM ALTO NÍVEL DE INTERFERÊNCIAS (NÃO INCLUI FORNECIMENTO). AF_03/2024</t>
  </si>
  <si>
    <t>ASSENTAMENTO DE TUBO DE CONCRETO PARA REDES COLETORAS DE ESGOTO SANITÁRIO, DIÂMETRO DE 700 MM, JUNTA ELÁSTICA, INSTALADO EM LOCAL COM BAIXO NÍVEL DE INTERFERÊNCIAS (NÃO INCLUI FORNECIMENTO). AF_03/2024</t>
  </si>
  <si>
    <t>ASSENTAMENTO DE TUBO DE CONCRETO PARA REDES COLETORAS DE ESGOTO SANITÁRIO, DIÂMETRO DE 800 MM, JUNTA ELÁSTICA, INSTALADO EM LOCAL COM ALTO NÍVEL DE INTERFERÊNCIAS (NÃO INCLUI FORNECIMENTO). AF_03/2024</t>
  </si>
  <si>
    <t>ASSENTAMENTO DE TUBO DE CONCRETO PARA REDES COLETORAS DE ESGOTO SANITÁRIO, DIÂMETRO DE 800 MM, JUNTA ELÁSTICA, INSTALADO EM LOCAL COM BAIXO NÍVEL DE INTERFERÊNCIAS (NÃO INCLUI FORNECIMENTO). AF_03/2024</t>
  </si>
  <si>
    <t>ASSENTAMENTO DE TUBO DE CONCRETO PARA REDES COLETORAS DE ESGOTO SANITÁRIO, DIÂMETRO DE 900 MM, JUNTA ELÁSTICA, INSTALADO EM LOCAL COM ALTO NÍVEL DE INTERFERÊNCIAS (NÃO INCLUI FORNECIMENTO). AF_03/2024</t>
  </si>
  <si>
    <t>ASSENTAMENTO DE TUBO DE CONCRETO PARA REDES COLETORAS DE ESGOTO SANITÁRIO, DIÂMETRO DE 900 MM, JUNTA ELÁSTICA, INSTALADO EM LOCAL COM BAIXO NÍVEL DE INTERFERÊNCIAS (NÃO INCLUI FORNECIMENTO). AF_03/2024</t>
  </si>
  <si>
    <t>ASSENTAMENTO DE TUBO DE CONCRETO PARA REDES COLETORAS DE ÁGUAS PLUVIAIS, DIÂMETRO DE 1000 MM, JUNTA RÍGIDA, INSTALADO EM LOCAL COM ALTO NÍVEL DE INTERFERÊNCIAS (NÃO INCLUI FORNECIMENTO). AF_03/2024</t>
  </si>
  <si>
    <t>ASSENTAMENTO DE TUBO DE CONCRETO PARA REDES COLETORAS DE ÁGUAS PLUVIAIS, DIÂMETRO DE 1000 MM, JUNTA RÍGIDA, INSTALADO EM LOCAL COM BAIXO NÍVEL DE INTERFERÊNCIAS (NÃO INCLUI FORNECIMENTO). AF_03/2024</t>
  </si>
  <si>
    <t>ASSENTAMENTO DE TUBO DE CONCRETO PARA REDES COLETORAS DE ÁGUAS PLUVIAIS, DIÂMETRO DE 1200 MM, JUNTA RÍGIDA, INSTALADO EM LOCAL COM ALTO NÍVEL DE INTERFERÊNCIAS (NÃO INCLUI FORNECIMENTO). AF_03/2024</t>
  </si>
  <si>
    <t>ASSENTAMENTO DE TUBO DE CONCRETO PARA REDES COLETORAS DE ÁGUAS PLUVIAIS, DIÂMETRO DE 1200 MM, JUNTA RÍGIDA, INSTALADO EM LOCAL COM BAIXO NÍVEL DE INTERFERÊNCIAS (NÃO INCLUI FORNECIMENTO). AF_03/2024</t>
  </si>
  <si>
    <t>ASSENTAMENTO DE TUBO DE CONCRETO PARA REDES COLETORAS DE ÁGUAS PLUVIAIS, DIÂMETRO DE 1500 MM, JUNTA RÍGIDA, INSTALADO EM LOCAL COM ALTO NÍVEL DE INTERFERÊNCIAS (NÃO INCLUI FORNECIMENTO).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</si>
  <si>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</si>
  <si>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</si>
  <si>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</si>
  <si>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</si>
  <si>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</si>
  <si>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</si>
  <si>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</si>
  <si>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</si>
  <si>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</si>
  <si>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</si>
  <si>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</si>
  <si>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</si>
  <si>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</si>
  <si>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</si>
  <si>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900 MM, JUNTA RÍGIDA, INSTALADO EM LOCAL COM BAIXO NÍVEL DE INTERFERÊNCIAS (NÃO INCLUI FORNECIMENTO).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</si>
  <si>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</si>
  <si>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</si>
  <si>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</si>
  <si>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</si>
  <si>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ALTO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</si>
  <si>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</si>
  <si>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PARA REDES COLETORAS DE ESGOTO SANITÁRIO, DIÂMETRO DE 1000 MM, JUNTA ELÁSTICA, INSTALADO EM LOCAL COM ALTO NÍVEL DE INTERFERÊNCIAS - FORNECIMENTO E ASSENTAMENTO. AF_03/2024</t>
  </si>
  <si>
    <t>TUBO DE CONCRETO PARA REDES COLETORAS DE ESGOTO SANITÁRIO, DIÂMETRO DE 1000 MM, JUNTA ELÁSTICA, INSTALADO EM LOCAL COM BAIXO NÍVEL DE INTERFERÊNCIAS - FORNECIMENTO E ASSENTAMENTO. AF_03/2024</t>
  </si>
  <si>
    <t>TUBO DE CONCRETO PARA REDES COLETORAS DE ESGOTO SANITÁRIO, DIÂMETRO DE 1200 MM, JUNTA ELÁSTICA, INSTALADO EM LOCAL COM ALTO NÍVEL DE INTERFERÊNCIAS - FORNECIMENTO E ASSENTAMENTO. AF_03/2024</t>
  </si>
  <si>
    <t>TUBO DE CONCRETO PARA REDES COLETORAS DE ESGOTO SANITÁRIO, DIÂMETRO DE 1200 MM, JUNTA ELÁSTICA, INSTALADO EM LOCAL COM BAIXO NÍVEL DE INTERFERÊNCIAS - FORNECIMENTO E ASSENTAMENTO. AF_03/2024</t>
  </si>
  <si>
    <t>TUBO DE CONCRETO PARA REDES COLETORAS DE ESGOTO SANITÁRIO, DIÂMETRO DE 1500 MM, JUNTA ELÁSTICA, INSTALADO EM LOCAL COM ALTO NÍVEL DE INTERFERÊNCIAS - FORNECIMENTO E ASSENTAMENTO. AF_03/2024</t>
  </si>
  <si>
    <t>TUBO DE CONCRETO PARA REDES COLETORAS DE ESGOTO SANITÁRIO, DIÂMETRO DE 1500 MM, JUNTA ELÁSTICA, INSTALADO EM LOCAL COM BAIXO NÍVEL DE INTERFERÊNCIAS - FORNECIMENTO E ASSENTAMENTO. AF_03/2024</t>
  </si>
  <si>
    <t>TUBO DE CONCRETO PARA REDES COLETORAS DE ESGOTO SANITÁRIO, DIÂMETRO DE 300 MM, JUNTA ELÁSTICA, INSTALADO EM LOCAL COM ALTO NÍVEL DE INTERFERÊNCIAS - FORNECIMENTO E ASSENTAMENTO. AF_03/2024</t>
  </si>
  <si>
    <t>TUBO DE CONCRETO PARA REDES COLETORAS DE ESGOTO SANITÁRIO, DIÂMETRO DE 300 MM, JUNTA ELÁSTICA, INSTALADO EM LOCAL COM BAIXO NÍVEL DE INTERFERÊNCIAS - FORNECIMENTO E ASSENTAMENTO. AF_03/2024</t>
  </si>
  <si>
    <t>TUBO DE CONCRETO PARA REDES COLETORAS DE ESGOTO SANITÁRIO, DIÂMETRO DE 400 MM, JUNTA ELÁSTICA, INSTALADO EM LOCAL COM ALTO NÍVEL DE INTERFERÊNCIAS - FORNECIMENTO E ASSENTAMENTO. AF_03/2024</t>
  </si>
  <si>
    <t>TUBO DE CONCRETO PARA REDES COLETORAS DE ESGOTO SANITÁRIO, DIÂMETRO DE 400 MM, JUNTA ELÁSTICA, INSTALADO EM LOCAL COM BAIXO NÍVEL DE INTERFERÊNCIAS - FORNECIMENTO E ASSENTAMENTO. AF_03/2024</t>
  </si>
  <si>
    <t>TUBO DE CONCRETO PARA REDES COLETORAS DE ESGOTO SANITÁRIO, DIÂMETRO DE 500 MM, JUNTA ELÁSTICA, INSTALADO EM LOCAL COM ALTO NÍVEL DE INTERFERÊNCIAS - FORNECIMENTO E ASSENTAMENTO. AF_03/2024</t>
  </si>
  <si>
    <t>TUBO DE CONCRETO PARA REDES COLETORAS DE ESGOTO SANITÁRIO, DIÂMETRO DE 500 MM, JUNTA ELÁSTICA, INSTALADO EM LOCAL COM BAIXO NÍVEL DE INTERFERÊNCIAS - FORNECIMENTO E ASSENTAMENTO. AF_03/2024</t>
  </si>
  <si>
    <t>TUBO DE CONCRETO PARA REDES COLETORAS DE ESGOTO SANITÁRIO, DIÂMETRO DE 600 MM, JUNTA ELÁSTICA, INSTALADO EM LOCAL COM ALTO NÍVEL DE INTERFERÊNCIAS - FORNECIMENTO E ASSENTAMENTO. AF_03/2024</t>
  </si>
  <si>
    <t>TUBO DE CONCRETO PARA REDES COLETORAS DE ESGOTO SANITÁRIO, DIÂMETRO DE 600 MM, JUNTA ELÁSTICA, INSTALADO EM LOCAL COM BAIXO NÍVEL DE INTERFERÊNCIAS - FORNECIMENTO E ASSENTAMENTO. AF_03/2024</t>
  </si>
  <si>
    <t>TUBO DE CONCRETO PARA REDES COLETORAS DE ESGOTO SANITÁRIO, DIÂMETRO DE 700 MM, JUNTA ELÁSTICA, INSTALADO EM LOCAL COM ALTO NÍVEL DE INTERFERÊNCIAS - FORNECIMENTO E ASSENTAMENTO. AF_03/2024</t>
  </si>
  <si>
    <t>TUBO DE CONCRETO PARA REDES COLETORAS DE ESGOTO SANITÁRIO, DIÂMETRO DE 700 MM, JUNTA ELÁSTICA, INSTALADO EM LOCAL COM BAIXO NÍVEL DE INTERFERÊNCIAS - FORNECIMENTO E ASSENTAMENTO. AF_03/2024</t>
  </si>
  <si>
    <t>TUBO DE CONCRETO PARA REDES COLETORAS DE ESGOTO SANITÁRIO, DIÂMETRO DE 800 MM, JUNTA ELÁSTICA, INSTALADO EM LOCAL COM ALTO NÍVEL DE INTERFERÊNCIAS - FORNECIMENTO E ASSENTAMENTO. AF_03/2024</t>
  </si>
  <si>
    <t>TUBO DE CONCRETO PARA REDES COLETORAS DE ESGOTO SANITÁRIO, DIÂMETRO DE 800 MM, JUNTA ELÁSTICA, INSTALADO EM LOCAL COM BAIXO NÍVEL DE INTERFERÊNCIAS - FORNECIMENTO E ASSENTAMENTO. AF_03/2024</t>
  </si>
  <si>
    <t>TUBO DE CONCRETO PARA REDES COLETORAS DE ESGOTO SANITÁRIO, DIÂMETRO DE 900 MM, JUNTA ELÁSTICA, INSTALADO EM LOCAL COM ALTO NÍVEL DE INTERFERÊNCIAS - FORNECIMENTO E ASSENTAMENTO. AF_03/2024</t>
  </si>
  <si>
    <t>TUBO DE CONCRETO PARA REDES COLETORAS DE ESGOTO SANITÁRIO, DIÂMETRO DE 900 MM, JUNTA ELÁSTICA, INSTALADO EM LOCAL COM BAIXO NÍVEL DE INTERFERÊNCIAS - FORNECIMENTO E ASSENTAMENTO. AF_03/2024</t>
  </si>
  <si>
    <t>TUBO DE CONCRETO PARA REDES COLETORAS DE ÁGUAS PLUVIAIS, DIÂMETRO DE 1000 MM, JUNTA RÍGIDA, INSTALADO EM LOCAL COM ALTO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</si>
  <si>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</si>
  <si>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1200 MM, JUNTA RÍGIDA, INSTALADO EM LOCAL COM ALTO NÍVEL DE INTERFERÊNCIAS - FORNECIMENTO E ASSENTAMENTO. AF_03/2024</t>
  </si>
  <si>
    <t>TUBO DE CONCRETO PARA REDES COLETORAS DE ÁGUAS PLUVIAIS, DIÂMETRO DE 1200 MM, JUNTA RÍGIDA, INSTALADO EM LOCAL COM BAIXO NÍVEL DE INTERFERÊNCIAS - FORNECIMENTO E ASSENTAMENTO. AF_03/2024</t>
  </si>
  <si>
    <t>TUBO DE CONCRETO PARA REDES COLETORAS DE ÁGUAS PLUVIAIS, DIÂMETRO DE 1500 MM, JUNTA RÍGIDA, INSTALADO EM LOCAL COM ALTO NÍVEL DE INTERFERÊNCIAS - FORNECIMENTO E ASSENTAMENTO. AF_03/2024</t>
  </si>
  <si>
    <t>TUBO DE CONCRETO PARA REDES COLETORAS DE ÁGUAS PLUVIAIS, DIÂMETRO DE 1500 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</si>
  <si>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</si>
  <si>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</si>
  <si>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</si>
  <si>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</si>
  <si>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</si>
  <si>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</si>
  <si>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</si>
  <si>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</si>
  <si>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</si>
  <si>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</si>
  <si>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</si>
  <si>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</si>
  <si>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</si>
  <si>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900 MM, JUNTA RÍGIDA, INSTALADO EM LOCAL COM BAIXO NÍVEL DE INTERFERÊNCIAS - FORNECIMENTO E ASSENTAMENTO. AF_03/2024</t>
  </si>
  <si>
    <t>ATERRO MANUAL DE VALAS COM AREIA PARA ATERRO. AF_08/2023</t>
  </si>
  <si>
    <t>ATERRO MANUAL DE VALAS COM SOLO ARGILO-ARENOSO. AF_08/2023</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</si>
  <si>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</si>
  <si>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</si>
  <si>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</si>
  <si>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</si>
  <si>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</si>
  <si>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ESCAVADEIRA HIDRÁULICA (CAPACIDADE DA CAÇAMBA: 0,8 M³/POTÊNCIA: 111 HP), LARGURA ATÉ 2,5 M, PROFUNDIDADE DE 3,0 A 6,0 M, COM SOLO ARGILO-ARENOSO. AF_08/2023</t>
  </si>
  <si>
    <t>ATERRO MECANIZADO DE VALA COM MINICARREGADEIRA, COM AREIA PARA ATERRO. AF_08/2023</t>
  </si>
  <si>
    <t>ATERRO MECANIZADO DE VALA COM MINICARREGADEIRA,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</si>
  <si>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</si>
  <si>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</si>
  <si>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MECANIZADO DE VALA COM RETROESCAVADEIRA (CAPACIDADE DA CAÇAMBA DA RETRO: 0,26 M³/POTÊNCIA: 88 HP), LARGURA ATÉ 1,5 M, PROFUNDIDADE DE 1,5 A 3,0 M, COM AREIA PARA ATERRO. AF_08/2023</t>
  </si>
  <si>
    <t>COMPACTAÇÃO DE VALAS COM ROLO COMPRESSOR. AF_08/2023</t>
  </si>
  <si>
    <t>REATERRO MANUAL DE VALAS, COM COMPACTADOR DE SOLOS DE PERCUSSÃO. AF_08/2023</t>
  </si>
  <si>
    <t>REATERRO MANUAL DE VALAS, COM PLACA VIBRATÓRIA. AF_08/2023</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</si>
  <si>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</si>
  <si>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</si>
  <si>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</si>
  <si>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</si>
  <si>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</si>
  <si>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</si>
  <si>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</si>
  <si>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</si>
  <si>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</si>
  <si>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</si>
  <si>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MECANIZADO DE VALA COM MINICARREGADEIRA, COM COMPACTADOR DE SOLOS DE PERCUSSÃO. AF_08/2023</t>
  </si>
  <si>
    <t>REATERRO MECANIZADO DE VALA COM MINICARREGADEIRA, COM PLACA VIBRATÓRIA. AF_08/2023</t>
  </si>
  <si>
    <t>REATERRO MECANIZADO DE VALA COM RETROESCAVADEIRA (CAPACIDADE DA CAÇAMBA DA RETRO: 0,26 M³/POTÊNCIA: 88 HP), LARGURA 0,8 A 1,5 M, PROFUNDIDADE 1,5 A 3,0 M, COM SOLO (SEM SUBSTITUIÇÃO) DE 1ª CATEGORIA E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</si>
  <si>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</si>
  <si>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</si>
  <si>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</si>
  <si>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</si>
  <si>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</si>
  <si>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</si>
  <si>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</si>
  <si>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CONSTRUÇÃO DE BASE E SUB-BASE PARA PAVIMENTAÇÃO DE BRITA GRADUADA SIMPLES TRATADA COM CIMENTO, COM ESPESSURA DE 10 CM - EXCLUSIVE CARGA E TRANSPORTE. AF_09/2024</t>
  </si>
  <si>
    <t>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</si>
  <si>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</si>
  <si>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CONSTRUÇÃO DE BASE E SUB-BASE PARA PAVIMENTAÇÃO DE BRITA GRADUADA SIMPLES, COM ESPESSURA DE 10 CM - EXCLUSIVE CARGA E TRANSPORTE. AF_09/2024</t>
  </si>
  <si>
    <t>CONSTRUÇÃO DE BASE E SUB-BASE PARA PAVIMENTAÇÃO DE BRITA GRADUADA SIMPLES, COM ESPESSURA DE 20 CM - EXCLUSIVE CARGA E TRANSPORTE. AF_09/2024</t>
  </si>
  <si>
    <t>CONSTRUÇÃO DE BASE E SUB-BASE PARA PAVIMENTAÇÃO DE CONCRETO COMPACTADO COM ROLO, COM ESPESSURA DE 10 CM - EXCLUSIVE CARGA E TRANSPORTE. AF_09/2024</t>
  </si>
  <si>
    <t>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</si>
  <si>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</si>
  <si>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CONSTRUÇÃO DE BASE E SUB-BASE PARA PAVIMENTAÇÃO DE MACADAME SECO, COM ESPESSURA DE 10 CM - EXCLUSIVE CARGA E TRANSPORTE. AF_09/2024</t>
  </si>
  <si>
    <t>CONSTRUÇÃO DE BASE E SUB-BASE PARA PAVIMENTAÇÃO DE MACADAME SECO, COM ESPESSURA DE 15 CM - EXCLUSIVE CARGA E TRANSPORTE. AF_09/2024</t>
  </si>
  <si>
    <t>CONSTRUÇÃO DE BASE E SUB-BASE PARA PAVIMENTAÇÃO DE MACADAME SECO, COM ESPESSURA DE 20 CM - EXCLUSIVE CARGA E TRANSPORTE. AF_09/2024</t>
  </si>
  <si>
    <t>CONSTRUÇÃO DE BASE E SUB-BASE PARA PAVIMENTAÇÃO DE MACADAME SECO, COM ESPESSURA DE 25 CM - EXCLUSIVE CARGA E TRANSPORTE. AF_09/2024</t>
  </si>
  <si>
    <t>CONSTRUÇÃO DE BASE E SUB-BASE PARA PAVIMENTAÇÃO DE RACHÃO, COM ESPESSURA DE 30 CM - EXCLUSIVE CARGA E TRANSPORTE. AF_09/2024</t>
  </si>
  <si>
    <t>CONSTRUÇÃO DE BASE E SUB-BASE PARA PAVIMENTAÇÃO DE RACHÃO, COM ESPESSURA DE 50 CM - EXCLUSIVE CARGA E TRANSPORTE. AF_09/2024</t>
  </si>
  <si>
    <t>CONSTRUÇÃO DE BASE E SUB-BASE PARA PAVIMENTAÇÃO DE RACHÃO, COM ESPESSURA DE 60 CM - EXCLUSIVE CARGA E TRANSPORTE.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</si>
  <si>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</si>
  <si>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</si>
  <si>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</si>
  <si>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- 4%, MISTURA EM USINA, COM ESPESSURA DE 10 CM - EXCLUSIVE CARGA E TRANSPORTE. AF_09/2024</t>
  </si>
  <si>
    <t>CONSTRUÇÃO DE BASE E SUB-BASE PARA PAVIMENTAÇÃO DE SOLO (PREDOMINANTEMENTE ARENOSO) BRITA - 40%-60% COM CIMENTO - 4%, MISTURA EM USINA, COM ESPESSURA DE 15 CM - EXCLUSIVE CARGA E TRANSPORTE. AF_09/2024</t>
  </si>
  <si>
    <t>CONSTRUÇÃO DE BASE E SUB-BASE PARA PAVIMENTAÇÃO DE SOLO (PREDOMINANTEMENTE ARENOSO) BRITA - 40%-60% COM CIMENTO - 4%, MISTURA EM USINA, COM ESPESSURA DE 20 CM - EXCLUSIVE CARGA E TRANSPORTE.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</si>
  <si>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</si>
  <si>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</si>
  <si>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</si>
  <si>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- 6%, MISTURA EM USINA, COM ESPESSURA DE 10 CM - EXCLUSIVE CARGA E TRANSPORTE. AF_09/2024</t>
  </si>
  <si>
    <t>CONSTRUÇÃO DE BASE E SUB-BASE PARA PAVIMENTAÇÃO DE SOLO (PREDOMINANTEMENTE ARENOSO) BRITA - 40%-60% COM CIMENTO - 6%, MISTURA EM USINA, COM ESPESSURA DE 15 CM - EXCLUSIVE CARGA E TRANSPORTE. AF_09/2024</t>
  </si>
  <si>
    <t>CONSTRUÇÃO DE BASE E SUB-BASE PARA PAVIMENTAÇÃO DE SOLO (PREDOMINANTEMENTE ARENOSO) BRITA - 40%-60% COM CIMENTO - 6%, MISTURA EM USINA, COM ESPESSURA DE 20 CM - EXCLUSIVE CARGA E TRANSPORTE. AF_09/2024</t>
  </si>
  <si>
    <t>CONSTRUÇÃO DE BASE E SUB-BASE PARA PAVIMENTAÇÃO DE SOLO (PREDOMINANTEMENTE ARENOSO) BRITA - 40%-60% COM CIMENTO - 8%, MISTURA EM PISTA, COM ESPESSURA DE 10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</si>
  <si>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</si>
  <si>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</si>
  <si>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- 40%-60% COM CIMENTO - 8%, MISTURA EM USINA, COM ESPESSURA DE 10 CM - EXCLUSIVE CARGA E TRANSPORTE. AF_09/2024</t>
  </si>
  <si>
    <t>CONSTRUÇÃO DE BASE E SUB-BASE PARA PAVIMENTAÇÃO DE SOLO (PREDOMINANTEMENTE ARENOSO) BRITA - 40%-60% COM CIMENTO - 8%, MISTURA EM USINA, COM ESPESSURA DE 15 CM - EXCLUSIVE CARGA E TRANSPORTE. AF_09/2024</t>
  </si>
  <si>
    <t>CONSTRUÇÃO DE BASE E SUB-BASE PARA PAVIMENTAÇÃO DE SOLO (PREDOMINANTEMENTE ARENOSO) BRITA - 40%-60% COM CIMENTO - 8%, MISTURA EM USINA, COM ESPESSURA DE 20 CM - EXCLUSIVE CARGA E TRANSPORTE.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</si>
  <si>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</si>
  <si>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</si>
  <si>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</si>
  <si>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- 40%-60%, MISTURA EM USINA, COM ESPESSURA DE 10 CM - EXCLUSIVE CARGA E TRANSPORTE. AF_09/2024</t>
  </si>
  <si>
    <t>CONSTRUÇÃO DE BASE E SUB-BASE PARA PAVIMENTAÇÃO DE SOLO (PREDOMINANTEMENTE ARENOSO) BRITA - 40%-60%, MISTURA EM USINA, COM ESPESSURA DE 15 CM - EXCLUSIVE CARGA E TRANSPORTE. AF_09/2024</t>
  </si>
  <si>
    <t>CONSTRUÇÃO DE BASE E SUB-BASE PARA PAVIMENTAÇÃO DE SOLO (PREDOMINANTEMENTE ARENOSO) BRITA - 40%-60%, MISTURA EM USINA, COM ESPESSURA DE 20 CM - EXCLUSIVE CARGA E TRANSPORTE.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</si>
  <si>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</si>
  <si>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</si>
  <si>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</si>
  <si>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- 4%, MISTURA EM USINA, COM ESPESSURA DE 10 CM - EXCLUSIVE CARGA E TRANSPORTE. AF_09/2024</t>
  </si>
  <si>
    <t>CONSTRUÇÃO DE BASE E SUB-BASE PARA PAVIMENTAÇÃO DE SOLO (PREDOMINANTEMENTE ARENOSO) BRITA - 50%-50% COM CIMENTO - 4%, MISTURA EM USINA, COM ESPESSURA DE 15 CM - EXCLUSIVE CARGA E TRANSPORTE. AF_09/2024</t>
  </si>
  <si>
    <t>CONSTRUÇÃO DE BASE E SUB-BASE PARA PAVIMENTAÇÃO DE SOLO (PREDOMINANTEMENTE ARENOSO) BRITA - 50%-50% COM CIMENTO - 4%, MISTURA EM USINA, COM ESPESSURA DE 20 CM - EXCLUSIVE CARGA E TRANSPORTE.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</si>
  <si>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</si>
  <si>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</si>
  <si>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</si>
  <si>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- 6%, MISTURA EM USINA, COM ESPESSURA DE 10 CM - EXCLUSIVE CARGA E TRANSPORTE. AF_09/2024</t>
  </si>
  <si>
    <t>CONSTRUÇÃO DE BASE E SUB-BASE PARA PAVIMENTAÇÃO DE SOLO (PREDOMINANTEMENTE ARENOSO) BRITA - 50%-50% COM CIMENTO - 6%, MISTURA EM USINA, COM ESPESSURA DE 15 CM - EXCLUSIVE CARGA E TRANSPORTE. AF_09/2024</t>
  </si>
  <si>
    <t>CONSTRUÇÃO DE BASE E SUB-BASE PARA PAVIMENTAÇÃO DE SOLO (PREDOMINANTEMENTE ARENOSO) BRITA - 50%-50% COM CIMENTO - 6%, MISTURA EM USINA, COM ESPESSURA DE 20 CM - EXCLUSIVE CARGA E TRANSPORTE. AF_09/2024</t>
  </si>
  <si>
    <t>CONSTRUÇÃO DE BASE E SUB-BASE PARA PAVIMENTAÇÃO DE SOLO (PREDOMINANTEMENTE ARENOSO) BRITA - 50%-50% COM CIMENTO - 8%, MISTURA EM PISTA, COM ESPESSURA DE 10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</si>
  <si>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</si>
  <si>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</si>
  <si>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- 50%-50% COM CIMENTO - 8%, MISTURA EM USINA, COM ESPESSURA DE 10 CM - EXCLUSIVE CARGA E TRANSPORTE. AF_09/2024</t>
  </si>
  <si>
    <t>CONSTRUÇÃO DE BASE E SUB-BASE PARA PAVIMENTAÇÃO DE SOLO (PREDOMINANTEMENTE ARENOSO) BRITA - 50%-50% COM CIMENTO - 8%, MISTURA EM USINA, COM ESPESSURA DE 15 CM - EXCLUSIVE CARGA E TRANSPORTE. AF_09/2024</t>
  </si>
  <si>
    <t>CONSTRUÇÃO DE BASE E SUB-BASE PARA PAVIMENTAÇÃO DE SOLO (PREDOMINANTEMENTE ARENOSO) BRITA - 50%-50% COM CIMENTO - 8%, MISTURA EM USINA, COM ESPESSURA DE 20 CM - EXCLUSIVE CARGA E TRANSPORTE. AF_09/2024</t>
  </si>
  <si>
    <t>CONSTRUÇÃO DE BASE E SUB-BASE PARA PAVIMENTAÇÃO DE SOLO (PREDOMINANTEMENTE ARENOSO) BRITA - 50%-50%, MISTURA EM PISTA, COM ESPESSURA DE 10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</si>
  <si>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</si>
  <si>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</si>
  <si>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ARENOSO) BRITA - 50%-50%, MISTURA EM USINA, COM ESPESSURA DE 10 CM - EXCLUSIVE CARGA E TRANSPORTE. AF_09/2024</t>
  </si>
  <si>
    <t>CONSTRUÇÃO DE BASE E SUB-BASE PARA PAVIMENTAÇÃO DE SOLO (PREDOMINANTEMENTE ARENOSO) BRITA - 50%-50%, MISTURA EM USINA, COM ESPESSURA DE 15 CM - EXCLUSIVE CARGA E TRANSPORTE. AF_09/2024</t>
  </si>
  <si>
    <t>CONSTRUÇÃO DE BASE E SUB-BASE PARA PAVIMENTAÇÃO DE SOLO (PREDOMINANTEMENTE ARENOSO) BRITA - 50%-50%, MISTURA EM USINA, COM ESPESSURA DE 20 CM - EXCLUSIVE CARGA E TRANSPORTE.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</si>
  <si>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</si>
  <si>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</si>
  <si>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</si>
  <si>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- 6%, MISTURA EM USINA, COM ESPESSURA DE 10 CM - EXCLUSIVE CARGA E TRANSPORTE. AF_09/2024</t>
  </si>
  <si>
    <t>CONSTRUÇÃO DE BASE E SUB-BASE PARA PAVIMENTAÇÃO DE SOLO (PREDOMINANTEMENTE ARENOSO) COM CIMENTO - 6%, MISTURA EM USINA, COM ESPESSURA DE 15 CM - EXCLUSIVE CARGA E TRANSPORTE. AF_09/2024</t>
  </si>
  <si>
    <t>CONSTRUÇÃO DE BASE E SUB-BASE PARA PAVIMENTAÇÃO DE SOLO (PREDOMINANTEMENTE ARENOSO) COM CIMENTO - 6%, MISTURA EM USINA, COM ESPESSURA DE 20 CM - EXCLUSIVE CARGA E TRANSPORTE. AF_09/2024</t>
  </si>
  <si>
    <t>CONSTRUÇÃO DE BASE E SUB-BASE PARA PAVIMENTAÇÃO DE SOLO (PREDOMINANTEMENTE ARENOSO) COM CIMENTO - 8%, MISTURA EM PISTA, COM ESPESSURA DE 10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</si>
  <si>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</si>
  <si>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</si>
  <si>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COM CIMENTO - 8%, MISTURA EM USINA, COM ESPESSURA DE 10 CM - EXCLUSIVE CARGA E TRANSPORTE. AF_09/2024</t>
  </si>
  <si>
    <t>CONSTRUÇÃO DE BASE E SUB-BASE PARA PAVIMENTAÇÃO DE SOLO (PREDOMINANTEMENTE ARENOSO) COM CIMENTO - 8%, MISTURA EM USINA, COM ESPESSURA DE 15 CM - EXCLUSIVE CARGA E TRANSPORTE. AF_09/2024</t>
  </si>
  <si>
    <t>CONSTRUÇÃO DE BASE E SUB-BASE PARA PAVIMENTAÇÃO DE SOLO (PREDOMINANTEMENTE ARENOSO) COM CIMENTO - 8%, MISTURA EM USINA, COM ESPESSURA DE 20 CM - EXCLUSIVE CARGA E TRANSPORTE. AF_09/2024</t>
  </si>
  <si>
    <t>CONSTRUÇÃO DE BASE E SUB-BASE PARA PAVIMENTAÇÃO DE SOLO (PREDOMINANTEMENTE ARENOSO) MELHORADO COM CIMENTO - 2%, MISTURA EM PISTA, COM ESPESSURA DE 10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</si>
  <si>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</si>
  <si>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</si>
  <si>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CONSTRUÇÃO DE BASE E SUB-BASE PARA PAVIMENTAÇÃO DE SOLO (PREDOMINANTEMENTE ARENOSO) MELHORADO COM CIMENTO - 2%, MISTURA EM USINA, COM ESPESSURA DE 10 CM - EXCLUSIVE CARGA E TRANSPORTE. AF_09/2024</t>
  </si>
  <si>
    <t>CONSTRUÇÃO DE BASE E SUB-BASE PARA PAVIMENTAÇÃO DE SOLO (PREDOMINANTEMENTE ARENOSO) MELHORADO COM CIMENTO - 2%, MISTURA EM USINA, COM ESPESSURA DE 15 CM - EXCLUSIVE CARGA E TRANSPORTE. AF_09/2024</t>
  </si>
  <si>
    <t>CONSTRUÇÃO DE BASE E SUB-BASE PARA PAVIMENTAÇÃO DE SOLO (PREDOMINANTEMENTE ARENOSO) MELHORADO COM CIMENTO - 2%, MISTURA EM USINA, COM ESPESSURA DE 20 CM - EXCLUSIVE CARGA E TRANSPORTE.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</si>
  <si>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</si>
  <si>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</si>
  <si>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</si>
  <si>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ARENOSO) MELHORADO COM CIMENTO - 4%, MISTURA EM USINA, COM ESPESSURA DE 10 CM - EXCLUSIVE CARGA E TRANSPORTE. AF_09/2024</t>
  </si>
  <si>
    <t>CONSTRUÇÃO DE BASE E SUB-BASE PARA PAVIMENTAÇÃO DE SOLO (PREDOMINANTEMENTE ARENOSO) MELHORADO COM CIMENTO - 4%, MISTURA EM USINA, COM ESPESSURA DE 15 CM - EXCLUSIVE CARGA E TRANSPORTE. AF_09/2024</t>
  </si>
  <si>
    <t>CONSTRUÇÃO DE BASE E SUB-BASE PARA PAVIMENTAÇÃO DE SOLO (PREDOMINANTEMENTE ARENOSO) MELHORADO COM CIMENTO - 4%, MISTURA EM USINA, COM ESPESSURA DE 20 CM - EXCLUSIVE CARGA E TRANSPORTE. AF_09/2024</t>
  </si>
  <si>
    <t>CONSTRUÇÃO DE BASE E SUB-BASE PARA PAVIMENTAÇÃO DE SOLO (PREDOMINANTEMENTE ARGILOSO) BRITA - 40%-60%, MISTURA EM PISTA, COM ESPESSURA DE 10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</si>
  <si>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</si>
  <si>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</si>
  <si>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- 40%-60%, MISTURA EM USINA, COM ESPESSURA DE 10 CM - EXCLUSIVE CARGA E TRANSPORTE. AF_09/2024</t>
  </si>
  <si>
    <t>CONSTRUÇÃO DE BASE E SUB-BASE PARA PAVIMENTAÇÃO DE SOLO (PREDOMINANTEMENTE ARGILOSO) BRITA - 40%-60%, MISTURA EM USINA, COM ESPESSURA DE 15 CM - EXCLUSIVE CARGA E TRANSPORTE. AF_09/2024</t>
  </si>
  <si>
    <t>CONSTRUÇÃO DE BASE E SUB-BASE PARA PAVIMENTAÇÃO DE SOLO (PREDOMINANTEMENTE ARGILOSO) BRITA - 40%-60%, MISTURA EM USINA, COM ESPESSURA DE 20 CM - EXCLUSIVE CARGA E TRANSPORTE. AF_09/2024</t>
  </si>
  <si>
    <t>CONSTRUÇÃO DE BASE E SUB-BASE PARA PAVIMENTAÇÃO DE SOLO (PREDOMINANTEMENTE ARGILOSO) BRITA - 50%-50%, MISTURA EM PISTA, COM ESPESSURA DE 10 CM - EXCLUSIVE ESCAVAÇÃO, CARGA E TRANSPORTE E SOLO. AF_09/2024</t>
  </si>
  <si>
    <t>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</si>
  <si>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</si>
  <si>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CONSTRUÇÃO DE BASE E SUB-BASE PARA PAVIMENTAÇÃO DE SOLO (PREDOMINANTEMENTE ARGILOSO) BRITA - 50%-50%, MISTURA EM USINA, COM ESPESSURA DE 10 CM - EXCLUSIVE CARGA E TRANSPORTE. AF_09/2024</t>
  </si>
  <si>
    <t>CONSTRUÇÃO DE BASE E SUB-BASE PARA PAVIMENTAÇÃO DE SOLO (PREDOMINANTEMENTE ARGILOSO) BRITA - 50%-50%, MISTURA EM USINA, COM ESPESSURA DE 15 CM - EXCLUSIVE CARGA E TRANSPORTE. AF_09/2024</t>
  </si>
  <si>
    <t>CONSTRUÇÃO DE BASE E SUB-BASE PARA PAVIMENTAÇÃO DE SOLO (PREDOMINANTEMENTE ARGILOSO) BRITA - 50%-50%, MISTURA EM USINA, COM ESPESSURA DE 20 CM - EXCLUSIVE CARGA E TRANSPORTE. AF_09/2024</t>
  </si>
  <si>
    <t>CONSTRUÇÃO DE BASE E SUB-BASE PARA PAVIMENTAÇÃO DE SOLO DE COMPORTAMENTO LATERÍTICO (ARENOSO), COM ESPESSURA DE 10 CM - EXCLUSIVE ESCAVAÇÃO, CARGA E TRANSPORTE E SOLO. AF_09/2024</t>
  </si>
  <si>
    <t>CONSTRUÇÃO DE BASE E SUB-BASE PARA PAVIMENTAÇÃO DE SOLO DE COMPORTAMENTO LATERÍTICO (ARENOSO), COM ESPESSURA DE 15 CM - EXCLUSIVE ESCAVAÇÃO, CARGA E TRANSPORTE E SOLO.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</si>
  <si>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</si>
  <si>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</si>
  <si>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ESPALHAMENTO DE MATERIAL COM TRATOR DE ESTEIRAS. AF_09/2024</t>
  </si>
  <si>
    <t>EXECUÇÃO DE IMPRIMAÇÃO COM ASFALTO DILUÍDO CM-30, PARA OBRAS DE CONSTRUÇÃO DE PAVIMENTOS. AF_09/2024</t>
  </si>
  <si>
    <t>EXECUÇÃO DE IMPRIMAÇÃO COM ASFALTO DILUÍDO CM-30, PARA OBRAS DE RECONSTRUÇÃO DE PAVIMENTOS. AF_09/2024</t>
  </si>
  <si>
    <t>EXECUÇÃO DE PINTURA DE LIGAÇÃO COM EMULSÃO ASFÁLTICA RR-2C, PARA OBRAS DE CONSTRUÇÃO DE PAVIMENTOS. AF_09/2024</t>
  </si>
  <si>
    <t>EXECUÇÃO DE PINTURA DE LIGAÇÃO COM EMULSÃO ASFÁLTICA RR-2C, PARA OBRAS DE RECONSTRUÇÃO DE PAVIMENTOS.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</si>
  <si>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</si>
  <si>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</si>
  <si>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</si>
  <si>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</si>
  <si>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</si>
  <si>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</si>
  <si>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(95% DE ENERGIA DO PROCTOR NORMAL) COM SOLO PREDOMINANTEMENTE ARENOSO,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</si>
  <si>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</si>
  <si>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CORPO DE ATERRO DE ATERRO (95% DE ENERGIA DO PROCTOR NORMAL) COM SOLO PREDOMINANTEMENTE ARGILOSO ESPESSURA 15 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</si>
  <si>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</si>
  <si>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</si>
  <si>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</si>
  <si>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</si>
  <si>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RECONSTRUÇÃO DE BASE E SUB-BASE PARA PAVIMENTAÇÃO DE BRITA GRADUADA SIMPLES TRATADA COM CIMENTO, COM ESPESSURA DE 20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</si>
  <si>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</si>
  <si>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</si>
  <si>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RECONSTRUÇÃO DE BASE E SUB-BASE PARA PAVIMENTAÇÃO DE BRITA GRADUADA SIMPLES, COM ESPESSURA DE 20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</si>
  <si>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</si>
  <si>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</si>
  <si>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RECONSTRUÇÃO DE BASE E SUB-BASE PARA PAVIMENTAÇÃO DE CONCRETO COMPACTADO COM ROLO, COM ESPESSURA DE 20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</si>
  <si>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</si>
  <si>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</si>
  <si>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RECONSTRUÇÃO DE BASE E SUB-BASE PARA PAVIMENTAÇÃO DE MACADAME SECO, COM ESPESSURA DE 20 CM - EXCLUSIVE CARGA E TRANSPORTE. AF_09/2024</t>
  </si>
  <si>
    <t>RECONSTRUÇÃO DE BASE E SUB-BASE PARA PAVIMENTAÇÃO DE MACADAME SECO, COM ESPESSURA DE 25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</si>
  <si>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</si>
  <si>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</si>
  <si>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RECONSTRUÇÃO DE BASE E SUB-BASE PARA PAVIMENTAÇÃO DE RACHÃO, COM ESPESSURA DE 50 CM - EXCLUSIVE CARGA E TRANSPORTE. AF_09/2024</t>
  </si>
  <si>
    <t>RECONSTRUÇÃO DE BASE E SUB-BASE PARA PAVIMENTAÇÃO DE RACHÃO, COM ESPESSURA DE 60 CM - EXCLUSIVE CARGA E TRANSPORTE.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</si>
  <si>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</si>
  <si>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</si>
  <si>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</si>
  <si>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- 4%, MISTURA EM USINA, COM ESPESSURA DE 10 CM - EXCLUSIVE CARGA E TRANSPORTE. AF_09/2024</t>
  </si>
  <si>
    <t>RECONSTRUÇÃO DE BASE E SUB-BASE PARA PAVIMENTAÇÃO DE SOLO (PREDOMINANTEMENTE ARENOSO) BRITA - 40%-60% COM CIMENTO - 4%, MISTURA EM USINA, COM ESPESSURA DE 15 CM - EXCLUSIVE CARGA E TRANSPORTE. AF_09/2024</t>
  </si>
  <si>
    <t>RECONSTRUÇÃO DE BASE E SUB-BASE PARA PAVIMENTAÇÃO DE SOLO (PREDOMINANTEMENTE ARENOSO) BRITA - 40%-60% COM CIMENTO - 4%, MISTURA EM USINA, COM ESPESSURA DE 20 CM - EXCLUSIVE CARGA E TRANSPORTE.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</si>
  <si>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</si>
  <si>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</si>
  <si>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</si>
  <si>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- 6%, MISTURA EM USINA, COM ESPESSURA DE 10 CM - EXCLUSIVE CARGA E TRANSPORTE. AF_09/2024</t>
  </si>
  <si>
    <t>RECONSTRUÇÃO DE BASE E SUB-BASE PARA PAVIMENTAÇÃO DE SOLO (PREDOMINANTEMENTE ARENOSO) BRITA - 40%-60% COM CIMENTO - 6%, MISTURA EM USINA, COM ESPESSURA DE 15 CM - EXCLUSIVE CARGA E TRANSPORTE. AF_09/2024</t>
  </si>
  <si>
    <t>RECONSTRUÇÃO DE BASE E SUB-BASE PARA PAVIMENTAÇÃO DE SOLO (PREDOMINANTEMENTE ARENOSO) BRITA - 40%-60% COM CIMENTO - 6%, MISTURA EM USINA, COM ESPESSURA DE 20 CM - EXCLUSIVE CARGA E TRANSPORTE.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</si>
  <si>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</si>
  <si>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</si>
  <si>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</si>
  <si>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COM CIMENTO - 8%, MISTURA EM USINA, COM ESPESSURA DE 10 CM - EXCLUSIVE CARGA E TRANSPORTE. AF_09/2024</t>
  </si>
  <si>
    <t>RECONSTRUÇÃO DE BASE E SUB-BASE PARA PAVIMENTAÇÃO DE SOLO (PREDOMINANTEMENTE ARENOSO) BRITA - 40%-60% COM CIMENTO - 8%, MISTURA EM USINA, COM ESPESSURA DE 15 CM - EXCLUSIVE CARGA E TRANSPORTE. AF_09/2024</t>
  </si>
  <si>
    <t>RECONSTRUÇÃO DE BASE E SUB-BASE PARA PAVIMENTAÇÃO DE SOLO (PREDOMINANTEMENTE ARENOSO) BRITA - 40%-60% COM CIMENTO - 8%, MISTURA EM USINA, COM ESPESSURA DE 20 CM - EXCLUSIVE CARGA E TRANSPORTE.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</si>
  <si>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</si>
  <si>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</si>
  <si>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</si>
  <si>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- 40%-60%, MISTURA EM USINA, COM ESPESSURA DE 10 CM - EXCLUSIVE CARGA E TRANSPORTE. AF_09/2024</t>
  </si>
  <si>
    <t>RECONSTRUÇÃO DE BASE E SUB-BASE PARA PAVIMENTAÇÃO DE SOLO (PREDOMINANTEMENTE ARENOSO) BRITA - 40%-60%, MISTURA EM USINA, COM ESPESSURA DE 15 CM - EXCLUSIVE CARGA E TRANSPORTE. AF_09/2024</t>
  </si>
  <si>
    <t>RECONSTRUÇÃO DE BASE E SUB-BASE PARA PAVIMENTAÇÃO DE SOLO (PREDOMINANTEMENTE ARENOSO) BRITA - 40%-60%, MISTURA EM USINA, COM ESPESSURA DE 20 CM - EXCLUSIVE CARGA E TRANSPORTE.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</si>
  <si>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</si>
  <si>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</si>
  <si>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</si>
  <si>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- 4%, MISTURA EM USINA, COM ESPESSURA DE 10 CM - EXCLUSIVE CARGA E TRANSPORTE. AF_09/2024</t>
  </si>
  <si>
    <t>RECONSTRUÇÃO DE BASE E SUB-BASE PARA PAVIMENTAÇÃO DE SOLO (PREDOMINANTEMENTE ARENOSO) BRITA - 50%-50% COM CIMENTO - 4%, MISTURA EM USINA, COM ESPESSURA DE 15 CM - EXCLUSIVE CARGA E TRANSPORTE. AF_09/2024</t>
  </si>
  <si>
    <t>RECONSTRUÇÃO DE BASE E SUB-BASE PARA PAVIMENTAÇÃO DE SOLO (PREDOMINANTEMENTE ARENOSO) BRITA - 50%-50% COM CIMENTO - 4%, MISTURA EM USINA, COM ESPESSURA DE 20 CM - EXCLUSIVE CARGA E TRANSPORTE.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</si>
  <si>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</si>
  <si>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</si>
  <si>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</si>
  <si>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- 6%, MISTURA EM USINA, COM ESPESSURA DE 10 CM - EXCLUSIVE CARGA E TRANSPORTE. AF_09/2024</t>
  </si>
  <si>
    <t>RECONSTRUÇÃO DE BASE E SUB-BASE PARA PAVIMENTAÇÃO DE SOLO (PREDOMINANTEMENTE ARENOSO) BRITA - 50%-50% COM CIMENTO - 6%, MISTURA EM USINA, COM ESPESSURA DE 15 CM - EXCLUSIVE CARGA E TRANSPORTE. AF_09/2024</t>
  </si>
  <si>
    <t>RECONSTRUÇÃO DE BASE E SUB-BASE PARA PAVIMENTAÇÃO DE SOLO (PREDOMINANTEMENTE ARENOSO) BRITA - 50%-50% COM CIMENTO - 6%, MISTURA EM USINA, COM ESPESSURA DE 20 CM - EXCLUSIVE CARGA E TRANSPORTE.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</si>
  <si>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</si>
  <si>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</si>
  <si>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</si>
  <si>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COM CIMENTO - 8%, MISTURA EM USINA, COM ESPESSURA DE 10 CM - EXCLUSIVE CARGA E TRANSPORTE. AF_09/2024</t>
  </si>
  <si>
    <t>RECONSTRUÇÃO DE BASE E SUB-BASE PARA PAVIMENTAÇÃO DE SOLO (PREDOMINANTEMENTE ARENOSO) BRITA - 50%-50% COM CIMENTO - 8%, MISTURA EM USINA, COM ESPESSURA DE 15 CM - EXCLUSIVE CARGA E TRANSPORTE. AF_09/2024</t>
  </si>
  <si>
    <t>RECONSTRUÇÃO DE BASE E SUB-BASE PARA PAVIMENTAÇÃO DE SOLO (PREDOMINANTEMENTE ARENOSO) BRITA - 50%-50% COM CIMENTO - 8%, MISTURA EM USINA, COM ESPESSURA DE 20 CM - EXCLUSIVE CARGA E TRANSPORTE.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</si>
  <si>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</si>
  <si>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</si>
  <si>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RECONSTRUÇÃO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</si>
  <si>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BRITA - 50%-50%, MISTURA EM USINA, COM ESPESSURA DE 10 CM - EXCLUSIVE CARGA E TRANSPORTE. AF_09/2024</t>
  </si>
  <si>
    <t>RECONSTRUÇÃO DE BASE E SUB-BASE PARA PAVIMENTAÇÃO DE SOLO (PREDOMINANTEMENTE ARENOSO) BRITA - 50%-50%, MISTURA EM USINA, COM ESPESSURA DE 15 CM - EXCLUSIVE CARGA E TRANSPORTE. AF_09/2024</t>
  </si>
  <si>
    <t>RECONSTRUÇÃO DE BASE E SUB-BASE PARA PAVIMENTAÇÃO DE SOLO (PREDOMINANTEMENTE ARENOSO) BRITA - 50%-50%, MISTURA EM USINA, COM ESPESSURA DE 20 CM - EXCLUSIVE CARGA E TRANSPORTE.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</si>
  <si>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</si>
  <si>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</si>
  <si>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</si>
  <si>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- 6%, MISTURA EM USINA, COM ESPESSURA DE 10 CM - EXCLUSIVE CARGA E TRANSPORTE. AF_09/2024</t>
  </si>
  <si>
    <t>RECONSTRUÇÃO DE BASE E SUB-BASE PARA PAVIMENTAÇÃO DE SOLO (PREDOMINANTEMENTE ARENOSO) COM CIMENTO - 6%, MISTURA EM USINA, COM ESPESSURA DE 15 CM - EXCLUSIVE CARGA E TRANSPORTE. AF_09/2024</t>
  </si>
  <si>
    <t>RECONSTRUÇÃO DE BASE E SUB-BASE PARA PAVIMENTAÇÃO DE SOLO (PREDOMINANTEMENTE ARENOSO) COM CIMENTO - 6%, MISTURA EM USINA, COM ESPESSURA DE 20 CM - EXCLUSIVE CARGA E TRANSPORTE.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</si>
  <si>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</si>
  <si>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</si>
  <si>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</si>
  <si>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COM CIMENTO - 8%, MISTURA EM USINA, COM ESPESSURA DE 10 CM - EXCLUSIVE CARGA E TRANSPORTE. AF_09/2024</t>
  </si>
  <si>
    <t>RECONSTRUÇÃO DE BASE E SUB-BASE PARA PAVIMENTAÇÃO DE SOLO (PREDOMINANTEMENTE ARENOSO) COM CIMENTO - 8%, MISTURA EM USINA, COM ESPESSURA DE 15 CM - EXCLUSIVE CARGA E TRANSPORTE. AF_09/2024</t>
  </si>
  <si>
    <t>RECONSTRUÇÃO DE BASE E SUB-BASE PARA PAVIMENTAÇÃO DE SOLO (PREDOMINANTEMENTE ARENOSO) COM CIMENTO - 8%, MISTURA EM USINA, COM ESPESSURA DE 20 CM - EXCLUSIVE CARGA E TRANSPORTE.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</si>
  <si>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</si>
  <si>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</si>
  <si>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</si>
  <si>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- 2%, MISTURA EM USINA, COM ESPESSURA DE 10 CM - EXCLUSIVE CARGA E TRANSPORTE. AF_09/2024</t>
  </si>
  <si>
    <t>RECONSTRUÇÃO DE BASE E SUB-BASE PARA PAVIMENTAÇÃO DE SOLO (PREDOMINANTEMENTE ARENOSO) MELHORADO COM CIMENTO - 2%, MISTURA EM USINA, COM ESPESSURA DE 15 CM - EXCLUSIVE CARGA E TRANSPORTE. AF_09/2024</t>
  </si>
  <si>
    <t>RECONSTRUÇÃO DE BASE E SUB-BASE PARA PAVIMENTAÇÃO DE SOLO (PREDOMINANTEMENTE ARENOSO) MELHORADO COM CIMENTO - 2%, MISTURA EM USINA, COM ESPESSURA DE 20 CM - EXCLUSIVE CARGA E TRANSPORTE.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</si>
  <si>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</si>
  <si>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</si>
  <si>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</si>
  <si>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ARENOSO) MELHORADO COM CIMENTO - 4%, MISTURA EM USINA, COM ESPESSURA DE 10 CM - EXCLUSIVE CARGA E TRANSPORTE. AF_09/2024</t>
  </si>
  <si>
    <t>RECONSTRUÇÃO DE BASE E SUB-BASE PARA PAVIMENTAÇÃO DE SOLO (PREDOMINANTEMENTE ARENOSO) MELHORADO COM CIMENTO - 4%, MISTURA EM USINA, COM ESPESSURA DE 15 CM - EXCLUSIVE CARGA E TRANSPORTE. AF_09/2024</t>
  </si>
  <si>
    <t>RECONSTRUÇÃO DE BASE E SUB-BASE PARA PAVIMENTAÇÃO DE SOLO (PREDOMINANTEMENTE ARENOSO) MELHORADO COM CIMENTO - 4%, MISTURA EM USINA, COM ESPESSURA DE 20 CM - EXCLUSIVE CARGA E TRANSPORTE.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</si>
  <si>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</si>
  <si>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</si>
  <si>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RECONSTRUÇÃO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</si>
  <si>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- 40%-60%, MISTURA EM USINA, COM ESPESSURA DE 10 CM - EXCLUSIVE CARGA E TRANSPORTE. AF_09/2024</t>
  </si>
  <si>
    <t>RECONSTRUÇÃO DE BASE E SUB-BASE PARA PAVIMENTAÇÃO DE SOLO (PREDOMINANTEMENTE ARGILOSO) BRITA - 40%-60%, MISTURA EM USINA, COM ESPESSURA DE 15 CM - EXCLUSIVE CARGA E TRANSPORTE. AF_09/2024</t>
  </si>
  <si>
    <t>RECONSTRUÇÃO DE BASE E SUB-BASE PARA PAVIMENTAÇÃO DE SOLO (PREDOMINANTEMENTE ARGILOSO) BRITA - 40%-60%, MISTURA EM USINA, COM ESPESSURA DE 20 CM - EXCLUSIVE CARGA E TRANSPORTE.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</si>
  <si>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</si>
  <si>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</si>
  <si>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RECONSTRUÇÃO DE BASE E SUB-BASE PARA PAVIMENTAÇÃO DE SOLO (PREDOMINANTEMENTE ARGILOSO) BRITA - 50%-50%, MISTURA EM PISTA, COM ESPESSURA DE 20 CM - EXCLUSIVE ESCAVAÇÃO, CARGA E TRANSPORTE E SOLO. AF_09/2024</t>
  </si>
  <si>
    <t>RECONSTRUÇÃO DE BASE E SUB-BASE PARA PAVIMENTAÇÃO DE SOLO (PREDOMINANTEMENTE ARGILOSO) BRITA - 50%-50%, MISTURA EM USINA, COM ESPESSURA DE 10 CM - EXCLUSIVE CARGA E TRANSPORTE. AF_09/2024</t>
  </si>
  <si>
    <t>RECONSTRUÇÃO DE BASE E SUB-BASE PARA PAVIMENTAÇÃO DE SOLO (PREDOMINANTEMENTE ARGILOSO) BRITA - 50%-50%, MISTURA EM USINA, COM ESPESSURA DE 15 CM - EXCLUSIVE CARGA E TRANSPORTE. AF_09/2024</t>
  </si>
  <si>
    <t>RECONSTRUÇÃO DE BASE E SUB-BASE PARA PAVIMENTAÇÃO DE SOLO (PREDOMINANTEMENTE ARGILOSO) BRITA - 50%-50%, MISTURA EM USINA, COM ESPESSURA DE 20 CM - EXCLUSIVE CARGA E TRANSPORTE.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</si>
  <si>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</si>
  <si>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</si>
  <si>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RECONSTRUÇÃO DE BASE E SUB-BASE PARA PAVIMENTAÇÃO DE SOLO DE COMPORTAMENTO LATERÍTICO (ARENOSO), COM ESPESSURA DE 20 CM - EXCLUSIVE ESCAVAÇÃO, CARGA E TRANSPORTE E SOLO. AF_09/2024</t>
  </si>
  <si>
    <t>REGULARIZAÇÃO DE SUPERFÍCIES COM MOTONIVELADORA. AF_09/2024</t>
  </si>
  <si>
    <t>REGULARIZAÇÃO E COMPACTAÇÃO DE SUBLEITO DE SOLO PREDOMINANTEMENTE ARENOSO, PARA OBRAS DE CONSTRUÇÃO DE PAVIMENTOS. AF_09/2024</t>
  </si>
  <si>
    <t>REGULARIZAÇÃO E COMPACTAÇÃO DE SUBLEITO DE SOLO PREDOMINANTEMENTE ARENOSO, PARA OBRAS DE RECONSTRUÇÃO DE PAVIMENTOS. AF_09/2024</t>
  </si>
  <si>
    <t>REGULARIZAÇÃO E COMPACTAÇÃO DE SUBLEITO DE SOLO PREDOMINANTEMENTE ARGILOSO, PARA OBRAS DE CONSTRUÇÃO DE PAVIMENTOS. AF_09/2024</t>
  </si>
  <si>
    <t>REGULARIZAÇÃO E COMPACTAÇÃO DE SUBLEITO DE SOLO PREDOMINANTEMENTE ARGILOSO, PARA OBRAS DE RECONSTRUÇÃO DE PAVIMENTOS. AF_09/2024</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</si>
  <si>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</si>
  <si>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</si>
  <si>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</si>
  <si>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</si>
  <si>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MURO ALA E MURO TESTA UTILIZANDO AÇO CA-50 DE 6,3 MM - MONTAGEM. AF_07/2021</t>
  </si>
  <si>
    <t>ARMAÇÃO DE MURO ALA E MURO TESTA UTILIZANDO AÇO CA-50 DE 8 MM - MONTAGEM. AF_07/2021</t>
  </si>
  <si>
    <t>ARMAÇÃO DE SOLEIRA UTILIZANDO AÇO CA-50 DE 6,3 MM - MONTAGEM. AF_07/2021</t>
  </si>
  <si>
    <t>ARMAÇÃO DE SOLEIRA UTILIZANDO AÇO CA-50 DE 8 MM - MONTAGEM. AF_07/2021</t>
  </si>
  <si>
    <t>BOCA PARA BUEIRO DUPLO CELULAR 150 X 150 CM EM CONCRETO, ALAS COM ESCONSIDADE DE 30°, INCLUINDO FÔRMAS E MATERIAIS. AF_07/2021</t>
  </si>
  <si>
    <t>BOCA PARA BUEIRO DUPLO CELULAR 150 X 150 CM EM GABIÃO, ALAS COM ESCONSIDADE DE 45°, INCLUINDO FÔRMAS E MATERIAIS. AF_07/2021</t>
  </si>
  <si>
    <t>BOCA PARA BUEIRO DUPLO CELULAR 200 X 200 CM EM CONCRETO, ALAS COM ESCONSIDADE DE 30°, INCLUINDO FÔRMAS E MATERIAIS. AF_07/2021</t>
  </si>
  <si>
    <t>BOCA PARA BUEIRO DUPLO CELULAR 200 X 200 CM EM GABIÃO, ALAS COM ESCONSIDADE DE 45°, INCLUINDO FÔRMAS E MATERIAIS. AF_07/2021</t>
  </si>
  <si>
    <t>BOCA PARA BUEIRO DUPLO CELULAR 250 X 250 CM EM CONCRETO, ALAS COM ESCONSIDADE DE 30°, INCLUINDO FÔRMAS E MATERIAIS. AF_07/2021</t>
  </si>
  <si>
    <t>BOCA PARA BUEIRO DUPLO CELULAR 250 X 250 CM EM GABIÃO, ALAS COM ESCONSIDADE DE 45°, INCLUINDO FÔRMAS E MATERIAIS. AF_07/2021</t>
  </si>
  <si>
    <t>BOCA PARA BUEIRO DUPLO CELULAR 300 X 300 CM EM CONCRETO, ALAS COM ESCONSIDADE DE 30°, INCLUINDO FÔRMAS E MATERIAIS. AF_07/2021</t>
  </si>
  <si>
    <t>BOCA PARA BUEIRO DUPLO CELULAR 300 X 300 CM EM GABIÃO, ALAS COM ESCONSIDADE DE 45°, INCLUINDO FÔRMAS E MATERIAIS. AF_07/2021</t>
  </si>
  <si>
    <t>BOCA PARA BUEIRO DUPLO TUBULAR D = 100 CM EM CONCRETO, ALAS COM ESCONSIDADE DE 0°, INCLUINDO FÔRMAS E MATERIAIS. AF_07/2021</t>
  </si>
  <si>
    <t>BOCA PARA BUEIRO DUPLO TUBULAR D = 100 CM EM CONCRETO, ALAS COM ESCONSIDADE DE 30°, INCLUINDO FÔRMAS E MATERIAIS. AF_07/2021</t>
  </si>
  <si>
    <t>BOCA PARA BUEIRO DUPLO TUBULAR D = 100 CM EM GABIÃO, ALAS COM ESCONSIDADE DE 45°, INCLUINDO FÔRMAS E MATERIAIS. AF_07/2021</t>
  </si>
  <si>
    <t>BOCA PARA BUEIRO DUPLO TUBULAR D = 120 CM EM CONCRETO, ALAS COM ESCONSIDADE DE 0°, INCLUINDO FÔRMAS E MATERIAIS. AF_07/2021</t>
  </si>
  <si>
    <t>BOCA PARA BUEIRO DUPLO TUBULAR D = 120 CM EM CONCRETO, ALAS COM ESCONSIDADE DE 30°, INCLUINDO FÔRMAS E MATERIAIS. AF_07/2021</t>
  </si>
  <si>
    <t>BOCA PARA BUEIRO DUPLO TUBULAR D = 120 CM EM GABIÃO, ALAS COM ESCONSIDADE DE 45°, INCLUINDO FÔRMAS E MATERIAIS. AF_07/2021</t>
  </si>
  <si>
    <t>BOCA PARA BUEIRO DUPLO TUBULAR D = 150 CM EM CONCRETO, ALAS COM ESCONSIDADE DE 0°, INCLUINDO FÔRMAS E MATERIAIS. AF_07/2021</t>
  </si>
  <si>
    <t>BOCA PARA BUEIRO DUPLO TUBULAR D = 150 CM EM CONCRETO, ALAS COM ESCONSIDADE DE 30°, INCLUINDO FÔRMAS E MATERIAIS. AF_07/2021</t>
  </si>
  <si>
    <t>BOCA PARA BUEIRO DUPLO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</si>
  <si>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</si>
  <si>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</si>
  <si>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CONCRETO, ALAS COM ESCONSIDADE DE 0°, INCLUINDO FÔRMAS E MATERIAIS. AF_07/2021</t>
  </si>
  <si>
    <t>BOCA PARA BUEIRO DUPLO TUBULAR D = 80 CM EM GABIÃO, ALAS COM ESCONSIDADE DE 45°, INCLUINDO FÔRMAS E MATERIAIS. AF_07/2021</t>
  </si>
  <si>
    <t>BOCA PARA BUEIRO SIMPLES CELULAR 150 X 150 CM EM CONCRETO, ALAS COM ESCONSIDADE DE 30°, INCLUINDO FÔRMAS E MATERIAIS. AF_07/2021</t>
  </si>
  <si>
    <t>BOCA PARA BUEIRO SIMPLES CELULAR 150 X 150 CM EM GABIÃO, ALAS COM ESCONSIDADE DE 45°, INCLUINDO FÔRMAS E MATERIAIS. AF_07/2021</t>
  </si>
  <si>
    <t>BOCA PARA BUEIRO SIMPLES CELULAR 200 X 200 CM EM CONCRETO, ALAS COM ESCONSIDADE DE 30°, INCLUINDO FÔRMAS E MATERIAIS. AF_07/2021</t>
  </si>
  <si>
    <t>BOCA PARA BUEIRO SIMPLES CELULAR 200 X 200 CM EM GABIÃO, ALAS COM ESCONSIDADE DE 45°, INCLUINDO FÔRMAS E MATERIAIS. AF_07/2021</t>
  </si>
  <si>
    <t>BOCA PARA BUEIRO SIMPLES CELULAR 250 X 250 CM EM CONCRETO, ALAS COM ESCONSIDADE DE 30°, INCLUINDO FÔRMAS E MATERIAIS. AF_07/2021</t>
  </si>
  <si>
    <t>BOCA PARA BUEIRO SIMPLES CELULAR 250 X 250 CM EM GABIÃO, ALAS COM ESCONSIDADE DE 45°, INCLUINDO FÔRMAS E MATERIAIS. AF_07/2021</t>
  </si>
  <si>
    <t>BOCA PARA BUEIRO SIMPLES CELULAR 300 X 300 CM EM CONCRETO, ALAS COM ESCONSIDADE DE 30°, INCLUINDO FÔRMAS E MATERIAIS. AF_07/2021</t>
  </si>
  <si>
    <t>BOCA PARA BUEIRO SIMPLES CELULAR 300 X 300 CM EM GABIÃO, ALAS COM ESCONSIDADE DE 45°, INCLUINDO FÔRMAS E MATERIAIS. AF_07/2021</t>
  </si>
  <si>
    <t>BOCA PARA BUEIRO SIMPLES TUBULAR D = 100 CM EM CONCRETO, ALAS COM ESCONSIDADE DE 0°, INCLUINDO FÔRMAS E MATERIAIS. AF_07/2021</t>
  </si>
  <si>
    <t>BOCA PARA BUEIRO SIMPLES TUBULAR D = 100 CM EM CONCRETO, ALAS COM ESCONSIDADE DE 30°, INCLUINDO FÔRMAS E MATERIAIS. AF_07/2021</t>
  </si>
  <si>
    <t>BOCA PARA BUEIRO SIMPLES TUBULAR D = 100 CM EM GABIÃO, ALAS COM ESCONSIDADE DE 45°, INCLUINDO FÔRMAS E MATERIAIS. AF_07/2021</t>
  </si>
  <si>
    <t>BOCA PARA BUEIRO SIMPLES TUBULAR D = 120 CM EM CONCRETO, ALAS COM ESCONSIDADE DE 0°, INCLUINDO FÔRMAS E MATERIAIS. AF_07/2021</t>
  </si>
  <si>
    <t>BOCA PARA BUEIRO SIMPLES TUBULAR D = 120 CM EM CONCRETO, ALAS COM ESCONSIDADE DE 30°, INCLUINDO FÔRMAS E MATERIAIS. AF_07/2021</t>
  </si>
  <si>
    <t>BOCA PARA BUEIRO SIMPLES TUBULAR D = 120 CM EM GABIÃO, ALAS COM ESCONSIDADE DE 45°, INCLUINDO FÔRMAS E MATERIAIS. AF_07/2021</t>
  </si>
  <si>
    <t>BOCA PARA BUEIRO SIMPLES TUBULAR D = 150 CM EM CONCRETO, ALAS COM ESCONSIDADE DE 0°, INCLUINDO FÔRMAS E MATERIAIS. AF_07/2021</t>
  </si>
  <si>
    <t>BOCA PARA BUEIRO SIMPLES TUBULAR D = 150 CM EM CONCRETO, ALAS COM ESCONSIDADE DE 30°, INCLUINDO FÔRMAS E MATERIAIS. AF_07/2021</t>
  </si>
  <si>
    <t>BOCA PARA BUEIRO SIMPLES TUBULAR D = 150 CM EM GABIÃO, ALAS COM ESCONSIDADE DE 45°, INCLUINDO FÔRMAS E MATERIAIS. AF_07/2021</t>
  </si>
  <si>
    <t>BOCA PARA BUEIRO SIMPLES TUBULAR D = 40 CM EM CONCRETO, ALAS COM ESCONSIDADE DE 0°, INCLUINDO FÔRMAS E MATERIAIS. AF_07/2021</t>
  </si>
  <si>
    <t>BOCA PARA BUEIRO SIMPLES TUBULAR D = 40 CM EM GABIÃO, ALAS COM ESCONSIDADE DE 45°, INCLUINDO FÔRMAS E MATERIAIS. AF_07/2021</t>
  </si>
  <si>
    <t>BOCA PARA BUEIRO SIMPLES TUBULAR D = 60 CM EM CONCRETO, ALAS COM ESCONSIDADE DE 0°, INCLUINDO FÔRMAS E MATERIAIS. AF_07/2021</t>
  </si>
  <si>
    <t>BOCA PARA BUEIRO SIMPLES TUBULAR D = 60 CM EM CONCRETO, ALAS COM ESCONSIDADE DE 30°, INCLUINDO FÔRMAS E MATERIAIS. AF_07/2021</t>
  </si>
  <si>
    <t>BOCA PARA BUEIRO SIMPLES TUBULAR D = 60 CM EM GABIÃO, ALAS COM ESCONSIDADE DE 45°, INCLUINDO FÔRMAS E MATERIAIS. AF_07/2021</t>
  </si>
  <si>
    <t>BOCA PARA BUEIRO SIMPLES TUBULAR D = 80 CM EM CONCRETO, ALAS COM ESCONSIDADE DE 0°, INCLUINDO FÔRMAS E MATERIAIS. AF_07/2021</t>
  </si>
  <si>
    <t>BOCA PARA BUEIRO SIMPLES TUBULAR D = 80 CM EM CONCRETO, ALAS COM ESCONSIDADE DE 30°, INCLUINDO FÔRMAS E MATERIAIS. AF_07/2021</t>
  </si>
  <si>
    <t>BOCA PARA BUEIRO SIMPLES TUBULAR D = 80 CM EM GABIÃO, ALAS COM ESCONSIDADE DE 45°, INCLUINDO FÔRMAS E MATERIAIS. AF_07/2021</t>
  </si>
  <si>
    <t>BOCA PARA BUEIRO TRIPLO CELULAR 150 X 150 CM EM CONCRETO, ALAS COM ESCONSIDADE DE 30°, INCLUINDO FÔRMAS E MATERIAIS. AF_07/2021</t>
  </si>
  <si>
    <t>BOCA PARA BUEIRO TRIPLO CELULAR 150 X 150 CM EM GABIÃO, ALAS COM ESCONSIDADE DE 45°, INCLUINDO FÔRMAS E MATERIAIS. AF_07/2021</t>
  </si>
  <si>
    <t>BOCA PARA BUEIRO TRIPLO CELULAR 200 X 200 CM EM CONCRETO, ALAS COM ESCONSIDADE DE 30°, INCLUINDO FÔRMAS E MATERIAIS. AF_07/2021</t>
  </si>
  <si>
    <t>BOCA PARA BUEIRO TRIPLO CELULAR 200 X 200 CM EM GABIÃO, ALAS COM ESCONSIDADE DE 45°, INCLUINDO FÔRMAS E MATERIAIS. AF_07/2021</t>
  </si>
  <si>
    <t>BOCA PARA BUEIRO TRIPLO CELULAR 250 X 250 CM EM CONCRETO, ALAS COM ESCONSIDADE DE 30°, INCLUINDO FÔRMAS E MATERIAIS. AF_07/2021</t>
  </si>
  <si>
    <t>BOCA PARA BUEIRO TRIPLO CELULAR 250 X 250 CM EM GABIÃO, ALAS COM ESCONSIDADE DE 45°, INCLUINDO FÔRMAS E MATERIAIS. AF_07/2021</t>
  </si>
  <si>
    <t>BOCA PARA BUEIRO TRIPLO CELULAR 300 X 300 CM EM CONCRETO, ALAS COM ESCONSIDADE DE 30°, INCLUINDO FÔRMAS E MATERIAIS. AF_07/2021</t>
  </si>
  <si>
    <t>BOCA PARA BUEIRO TRIPLO CELULAR 300 X 300 CM EM GABIÃO, ALAS COM ESCONSIDADE DE 45°, INCLUINDO FÔRMAS E MATERIAIS. AF_07/2021</t>
  </si>
  <si>
    <t>BOCA PARA BUEIRO TRIPLO TUBULAR D = 100 CM EM CONCRETO, ALAS COM ESCONSIDADE DE 0°, INCLUINDO FÔRMAS E MATERIAIS. AF_07/2021</t>
  </si>
  <si>
    <t>BOCA PARA BUEIRO TRIPLO TUBULAR D = 100 CM EM CONCRETO, ALAS COM ESCONSIDADE DE 30°, INCLUINDO FÔRMAS E MATERIAIS. AF_07/2021</t>
  </si>
  <si>
    <t>BOCA PARA BUEIRO TRIPLO TUBULAR D = 100 CM EM GABIÃO, ALAS COM ESCONSIDADE DE 45°, INCLUINDO FÔRMAS E MATERIAIS. AF_07/2021</t>
  </si>
  <si>
    <t>BOCA PARA BUEIRO TRIPLO TUBULAR D = 120 CM EM CONCRETO, ALAS COM ESCONSIDADE DE 0°, INCLUINDO FÔRMAS E MATERIAIS. AF_07/2021</t>
  </si>
  <si>
    <t>BOCA PARA BUEIRO TRIPLO TUBULAR D = 120 CM EM CONCRETO, ALAS COM ESCONSIDADE DE 30°, INCLUINDO FÔRMAS E MATERIAIS. AF_07/2021</t>
  </si>
  <si>
    <t>BOCA PARA BUEIRO TRIPLO TUBULAR D = 120 CM EM GABIÃO, ALAS COM ESCONSIDADE DE 45°, INCLUINDO FÔRMAS E MATERIAIS. AF_07/2021</t>
  </si>
  <si>
    <t>BOCA PARA BUEIRO TRIPLO TUBULAR D = 150 CM EM CONCRETO, ALAS COM ESCONSIDADE DE 0°, INCLUINDO FÔRMAS E MATERIAIS. AF_07/2021</t>
  </si>
  <si>
    <t>BOCA PARA BUEIRO TRIPLO TUBULAR D = 150 CM EM CONCRETO, ALAS COM ESCONSIDADE DE 30°, INCLUINDO FÔRMAS E MATERIAIS. AF_07/2021</t>
  </si>
  <si>
    <t>BOCA PARA BUEIRO TRIPLO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</si>
  <si>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</si>
  <si>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</si>
  <si>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</si>
  <si>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CONCRETAGEM DE BOCA PARA BUEIRO, FCK = 20 MPA, COM USO DE BOMBA - LANÇAMENTO, ADENSAMENTO E ACABAMENTO. AF_07/2021</t>
  </si>
  <si>
    <t>FABRICAÇÃO, MONTAGEM E DESMONTAGEM DE FÔRMA PARA BOCA PARA BUEIRO, EM CHAPA DE MADEIRA COMPENSADA RESINADA, E = 17 MM, 2 UTILIZAÇÕES. AF_07/2021</t>
  </si>
  <si>
    <t>FORNECIMENTO E INSTALAÇÃO DE BRISE DE ALUMÍNIO B57, COM PINTURA ELETROSTÁTICA BRANCA, ACABAMENTO LISO, FIXADO EM PORTA-PAINEL RANHURADO. AF_03/2024</t>
  </si>
  <si>
    <t>FORNECIMENTO E INSTALAÇÃO DE BRISE DE ALUZINC SL4, COM PINTURA ELETROSTÁTICA BRANCA, INCLINAÇÃO DE 45°, ACABAMENTO LISO, FIXADO EM PORTA-PAINEL RANHURADO. AF_03/2024</t>
  </si>
  <si>
    <t>FORNECIMENTO E INSTALAÇÃO DE CAIXA DE ALUMÍNIO PROTETORA PARA CONDENSADORA DE AR-CONDICIONADO, PINTURA ELETROSTÁTICA BRANCA, DIMENSÕES 100 CM X 78 CM X 50 CM. AF_03/2024</t>
  </si>
  <si>
    <t>FORNECIMENTO E INSTALAÇÃO DE CONJUNTO DE BRISE EM REQUADRO DE ALUMÍNIO DESLIZANTE, COM PERFIS INTERNOS TUBULARES FIXOS, COM PINTURA ELETROSTÁTICA BRANCA, ACABAMENTO, 150 CM X 265 CM. AF_03/2024</t>
  </si>
  <si>
    <t>CAIXA COM GRELHA RETANGULAR DE FERRO FUNDIDO, EM ALVENARIA COM BLOCOS DE CONCRETO, DIMENSÕES INTERNAS: 0,30 X 1,00 X 1,00. AF_12/2020</t>
  </si>
  <si>
    <t>CAIXA COM GRELHA RETANGULAR DE FERRO FUNDIDO, EM ALVENARIA COM TIJOLOS CERÂMICOS MACIÇOS, DIMENSÕES INTERNAS: 0,30 X 1,00 X 1,00. AF_12/2020</t>
  </si>
  <si>
    <t>CAIXA DE GORDURA DUPLA (CAPACIDADE: 126 L), RETANGULAR, EM ALVENARIA COM BLOCOS DE CONCRETO, DIMENSÕES INTERNAS = 0,4X0,7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</si>
  <si>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</si>
  <si>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BLOCOS DE CONCRETO, DIMENSÕES INTERNAS = 0,4X1,2 M, ALTURA INTERNA = 1 M. AF_12/2020</t>
  </si>
  <si>
    <t>CAIXA DE GORDURA ESPECIAL (CAPACIDADE: 312 L - PARA ATÉ 146 PESSOAS SERVIDAS NO PICO), RETANGULAR, EM ALVENARIA COM TIJOLOS CERÂMICOS MACIÇOS, DIMENSÕES INTERNAS = 0,4X1,2 M, ALTURA INTERNA = 1 M. AF_12/2020</t>
  </si>
  <si>
    <t>CAIXA DE GORDURA PEQUENA (CAPACIDADE: 19 L), CIRCULAR, EM PVC, DIÂMETRO INTERNO= 0,3 M. AF_12/2020</t>
  </si>
  <si>
    <t>CAIXA DE GORDURA SIMPLES (CAPACIDADE: 36 L), RETANGULAR, EM ALVENARIA COM BLOCOS DE CONCRETO, DIMENSÕES INTERNAS = 0,2X0,4 M, ALTURA INTERNA = 0,8 M. AF_12/2020</t>
  </si>
  <si>
    <t>CAIXA DE GORDURA SIMPLES (CAPACIDADE: 36L), RETANGULAR, EM ALVENARIA COM TIJOLOS CERÂMICOS MACIÇOS, DIMENSÕES INTERNAS = 0,2X0,4 M, ALTURA INTERNA = 0,8 M. AF_12/2020</t>
  </si>
  <si>
    <t>CAIXA DE GORDURA SIMPLES, CIRCULAR, EM CONCRETO PRÉ-MOLDADO, DIÂMETRO INTERNO = 0,4 M, ALTURA INTERNA = 0,4 M. AF_12/2020</t>
  </si>
  <si>
    <t>CAIXA DE INSPEÇÃO PARA ATERRAMENTO, CIRCULAR, EM POLIETILENO, DIÂMETRO INTERNO = 0,3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</si>
  <si>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</si>
  <si>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</si>
  <si>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</si>
  <si>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</si>
  <si>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</si>
  <si>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</si>
  <si>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</si>
  <si>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</si>
  <si>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</si>
  <si>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</si>
  <si>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</si>
  <si>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</si>
  <si>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</si>
  <si>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</si>
  <si>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</si>
  <si>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</si>
  <si>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DRENAGEM.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</si>
  <si>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</si>
  <si>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DRENAGEM.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</si>
  <si>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</si>
  <si>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DRENAGEM.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</si>
  <si>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</si>
  <si>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DRENAGEM.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</si>
  <si>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</si>
  <si>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DRENAGEM.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</si>
  <si>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</si>
  <si>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DRENAGEM.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</si>
  <si>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</si>
  <si>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DRENAGEM.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</si>
  <si>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</si>
  <si>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DRENAGEM. AF_12/2020</t>
  </si>
  <si>
    <t>CAIXA ENTERRADA HIDRÁULICA RETANGULAR, EM ALVENARIA COM BLOCOS DE CONCRETO, DIMENSÕES INTERNAS: 1X1X0,6 M PARA REDE DE ESGOTO. AF_12/2020</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</si>
  <si>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</si>
  <si>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</si>
  <si>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</si>
  <si>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</si>
  <si>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CONCRETO PRÉ-MOLDADO, DIMENSÕES INTERNAS: 1X1X0,5 M. AF_12/2020</t>
  </si>
  <si>
    <t>CAIXA ENTERRADA PARA INSTALAÇÕES TELEFÔNICAS TIPO R1, EM ALVENARIA COM BLOCOS DE CONCRETO, DIMENSÕES INTERNAS: 0,35X0,60X0,60 M, EXCLUINDO TAMPÃO. AF_12/2020</t>
  </si>
  <si>
    <t>CAIXA ENTERRADA PARA INSTALAÇÕES TELEFÔNICAS TIPO R2, EM ALVENARIA COM BLOCOS DE CONCRETO, DIMENSÕES INTERNAS: 0,52X1,07X0,60 M, EXCLUINDO TAMPÃO. AF_12/2020</t>
  </si>
  <si>
    <t>CAIXA ENTERRADA PARA INSTALAÇÕES TELEFÔNICAS TIPO R3, EM ALVENARIA COM BLOCOS DE CONCRETO, DIMENSÕES INTERNAS: 1,2X1,5X1,40 M, EXCLUINDO TAMPÃO.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</si>
  <si>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</si>
  <si>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</si>
  <si>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</si>
  <si>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</si>
  <si>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TAMPA CIRCULAR PARA ESGOTO E DRENAGEM, EM CONCRETO PRÉ-MOLDADO, DIÂMETRO INTERNO = 0,60 M E ALTURA = 0,10 M. AF_12/2020</t>
  </si>
  <si>
    <t>TIL (TUBO DE INSPEÇÃO E LIMPEZA) CONDOMINIAL PARA ESGOTO, EM PVC, DN 100 X 100 MM. AF_12/2020</t>
  </si>
  <si>
    <t>TIL (TUBO DE INSPEÇÃO E LIMPEZA) RADIAL PARA ESGOTO, EM PVC, DN 300X200 MM. AF_12/2020</t>
  </si>
  <si>
    <t>CAIXA D´ÁGUA EM POLIETILENO, 1000 LITROS (INCLUSOS TUBOS, CONEXÕES E TORNEIRA DE BÓIA)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</si>
  <si>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</si>
  <si>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</si>
  <si>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</si>
  <si>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POLIETILENO, 3000 LITROS - FORNECIMENTO E INSTALAÇÃO. AF_06/2021</t>
  </si>
  <si>
    <t>CAIXA D´ÁGUA EM POLIETILENO, 500 LITROS (INCLUSOS TUBOS, CONEXÕES E TORNEIRA DE BÓIA) - FORNECIMENTO E INSTALAÇÃO. AF_06/2021</t>
  </si>
  <si>
    <t>CAIXA D´ÁGUA EM POLIETILENO, 500 LITROS - FORNECIMENTO E INSTALAÇÃO. AF_06/2021</t>
  </si>
  <si>
    <t>CAIXA D´ÁGUA EM POLIETILENO, 750 LITROS - FORNECIMENTO E INSTALAÇÃO. AF_06/2021</t>
  </si>
  <si>
    <t>CAIXA D´ÁGUA EM POLIÉSTER REFORÇADO COM FIBRA DE VIDRO, 1000 LITROS - FORNECIMENTO E INSTALAÇÃO. AF_06/2021</t>
  </si>
  <si>
    <t>CAIXA D´ÁGUA EM POLIÉSTER REFORÇADO COM FIBRA DE VIDRO, 10000 LITROS - FORNECIMENTO E INSTALAÇÃO. AF_06/2021</t>
  </si>
  <si>
    <t>CAIXA D´ÁGUA EM POLIÉSTER REFORÇADO COM FIBRA DE VIDRO, 1500 LITROS - FORNECIMENTO E INSTALAÇÃO. AF_06/2021</t>
  </si>
  <si>
    <t>CAIXA D´ÁGUA EM POLIÉSTER REFORÇADO COM FIBRA DE VIDRO, 15000 LITROS - FORNECIMENTO E INSTALAÇÃO. AF_06/2021</t>
  </si>
  <si>
    <t>CAIXA D´ÁGUA EM POLIÉSTER REFORÇADO COM FIBRA DE VIDRO, 2000 LITROS - FORNECIMENTO E INSTALAÇÃO. AF_06/2021</t>
  </si>
  <si>
    <t>CAIXA D´ÁGUA EM POLIÉSTER REFORÇADO COM FIBRA DE VIDRO, 20000 LITROS - FORNECIMENTO E INSTALAÇÃO. AF_06/2021</t>
  </si>
  <si>
    <t>CAIXA D´ÁGUA EM POLIÉSTER REFORÇADO COM FIBRA DE VIDRO, 3000 LITROS - FORNECIMENTO E INSTALAÇÃO. AF_06/2021</t>
  </si>
  <si>
    <t>CAIXA D´ÁGUA EM POLIÉSTER REFORÇADO COM FIBRA DE VIDRO, 500 LITROS - FORNECIMENTO E INSTALAÇÃO. AF_06/2021</t>
  </si>
  <si>
    <t>CAIXA D´ÁGUA EM POLIÉSTER REFORÇADO COM FIBRA DE VIDRO, 5000 LITROS - FORNECIMENTO E INSTALAÇÃO. AF_06/2021</t>
  </si>
  <si>
    <t>CAIXA D´ÁGUA EM POLIÉSTER REFORÇADO COM FIBRA DE VIDRO, 7000 LITROS - FORNECIMENTO E INSTALAÇÃO. AF_06/2021</t>
  </si>
  <si>
    <t>CAIXA D´ÁGUA EM POLIÉSTER REFORÇADO COM FIBRA DE VIDRO, 750 LITROS - FORNECIMENTO E INSTALAÇÃO. AF_06/2021</t>
  </si>
  <si>
    <t>FURO EM CAIXA D'ÁGUA COM ESPESSURA DE 2 ATÉ 5 MM E DIÂMETRO DE 100 MM. AF_06/2021</t>
  </si>
  <si>
    <t>FURO EM CAIXA D'ÁGUA COM ESPESSURA DE 2 ATÉ 5 MM E DIÂMETRO DE 15 MM. AF_06/2021</t>
  </si>
  <si>
    <t>FURO EM CAIXA D'ÁGUA COM ESPESSURA DE 2 ATÉ 5 MM E DIÂMETRO DE 20 MM. AF_06/2021</t>
  </si>
  <si>
    <t>FURO EM CAIXA D'ÁGUA COM ESPESSURA DE 2 ATÉ 5 MM E DIÂMETRO DE 25 MM. AF_06/2021</t>
  </si>
  <si>
    <t>FURO EM CAIXA D'ÁGUA COM ESPESSURA DE 2 ATÉ 5 MM E DIÂMETRO DE 32 MM. AF_06/2021</t>
  </si>
  <si>
    <t>FURO EM CAIXA D'ÁGUA COM ESPESSURA DE 2 ATÉ 5 MM E DIÂMETRO DE 40 MM. AF_06/2021</t>
  </si>
  <si>
    <t>FURO EM CAIXA D'ÁGUA COM ESPESSURA DE 2 ATÉ 5 MM E DIÂMETRO DE 50 MM. AF_06/2021</t>
  </si>
  <si>
    <t>FURO EM CAIXA D'ÁGUA COM ESPESSURA DE 2 ATÉ 5 MM E DIÂMETRO DE 60 MM. AF_06/2021</t>
  </si>
  <si>
    <t>FURO EM CAIXA D'ÁGUA COM ESPESSURA DE 2 ATÉ 5 MM E DIÂMETRO DE 75 MM. AF_06/2021</t>
  </si>
  <si>
    <t>FURO EM CAIXA D'ÁGUA COM ESPESSURA DE 6 ATÉ 8 MM E DIÂMETRO DE 100 MM. AF_06/2021</t>
  </si>
  <si>
    <t>FURO EM CAIXA D'ÁGUA COM ESPESSURA DE 6 ATÉ 8 MM E DIÂMETRO DE 15 MM. AF_06/2021</t>
  </si>
  <si>
    <t>FURO EM CAIXA D'ÁGUA COM ESPESSURA DE 6 ATÉ 8 MM E DIÂMETRO DE 20 MM. AF_06/2021</t>
  </si>
  <si>
    <t>FURO EM CAIXA D'ÁGUA COM ESPESSURA DE 6 ATÉ 8 MM E DIÂMETRO DE 25 MM. AF_06/2021</t>
  </si>
  <si>
    <t>FURO EM CAIXA D'ÁGUA COM ESPESSURA DE 6 ATÉ 8 MM E DIÂMETRO DE 32 MM. AF_06/2021</t>
  </si>
  <si>
    <t>FURO EM CAIXA D'ÁGUA COM ESPESSURA DE 6 ATÉ 8 MM E DIÂMETRO DE 40 MM. AF_06/2021</t>
  </si>
  <si>
    <t>FURO EM CAIXA D'ÁGUA COM ESPESSURA DE 6 ATÉ 8 MM E DIÂMETRO DE 50 MM. AF_06/2021</t>
  </si>
  <si>
    <t>FURO EM CAIXA D'ÁGUA COM ESPESSURA DE 6 ATÉ 8 MM E DIÂMETRO DE 60 MM. AF_06/2021</t>
  </si>
  <si>
    <t>FURO EM CAIXA D'ÁGUA COM ESPESSURA DE 6 ATÉ 8 MM E DIÂMETRO DE 75 MM. AF_06/2021</t>
  </si>
  <si>
    <t>CAIXA COM GRELHA RETANGULAR DE FERRO FUNDIDO, EM ALVENARIA COM TIJOLOS CERÂMICOS MACIÇOS, DIMENSÕES INTERNAS: 0,15 X 1,00 X 0,3 M. AF_05/2025</t>
  </si>
  <si>
    <t>CAIXA COM GRELHA RETANGULAR DE FERRO FUNDIDO, EM ALVENARIA COM TIJOLOS CERÂMICOS MACIÇOS, DIMENSÕES INTERNAS: 0,20 X 1,00 X 0,4 M. AF_05/2025</t>
  </si>
  <si>
    <t>CAIXA COM GRELHA RETANGULAR DE FERRO FUNDIDO, EM ALVENARIA COM TIJOLOS CERÂMICOS MACIÇOS, DIMENSÕES INTERNAS: 0,30 X 1,00 X 0,5 M. AF_05/2025</t>
  </si>
  <si>
    <t>CANALETA DE CONCRETO POLIMÉRICO COM GRELHA, LARGURA DE 13 CM - FORNECIMENTO E INSTALAÇÃO. AF_05/2025</t>
  </si>
  <si>
    <t>CANALETA MEIA CANA PRÉ-MOLDADA DE CONCRETO (D = 20 CM) - FORNECIMENTO E INSTALAÇÃO. AF_05/2025</t>
  </si>
  <si>
    <t>CANALETA MEIA CANA PRÉ-MOLDADA DE CONCRETO (D = 30 CM) - FORNECIMENTO E INSTALAÇÃO. AF_05/2025</t>
  </si>
  <si>
    <t>CANALETA MEIA CANA PRÉ-MOLDADA DE CONCRETO (D = 40 CM) - FORNECIMENTO E INSTALAÇÃO. AF_05/2025</t>
  </si>
  <si>
    <t>CANALETA MEIA CANA PRÉ-MOLDADA DE CONCRETO (D = 50 CM) - FORNECIMENTO E INSTALAÇÃO. AF_05/2025</t>
  </si>
  <si>
    <t>CANALETA MEIA CANA PRÉ-MOLDADA DE CONCRETO (D = 60 CM) - FORNECIMENTO E INSTALAÇÃO. AF_05/2025</t>
  </si>
  <si>
    <t>CANALETA MEIA CANA PRÉ-MOLDADA DE CONCRETO (D = 80 CM) - FORNECIMENTO E INSTALAÇÃO. AF_05/2025</t>
  </si>
  <si>
    <t>CANALETA PRÉ-MOLDADA DE CONCRETO, COM GRELHA PERFURADA DE CONCRETO, GEOMETRIA RETANGULAR, COM DIMENSÕES INTERNAS: L=0,20 M; H=0,20 M; C=*0,60* M - FORNECIMENTO E INSTALAÇÃO. AF_05/2025</t>
  </si>
  <si>
    <t>CONCRETAGEM DE VALETA/ CANALETA MOLDADA IN LOCO. AF_05/2025</t>
  </si>
  <si>
    <t>EXECUÇÃO DE CANALETA DE CONCRETO ARMADO MOLDADA IN LOCO, ESPESSURA DE 0,1 M, GEOMETRIA QUADRADA, COM DIMENSÕES INTERNAS: L=0,20 M; H=0,20 M. AF_05/2025</t>
  </si>
  <si>
    <t>EXECUÇÃO DE CANALETA DE CONCRETO ARMADO MOLDADA IN LOCO, ESPESSURA DE 0,1 M, GEOMETRIA QUADRADA, COM DIMENSÕES INTERNAS: L=0,25 M; H=0,25 M. AF_05/2025</t>
  </si>
  <si>
    <t>EXECUÇÃO DE CANALETA DE CONCRETO ARMADO MOLDADA IN LOCO, ESPESSURA DE 0,1 M, GEOMETRIA QUADRADA, COM DIMENSÕES INTERNAS: L=0,30 M; H=0,30 M. AF_05/2025</t>
  </si>
  <si>
    <t>EXECUÇÃO DE CANALETA DE CONCRETO ARMADO MOLDADA IN LOCO, ESPESSURA DE 0,1 M, GEOMETRIA QUADRADA, COM DIMENSÕES INTERNAS: L=0,35 M; H=0,35 M. AF_05/2025</t>
  </si>
  <si>
    <t>EXECUÇÃO DE CANALETA DE CONCRETO ARMADO MOLDADA IN LOCO, ESPESSURA DE 0,1 M, GEOMETRIA QUADRADA, COM DIMENSÕES INTERNAS: L=0,40 M; H=0,40 M. AF_05/2025</t>
  </si>
  <si>
    <t>EXECUÇÃO DE CANALETA DE CONCRETO ARMADO MOLDADA IN LOCO, ESPESSURA DE 0,1 M, GEOMETRIA QUADRADA, COM DIMENSÕES INTERNAS: L=0,50 M; H=0,50 M. AF_05/2025</t>
  </si>
  <si>
    <t>EXECUÇÃO DE CANALETA DE CONCRETO ARMADO MOLDADA IN LOCO, ESPESSURA DE 0,1 M, GEOMETRIA QUADRADA, COM DIMENSÕES INTERNAS: L=0,60 M; H=0,60 M. AF_05/2025</t>
  </si>
  <si>
    <t>EXECUÇÃO DE CANALETA DE CONCRETO MOLDADO IN LOCO, COM GRELHA DE CONCRETO; ESPESSURA DE 0,15 M, GEOMETRIA RETANGULAR, COM DIMENSÕES INTERNAS: L=0,4 M; H=*0,3*M. AF_05/2025</t>
  </si>
  <si>
    <t>EXECUÇÃO DE CANALETA DE CONCRETO MOLDADO IN LOCO, COM GRELHA DE CONCRETO; ESPESSURA DE 0,15 M, GEOMETRIA RETANGULAR, COM DIMENSÕES INTERNAS: L=0,60 M; H=0,50 M. AF_05/2025</t>
  </si>
  <si>
    <t>EXECUÇÃO DE CANALETA DE CONCRETO MOLDADO IN LOCO, COM GRELHA DE CONCRETO; ESPESSURA DE 0,15 M, GEOMETRIA RETANGULAR, COM DIMENSÕES INTERNAS:L=*0,6* M; H=* 0,3* M. AF_05/2025</t>
  </si>
  <si>
    <t>EXECUÇÃO DE CANALETA DE CONCRETO MOLDADO IN LOCO, COM GRELHA DE CONCRETO; ESPESSURA DE 0,20 M, GEOMETRIA RETANGULAR, COM DIMENSÕES INTERNAS: L=0,80 M; H=0,30 M. AF_05/2025</t>
  </si>
  <si>
    <t>EXECUÇÃO DE CANALETA DE CONCRETO MOLDADO IN LOCO, COM GRELHA DE CONCRETO; ESPESSURA DE 0,20 M, GEOMETRIA RETANGULAR, COM DIMENSÕES INTERNAS: L=0,80 M; H=0,60 M. AF_05/2025</t>
  </si>
  <si>
    <t>EXECUÇÃO DE CANALETA DE CONCRETO MOLDADO IN LOCO, COM GRELHA DE CONCRETO; ESPESSURA DE 0,20 M, GEOMETRIA RETANGULAR, COM DIMENSÕES INTERNAS: L=0,80 M; H=0,90 M. AF_05/2025</t>
  </si>
  <si>
    <t>EXECUÇÃO DE VALETA DE CONCRETO ARMADO MOLDADO IN LOCO, ESPESSURA DE 0,08 M, GEOMETRIA TRAPEIZOIDAL, COM DIMENSÕES INTERNAS: B1=*1,20* M; B2=*0,4* M; H=0,4 M. AF_05/2025</t>
  </si>
  <si>
    <t>EXECUÇÃO DE VALETA DE CONCRETO ARMADO MOLDADO IN LOCO, ESPESSURA DE 0,08 M, GEOMETRIA TRAPEIZOIDAL, COM DIMENSÕES INTERNAS: B1=0,6 M; B2=0,20 M; H=0,20 M. AF_05/2025</t>
  </si>
  <si>
    <t>EXECUÇÃO DE VALETA DE CONCRETO ARMADO MOLDADO IN LOCO, ESPESSURA DE 0,08 M, GEOMETRIA TRAPEIZOIDAL, COM DIMENSÕES INTERNAS: B1=0,7 M; B2=0,30 M; H=0,20 M. AF_05/2025</t>
  </si>
  <si>
    <t>EXECUÇÃO DE VALETA DE CONCRETO ARMADO MOLDADO IN LOCO, ESPESSURA DE 0,08 M, GEOMETRIA TRAPEIZOIDAL, COM DIMENSÕES INTERNAS: B1=0,8 M; B2=0,30 M; H=0,25 M. AF_05/2025</t>
  </si>
  <si>
    <t>EXECUÇÃO DE VALETA DE CONCRETO ARMADO MOLDADO IN LOCO, ESPESSURA DE 0,08 M, GEOMETRIA TRAPEIZOIDAL, COM DIMENSÕES INTERNAS: B1=0,9 M; B2=0,30 M; H=0,30 M. AF_05/2025</t>
  </si>
  <si>
    <t>EXECUÇÃO DE VALETA DE CONCRETO ARMADO MOLDADO IN LOCO, ESPESSURA DE 0,08 M, GEOMETRIA TRAPEIZOIDAL, COM DIMENSÕES INTERNAS: B1=1,0 M; B2=0,40 M; H=0,30 M. AF_05/2025</t>
  </si>
  <si>
    <t>EXECUÇÃO DE VALETA DE CONCRETO ARMADO MOLDADO IN LOCO, ESPESSURA DE 0,08 M, GEOMETRIA TRAPEIZOIDAL, COM DIMENSÕES INTERNAS: B1=1,1 M; B2=0,40 M; H=0,35 M. AF_05/2025</t>
  </si>
  <si>
    <t>EXECUÇÃO DE VALETA DE CONCRETO MOLDADO IN LOCO, ESPESSURA DE 0,08 M, GEOMETRIA TRAPEIZOIDAL, COM DIMENSÕES INTERNAS: B1=*1,0* M; B2=0,40 M; H=*0,30* M. AF_05/2025</t>
  </si>
  <si>
    <t>EXECUÇÃO DE VALETA DE CONCRETO MOLDADO IN LOCO, ESPESSURA DE 0,08 M, GEOMETRIA TRAPEIZOIDAL, COM DIMENSÕES INTERNAS: B1=*1,2* M; B2=*0,4* M; H= 0,4 M. AF_05/2025</t>
  </si>
  <si>
    <t>EXECUÇÃO DE VALETA DE CONCRETO MOLDADO IN LOCO, ESPESSURA DE 0,08 M, GEOMETRIA TRAPEIZOIDAL, COM DIMENSÕES INTERNAS: B1=*1,5* M; B2=*0,50* M; H=*0,50* M. AF_05/2025</t>
  </si>
  <si>
    <t>EXECUÇÃO DE VALETA DE CONCRETO MOLDADO IN LOCO, ESPESSURA DE 0,08 M, GEOMETRIA TRAPEIZOIDAL, COM DIMENSÕES INTERNAS: B1=*1,8* M; B2=*0,60* M; H=*0,6* M. AF_05/2025</t>
  </si>
  <si>
    <t>EXECUÇÃO DE VALETA DE CONCRETO MOLDADO IN LOCO, ESPESSURA DE 0,08 M, GEOMETRIA TRAPEIZOIDAL, COM DIMENSÕES INTERNAS: B1=*2,0* M; B2=*0,8* M; H=0,6 M. AF_05/2025</t>
  </si>
  <si>
    <t>EXECUÇÃO DE VALETA DE CONCRETO MOLDADO IN LOCO, ESPESSURA DE 0,08 M, GEOMETRIA TRAPEIZOIDAL, COM DIMENSÕES INTERNAS: B1=0,6M; B2=0,20 M; H=0,20 M. AF_05/2025</t>
  </si>
  <si>
    <t>EXECUÇÃO DE VALETA DE CONCRETO MOLDADO IN LOCO, ESPESSURA DE 0,08 M, GEOMETRIA TRAPEIZOIDAL, COM DIMENSÕES INTERNAS: B1=0,7 M; B2=0,30 M; H=0,20 M. AF_05/2025</t>
  </si>
  <si>
    <t>EXECUÇÃO DE VALETA DE CONCRETO MOLDADO IN LOCO, ESPESSURA DE 0,08 M, GEOMETRIA TRAPEIZOIDAL, COM DIMENSÕES INTERNAS: B1=0,8 M; B2=0,30 M; H=0,25 M. AF_05/2025</t>
  </si>
  <si>
    <t>EXECUÇÃO DE VALETA DE CONCRETO MOLDADO IN LOCO, ESPESSURA DE 0,08 M, GEOMETRIA TRAPEIZOIDAL, COM DIMENSÕES INTERNAS: B1=0,9 M; B2=0,30 M; H=0,30 M. AF_05/2025</t>
  </si>
  <si>
    <t>EXECUÇÃO DE VALETA DE CONCRETO MOLDADO IN LOCO, ESPESSURA DE 0,08 M, GEOMETRIA TRAPEIZOIDAL, COM DIMENSÕES INTERNAS: B1=1,2 M; B2=0,6 M; H=0,3 M. AF_05/2025</t>
  </si>
  <si>
    <t>EXECUÇÃO DE VALETA DE CONCRETO MOLDADO IN LOCO, ESPESSURA DE 0,08 M, GEOMETRIA TRAPEIZOIDAL, COM DIMENSÕES INTERNAS: B1=1,6 M; B2=1,0 M; H=0,3 M. AF_05/2025</t>
  </si>
  <si>
    <t>GRELHA ARTICULADA PARA CALHA DE PISO 20X50 CM - FORNECIMENTO E INSTALAÇÃO. AF_05/2025</t>
  </si>
  <si>
    <t>GRELHA DE FERRO FUNDIDO SIMPLES COM REQUADRO, 150 X 1000 MM, ASSENTADA COM ARGAMASSA 1 : 3 CIMENTO: AREIA - FORNECIMENTO E INSTALAÇÃO. AF_05/2025</t>
  </si>
  <si>
    <t>GRELHA DE FERRO FUNDIDO SIMPLES COM REQUADRO, 200 X 1000 MM, ASSENTADA COM ARGAMASSA 1 : 3 CIMENTO: AREIA - FORNECIMENTO E INSTALAÇÃO. AF_05/2025</t>
  </si>
  <si>
    <t>GRELHA DE FERRO FUNDIDO SIMPLES COM REQUADRO, 300 X 1000 MM, ASSENTADA COM ARGAMASSA 1 : 3 CIMENTO: AREIA - FORNECIMENTO E INSTALAÇÃO. AF_05/2025</t>
  </si>
  <si>
    <t>GRELHA PARA CALHA DE PISO 20X50 CM - FORNECIMENTO E INSTALAÇÃO. AF_05/2025</t>
  </si>
  <si>
    <t>PREPARO DE SOLO E GABARITO DE MADEIRA PARA VALETA MOLDADA IN LOCO COM GEOMETRIA TRAPEZOIDAL. AF_05/2025</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</si>
  <si>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</si>
  <si>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</si>
  <si>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EQUIPAMENTO DE PROJEÇÃO. ARGAMASSA TRAÇO 1:3 COM PREPARO EM BETONEIRA 400 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</si>
  <si>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</si>
  <si>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</si>
  <si>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</si>
  <si>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</si>
  <si>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TRAÇO 1:4 E EMULSÃO POLIMÉRICA (ADESIVO)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</si>
  <si>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</si>
  <si>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</si>
  <si>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EQUIPAMENTO DE PROJEÇÃO. ARGAMASSA TRAÇO 1:3 COM PREPARO EM BETONEIRA 400 L. AF_10/2022</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</si>
  <si>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</si>
  <si>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</si>
  <si>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</si>
  <si>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</si>
  <si>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TRAÇO 1:4 E EMULSÃO POLIMÉRICA (ADESIVO) COM PREPARO MANUAL. AF_10/2022</t>
  </si>
  <si>
    <t>CHAPISCO APLICADO EM ALVENARIA E ESTRUTURAS DE CONCRETO INTERNAS, COM EQUIPAMENTO DE PROJEÇÃO. ARGAMASSA TRAÇO 1:3 COM PREPARO EM BETONEIRA 400 L. AF_10/2022</t>
  </si>
  <si>
    <t>CHAPISCO APLICADO EM ALVENARIA E ESTRUTURAS DE CONCRETO INTERNAS, COM EQUIPAMENTO DE PROJEÇÃO. ARGAMASSA TRAÇO 1:3 COM PREPARO MANUAL. AF_10/2022</t>
  </si>
  <si>
    <t>CHAPISCO APLICADO EM ALVENARIAS E ESTRUTURAS DE CONCRETO INTERNAS, COM COLHER DE PEDREIRO. ARGAMASSA TRAÇO 1:3 COM PREPARO EM BETONEIRA 400L. AF_10/2022</t>
  </si>
  <si>
    <t>CHAPISCO APLICADO EM ALVENARIAS E ESTRUTURAS DE CONCRETO INTERNAS, COM COLHER DE PEDREIRO. ARGAMASSA TRAÇO 1:3 COM PREPARO MANUAL. AF_10/2022</t>
  </si>
  <si>
    <t>CHAPISCO APLICADO NO TETO OU EM ALVENARIA E ESTRUTURA, COM ROLO PARA TEXTURA ACRÍLICA. ARGAMASSA INDUSTRIALIZADA COM PREPARO EM MISTURADOR 300 KG. AF_10/2022</t>
  </si>
  <si>
    <t>CHAPISCO APLICADO NO TETO OU EM ALVENARIA E ESTRUTURA, COM ROLO PARA TEXTURA ACRÍLICA. ARGAMASSA INDUSTRIALIZADA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</si>
  <si>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</si>
  <si>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TRAÇO 1:4 E EMULSÃO POLIMÉRICA (ADESIVO) COM PREPARO MANUAL. AF_10/2022</t>
  </si>
  <si>
    <t>CHAPISCO APLICADO NO TETO OU EM ESTRUTURA, COM DESEMPENADEIRA DENTADA. ARGAMASSA INDUSTRIALIZADA COM PREPARO EM MISTURADOR 300 KG. AF_10/2022</t>
  </si>
  <si>
    <t>CHAPISCO APLICADO NO TETO OU EM ESTRUTURA, COM DESEMPENADEIRA DENTADA. ARGAMASSA INDUSTRIALIZADA COM PREPARO MANUAL. AF_10/2022</t>
  </si>
  <si>
    <t>CHAPISCO APLICADO SOMENTE NA ESTRUTURA DE CONCRETO DA FACHADA, COM DESEMPENADEIRA DENTADA. ARGAMASSA INDUSTRIALIZADA COM PREPARO EM MISTURADOR 300 KG. AF_10/2022</t>
  </si>
  <si>
    <t>CHAPISCO APLICADO SOMENTE NA ESTRUTURA DE CONCRETO DA FACHADA, COM DESEMPENADEIRA DENTADA. ARGAMASSA INDUSTRIALIZADA COM PREPARO MANUAL. AF_10/2022</t>
  </si>
  <si>
    <t>CONCRETAGEM DE ESCADAS, FCK=25 MPA, COM USO DE BOMBA - LANÇAMENTO, ADENSAMENTO E ACABAMENTO. AF_02/2022_PS</t>
  </si>
  <si>
    <t>CONCRETAGEM DE MURETAS, FCK=25 MPA, COM USO DE BOMBA - LANÇAMENTO, ADENSAMENTO E ACABAMENTO. AF_02/2022_PS</t>
  </si>
  <si>
    <t>CONCRETAGEM DE PILARES, FCK = 25 MPA, COM USO DE BALDES - LANÇAMENTO, ADENSAMENTO E ACABAMENTO. AF_02/2022</t>
  </si>
  <si>
    <t>CONCRETAGEM DE PILARES, FCK = 25 MPA, COM USO DE BOMBA - LANÇAMENTO, ADENSAMENTO E ACABAMENTO. AF_02/2022_PS</t>
  </si>
  <si>
    <t>CONCRETAGEM DE PILARES, FCK = 25 MPA, COM USO DE GRUA - LANÇAMENTO, ADENSAMENTO E ACABAMENTO. AF_02/2022</t>
  </si>
  <si>
    <t>CONCRETAGEM DE PILARES, FCK=25 MPA, COM USO DE JERICAS EM CREMALHEIRA - LANÇAMENTO, ADENSAMENTO E ACABAMENTO. AF_02/2022</t>
  </si>
  <si>
    <t>CONCRETAGEM DE PILARES, FCK=25 MPA, COM USO DE JERICAS EM ELEVADOR DE CABO - LANÇAMENTO, ADENSAMENTO E ACABAMENTO. AF_02/2022</t>
  </si>
  <si>
    <t>CONCRETAGEM DE RESERVATÓRIOS, FCK=25 MPA, COM USO DE BOMBA - LANÇAMENTO, ADENSAMENTO E ACABAMENTO. AF_02/2022_PS</t>
  </si>
  <si>
    <t>CONCRETAGEM DE VIGAS E LAJES, FCK=25 MPA, PARA LAJES MACIÇAS OU NERVURADAS COM GRUA DE CAÇAMBA DE 500 L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</si>
  <si>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</si>
  <si>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</si>
  <si>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MACIÇAS OU NERVURADAS COM USO DE BOMBA - LANÇAMENTO, ADENSAMENTO E ACABAMENTO. AF_02/2022_PS</t>
  </si>
  <si>
    <t>CONCRETAGEM DE VIGAS E LAJES, FCK=25 MPA, PARA LAJES PREMOLDADAS COM GRUA DE CAÇAMBA DE 350 L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</si>
  <si>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</si>
  <si>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PREMOLDADAS COM JERICAS EM ELEVADOR DE CABO EM EDIFICAÇÃO DE MULTIPAVIMENTOS ATÉ 16 ANDARES - LANÇAMENTO, ADENSAMENTO E ACABAMENTO. AF_02/2022</t>
  </si>
  <si>
    <t>CONCRETAGEM DE VIGAS E LAJES, FCK=25 MPA, PARA LAJES PREMOLDADAS COM USO DE BOMBA - LANÇAMENTO, ADENSAMENTO E ACABAMENTO. AF_02/2022_PS</t>
  </si>
  <si>
    <t>CONCRETAGEM DE VIGAS E LAJES, FCK=25 MPA, PARA QUALQUER TIPO DE LAJE COM BALDES EM EDIFICAÇÃO DE MULTIPAVIMENTOS ATÉ 04 ANDARES - LANÇAMENTO, ADENSAMENTO E ACABAMENTO. AF_02/2022</t>
  </si>
  <si>
    <t>CONCRETAGEM DE VIGAS E LAJES, FCK=25 MPA, PARA QUALQUER TIPO DE LAJE COM BALDES EM EDIFICAÇÃO TÉRREA - LANÇAMENTO, ADENSAMENTO E ACABAMENTO. AF_02/2022</t>
  </si>
  <si>
    <t>LANÇAMENTO COM USO DE BALDES, ADENSAMENTO E ACABAMENTO DE CONCRETO EM ESTRUTURAS. AF_02/2022</t>
  </si>
  <si>
    <t>LANÇAMENTO COM USO DE BOMBA, ADENSAMENTO E ACABAMENTO DE CONCRETO EM ESTRUTURAS. AF_02/2022</t>
  </si>
  <si>
    <t>ANCORAGEM ATIVA PARA CABO COM 1 CORDOALHA DE DIÂMETRO NOMINAL DE 12,7 MM. AF_08/2022</t>
  </si>
  <si>
    <t>ANCORAGEM ATIVA PARA CABO COM 1 CORDOALHA DE DIÂMETRO NOMINAL DE 15,2 MM. AF_08/2022</t>
  </si>
  <si>
    <t>ANCORAGEM ATIVA PARA CABO COM 12 CORDOALHAS DE DIÂMETRO NOMINAL DE 12,7 MM. AF_08/2022</t>
  </si>
  <si>
    <t>ANCORAGEM ATIVA PARA CABO COM 12 CORDOALHAS DE DIÂMETRO NOMINAL DE 15,2 MM. AF_08/2022</t>
  </si>
  <si>
    <t>ANCORAGEM ATIVA PARA CABO COM 2 CORDOALHAS DE DIÂMETRO NOMINAL DE 12,7 MM. AF_08/2022</t>
  </si>
  <si>
    <t>ANCORAGEM ATIVA PARA CABO COM 2 CORDOALHAS DE DIÂMETRO NOMINAL DE 15,2 MM. AF_08/2022</t>
  </si>
  <si>
    <t>ANCORAGEM ATIVA PARA CABO COM 4 CORDOALHAS DE DIÂMETRO NOMINAL DE 12,7 MM. AF_08/2022</t>
  </si>
  <si>
    <t>ANCORAGEM ATIVA PARA CABO COM 4 CORDOALHAS DE DIÂMETRO NOMINAL DE 15,2 MM. AF_08/2022</t>
  </si>
  <si>
    <t>ANCORAGEM ATIVA PARA CABO COM 6 CORDOALHAS DE DIÂMETRO NOMINAL DE 12,7 MM. AF_08/2022</t>
  </si>
  <si>
    <t>ANCORAGEM ATIVA PARA CABO COM 6 CORDOALHAS DE DIÂMETRO NOMINAL DE 15,2 MM. AF_08/2022</t>
  </si>
  <si>
    <t>ANCORAGEM ATIVA PARA CABO COM 7 CORDOALHAS DE DIÂMETRO NOMINAL DE 12,7 MM. AF_08/2022</t>
  </si>
  <si>
    <t>ANCORAGEM ATIVA PARA CABO COM 7 CORDOALHAS DE DIÂMETRO NOMINAL DE 15,2 MM. AF_08/2022</t>
  </si>
  <si>
    <t>ANCORAGEM ATIVA PARA CORDOALHA COM 7 FIOS E DIÂMETRO NOMINAL DE 12,7 MM. AF_08/2022</t>
  </si>
  <si>
    <t>ANCORAGEM ATIVA PARA CORDOALHA COM 7 FIOS E DIÂMETRO NOMINAL DE 15,2 MM. AF_08/2022</t>
  </si>
  <si>
    <t>ANCORAGEM PASSIVA PARA CABO COM 1 CORDOALHA DE DIÂMETRO NOMINAL DE 12,7 MM. AF_08/2022</t>
  </si>
  <si>
    <t>ANCORAGEM PASSIVA PARA CABO COM 1 CORDOALHA DE DIÂMETRO NOMINAL DE 15,2 MM. AF_08/2022</t>
  </si>
  <si>
    <t>ANCORAGEM PASSIVA PARA CABO COM 12 CORDOALHAS DE DIÂMETRO NOMINAL DE 12,7 MM. AF_08/2022</t>
  </si>
  <si>
    <t>ANCORAGEM PASSIVA PARA CABO COM 12 CORDOALHAS DE DIÂMETRO NOMINAL DE 15,2 MM. AF_08/2022</t>
  </si>
  <si>
    <t>ANCORAGEM PASSIVA PARA CABO COM 2 CORDOALHAS DE DIÂMETRO NOMINAL DE 12,7 MM. AF_08/2022</t>
  </si>
  <si>
    <t>ANCORAGEM PASSIVA PARA CABO COM 2 CORDOALHAS DE DIÂMETRO NOMINAL DE 15,2 MM. AF_08/2022</t>
  </si>
  <si>
    <t>ANCORAGEM PASSIVA PARA CABO COM 4 CORDOALHAS DE DIÂMETRO NOMINAL DE 12,7 MM. AF_08/2022</t>
  </si>
  <si>
    <t>ANCORAGEM PASSIVA PARA CABO COM 4 CORDOALHAS DE DIÂMETRO NOMINAL DE 15,2 MM. AF_08/2022</t>
  </si>
  <si>
    <t>ANCORAGEM PASSIVA PARA CABO COM 6 CORDOALHAS DE DIÂMETRO NOMINAL DE 12,7 MM. AF_08/2022</t>
  </si>
  <si>
    <t>ANCORAGEM PASSIVA PARA CABO COM 6 CORDOALHAS DE DIÂMETRO NOMINAL DE 15,2 MM. AF_08/2022</t>
  </si>
  <si>
    <t>ANCORAGEM PASSIVA PARA CABO COM 7 CORDOALHAS DE DIÂMETRO NOMINAL DE 12,7 MM. AF_08/2022</t>
  </si>
  <si>
    <t>ANCORAGEM PASSIVA PARA CABO COM 7 CORDOALHAS DE DIÂMETRO NOMINAL DE 15,2 MM. AF_08/2022</t>
  </si>
  <si>
    <t>ANCORAGEM PASSIVA PARA CORDOALHA COM 7 FIOS E DIÂMETRO NOMINAL DE 12,7 MM. AF_08/2022</t>
  </si>
  <si>
    <t>ANCORAGEM PASSIVA PARA CORDOALHA COM 7 FIOS E DIÂMETRO NOMINAL DE 15,2 MM. AF_08/2022</t>
  </si>
  <si>
    <t>FORNECIMENTO E INSTALAÇÃO DE BAINHA CIRCULAR COM DIÂMETRO NOMINAL DE 35 MM, INCLUSIVE INJEÇÃO DE NATA DE CIMENTO. AF_08/2022</t>
  </si>
  <si>
    <t>FORNECIMENTO E INSTALAÇÃO DE BAINHA CIRCULAR COM DIÂMETRO NOMINAL DE 40 MM, INCLUSIVE INJEÇÃO DE NATA DE CIMENTO. AF_08/2022</t>
  </si>
  <si>
    <t>FORNECIMENTO E INSTALAÇÃO DE BAINHA CIRCULAR COM DIÂMETRO NOMINAL DE 50 MM, INCLUSIVE INJEÇÃO DE NATA DE CIMENTO. AF_08/2022</t>
  </si>
  <si>
    <t>FORNECIMENTO E INSTALAÇÃO DE BAINHA CIRCULAR COM DIÂMETRO NOMINAL DE 55 MM, INCLUSIVE INJEÇÃO DE NATA DE CIMENTO. AF_08/2022</t>
  </si>
  <si>
    <t>FORNECIMENTO E INSTALAÇÃO DE BAINHA CIRCULAR COM DIÂMETRO NOMINAL DE 60 MM, INCLUSIVE INJEÇÃO DE NATA DE CIMENTO. AF_08/2022</t>
  </si>
  <si>
    <t>FORNECIMENTO E INSTALAÇÃO DE BAINHA CIRCULAR COM DIÂMETRO NOMINAL DE 65 MM, INCLUSIVE INJEÇÃO DE NATA DE CIMENTO. AF_08/2022</t>
  </si>
  <si>
    <t>FORNECIMENTO E INSTALAÇÃO DE BAINHA CIRCULAR COM DIÂMETRO NOMINAL DE 80 MM, INCLUSIVE INJEÇÃO DE NATA DE CIMENTO. AF_08/2022</t>
  </si>
  <si>
    <t>FORNECIMENTO E INSTALAÇÃO DE CABO COM CORDOALHA NUA, RESISTÊNCIA À TRAÇÃO DE 190 KGF/MM² E DIÂMETRO NOMINAL DE 12,7 MM, EM VIGA. AF_08/2022</t>
  </si>
  <si>
    <t>FORNECIMENTO E INSTALAÇÃO DE CABO COM CORDOALHA NUA, RESISTÊNCIA À TRAÇÃO DE 190 KGF/MM² E DIÂMETRO NOMINAL DE 15,2 MM, EM VIGA. AF_08/2022</t>
  </si>
  <si>
    <t>FORNECIMENTO E INSTALAÇÃO DE CABO COM CORDOALHA NUA, RESISTÊNCIA À TRAÇÃO DE 210 KGF/MM² E DIÂMETRO NOMINAL DE 12,7 MM, EM VIGA. AF_08/2022</t>
  </si>
  <si>
    <t>FORNECIMENTO E INSTALAÇÃO DE CABO COM CORDOALHA NUA, RESISTÊNCIA À TRAÇÃO DE 210 KGF/MM² E DIÂMETRO NOMINAL DE 15,2 MM, EM VIGA. AF_08/2022</t>
  </si>
  <si>
    <t>FORNECIMENTO E INSTALAÇÃO DE CORDOALHA COM 7 FIOS, RESISTÊNCIA À TRAÇÃO DE 190 KGF/MM² E DIÂMETRO NOMINAL DE 12,7 MM, EM LAJE. AF_08/2022</t>
  </si>
  <si>
    <t>FORNECIMENTO E INSTALAÇÃO DE CORDOALHA COM 7 FIOS, RESISTÊNCIA À TRAÇÃO DE 190 KGF/MM² E DIÂMETRO NOMINAL DE 12,7 MM, EM VIGA. AF_08/2022</t>
  </si>
  <si>
    <t>FORNECIMENTO E INSTALAÇÃO DE CORDOALHA COM 7 FIOS, RESISTÊNCIA À TRAÇÃO DE 190 KGF/MM² E DIÂMETRO NOMINAL DE 15,2 MM, EM LAJE. AF_08/2022</t>
  </si>
  <si>
    <t>FORNECIMENTO E INSTALAÇÃO DE CORDOALHA COM 7 FIOS, RESISTÊNCIA À TRAÇÃO DE 190 KGF/MM² E DIÂMETRO NOMINAL DE 15,2 MM, EM VIGA. AF_08/2022</t>
  </si>
  <si>
    <t>FORNECIMENTO E INSTALAÇÃO DE CORDOALHA COM 7 FIOS, RESISTÊNCIA À TRAÇÃO DE 210 KGF/MM² E DIÂMETRO NOMINAL DE 12,7 MM, EM LAJE. AF_08/2022</t>
  </si>
  <si>
    <t>FORNECIMENTO E INSTALAÇÃO DE CORDOALHA COM 7 FIOS, RESISTÊNCIA À TRAÇÃO DE 210 KGF/MM² E DIÂMETRO NOMINAL DE 12,7 MM, EM VIGA. AF_08/2022</t>
  </si>
  <si>
    <t>FORNECIMENTO E INSTALAÇÃO DE CORDOALHA COM 7 FIOS, RESISTÊNCIA À TRAÇÃO DE 210 KGF/MM² E DIÂMETRO NOMINAL DE 15,2 MM, EM LAJE. AF_08/2022</t>
  </si>
  <si>
    <t>FORNECIMENTO E INSTALAÇÃO DE CORDOALHA COM 7 FIOS, RESISTÊNCIA À TRAÇÃO DE 210 KGF/MM² E DIÂMETRO NOMINAL DE 15,2 MM, EM VIGA. AF_08/2022</t>
  </si>
  <si>
    <t>CONTRAPISO ACÚSTICO EM ARGAMASSA PRONTA, PREPARO MANUAL, APLICADO EM ÁREAS SECA, ACABAMENTO NÃO REFORÇADO, ESPESSURA 6CM. AF_07/2021</t>
  </si>
  <si>
    <t>CONTRAPISO ACÚSTICO EM ARGAMASSA PRONTA, PREPARO MANUAL, APLICADO EM ÁREAS SECAS, ACABAMENTO NÃO REFORÇADO, ESPESSURA 5CM. AF_07/2021</t>
  </si>
  <si>
    <t>CONTRAPISO ACÚSTICO EM ARGAMASSA PRONTA, PREPARO MANUAL, APLICADO EM ÁREAS SECAS, ACABAMENTO NÃO REFORÇADO, ESPESSURA 7CM. AF_07/2021</t>
  </si>
  <si>
    <t>CONTRAPISO ACÚSTICO EM ARGAMASSA PRONTA, PREPARO MECÂNICO COM MISTURADOR 300 KG, APLICADO EM ÁREAS SECAS, ACABAMENTO NÃO REFORÇADO, ESPESSURA 5CM. AF_07/2021</t>
  </si>
  <si>
    <t>CONTRAPISO ACÚSTICO EM ARGAMASSA PRONTA, PREPARO MECÂNICO COM MISTURADOR 300 KG, APLICADO EM ÁREAS SECAS, ACABAMENTO NÃO REFORÇADO, ESPESSURA 6CM. AF_07/2021</t>
  </si>
  <si>
    <t>CONTRAPISO ACÚSTICO EM ARGAMASSA PRONTA, PREPARO MECÂNICO COM MISTURADOR 300 KG, APLICADO EM ÁREAS SECAS, ACABAMENTO NÃO REFORÇADO, ESPESSURA 7CM. AF_07/2021</t>
  </si>
  <si>
    <t>CONTRAPISO ACÚSTICO EM ARGAMASSA TRAÇO 1:4 (CIMENTO E AREIA), PREPARO MANUAL, APLICADO EM ÁREAS SECAS, ACABAMENTO NÃO REFORÇADO, ESPESSURA 5CM. AF_07/2021</t>
  </si>
  <si>
    <t>CONTRAPISO ACÚSTICO EM ARGAMASSA TRAÇO 1:4 (CIMENTO E AREIA), PREPARO MANUAL, APLICADO EM ÁREAS SECAS, ACABAMENTO NÃO REFORÇADO, ESPESSURA 6CM. AF_07/2021</t>
  </si>
  <si>
    <t>CONTRAPISO ACÚSTICO EM ARGAMASSA TRAÇO 1:4 (CIMENTO E AREIA), PREPARO MANUAL, APLICADO EM ÁREAS SECAS, ACABAMENTO NÃO REFORÇADO, ESPESSURA 7CM. AF_07/2021</t>
  </si>
  <si>
    <t>CONTRAPISO ACÚSTICO EM ARGAMASSA TRAÇO 1:4 (CIMENTO E AREIA), PREPARO MECÂNICO COM BETONEIRA 400L,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</si>
  <si>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</si>
  <si>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MECÂNICO COM BETONEIRA 400L, APLICADO EM ÁREAS SECAS, ACABAMENTO NÃO REFORÇADO, ESPESSURA 7CM.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</si>
  <si>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</si>
  <si>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</si>
  <si>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</si>
  <si>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</si>
  <si>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</si>
  <si>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</si>
  <si>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EM ARGAMASSA PRONTA, PREPARO MANUAL, APLICADO EM ÁREAS MOLHADAS SOBRE IMPERMEABILIZAÇÃO, ACABAMENTO NÃO REFORÇADO, ESPESSURA 3CM. AF_07/2021</t>
  </si>
  <si>
    <t>CONTRAPISO EM ARGAMASSA PRONTA, PREPARO MANUAL, APLICADO EM ÁREAS MOLHADAS SOBRE IMPERMEABILIZAÇÃO, ACABAMENTO NÃO REFORÇADO, ESPESSURA 4CM. AF_07/2021</t>
  </si>
  <si>
    <t>CONTRAPISO EM ARGAMASSA PRONTA, PREPARO MANUAL, APLICADO EM ÁREAS MOLHADAS SOBRE LAJE, ADERIDO, ACABAMENTO NÃO REFORÇADO, ESPESSURA 2CM. AF_07/2021</t>
  </si>
  <si>
    <t>CONTRAPISO EM ARGAMASSA PRONTA, PREPARO MANUAL, APLICADO EM ÁREAS MOLHADAS SOBRE LAJE, ADERIDO, ACABAMENTO NÃO REFORÇADO, ESPESSURA 3CM. AF_07/2021</t>
  </si>
  <si>
    <t>CONTRAPISO EM ARGAMASSA PRONTA, PREPARO MANUAL, APLICADO EM ÁREAS SECAS SOBRE LAJE, ADERIDO, ACABAMENTO NÃO REFORÇADO, ESPESSURA 2CM. AF_07/2021</t>
  </si>
  <si>
    <t>CONTRAPISO EM ARGAMASSA PRONTA, PREPARO MANUAL, APLICADO EM ÁREAS SECAS SOBRE LAJE, ADERIDO, ACABAMENTO NÃO REFORÇADO, ESPESSURA 3CM. AF_07/2021</t>
  </si>
  <si>
    <t>CONTRAPISO EM ARGAMASSA PRONTA, PREPARO MANUAL, APLICADO EM ÁREAS SECAS SOBRE LAJE, ADERIDO, ACABAMENTO NÃO REFORÇADO, ESPESSURA 4CM. AF_07/2021</t>
  </si>
  <si>
    <t>CONTRAPISO EM ARGAMASSA PRONTA, PREPARO MANUAL, APLICADO EM ÁREAS SECAS SOBRE LAJE, NÃO ADERIDO, ACABAMENTO NÃO REFORÇADO, ESPESSURA 4CM. AF_07/2021</t>
  </si>
  <si>
    <t>CONTRAPISO EM ARGAMASSA PRONTA, PREPARO MANUAL, APLICADO EM ÁREAS SECAS SOBRE LAJE, NÃO ADERIDO, ACABAMENTO NÃO REFORÇADO, ESPESSURA 5CM. AF_07/2021</t>
  </si>
  <si>
    <t>CONTRAPISO EM ARGAMASSA PRONTA, PREPARO MANUAL, APLICADO EM ÁREAS SECAS SOBRE LAJE, NÃO ADERIDO, ACABAMENTO NÃO REFORÇADO, ESPESSURA 6CM. AF_07/2021</t>
  </si>
  <si>
    <t>CONTRAPISO EM ARGAMASSA PRONTA, PREPARO MECÂNICO COM MISTURADOR 300 KG, APLICADO EM ÁREAS MOLHADAS SOBRE IMPERMEABILIZAÇÃO, ACABAMENTO NÃO REFORÇADO, ESPESSURA 3CM. AF_07/2021</t>
  </si>
  <si>
    <t>CONTRAPISO EM ARGAMASSA PRONTA, PREPARO MECÂNICO COM MISTURADOR 300 KG, APLICADO EM ÁREAS MOLHADAS SOBRE IMPERMEABILIZAÇÃO, ACABAMENTO NÃO REFORÇADO, ESPESSURA 4CM. AF_07/2021</t>
  </si>
  <si>
    <t>CONTRAPISO EM ARGAMASSA PRONTA, PREPARO MECÂNICO COM MISTURADOR 300 KG, APLICADO EM ÁREAS MOLHADAS SOBRE LAJE, ADERIDO, ACABAMENTO NÃO REFORÇADO, ESPESSURA 2CM. AF_07/2021</t>
  </si>
  <si>
    <t>CONTRAPISO EM ARGAMASSA PRONTA, PREPARO MECÂNICO COM MISTURADOR 300 KG, APLICADO EM ÁREAS MOLHADAS SOBRE LAJE, ADERIDO, ACABAMENTO NÃO REFORÇADO, ESPESSURA 3CM. AF_07/2021</t>
  </si>
  <si>
    <t>CONTRAPISO EM ARGAMASSA PRONTA, PREPARO MECÂNICO COM MISTURADOR 300 KG, APLICADO EM ÁREAS SECAS SOBRE LAJE, ADERIDO, ACABAMENTO NÃO REFORÇADO, ESPESSURA 2CM. AF_07/2021</t>
  </si>
  <si>
    <t>CONTRAPISO EM ARGAMASSA PRONTA, PREPARO MECÂNICO COM MISTURADOR 300 KG, APLICADO EM ÁREAS SECAS SOBRE LAJE, ADERIDO, ACABAMENTO NÃO REFORÇADO, ESPESSURA 3CM. AF_07/2021</t>
  </si>
  <si>
    <t>CONTRAPISO EM ARGAMASSA PRONTA, PREPARO MECÂNICO COM MISTURADOR 300 KG, APLICADO EM ÁREAS SECAS SOBRE LAJE,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</si>
  <si>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</si>
  <si>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MECÂNICO COM MISTURADOR 300 KG, APLICADO EM ÁREAS SECAS SOBRE LAJE, NÃO ADERIDO, ACABAMENTO NÃO REFORÇADO, ESPESSURA 6CM. AF_07/2021</t>
  </si>
  <si>
    <t>CONTRAPISO EM ARGAMASSA PRONTA, PREPARO MECÂNICO COM MISTURADOR 300 KG, APLICADO EM ÁREAS SECAS SOBRE LAJE, NÃO ADERIDO, ESPESSURA 5CM. AF_07/2021</t>
  </si>
  <si>
    <t>CONTRAPISO EM ARGAMASSA TRAÇO 1:4 (CIMENTO E AREIA), PREPARO MANUAL, APLICADO EM ÁREAS MOLHADAS SOBRE IMPERMEABILIZAÇÃO, ACABAMENTO NÃO REFORÇADO, ESPESSURA 3CM. AF_07/2021</t>
  </si>
  <si>
    <t>CONTRAPISO EM ARGAMASSA TRAÇO 1:4 (CIMENTO E AREIA), PREPARO MANUAL, APLICADO EM ÁREAS MOLHADAS SOBRE IMPERMEABILIZAÇÃO, ACABAMENTO NÃO REFORÇADO, ESPESSURA 4CM. AF_07/2021</t>
  </si>
  <si>
    <t>CONTRAPISO EM ARGAMASSA TRAÇO 1:4 (CIMENTO E AREIA), PREPARO MANUAL, APLICADO EM ÁREAS MOLHADAS SOBRE LAJE, ADERIDO, ACABAMENTO NÃO REFORÇADO, ESPESSURA 2CM. AF_07/2021</t>
  </si>
  <si>
    <t>CONTRAPISO EM ARGAMASSA TRAÇO 1:4 (CIMENTO E AREIA), PREPARO MANUAL, APLICADO EM ÁREAS MOLHADAS SOBRE LAJE, ADERIDO, ACABAMENTO NÃO REFORÇADO, ESPESSURA 3CM. AF_07/2021</t>
  </si>
  <si>
    <t>CONTRAPISO EM ARGAMASSA TRAÇO 1:4 (CIMENTO E AREIA), PREPARO MANUAL, APLICADO EM ÁREAS SECAS SOBRE LAJE, ADERIDO, ACABAMENTO NÃO REFORÇADO, ESPESSURA 2CM. AF_07/2021</t>
  </si>
  <si>
    <t>CONTRAPISO EM ARGAMASSA TRAÇO 1:4 (CIMENTO E AREIA), PREPARO MANUAL, APLICADO EM ÁREAS SECAS SOBRE LAJE, ADERIDO, ACABAMENTO NÃO REFORÇADO, ESPESSURA 3CM. AF_07/2021</t>
  </si>
  <si>
    <t>CONTRAPISO EM ARGAMASSA TRAÇO 1:4 (CIMENTO E AREIA), PREPARO MANUAL, APLICADO EM ÁREAS SECAS SOBRE LAJE, ADERIDO, ACABAMENTO NÃO REFORÇADO, ESPESSURA 4CM. AF_07/2021</t>
  </si>
  <si>
    <t>CONTRAPISO EM ARGAMASSA TRAÇO 1:4 (CIMENTO E AREIA), PREPARO MANUAL, APLICADO EM ÁREAS SECAS SOBRE LAJE, NÃO ADERIDO, ACABAMENTO NÃO REFORÇADO, ESPESSURA 4CM. AF_07/2021</t>
  </si>
  <si>
    <t>CONTRAPISO EM ARGAMASSA TRAÇO 1:4 (CIMENTO E AREIA), PREPARO MANUAL, APLICADO EM ÁREAS SECAS SOBRE LAJE, NÃO ADERIDO, ACABAMENTO NÃO REFORÇADO, ESPESSURA 5CM. AF_07/2021</t>
  </si>
  <si>
    <t>CONTRAPISO EM ARGAMASSA TRAÇO 1:4 (CIMENTO E AREIA), PREPARO MANUAL, APLICADO EM ÁREAS SECAS SOBRE LAJE, NÃO ADERIDO, ACABAMENTO NÃO REFORÇADO, ESPESSURA 6CM.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</si>
  <si>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</si>
  <si>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</si>
  <si>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MECÂNICO COM BETONEIRA 400 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</si>
  <si>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</si>
  <si>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MECÂNICO COM BETONEIRA 400 L,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</si>
  <si>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</si>
  <si>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</si>
  <si>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</si>
  <si>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</si>
  <si>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</si>
  <si>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REFORÇO SUPERFICIAL PARA CONTRAPISOS DE ARGAMASSA SEMI-SECA. AF_07/2021</t>
  </si>
  <si>
    <t>APARELHO PARA CORTE E SOLDA OXI-ACETILENO SOBRE RODAS, INCLUSIVE CILINDROS E MAÇARICOS - CHI DIURNO. AF_05/2023</t>
  </si>
  <si>
    <t>CHI</t>
  </si>
  <si>
    <t>APARELHO PARA CORTE E SOLDA OXI-ACETILENO SOBRE RODAS, INCLUSIVE CILINDROS E MAÇARICOS - CHP DIURNO. AF_05/2023</t>
  </si>
  <si>
    <t>BATE ESTACA PARA INSTALAÇÃO DE DEFENSAS METÁLICAS (GUARD RAIL) FIXO, INCLUSIVE CAMINHÃO TOCO PBT 9.700 KG, POTÊNCIA DE 160 CV - CHI DIURNO. AF_05/2023</t>
  </si>
  <si>
    <t>BATE ESTACA PARA INSTALAÇÃO DE DEFENSAS METÁLICAS (GUARD RAIL) FIXO, INCLUSIVE CAMINHÃO TOCO PBT 9.700 KG, POTÊNCIA DE 160 CV - CHP DIURNO. AF_05/2023</t>
  </si>
  <si>
    <t>BATE-ESTACAS POR GRAVIDADE, POTÊNCIA DE 160 HP, PESO DO MARTELO ATÉ 3 TONELADAS - CHI DIURNO. AF_11/2014</t>
  </si>
  <si>
    <t>BATE-ESTACAS POR GRAVIDADE, POTÊNCIA DE 160 HP, PESO DO MARTELO ATÉ 3 TONELADAS - CHP DIURNO. AF_11/2014</t>
  </si>
  <si>
    <t>BETONEIRA CAPACIDADE NOMINAL 400 L, CAPACIDADE DE MISTURA 310 L, MOTOR A DIESEL POTÊNCIA 5,0 HP, SEM CARREGADOR - CHI DIURNO. AF_05/2023</t>
  </si>
  <si>
    <t>BETONEIRA CAPACIDADE NOMINAL 400 L, CAPACIDADE DE MISTURA 310 L, MOTOR A DIESEL POTÊNCIA 5,0 HP, SEM CARREGADOR - CHP DIURNO. AF_05/2023</t>
  </si>
  <si>
    <t>BETONEIRA CAPACIDADE NOMINAL 400 L, CAPACIDADE DE MISTURA 310 L, MOTOR A GASOLINA POTÊNCIA 5,5 HP, SEM CARREGADOR - CHI DIURNO. AF_02/2016</t>
  </si>
  <si>
    <t>BETONEIRA CAPACIDADE NOMINAL 400 L, CAPACIDADE DE MISTURA 310 L, MOTOR A GASOLINA POTÊNCIA 5,5 HP, SEM CARREGADOR - CHP DIURNO. AF_02/2016</t>
  </si>
  <si>
    <t>BETONEIRA CAPACIDADE NOMINAL DE 250 L, CAPACIDADE DE MISTURA DE 175 L, MOTOR ELÉTRICO MONOFÁSICO POTÊNCIA 1CV - CHI DIURNO. AF_05/2023</t>
  </si>
  <si>
    <t>BETONEIRA CAPACIDADE NOMINAL DE 250 L, CAPACIDADE DE MISTURA DE 175 L, MOTOR ELÉTRICO MONOFÁSICO POTÊNCIA 1CV - CHP DIURNO. AF_05/2023</t>
  </si>
  <si>
    <t>BETONEIRA CAPACIDADE NOMINAL DE 400 L, CAPACIDADE DE MISTURA 280 L, MOTOR ELÉTRICO TRIFÁSICO POTÊNCIA DE 2 CV, SEM CARREGADOR - CHI DIURNO. AF_05/2023</t>
  </si>
  <si>
    <t>BETONEIRA CAPACIDADE NOMINAL DE 400 L, CAPACIDADE DE MISTURA 280 L, MOTOR ELÉTRICO TRIFÁSICO POTÊNCIA DE 2 CV, SEM CARREGADOR - CHP DIURNO. AF_05/2023</t>
  </si>
  <si>
    <t>BETONEIRA CAPACIDADE NOMINAL DE 600 L, CAPACIDADE DE MISTURA 360 L, MOTOR ELÉTRICO TRIFÁSICO POTÊNCIA DE 4 CV, SEM CARREGADOR - CHI DIURNO. AF_05/2023</t>
  </si>
  <si>
    <t>BETONEIRA CAPACIDADE NOMINAL DE 600 L, CAPACIDADE DE MISTURA 360 L, MOTOR ELÉTRICO TRIFÁSICO POTÊNCIA DE 4 CV, SEM CARREGADOR - CHP DIURNO. AF_05/2023</t>
  </si>
  <si>
    <t>BETONEIRA CAPACIDADE NOMINAL DE 600 L, CAPACIDADE DE MISTURA 440 L, MOTOR A DIESEL POTÊNCIA 10 HP, COM CARREGADOR - CHI DIURNO. AF_05/2023</t>
  </si>
  <si>
    <t>BETONEIRA CAPACIDADE NOMINAL DE 600 L, CAPACIDADE DE MISTURA 440 L, MOTOR A DIESEL POTÊNCIA 10 HP, COM CARREGADOR - CHP DIURNO. AF_05/2023</t>
  </si>
  <si>
    <t>BOMBA CENTRÍFUGA MONOESTÁGIO COM MOTOR ELÉTRICO MONOFÁSICO, POTÊNCIA 15 HP, DIÂMETRO DO ROTOR 173 MM, HM/Q = 30 MCA / 90 M3/H A 45 MCA / 55 M3/H - CHI DIURNO. AF_06/2015</t>
  </si>
  <si>
    <t>BOMBA CENTRÍFUGA MONOESTÁGIO COM MOTOR ELÉTRICO MONOFÁSICO, POTÊNCIA 15 HP, DIÂMETRO DO ROTOR 173 MM, HM/Q = 30 MCA / 90 M3/H A 45 MCA / 55 M3/H - CHP DIURNO. AF_06/2015</t>
  </si>
  <si>
    <t>BOMBA DE INJEÇÃO, ELÉTRICA, TRIFÁSICA, POTÊNCIA 7,5 CV - CHI DIURNO. AF_08/2025</t>
  </si>
  <si>
    <t>BOMBA DE INJEÇÃO, ELÉTRICA, TRIFÁSICA, POTÊNCIA 7,5 CV- CHP DIURNO. AF_08/2025</t>
  </si>
  <si>
    <t>BOMBA DE PROJEÇÃO DE CONCRETO SECO, POTÊNCIA 10 CV, VAZÃO 3 M3/H - CHI DIURNO. AF_06/2015</t>
  </si>
  <si>
    <t>BOMBA DE PROJEÇÃO DE CONCRETO SECO, POTÊNCIA 10 CV, VAZÃO 3 M3/H - CHP DIURNO. AF_06/2015</t>
  </si>
  <si>
    <t>BOMBA DE PROJEÇÃO DE CONCRETO SECO, POTÊNCIA 10 CV, VAZÃO 6 M3/H - CHI DIURNO. AF_06/2015</t>
  </si>
  <si>
    <t>BOMBA DE PROJEÇÃO DE CONCRETO SECO, POTÊNCIA 10 CV, VAZÃO 6 M3/H - CHP DIURNO. AF_06/2015</t>
  </si>
  <si>
    <t>BOMBA SUBMERSÍVEL ELÉTRICA TRIFÁSICA, POTÊNCIA 2,96 HP, Ø ROTOR 144 MM SEMI-ABERTO, BOCAL DE SAÍDA Ø 2", HM/Q = 2 MCA / 38,8 M3/H A 28 MCA / 5 M3/H - CHI DIURNO. AF_06/2014</t>
  </si>
  <si>
    <t>BOMBA SUBMERSÍVEL ELÉTRICA TRIFÁSICA, POTÊNCIA 2,96 HP, Ø ROTOR 144 MM SEMI-ABERTO, BOCAL DE SAÍDA Ø 2", HM/Q = 2 MCA / 38,8 M3/H A 28 MCA / 5 M3/H - CHP DIURNO. AF_06/2014</t>
  </si>
  <si>
    <t>BOMBA TRIPLEX, PARA INJEÇÃO DE NATA DE CIMENTO, VAZÃO MÁXIMA DE 100 LITROS/MINUTO, PRESSÃO MÁXIMA DE 70 BAR - CHI DIURNO. AF_06/2015</t>
  </si>
  <si>
    <t>BOMBA TRIPLEX, PARA INJEÇÃO DE NATA DE CIMENTO, VAZÃO MÁXIMA DE 100 LITROS/MINUTO, PRESSÃO MÁXIMA DE 70 BAR - CHP DIURNO. AF_06/2015</t>
  </si>
  <si>
    <t>CALDEIRA A GÁS COM TERMOSTATO, CAPACIDADE 100 LITROS - CHI DIURNO. AF_05/2023</t>
  </si>
  <si>
    <t>CALDEIRA A GÁS COM TERMOSTATO, CAPACIDADE 100 LITROS - CHP DIURNO. AF_05/2023</t>
  </si>
  <si>
    <t>CAMINHONETE CABINE SIMPLES COM MOTOR 1.6 FLEX, CÂMBIO MANUAL, POTÊNCIA 101/104 CV, 2 PORTAS - CHI DIURNO. AF_11/2015</t>
  </si>
  <si>
    <t>CAMINHONETE CABINE SIMPLES COM MOTOR 1.6 FLEX, CÂMBIO MANUAL, POTÊNCIA 101/104 CV, 2 PORTAS - CHP DIURNO. AF_11/2015</t>
  </si>
  <si>
    <t>CAMINHONETE COM MOTOR A DIESEL, POTÊNCIA 180 CV, CABINE DUPLA, 4X4 - CHI DIURNO. AF_11/2015</t>
  </si>
  <si>
    <t>CAMINHONETE COM MOTOR A DIESEL, POTÊNCIA 180 CV, CABINE DUPLA, 4X4 - CHP DIURNO. AF_11/2015</t>
  </si>
  <si>
    <t>CAMINHÃO BASCULANTE 10 M3, TRUCADO CABINE SIMPLES, PESO BRUTO TOTAL 23.000 KG, CARGA ÚTIL MÁXIMA 15.935 KG, DISTÂNCIA ENTRE EIXOS 4,80 M, POTÊNCIA 230 CV INCLUSIVE CAÇAMBA METÁLICA - CHI DIURNO. AF_06/2014</t>
  </si>
  <si>
    <t>CAMINHÃO BASCULANTE 10 M3, TRUCADO CABINE SIMPLES, PESO BRUTO TOTAL 23.000 KG, CARGA ÚTIL MÁXIMA 15.935 KG, DISTÂNCIA ENTRE EIXOS 4,80 M, POTÊNCIA 230 CV INCLUSIVE CAÇAMBA METÁLICA - CHP DIURNO. AF_06/2014</t>
  </si>
  <si>
    <t>CAMINHÃO BASCULANTE 10 M3, TRUCADO, POTÊNCIA 230 CV, INCLUSIVE CAÇAMBA METÁLICA, COM DISTRIBUIDOR DE AGREGADOS ACOPLADO - CHI DIURNO. AF_02/2017</t>
  </si>
  <si>
    <t>CAMINHÃO BASCULANTE 10 M3, TRUCADO, POTÊNCIA 230 CV, INCLUSIVE CAÇAMBA METÁLICA, COM DISTRIBUIDOR DE AGREGADOS ACOPLADO - CHP DIURNO. AF_02/2017</t>
  </si>
  <si>
    <t>CAMINHÃO BASCULANTE 14 M3, COM CAVALO MECÂNICO DE CAPACIDADE MÁXIMA DE TRAÇÃO COMBINADO DE 36000 KG, POTÊNCIA 286 CV, INCLUSIVE SEMIREBOQUE COM CAÇAMBA METÁLICA - CHI DIURNO. AF_12/2014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</si>
  <si>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</si>
  <si>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CHI DIURNO. AF_12/2014</t>
  </si>
  <si>
    <t>CAMINHÃO BASCULANTE 18 M3, COM CAVALO MECÂNICO DE CAPACIDADE MÁXIMA DE TRAÇÃO COMBINADO DE 45000 KG, POTÊNCIA 330 CV, INCLUSIVE SEMIREBOQUE COM CAÇAMBA METÁLICA - CHP DIURNO. AF_12/2014</t>
  </si>
  <si>
    <t>CAMINHÃO BASCULANTE 6 M3 TOCO, PESO BRUTO TOTAL 16.000 KG, CARGA ÚTIL MÁXIMA 11.130 KG, DISTÂNCIA ENTRE EIXOS 5,36 M, POTÊNCIA 185 CV, INCLUSIVE CAÇAMBA METÁLICA - CHI DIURNO. AF_06/2014</t>
  </si>
  <si>
    <t>CAMINHÃO BASCULANTE 6 M3 TOCO, PESO BRUTO TOTAL 16.000 KG, CARGA ÚTIL MÁXIMA 11.130 KG, DISTÂNCIA ENTRE EIXOS 5,36 M, POTÊNCIA 185 CV, INCLUSIVE CAÇAMBA METÁLICA - CHP DIURNO. AF_06/2014</t>
  </si>
  <si>
    <t>CAMINHÃO BASCULANTE 6 M3, PESO BRUTO TOTAL 16.000 KG, CARGA ÚTIL MÁXIMA 13.071 KG, DISTÂNCIA ENTRE EIXOS 4,80 M, POTÊNCIA 230 CV INCLUSIVE CAÇAMBA METÁLICA - CHI DIURNO. AF_06/2014</t>
  </si>
  <si>
    <t>CAMINHÃO BASCULANTE 6 M3, PESO BRUTO TOTAL 16.000 KG, CARGA ÚTIL MÁXIMA 13.071 KG, DISTÂNCIA ENTRE EIXOS 4,80 M, POTÊNCIA 230 CV INCLUSIVE CAÇAMBA METÁLICA - CHP DIURNO. AF_06/2014</t>
  </si>
  <si>
    <t>CAMINHÃO DE TRANSPORTE DE MATERIAL ASFÁLTICO 20.000 L, COM CAVALO MECÂNICO DE CAPACIDADE MÁXIMA DE TRAÇÃO COMBINADO DE 45.000 KG, POTÊNCIA 330 CV, INCLUSIVE TANQUE DE ASFALTO COM MAÇARICO - CHI DIURNO. AF_12/2015</t>
  </si>
  <si>
    <t>CAMINHÃO DE TRANSPORTE DE MATERIAL ASFÁLTICO 20.000 L, COM CAVALO MECÂNICO DE CAPACIDADE MÁXIMA DE TRAÇÃO COMBINADO DE 45.000 KG, POTÊNCIA 330 CV, INCLUSIVE TANQUE DE ASFALTO COM MAÇARICO - CHP DIURNO. AF_12/2015</t>
  </si>
  <si>
    <t>CAMINHÃO DE TRANSPORTE DE MATERIAL ASFÁLTICO 30.000 L, COM CAVALO MECÂNICO DE CAPACIDADE MÁXIMA DE TRAÇÃO COMBINADO DE 66.000 KG, POTÊNCIA 360 CV, INCLUSIVE TANQUE DE ASFALTO COM SERPENTINA - CHI DIURNO. AF_08/2015</t>
  </si>
  <si>
    <t>CAMINHÃO DE TRANSPORTE DE MATERIAL ASFÁLTICO 30.000 L, COM CAVALO MECÂNICO DE CAPACIDADE MÁXIMA DE TRAÇÃO COMBINADO DE 66.000 KG, POTÊNCIA 360 CV, INCLUSIVE TANQUE DE ASFALTO COM SERPENTINA - CHP DIURNO. AF_08/2015</t>
  </si>
  <si>
    <t>CAMINHÃO PARA EQUIPAMENTO DE LIMPEZA A SUCÇÃO COM CAMINHÃO TRUCADO DE PESO BRUTO TOTAL 23000 KG, CARGA ÚTIL MÁXIMA 15935 KG, DISTÂNCIA ENTRE EIXOS 4,80 M, POTÊNCIA 230 CV, INCLUSIVE LIMPADORA A SUCÇÃO, TANQUE 12000 L - CHI DIURNO. AF_05/2023</t>
  </si>
  <si>
    <t>CAMINHÃO PARA EQUIPAMENTO DE LIMPEZA A SUCÇÃO, COM CAMINHÃO TRUCADO DE PESO BRUTO TOTAL 23000 KG, CARGA ÚTIL MÁXIMA 15935 KG, DISTÂNCIA ENTRE EIXOS 4,80 M, POTÊNCIA 230 CV, INCLUSIVE LIMPADORA A SUCÇÃO, TANQUE 12000 L - CHP DIURNO. AF_05/2023</t>
  </si>
  <si>
    <t>CAMINHÃO PIPA 10.000 L TRUCADO, PESO BRUTO TOTAL 23.000 KG, CARGA ÚTIL MÁXIMA 15.935 KG, DISTÂNCIA ENTRE EIXOS 4,8 M, POTÊNCIA 230 CV, INCLUSIVE TANQUE DE AÇO PARA TRANSPORTE DE ÁGUA - CHI DIURNO. AF_06/2014</t>
  </si>
  <si>
    <t>CAMINHÃO PIPA 10.000 L TRUCADO, PESO BRUTO TOTAL 23.000 KG, CARGA ÚTIL MÁXIMA 15.935 KG, DISTÂNCIA ENTRE EIXOS 4,8 M, POTÊNCIA 230 CV, INCLUSIVE TANQUE DE AÇO PARA TRANSPORTE DE ÁGUA - CHP DIURNO. AF_06/2014</t>
  </si>
  <si>
    <t>CAMINHÃO PIPA 6.000 L, PESO BRUTO TOTAL 13.000 KG, DISTÂNCIA ENTRE EIXOS 4,80 M, POTÊNCIA 189 CV INCLUSIVE TANQUE DE AÇO PARA TRANSPORTE DE ÁGUA, CAPACIDADE 6 M3 - CHI DIURNO. AF_06/2014</t>
  </si>
  <si>
    <t>CAMINHÃO PIPA 6.000 L, PESO BRUTO TOTAL 13.000 KG, DISTÂNCIA ENTRE EIXOS 4,80 M, POTÊNCIA 189 CV INCLUSIVE TANQUE DE AÇO PARA TRANSPORTE DE ÁGUA, CAPACIDADE 6 M3 - CHP DIURNO. AF_06/2014</t>
  </si>
  <si>
    <t>CAMINHÃO TANQUE PARA HIDROSSEMEADURA, COM CAPACIDADE DE 8.000 LITROS, INCLUINDO BOMBA PARA LANÇAMENTO COM MOTOR DIESEL COM POTÊNCIA DE 105 CV - CHI DIURNO. AF_06/2023</t>
  </si>
  <si>
    <t>CAMINHÃO TANQUE PARA HIDROSSEMEADURA, COM CAPACIDADE DE 8.000 LITROS, INCLUINDO BOMBA PARA LANÇAMENTO COM MOTOR DIESEL COM POTÊNCIA DE 105 CV - CHP DIURNO. AF_06/2023</t>
  </si>
  <si>
    <t>CAMINHÃO TOCO, PBT 14.300 KG, CARGA ÚTIL MÁX. 9.710 KG, DIST. ENTRE EIXOS 3,56 M, POTÊNCIA 185 CV, INCLUSIVE CARROCERIA FIXA ABERTA DE MADEIRA P/ TRANSPORTE GERAL DE CARGA SECA, DIMEN. APROX. 2,50 X 6,50 X 0,50 M - CHI DIURNO. AF_06/2014</t>
  </si>
  <si>
    <t>CAMINHÃO TOCO, PBT 14.300 KG, CARGA ÚTIL MÁX. 9.710 KG, DIST. ENTRE EIXOS 3,56 M, POTÊNCIA 185 CV, INCLUSIVE CARROCERIA FIXA ABERTA DE MADEIRA P/ TRANSPORTE GERAL DE CARGA SECA, DIMEN. APROX. 2,50 X 6,50 X 0,50 M - CHP DIURNO. AF_06/2014</t>
  </si>
  <si>
    <t>CAMINHÃO TOCO, PBT 16.000 KG, CARGA ÚTIL MÁX. 10.685 KG, DIST. ENTRE EIXOS 4,8 M, POTÊNCIA 189 CV, INCLUSIVE CARROCERIA FIXA ABERTA DE MADEIRA P/ TRANSPORTE GERAL DE CARGA SECA, DIMEN. APROX. 2,5 X 7,00 X 0,50 M - CHI DIURNO. AF_06/2014</t>
  </si>
  <si>
    <t>CAMINHÃO TOCO, PBT 16.000 KG, CARGA ÚTIL MÁX. 10.685 KG, DIST. ENTRE EIXOS 4,8 M, POTÊNCIA 189 CV, INCLUSIVE CARROCERIA FIXA ABERTA DE MADEIRA P/ TRANSPORTE GERAL DE CARGA SECA, DIMEN. APROX. 2,5 X 7,00 X 0,50 M - CHP DIURNO. AF_06/2014</t>
  </si>
  <si>
    <t>CAMINHÃO TOCO, PESO BRUTO TOTAL 14.300 KG, CARGA ÚTIL MÁXIMA 9590 KG, DISTÂNCIA ENTRE EIXOS 4,76 M, POTÊNCIA 185 CV (NÃO INCLUI CARROCERIA) - CHI DIURNO. AF_06/2014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</si>
  <si>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</si>
  <si>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CHI DIURNO. AF_06/2014</t>
  </si>
  <si>
    <t>CAMINHÃO TOCO, PESO BRUTO TOTAL 16.000 KG, CARGA ÚTIL MÁXIMA DE 10.685 KG, DISTÂNCIA ENTRE EIXOS 4,80 M, POTÊNCIA 189 CV EXCLUSIVE CARROCERIA - CHP DIURNO. AF_06/2014</t>
  </si>
  <si>
    <t>CAMINHÃO TRUCADO (C/ TERCEIRO EIXO) ELETRÔNICO - POTÊNCIA 231CV - PBT = 22000KG - DIST. ENTRE EIXOS 5170 MM - INCLUI CARROCERIA FIXA ABERTA DE MADEIRA - CHI DIURNO. AF_06/2015</t>
  </si>
  <si>
    <t>CAMINHÃO TRUCADO (C/ TERCEIRO EIXO) ELETRÔNICO - POTÊNCIA 231CV - PBT = 22000KG - DIST. ENTRE EIXOS 5170 MM - INCLUI CARROCERIA FIXA ABERTA DE MADEIRA - CHP DIURNO. AF_06/2015</t>
  </si>
  <si>
    <t>CENTRAL DE LAMA BENTONÍTICA (DEPÓSITO DE BENTONITA, MISTURADOR DE ALTA TURBULÊNCIA, SILOS DE ARMAZENAMENTO DE LAMA E ÁGUA, LABORATÓRIO DE CONTROLE DE QUALIDADE DA LAMA) - CHI DIURNO. AF_04/2019</t>
  </si>
  <si>
    <t>CENTRAL DE LAMA BENTONÍTICA (DEPÓSITO DE BENTONITA, MISTURADOR DE ALTA TURBULÊNCIA, SILOS DE ARMAZENAMENTO DE LAMA E ÁGUA, LABORATÓRIO DE CONTROLE DE QUALIDADE DA LAMA) - CHP DIURNO. AF_04/2019</t>
  </si>
  <si>
    <t>COMPACTADOR DE SOLOS DE PERCUSSÃO (SOQUETE) COM MOTOR A GASOLINA 4 TEMPOS, POTÊNCIA 4 CV - CHI DIURNO. AF_08/2015</t>
  </si>
  <si>
    <t>COMPACTADOR DE SOLOS DE PERCUSSÃO (SOQUETE) COM MOTOR A GASOLINA 4 TEMPOS, POTÊNCIA 4 CV - CHP DIURNO. AF_08/2015</t>
  </si>
  <si>
    <t>COMPACTADOR DE SOLOS DE PERCUSÃO (SOQUETE) COM MOTOR A GASOLINA, POTÊNCIA 3 CV - CHI DIURNO. AF_09/2016</t>
  </si>
  <si>
    <t>COMPACTADOR DE SOLOS DE PERCUSÃO (SOQUETE) COM MOTOR A GASOLINA, POTÊNCIA 3 CV - CHP DIURNO. AF_09/2016</t>
  </si>
  <si>
    <t>COMPRESSOR DE AR REBOCAVEL, VAZÃO 250 PCM, PRESSAO DE TRABALHO 102 PSI, MOTOR A DIESEL POTÊNCIA 81 CV - CHI DIURNO. AF_06/2015</t>
  </si>
  <si>
    <t>COMPRESSOR DE AR REBOCAVEL, VAZÃO 250 PCM, PRESSAO DE TRABALHO 102 PSI, MOTOR A DIESEL POTÊNCIA 81 CV - CHP DIURNO. AF_06/2015</t>
  </si>
  <si>
    <t>COMPRESSOR DE AR REBOCAVEL, VAZÃO 400 PCM, PRESSAO DE TRABALHO 102 PSI, MOTOR A DIESEL POTÊNCIA 110 CV - CHI DIURNO. AF_06/2015</t>
  </si>
  <si>
    <t>COMPRESSOR DE AR REBOCAVEL, VAZÃO 400 PCM, PRESSAO DE TRABALHO 102 PSI, MOTOR A DIESEL POTÊNCIA 110 CV - CHP DIURNO. AF_06/2015</t>
  </si>
  <si>
    <t>COMPRESSOR DE AR REBOCÁVEL, VAZÃO 189 PCM, PRESSÃO EFETIVA DE TRABALHO 102 PSI, MOTOR DIESEL, POTÊNCIA 63 CV - CHI DIURNO. AF_06/2015</t>
  </si>
  <si>
    <t>COMPRESSOR DE AR REBOCÁVEL, VAZÃO 189 PCM, PRESSÃO EFETIVA DE TRABALHO 102 PSI, MOTOR DIESEL, POTÊNCIA 63 CV - CHP DIURNO. AF_06/2015</t>
  </si>
  <si>
    <t>COMPRESSOR DE AR REBOCÁVEL, VAZÃO 748 PCM, PRESSÃO EFETIVA DE TRABALHO 102 PSI, MOTOR DIESEL, POTÊNCIA 210 CV - CHI DIURNO. AF_06/2015</t>
  </si>
  <si>
    <t>COMPRESSOR DE AR REBOCÁVEL, VAZÃO 748 PCM, PRESSÃO EFETIVA DE TRABALHO 102 PSI, MOTOR DIESEL, POTÊNCIA 210 CV - CHP DIURNO. AF_06/2015</t>
  </si>
  <si>
    <t>COMPRESSOR DE AR REBOCÁVEL, VAZÃO 89 PCM, PRESSÃO EFETIVA DE TRABALHO 102 PSI, MOTOR DIESEL, POTÊNCIA 20 CV - CHI DIURNO. AF_06/2015</t>
  </si>
  <si>
    <t>COMPRESSOR DE AR REBOCÁVEL, VAZÃO 89 PCM, PRESSÃO EFETIVA DE TRABALHO 102 PSI, MOTOR DIESEL, POTÊNCIA 20 CV - CHP DIURNO. AF_06/2015</t>
  </si>
  <si>
    <t>COMPRESSOR DE AR, VAZAO DE 10 PCM, RESERVATORIO 100 L, PRESSAO DE TRABALHO ENTRE 6,9 E 9,7 BAR POTENCIA 2 HP, TENSAO 110/220 V - CHI DIURNO. AF_05/2023</t>
  </si>
  <si>
    <t>COMPRESSOR DE AR, VAZAO DE 10 PCM, RESERVATORIO 100 L, PRESSAO DE TRABALHO ENTRE 6,9 E 9,7 BAR, POTENCIA 2 HP, TENSAO 110/220 V - CHP DIURNO. AF_05/2023</t>
  </si>
  <si>
    <t>CONJUNTO CILINDRO E BOMBA HIDRÁULICA PARA PROTENSÃO DE MONOBARRAS PARA TIRANTES, ESFORÇO MÁXIMO DE 30 TONELADAS - CHI DIURNO. AF_05/2023</t>
  </si>
  <si>
    <t>CONJUNTO CILINDRO E BOMBA HIDRÁULICA PARA PROTENSÃO DE MONOBARRAS PARA TIRANTES, ESFORÇO MÁXIMO DE 30 TONELADAS - CHP DIURNO. AF_05/2023</t>
  </si>
  <si>
    <t>CONJUNTO MACACO E BOMBA HIDRÁULICA PARA PROTENSAO DE CORDOALHAS, ESFORÇO MAXIMO DE 115 TONELADAS - CHI DIURNO. AF_05/2023</t>
  </si>
  <si>
    <t>CONJUNTO MACACO E BOMBA HIDRÁULICA PARA PROTENSAO DE CORDOALHAS, ESFORÇO MAXIMO DE 115 TONELADAS - CHP DIURNO. AF_05/2023</t>
  </si>
  <si>
    <t>CONJUNTO MACACO HIDRÁULICO E CENTRAL DE BOMBEAMENTO MOTORIZADO 1,8 KW PARA PROTENSÃO DE MONOCABOS PARA CONCRETO PROTENDIDO, ESFORÇO MÁXIMO DE 20 TONELADAS - CHI DIURNO. AF_05/2022</t>
  </si>
  <si>
    <t>CONJUNTO MACACO HIDRÁULICO E CENTRAL DE BOMBEAMENTO MOTORIZADO 1,8 KW PARA PROTENSÃO DE MONOCABOS PARA CONCRETO PROTENDIDO, ESFORÇO MÁXIMO DE 20 TONELADAS - CHP DIURNO. AF_05/2022</t>
  </si>
  <si>
    <t>CONJUNTO MACACO HIDRÁULICO E CENTRAL DE BOMBEAMENTO MOTORIZADO 1,8 KW PARA PROTENSÃO DE MONOCABOS PARA CONCRETO PROTENDIDO, ESFORÇO MÁXIMO DE 30 TONELADAS - CHI DIURNO. AF_05/2022</t>
  </si>
  <si>
    <t>CONJUNTO MACACO HIDRÁULICO E CENTRAL DE BOMBEAMENTO MOTORIZADO 1,8 KW PARA PROTENSÃO DE MONOCABOS PARA CONCRETO PROTENDIDO, ESFORÇO MÁXIMO DE 30 TONELADAS - CHP DIURNO. AF_05/2022</t>
  </si>
  <si>
    <t>CORTADORA DE PISO COM MOTOR 4 TEMPOS A GASOLINA, POTÊNCIA DE 13 HP, COM DISCO DE CORTE DIAMANTADO SEGMENTADO PARA CONCRETO, DIÂMETRO DE 350 MM, FURO DE 1" (14 X 1") - CHI DIURNO. AF_08/2015</t>
  </si>
  <si>
    <t>CORTADORA DE PISO COM MOTOR 4 TEMPOS A GASOLINA, POTÊNCIA DE 13 HP, COM DISCO DE CORTE DIAMANTADO SEGMENTADO PARA CONCRETO, DIÂMETRO DE 350 MM, FURO DE 1" (14 X 1") - CHP DIURNO. AF_08/2015</t>
  </si>
  <si>
    <t>DESEMPENADEIRA DE CONCRETO, PESO DE 78 KG, 4 PÁS, MOTOR A GASOLINA, POTÊNCIA 5,5 HP - CHI DIURNO. AF_05/2023</t>
  </si>
  <si>
    <t>DESEMPENADEIRA DE CONCRETO, PESO DE 78 KG, 4 PÁS, MOTOR A GASOLINA, POTÊNCIA 5,5 HP - CHP DIURNO. AF_05/2023</t>
  </si>
  <si>
    <t>DISTRIBUIDOR DE AGREGADOS AUTOPROPELIDO, CAP 3 M3, A DIESEL, POTÊNCIA 176CV - CHI DIURNO. AF_07/2016</t>
  </si>
  <si>
    <t>DISTRIBUIDOR DE AGREGADOS AUTOPROPELIDO, CAP 3 M3, A DIESEL, POTÊNCIA 176CV - CHP DIURNO. AF_07/2016</t>
  </si>
  <si>
    <t>DISTRIBUIDOR DE AGREGADOS REBOCAVEL, CAPACIDADE 1,9 M³, LARGURA DE TRABALHO 3,66 M - CHI DIURNO. AF_11/2015</t>
  </si>
  <si>
    <t>DISTRIBUIDOR DE AGREGADOS REBOCAVEL, CAPACIDADE 1,9 M³, LARGURA DE TRABALHO 3,66 M - CHP DIURNO. AF_11/2015</t>
  </si>
  <si>
    <t>DOBRADEIRA TDC, ESPESSURA 1,5MM - CHI DIURNO. AF_05/2023</t>
  </si>
  <si>
    <t>DOBRADEIRA TDC, ESPESSURA 1,5MM - CHP DIURNO. AF_05/2023</t>
  </si>
  <si>
    <t>DOSADOR DE AREIA, CAPACIDADE DE 26 LITROS - CHI DIURNO. AF_05/2023</t>
  </si>
  <si>
    <t>DOSADOR DE AREIA, CAPACIDADE DE 26 LITROS - CHP DIURNO. AF_05/2023</t>
  </si>
  <si>
    <t>ENCERADEIRA INDUSTRIAL, 400 MM, 220V, 1 HP - CHI DIURNO. AF_05/2023</t>
  </si>
  <si>
    <t>ENCERADEIRA INDUSTRIAL, 400 MM, 220V, 1 HP - CHP DIURNO. AF_05/2023</t>
  </si>
  <si>
    <t>ESCAVADEIRA HIDRAULICA SOBRE ESTEIRA, EQUIPADA COM CLAMSHELL, COM CAPACIDADE DA CAÇAMBA ENTRE 1,20 E 1,50 M3, PESO OPERACIONAL ENTRE 20,00 E 22,00 TON, POTENCIA LIQUIDA ENTRE 150 E 160 HP - CHI DIURNO. AF_11/2016</t>
  </si>
  <si>
    <t>ESCAVADEIRA HIDRAULICA SOBRE ESTEIRA, EQUIPADA COM CLAMSHELL, COM CAPACIDADE DA CAÇAMBA ENTRE 1,20 E 1,50 M3, PESO OPERACIONAL ENTRE 20,00 E 22,00 TON, POTENCIA LIQUIDA ENTRE 150 E 160 HP - CHP DIURNO. AF_11/2016</t>
  </si>
  <si>
    <t>ESCAVADEIRA HIDRÁULICA DE BRAÇO LONGO (LONGO ALCANCE) SOBRE ESTEIRAS, CAÇAMBA 0,52 M3, PESO OPERACIONAL 24 T, POTÊNCIA LÍQUIDA 155 HP - CHI DIURNO. AF_06/2023</t>
  </si>
  <si>
    <t>ESCAVADEIRA HIDRÁULICA DE BRAÇO LONGO (LONGO ALCANCE) SOBRE ESTEIRAS, CAÇAMBA 0,52 M3, PESO OPERACIONAL 24 T, POTÊNCIA LÍQUIDA 155 HP - CHP DIURNO. AF_06/2023</t>
  </si>
  <si>
    <t>ESCAVADEIRA HIDRÁULICA SOBRE ESTEIRA, PESO OPERACIONAL ENTRE 22,00 E 23,50 T, POTÊNCIA NOMINAL 139 HP, COM MARTELO ROMPEDOR HIDRÁULICO 1700 KG - CHI DIURNO. AF_04/2019</t>
  </si>
  <si>
    <t>ESCAVADEIRA HIDRÁULICA SOBRE ESTEIRA, PESO OPERACIONAL ENTRE 22,00 E 23,50 T, POTÊNCIA NOMINAL 139 HP, COM MARTELO ROMPEDOR HIDRÁULICO 1700 KG - CHP DIURNO. AF_04/2019</t>
  </si>
  <si>
    <t>ESCAVADEIRA HIDRÁULICA SOBRE ESTEIRAS, CAÇAMBA 0,80 M3, PESO OPERACIONAL 17 T, POTENCIA BRUTA 111 HP - CHI DIURNO. AF_06/2014</t>
  </si>
  <si>
    <t>ESCAVADEIRA HIDRÁULICA SOBRE ESTEIRAS, CAÇAMBA 0,80 M3, PESO OPERACIONAL 17 T, POTENCIA BRUTA 111 HP - CHP DIURNO. AF_06/2014</t>
  </si>
  <si>
    <t>ESCAVADEIRA HIDRÁULICA SOBRE ESTEIRAS, CAÇAMBA 1,20 M3, PESO OPERACIONAL 21 T, POTÊNCIA BRUTA 155 HP - CHI DIURNO. AF_06/2014</t>
  </si>
  <si>
    <t>ESCAVADEIRA HIDRÁULICA SOBRE ESTEIRAS, CAÇAMBA 1,20 M3, PESO OPERACIONAL 21 T, POTÊNCIA BRUTA 155 HP - CHP DIURNO. AF_06/2014</t>
  </si>
  <si>
    <t>ESPARGIDOR DE ASFALTO PRESSURIZADO COM TANQUE DE 2500 L, REBOCÁVEL COM MOTOR A GASOLINA POTÊNCIA 3,4 HP - CHI DIURNO. AF_07/2014</t>
  </si>
  <si>
    <t>ESPARGIDOR DE ASFALTO PRESSURIZADO COM TANQUE DE 2500 L, REBOCÁVEL COM MOTOR A GASOLINA POTÊNCIA 3,4 HP - CHP DIURNO. AF_07/2014</t>
  </si>
  <si>
    <t>ESPARGIDOR DE ASFALTO PRESSURIZADO, TANQUE 6 M3 COM ISOLAÇÃO TÉRMICA, AQUECIDO COM 2 MAÇARICOS, COM BARRA ESPARGIDORA 3,60 M, MONTADO SOBRE CAMINHÃO TOCO, PBT 14.300 KG, POTÊNCIA 185 CV - CHI DIURNO. AF_05/2023</t>
  </si>
  <si>
    <t>ESPARGIDOR DE ASFALTO PRESSURIZADO, TANQUE 6 M3 COM ISOLAÇÃO TÉRMICA, AQUECIDO COM 2 MAÇARICOS, COM BARRA ESPARGIDORA 3,60 M, MONTADO SOBRE CAMINHÃO TOCO, PBT 14.300 KG, POTÊNCIA 185 CV - CHP DIURNO. AF_05/2023</t>
  </si>
  <si>
    <t>ESTABILIZADOR DE LINHA E PRESSÃO, CAPACIDADE DE 120 BAR, COM MANÔMETRO DE LEITURA, REGISTRO DE 1 COM RETORNO E LINHA - CHI DIURNO. AF_05/2023</t>
  </si>
  <si>
    <t>ESTABILIZADOR DE LINHA E PRESSÃO, CAPACIDADE DE 120 BAR, COM MANÔMETRO DE LEITURA, REGISTRO DE 1 COM RETORNO E LINHA - CHP DIURNO. AF_05/2023</t>
  </si>
  <si>
    <t>FRESADORA DE ASFALTO A FRIO SOBRE RODAS, LARGURA FRESAGEM DE 1,0 M, POTÊNCIA 208 HP - CHI DIURNO. AF_11/2014</t>
  </si>
  <si>
    <t>FRESADORA DE ASFALTO A FRIO SOBRE RODAS, LARGURA FRESAGEM DE 1,0 M, POTÊNCIA 208 HP - CHP DIURNO. AF_11/2014</t>
  </si>
  <si>
    <t>FRESADORA DE ASFALTO A FRIO SOBRE RODAS, LARGURA FRESAGEM DE 2,0 M, POTÊNCIA 550 HP - CHI DIURNO. AF_11/2014</t>
  </si>
  <si>
    <t>FRESADORA DE ASFALTO A FRIO SOBRE RODAS, LARGURA FRESAGEM DE 2,0 M, POTÊNCIA 550 HP - CHP DIURNO. AF_11/2014</t>
  </si>
  <si>
    <t>FURADEIRA ELETROMAGNÉTICA, VELOCIDADE (SEM CARGA/ COM CARGA) 450/ 270 RPM, ESPESSURA MÁXIMA DA CHAPA A SER FURADA 50 MM, PORÇA DE ADESÃO MAGNÉTICA 17000 N, POTÊNCIA 1100 W, ALIMENTÇÃO 220 - 60 HZ, MONOFÁSICA - CHI DIURNO. AF_08/2019</t>
  </si>
  <si>
    <t>FURADEIRA ELETROMAGNÉTICA, VELOCIDADE (SEM CARGA/ COM CARGA) 450/ 270 RPM, ESPESSURA MÁXIMA DA CHAPA A SER FURADA 50 MM, PORÇA DE ADESÃO MAGNÉTICA 17000 N, POTÊNCIA 1100 W, ALIMENTÇÃO 220 - 60 HZ, MONOFÁSICA - CHP DIURNO. AF_08/2019</t>
  </si>
  <si>
    <t>GERADOR PORTÁTIL MONOFÁSICO, POTÊNCIA 5500 VA, MOTOR A GASOLINA, POTÊNCIA DO MOTOR 13 CV - CHI DIURNO. AF_03/2016</t>
  </si>
  <si>
    <t>GERADOR PORTÁTIL MONOFÁSICO, POTÊNCIA 5500 VA, MOTOR A GASOLINA, POTÊNCIA DO MOTOR 13 CV - CHP DIURNO. AF_03/2016</t>
  </si>
  <si>
    <t>GRADE DE DISCO CONTROLE REMOTO REBOCÁVEL, COM 24 DISCOS 24 X 6 MM COM PNEUS PARA TRANSPORTE - CHP DIURNO. AF_06/2014</t>
  </si>
  <si>
    <t>GRADE DE DISCO CONTROLE REMOTO REBOCÁVEL, COM 24 DISCOS 24" X 6 MM COM PNEUS PARA TRANSPORTE - CHI DIURNO. AF_06/2014</t>
  </si>
  <si>
    <t>GRADE DE DISCO REBOCÁVEL COM 20 DISCOS 24" X 6 MM COM PNEUS PARA TRANSPORTE - CHI DIURNO. AF_06/2014</t>
  </si>
  <si>
    <t>GRADE DE DISCO REBOCÁVEL COM 20 DISCOS 24" X 6 MM COM PNEUS PARA TRANSPORTE - CHP DIURNO. AF_06/2014</t>
  </si>
  <si>
    <t>GRUA ASCENCIONAL, LANCA DE 42 M, CAPACIDADE DE 1,5 T A 30 M, ALTURA ATE 39 M - CHP DIURNO. AF_05/2023</t>
  </si>
  <si>
    <t>GRUA ASCENCIONAL, LANÇA DE 42 M, CAPACIDADE DE 1,5 T A 30 M, ALTURA ATÉ 39 M - CHI DIURNO. AF_05/2023</t>
  </si>
  <si>
    <t>GRUA ASCENSIONAL, LANCA DE 30 M, CAPACIDADE DE 1,0 T A 30 M, ALTURA ATE 39 M - CHP DIURNO. AF_05/2023</t>
  </si>
  <si>
    <t>GRUA ASCENSIONAL, LANÇA DE 30 M, CAPACIDADE DE 1,0 T A 30 M, ALTURA ATÉ 39 M - CHI DIURNO. AF_05/2023</t>
  </si>
  <si>
    <t>GRUPO DE SOLDAGEM COM GERADOR A DIESEL 60 CV PARA SOLDA ELÉTRICA, SOBRE 04 RODAS, COM MOTOR 4 CILINDROS 600 A - CHI DIURNO. AF_02/2016</t>
  </si>
  <si>
    <t>GRUPO DE SOLDAGEM COM GERADOR A DIESEL 60 CV PARA SOLDA ELÉTRICA, SOBRE 04 RODAS, COM MOTOR 4 CILINDROS 600 A - CHP DIURNO. AF_02/2016</t>
  </si>
  <si>
    <t>GRUPO GERADOR COM CARENAGEM, MOTOR DIESEL POTÊNCIA STANDART ENTRE 250 E 260 KVA - CHI DIURNO. AF_12/2016</t>
  </si>
  <si>
    <t>GRUPO GERADOR COM CARENAGEM, MOTOR DIESEL POTÊNCIA STANDART ENTRE 250 E 260 KVA - CHP DIURNO. AF_12/2016</t>
  </si>
  <si>
    <t>GRUPO GERADOR DIESEL, COM CARENAGEM, POTÊNCIA STANDART ENTRE 400 E 460 KVA, VELOCIDADE DE 1800 RPM, FREQUÊNCIA DE 60 HZ - CHI DIURNO. AF_05/2023</t>
  </si>
  <si>
    <t>GRUPO GERADOR DIESEL, COM CARENAGEM, POTÊNCIA STANDART ENTRE 400 E 460 KVA, VELOCIDADE DE 1800 RPM, FREQUÊNCIA DE 60 HZ - CHP DIURNO. AF_05/2023</t>
  </si>
  <si>
    <t>GRUPO GERADOR ESTACIONÁRIO, MOTOR DIESEL POTÊNCIA 170 KVA - CHI DIURNO. AF_02/2016</t>
  </si>
  <si>
    <t>GRUPO GERADOR ESTACIONÁRIO, MOTOR DIESEL POTÊNCIA 170 KVA - CHP DIURNO. AF_02/2016</t>
  </si>
  <si>
    <t>GRUPO GERADOR ESTACIONÁRIO, POTÊNCIA 150 KVA, MOTOR A DIESEL- CHI DIURNO. AF_03/2016</t>
  </si>
  <si>
    <t>GRUPO GERADOR ESTACIONÁRIO, POTÊNCIA 150 KVA, MOTOR A DIESEL- CHP DIURNO. AF_03/2016</t>
  </si>
  <si>
    <t>GRUPO GERADOR REBOCÁVEL, POTÊNCIA 66 KVA, MOTOR A DIESEL - CHI DIURNO. AF_03/2016</t>
  </si>
  <si>
    <t>GRUPO GERADOR REBOCÁVEL, POTÊNCIA 66 KVA, MOTOR A DIESEL - CHP DIURNO. AF_03/2016</t>
  </si>
  <si>
    <t>GUINCHO ELÉTRICO DE COLUNA, CAPACIDADE 400 KG, COM MOTO FREIO, MOTOR TRIFÁSICO DE 1,25 CV - CHI DIURNO. AF_03/2016</t>
  </si>
  <si>
    <t>GUINCHO ELÉTRICO DE COLUNA, CAPACIDADE 400 KG, COM MOTO FREIO, MOTOR TRIFÁSICO DE 1,25 CV - CHP DIURNO. AF_03/2016</t>
  </si>
  <si>
    <t>GUINDASTE DERRICK, LANÇA DE *20* M, CARGA MÁXIMA 10T, POTÊNCIA 45 KW - CHI DIURNO. AF_01/2024</t>
  </si>
  <si>
    <t>GUINDASTE DERRICK, LANÇA DE *20* M, CARGA MÁXIMA 10T, POTÊNCIA 45 KW - CHP DIURNO. AF_01/2024</t>
  </si>
  <si>
    <t>GUINDASTE HIDRAULICO AUTOPROPELIDO, COM LANÇA TRELIÇADA 40 M, CAPACIDADE MÁXIMA 75 T, EQUIPADO COM CLAMSHELL - CHI DIURNO. AF_04/2019</t>
  </si>
  <si>
    <t>GUINDASTE HIDRAULICO AUTOPROPELIDO, COM LANÇA TRELIÇADA 40 M, CAPACIDADE MÁXIMA 75 T, EQUIPADO COM CLAMSHELL - CHP DIURNO. AF_04/2019</t>
  </si>
  <si>
    <t>GUINDASTE HIDRÁULICO AUTOPROPELIDO, COM LANÇA TELESCÓPICA 28,80 M, CAPACIDADE MÁXIMA 30 T, POTÊNCIA 97 KW, TRAÇÃO 4 X 4 - CHI DIURNO. AF_11/2014</t>
  </si>
  <si>
    <t>GUINDASTE HIDRÁULICO AUTOPROPELIDO, COM LANÇA TELESCÓPICA 28,80 M, CAPACIDADE MÁXIMA 30 T, POTÊNCIA 97 KW, TRAÇÃO 4 X 4 - CHP DIURNO. AF_11/2014</t>
  </si>
  <si>
    <t>GUINDASTE HIDRÁULICO AUTOPROPELIDO, COM LANÇA TELESCÓPICA 40 M, CAPACIDADE MÁXIMA 60 T, POTÊNCIA 260 KW - CHI DIURNO. AF_03/2016</t>
  </si>
  <si>
    <t>GUINDASTE HIDRÁULICO AUTOPROPELIDO, COM LANÇA TELESCÓPICA 40 M, CAPACIDADE MÁXIMA 60 T, POTÊNCIA 260 KW - CHP DIURNO. AF_03/2016</t>
  </si>
  <si>
    <t>GUINDASTE HIDRÁULICO AUTOPROPELIDO, COM LANÇA TRELICADA 41 M, CAPACIDADE MÁXIMA DE ELEVAÇÃO 43 T, POTÊNCIA 230 KW, EQUIPADO COM CAÇAMBA DE ARRASTO (DRAGLINE) DE 0,76 M3 - CHI DIURNO. AF_06/2023</t>
  </si>
  <si>
    <t>GUINDASTE HIDRÁULICO AUTOPROPELIDO, COM LANÇA TRELICADA 41 M, CAPACIDADE MÁXIMA DE ELEVAÇÃO 43 T, POTÊNCIA 230 KW, EQUIPADO COM CAÇAMBA DE ARRASTO (DRAGLINE) DE 0,76 M3 - CHP DIURNO. AF_06/2023</t>
  </si>
  <si>
    <t>GUINDASTE HIDRÁULICO RODOVIÁRIO, LANCA TELESCÓPICA DE *50+20* M, CAPACIDADE MÁXIMA DE 90T, 4 EIXOS, POTÊNCIA 330 KW, MOTOR DIESEL - CHI DIURNO. AF_01/2024</t>
  </si>
  <si>
    <t>GUINDASTE HIDRÁULICO RODOVIÁRIO, LANCA TELESCÓPICA DE *50+20* M, CAPACIDADE MÁXIMA DE 90T, 4 EIXOS, POTÊNCIA 330 KW, MOTOR DIESEL - CHP DIURNO. AF_01/2024</t>
  </si>
  <si>
    <t>GUINDASTE SOBRE ESTEIRAS, COM LANÇA TRELIÇADA 40 M, CAPACIDADE MÁXIMA 75 T - CHI DIURNO. AF_04/2019</t>
  </si>
  <si>
    <t>GUINDASTE SOBRE ESTEIRAS, COM LANÇA TRELIÇADA 40 M, CAPACIDADE MÁXIMA 75 T - CHP DIURNO. AF_04/2019</t>
  </si>
  <si>
    <t>GUINDASTE SOBRE ESTEIRAS, COM LANÇA TRELIÇADA 40 M, CAPACIDADE MÁXIMA 75 T, EQUIPADO COM CLAMSHELL - CHI DIURNO. AF_04/2019</t>
  </si>
  <si>
    <t>GUINDASTE SOBRE ESTEIRAS, COM LANÇA TRELIÇADA 40 M, CAPACIDADE MÁXIMA 75 T, EQUIPADO COM CLAMSHELL - CHP DIURNO. AF_04/2019</t>
  </si>
  <si>
    <t>GUINDAUTO HIDRÁULICO, CAPACIDADE MÁXIMA DE CARGA 3300 KG, MOMENTO MÁXIMO DE CARGA 5,8 TM, ALCANCE MÁXIMO HORIZONTAL 7,60 M, INCLUSIVE CAMINHÃO TOCO PBT 16.000 KG, POTÊNCIA DE 189 CV - CHI DIURNO. AF_03/2016</t>
  </si>
  <si>
    <t>GUINDAUTO HIDRÁULICO, CAPACIDADE MÁXIMA DE CARGA 3300 KG, MOMENTO MÁXIMO DE CARGA 5,8 TM, ALCANCE MÁXIMO HORIZONTAL 7,60 M, INCLUSIVE CAMINHÃO TOCO PBT 16.000 KG, POTÊNCIA DE 189 CV - CHP DIURNO. AF_03/2016</t>
  </si>
  <si>
    <t>GUINDAUTO HIDRÁULICO, CAPACIDADE MÁXIMA DE CARGA 6200 KG, MOMENTO MÁXIMO DE CARGA 11,7 TM, ALCANCE MÁXIMO HORIZONTAL 9,70 M, INCLUSIVE CAMINHÃO TOCO PBT 16.000 KG, POTÊNCIA DE 189 CV - CHI DIURNO. AF_06/2014</t>
  </si>
  <si>
    <t>GUINDAUTO HIDRÁULICO, CAPACIDADE MÁXIMA DE CARGA 6200 KG, MOMENTO MÁXIMO DE CARGA 11,7 TM, ALCANCE MÁXIMO HORIZONTAL 9,70 M, INCLUSIVE CAMINHÃO TOCO PBT 16.000 KG, POTÊNCIA DE 189 CV - CHP DIURNO. AF_06/2014</t>
  </si>
  <si>
    <t>GUINDAUTO HIDRÁULICO, CAPACIDADE MÁXIMA DE CARGA 6200 KG, MOMENTO MÁXIMO DE CARGA 11,7 TM, ALCANCE MÁXIMO HORIZONTAL 9,70 M, INCLUSIVE CAMINHÃO TOCO PBT 16.000 KG, POTÊNCIA DE 189 CV E CESTA AÉREA COM ISOLAMENTO CLASSE C - CHI DIURNO. AF_01/2025</t>
  </si>
  <si>
    <t>GUINDAUTO HIDRÁULICO, CAPACIDADE MÁXIMA DE CARGA 6200 KG, MOMENTO MÁXIMO DE CARGA 11,7 TM, ALCANCE MÁXIMO HORIZONTAL 9,70 M, INCLUSIVE CAMINHÃO TOCO PBT 16.000 KG, POTÊNCIA DE 189 CV E CESTA AÉREA COM ISOLAMENTO CLASSE C - CHP DIURNO. AF_01/2025</t>
  </si>
  <si>
    <t>GUINDAUTO HIDRÁULICO, CAPACIDADE MÁXIMA DE CARGA 6500 KG, MOMENTO MÁXIMO DE CARGA 5,8 TM, ALCANCE MÁXIMO HORIZONTAL 7,60 M, INCLUSIVE CAMINHÃO TOCO PBT 9.700 KG, POTÊNCIA DE 160 CV - CHI DIURNO. AF_08/2015</t>
  </si>
  <si>
    <t>GUINDAUTO HIDRÁULICO, CAPACIDADE MÁXIMA DE CARGA 6500 KG, MOMENTO MÁXIMO DE CARGA 5,8 TM, ALCANCE MÁXIMO HORIZONTAL 7,60 M, INCLUSIVE CAMINHÃO TOCO PBT 9.700 KG, POTÊNCIA DE 160 CV - CHP DIURNO. AF_08/2015</t>
  </si>
  <si>
    <t>GUINDAUTO HIDRÁULICO, CAPACIDADE MÁXIMA DE CARGA 8500 KG, MOMENTO MÁXIMO DE CARGA 30,4 TM, ALCANCE MÁXIMO HORIZONTAL 14,30 M, INCLUSIVE CAMINHÃO TRUCADO PBT 23.000 KG, POTÊNCIA DE 256 CV E CARROCERIA FIXA ABERTA DE MADEIRA - CHI DIURNO. AF_05/2025</t>
  </si>
  <si>
    <t>GUINDAUTO HIDRÁULICO, CAPACIDADE MÁXIMA DE CARGA 8500 KG, MOMENTO MÁXIMO DE CARGA 30,4 TM, ALCANCE MÁXIMO HORIZONTAL 14,30 M, INCLUSIVE CAMINHÃO TRUCADO PBT 23.000 KG, POTÊNCIA DE 256 CV E CARROCERIA FIXA ABERTA DE MADEIRA - CHP DIURNO. AF_05/2025</t>
  </si>
  <si>
    <t>INVERSOR DE SOLDA MONOFÁSICO DE 160 A, POTÊNCIA DE 7000 W, TENSÃO DE 220 V, TURBO VENTILADO, PROTEÇÃO POR TERMOSTATO, PARA ELETRODOS DE 2,0 A 4,0 MM - CHI DIURNO. AF_06/2018</t>
  </si>
  <si>
    <t>INVERSOR DE SOLDA MONOFÁSICO DE 160 A, POTÊNCIA DE 7000 W, TENSÃO DE 220 V, TURBO VENTILADO, PROTEÇÃO POR TERMOSTATO, PARA ELETRODOS DE 2,0 A 4,0 MM - CHP DIURNO. AF_06/2018</t>
  </si>
  <si>
    <t>LAVADORA DE ALTA PRESSAO (LAVA-JATO) PARA AGUA FRIA, PRESSAO DE OPERACAO ENTRE 1400 E 1900 LIB/POL2, VAZAO MAXIMA ENTRE 400 E 700 L/H - CHI DIURNO. AF_05/2023</t>
  </si>
  <si>
    <t>LAVADORA DE ALTA PRESSAO (LAVA-JATO) PARA AGUA FRIA, PRESSAO DE OPERACAO ENTRE 1400 E 1900 LIB/POL2, VAZAO MAXIMA ENTRE 400 E 700 L/H - CHP DIURNO. AF_05/2023</t>
  </si>
  <si>
    <t>LIXADEIRA DE PAREDE, COM LED, POTÊNCIA 750 W, FREQUÊNCIA 60 HZ, VELOCIDADE 1000 A 2100 RPM, DIÂMETRO DA LIXA 225 MM - CHI DIURNO AF_12/2022</t>
  </si>
  <si>
    <t>LIXADEIRA DE PAREDE, COM LED, POTÊNCIA 750 W, FREQUÊNCIA 60 HZ, VELOCIDADE 1000 A 2100 RPM, DIÂMETRO DA LIXA 225 MM - CHP DIURNO. AF_12/2022</t>
  </si>
  <si>
    <t>MANIPULADOR TELESCÓPICO, POTÊNCIA DE 85 HP, CAPACIDADE DE CARGA DE 3.500 KG, ALTURA MÁXIMA DE ELEVAÇÃO DE 12,3 M - CHI DIURNO. AF_05/2023</t>
  </si>
  <si>
    <t>MANIPULADOR TELESCÓPICO, POTÊNCIA DE 85 HP, CAPACIDADE DE CARGA DE 3.500 KG, ALTURA MÁXIMA DE ELEVAÇÃO DE 12,3 M - CHP DIURNO. AF_05/2023</t>
  </si>
  <si>
    <t>MARTELETE OU ROMPEDOR PNEUMÁTICO MANUAL, 28 KG, COM SILENCIADOR - CHI DIURNO. AF_07/2016</t>
  </si>
  <si>
    <t>MARTELETE OU ROMPEDOR PNEUMÁTICO MANUAL, 28 KG, COM SILENCIADOR - CHP DIURNO. AF_07/2016</t>
  </si>
  <si>
    <t>MARTELETE PERFURADOR/ ROMPEDOR ELÉTRICO, POTÊNCIA 800 W, 220 V - CHI DIURNO. AF_05/2023</t>
  </si>
  <si>
    <t>MARTELETE PERFURADOR/ ROMPEDOR ELÉTRICO, POTÊNCIA 800 W, 220 V - CHP DIURNO. AF_05/2023</t>
  </si>
  <si>
    <t>MARTELO DEMOLIDOR ELÉTRICO, COM POTÊNCIA DE 2.000 W, 1.000 IMPACTOS POR MINUTO, PESO DE 30 KG - CHI DIURNO. AF_01/2021</t>
  </si>
  <si>
    <t>MARTELO DEMOLIDOR ELÉTRICO, COM POTÊNCIA DE 2.000 W, 1.000 IMPACTOS POR MINUTO, PESO DE 30 KG - CHP DIURNO. AF_01/2021</t>
  </si>
  <si>
    <t>MARTELO DEMOLIDOR PNEUMÁTICO MANUAL, 32 KG - CHI DIURNO. AF_09/2016</t>
  </si>
  <si>
    <t>MARTELO DEMOLIDOR PNEUMÁTICO MANUAL, 32 KG - CHP DIURNO. AF_09/2016</t>
  </si>
  <si>
    <t>MARTELO PERFURADOR PNEUMÁTICO MANUAL, HASTE 19 X 108 MM, *11* KG - CHI DIURNO. AF_02/2025</t>
  </si>
  <si>
    <t>MARTELO PERFURADOR PNEUMÁTICO MANUAL, HASTE 19 X 108 MM, *11* KG - CHP DIURNO. AF_02/2025</t>
  </si>
  <si>
    <t>MINI GUINDASTE ARANHA SOBRE ESTEIRAS E LANCA TELESCÓPICA, CAPACIDADE MÁXIMA DE CARGA 3,0 TON, RAIO MÁXIMO DE TRABALHO 8,25 M, ALTURA DE LANÇA DO SOLO 9,2 M, 55 M DE CABO DE AÇO 8 MM, MOTOR ELÉTRICO 220/380 VOLTS TRIFÁSICO - CHI DIURNO. AF_03/2022</t>
  </si>
  <si>
    <t>MINI GUINDASTE ARANHA SOBRE ESTEIRAS E LANCA TELESCÓPICA, CAPACIDADE MÁXIMA DE CARGA 3,0 TON, RAIO MÁXIMO DE TRABALHO 8,25 M, ALTURA DE LANÇA DO SOLO 9,2 M, 55 M DE CABO DE AÇO 8 MM, MOTOR ELÉTRICO 220/380 VOLTS TRIFÁSICO - CHP DIURNO. AF_03/2022</t>
  </si>
  <si>
    <t>MINICARREGADEIRA SOBRE RODAS POTENCIA 47HP CAPACIDADE OPERACAO 646 KG, COM VASSOURA MECÂNICA ACOPLADA - CHI DIURNO. AF_03/2017</t>
  </si>
  <si>
    <t>MINICARREGADEIRA SOBRE RODAS POTENCIA 47HP CAPACIDADE OPERACAO 646 KG, COM VASSOURA MECÂNICA ACOPLADA - CHP DIURNO. AF_03/2017</t>
  </si>
  <si>
    <t>MINICARREGADEIRA SOBRE RODAS, POTÊNCIA LÍQUIDA DE 47 HP, CAPACIDADE NOMINAL DE OPERAÇÃO DE 646 KG - CHI DIURNO. AF_06/2015</t>
  </si>
  <si>
    <t>MINICARREGADEIRA SOBRE RODAS, POTÊNCIA LÍQUIDA DE 47 HP, CAPACIDADE NOMINAL DE OPERAÇÃO DE 646 KG - CHP DIURNO. AF_06/2015</t>
  </si>
  <si>
    <t>MINIESCAVADEIRA SOBRE ESTEIRAS, POTÊNCIA LÍQUIDA DE *30* HP, PESO OPERACIONAL DE *3.500* KG - CHI DIURNO. AF_04/2017</t>
  </si>
  <si>
    <t>MINIESCAVADEIRA SOBRE ESTEIRAS, POTÊNCIA LÍQUIDA DE *30* HP, PESO OPERACIONAL DE *3.500* KG - CHP DIURNO. AF_04/2017</t>
  </si>
  <si>
    <t>MISTURADOR DE ARGAMASSA, EIXO HORIZONTAL, CAPACIDADE DE MISTURA 160 KG, MOTOR ELÉTRICO POTÊNCIA 3 CV - CHI DIURNO. AF_05/2023</t>
  </si>
  <si>
    <t>MISTURADOR DE ARGAMASSA, EIXO HORIZONTAL, CAPACIDADE DE MISTURA 160 KG, MOTOR ELÉTRICO POTÊNCIA 3 CV - CHP DIURNO. AF_05/2023</t>
  </si>
  <si>
    <t>MISTURADOR DE ARGAMASSA, EIXO HORIZONTAL, CAPACIDADE DE MISTURA 300 KG, MOTOR ELÉTRICO POTÊNCIA 5 CV - CHI DIURNO. AF_05/2023</t>
  </si>
  <si>
    <t>MISTURADOR DE ARGAMASSA, EIXO HORIZONTAL, CAPACIDADE DE MISTURA 300 KG, MOTOR ELÉTRICO POTÊNCIA 5 CV - CHP DIURNO. AF_05/2023</t>
  </si>
  <si>
    <t>MISTURADOR DE ARGAMASSA, EIXO HORIZONTAL, CAPACIDADE DE MISTURA 600 KG, MOTOR ELÉTRICO POTÊNCIA 7,5 CV - CHI DIURNO. AF_05/2023</t>
  </si>
  <si>
    <t>MISTURADOR DE ARGAMASSA, EIXO HORIZONTAL, CAPACIDADE DE MISTURA 600 KG, MOTOR ELÉTRICO POTÊNCIA 7,5 CV - CHP DIURNO. AF_05/2023</t>
  </si>
  <si>
    <t>MISTURADOR DUPLO HORIZONTAL DE ALTA TURBULÊNCIA, CAPACIDADE / VOLUME 2 X 500 LITROS, MOTORES ELÉTRICOS MÍNIMO 5 CV CADA, PARA NATA CIMENTO, ARGAMASSA E OUTROS - CHI DIURNO. AF_06/2015</t>
  </si>
  <si>
    <t>MISTURADOR DUPLO HORIZONTAL DE ALTA TURBULÊNCIA, CAPACIDADE / VOLUME 2 X 500 LITROS, MOTORES ELÉTRICOS MÍNIMO 5 CV CADA, PARA NATA CIMENTO, ARGAMASSA E OUTROS - CHP DIURNO. AF_06/2015</t>
  </si>
  <si>
    <t>MISTURADOR PARA PREPARO DE LAMA ESTABILIZANTE COM CAPACIDADE DE *4000* L, COM BOMBA CENTRÍFUGA 5,5 HP A 23,07 HP, PARA SISTEMA DE FURO DIRECIONAL - CHI DIURNO. AF_05/2023</t>
  </si>
  <si>
    <t>MISTURADOR PARA PREPARO DE LAMA ESTABILIZANTE COM CAPACIDADE DE *4000* L, COM BOMBA CENTRÍFUGA 5,5 HP A 23,07 HP, PARA SISTEMA DE FURO DIRECIONAL - CHP DIURNO. AF_05/2023</t>
  </si>
  <si>
    <t>MOTOBOMBA CENTRÍFUGA, MOTOR A GASOLINA, POTÊNCIA 5,42 HP, BOCAIS 1 1/2" X 1", DIÂMETRO ROTOR 143 MM HM/Q = 6 MCA / 16,8 M3/H A 38 MCA / 6,6 M3/H - CHI DIURNO. AF_06/2014</t>
  </si>
  <si>
    <t>MOTOBOMBA CENTRÍFUGA, MOTOR A GASOLINA, POTÊNCIA 5,42 HP, BOCAIS 1 1/2" X 1", DIÂMETRO ROTOR 143 MM HM/Q = 6 MCA / 16,8 M3/H A 38 MCA / 6,6 M3/H - CHP DIURNO. AF_06/2014</t>
  </si>
  <si>
    <t>MOTOBOMBA TRASH (PARA ÁGUA SUJA) AUTO ESCORVANTE, MOTOR GASOLINA DE 6,41 HP, DIÂMETROS DE SUCÇÃO X RECALQUE: 3" X 3", HM/Q = 10 MCA / 60 M3/H A 23 MCA / 0 M3/H - CHI DIURNO. AF_10/2014</t>
  </si>
  <si>
    <t>MOTOBOMBA TRASH (PARA ÁGUA SUJA) AUTO ESCORVANTE, MOTOR GASOLINA DE 6,41 HP, DIÂMETROS DE SUCÇÃO X RECALQUE: 3" X 3", HM/Q = 10 MCA / 60 M3/H A 23 MCA / 0 M3/H - CHP DIURNO. AF_10/2014</t>
  </si>
  <si>
    <t>MOTONIVELADORA POTÊNCIA BÁSICA LÍQUIDA (PRIMEIRA MARCHA) 125 HP, PESO BRUTO 13032 KG, LARGURA DA LÂMINA DE 3,7 M - CHI DIURNO. AF_06/2014</t>
  </si>
  <si>
    <t>MOTONIVELADORA POTÊNCIA BÁSICA LÍQUIDA (PRIMEIRA MARCHA) 125 HP, PESO BRUTO 13032 KG, LARGURA DA LÂMINA DE 3,7 M - CHP DIURNO. AF_06/2014</t>
  </si>
  <si>
    <t>MÁQUINA DEMARCADORA DE FAIXA DE TRÁFEGO À FRIO, AUTOPROPELIDA, POTÊNCIA 38 HP - CHI DIURNO. AF_07/2016</t>
  </si>
  <si>
    <t>MÁQUINA DEMARCADORA DE FAIXA DE TRÁFEGO À FRIO, AUTOPROPELIDA, POTÊNCIA 38 HP - CHP DIURNO. AF_07/2016</t>
  </si>
  <si>
    <t>MÁQUINA DEMARCADORA DE FAIXA DE TRÁFEGO À FRIO, TRAÇÃO MANUAL, 4 CV, PRESSÃO MAX 3300 PSI, TANQUE 20 L - CHI DIURNO. AF_06/2021</t>
  </si>
  <si>
    <t>MÁQUINA DEMARCADORA DE FAIXA DE TRÁFEGO À FRIO, TRAÇÃO MANUAL, 4 CV, PRESSÃO MAX 3300 PSI, TANQUE 20 L - CHP DIURNO. AF_06/2021</t>
  </si>
  <si>
    <t>MÁQUINA EXTRUSORA DE CONCRETO PARA GUIAS E SARJETAS, MOTOR A DIESEL, POTÊNCIA 14 CV - CHI DIURNO. AF_12/2015</t>
  </si>
  <si>
    <t>MÁQUINA EXTRUSORA DE CONCRETO PARA GUIAS E SARJETAS, MOTOR A DIESEL, POTÊNCIA 14 CV - CHP DIURNO. AF_12/2015</t>
  </si>
  <si>
    <t>MÁQUINA FORMER DOBRAS DIVERSAS: 220V/380V TRIFÁSICO OU MONOFÁSICO, CAPACIDADE 0,5-1,27MM, MOTOR 2CV - CHI DIURNO. AF_05/2023</t>
  </si>
  <si>
    <t>MÁQUINA FORMER DOBRAS DIVERSAS: 220V/380V TRIFÁSICO OU MONOFÁSICO, CAPACIDADE 0,5-1,27MM, MOTOR 2CV - CHP DIURNO. AF_05/2023</t>
  </si>
  <si>
    <t>MÁQUINA JATO DE PRESSAO PORTÁTIL, CAMARA DE 1 SAIDA, CAPACIDADE 280 L, DIAMETRO 670 MM, BICO DE JATO CURTO VENTURI DE 5/16", MANGUEIRA DE 1" COM COMPRESSOR DE AR REBOCÁVEL 189 PCM E MOTOR DIESEL 63 CV - CHI DIURNO. AF_05/2023</t>
  </si>
  <si>
    <t>MÁQUINA JATO DE PRESSAO PORTÁTIL, CAMARA DE 1 SAIDA, CAPACIDADE 280 L, DIAMETRO 670 MM, BICO DE JATO CURTO VENTURI DE 5/16", MANGUEIRA DE 1" COM COMPRESSOR DE AR REBOCÁVEL 189 PCM E MOTOR DIESEL 63 CV - CHP DIURNO. AF_05/2023</t>
  </si>
  <si>
    <t>MÁQUINA METALEIRA UNIVERSAL MODELO IW 110/180 BTD - CHI DIURNO. AF_05/2023</t>
  </si>
  <si>
    <t>MÁQUINA METALEIRA UNIVERSAL MODELO IW 110/180 BTD - CHP DIURNO. AF_05/2023</t>
  </si>
  <si>
    <t>MÁQUINA PARA SOLDA POR ELETROFUSÃO PARA TUBOS DE POLIETILENO DE ALTA DENSIDADE (PEAD) COM DIÂMETRO EXTERNO DE 20 A 1600 MM, POTÊNCIA DE 3500 W - CHI DIURNO. AF_05/2023</t>
  </si>
  <si>
    <t>MÁQUINA PARA SOLDA POR ELETROFUSÃO PARA TUBOS DE POLIETILENO DE ALTA DENSIDADE (PEAD) COM DIÂMETRO EXTERNO DE 20 A 1600 MM, POTÊNCIA DE 3500 W - CHP DIURNO. AF_05/2023</t>
  </si>
  <si>
    <t>MÁQUINA PARA SOLDA POR ELETROFUSÃO PARA TUBOS DE POLIETILENO DE ALTA DENSIDADE (PEAD) COM DIÂMETRO EXTERNO DE 20 A 800 MM, POTÊNCIA ENTRE 2750 E 3000 W - CHI DIURNO. AF_05/2023</t>
  </si>
  <si>
    <t>MÁQUINA PARA SOLDA POR ELETROFUSÃO PARA TUBOS DE POLIETILENO DE ALTA DENSIDADE (PEAD) COM DIÂMETRO EXTERNO DE 20 A 800 MM, POTÊNCIA ENTRE 2750 E 3000 W - CHP DIURNO. AF_05/2023</t>
  </si>
  <si>
    <t>MÁQUINA PARA SOLDA POR TERMOFUSÃO PARA TUBOS DE POLIETILENO DE ALTA DENSIDADE (PEAD) COM DIÂMETRO EXTERNO DE 315 A 630 MM, POTÊNCIA ENTRE 8000 E 12350 W - CHI DIURNO. AF_05/2023</t>
  </si>
  <si>
    <t>MÁQUINA PARA SOLDA POR TERMOFUSÃO PARA TUBOS DE POLIETILENO DE ALTA DENSIDADE (PEAD) COM DIÂMETRO EXTERNO DE 315 A 630 MM, POTÊNCIA ENTRE 8000 E 12350 W - CHP DIURNO. AF_05/2023</t>
  </si>
  <si>
    <t>MÁQUINA PARA SOLDA POR TERMOFUSÃO PARA TUBOS DE POLIETILENO DE ALTA DENSIDADE (PEAD) COM DIÂMETRO EXTERNO DE 710 A 1200 MM, POTÊNCIA ENTRE 16000 E 29500 W - CHI DIURNO. AF_05/2023</t>
  </si>
  <si>
    <t>MÁQUINA PARA SOLDA POR TERMOFUSÃO PARA TUBOS DE POLIETILENO DE ALTA DENSIDADE (PEAD) COM DIÂMETRO EXTERNO DE 710 A 1200 MM, POTÊNCIA ENTRE 16000 E 29500 W - CHP DIURNO. AF_05/2023</t>
  </si>
  <si>
    <t>MÁQUINA PARA SOLDA POR TERMOFUSÃO PARA TUBOS DE POLIETILENO DE ALTA DENSIDADE (PEAD) COM DIÂMETRO EXTERNO DE 90 A 315 MM, POTÊNCIA ENTRE 2500 E 5350 W - CHI DIURNO. AF_05/2023</t>
  </si>
  <si>
    <t>MÁQUINA PARA SOLDA POR TERMOFUSÃO PARA TUBOS DE POLIETILENO DE ALTA DENSIDADE (PEAD) COM DIÂMETRO EXTERNO DE 90 A 315 MM, POTÊNCIA ENTRE 2500 E 5350 W - CHP DIURNO. AF_05/2023</t>
  </si>
  <si>
    <t>MÁQUINA SOLDA ARCO COM PISTOLA DE SOLDAGEM PARA STUD BOLT DE 5 MM A 22 MM - CHI DIURNO. AF_05/2023</t>
  </si>
  <si>
    <t>MÁQUINA SOLDA ARCO COM PISTOLA DE SOLDAGEM PARA STUD BOLT DE 5 MM A 22 MM - CHP DIURNO. AF_05/2023</t>
  </si>
  <si>
    <t>PENEIRA ROTATIVA COM MOTOR ELÉTRICO TRIFÁSICO DE 2 CV, CILINDRO DE 1 M X 0,60 M, COM FUROS DE 3,17 MM - CHI DIURNO. AF_05/2023</t>
  </si>
  <si>
    <t>PENEIRA ROTATIVA COM MOTOR ELÉTRICO TRIFÁSICO DE 2 CV, CILINDRO DE 1 M X 0,60 M, COM FUROS DE 3,17 MM - CHP DIURNO. AF_05/2023</t>
  </si>
  <si>
    <t>PERFURATRIZ COM TORRE METÁLICA PARA EXECUÇÃO DE ESTACA HÉLICE CONTÍNUA, PROFUNDIDADE MÁXIMA DE 30 M, DIÂMETRO MÁXIMO DE 800 MM, POTÊNCIA INSTALADA DE 268 HP, MESA ROTATIVA COM TORQUE MÁXIMO DE 170 KNM - CHI DIURNO. AF_06/2015</t>
  </si>
  <si>
    <t>PERFURATRIZ COM TORRE METÁLICA PARA EXECUÇÃO DE ESTACA HÉLICE CONTÍNUA, PROFUNDIDADE MÁXIMA DE 30 M, DIÂMETRO MÁXIMO DE 800 MM, POTÊNCIA INSTALADA DE 268 HP, MESA ROTATIVA COM TORQUE MÁXIMO DE 170 KNM - CHP DIURNO. AF_06/2015</t>
  </si>
  <si>
    <t>PERFURATRIZ COM TORRE METÁLICA PARA EXECUÇÃO DE ESTACA HÉLICE CONTÍNUA, PROFUNDIDADE MÁXIMA DE 32 M, DIÂMETRO MÁXIMO DE 1000 MM, POTÊNCIA INSTALADA DE 350 HP, MESA ROTATIVA COM TORQUE MÁXIMO DE 263 KNM - CHI DIURNO. AF_01/2016</t>
  </si>
  <si>
    <t>PERFURATRIZ COM TORRE METÁLICA PARA EXECUÇÃO DE ESTACA HÉLICE CONTÍNUA, PROFUNDIDADE MÁXIMA DE 32 M, DIÂMETRO MÁXIMO DE 1000 MM, POTÊNCIA INSTALADA DE 350 HP, MESA ROTATIVA COM TORQUE MÁXIMO DE 263 KNM - CHP DIURNO. AF_01/2016</t>
  </si>
  <si>
    <t>PERFURATRIZ DE COROA DIAMANTADA PARA CONCRETO, DIÂMETRO ATÉ 250 MM, MOTOR ELÉTRICO 220 V, POTÊNCIA 2.500 W - CHI DIURNO. AF_05/2023</t>
  </si>
  <si>
    <t>PERFURATRIZ DE COROA DIAMANTADA PARA CONCRETO, DIÂMETRO ATÉ 250 MM, MOTOR ELÉTRICO 220 V, POTÊNCIA 2.500 W - CHP DIURNO. AF_05/2023</t>
  </si>
  <si>
    <t>PERFURATRIZ HIDRÁULICA SOBRE CAMINHÃO COM TRADO CURTO ACOPLADO, PROFUNDIDADE MÁXIMA DE 20 M, DIÂMETRO MÁXIMO DE 1500 MM, POTÊNCIA INSTALADA DE 137 HP, MESA ROTATIVA COM TORQUE MÁXIMO DE 30 KNM - CHI DIURNO. AF_06/2015</t>
  </si>
  <si>
    <t>PERFURATRIZ HIDRÁULICA SOBRE CAMINHÃO COM TRADO CURTO ACOPLADO, PROFUNDIDADE MÁXIMA DE 20 M, DIÂMETRO MÁXIMO DE 1500 MM, POTÊNCIA INSTALADA DE 137 HP, MESA ROTATIVA COM TORQUE MÁXIMO DE 30 KNM - CHP DIURNO. AF_06/2015</t>
  </si>
  <si>
    <t>PERFURATRIZ HIDRÁULICA SOBRE ESTEIRA, TORQUE MÁXIMO 161 KNM, PROFUNDIDADE MÁXIMA 54 M, DIÂMETRO MÁXIMO 1500 MM, POTÊNCIA MOTOR 268 HP - CHI DIURNO. AF_04/2019</t>
  </si>
  <si>
    <t>PERFURATRIZ HIDRÁULICA SOBRE ESTEIRA, TORQUE MÁXIMO 161 KNM, PROFUNDIDADE MÁXIMA 54 M, DIÂMETRO MÁXIMO 1500 MM, POTÊNCIA MOTOR 268 HP - CHP DIURNO. AF_04/2019</t>
  </si>
  <si>
    <t>PERFURATRIZ HIDRÁULICA SOBRE ESTEIRA, TORQUE MÁXIMO 98 KNM, PROFUNDIDADE MÁXIMA 25 M, DIÂMETRO MÁXIMO 115 MM, POTÊNCIA MOTOR 190 HP - CHI DIURNO. AF_02/2021</t>
  </si>
  <si>
    <t>PERFURATRIZ HIDRÁULICA SOBRE ESTEIRA, TORQUE MÁXIMO 98 KNM, PROFUNDIDADE MÁXIMA 25 M, DIÂMETRO MÁXIMO 115 MM, POTÊNCIA MOTOR 190 HP - CHP DIURNO. AF_02/2021</t>
  </si>
  <si>
    <t>PERFURATRIZ MANUAL, TORQUE MÁXIMO 83 N.M, POTÊNCIA 5 CV, COM DIÂMETRO MÁXIMO 4" - CHI DIURNO. AF_06/2015</t>
  </si>
  <si>
    <t>PERFURATRIZ MANUAL, TORQUE MÁXIMO 83 N.M, POTÊNCIA 5 CV, COM DIÂMETRO MÁXIMO 4" - CHP DIURNO. AF_06/2015</t>
  </si>
  <si>
    <t>PERFURATRIZ PARA EXECUÇÃO DE ESTACAS SECANTES, TIPO HÉLICE CONTÍNUA COM CABEÇOTE DUPLO E TUBO METÁLICO - CHI DIURNO. AF_04/2019</t>
  </si>
  <si>
    <t>PERFURATRIZ PARA EXECUÇÃO DE ESTACAS SECANTES, TIPO HÉLICE CONTÍNUA COM CABEÇOTE DUPLO E TUBO METÁLICO - CHP DIURNO. AF_04/2019</t>
  </si>
  <si>
    <t>PERFURATRIZ PARA FURO DIRECIONAL HORIZONTAL (HDD) COM CAPACIDADE ATÉ 89 KN, POTÊNCIA 24,8 HP A 80 HP (INCLUSO FERRAMENTAS E LOCALIZADOR) - CHI DIURNO. AF_05/2023</t>
  </si>
  <si>
    <t>PERFURATRIZ PARA FURO DIRECIONAL HORIZONTAL (HDD) COM CAPACIDADE ATÉ 89 KN, POTÊNCIA 24,8 HP A 80 HP (INCLUSO FERRAMENTAS E LOCALIZADOR) - CHP DIURNO. AF_05/2023</t>
  </si>
  <si>
    <t>PERFURATRIZ PARA FURO DIRECIONAL HORIZONTAL (HDD) COM CAPACIDADE DE 201 KN A 560 KN, POTÊNCIA 200 HP A 260 HP (INCLUSO FERRAMENTAS E LOCALIZADOR) - CHI DIURNO. AF_05/2023</t>
  </si>
  <si>
    <t>PERFURATRIZ PARA FURO DIRECIONAL HORIZONTAL (HDD) COM CAPACIDADE DE 201 KN A 560 KN, POTÊNCIA 200 HP A 260 HP (INCLUSO FERRAMENTAS E LOCALIZADOR) - CHP DIURNO. AF_05/2023</t>
  </si>
  <si>
    <t>PERFURATRIZ PARA FURO DIRECIONAL HORIZONTAL (HDD) COM CAPACIDADE DE 90 KN A 200 KN, POTÊNCIA 100 HP A 160 HP (INCLUSO FERRAMENTAS E LOCALIZADOR) - CHI DIURNO. AF_05/2023</t>
  </si>
  <si>
    <t>PERFURATRIZ PARA FURO DIRECIONAL HORIZONTAL (HDD) COM CAPACIDADE DE 90 KN A 200 KN, POTÊNCIA 100 HP A 160 HP (INCLUSO FERRAMENTAS E LOCALIZADOR) - CHP DIURNO. AF_05/2023</t>
  </si>
  <si>
    <t>PERFURATRIZ ROTATIVA SOBRE ESTEIRA, TORQUE MAXIMO 2500 KGM, POTENCIA 110 HP, MOTOR DIESEL - CHI DIURNO. AF_05/2017</t>
  </si>
  <si>
    <t>PERFURATRIZ ROTATIVA SOBRE ESTEIRA, TORQUE MAXIMO 2500 KGM, POTENCIA 110 HP, MOTOR DIESEL- CHP DIURNO. AF_05/2017</t>
  </si>
  <si>
    <t>PERFURATRIZ SOBRE ESTEIRA, TORQUE MÁXIMO 600 KGF, PESO MÉDIO 1000 KG, POTÊNCIA 20 HP, DIÂMETRO MÁXIMO 10" - CHI DIURNO. AF_06/2015</t>
  </si>
  <si>
    <t>PERFURATRIZ SOBRE ESTEIRA, TORQUE MÁXIMO 600 KGF, PESO MÉDIO 1000 KG, POTÊNCIA 20 HP, DIÂMETRO MÁXIMO 10" - CHP DIURNO. AF_06/2015</t>
  </si>
  <si>
    <t>PERFURATRIZ SOBRE ESTEIRA, TORQUE MÁXIMO 600 KGF, POTÊNCIA ENTRE 50 E 60 HP, DIÂMETRO MÁXIMO 10" - CHI DIURNO. AF_11/2016</t>
  </si>
  <si>
    <t>PERFURATRIZ SOBRE ESTEIRA, TORQUE MÁXIMO 600 KGF, POTÊNCIA ENTRE 50 E 60 HP, DIÂMETRO MÁXIMO 10" - CHP DIURNO. AF_11/2016</t>
  </si>
  <si>
    <t>PLACA VIBRATÓRIA REVERSÍVEL COM MOTOR 4 TEMPOS A GASOLINA, FORÇA CENTRÍFUGA DE 25 KN (2500 KGF), POTÊNCIA 5,5 CV - CHI DIURNO. AF_08/2015</t>
  </si>
  <si>
    <t>PLACA VIBRATÓRIA REVERSÍVEL COM MOTOR 4 TEMPOS A GASOLINA, FORÇA CENTRÍFUGA DE 25 KN (2500 KGF), POTÊNCIA 5,5 CV - CHP DIURNO. AF_08/2015</t>
  </si>
  <si>
    <t>PLATAFORMA ELEVATÓRIA - CHI DIURNO. AF_04/2019</t>
  </si>
  <si>
    <t>PLATAFORMA ELEVATÓRIA - CHP DIURNO. AF_04/2019</t>
  </si>
  <si>
    <t>POLIDORA DE PISO (POLITRIZ), PESO DE 100KG, DIÂMETRO 450 MM, MOTOR ELÉTRICO, POTÊNCIA 4 HP - CHI DIURNO. AF_05/2023</t>
  </si>
  <si>
    <t>POLIDORA DE PISO (POLITRIZ), PESO DE 100KG, DIÂMETRO 450 MM, MOTOR ELÉTRICO, POTÊNCIA 4 HP - CHP DIURNO. AF_05/2023</t>
  </si>
  <si>
    <t>PROJETOR DE ARGAMASSA, CAPACIDADE DE PROJEÇÃO 1,5 M3/H, ALCANCE DE 30 ATÉ 60 M, MOTOR ELÉTRICO POTÊNCIA 7,5 HP - CHI DIURNO. AF_06/2014</t>
  </si>
  <si>
    <t>PROJETOR DE ARGAMASSA, CAPACIDADE DE PROJEÇÃO 1,5 M3/H, ALCANCE DE 30 ATÉ 60 M, MOTOR ELÉTRICO POTÊNCIA 7,5 HP - CHP DIURNO. AF_06/2014</t>
  </si>
  <si>
    <t>PROJETOR DE ARGAMASSA, CAPACIDADE DE PROJEÇÃO 2 M3/H, ALCANCE ATÉ 50 M, MOTOR ELÉTRICO POTÊNCIA 7,5 HP - CHI DIURNO. AF_06/2014</t>
  </si>
  <si>
    <t>PROJETOR DE ARGAMASSA, CAPACIDADE DE PROJEÇÃO 2 M3/H, ALCANCE ATÉ 50 M, MOTOR ELÉTRICO POTÊNCIA 7,5 HP - CHP DIURNO. AF_06/2014</t>
  </si>
  <si>
    <t>PROJETOR PNEUMÁTICO DE ARGAMASSA PARA CHAPISCO E REBOCO COM RECIPIENTE ACOPLADO, TIPO CANEQUINHA, COM COMPRESSOR DE AR REBOCÁVEL VAZÃO 89 PCM E MOTOR DIESEL DE 20 CV - CHI DIURNO. AF_05/2023</t>
  </si>
  <si>
    <t>PROJETOR PNEUMÁTICO DE ARGAMASSA PARA CHAPISCO E REBOCO COM RECIPIENTE ACOPLADO, TIPO CANEQUINHA, COM COMPRESSOR DE AR REBOCÁVEL VAZÃO 89 PCM E MOTOR DIESEL DE 20 CV - CHP DIURNO. AF_05/2023</t>
  </si>
  <si>
    <t>PULVERIZADOR DE TINTA ELÉTRICO/MÁQUINA DE PINTURA AIRLESS, VAZÃO 2 L/MIN - CHI DIURNO. AF_05/2023</t>
  </si>
  <si>
    <t>PULVERIZADOR DE TINTA ELÉTRICO/MÁQUINA DE PINTURA AIRLESS, VAZÃO 2 L/MIN - CHP DIURNO. AF_05/2023</t>
  </si>
  <si>
    <t>PÁ CARREGADEIRA SOBRE RODAS, POTÊNCIA 197 HP, CAPACIDADE DA CAÇAMBA 2,5 A 3,5 M3, PESO OPERACIONAL 18338 KG - CHI DIURNO. AF_06/2014</t>
  </si>
  <si>
    <t>PÁ CARREGADEIRA SOBRE RODAS, POTÊNCIA 197 HP, CAPACIDADE DA CAÇAMBA 2,5 A 3,5 M3, PESO OPERACIONAL 18338 KG - CHP DIURNO. AF_06/2014</t>
  </si>
  <si>
    <t>PÁ CARREGADEIRA SOBRE RODAS, POTÊNCIA LÍQUIDA 128 HP, CAPACIDADE DA CAÇAMBA 1,7 A 2,8 M3, PESO OPERACIONAL 11632 KG - CHI DIURNO. AF_06/2014</t>
  </si>
  <si>
    <t>PÁ CARREGADEIRA SOBRE RODAS, POTÊNCIA LÍQUIDA 128 HP, CAPACIDADE DA CAÇAMBA 1,7 A 2,8 M3, PESO OPERACIONAL 11632 KG - CHP DIURNO. AF_06/2014</t>
  </si>
  <si>
    <t>PÓRTICO ROLANTE MONOVIGA, PERFIL I, 4 PERNAS, CAPACIDADE 5 T - CHI DIURNO. AF_04/2019</t>
  </si>
  <si>
    <t>PÓRTICO ROLANTE MONOVIGA, PERFIL I, 4 PERNAS, CAPACIDADE 5 T - CHP DIURNO. AF_04/2019</t>
  </si>
  <si>
    <t>RECICLADORA DE ASFALTO A FRIO SOBRE RODAS, LARGURA FRESAGEM DE 2,0 M, POTÊNCIA 422 HP - CHI DIURNO. AF_11/2014</t>
  </si>
  <si>
    <t>RECICLADORA DE ASFALTO A FRIO SOBRE RODAS, LARGURA FRESAGEM DE 2,0 M, POTÊNCIA 422 HP - CHP DIURNO. AF_11/2014</t>
  </si>
  <si>
    <t>RETROESCAVADEIRA SOBRE RODAS COM CARREGADEIRA, PESO OPERACIONAL MÍN. 6,674, POTÊNCIA LÍQ 88 HP, COM MARTELO ROMPEDOR HIDRÁULICO ENTRE 275 A 362 KG - CHI DIURNO. AF_02/2021</t>
  </si>
  <si>
    <t>RETROESCAVADEIRA SOBRE RODAS COM CARREGADEIRA, PESO OPERACIONAL MÍN. 6,674, POTÊNCIA LÍQ 88 HP, COM MARTELO ROMPEDOR HIDRÁULICO ENTRE 275 A 362 KG - CHP DIURNO. AF_02/2021</t>
  </si>
  <si>
    <t>RETROESCAVADEIRA SOBRE RODAS COM CARREGADEIRA, TRAÇÃO 4X2, POTÊNCIA LÍQ. 79 HP, CAÇAMBA CARREG. CAP. MÍN. 1 M3, CAÇAMBA RETRO CAP. 0,20 M3, PESO OPERACIONAL MÍN. 6.570 KG, PROFUNDIDADE ESCAVAÇÃO MÁX. 4,37 M - CHI DIURNO. AF_06/2014</t>
  </si>
  <si>
    <t>RETROESCAVADEIRA SOBRE RODAS COM CARREGADEIRA, TRAÇÃO 4X2, POTÊNCIA LÍQ. 79 HP, CAÇAMBA CARREG. CAP. MÍN. 1 M3, CAÇAMBA RETRO CAP. 0,20 M3, PESO OPERACIONAL MÍN. 6.570 KG, PROFUNDIDADE ESCAVAÇÃO MÁX. 4,37 M - CHP DIURNO. AF_06/2014</t>
  </si>
  <si>
    <t>RETROESCAVADEIRA SOBRE RODAS COM CARREGADEIRA, TRAÇÃO 4X4, POTÊNCIA LÍQ. 72 HP, CAÇAMBA CARREG. CAP. MÍN. 0,79 M3, CAÇAMBA RETRO CAP. 0,18 M3, PESO OPERACIONAL MÍN. 7.140 KG, PROFUNDIDADE ESCAVAÇÃO MÁX. 4,50 M - CHI DIURNO. AF_06/2014</t>
  </si>
  <si>
    <t>RETROESCAVADEIRA SOBRE RODAS COM CARREGADEIRA, TRAÇÃO 4X4, POTÊNCIA LÍQ. 72 HP, CAÇAMBA CARREG. CAP. MÍN. 0,79 M3, CAÇAMBA RETRO CAP. 0,18 M3, PESO OPERACIONAL MÍN. 7.140 KG, PROFUNDIDADE ESCAVAÇÃO MÁX. 4,50 M - CHP DIURNO. AF_06/2014</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</si>
  <si>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</si>
  <si>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4X4, POTÊNCIA LÍQ. 88 HP, CAÇAMBA CARREG. CAP. MÍN. 1 M3, CAÇAMBA RETRO CAP. 0,26 M3, PESO OPERACIONAL MÍN. 6.674 KG, PROFUNDIDADE ESCAVAÇÃO MÁX. 4,37 M - CHP DIURNO. AF_06/2014</t>
  </si>
  <si>
    <t>ROLO COMPACTADOR DE PNEUS ESTÁTICO, PRESSÃO VARIÁVEL, POTÊNCIA 111 HP, PESO SEM/COM LASTRO 9,5 / 26 T, LARGURA DE TRABALHO 1,90 M - CHI DIURNO. AF_07/2014</t>
  </si>
  <si>
    <t>ROLO COMPACTADOR DE PNEUS ESTÁTICO, PRESSÃO VARIÁVEL, POTÊNCIA 111 HP, PESO SEM/COM LASTRO 9,5 / 26 T, LARGURA DE TRABALHO 1,90 M - CHP DIURNO. AF_07/2014</t>
  </si>
  <si>
    <t>ROLO COMPACTADOR DE PNEUS, ESTÁTICO, PRESSÃO VARIÁVEL, POTÊNCIA 110 HP, PESO SEM/COM LASTRO 10,8/27 T, LARGURA DE ROLAGEM 2,30 M - CHI DIURNO. AF_06/2017</t>
  </si>
  <si>
    <t>ROLO COMPACTADOR DE PNEUS, ESTÁTICO, PRESSÃO VARIÁVEL, POTÊNCIA 110 HP, PESO SEM/COM LASTRO 10,8/27 T, LARGURA DE ROLAGEM 2,30 M - CHP DIURNO. AF_06/2017</t>
  </si>
  <si>
    <t>ROLO COMPACTADOR PE DE CARNEIRO VIBRATORIO, POTENCIA 125 HP, PESO OPERACIONAL SEM/COM LASTRO 11,95 / 13,30 T, IMPACTO DINAMICO 38,5 / 22,5 T, LARGURA DE TRABALHO 2,15 M - CHI DIURNO. AF_06/2014</t>
  </si>
  <si>
    <t>ROLO COMPACTADOR PE DE CARNEIRO VIBRATORIO, POTENCIA 125 HP, PESO OPERACIONAL SEM/COM LASTRO 11,95 / 13,30 T, IMPACTO DINAMICO 38,5 / 22,5 T, LARGURA DE TRABALHO 2,15 M - CHP DIURNO. AF_06/2014</t>
  </si>
  <si>
    <t>ROLO COMPACTADOR VIBRATORIO TANDEM, ACO LISO, POTENCIA 125 HP, PESO SEM/COM LASTRO 10,20/11,65 T, LARGURA DE TRABALHO 1,73 M - CHI DIURNO. AF_11/2016</t>
  </si>
  <si>
    <t>ROLO COMPACTADOR VIBRATORIO TANDEM, ACO LISO, POTENCIA 125 HP, PESO SEM/COM LASTRO 10,20/11,65 T, LARGURA DE TRABALHO 1,73 M - CHP DIURNO. AF_11/2016</t>
  </si>
  <si>
    <t>ROLO COMPACTADOR VIBRATÓRIO DE UM CILINDRO AÇO LISO, POTÊNCIA 80 HP, PESO OPERACIONAL MÁXIMO 8,1 T, IMPACTO DINÂMICO 16,15 / 9,5 T, LARGURA DE TRABALHO 1,68 M - CHI DIURNO. AF_06/2014</t>
  </si>
  <si>
    <t>ROLO COMPACTADOR VIBRATÓRIO DE UM CILINDRO AÇO LISO, POTÊNCIA 80 HP, PESO OPERACIONAL MÁXIMO 8,1 T, IMPACTO DINÂMICO 16,15 / 9,5 T, LARGURA DE TRABALHO 1,68 M - CHP DIURNO. AF_06/2014</t>
  </si>
  <si>
    <t>ROLO COMPACTADOR VIBRATÓRIO PÉ DE CARNEIRO PARA SOLOS, POTÊNCIA 80 HP, PESO OPERACIONAL SEM/COM LASTRO 7,4 / 8,8 T, LARGURA DE TRABALHO 1,68 M - CHI DIURNO. AF_02/2016</t>
  </si>
  <si>
    <t>ROLO COMPACTADOR VIBRATÓRIO PÉ DE CARNEIRO PARA SOLOS, POTÊNCIA 80 HP, PESO OPERACIONAL SEM/COM LASTRO 7,4 / 8,8 T, LARGURA DE TRABALHO 1,68 M - CHP DIURNO. AF_02/2016</t>
  </si>
  <si>
    <t>ROLO COMPACTADOR VIBRATÓRIO PÉ DE CARNEIRO, OPERADO POR CONTROLE REMOTO, POTÊNCIA 12,5 KW, PESO OPERACIONAL 1,675 T, LARGURA DE TRABALHO 0,85 M - CHI DIURNO. AF_02/2016</t>
  </si>
  <si>
    <t>ROLO COMPACTADOR VIBRATÓRIO PÉ DE CARNEIRO, OPERADO POR CONTROLE REMOTO, POTÊNCIA 12,5 KW, PESO OPERACIONAL 1,675 T, LARGURA DE TRABALHO 0,85 M - CHP DIURNO. AF_02/2016</t>
  </si>
  <si>
    <t>ROLO COMPACTADOR VIBRATÓRIO REBOCÁVEL, CILINDRO DE AÇO LISO, POTÊNCIA DE TRAÇÃO DE 65 CV, PESO 4,7 T, IMPACTO DINÂMICO 18,3 T, LARGURA DE TRABALHO 1,67 M - CHI DIURNO. AF_02/2016</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</si>
  <si>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</si>
  <si>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CHI DIURNO. AF_06/2014</t>
  </si>
  <si>
    <t>ROLO COMPACTADOR VIBRATÓRIO TANDEM AÇO LISO, POTÊNCIA 58 HP, PESO SEM/COM LASTRO 6,5 / 9,4 T, LARGURA DE TRABALHO 1,2 M - CHP DIURNO. AF_06/2014</t>
  </si>
  <si>
    <t>RÉGUA VIBRATÓRIA DUPLA PARA CONCRETO, PESO DE 60KG, COMPRIMENTO 4 M, COM MOTOR A GASOLINA, POTÊNCIA 5,5 HP - CHI DIURNO. AF_09/2016</t>
  </si>
  <si>
    <t>RÉGUA VIBRATÓRIA DUPLA PARA CONCRETO, PESO DE 60KG, COMPRIMENTO 4 M, COM MOTOR A GASOLINA, POTÊNCIA 5,5 HP - CHP DIURNO. AF_09/2016</t>
  </si>
  <si>
    <t>SERRA CIRCULAR DE BANCADA COM MOTOR ELÉTRICO POTÊNCIA DE 5HP, COM COIFA PARA DISCO 10" - CHI DIURNO. AF_08/2015</t>
  </si>
  <si>
    <t>SERRA CIRCULAR DE BANCADA COM MOTOR ELÉTRICO POTÊNCIA DE 5HP, COM COIFA PARA DISCO 10" - CHP DIURNO. AF_08/2015</t>
  </si>
  <si>
    <t>SERRA FITA HORIZONTAL, ELÉTRICA, COM CONTROLE HIDRÁULICO, PAINEL DE COMANDO EM 24 V, MOTOR ELÉTRICO 1,5 CV, DIMENSÕES DA FITA 3880 X 27 X 0,9 MM, TRIFÁSICA - CHI DIURNO. AF_05/2023</t>
  </si>
  <si>
    <t>SERRA FITA HORIZONTAL, ELÉTRICA, COM CONTROLE HIDRÁULICO, PAINEL DE COMANDO EM 24 V, MOTOR ELÉTRICO 1,5 CV, DIMENSÕES DA FITA 3880 X 27 X 0,9 MM, TRIFÁSICA - CHP DIURNO. AF_05/2023</t>
  </si>
  <si>
    <t>TALHA MANUAL DE CORRENTE, CAPACIDADE DE 2 TON. COM ELEVAÇÃO DE 3 M - CHI DIURNO. AF_07/2016</t>
  </si>
  <si>
    <t>TALHA MANUAL DE CORRENTE, CAPACIDADE DE 2 TON. COM ELEVAÇÃO DE 3 M - CHP DIURNO. AF_07/2016</t>
  </si>
  <si>
    <t>TANQUE DE ASFALTO ESTACIONÁRIO COM MAÇARICO, CAPACIDADE 20.000 L - CHI DIURNO. AF_05/2023</t>
  </si>
  <si>
    <t>TANQUE DE ASFALTO ESTACIONÁRIO COM MAÇARICO, CAPACIDADE 20.000 L - CHP DIURNO. AF_05/2023</t>
  </si>
  <si>
    <t>TANQUE DE ASFALTO ESTACIONÁRIO COM SERPENTINA, CAPACIDADE 30.000 L - CHI DIURNO. AF_05/2023</t>
  </si>
  <si>
    <t>TANQUE DE ASFALTO ESTACIONÁRIO COM SERPENTINA, CAPACIDADE 30.000 L - CHP DIURNO. AF_05/2023</t>
  </si>
  <si>
    <t>TARTARUGA DE OXICORTE CG1, MONOFÁSICA, 220 V, FREQUÊNCIA 50 HZ, VELOCIDADE DE CORTE (MM/MIN) 50 A 750, DIÂMETRO MÍNIMO DO COMPASSO MM 200 - CHI DIURNO. AF_05/2023</t>
  </si>
  <si>
    <t>TARTARUGA DE OXICORTE CG1, MONOFÁSICA, 220 V, FREQUÊNCIA 50 HZ, VELOCIDADE DE CORTE (MM/MIN) 50 A 750, DIÂMETRO MÍNIMO DO COMPASSO MM 200 - CHP DIURNO. AF_05/2023</t>
  </si>
  <si>
    <t>TERMOFUSORA PARA TUBOS E CONEXÕES EM PPR COM DIÂMETROS DE 20 A 63 MM, POTÊNCIA DE 800 W, TENSAO 220 V - CHI DIURNO. AF_05/2022</t>
  </si>
  <si>
    <t>TERMOFUSORA PARA TUBOS E CONEXÕES EM PPR COM DIÂMETROS DE 20 A 63 MM, POTÊNCIA DE 800 W, TENSAO 220 V - CHP DIURNO. AF_05/2022</t>
  </si>
  <si>
    <t>TERMOFUSORA PARA TUBOS E CONEXÕES EM PPR COM DIÂMETROS DE 75 A 110 MM, POTÊNCIA DE *1100* W, TENSÃO 220 V - CHI DIURNO. AF_05/2022</t>
  </si>
  <si>
    <t>TERMOFUSORA PARA TUBOS E CONEXÕES EM PPR COM DIÂMETROS DE 75 A 110 MM, POTÊNCIA DE *1100* W, TENSÃO 220 V - CHP DIURNO. AF_05/2022</t>
  </si>
  <si>
    <t>TORRE, COMPOSTA POR GUINCHO MECÂNICO, GUINCHO MANUAL, CABOS DE AÇO, PITEIRA E SOQUETE - CHI DIURNO. AF_05/2023</t>
  </si>
  <si>
    <t>TORRE, COMPOSTA POR GUINCHO MECÂNICO, GUINCHO MANUAL, CABOS DE AÇO, PITEIRA E SOQUETE - CHP DIURNO. AF_05/2023</t>
  </si>
  <si>
    <t>TRATOR DE ESTEIRAS, POTÊNCIA 100 HP, PESO OPERACIONAL 9,4 T, COM LÂMINA 2,19 M3 - CHI DIURNO. AF_06/2014</t>
  </si>
  <si>
    <t>TRATOR DE ESTEIRAS, POTÊNCIA 100 HP, PESO OPERACIONAL 9,4 T, COM LÂMINA 2,19 M3 - CHP DIURNO. AF_06/2014</t>
  </si>
  <si>
    <t>TRATOR DE ESTEIRAS, POTÊNCIA 125 HP, PESO OPERACIONAL 12,9 T, COM LÂMINA 2,7 M3 - CHI DIURNO. AF_10/2014</t>
  </si>
  <si>
    <t>TRATOR DE ESTEIRAS, POTÊNCIA 125 HP, PESO OPERACIONAL 12,9 T, COM LÂMINA 2,7 M3 - CHP DIURNO. AF_10/2014</t>
  </si>
  <si>
    <t>TRATOR DE ESTEIRAS, POTÊNCIA 150 HP, PESO OPERACIONAL 16,7 T, COM RODA MOTRIZ ELEVADA E LÂMINA 3,18 M3 - CHI DIURNO. AF_06/2014</t>
  </si>
  <si>
    <t>TRATOR DE ESTEIRAS, POTÊNCIA 150 HP, PESO OPERACIONAL 16,7 T, COM RODA MOTRIZ ELEVADA E LÂMINA 3,18 M3 - CHP DIURNO. AF_06/2014</t>
  </si>
  <si>
    <t>TRATOR DE ESTEIRAS, POTÊNCIA 170 HP, PESO OPERACIONAL 19 T, CAÇAMBA 5,2 M3 - CHI DIURNO. AF_06/2014</t>
  </si>
  <si>
    <t>TRATOR DE ESTEIRAS, POTÊNCIA 170 HP, PESO OPERACIONAL 19 T, CAÇAMBA 5,2 M3 - CHP DIURNO. AF_06/2014</t>
  </si>
  <si>
    <t>TRATOR DE ESTEIRAS, POTÊNCIA 347 HP, PESO OPERACIONAL 38,5 T, COM LÂMINA 8,70 M3 - CHI DIURNO. AF_06/2014</t>
  </si>
  <si>
    <t>TRATOR DE ESTEIRAS, POTÊNCIA 347 HP, PESO OPERACIONAL 38,5 T, COM LÂMINA 8,70 M3 - CHP DIURNO. AF_06/2014</t>
  </si>
  <si>
    <t>TRATOR DE PNEUS COM POTÊNCIA DE 122 CV, TRAÇÃO 4X4, COM GRADE DE DISCOS ACOPLADA - CHI DIURNO. AF_02/2017</t>
  </si>
  <si>
    <t>TRATOR DE PNEUS COM POTÊNCIA DE 122 CV, TRAÇÃO 4X4, COM GRADE DE DISCOS ACOPLADA - CHP DIURNO. AF_02/2017</t>
  </si>
  <si>
    <t>TRATOR DE PNEUS COM POTÊNCIA DE 122 CV, TRAÇÃO 4X4, COM VASSOURA MECÂNICA ACOPLADA - CHI DIURNO. AF_02/2017</t>
  </si>
  <si>
    <t>TRATOR DE PNEUS COM POTÊNCIA DE 122 CV, TRAÇÃO 4X4, COM VASSOURA MECÂNICA ACOPLADA - CHP DIURNO. AF_02/2017</t>
  </si>
  <si>
    <t>TRATOR DE PNEUS COM POTÊNCIA DE 85 CV, TRAÇÃO 4X4, COM GRADE DE DISCOS ACOPLADA - CHI DIURNO. AF_02/2017</t>
  </si>
  <si>
    <t>TRATOR DE PNEUS COM POTÊNCIA DE 85 CV, TRAÇÃO 4X4, COM GRADE DE DISCOS ACOPLADA - CHP DIURNO. AF_02/2017</t>
  </si>
  <si>
    <t>TRATOR DE PNEUS COM POTÊNCIA DE 85 CV, TRAÇÃO 4X4, COM VASSOURA MECÂNICA ACOPLADA - CHI DIURNO. AF_02/2017</t>
  </si>
  <si>
    <t>TRATOR DE PNEUS COM POTÊNCIA DE 85 CV, TRAÇÃO 4X4, COM VASSOURA MECÂNICA ACOPLADA - CHP DIURNO. AF_03/2017</t>
  </si>
  <si>
    <t>TRATOR DE PNEUS, POTÊNCIA 122 CV, TRAÇÃO 4X4, PESO COM LASTRO DE 4.510 KG - CHI DIURNO. AF_06/2014</t>
  </si>
  <si>
    <t>TRATOR DE PNEUS, POTÊNCIA 122 CV, TRAÇÃO 4X4, PESO COM LASTRO DE 4.510 KG - CHP DIURNO. AF_06/2014</t>
  </si>
  <si>
    <t>TRATOR DE PNEUS, POTÊNCIA 85 CV, TRAÇÃO 4X4, PESO COM LASTRO DE 4.675 KG - CHI DIURNO. AF_06/2014</t>
  </si>
  <si>
    <t>TRATOR DE PNEUS, POTÊNCIA 85 CV, TRAÇÃO 4X4, PESO COM LASTRO DE 4.675 KG - CHP DIURNO. AF_06/2014</t>
  </si>
  <si>
    <t>UNIDADE DOSADORA AIRLESS TIPO HOT SPRAY - CHI DIURNO. AF_05/2023</t>
  </si>
  <si>
    <t>UNIDADE DOSADORA AIRLESS TIPO HOT SPRAY - CHP DIURNO. AF_05/2023</t>
  </si>
  <si>
    <t>USINA DE ASFALTO À FRIO, CAPACIDADE DE 40 A 60 TON/HORA, ELÉTRICA POTÊNCIA 30 CV - CHI DIURNO. AF_05/2023</t>
  </si>
  <si>
    <t>USINA DE ASFALTO À FRIO, CAPACIDADE DE 40 A 60 TON/HORA, ELÉTRICA POTÊNCIA 30 CV - CHP DIURNO. AF_05/2023</t>
  </si>
  <si>
    <t>USINA DE ASFALTO, TIPO GRAVIMÉTRICA, PROD 150 TON/HORA - CHI DIURNO. AF_12/2019</t>
  </si>
  <si>
    <t>USINA DE ASFALTO, TIPO GRAVIMÉTRICA, PROD 150 TON/HORA - CHP DIURNO. AF_12/2019</t>
  </si>
  <si>
    <t>USINA DE CONCRETO FIXA, CAPACIDADE NOMINAL DE 90 A 120 M3/H, SEM SILO - CHI DIURNO. AF_07/2016</t>
  </si>
  <si>
    <t>USINA DE CONCRETO FIXA, CAPACIDADE NOMINAL DE 90 A 120 M3/H, SEM SILO - CHP DIURNO. AF_07/2016</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</si>
  <si>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</si>
  <si>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t>
  </si>
  <si>
    <t>USINA DE MISTURA ASFÁLTICA À QUENTE, TIPO CONTRA FLUXO, PROD 100 A 140 TON/HORA - CHI DIURNO. AF_12/2019</t>
  </si>
  <si>
    <t>USINA DE MISTURA ASFÁLTICA À QUENTE, TIPO CONTRA FLUXO, PROD 100 A 140 TON/HORA - CHP DIURNO. AF_12/2019</t>
  </si>
  <si>
    <t>USINA DE MISTURA ASFÁLTICA À QUENTE, TIPO CONTRA FLUXO, PROD 40 A 80 TON/HORA - CHI DIURNO. AF_05/2023</t>
  </si>
  <si>
    <t>USINA DE MISTURA ASFÁLTICA À QUENTE, TIPO CONTRA FLUXO, PROD 40 A 80 TON/HORA - CHP DIURNO. AF_05/2023</t>
  </si>
  <si>
    <t>USINA MISTURADORA DE SOLOS, CAPACIDADE DE 200 A 500 TON/H, POTENCIA 75KW - CHI DIURNO. AF_07/2016</t>
  </si>
  <si>
    <t>USINA MISTURADORA DE SOLOS, CAPACIDADE DE 200 A 500 TON/H, POTENCIA 75KW - CHP DIURNO. AF_07/2016</t>
  </si>
  <si>
    <t>VARREDEIRA DE GRAMA SINTÉTICA A GASOLINA, 2,4 CV, 4 TEMPOS - CHI DIURNO. AF_05/2023</t>
  </si>
  <si>
    <t>VARREDEIRA DE GRAMA SINTÉTICA A GASOLINA, 2,4 CV, 4 TEMPOS - CHP DIURNO. AF_05/2023</t>
  </si>
  <si>
    <t>VASSOURA MECÂNICA REBOCÁVEL COM ESCOVA CILÍNDRICA, LARGURA ÚTIL DE VARRIMENTO DE 2,44 M - CHI DIURNO. AF_06/2014</t>
  </si>
  <si>
    <t>VASSOURA MECÂNICA REBOCÁVEL COM ESCOVA CILÍNDRICA, LARGURA ÚTIL DE VARRIMENTO DE 2,44 M - CHP DIURNO. AF_06/2014</t>
  </si>
  <si>
    <t>VIBRADOR DE IMERSÃO, DIÂMETRO DE PONTEIRA 45MM, MOTOR ELÉTRICO TRIFÁSICO POTÊNCIA DE 2 CV - CHI DIURNO. AF_06/2015</t>
  </si>
  <si>
    <t>VIBRADOR DE IMERSÃO, DIÂMETRO DE PONTEIRA 45MM, MOTOR ELÉTRICO TRIFÁSICO POTÊNCIA DE 2 CV - CHP DIURNO. AF_06/2015</t>
  </si>
  <si>
    <t>VIBROACABADORA DE ASFALTO SOBRE ESTEIRAS, LARGURA DE PAVIMENTAÇÃO 1,90 M A 5,30 M, POTÊNCIA 105 HP CAPACIDADE 450 T/H - CHI DIURNO. AF_11/2014</t>
  </si>
  <si>
    <t>VIBROACABADORA DE ASFALTO SOBRE ESTEIRAS, LARGURA DE PAVIMENTAÇÃO 1,90 M A 5,30 M, POTÊNCIA 105 HP CAPACIDADE 450 T/H - CHP DIURNO. AF_11/2014</t>
  </si>
  <si>
    <t>VIBROACABADORA DE ASFALTO SOBRE ESTEIRAS, LARGURA DE PAVIMENTAÇÃO 2,13 M A 4,55 M, POTÊNCIA 100 HP CAPACIDADE 400 T/H - CHP DIURNO. AF_11/2014</t>
  </si>
  <si>
    <t>VIBROACABADORA DE ASFALTO SOBRE ESTEIRAS, LARGURA DE PAVIMENTAÇÃO 2,13 M A 4,55 M, POTÊNCIA 100 HP, CAPACIDADE 400 T/H - CHI DIURNO. AF_11/2014</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</si>
  <si>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</si>
  <si>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</si>
  <si>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</si>
  <si>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PARA QUALQUER TIPO DE BLOCO, DE FORMA MECANIZADA, SEM REAPROVEITAMENTO. AF_09/2023</t>
  </si>
  <si>
    <t>DEMOLIÇÃO DE ARGAMASSAS, DE FORMA DE FORMA MECANIZADA COM MARTELETE, SEM REAPROVEITAMENTO. AF_09/2023</t>
  </si>
  <si>
    <t>DEMOLIÇÃO DE ARGAMASSAS, DE FORMA MANUAL, SEM REAPROVEITAMENTO. AF_09/2023</t>
  </si>
  <si>
    <t>DEMOLIÇÃO DE ESTRUTURAS DE CONCRETO ARMADO EM GERAL, DE FORMA MECANIZADA COM ROMPEDOR ACOPLADO EM ESCAVADEIRA HIDRÁULICA, SEM REAPROVEITAMENTO. AF_09/2023</t>
  </si>
  <si>
    <t>DEMOLIÇÃO DE LAJES, EM CONCRETO ARMADO, DE FORMA MANUAL, SEM REAPROVEITAMENTO. AF_09/2023</t>
  </si>
  <si>
    <t>DEMOLIÇÃO DE LAJES, EM CONCRETO ARMADO, DE FORMA MECANIZADA COM MARTELETE,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</si>
  <si>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</si>
  <si>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</si>
  <si>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PISO DE CONCRETO SIMPLES, DE FORMA MECANIZADA COM MARTELETE, SEM REAPROVEITAMENTO. AF_09/2023</t>
  </si>
  <si>
    <t>DEMOLIÇÃO DE REVESTIMENTO CERÂMICO, DE FORMA MECANIZADA COM MARTELETE, SEM REAPROVEITAMENTO. AF_09/2023</t>
  </si>
  <si>
    <t>DEMOLIÇÃO DE RODAPÉ CERÂMICO, DE FORMA MANUAL, SEM REAPROVEITAMENTO. AF_09/2023</t>
  </si>
  <si>
    <t>DEMOLIÇÃO PARCIAL DE PAVIMENTO ASFÁLTICO, DE FORMA MECANIZADA, SEM REAPROVEITAMENTO. AF_09/2023</t>
  </si>
  <si>
    <t>REMOÇÃO CALHAS E RUFOS, DE FORMA MANUAL, SEM REAPROVEITAMENTO. AF_09/2023</t>
  </si>
  <si>
    <t>REMOÇÃO DE ACESSÓRIOS, DE FORMA MANUAL, SEM REAPROVEITAMENTO. AF_09/2023</t>
  </si>
  <si>
    <t>REMOÇÃO DE ALAMBRADOS PARA QUADRAS POLIESPORTIVAS, ESTRUTURADO POR TUBOS DE AÇO GALVANIZADO, COM TELA DE ARAME GALVANIZADO, DE FORMA MANUAL, SEM REAPROVEITAMENTO. AF_09/2023</t>
  </si>
  <si>
    <t>REMOÇÃO DE CABOS ELÉTRICOS, COM SEÇÃO DE 10 MM², FORMA MANUAL, SEM REAPROVEITAMENTO. AF_09/2023</t>
  </si>
  <si>
    <t>REMOÇÃO DE CABOS ELÉTRICOS, COM SEÇÃO DE 16 MM², FORMA MANUAL, SEM REAPROVEITAMENTO. AF_09/2023</t>
  </si>
  <si>
    <t>REMOÇÃO DE CABOS ELÉTRICOS, COM SEÇÃO DE 25 MM², FORMA MANUAL,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</si>
  <si>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</si>
  <si>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</si>
  <si>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CERCAS E MOURÕES, DE FORMA MANUAL, SEM REAPROVEITAMENTO. AF_09/2023</t>
  </si>
  <si>
    <t>REMOÇÃO DE CHAPAS E PERFIS DE DRYWALL, DE FORMA MANUAL, SEM REAPROVEITAMENTO. AF_09/2023</t>
  </si>
  <si>
    <t>REMOÇÃO DE FORRO DE GESSO, DE FORMA MANUAL, SEM REAPROVEITAMENTO. AF_09/2023</t>
  </si>
  <si>
    <t>REMOÇÃO DE FORROS DE DRYWALL, PVC E FIBROMINERAL, DE FORMA MANUAL, SEM REAPROVEITAMENTO. AF_09/2023</t>
  </si>
  <si>
    <t>REMOÇÃO DE INTERRUPTORES/TOMADAS ELÉTRICAS, DE FORMA MANUAL, SEM REAPROVEITAMENTO. AF_09/2023</t>
  </si>
  <si>
    <t>REMOÇÃO DE JANELAS, DE FORMA MANUAL, SEM REAPROVEITAMENTO. AF_09/2023</t>
  </si>
  <si>
    <t>REMOÇÃO DE LOUÇAS, DE FORMA MANUAL, SEM REAPROVEITAMENTO. AF_09/2023</t>
  </si>
  <si>
    <t>REMOÇÃO DE LUMINÁRIAS, DE FORMA MANUAL, SEM REAPROVEITAMENTO. AF_09/2023</t>
  </si>
  <si>
    <t>REMOÇÃO DE METAIS SANITÁRIOS, DE FORMA MANUAL, SEM REAPROVEITAMENTO. AF_09/2023</t>
  </si>
  <si>
    <t>REMOÇÃO DE PISO DE MADEIRA (ASSOALHO E BARROTE), DE FORMA MANUAL, SEM REAPROVEITAMENTO. AF_09/2023</t>
  </si>
  <si>
    <t>REMOÇÃO DE PLACAS DE SINALIZAÇÃO VIÁRIA, DE FORMA MANUAL, SEM REAPROVEITAMENTO. AF_09/2023</t>
  </si>
  <si>
    <t>REMOÇÃO DE PLACAS E PILARETES DE CONCRETO, DE FORMA MANUAL, SEM REAPROVEITAMENTO. AF_09/2023</t>
  </si>
  <si>
    <t>REMOÇÃO DE PORTAS, DE FORMA MANUAL, SEM REAPROVEITAMENTO. AF_09/2023</t>
  </si>
  <si>
    <t>REMOÇÃO DE PROTEÇÃO TÉRMICA PARA COBERTURA EM EPS, DE FORMA MANUAL, SEM REAPROVEITAMENTO. AF_09/2023</t>
  </si>
  <si>
    <t>REMOÇÃO DE SUPORTE METÁLICO OU DE MADEIRA PARA PLACAS DE SINALIZAÇÃO VIÁRIA, DE FORMA MANUAL, SEM REAPROVEITAMENTO. AF_09/2023</t>
  </si>
  <si>
    <t>REMOÇÃO DE TAPUME/ CHAPAS METÁLICAS E DE MADEIRA, DE FORMA MANUAL, SEM REAPROVEITAMENTO. AF_09/2023</t>
  </si>
  <si>
    <t>REMOÇÃO DE TELA DE ARAME GALVANIZADO DE ALAMBRADOS PARA QUADRAS POLIESPORTIVAS, DE FORMA MANUAL, SEM REMOÇÃO DA ESTRUTURA DE SUSTENTAÇÃO, SEM REAPROVEITAMENTO. AF_09/2023</t>
  </si>
  <si>
    <t>REMOÇÃO DE TELHAS DE FIBROCIMENTO METÁLICA E CERÂMICA, DE FORMA MANUAL, SEM REAPROVEITAMENTO. AF_09/2023</t>
  </si>
  <si>
    <t>REMOÇÃO DE TELHAS DE FIBROCIMENTO, METÁLICA E CERÂMICA, DE FORMA MECANIZADA, COM USO DE GUINDASTE, SEM REAPROVEITAMENTO. AF_09/2023</t>
  </si>
  <si>
    <t>REMOÇÃO DE TESOURAS DE MADEIRA, COM VÃO MAIOR OU IGUAL A 8M, DE FORMA MANUAL, SEM REAPROVEITAMENTO. AF_09/2023</t>
  </si>
  <si>
    <t>REMOÇÃO DE TESOURAS DE MADEIRA, COM VÃO MAIOR OU IGUAL A 8M, DE FORMA MECANIZADA, COM REAPROVEITAMENTO. AF_09/2023</t>
  </si>
  <si>
    <t>REMOÇÃO DE TESOURAS DE MADEIRA, COM VÃO MENOR QUE 8M, DE FORMA MANUAL, SEM REAPROVEITAMENTO. AF_09/2023</t>
  </si>
  <si>
    <t>REMOÇÃO DE TESOURAS DE MADEIRA, COM VÃO MENOR QUE 8M, DE FORMA MECANIZADA, COM REAPROVEITAMENTO. AF_09/2023</t>
  </si>
  <si>
    <t>REMOÇÃO DE TESOURAS METÁLICAS, COM VÃO MAIOR OU IGUAL A 8M, DE FORMA MANUAL, SEM REAPROVEITAMENTO. AF_09/2023</t>
  </si>
  <si>
    <t>REMOÇÃO DE TESOURAS METÁLICAS, COM VÃO MAIOR OU IGUAL A 8M, DE FORMA MECANIZADA, COM REAPROVEITAMENTO. AF_09/2023</t>
  </si>
  <si>
    <t>REMOÇÃO DE TESOURAS METÁLICAS, COM VÃO MENOR QUE 8M, DE FORMA MANUAL, SEM REAPROVEITAMENTO. AF_09/2023</t>
  </si>
  <si>
    <t>REMOÇÃO DE TESOURAS METÁLICAS, COM VÃO MENOR QUE 8M, DE FORMA MECANIZADA, COM REAPROVEITAMENTO. AF_09/2023</t>
  </si>
  <si>
    <t>REMOÇÃO DE TRAMA DE MADEIRA PARA COBERTURA, DE FORMA MANUAL, SEM REAPROVEITAMENTO. AF_09/2023</t>
  </si>
  <si>
    <t>REMOÇÃO DE TRAMA METÁLICA OU DE MADEIRA PARA FORRO, DE FORMA MANUAL, SEM REAPROVEITAMENTO. AF_09/2023</t>
  </si>
  <si>
    <t>REMOÇÃO DE TRAMA METÁLICA PARA COBERTURA, DE FORMA MANUAL, SEM REAPROVEITAMENTO. AF_09/2023</t>
  </si>
  <si>
    <t>REMOÇÃO DE TUBULAÇÕES (TUBOS E CONEXÕES) DE ÁGUA FRIA, DE FORMA MANUAL, SEM REAPROVEITAMENTO. AF_09/2023</t>
  </si>
  <si>
    <t>REMOÇÃO DE VIDRO, EM FACHADAS DE VIDRO, DE FORMA MECANIZADA, COM USO DE PLATAFORMA ELEVATÓRIA, SEM REAPROVEITAMENTO. AF_09/2023</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</si>
  <si>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</si>
  <si>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</si>
  <si>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</si>
  <si>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</si>
  <si>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BATE ESTACA PARA INSTALAÇÃO DE DEFENSAS METÁLICAS (GUARD RAIL) FIXO, INCLUSIVE CAMINHÃO TOCO PBT 9.700 KG, POTÊNCIA DE 160 CV - DEPRECIAÇÃO. AF_05/2023</t>
  </si>
  <si>
    <t>BATE ESTACA PARA INSTALAÇÃO DE DEFENSAS METÁLICAS (GUARD RAIL) FIXO, INCLUSIVE CAMINHÃO TOCO PBT 9.700 KG, POTÊNCIA DE 160 CV - IMPOSTOS E SEGUROS. AF_05/2023</t>
  </si>
  <si>
    <t>BATE ESTACA PARA INSTALAÇÃO DE DEFENSAS METÁLICAS (GUARD RAIL) FIXO, INCLUSIVE CAMINHÃO TOCO PBT 9.700 KG, POTÊNCIA DE 160 CV - JUROS. AF_05/2023</t>
  </si>
  <si>
    <t>BATE ESTACA PARA INSTALAÇÃO DE DEFENSAS METÁLICAS (GUARD RAIL) FIXO, INCLUSIVE CAMINHÃO TOCO PBT 9.700 KG, POTÊNCIA DE 160 CV - MANUTENÇÃO. AF_05/2023</t>
  </si>
  <si>
    <t>BATE ESTACA PARA INSTALAÇÃO DE DEFENSAS METÁLICAS (GUARD RAIL) FIXO, INCLUSIVE CAMINHÃO TOCO PBT 9.700 KG, POTÊNCIA DE 160 CV - MATERIAIS NA OPERAÇÃO. AF_05/2023</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</si>
  <si>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</si>
  <si>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</si>
  <si>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</si>
  <si>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</si>
  <si>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</si>
  <si>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</si>
  <si>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</si>
  <si>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</si>
  <si>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</si>
  <si>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</si>
  <si>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</si>
  <si>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</si>
  <si>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BETONEIRA CAPACIDADE NOMINAL DE 250 L, CAPACIDADE DE MISTURA DE 175 L, MOTOR ELÉTRICO MONOFÁSICO POTÊNCIA 1CV - DEPRECIAÇÃO. AF_05/2023</t>
  </si>
  <si>
    <t>BETONEIRA CAPACIDADE NOMINAL DE 250 L, CAPACIDADE DE MISTURA DE 175 L, MOTOR ELÉTRICO MONOFÁSICO POTÊNCIA 1CV - JUROS. AF_05/2023</t>
  </si>
  <si>
    <t>BETONEIRA CAPACIDADE NOMINAL DE 250 L, CAPACIDADE DE MISTURA DE 175 L, MOTOR ELÉTRICO MONOFÁSICO POTÊNCIA 1CV - MANUTENÇÃO. AF_05/2023</t>
  </si>
  <si>
    <t>BETONEIRA CAPACIDADE NOMINAL DE 250 L, CAPACIDADE DE MISTURA DE 175 L, MOTOR ELÉTRICO MONOFÁSICO POTÊNCIA 1CV - MATERIAIS NA OPERAÇÃO. AF_05/2023</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</si>
  <si>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</si>
  <si>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</si>
  <si>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</si>
  <si>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</si>
  <si>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</si>
  <si>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</si>
  <si>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</si>
  <si>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</si>
  <si>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</si>
  <si>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</si>
  <si>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</si>
  <si>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</si>
  <si>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</si>
  <si>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</si>
  <si>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</si>
  <si>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</si>
  <si>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INJEÇÃO, ELÉTRICA, TRIFÁSICA, POTÊNCIA 7,5 CV - DEPRECIAÇÃO. AF_08/2025</t>
  </si>
  <si>
    <t>BOMBA DE INJEÇÃO, ELÉTRICA, TRIFÁSICA, POTÊNCIA 7,5 CV - JUROS. AF_08/2025</t>
  </si>
  <si>
    <t>BOMBA DE INJEÇÃO, ELÉTRICA, TRIFÁSICA, POTÊNCIA 7,5 CV - MANUTENÇÃO. AF_08/2025</t>
  </si>
  <si>
    <t>BOMBA DE INJEÇÃO, ELÉTRICA, TRIFÁSICA, POTÊNCIA 7,5 CV - MATERIAIS NA OPERAÇÃO. AF_08/2025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</si>
  <si>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</si>
  <si>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</si>
  <si>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</si>
  <si>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</si>
  <si>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</si>
  <si>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</si>
  <si>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</si>
  <si>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</si>
  <si>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</si>
  <si>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</si>
  <si>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BOMBA SUBMERSÍVEL ELÉTRICA TRIFÁSICA, POTÊNCIA 2,96 HP, Ø ROTOR 144 MM SEMI-ABERTO, BOCAL DE SAÍDA Ø 2", HM/Q = 2 MCA / 38,8 M3/H A 28 MCA / 5 M3/H - MANUTENÇÃO. AF_06/2014</t>
  </si>
  <si>
    <t>BOMBA SUBMERSÍVEL ELÉTRICA TRIFÁSICA, POTÊNCIA 2,96 HP, Ø ROTOR 144 MM SEMI-ABERTO, BOCAL DE SAÍDA Ø 2", HM/Q = 2 MCA / 38,8 M3/H A 28 MCA / 5 M3/H - MATERIAIS NA OPERAÇÃO. AF_06/2014</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</si>
  <si>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</si>
  <si>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</si>
  <si>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</si>
  <si>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</si>
  <si>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CALDEIRA A GÁS COM TERMOSTATO, CAPACIDADE 100 LITROS - DEPRECIAÇÃO. AF_05/2023</t>
  </si>
  <si>
    <t>CALDEIRA A GÁS COM TERMOSTATO, CAPACIDADE 100 LITROS - JUROS. AF_05/2023</t>
  </si>
  <si>
    <t>CALDEIRA A GÁS COM TERMOSTATO, CAPACIDADE 100 LITROS - MANUTENÇÃO. AF_05/2023</t>
  </si>
  <si>
    <t>CALDEIRA A GÁS COM TERMOSTATO, CAPACIDADE 100 LITROS - MATERIAIS NA OPERAÇÃO. AF_05/2023</t>
  </si>
  <si>
    <t>CAMINHONETE CABINE SIMPLES COM MOTOR 1.6 FLEX, CÂMBIO MANUAL, POTÊNCIA 101/104 CV, 2 PORTAS - DEPRECIAÇÃO. AF_11/2015</t>
  </si>
  <si>
    <t>CAMINHONETE CABINE SIMPLES COM MOTOR 1.6 FLEX, CÂMBIO MANUAL, POTÊNCIA 101/104 CV, 2 PORTAS - IMPOSTOS E SEGUROS. AF_11/2015</t>
  </si>
  <si>
    <t>CAMINHONETE CABINE SIMPLES COM MOTOR 1.6 FLEX, CÂMBIO MANUAL, POTÊNCIA 101/104 CV, 2 PORTAS - JUROS.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</si>
  <si>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</si>
  <si>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</si>
  <si>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CAMINHONETE COM MOTOR A DIESEL, POTÊNCIA 180 CV, CABINE DUPLA, 4X4 - DEPRECIAÇÃO. AF_11/2015</t>
  </si>
  <si>
    <t>CAMINHONETE COM MOTOR A DIESEL, POTÊNCIA 180 CV, CABINE DUPLA, 4X4 - IMPOSTOS E SEGUROS. AF_11/2015</t>
  </si>
  <si>
    <t>CAMINHONETE COM MOTOR A DIESEL, POTÊNCIA 180 CV, CABINE DUPLA, 4X4 - JUROS. AF_11/2015</t>
  </si>
  <si>
    <t>CAMINHONETE COM MOTOR A DIESEL, POTÊNCIA 180 CV, CABINE DUPLA, 4X4 - MANUTENÇÃO. AF_11/2015</t>
  </si>
  <si>
    <t>CAMINHONETE COM MOTOR A DIESEL, POTÊNCIA 180 CV, CABINE DUPLA, 4X4 - MATERIAIS NA OPERAÇÃO. AF_11/2015</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</si>
  <si>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</si>
  <si>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</si>
  <si>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</si>
  <si>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</si>
  <si>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</si>
  <si>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</si>
  <si>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</si>
  <si>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</si>
  <si>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</si>
  <si>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</si>
  <si>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</si>
  <si>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</si>
  <si>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</si>
  <si>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</si>
  <si>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</si>
  <si>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</si>
  <si>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</si>
  <si>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</si>
  <si>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</si>
  <si>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</si>
  <si>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</si>
  <si>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IMPOSTOS E SEGUROS.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</si>
  <si>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</si>
  <si>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</si>
  <si>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</si>
  <si>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</si>
  <si>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IMPOSTOS E SEGUROS.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</si>
  <si>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</si>
  <si>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MANUTENÇÃO. AF_06/2014</t>
  </si>
  <si>
    <t>CAMINHÃO BASCULANTE 6 M3, PESO BRUTO TOTAL 16.000 KG, CARGA ÚTIL MÁXIMA 13.071 KG, DISTÂNCIA ENTRE EIXOS 4,80 M, POTÊNCIA 230 CV INCLUSIVE CAÇAMBA METÁLICA - MATERIAIS NA OPERAÇÃO. AF_06/2014</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</si>
  <si>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</si>
  <si>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</si>
  <si>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</si>
  <si>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</si>
  <si>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</si>
  <si>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</si>
  <si>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</si>
  <si>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</si>
  <si>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</si>
  <si>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</si>
  <si>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CAMINHÃO PARA EQUIPAMENTO DE LIMPEZA A SUCÇÃO COM CAMINHÃO TRUCADO DE PESO BRUTO TOTAL 23000 KG, CARGA ÚTIL MÁX. 15935 KG, DISTÂNCIA ENTRE EIXOS 4,80 M, POTÊNCIA 230 CV, INCLUSIVE LIMPADORA A SUCÇÃO, TANQUE 12000 L - MATERIAIS NA OPERAÇÃO. AF_05/2023</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</si>
  <si>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</si>
  <si>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</si>
  <si>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</si>
  <si>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</si>
  <si>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</si>
  <si>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IMPOSTOS E SEGUROS.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</si>
  <si>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</si>
  <si>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MANUTENÇÃO. AF_06/2014</t>
  </si>
  <si>
    <t>CAMINHÃO PIPA 10.000 L TRUCADO, PESO BRUTO TOTAL 23.000 KG, CARGA ÚTIL MÁXIMA 15.935 KG, DISTÂNCIA ENTRE EIXOS 4,8 M, POTÊNCIA 230 CV, INCLUSIVE TANQUE DE AÇO PARA TRANSPORTE DE ÁGUA - MATERIAIS NA OPERAÇÃO.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</si>
  <si>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</si>
  <si>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IMPOSTOS E SEGUROS.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</si>
  <si>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</si>
  <si>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MANUTENÇÃO. AF_06/2014</t>
  </si>
  <si>
    <t>CAMINHÃO PIPA 6.000 L, PESO BRUTO TOTAL 13.000 KG, DISTÂNCIA ENTRE EIXOS 4,80 M, POTÊNCIA 189 CV INCLUSIVE TANQUE DE AÇO PARA TRANSPORTE DE ÁGUA, CAPACIDADE 6 M3 - MATERIAIS NA OPERAÇÃO. AF_06/2014</t>
  </si>
  <si>
    <t>CAMINHÃO TANQUE PARA HIDROSSEMEADURA, COM CAPACIDADE DE 8.000 LITROS, INCLUINDO BOMBA PARA LANÇAMENTO COM MOTOR DIESEL COM POTÊNCIA DE 105 CV - DEPRECIAÇÃO. AF_06/2023</t>
  </si>
  <si>
    <t>CAMINHÃO TANQUE PARA HIDROSSEMEADURA, COM CAPACIDADE DE 8.000 LITROS, INCLUINDO BOMBA PARA LANÇAMENTO COM MOTOR DIESEL COM POTÊNCIA DE 105 CV - IMPOSTOS E SEGUROS. AF_06/2023</t>
  </si>
  <si>
    <t>CAMINHÃO TANQUE PARA HIDROSSEMEADURA, COM CAPACIDADE DE 8.000 LITROS, INCLUINDO BOMBA PARA LANÇAMENTO COM MOTOR DIESEL COM POTÊNCIA DE 105 CV - JUROS. AF_06/2023</t>
  </si>
  <si>
    <t>CAMINHÃO TANQUE PARA HIDROSSEMEADURA, COM CAPACIDADE DE 8.000 LITROS, INCLUINDO BOMBA PARA LANÇAMENTO COM MOTOR DIESEL COM POTÊNCIA DE 105 CV - MANUTENÇÃO. AF_06/2023</t>
  </si>
  <si>
    <t>CAMINHÃO TANQUE PARA HIDROSSEMEADURA, COM CAPACIDADE DE 8.000 LITROS, INCLUINDO BOMBA PARA LANÇAMENTO COM MOTOR DIESEL COM POTÊNCIA DE 105 CV - MATERIAIS NA OPERAÇÃO. AF_06/2023</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</si>
  <si>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</si>
  <si>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IMPOSTOS E SEGUROS.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</si>
  <si>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</si>
  <si>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</si>
  <si>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</si>
  <si>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</si>
  <si>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IMPOSTOS E SEGUROS.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</si>
  <si>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</si>
  <si>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MANUTENÇÃO. AF_06/2014</t>
  </si>
  <si>
    <t>CAMINHÃO TOCO, PBT 16.000 KG, CARGA ÚTIL MÁX. 10.685 KG, DIST. ENTRE EIXOS 4,8 M, POTÊNCIA 189 CV, INCLUSIVE CARROCERIA FIXA ABERTA DE MADEIRA P/ TRANSPORTE GERAL DE CARGA SECA, DIMEN. APROX. 2,5 X 7,00 X 0,50 M - MATERIAIS NA OPERAÇÃO. AF_06/2014</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</si>
  <si>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</si>
  <si>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IMPOSTOS E SEGUROS.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</si>
  <si>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</si>
  <si>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MANUTENÇÃO. AF_06/2014</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</si>
  <si>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</si>
  <si>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</si>
  <si>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IMPOSTOS E SEGUROS.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</si>
  <si>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</si>
  <si>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MANUTENÇÃO. AF_06/2014</t>
  </si>
  <si>
    <t>CAMINHÃO TOCO, PESO BRUTO TOTAL 16.000 KG, CARGA ÚTIL MÁXIMA DE 10.685 KG, DISTÂNCIA ENTRE EIXOS 4,80 M, POTÊNCIA 189 CV EXCLUSIVE CARROCERIA - MATERIAIS NA OPERAÇÃO. AF_06/2014</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</si>
  <si>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</si>
  <si>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</si>
  <si>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</si>
  <si>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</si>
  <si>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</si>
  <si>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CENTRAL DE LAMA BENTONÍTICA (DEPÓSITO DE BENTONITA, MISTURADOR DE ALTA TURBULÊNCIA, SILOS DE ARMAZENAMENTO DE LAMA E ÁGUA, LABORATÓRIO DE CONTROLE DE QUALIDADE DA LAMA) - DEPRECIAÇÃO. AF_04/2019</t>
  </si>
  <si>
    <t>CENTRAL DE LAMA BENTONÍTICA (DEPÓSITO DE BENTONITA, MISTURADOR DE ALTA TURBULÊNCIA, SILOS DE ARMAZENAMENTO DE LAMA E ÁGUA, LABORATÓRIO DE CONTROLE DE QUALIDADE DA LAMA) - JUROS. AF_04/2019</t>
  </si>
  <si>
    <t>CENTRAL DE LAMA BENTONÍTICA (DEPÓSITO DE BENTONITA, MISTURADOR DE ALTA TURBULÊNCIA, SILOS DE ARMAZENAMENTO DE LAMA E ÁGUA, LABORATÓRIO DE CONTROLE DE QUALIDADE DA LAMA) - MANUTENÇÃO. AF_04/2019</t>
  </si>
  <si>
    <t>CENTRAL DE LAMA BENTONÍTICA (DEPÓSITO DE BENTONITA, MISTURADOR DE ALTA TURBULÊNCIA, SILOS DE ARMAZENAMENTO DE LAMA E ÁGUA, LABORATÓRIO DE CONTROLE DE QUALIDADE DA LAMA) - MATERIAIS NA OPERAÇÃO. AF_04/2019</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</si>
  <si>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</si>
  <si>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</si>
  <si>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</si>
  <si>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</si>
  <si>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</si>
  <si>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</si>
  <si>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</si>
  <si>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</si>
  <si>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</si>
  <si>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</si>
  <si>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</si>
  <si>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</si>
  <si>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</si>
  <si>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</si>
  <si>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</si>
  <si>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</si>
  <si>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</si>
  <si>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</si>
  <si>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189 PCM, PRESSÃO EFETIVA DE TRABALHO 102 PSI, MOTOR DIESEL, POTÊNCIA 63 CV - MANUTENÇÃO. AF_06/2015</t>
  </si>
  <si>
    <t>COMPRESSOR DE AR REBOCÁVEL, VAZÃO 189 PCM, PRESSÃO EFETIVA DE TRABALHO 102 PSI, MOTOR DIESEL, POTÊNCIA 63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</si>
  <si>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</si>
  <si>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</si>
  <si>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</si>
  <si>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</si>
  <si>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</si>
  <si>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</si>
  <si>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</si>
  <si>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</si>
  <si>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VAZAO DE 10 PCM, RESERVATORIO 100 L, PRESSAO DE TRABALHO ENTRE 6,9 E 9,7 BAR, POTENCIA 2 HP, TENSAO 110/220 V - DEPRECIAÇÃO. AF_05/2023</t>
  </si>
  <si>
    <t>COMPRESSOR DE AR, VAZAO DE 10 PCM, RESERVATORIO 100 L, PRESSAO DE TRABALHO ENTRE 6,9 E 9,7 BAR, POTENCIA 2 HP, TENSAO 110/220 V - JUROS. AF_05/2023</t>
  </si>
  <si>
    <t>COMPRESSOR DE AR, VAZAO DE 10 PCM, RESERVATORIO 100 L, PRESSAO DE TRABALHO ENTRE 6,9 E 9,7 BAR, POTENCIA 2 HP, TENSAO 110/220 V - MANUTENÇÃO. AF_05/2023</t>
  </si>
  <si>
    <t>COMPRESSOR DE AR, VAZAO DE 10 PCM, RESERVATORIO 100 L, PRESSAO DE TRABALHO ENTRE 6,9 E 9,7 BAR, POTENCIA 2 HP, TENSAO 110/220 V - MATERIAIS NA OPERAÇÃO. AF_05/2023</t>
  </si>
  <si>
    <t>CONJUNTO CILINDRO E BOMBA HIDRÁULICA PARA PROTENSÃO DE MONOBARRAS PARA TIRANTES, ESFORÇO MÁXIMO DE 30 TONELADAS - DEPRECIAÇÃO. AF_05/2023</t>
  </si>
  <si>
    <t>CONJUNTO CILINDRO E BOMBA HIDRÁULICA PARA PROTENSÃO DE MONOBARRAS PARA TIRANTES, ESFORÇO MÁXIMO DE 30 TONELADAS - JUROS. AF_05/2023</t>
  </si>
  <si>
    <t>CONJUNTO CILINDRO E BOMBA HIDRÁULICA PARA PROTENSÃO DE MONOBARRAS PARA TIRANTES, ESFORÇO MÁXIMO DE 30 TONELADAS - MANUTENÇÃO. AF_05/2023</t>
  </si>
  <si>
    <t>CONJUNTO CILINDRO E BOMBA HIDRÁULICA PARA PROTENSÃO DE MONOBARRAS PARA TIRANTES, ESFORÇO MÁXIMO DE 30 TONELADAS - MATERIAIS NA OPERAÇÃO. AF_05/2023</t>
  </si>
  <si>
    <t>CONJUNTO MACACO E BOMBA HIDRÁULICA PARA PROTENSAO DE CORDOALHAS, ESFORÇO MAXIMO DE 115 TONELADAS - DEPRECIAÇÃO. AF_05/2023</t>
  </si>
  <si>
    <t>CONJUNTO MACACO E BOMBA HIDRÁULICA PARA PROTENSAO DE CORDOALHAS, ESFORÇO MAXIMO DE 115 TONELADAS - JUROS. AF_05/2023</t>
  </si>
  <si>
    <t>CONJUNTO MACACO E BOMBA HIDRÁULICA PARA PROTENSAO DE CORDOALHAS, ESFORÇO MAXIMO DE 115 TONELADAS - MANUTENÇÃO. AF_05/2023</t>
  </si>
  <si>
    <t>CONJUNTO MACACO E BOMBA HIDRÁULICA PARA PROTENSAO DE CORDOALHAS, ESFORÇO MAXIMO DE 115 TONELADAS - MATERIAIS NA OPERAÇÃO. AF_05/2023</t>
  </si>
  <si>
    <t>CONJUNTO MACACO HIDRÁULICO E CENTRAL DE BOMBEAMENTO MOTORIZADO 1,8 KW PARA PROTENSÃO DE MONOCABOS PARA CONCRETO PROTENDIDO, ESFORÇO MÁXIMO DE 20 TONELADAS - DEPRECIAÇÃO. AF_05/2022</t>
  </si>
  <si>
    <t>CONJUNTO MACACO HIDRÁULICO E CENTRAL DE BOMBEAMENTO MOTORIZADO 1,8 KW PARA PROTENSÃO DE MONOCABOS PARA CONCRETO PROTENDIDO, ESFORÇO MÁXIMO DE 20 TONELADAS - JUROS. AF_05/2022</t>
  </si>
  <si>
    <t>CONJUNTO MACACO HIDRÁULICO E CENTRAL DE BOMBEAMENTO MOTORIZADO 1,8 KW PARA PROTENSÃO DE MONOCABOS PARA CONCRETO PROTENDIDO, ESFORÇO MÁXIMO DE 20 TONELADAS - MANUTENÇÃO. AF_05/2022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</si>
  <si>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</si>
  <si>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DEPRECIAÇÃO. AF_05/2022</t>
  </si>
  <si>
    <t>CONJUNTO MACACO HIDRÁULICO E CENTRAL DE BOMBEAMENTO MOTORIZADO 1,8 KW PARA PROTENSÃO DE MONOCABOS PARA CONCRETO PROTENDIDO, ESFORÇO MÁXIMO DE 30 TONELADAS - JUROS. AF_05/2022</t>
  </si>
  <si>
    <t>CONJUNTO MACACO HIDRÁULICO E CENTRAL DE BOMBEAMENTO MOTORIZADO 1,8 KW PARA PROTENSÃO DE MONOCABOS PARA CONCRETO PROTENDIDO, ESFORÇO MÁXIMO DE 30 TONELADAS - MANUTENÇÃO. AF_05/2022</t>
  </si>
  <si>
    <t>CONJUNTO MACACO HIDRÁULICO E CENTRAL DE BOMBEAMENTO MOTORIZADO 1,8 KW PARA PROTENSÃO DE MONOCABOS PARA CONCRETO PROTENDIDO, ESFORÇO MÁXIMO DE 30 TONELADAS - MATERIAIS NA OPERAÇÃO. AF_05/2022</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</si>
  <si>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</si>
  <si>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</si>
  <si>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</si>
  <si>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</si>
  <si>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</si>
  <si>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</si>
  <si>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</si>
  <si>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DESEMPENADEIRA DE CONCRETO, PESO DE 78 KG, 4 PÁS, MOTOR A GASOLINA, POTÊNCIA 5,5 HP MATERIAIS NA OPERAÇÃO. AF_05/2023</t>
  </si>
  <si>
    <t>DISTRIBUIDOR DE AGREGADOS AUTOPROPELIDO, C/AP 3 M3, A DIESEL, POTÊNCIA 176CV - JUROS. AF_07/2016</t>
  </si>
  <si>
    <t>DISTRIBUIDOR DE AGREGADOS AUTOPROPELIDO, CAP 3 M3, A DIESEL, POTÊNCIA 176CV - DEPRECIAÇÃO. AF_07/2016</t>
  </si>
  <si>
    <t>DISTRIBUIDOR DE AGREGADOS AUTOPROPELIDO, CAP 3 M3, A DIESEL, POTÊNCIA 176CV - MANUTENÇÃO. AF_07/2016</t>
  </si>
  <si>
    <t>DISTRIBUIDOR DE AGREGADOS AUTOPROPELIDO, CAP 3 M3, A DIESEL, POTÊNCIA 176CV - MATERIAIS NA OPERAÇÃO. AF_07/2016</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</si>
  <si>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</si>
  <si>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</si>
  <si>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</si>
  <si>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DOBRADEIRA TDC, ESPESSURA 1,5MM - DEPRECIAÇÃO. AF_05/2023</t>
  </si>
  <si>
    <t>DOBRADEIRA TDC, ESPESSURA 1,5MM - JUROS. AF_05/2023</t>
  </si>
  <si>
    <t>DOBRADEIRA TDC, ESPESSURA 1,5MM - MANUTENÇÃO. AF_05/2023</t>
  </si>
  <si>
    <t>DOSADOR DE AREIA, CAPACIDADE DE 26 LITROS - DEPRECIAÇÃO. AF_05/2023</t>
  </si>
  <si>
    <t>DOSADOR DE AREIA, CAPACIDADE DE 26 LITROS - JUROS. AF_05/2023</t>
  </si>
  <si>
    <t>DOSADOR DE AREIA, CAPACIDADE DE 26 LITROS - MANUTENÇÃO. AF_05/2023</t>
  </si>
  <si>
    <t>ENCERADEIRA INDUSTRIAL, 400 MM, 220V, 1 HP - DEPRECIAÇÃO. AF_05/2023</t>
  </si>
  <si>
    <t>ENCERADEIRA INDUSTRIAL, 400 MM, 220V, 1 HP - JUROS. AF_05/2023</t>
  </si>
  <si>
    <t>ENCERADEIRA INDUSTRIAL, 400 MM, 220V, 1 HP - MANUTENÇÃO. AF_05/2023</t>
  </si>
  <si>
    <t>ENCERADEIRA INDUSTRIAL, 400 MM, 220V, 1 HP - MATERIAIS NA OPERAÇÃO. AF_05/2023</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</si>
  <si>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</si>
  <si>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</si>
  <si>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</si>
  <si>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</si>
  <si>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ESCAVADEIRA HIDRÁULICA DE BRAÇO LONGO (LONGO ALCANCE) SOBRE ESTEIRAS, CAÇAMBA 0,52 M3, PESO OPERACIONAL 24 T, POTÊNCIA LÍQUIDA 155 HP - DEPRECIAÇÃO. AF_06/2023</t>
  </si>
  <si>
    <t>ESCAVADEIRA HIDRÁULICA DE BRAÇO LONGO (LONGO ALCANCE) SOBRE ESTEIRAS, CAÇAMBA 0,52 M3, PESO OPERACIONAL 24 T, POTÊNCIA LÍQUIDA 155 HP - JUROS. AF_06/2023</t>
  </si>
  <si>
    <t>ESCAVADEIRA HIDRÁULICA DE BRAÇO LONGO (LONGO ALCANCE) SOBRE ESTEIRAS, CAÇAMBA 0,52 M3, PESO OPERACIONAL 24 T, POTÊNCIA LÍQUIDA 155 HP - MANUTENÇÃO. AF_06/2023</t>
  </si>
  <si>
    <t>ESCAVADEIRA HIDRÁULICA DE BRAÇO LONGO (LONGO ALCANCE) SOBRE ESTEIRAS, CAÇAMBA 0,52 M3, PESO OPERACIONAL 24 T, POTÊNCIA LÍQUIDA 155 HP - MATERIAIS NA OPERAÇÃO. AF_06/2023</t>
  </si>
  <si>
    <t>ESCAVADEIRA HIDRÁULICA SOBRE ESTEIRA, PESO OPERACIONAL ENTRE 22,00 E 23,50 T, POTÊNCIA NOMINAL 139 HP, COM MARTELO ROMPEDOR HIDRÁULICO 1700 KG - DEPRECIAÇÃO. AF_04/2019</t>
  </si>
  <si>
    <t>ESCAVADEIRA HIDRÁULICA SOBRE ESTEIRA, PESO OPERACIONAL ENTRE 22,00 E 23,50 T, POTÊNCIA NOMINAL 139 HP, COM MARTELO ROMPEDOR HIDRÁULICO 1700 KG - JUROS. AF_04/2019</t>
  </si>
  <si>
    <t>ESCAVADEIRA HIDRÁULICA SOBRE ESTEIRA, PESO OPERACIONAL ENTRE 22,00 E 23,50 T, POTÊNCIA NOMINAL 139 HP, COM MARTELO ROMPEDOR HIDRÁULICO 1700 KG - MANUTENÇÃO. AF_04/2019</t>
  </si>
  <si>
    <t>ESCAVADEIRA HIDRÁULICA SOBRE ESTEIRA, PESO OPERACIONAL ENTRE 22,00 E 23,50 T, POTÊNCIA NOMINAL 139 HP, COM MARTELO ROMPEDOR HIDRÁULICO 1700 KG - MATERIAIS NA OPERAÇÃO. AF_04/2019</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</si>
  <si>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</si>
  <si>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</si>
  <si>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</si>
  <si>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</si>
  <si>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</si>
  <si>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</si>
  <si>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</si>
  <si>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</si>
  <si>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</si>
  <si>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</si>
  <si>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</si>
  <si>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</si>
  <si>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</si>
  <si>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</si>
  <si>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</si>
  <si>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MANUTENÇÃO. AF_08/2015</t>
  </si>
  <si>
    <t>ESPARGIDOR DE ASFALTO PRESSURIZADO, TANQUE 6 M3 COM ISOLAÇÃO TÉRMICA, AQUECIDO COM 2 MAÇARICOS, COM BARRA ESPARGIDORA 3,60 M, MONTADO SOBRE CAMINHÃO TOCO, PBT 14.300 KG, POTÊNCIA 185 CV - MATERIAIS NA OPERAÇÃO. AF_05/2023</t>
  </si>
  <si>
    <t>ESTABILIZADOR DE LINHA E PRESSÃO, CAPACIDADE DE 120 BAR, COM MANÔMETRO DE LEITURA, REGISTRO DE 1 COM RETORNO E LINHA - DEPRECIAÇÃO. AF_05/2023</t>
  </si>
  <si>
    <t>ESTABILIZADOR DE LINHA E PRESSÃO, CAPACIDADE DE 120 BAR, COM MANÔMETRO DE LEITURA, REGISTRO DE 1 COM RETORNO E LINHA - JUROS. AF_05/2023</t>
  </si>
  <si>
    <t>ESTABILIZADOR DE LINHA E PRESSÃO, CAPACIDADE DE 120 BAR, COM MANÔMETRO DE LEITURA, REGISTRO DE 1 COM RETORNO E LINHA - MANUTENÇÃO. AF_05/2023</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</si>
  <si>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</si>
  <si>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</si>
  <si>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</si>
  <si>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</si>
  <si>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</si>
  <si>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</si>
  <si>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</si>
  <si>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</si>
  <si>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FURADEIRA ELETROMAGNÉTICA, VELOCIDADE (SEM CARGA/ COM CARGA) 450/ 270 RPM, ESPESSURA MÁXIMA DA CHAPA A SER FURADA 50 MM, PORÇA DE ADESÃO MAGNÉTICA 17000 N, POTÊNCIA 1100 W, ALIMENTÇÃO 220 - 60 HZ, MONOFÁSICA - DEPRECIAÇÃO. AF_08/2019</t>
  </si>
  <si>
    <t>FURADEIRA ELETROMAGNÉTICA, VELOCIDADE (SEM CARGA/ COM CARGA) 450/ 270 RPM, ESPESSURA MÁXIMA DA CHAPA A SER FURADA 50 MM, PORÇA DE ADESÃO MAGNÉTICA 17000 N, POTÊNCIA 1100 W, ALIMENTÇÃO 220 - 60 HZ, MONOFÁSICA - JUROS. AF_08/2019</t>
  </si>
  <si>
    <t>FURADEIRA ELETROMAGNÉTICA, VELOCIDADE (SEM CARGA/ COM CARGA) 450/ 270 RPM, ESPESSURA MÁXIMA DA CHAPA A SER FURADA 50 MM, PORÇA DE ADESÃO MAGNÉTICA 17000 N, POTÊNCIA 1100 W, ALIMENTÇÃO 220 - 60 HZ, MONOFÁSICA - MANUTENÇÃO. AF_08/2019</t>
  </si>
  <si>
    <t>FURADEIRA ELETROMAGNÉTICA, VELOCIDADE (SEM CARGA/ COM CARGA) 450/ 270 RPM, ESPESSURA MÁXIMA DA CHAPA A SER FURADA 50 MM, PORÇA DE ADESÃO MAGNÉTICA 17000 N, POTÊNCIA 1100 W, ALIMENTÇÃO 220 - 60 HZ, MONOFÁSICA - MATERIAIS NA OPERAÇÃO. AF_08/2019</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</si>
  <si>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</si>
  <si>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</si>
  <si>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</si>
  <si>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</si>
  <si>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GRADE DE DISCO CONTROLE REMOTO REBOCÁVEL, COM 24 DISCOS 24" X 6 MM COM PNEUS PARA TRANSPORTE - DEPRECIAÇÃO. AF_06/2014</t>
  </si>
  <si>
    <t>GRADE DE DISCO CONTROLE REMOTO REBOCÁVEL, COM 24 DISCOS 24" X 6 MM COM PNEUS PARA TRANSPORTE - JUROS. AF_06/2014</t>
  </si>
  <si>
    <t>GRADE DE DISCO CONTROLE REMOTO REBOCÁVEL, COM 24 DISCOS 24" X 6 MM COM PNEUS PARA TRANSPORTE - MANUTENÇÃO. AF_06/2014</t>
  </si>
  <si>
    <t>GRADE DE DISCO REBOCÁVEL COM 20 DISCOS 24" X 6 MM COM PNEUS PARA TRANSPORTE - DEPRECIAÇÃO. AF_06/2014</t>
  </si>
  <si>
    <t>GRADE DE DISCO REBOCÁVEL COM 20 DISCOS 24" X 6 MM COM PNEUS PARA TRANSPORTE - JUROS. AF_06/2014</t>
  </si>
  <si>
    <t>GRADE DE DISCO REBOCÁVEL COM 20 DISCOS 24" X 6 MM COM PNEUS PARA TRANSPORTE - MANUTENÇÃO. AF_06/2014</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</si>
  <si>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</si>
  <si>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</si>
  <si>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</si>
  <si>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</si>
  <si>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</si>
  <si>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</si>
  <si>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</si>
  <si>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GRUA ASCENCIONAL, LANÇA DE 42 M, CAPACIDADE DE 1,5 T A 30 M, ALTURA ATÉ 39 M DEPRECIAÇÃO. AF_05/2023</t>
  </si>
  <si>
    <t>GRUPO DE SOLDAGEM COM GERADOR A DIESEL 60 CV PARA SOLDA ELÉTRICA, SOBRE 04 RODAS, COM MOTOR 4 CILINDROS 600 A - DEPRECIAÇÃO. AF_02/2016</t>
  </si>
  <si>
    <t>GRUPO DE SOLDAGEM COM GERADOR A DIESEL 60 CV PARA SOLDA ELÉTRICA, SOBRE 04 RODAS, COM MOTOR 4 CILINDROS 600 A - JUROS.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</si>
  <si>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</si>
  <si>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</si>
  <si>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GERADOR COM CARENAGEM, MOTOR DIESEL POTÊNCIA STANDART ENTRE 250 E 260 KVA - DEPRECIAÇÃO. AF_12/2016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</si>
  <si>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</si>
  <si>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</si>
  <si>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</si>
  <si>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DIESEL, COM CARENAGEM, POTÊNCIA STANDART ENTRE 400 E 460 KVA, VELOCIDADE DE 1800 RPM, FREQUÊNCIA DE 60 HZ - DEPRECIAÇÃO. AF_05/2023</t>
  </si>
  <si>
    <t>GRUPO GERADOR DIESEL, COM CARENAGEM, POTÊNCIA STANDART ENTRE 400 E 460 KVA, VELOCIDADE DE 1800 RPM, FREQUÊNCIA DE 60 HZ - JUROS. AF_05/2023</t>
  </si>
  <si>
    <t>GRUPO GERADOR DIESEL, COM CARENAGEM, POTÊNCIA STANDART ENTRE 400 E 460 KVA, VELOCIDADE DE 1800 RPM, FREQUÊNCIA DE 60 HZ - MANUTENÇÃO. AF_05/2023</t>
  </si>
  <si>
    <t>GRUPO GERADOR DIESEL, COM CARENAGEM, POTÊNCIA STANDART ENTRE 400 E 460 KVA, VELOCIDADE DE 1800 RPM, FREQUÊNCIA DE 60 HZ - MATERIAIS NA OPERAÇÃO. AF_05/2023</t>
  </si>
  <si>
    <t>GRUPO GERADOR ESTACIONÁRIO, MOTOR DIESEL POTÊNCIA 170 KVA - DEPRECIAÇÃO. AF_02/2016</t>
  </si>
  <si>
    <t>GRUPO GERADOR ESTACIONÁRIO, MOTOR DIESEL POTÊNCIA 170 KVA - JUROS. AF_02/2016</t>
  </si>
  <si>
    <t>GRUPO GERADOR ESTACIONÁRIO, MOTOR DIESEL POTÊNCIA 170 KVA - MANUTENÇÃO. AF_02/2016</t>
  </si>
  <si>
    <t>GRUPO GERADOR ESTACIONÁRIO, MOTOR DIESEL POTÊNCIA 170 KVA - MATERIAIS NA OPERAÇÃO. AF_02/2016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</si>
  <si>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</si>
  <si>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</si>
  <si>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</si>
  <si>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</si>
  <si>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</si>
  <si>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</si>
  <si>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</si>
  <si>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</si>
  <si>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</si>
  <si>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</si>
  <si>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</si>
  <si>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</si>
  <si>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DERRICK, LANÇA DE *20* M, CARGA MÁXIMA 10T, POTÊNCIA 45 KW - DEPRECIAÇÃO. AF_01/2024</t>
  </si>
  <si>
    <t>GUINDASTE DERRICK, LANÇA DE *20* M, CARGA MÁXIMA 10T, POTÊNCIA 45 KW - JUROS. AF_01/2024</t>
  </si>
  <si>
    <t>GUINDASTE DERRICK, LANÇA DE *20* M, CARGA MÁXIMA 10T, POTÊNCIA 45 KW - MANUTENÇÃO. AF_01/2024</t>
  </si>
  <si>
    <t>GUINDASTE DERRICK, LANÇA DE *20* M, CARGA MÁXIMA 10T, POTÊNCIA 45 KW - MATERIAIS NA OPERAÇÃO. AF_01/2024</t>
  </si>
  <si>
    <t>GUINDASTE HIDRAULICO AUTOPROPELIDO, COM LANÇA TRELIÇADA 40 M, CAPACIDADE MÁXIMA 75 T, EQUIPADO COM CLAMSHELL - DEPRECIAÇÃO. AF_04/2019</t>
  </si>
  <si>
    <t>GUINDASTE HIDRAULICO AUTOPROPELIDO, COM LANÇA TRELIÇADA 40 M, CAPACIDADE MÁXIMA 75 T, EQUIPADO COM CLAMSHELL - JUROS. AF_04/2019</t>
  </si>
  <si>
    <t>GUINDASTE HIDRAULICO AUTOPROPELIDO, COM LANÇA TRELIÇADA 40 M, CAPACIDADE MÁXIMA 75 T, EQUIPADO COM CLAMSHELL - MANUTENÇÃO. AF_04/2019</t>
  </si>
  <si>
    <t>GUINDASTE HIDRAULICO AUTOPROPELIDO, COM LANÇA TRELIÇADA 40 M, CAPACIDADE MÁXIMA 75 T, EQUIPADO COM CLAMSHELL - MATERIAIS NA OPERAÇÃO. AF_04/2019</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</si>
  <si>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</si>
  <si>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</si>
  <si>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</si>
  <si>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</si>
  <si>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</si>
  <si>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GUINDASTE HIDRÁULICO AUTOPROPELIDO, COM LANÇA TELESCÓPICA 40 M, CAPACIDADE MÁXIMA 60 T, POTÊNCIA 260 KW - DEPRECIAÇÃO. AF_03/2016</t>
  </si>
  <si>
    <t>GUINDASTE HIDRÁULICO AUTOPROPELIDO, COM LANÇA TELESCÓPICA 40 M, CAPACIDADE MÁXIMA 60 T, POTÊNCIA 260 KW - IMPOSTOS E SEGUROS.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</si>
  <si>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</si>
  <si>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</si>
  <si>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</si>
  <si>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TRELICADA 41 M, CAPACIDADE MÁXIMA DE ELEVAÇÃO 43 T, POTÊNCIA 230 KW, EQUIPADO COM CAÇAMBA DE ARRASTO (DRAGLINE) DE 0,76 M3 - DEPRECIAÇÃO. AF_06/2023</t>
  </si>
  <si>
    <t>GUINDASTE HIDRÁULICO AUTOPROPELIDO, COM LANÇA TRELICADA 41 M, CAPACIDADE MÁXIMA DE ELEVAÇÃO 43 T, POTÊNCIA 230 KW, EQUIPADO COM CAÇAMBA DE ARRASTO (DRAGLINE) DE 0,76 M3 - JUROS. AF_06/2023</t>
  </si>
  <si>
    <t>GUINDASTE HIDRÁULICO AUTOPROPELIDO, COM LANÇA TRELICADA 41 M, CAPACIDADE MÁXIMA DE ELEVAÇÃO 43 T, POTÊNCIA 230 KW, EQUIPADO COM CAÇAMBA DE ARRASTO (DRAGLINE) DE 0,76 M3 - MANUTENÇÃO. AF_06/2023</t>
  </si>
  <si>
    <t>GUINDASTE HIDRÁULICO AUTOPROPELIDO, COM LANÇA TRELICADA 41 M, CAPACIDADE MÁXIMA DE ELEVAÇÃO 43 T, POTÊNCIA 230 KW, EQUIPADO COM CAÇAMBA DE ARRASTO (DRAGLINE) DE 0,76 M3 - MATERIAIS NA OPERAÇÃO. AF_06/2023</t>
  </si>
  <si>
    <t>GUINDASTE HIDRÁULICO RODOVIÁRIO, LANCA TELESCÓPICA DE *50+20* M, CAPACIDADE MÁXIMA DE 90T, 4 EIXOS, POTÊNCIA 330 KW, MOTOR DIESEL - DEPRECIAÇÃO. AF_01/2024</t>
  </si>
  <si>
    <t>GUINDASTE HIDRÁULICO RODOVIÁRIO, LANCA TELESCÓPICA DE *50+20* M, CAPACIDADE MÁXIMA DE 90T, 4 EIXOS, POTÊNCIA 330 KW, MOTOR DIESEL - JUROS. AF_01/2024</t>
  </si>
  <si>
    <t>GUINDASTE HIDRÁULICO RODOVIÁRIO, LANCA TELESCÓPICA DE *50+20* M, CAPACIDADE MÁXIMA DE 90T, 4 EIXOS, POTÊNCIA 330 KW, MOTOR DIESEL - MANUTENÇÃO. AF_01/2024</t>
  </si>
  <si>
    <t>GUINDASTE HIDRÁULICO RODOVIÁRIO, LANCA TELESCÓPICA DE *50+20* M, CAPACIDADE MÁXIMA DE 90T, 4 EIXOS, POTÊNCIA 330 KW, MOTOR DIESEL - MATERIAIS NA OPERAÇÃO. AF_01/2024</t>
  </si>
  <si>
    <t>GUINDASTE SOBRE ESTEIRAS, COM LANÇA TRELIÇADA 40 M, CAPACIDADE MÁXIMA 75 T - DEPRECIAÇÃO. AF_04/2019</t>
  </si>
  <si>
    <t>GUINDASTE SOBRE ESTEIRAS, COM LANÇA TRELIÇADA 40 M, CAPACIDADE MÁXIMA 75 T - JUROS. AF_04/2019</t>
  </si>
  <si>
    <t>GUINDASTE SOBRE ESTEIRAS, COM LANÇA TRELIÇADA 40 M, CAPACIDADE MÁXIMA 75 T - MANUTENÇÃO. AF_04/2019</t>
  </si>
  <si>
    <t>GUINDASTE SOBRE ESTEIRAS, COM LANÇA TRELIÇADA 40 M, CAPACIDADE MÁXIMA 75 T - MATERIAIS NA OPERAÇÃO. AF_04/2019</t>
  </si>
  <si>
    <t>GUINDASTE SOBRE ESTEIRAS, COM LANÇA TRELIÇADA 40 M, CAPACIDADE MÁXIMA 75 T, EQUIPADO COM CLAMSHELL - DEPRECIAÇÃO. AF_04/2019</t>
  </si>
  <si>
    <t>GUINDASTE SOBRE ESTEIRAS, COM LANÇA TRELIÇADA 40 M, CAPACIDADE MÁXIMA 75 T, EQUIPADO COM CLAMSHELL - JUROS. AF_04/2019</t>
  </si>
  <si>
    <t>GUINDASTE SOBRE ESTEIRAS, COM LANÇA TRELIÇADA 40 M, CAPACIDADE MÁXIMA 75 T, EQUIPADO COM CLAMSHELL - MANUTENÇÃO. AF_04/2019</t>
  </si>
  <si>
    <t>GUINDASTE SOBRE ESTEIRAS, COM LANÇA TRELIÇADA 40 M, CAPACIDADE MÁXIMA 75 T, EQUIPADO COM CLAMSHELL - MATERIAIS NA OPERAÇÃO. AF_04/2019</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</si>
  <si>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</si>
  <si>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</si>
  <si>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</si>
  <si>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</si>
  <si>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</si>
  <si>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</si>
  <si>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</si>
  <si>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</si>
  <si>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</si>
  <si>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GUINDAUTO HIDRÁULICO, CAPACIDADE MÁXIMA DE CARGA 6200 KG, MOMENTO MÁXIMO DE CARGA 11,7 TM, ALCANCE MÁXIMO HORIZONTAL 9,70 M, INCLUSIVE CAMINHÃO TOCO PBT 16.000 KG, POTÊNCIA DE 189 CV - MATERIAIS NA OPERAÇÃO. AF_08/2015</t>
  </si>
  <si>
    <t>GUINDAUTO HIDRÁULICO, CAPACIDADE MÁXIMA DE CARGA 6200 KG, MOMENTO MÁXIMO DE CARGA 11,7 TM, ALCANCE MÁXIMO HORIZONTAL 9,70 M, INCLUSIVE CAMINHÃO TOCO PBT 16.000 KG, POTÊNCIA DE 189 CV E CESTA AÉREA COM ISOLAMENTO CLASSE C - DEPRECIAÇÃO. AF_01/2025</t>
  </si>
  <si>
    <t>GUINDAUTO HIDRÁULICO, CAPACIDADE MÁXIMA DE CARGA 6200 KG, MOMENTO MÁXIMO DE CARGA 11,7 TM, ALCANCE MÁXIMO HORIZONTAL 9,70 M, INCLUSIVE CAMINHÃO TOCO PBT 16.000 KG, POTÊNCIA DE 189 CV E CESTA AÉREA COM ISOLAMENTO CLASSE C - IMPOSTOS E SEGUROS. AF_01/2025</t>
  </si>
  <si>
    <t>GUINDAUTO HIDRÁULICO, CAPACIDADE MÁXIMA DE CARGA 6200 KG, MOMENTO MÁXIMO DE CARGA 11,7 TM, ALCANCE MÁXIMO HORIZONTAL 9,70 M, INCLUSIVE CAMINHÃO TOCO PBT 16.000 KG, POTÊNCIA DE 189 CV E CESTA AÉREA COM ISOLAMENTO CLASSE C - JUROS. AF_01/2025</t>
  </si>
  <si>
    <t>GUINDAUTO HIDRÁULICO, CAPACIDADE MÁXIMA DE CARGA 6200 KG, MOMENTO MÁXIMO DE CARGA 11,7 TM, ALCANCE MÁXIMO HORIZONTAL 9,70 M, INCLUSIVE CAMINHÃO TOCO PBT 16.000 KG, POTÊNCIA DE 189 CV E CESTA AÉREA COM ISOLAMENTO CLASSE C - MANUTENÇÃO. AF_01/2025</t>
  </si>
  <si>
    <t>GUINDAUTO HIDRÁULICO, CAPACIDADE MÁXIMA DE CARGA 6200 KG, MOMENTO MÁXIMO DE CARGA 11,7 TM, ALCANCE MÁXIMO HORIZONTAL 9,70 M, INCLUSIVE CAMINHÃO TOCO PBT 16.000 KG, POTÊNCIA DE 189 CV E CESTA AÉREA COM ISOLAMENTO CLASSE C - MATERIAIS NA OPERAÇÃO. AF_01/2025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</si>
  <si>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</si>
  <si>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</si>
  <si>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</si>
  <si>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</si>
  <si>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</si>
  <si>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GUINDAUTO HIDRÁULICO, CAPACIDADE MÁXIMA DE CARGA 8500 KG, MOMENTO MÁXIMO DE CARGA 30,4 TM, ALCANCE MÁXIMO HORIZONTAL 14,30 M, INCLUSIVE CAMINHÃO TRUCADO PBT 23.000 KG, POTÊNCIA DE 256 CV E CARROCERIA FIXA ABERTA DE MADEIRA - DEPRECIAÇÃO. AF_05/2025</t>
  </si>
  <si>
    <t>GUINDAUTO HIDRÁULICO, CAPACIDADE MÁXIMA DE CARGA 8500 KG, MOMENTO MÁXIMO DE CARGA 30,4 TM, ALCANCE MÁXIMO HORIZONTAL 14,30 M, INCLUSIVE CAMINHÃO TRUCADO PBT 23.000 KG, POTÊNCIA DE 256 CV E CARROCERIA FIXA ABERTA DE MADEIRA - IMPOSTOS E SEGUROS. AF_05/2025</t>
  </si>
  <si>
    <t>GUINDAUTO HIDRÁULICO, CAPACIDADE MÁXIMA DE CARGA 8500 KG, MOMENTO MÁXIMO DE CARGA 30,4 TM, ALCANCE MÁXIMO HORIZONTAL 14,30 M, INCLUSIVE CAMINHÃO TRUCADO PBT 23.000 KG, POTÊNCIA DE 256 CV E CARROCERIA FIXA ABERTA DE MADEIRA - JUROS. AF_05/2025</t>
  </si>
  <si>
    <t>GUINDAUTO HIDRÁULICO, CAPACIDADE MÁXIMA DE CARGA 8500 KG, MOMENTO MÁXIMO DE CARGA 30,4 TM, ALCANCE MÁXIMO HORIZONTAL 14,30 M, INCLUSIVE CAMINHÃO TRUCADO PBT 23.000 KG, POTÊNCIA DE 256 CV E CARROCERIA FIXA ABERTA DE MADEIRA - MANUTENÇÃO. AF_05/2025</t>
  </si>
  <si>
    <t>GUINDAUTO HIDRÁULICO, CAPACIDADE MÁXIMA DE CARGA 8500 KG, MOMENTO MÁXIMO DE CARGA 30,4 TM, ALCANCE MÁXIMO HORIZONTAL 14,30 M, INCLUSIVE CAMINHÃO TRUCADO PBT 23.000 KG, POTÊNCIA DE 256 CV E CARROCERIA FIXA ABERTA DE MADEIRA - MATERIAIS NA OPERAÇÃO. AF_05/2025</t>
  </si>
  <si>
    <t>INVERSOR DE SOLDA MONOFÁSICO DE 160 A, POTÊNCIA DE 7000 W, TENSÃO DE 220 V, TURBO VENTILADO, PROTEÇÃO POR TERMOSTATO, PARA ELETRODOS DE 2,0 A 4,0 MM - DEPRECIAÇÃO. AF_06/2018</t>
  </si>
  <si>
    <t>INVERSOR DE SOLDA MONOFÁSICO DE 160 A, POTÊNCIA DE 7000 W, TENSÃO DE 220 V, TURBO VENTILADO, PROTEÇÃO POR TERMOSTATO, PARA ELETRODOS DE 2,0 A 4,0 MM - JUROS. AF_06/2018</t>
  </si>
  <si>
    <t>INVERSOR DE SOLDA MONOFÁSICO DE 160 A, POTÊNCIA DE 7000 W, TENSÃO DE 220 V, TURBO VENTILADO, PROTEÇÃO POR TERMOSTATO, PARA ELETRODOS DE 2,0 A 4,0 MM - MANUTENÇÃO. AF_06/2018</t>
  </si>
  <si>
    <t>INVERSOR DE SOLDA MONOFÁSICO DE 160 A, POTÊNCIA DE 7000 W, TENSÃO DE 220 V, TURBO VENTILADO, PROTEÇÃO POR TERMOSTATO, PARA ELETRODOS DE 2,0 A 4,0 MM - MATERIAIS NA OPERAÇÃO. AF_06/2018</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</si>
  <si>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</si>
  <si>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</si>
  <si>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</si>
  <si>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</si>
  <si>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LIXADEIRA DE PAREDE, COM LED, POTÊNCIA 750 W, FREQUÊNCIA 60 HZ, VELOCIDADE 1000 A 2100 RPM, DIÂMETRO DA LIXA 225 MM - DEPRECIAÇÃO. AF_12/2022</t>
  </si>
  <si>
    <t>LIXADEIRA DE PAREDE, COM LED, POTÊNCIA 750 W, FREQUÊNCIA 60 HZ, VELOCIDADE 1000 A 2100 RPM, DIÂMETRO DA LIXA 225 MM - JUROS. AF_12/2022</t>
  </si>
  <si>
    <t>LIXADEIRA DE PAREDE, COM LED, POTÊNCIA 750 W, FREQUÊNCIA 60 HZ, VELOCIDADE 1000 A 2100 RPM, DIÂMETRO DA LIXA 225 MM - MANUTENÇÃO. AF_12/2022</t>
  </si>
  <si>
    <t>LIXADEIRA DE PAREDE, COM LED, POTÊNCIA 750 W, FREQUÊNCIA 60 HZ, VELOCIDADE 1000 A 2100 RPM, DIÂMETRO DA LIXA 225 MM - MATERIAIS NA OPERAÇÃO. AF_12/2022</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</si>
  <si>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</si>
  <si>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</si>
  <si>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</si>
  <si>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</si>
  <si>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MARTELETE OU ROMPEDOR PNEUMÁTICO MANUAL, 28 KG, COM SILENCIADOR - DEPRECIAÇÃO. AF_07/2016</t>
  </si>
  <si>
    <t>MARTELETE OU ROMPEDOR PNEUMÁTICO MANUAL, 28 KG, COM SILENCIADOR - JUROS. AF_07/2016</t>
  </si>
  <si>
    <t>MARTELETE OU ROMPEDOR PNEUMÁTICO MANUAL, 28 KG, COM SILENCIADOR - MANUTENÇÃO. AF_07/2016</t>
  </si>
  <si>
    <t>MARTELETE PERFURADOR/ ROMPEDOR ELÉTRICO, POTÊNCIA 800 W, 220 V - DEPRECIAÇÃO. AF_05/2023</t>
  </si>
  <si>
    <t>MARTELETE PERFURADOR/ ROMPEDOR ELÉTRICO, POTÊNCIA 800 W, 220 V - JUROS. AF_05/2023</t>
  </si>
  <si>
    <t>MARTELETE PERFURADOR/ ROMPEDOR ELÉTRICO, POTÊNCIA 800 W, 220 V - MANUTENÇÃO. AF_05/2023</t>
  </si>
  <si>
    <t>MARTELETE PERFURADOR/ ROMPEDOR ELÉTRICO, POTÊNCIA 800 W, 220 V - MATERIAIS NA OPERAÇÃO. AF_05/2023</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</si>
  <si>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</si>
  <si>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</si>
  <si>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</si>
  <si>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</si>
  <si>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MARTELO DEMOLIDOR PNEUMÁTICO MANUAL, 32 KG - DEPRECIAÇÃO. AF_09/2016</t>
  </si>
  <si>
    <t>MARTELO DEMOLIDOR PNEUMÁTICO MANUAL, 32 KG - JUROS. AF_09/2016</t>
  </si>
  <si>
    <t>MARTELO DEMOLIDOR PNEUMÁTICO MANUAL, 32 KG - MANUTENÇÃO. AF_09/2016</t>
  </si>
  <si>
    <t>MARTELO PERFURADOR PNEUMÁTICO MANUAL, HASTE 19 X 108 MM, *11* KG - DEPRECIAÇÃO. AF_02/2025</t>
  </si>
  <si>
    <t>MARTELO PERFURADOR PNEUMÁTICO MANUAL, HASTE 19 X 108 MM, *11* KG - JUROS. AF_02/2025</t>
  </si>
  <si>
    <t>MARTELO PERFURADOR PNEUMÁTICO MANUAL, HASTE 19 X 108 MM, *11* KG - MANUTENÇÃO. AF_02/2025</t>
  </si>
  <si>
    <t>MINI GUINDASTE ARANHA SOBRE ESTEIRAS E LANCA TELESCÓPICA, CAPACIDADE MÁXIMA DE CARGA 3,0 TON, RAIO MÁXIMO DE TRABALHO 8,25 M, ALTURA DE LANÇA DO SOLO 9,2 M, 55 M DE CABO DE AÇO 8 MM, MOTOR ELÉTRICO 220/380 VOLTS - MATERIAIS NA OPERAÇÃO. AF_03/2022</t>
  </si>
  <si>
    <t>MINI GUINDASTE ARANHA SOBRE ESTEIRAS E LANCA TELESCÓPICA, CAPACIDADE MÁXIMA DE CARGA 3,0 TON, RAIO MÁXIMO DE TRABALHO 8,25 M, ALTURA DE LANÇA DO SOLO 9,2 M, 55 M DE CABO DE AÇO 8 MM, MOTOR ELÉTRICO 220/380 VOLTS TRIFÁSICO - DEPRECIAÇÃO. AF_03/2022</t>
  </si>
  <si>
    <t>MINI GUINDASTE ARANHA SOBRE ESTEIRAS E LANCA TELESCÓPICA, CAPACIDADE MÁXIMA DE CARGA 3,0 TON, RAIO MÁXIMO DE TRABALHO 8,25 M, ALTURA DE LANÇA DO SOLO 9,2 M, 55 M DE CABO DE AÇO 8 MM, MOTOR ELÉTRICO 220/380 VOLTS TRIFÁSICO - JUROS. AF_03/2022</t>
  </si>
  <si>
    <t>MINI GUINDASTE ARANHA SOBRE ESTEIRAS E LANCA TELESCÓPICA, CAPACIDADE MÁXIMA DE CARGA 3,0 TON, RAIO MÁXIMO DE TRABALHO 8,25 M, ALTURA DE LANÇA DO SOLO 9,2 M, 55 M DE CABO DE AÇO 8 MM, MOTOR ELÉTRICO 220/380 VOLTS TRIFÁSICO - MANUTENÇÃO. AF_03/2022</t>
  </si>
  <si>
    <t>MINICARREGADEIRA SOBRE RODAS POTENCIA 47HP CAPACIDADE OPERACAO 646 KG, COM VASSOURA MECÂNICA ACOPLADA - DEPRECIAÇÃO.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</si>
  <si>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</si>
  <si>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</si>
  <si>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</si>
  <si>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</si>
  <si>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</si>
  <si>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</si>
  <si>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</si>
  <si>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MINIESCAVADEIRA SOBRE ESTEIRAS, POTÊNCIA LÍQUIDA DE *30* HP, PESO OPERACIONAL DE *3.500* KG - DEPRECIAÇÃO. AF_04/2017</t>
  </si>
  <si>
    <t>MINIESCAVADEIRA SOBRE ESTEIRAS, POTÊNCIA LÍQUIDA DE *30* HP, PESO OPERACIONAL DE *3.500* KG - JUROS. AF_04/2017</t>
  </si>
  <si>
    <t>MINIESCAVADEIRA SOBRE ESTEIRAS, POTÊNCIA LÍQUIDA DE *30* HP, PESO OPERACIONAL DE *3.500* KG - MANUTENÇÃO. AF_04/2017</t>
  </si>
  <si>
    <t>MINIESCAVADEIRA SOBRE ESTEIRAS, POTÊNCIA LÍQUIDA DE *30* HP, PESO OPERACIONAL DE *3.500* KG - MATERIAIS NA OPERAÇÃO. AF_04/2017</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</si>
  <si>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</si>
  <si>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</si>
  <si>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</si>
  <si>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</si>
  <si>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</si>
  <si>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</si>
  <si>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</si>
  <si>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</si>
  <si>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</si>
  <si>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</si>
  <si>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</si>
  <si>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</si>
  <si>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</si>
  <si>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</si>
  <si>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</si>
  <si>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</si>
  <si>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MISTURADOR PARA PREPARO DE LAMA ESTABILIZANTE COM CAPACIDADE DE *4000* L, COM BOMBA CENTRÍFUGA 5,5 HP A 23,07 HP, PARA SISTEMA DE FURO DIRECIONAL - DEPRECIAÇÃO. AF_05/2023</t>
  </si>
  <si>
    <t>MISTURADOR PARA PREPARO DE LAMA ESTABILIZANTE COM CAPACIDADE DE *4000* L, COM BOMBA CENTRÍFUGA 5,5 HP A 23,07 HP, PARA SISTEMA DE FURO DIRECIONAL - JUROS. AF_05/2023</t>
  </si>
  <si>
    <t>MISTURADOR PARA PREPARO DE LAMA ESTABILIZANTE COM CAPACIDADE DE *4000* L, COM BOMBA CENTRÍFUGA 5,5 HP A 23,07 HP, PARA SISTEMA DE FURO DIRECIONAL - MANUTENÇÃO. AF_05/2023</t>
  </si>
  <si>
    <t>MISTURADOR PARA PREPARO DE LAMA ESTABILIZANTE COM CAPACIDADE DE *4000* L, COM BOMBA CENTRÍFUGA 5,5 HP A 23,07 HP, PARA SISTEMA DE FURO DIRECIONAL - MATERIAIS NA OPERAÇÃO. AF_05/2023</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</si>
  <si>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</si>
  <si>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</si>
  <si>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</si>
  <si>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</si>
  <si>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</si>
  <si>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</si>
  <si>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</si>
  <si>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</si>
  <si>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</si>
  <si>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</si>
  <si>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MOTONIVELADORA POTÊNCIA BÁSICA LÍQUIDA (PRIMEIRA MARCHA) 125 HP, PESO BRUTO 13032 KG, LARGURA DA LÂMINA DE 3,7 M - MANUTENÇÃO. AF_06/2014</t>
  </si>
  <si>
    <t>MOTONIVELADORA POTÊNCIA BÁSICA LÍQUIDA (PRIMEIRA MARCHA) 125 HP, PESO BRUTO 13032 KG, LARGURA DA LÂMINA DE 3,7 M - MATERIAIS NA OPERAÇÃO. AF_06/2014</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</si>
  <si>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</si>
  <si>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</si>
  <si>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</si>
  <si>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</si>
  <si>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MÁQUINA DEMARCADORA DE FAIXA DE TRÁFEGO À FRIO, TRAÇÃO MANUAL, 4 CV, PRESSÃO MAX 3300 PSI, TANQUE 20 L - DEPRECIAÇÃO. AF_06/2021</t>
  </si>
  <si>
    <t>MÁQUINA DEMARCADORA DE FAIXA DE TRÁFEGO À FRIO, TRAÇÃO MANUAL, 4 CV, PRESSÃO MAX 3300 PSI, TANQUE 20 L - JUROS. AF_06/2021</t>
  </si>
  <si>
    <t>MÁQUINA DEMARCADORA DE FAIXA DE TRÁFEGO À FRIO, TRAÇÃO MANUAL, 4 CV, PRESSÃO MAX 3300 PSI, TANQUE 20 L - MANUTENÇÃO. AF_06/2021</t>
  </si>
  <si>
    <t>MÁQUINA DEMARCADORA DE FAIXA DE TRÁFEGO À FRIO, TRAÇÃO MANUAL, 4 CV, PRESSÃO MAX 3300 PSI, TANQUE 20 L - MATERIAIS NA OPERAÇÃO. AF_06/2021</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</si>
  <si>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</si>
  <si>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</si>
  <si>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</si>
  <si>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</si>
  <si>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MÁQUINA FORMER DOBRAS DIVERSAS: 220V/380V TRIFÁSICO OU MONOFÁSICO, CAPACIDADE 0,5-1,27MM, MOTOR 2CV - DEPRECIAÇÃO. AF_05/2023</t>
  </si>
  <si>
    <t>MÁQUINA FORMER DOBRAS DIVERSAS: 220V/380V TRIFÁSICO OU MONOFÁSICO, CAPACIDADE 0,5-1,27MM, MOTOR 2CV - JUROS. AF_05/2023</t>
  </si>
  <si>
    <t>MÁQUINA FORMER DOBRAS DIVERSAS: 220V/380V TRIFÁSICO OU MONOFÁSICO, CAPACIDADE 0,5-1,27MM, MOTOR 2CV - MANUTENÇÃO. AF_05/2023</t>
  </si>
  <si>
    <t>MÁQUINA FORMER DOBRAS DIVERSAS: 220V/380V TRIFÁSICO OU MONOFÁSICO, CAPACIDADE 0,5-1,27MM, MOTOR 2CV - MATERIAIS NA OPERAÇÃO. AF_05/2023</t>
  </si>
  <si>
    <t>MÁQUINA JATO DE PRESSAO PORTÁTIL, CAMARA DE 1 SAIDA, CAPACIDADE 280 L, DIAMETRO 670 MM, BICO DE JATO CURTO VENTURI DE 5/16", MANGUEIRA DE 1" COM COMPRESSOR DE AR REBOCÁVEL 189 PCM E MOTOR DIESEL 63 CV - DEPRECIAÇÃO. AF_05/2023</t>
  </si>
  <si>
    <t>MÁQUINA JATO DE PRESSAO PORTÁTIL, CAMARA DE 1 SAIDA, CAPACIDADE 280 L, DIAMETRO 670 MM, BICO DE JATO CURTO VENTURI DE 5/16", MANGUEIRA DE 1" COM COMPRESSOR DE AR REBOCÁVEL 189 PCM E MOTOR DIESEL 63 CV - JUROS. AF_05/2023</t>
  </si>
  <si>
    <t>MÁQUINA JATO DE PRESSAO PORTÁTIL, CAMARA DE 1 SAIDA, CAPACIDADE 280 L, DIAMETRO 670 MM, BICO DE JATO CURTO VENTURI DE 5/16", MANGUEIRA DE 1" COM COMPRESSOR DE AR REBOCÁVEL 189 PCM E MOTOR DIESEL 63 CV - MANUTENÇÃO. AF_05/2023</t>
  </si>
  <si>
    <t>MÁQUINA JATO DE PRESSAO PORTÁTIL, CAMARA DE 1 SAIDA, CAPACIDADE 280 L, DIAMETRO 670 MM, BICO DE JATO CURTO VENTURI DE 5/16", MANGUEIRA DE 1" COM COMPRESSOR DE AR REBOCÁVEL 189 PCM E MOTOR DIESEL 63 CV - MATERIAIS NA OPERAÇÃO. AF_05/2023</t>
  </si>
  <si>
    <t>MÁQUINA METALEIRA UNIVERSAL MODELO IW 110/180 BTD - DEPRECIAÇÃO. AF_05/2023</t>
  </si>
  <si>
    <t>MÁQUINA METALEIRA UNIVERSAL MODELO IW 110/180 BTD - JUROS. AF_05/2023</t>
  </si>
  <si>
    <t>MÁQUINA METALEIRA UNIVERSAL MODELO IW 110/180 BTD - MANUTENÇÃO. AF_05/2023</t>
  </si>
  <si>
    <t>MÁQUINA METALEIRA UNIVERSAL MODELO IW 110/180 BTD - MATERIAIS NA OPERAÇÃO. AF_05/2023</t>
  </si>
  <si>
    <t>MÁQUINA PARA SOLDA POR ELETROFUSÃO PARA TUBOS DE POLIETILENO DE ALTA DENSIDADE (PEAD) COM DIÂMETRO EXTERNO DE 20 A 1600 MM, POTÊNCIA DE 3500 W - DEPRECIAÇÃO. AF_05/2023</t>
  </si>
  <si>
    <t>MÁQUINA PARA SOLDA POR ELETROFUSÃO PARA TUBOS DE POLIETILENO DE ALTA DENSIDADE (PEAD) COM DIÂMETRO EXTERNO DE 20 A 1600 MM, POTÊNCIA DE 3500 W - JUROS. AF_05/2023</t>
  </si>
  <si>
    <t>MÁQUINA PARA SOLDA POR ELETROFUSÃO PARA TUBOS DE POLIETILENO DE ALTA DENSIDADE (PEAD) COM DIÂMETRO EXTERNO DE 20 A 1600 MM, POTÊNCIA DE 3500 W - MANUTENÇÃO. AF_05/2023</t>
  </si>
  <si>
    <t>MÁQUINA PARA SOLDA POR ELETROFUSÃO PARA TUBOS DE POLIETILENO DE ALTA DENSIDADE (PEAD) COM DIÂMETRO EXTERNO DE 20 A 1600 MM, POTÊNCIA DE 3500 W - MATERIAIS NA OPERAÇÃO. AF_05/2023</t>
  </si>
  <si>
    <t>MÁQUINA PARA SOLDA POR ELETROFUSÃO PARA TUBOS DE POLIETILENO DE ALTA DENSIDADE (PEAD) COM DIÂMETRO EXTERNO DE 20 A 800 MM, POTÊNCIA ENTRE 2750 E 3000 W - DEPRECIAÇÃO. AF_05/2023</t>
  </si>
  <si>
    <t>MÁQUINA PARA SOLDA POR ELETROFUSÃO PARA TUBOS DE POLIETILENO DE ALTA DENSIDADE (PEAD) COM DIÂMETRO EXTERNO DE 20 A 800 MM, POTÊNCIA ENTRE 2750 E 3000 W - JUROS. AF_05/2023</t>
  </si>
  <si>
    <t>MÁQUINA PARA SOLDA POR ELETROFUSÃO PARA TUBOS DE POLIETILENO DE ALTA DENSIDADE (PEAD) COM DIÂMETRO EXTERNO DE 20 A 800 MM, POTÊNCIA ENTRE 2750 E 3000 W - MANUTENÇÃO. AF_05/2023</t>
  </si>
  <si>
    <t>MÁQUINA PARA SOLDA POR ELETROFUSÃO PARA TUBOS DE POLIETILENO DE ALTA DENSIDADE (PEAD) COM DIÂMETRO EXTERNO DE 20 A 800 MM, POTÊNCIA ENTRE 2750 E 3000 W - MATERIAIS NA OPERAÇÃO. AF_05/2023</t>
  </si>
  <si>
    <t>MÁQUINA PARA SOLDA POR TERMOFUSÃO PARA TUBOS DE POLIETILENO DE ALTA DENSIDADE (PEAD) COM DIÂMETRO EXTERNO DE 315 A 630 MM, POTÊNCIA ENTRE 8000 E 12350 W - DEPRECIAÇÃO. AF_05/2023</t>
  </si>
  <si>
    <t>MÁQUINA PARA SOLDA POR TERMOFUSÃO PARA TUBOS DE POLIETILENO DE ALTA DENSIDADE (PEAD) COM DIÂMETRO EXTERNO DE 315 A 630 MM, POTÊNCIA ENTRE 8000 E 12350 W - JUROS. AF_05/2023</t>
  </si>
  <si>
    <t>MÁQUINA PARA SOLDA POR TERMOFUSÃO PARA TUBOS DE POLIETILENO DE ALTA DENSIDADE (PEAD) COM DIÂMETRO EXTERNO DE 315 A 630 MM, POTÊNCIA ENTRE 8000 E 12350 W - MANUTENÇÃO.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</si>
  <si>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</si>
  <si>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DEPRECIAÇÃO. AF_05/2023</t>
  </si>
  <si>
    <t>MÁQUINA PARA SOLDA POR TERMOFUSÃO PARA TUBOS DE POLIETILENO DE ALTA DENSIDADE (PEAD) COM DIÂMETRO EXTERNO DE 710 A 1200 MM, POTÊNCIA ENTRE 16000 E 29500 W - JUROS. AF_05/2023</t>
  </si>
  <si>
    <t>MÁQUINA PARA SOLDA POR TERMOFUSÃO PARA TUBOS DE POLIETILENO DE ALTA DENSIDADE (PEAD) COM DIÂMETRO EXTERNO DE 710 A 1200 MM, POTÊNCIA ENTRE 16000 E 29500 W - MANUTENÇÃO. AF_05/2023</t>
  </si>
  <si>
    <t>MÁQUINA PARA SOLDA POR TERMOFUSÃO PARA TUBOS DE POLIETILENO DE ALTA DENSIDADE (PEAD) COM DIÂMETRO EXTERNO DE 710 A 1200 MM, POTÊNCIA ENTRE 16000 E 29500 W - MATERIAIS NA OPERAÇÃO. AF_05/2023</t>
  </si>
  <si>
    <t>MÁQUINA PARA SOLDA POR TERMOFUSÃO PARA TUBOS DE POLIETILENO DE ALTA DENSIDADE (PEAD) COM DIÂMETRO EXTERNO DE 90 A 315 MM, POTÊNCIA ENTRE 2500 E 5350 W - DEPRECIAÇÃO. AF_05/2023</t>
  </si>
  <si>
    <t>MÁQUINA PARA SOLDA POR TERMOFUSÃO PARA TUBOS DE POLIETILENO DE ALTA DENSIDADE (PEAD) COM DIÂMETRO EXTERNO DE 90 A 315 MM, POTÊNCIA ENTRE 2500 E 5350 W - JUROS. AF_05/2023</t>
  </si>
  <si>
    <t>MÁQUINA PARA SOLDA POR TERMOFUSÃO PARA TUBOS DE POLIETILENO DE ALTA DENSIDADE (PEAD) COM DIÂMETRO EXTERNO DE 90 A 315 MM, POTÊNCIA ENTRE 2500 E 5350 W - MANUTENÇÃO. AF_05/2023</t>
  </si>
  <si>
    <t>MÁQUINA PARA SOLDA POR TERMOFUSÃO PARA TUBOS DE POLIETILENO DE ALTA DENSIDADE (PEAD) COM DIÂMETRO EXTERNO DE 90 A 315 MM, POTÊNCIA ENTRE 2500 E 5350 W - MATERIAIS NA OPERAÇÃO. AF_05/2023</t>
  </si>
  <si>
    <t>MÁQUINA SOLDA ARCO COM PISTOLA DE SOLDAGEM PARA STUD BOLT DE 5 MM A 22 MM - DEPRECIAÇÃO. AF_05/2023</t>
  </si>
  <si>
    <t>MÁQUINA SOLDA ARCO COM PISTOLA DE SOLDAGEM PARA STUD BOLT DE 5 MM A 22 MM - JUROS. AF_05/2023</t>
  </si>
  <si>
    <t>MÁQUINA SOLDA ARCO COM PISTOLA DE SOLDAGEM PARA STUD BOLT DE 5 MM A 22 MM - MANUTENÇÃO. AF_05/2023</t>
  </si>
  <si>
    <t>MÁQUINA SOLDA ARCO COM PISTOLA DE SOLDAGEM PARA STUD BOLT DE 5 MM A 22 MM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</si>
  <si>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</si>
  <si>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</si>
  <si>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</si>
  <si>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</si>
  <si>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</si>
  <si>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</si>
  <si>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</si>
  <si>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</si>
  <si>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</si>
  <si>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</si>
  <si>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</si>
  <si>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</si>
  <si>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PERFURATRIZ DE COROA DIAMANTADA PARA CONCRETO, DIÂMETRO ATÉ 250 MM, MOTOR ELÉTRICO 220 V, POTÊNCIA 2.500 W - DEPRECIAÇÃO. AF_05/2023</t>
  </si>
  <si>
    <t>PERFURATRIZ DE COROA DIAMANTADA PARA CONCRETO, DIÂMETRO ATÉ 250 MM, MOTOR ELÉTRICO 220 V, POTÊNCIA 2.500 W - JUROS. AF_05/2023</t>
  </si>
  <si>
    <t>PERFURATRIZ DE COROA DIAMANTADA PARA CONCRETO, DIÂMETRO ATÉ 250 MM, MOTOR ELÉTRICO 220 V, POTÊNCIA 2.500 W - MANUTENÇÃO. AF_05/2023</t>
  </si>
  <si>
    <t>PERFURATRIZ DE COROA DIAMANTADA PARA CONCRETO, DIÂMETRO ATÉ 250 MM, MOTOR ELÉTRICO 220 V, POTÊNCIA 2.500 W - MATERIAIS NA OPERAÇÃO. AF_05/2023</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</si>
  <si>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</si>
  <si>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IMPOSTOS E SEGUROS.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</si>
  <si>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</si>
  <si>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</si>
  <si>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</si>
  <si>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PERFURATRIZ HIDRÁULICA SOBRE ESTEIRA, TORQUE MÁXIMO 161 KNM, PROFUNDIDADE MÁXIMA 54 M, DIÂMETRO MÁXIMO 1500 MM, POTÊNCIA MOTOR 268 HP - DEPRECIAÇÃO. AF_04/2019</t>
  </si>
  <si>
    <t>PERFURATRIZ HIDRÁULICA SOBRE ESTEIRA, TORQUE MÁXIMO 161 KNM, PROFUNDIDADE MÁXIMA 54 M, DIÂMETRO MÁXIMO 1500 MM, POTÊNCIA MOTOR 268 HP - JUROS. AF_04/2019</t>
  </si>
  <si>
    <t>PERFURATRIZ HIDRÁULICA SOBRE ESTEIRA, TORQUE MÁXIMO 161 KNM, PROFUNDIDADE MÁXIMA 54 M, DIÂMETRO MÁXIMO 1500 MM, POTÊNCIA MOTOR 268 HP - MANUTENÇÃO. AF_04/2019</t>
  </si>
  <si>
    <t>PERFURATRIZ HIDRÁULICA SOBRE ESTEIRA, TORQUE MÁXIMO 161 KNM, PROFUNDIDADE MÁXIMA 54 M, DIÂMETRO MÁXIMO 1500 MM, POTÊNCIA MOTOR 268 HP - MATERIAIS NA OPERAÇÃO. AF_04/2019</t>
  </si>
  <si>
    <t>PERFURATRIZ HIDRÁULICA SOBRE ESTEIRA, TORQUE MÁXIMO 98 KNM, PROFUNDIDADE MÁXIMA 25 M, DIÂMETRO MÁXIMO 115 MM, POTÊNCIA MOTOR 190 HP - DEPRECIAÇÃO. AF_02/2021</t>
  </si>
  <si>
    <t>PERFURATRIZ HIDRÁULICA SOBRE ESTEIRA, TORQUE MÁXIMO 98 KNM, PROFUNDIDADE MÁXIMA 25 M, DIÂMETRO MÁXIMO 115 MM, POTÊNCIA MOTOR 190 HP - JUROS. AF_02/2021</t>
  </si>
  <si>
    <t>PERFURATRIZ HIDRÁULICA SOBRE ESTEIRA, TORQUE MÁXIMO 98 KNM, PROFUNDIDADE MÁXIMA 25 M, DIÂMETRO MÁXIMO 115 MM, POTÊNCIA MOTOR 190 HP - MANUTENÇÃO. AF_02/2021</t>
  </si>
  <si>
    <t>PERFURATRIZ HIDRÁULICA SOBRE ESTEIRA, TORQUE MÁXIMO 98 KNM, PROFUNDIDADE MÁXIMA 25 M, DIÂMETRO MÁXIMO 115 MM, POTÊNCIA MOTOR 190 HP - MATERIAIS NA OPERAÇÃO. AF_02/2021</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</si>
  <si>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</si>
  <si>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</si>
  <si>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</si>
  <si>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</si>
  <si>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PARA EXECUÇÃO DE ESTACAS SECANTES, TIPO HÉLICE CONTÍNUA COM CABEÇOTE DUPLO E TUBO METÁLICO - DEPRECIAÇÃO. AF_04/2019</t>
  </si>
  <si>
    <t>PERFURATRIZ PARA EXECUÇÃO DE ESTACAS SECANTES, TIPO HÉLICE CONTÍNUA COM CABEÇOTE DUPLO E TUBO METÁLICO - JUROS. AF_04/2019</t>
  </si>
  <si>
    <t>PERFURATRIZ PARA EXECUÇÃO DE ESTACAS SECANTES, TIPO HÉLICE CONTÍNUA COM CABEÇOTE DUPLO E TUBO METÁLICO - MANUTENÇÃO. AF_04/2019</t>
  </si>
  <si>
    <t>PERFURATRIZ PARA EXECUÇÃO DE ESTACAS SECANTES, TIPO HÉLICE CONTÍNUA COM CABEÇOTE DUPLO E TUBO METÁLICO - MATERIAIS NA OPERAÇÃO. AF_04/2019</t>
  </si>
  <si>
    <t>PERFURATRIZ PARA FURO DIRECIONAL HORIZONTAL (HDD) COM CAPACIDADE ATÉ 89 KN, POTÊNCIA 24,8 HP A 80 HP (INCLUSO FERRAMENTAS E LOCALIZADOR) - DEPRECIAÇÃO. AF_05/2023</t>
  </si>
  <si>
    <t>PERFURATRIZ PARA FURO DIRECIONAL HORIZONTAL (HDD) COM CAPACIDADE ATÉ 89 KN, POTÊNCIA 24,8 HP A 80 HP (INCLUSO FERRAMENTAS E LOCALIZADOR) - JUROS. AF_05/2023</t>
  </si>
  <si>
    <t>PERFURATRIZ PARA FURO DIRECIONAL HORIZONTAL (HDD) COM CAPACIDADE ATÉ 89 KN, POTÊNCIA 24,8 HP A 80 HP (INCLUSO FERRAMENTAS E LOCALIZADOR) - MANUTENÇÃO. AF_05/2023</t>
  </si>
  <si>
    <t>PERFURATRIZ PARA FURO DIRECIONAL HORIZONTAL (HDD) COM CAPACIDADE ATÉ 89 KN, POTÊNCIA 24,8 HP A 80 HP (INCLUSO FERRAMENTAS E LOCALIZADOR) - MATERIAIS NA OPERAÇÃO. AF_05/2023</t>
  </si>
  <si>
    <t>PERFURATRIZ PARA FURO DIRECIONAL HORIZONTAL (HDD) COM CAPACIDADE DE 201 KN A 560 KN, POTÊNCIA 200 HP A 260 HP (INCLUSO FERRAMENTAS E LOCALIZADOR) - DEPRECIAÇÃO. AF_05/2023</t>
  </si>
  <si>
    <t>PERFURATRIZ PARA FURO DIRECIONAL HORIZONTAL (HDD) COM CAPACIDADE DE 201 KN A 560 KN, POTÊNCIA 200 HP A 260 HP (INCLUSO FERRAMENTAS E LOCALIZADOR) - JUROS. AF_05/2023</t>
  </si>
  <si>
    <t>PERFURATRIZ PARA FURO DIRECIONAL HORIZONTAL (HDD) COM CAPACIDADE DE 201 KN A 560 KN, POTÊNCIA 200 HP A 260 HP (INCLUSO FERRAMENTAS E LOCALIZADOR) - MANUTENÇÃO. AF_05/2023</t>
  </si>
  <si>
    <t>PERFURATRIZ PARA FURO DIRECIONAL HORIZONTAL (HDD) COM CAPACIDADE DE 201 KN A 560 KN, POTÊNCIA 200 HP A 260 HP (INCLUSO FERRAMENTAS E LOCALIZADOR) - MATERIAIS NA OPERAÇÃO. AF_05/2023</t>
  </si>
  <si>
    <t>PERFURATRIZ PARA FURO DIRECIONAL HORIZONTAL (HDD) COM CAPACIDADE DE 90 KN A 200 KN, POTÊNCIA 100 HP A 160 HP (INCLUSO FERRAMENTAS E LOCALIZADOR - MANUTENÇÃO. AF_05/2023</t>
  </si>
  <si>
    <t>PERFURATRIZ PARA FURO DIRECIONAL HORIZONTAL (HDD) COM CAPACIDADE DE 90 KN A 200 KN, POTÊNCIA 100 HP A 160 HP (INCLUSO FERRAMENTAS E LOCALIZADOR) - DEPRECIAÇÃO. AF_05/2023</t>
  </si>
  <si>
    <t>PERFURATRIZ PARA FURO DIRECIONAL HORIZONTAL (HDD) COM CAPACIDADE DE 90 KN A 200 KN, POTÊNCIA 100 HP A 160 HP (INCLUSO FERRAMENTAS E LOCALIZADOR) - JUROS. AF_05/2023</t>
  </si>
  <si>
    <t>PERFURATRIZ PARA FURO DIRECIONAL HORIZONTAL (HDD) COM CAPACIDADE DE 90 KN A 200 KN, POTÊNCIA 100 HP A 160 HP (INCLUSO FERRAMENTAS E LOCALIZADOR) - MATERIAIS NA OPERAÇÃO. AF_05/2023</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</si>
  <si>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</si>
  <si>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</si>
  <si>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</si>
  <si>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PERFURATRIZ ROTATIVA SOBRE ESTEIRA, TORQUE MAXIMO 2500 KGM, POTENCIA 110 HP, MOTOR DIESEL - MATERIAIS NA OPERAÇÃO. AF_05/2017</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</si>
  <si>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</si>
  <si>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</si>
  <si>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</si>
  <si>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</si>
  <si>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</si>
  <si>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</si>
  <si>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</si>
  <si>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</si>
  <si>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</si>
  <si>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</si>
  <si>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</si>
  <si>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</si>
  <si>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PLATAFORMA ELEVATÓRIA - DEPRECIAÇÃO. AF_04/2019</t>
  </si>
  <si>
    <t>PLATAFORMA ELEVATÓRIA - JUROS. AF_04/2019</t>
  </si>
  <si>
    <t>PLATAFORMA ELEVATÓRIA - MANUTENÇÃO. AF_04/2019</t>
  </si>
  <si>
    <t>PLATAFORMA ELEVATÓRIA - MATERIAIS NA OPERAÇÃO. AF_04/2019</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</si>
  <si>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</si>
  <si>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</si>
  <si>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</si>
  <si>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</si>
  <si>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</si>
  <si>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</si>
  <si>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</si>
  <si>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</si>
  <si>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</si>
  <si>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</si>
  <si>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</si>
  <si>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</si>
  <si>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</si>
  <si>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</si>
  <si>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</si>
  <si>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</si>
  <si>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PULVERIZADOR DE TINTA ELÉTRICO/MÁQUINA DE PINTURA AIRLESS, VAZÃO 2 L/MIN - DEPRECIAÇÃO. AF_05/2023</t>
  </si>
  <si>
    <t>PULVERIZADOR DE TINTA ELÉTRICO/MÁQUINA DE PINTURA AIRLESS, VAZÃO 2 L/MIN - JUROS. AF_05/2023</t>
  </si>
  <si>
    <t>PULVERIZADOR DE TINTA ELÉTRICO/MÁQUINA DE PINTURA AIRLESS, VAZÃO 2 L/MIN - MANUTENÇÃO. AF_05/2023</t>
  </si>
  <si>
    <t>PULVERIZADOR DE TINTA ELÉTRICO/MÁQUINA DE PINTURA AIRLESS, VAZÃO 2 L/MIN - MATERIAIS NA OPERAÇÃO. AF_05/2023</t>
  </si>
  <si>
    <t>PÁ CARREGADEIRA SOBRE RODAS, POTÊNCIA 197 HP, CAPACIDADE DA CAÇAMBA 2,5 A 3,5 M3, PESO OPERACIONAL 18338 KG - DEPRECIAÇÃO. AF_06/2014</t>
  </si>
  <si>
    <t>PÁ CARREGADEIRA SOBRE RODAS, POTÊNCIA 197 HP, CAPACIDADE DA CAÇAMBA 2,5 A 3,5 M3, PESO OPERACIONAL 18338 KG - JUROS. AF_06/2014</t>
  </si>
  <si>
    <t>PÁ CARREGADEIRA SOBRE RODAS, POTÊNCIA 197 HP, CAPACIDADE DA CAÇAMBA 2,5 A 3,5 M3, PESO OPERACIONAL 18338 KG - MANUTENÇÃO. AF_06/2014</t>
  </si>
  <si>
    <t>PÁ CARREGADEIRA SOBRE RODAS, POTÊNCIA 197 HP, CAPACIDADE DA CAÇAMBA 2,5 A 3,5 M3, PESO OPERACIONAL 18338 KG - MATERIAIS NA OPERAÇÃO.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</si>
  <si>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</si>
  <si>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</si>
  <si>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</si>
  <si>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</si>
  <si>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PÓRTICO ROLANTE MONOVIGA, PERFIL I, 4 PERNAS, CAPACIDADE 5 T - DEPRECIAÇÃO. AF_04/2019</t>
  </si>
  <si>
    <t>PÓRTICO ROLANTE MONOVIGA, PERFIL I, 4 PERNAS, CAPACIDADE 5 T - JUROS. AF_04/2019</t>
  </si>
  <si>
    <t>PÓRTICO ROLANTE MONOVIGA, PERFIL I, 4 PERNAS, CAPACIDADE 5 T - MANUTENÇÃO. AF_04/2019</t>
  </si>
  <si>
    <t>PÓRTICO ROLANTE MONOVIGA, PERFIL I, 4 PERNAS, CAPACIDADE 5 T - MATERIAIS NA OPERAÇÃO. AF_04/2019</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</si>
  <si>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</si>
  <si>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</si>
  <si>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</si>
  <si>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</si>
  <si>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RETROESCAVADEIRA SOBRE RODAS COM CARREGADEIRA, PESO OPERACIONAL MÍN. 6,674, POTÊNCIA LÍQ 88 HP, COM MARTELO ROMPEDOR HIDRÁULICO ENTRE 275 A 362 KG - DEPRECIAÇÃO. AF_02/2021</t>
  </si>
  <si>
    <t>RETROESCAVADEIRA SOBRE RODAS COM CARREGADEIRA, PESO OPERACIONAL MÍN. 6,674, POTÊNCIA LÍQ 88 HP, COM MARTELO ROMPEDOR HIDRÁULICO ENTRE 275 A 362 KG - JUROS. AF_02/2021</t>
  </si>
  <si>
    <t>RETROESCAVADEIRA SOBRE RODAS COM CARREGADEIRA, PESO OPERACIONAL MÍN. 6,674, POTÊNCIA LÍQ 88 HP, COM MARTELO ROMPEDOR HIDRÁULICO ENTRE 275 A 362 KG - MANUTENÇÃO. AF_02/2021</t>
  </si>
  <si>
    <t>RETROESCAVADEIRA SOBRE RODAS COM CARREGADEIRA, PESO OPERACIONAL MÍN. 6,674, POTÊNCIA LÍQ 88 HP, COM MARTELO ROMPEDOR HIDRÁULICO ENTRE 275 A 362 KG - MATERIAIS NA OPERAÇÃO. AF_02/2021</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</si>
  <si>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</si>
  <si>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</si>
  <si>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</si>
  <si>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</si>
  <si>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</si>
  <si>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</si>
  <si>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</si>
  <si>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</si>
  <si>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</si>
  <si>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</si>
  <si>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</si>
  <si>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</si>
  <si>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</si>
  <si>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</si>
  <si>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</si>
  <si>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ROLO COMPACTADOR DE PNEUS ESTÁTICO, PRESSÃO VARIÁVEL, POTÊNCIA 111 HP, PESO SEM/COM LASTRO 9,5 / 26 T, LARGURA DE TRABALHO 1,90 M - MATERIAIS NA OPERAÇÃO. AF_07/2014</t>
  </si>
  <si>
    <t>ROLO COMPACTADOR DE PNEUS, ESTÁTICO, PRESSÃO VARIÁVEL, POTÊNCIA 110 HP, PESO SEM/COM LASTRO 10,8/27 T, LARGURA DE ROLAGEM 2,30 M - DEPRECIAÇÃO. AF_06/2017</t>
  </si>
  <si>
    <t>ROLO COMPACTADOR DE PNEUS, ESTÁTICO, PRESSÃO VARIÁVEL, POTÊNCIA 110 HP, PESO SEM/COM LASTRO 10,8/27 T, LARGURA DE ROLAGEM 2,30 M - JUROS. AF_06/2017</t>
  </si>
  <si>
    <t>ROLO COMPACTADOR DE PNEUS, ESTÁTICO, PRESSÃO VARIÁVEL, POTÊNCIA 110 HP, PESO SEM/COM LASTRO 10,8/27 T, LARGURA DE ROLAGEM 2,30 M - MANUTENÇÃO. AF_06/2017</t>
  </si>
  <si>
    <t>ROLO COMPACTADOR DE PNEUS, ESTÁTICO, PRESSÃO VARIÁVEL, POTÊNCIA 110 HP, PESO SEM/COM LASTRO 10,8/27 T, LARGURA DE ROLAGEM 2,30 M - MATERIAIS NA OPERAÇÃO. AF_06/2017</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</si>
  <si>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</si>
  <si>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</si>
  <si>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</si>
  <si>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</si>
  <si>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</si>
  <si>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</si>
  <si>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</si>
  <si>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</si>
  <si>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</si>
  <si>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</si>
  <si>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ROLO COMPACTADOR VIBRATÓRIO DE UM CILINDRO AÇO LISO, POTÊNCIA 80 HP, PESO OPERACIONAL MÁXIMO 8,1 T, IMPACTO DINÂMICO 16,15 / 9,5 T, LARGURA DE TRABALHO 1,68 M - MANUTENÇÃO. AF_06/2014</t>
  </si>
  <si>
    <t>ROLO COMPACTADOR VIBRATÓRIO DE UM CILINDRO AÇO LISO, POTÊNCIA 80 HP, PESO OPERACIONAL MÁXIMO 8,1 T, IMPACTO DINÂMICO 16,15 / 9,5 T, LARGURA DE TRABALHO 1,68 M - MATERIAIS NA OPERAÇÃO. AF_06/2014</t>
  </si>
  <si>
    <t>ROLO COMPACTADOR VIBRATÓRIO PÉ DE CARNEIRO PARA SOLOS, POTÊNCIA 80 HP, PESO OPERACIONAL SEM/COM LASTRO 7,4 / 8,8 T, LARGURA DE TRABALHO 1,68 M - DEPRECIAÇÃO.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</si>
  <si>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</si>
  <si>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MANUTENÇÃO. AF_02/2016</t>
  </si>
  <si>
    <t>ROLO COMPACTADOR VIBRATÓRIO PÉ DE CARNEIRO PARA SOLOS, POTÊNCIA 80 HP, PESO OPERACIONAL SEM/COM LASTRO 7,4 / 8,8 T, LARGURA DE TRABALHO 1,68 M - MATERIAIS NA OPERAÇÃO. AF_02/2016</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</si>
  <si>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</si>
  <si>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</si>
  <si>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MANUTENÇÃO. AF_02/2016</t>
  </si>
  <si>
    <t>ROLO COMPACTADOR VIBRATÓRIO PÉ DE CARNEIRO, OPERADO POR CONTROLE REMOTO, POTÊNCIA 12,5 KW, PESO OPERACIONAL 1,675 T, LARGURA DE TRABALHO 0,85 M - MATERIAIS NA OPERAÇÃO. AF_02/2016</t>
  </si>
  <si>
    <t>ROLO COMPACTADOR VIBRATÓRIO REBOCÁVEL, CILINDRO DE AÇO LISO, POTÊNCIA DE TRAÇÃO DE 65 CV, PESO 4,7 T, IMPACTO DINÂMICO 18,3 T, LARGURA DE TRABALHO 1,67 M - DEPRECIAÇÃO. AF_02/2016</t>
  </si>
  <si>
    <t>ROLO COMPACTADOR VIBRATÓRIO REBOCÁVEL, CILINDRO DE AÇO LISO, POTÊNCIA DE TRAÇÃO DE 65 CV, PESO 4,7 T, IMPACTO DINÂMICO 18,3 T, LARGURA DE TRABALHO 1,67 M - JUROS. AF_02/2016</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</si>
  <si>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</si>
  <si>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</si>
  <si>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</si>
  <si>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</si>
  <si>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</si>
  <si>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</si>
  <si>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</si>
  <si>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</si>
  <si>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</si>
  <si>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</si>
  <si>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</si>
  <si>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</si>
  <si>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</si>
  <si>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SERRA FITA HORIZONTAL, ELÉTRICA, COM CONTROLE HIDRÁULICO, PAINEL DE COMANDO EM 24 V, MOTOR ELÉTRICO 1,5 CV, DIMENSÕES DA FITA 3880 X 27 X 0,9 MM, TRIFÁSICA - DEPRECIAÇÃO. AF_05/2023</t>
  </si>
  <si>
    <t>SERRA FITA HORIZONTAL, ELÉTRICA, COM CONTROLE HIDRÁULICO, PAINEL DE COMANDO EM 24 V, MOTOR ELÉTRICO 1,5 CV, DIMENSÕES DA FITA 3880 X 27 X 0,9 MM, TRIFÁSICA - JUROS. AF_05/2023</t>
  </si>
  <si>
    <t>SERRA FITA HORIZONTAL, ELÉTRICA, COM CONTROLE HIDRÁULICO, PAINEL DE COMANDO EM 24 V, MOTOR ELÉTRICO 1,5 CV, DIMENSÕES DA FITA 3880 X 27 X 0,9 MM, TRIFÁSICA - MANUTENÇÃO. AF_05/2023</t>
  </si>
  <si>
    <t>SERRA FITA HORIZONTAL, ELÉTRICA, COM CONTROLE HIDRÁULICO, PAINEL DE COMANDO EM 24 V, MOTOR ELÉTRICO 1,5 CV, DIMENSÕES DA FITA 3880 X 27 X 0,9 MM, TRIFÁSICA - MATERIAIS NA OPERAÇÃO. AF_05/2023</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</si>
  <si>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</si>
  <si>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</si>
  <si>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</si>
  <si>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</si>
  <si>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</si>
  <si>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</si>
  <si>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</si>
  <si>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</si>
  <si>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</si>
  <si>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</si>
  <si>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</si>
  <si>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TARTARUGA DE OXICORTE CG1, MONOFÁSICA, 220 V, FREQUÊNCIA 50 HZ, VELOCIDADE DE CORTE (MM/MIN) 50 A 750, DIÂMETRO MÍNIMO DO COMPASSO MM 200 - DEPRECIAÇÃO. AF_05/2023</t>
  </si>
  <si>
    <t>TARTARUGA DE OXICORTE CG1, MONOFÁSICA, 220 V, FREQUÊNCIA 50 HZ, VELOCIDADE DE CORTE (MM/MIN) 50 A 750, DIÂMETRO MÍNIMO DO COMPASSO MM 200 - JUROS. AF_05/2023</t>
  </si>
  <si>
    <t>TARTARUGA DE OXICORTE CG1, MONOFÁSICA, 220 V, FREQUÊNCIA 50 HZ, VELOCIDADE DE CORTE (MM/MIN) 50 A 750, DIÂMETRO MÍNIMO DO COMPASSO MM 200 - MANUTENÇÃO. AF_05/2023</t>
  </si>
  <si>
    <t>TARTARUGA DE OXICORTE CG1, MONOFÁSICA, 220 V, FREQUÊNCIA 50 HZ, VELOCIDADE DE CORTE (MM/MIN) 50 A 750, DIÂMETRO MÍNIMO DO COMPASSO MM 200 - MATERIAIS NA OPERAÇÃO. AF_05/2023</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</si>
  <si>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</si>
  <si>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</si>
  <si>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</si>
  <si>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</si>
  <si>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</si>
  <si>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</si>
  <si>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</si>
  <si>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</si>
  <si>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TORRE, COMPOSTA POR GUINCHO MECÂNICO, GUINCHO MANUAL, CABOS DE AÇO, PITEIRA E SOQUETE - DEPRECIAÇÃO. AF_05/2023</t>
  </si>
  <si>
    <t>TORRE, COMPOSTA POR GUINCHO MECÂNICO, GUINCHO MANUAL, CABOS DE AÇO, PITEIRA E SOQUETE - JUROS. AF_05/2023</t>
  </si>
  <si>
    <t>TORRE, COMPOSTA POR GUINCHO MECÂNICO, GUINCHO MANUAL, CABOS DE AÇO, PITEIRA E SOQUETE - MANUTENÇÃO. AF_05/2023</t>
  </si>
  <si>
    <t>TORRE, COMPOSTA POR GUINCHO MECÂNICO, GUINCHO MANUAL, CABOS DE AÇO, PITEIRA E SOQUETE - MATERIAIS NA OPERAÇÃO. AF_05/2023</t>
  </si>
  <si>
    <t>TRATOR DE ESTEIRAS, POTÊNCIA 100 HP, PESO OPERACIONAL 9,4 T, COM LÂMINA 2,19 M3 - DEPRECIAÇÃO. AF_06/2014</t>
  </si>
  <si>
    <t>TRATOR DE ESTEIRAS, POTÊNCIA 100 HP, PESO OPERACIONAL 9,4 T, COM LÂMINA 2,19 M3 - JUROS. AF_06/2014</t>
  </si>
  <si>
    <t>TRATOR DE ESTEIRAS, POTÊNCIA 100 HP, PESO OPERACIONAL 9,4 T, COM LÂMINA 2,19 M3 - MANUTENÇÃO. AF_06/2014</t>
  </si>
  <si>
    <t>TRATOR DE ESTEIRAS, POTÊNCIA 100 HP, PESO OPERACIONAL 9,4 T, COM LÂMINA 2,19 M3 - MATERIAIS NA OPERAÇÃO. AF_06/2014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</si>
  <si>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</si>
  <si>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</si>
  <si>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</si>
  <si>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</si>
  <si>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TRATOR DE ESTEIRAS, POTÊNCIA 150 HP, PESO OPERACIONAL 16,7 T, COM RODA MOTRIZ ELEVADA E LÂMINA 3,18 M3 - DEPRECIAÇÃO. AF_06/2014</t>
  </si>
  <si>
    <t>TRATOR DE ESTEIRAS, POTÊNCIA 150 HP, PESO OPERACIONAL 16,7 T, COM RODA MOTRIZ ELEVADA E LÂMINA 3,18 M3 - JUROS. AF_06/2014</t>
  </si>
  <si>
    <t>TRATOR DE ESTEIRAS, POTÊNCIA 150 HP, PESO OPERACIONAL 16,7 T, COM RODA MOTRIZ ELEVADA E LÂMINA 3,18 M3 - MANUTENÇÃO. AF_06/2014</t>
  </si>
  <si>
    <t>TRATOR DE ESTEIRAS, POTÊNCIA 150 HP, PESO OPERACIONAL 16,7 T, COM RODA MOTRIZ ELEVADA E LÂMINA 3,18 M3 - MATERIAIS NA OPERAÇÃO. AF_06/2014</t>
  </si>
  <si>
    <t>TRATOR DE ESTEIRAS, POTÊNCIA 170 HP, PESO OPERACIONAL 19 T, CAÇAMBA 5,2 M3 - DEPRECIAÇÃO. AF_06/2014</t>
  </si>
  <si>
    <t>TRATOR DE ESTEIRAS, POTÊNCIA 170 HP, PESO OPERACIONAL 19 T, CAÇAMBA 5,2 M3 - JUROS. AF_06/2014</t>
  </si>
  <si>
    <t>TRATOR DE ESTEIRAS, POTÊNCIA 170 HP, PESO OPERACIONAL 19 T, CAÇAMBA 5,2 M3 - MANUTENÇÃO. AF_06/2014</t>
  </si>
  <si>
    <t>TRATOR DE ESTEIRAS, POTÊNCIA 170 HP, PESO OPERACIONAL 19 T, CAÇAMBA 5,2 M3 - MATERIAIS NA OPERAÇÃO. AF_06/2014</t>
  </si>
  <si>
    <t>TRATOR DE ESTEIRAS, POTÊNCIA 347 HP, PESO OPERACIONAL 38,5 T, COM LÂMINA 8,70 M3 - DEPRECIAÇÃO. AF_06/2014</t>
  </si>
  <si>
    <t>TRATOR DE ESTEIRAS, POTÊNCIA 347 HP, PESO OPERACIONAL 38,5 T, COM LÂMINA 8,70 M3 - JUROS. AF_06/2014</t>
  </si>
  <si>
    <t>TRATOR DE ESTEIRAS, POTÊNCIA 347 HP, PESO OPERACIONAL 38,5 T, COM LÂMINA 8,70 M3 - MANUTENÇÃO. AF_06/2014</t>
  </si>
  <si>
    <t>TRATOR DE ESTEIRAS, POTÊNCIA 347 HP, PESO OPERACIONAL 38,5 T, COM LÂMINA 8,70 M3 - MATERIAIS NA OPERAÇÃO. AF_06/2014</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</si>
  <si>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</si>
  <si>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</si>
  <si>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</si>
  <si>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</si>
  <si>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</si>
  <si>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</si>
  <si>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</si>
  <si>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</si>
  <si>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</si>
  <si>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</si>
  <si>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</si>
  <si>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</si>
  <si>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TRATOR DE PNEUS COM POTÊNCIA DE 85 CV, TRAÇÃO 4X4,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</si>
  <si>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</si>
  <si>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</si>
  <si>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</si>
  <si>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</si>
  <si>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</si>
  <si>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</si>
  <si>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</si>
  <si>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TRATOR DE PNEUS, POTÊNCIA 85 CV, TRAÇÃO 4X4, PESO COM LASTRO DE 4.675 KG - DEPRECIAÇÃO. AF_06/2014</t>
  </si>
  <si>
    <t>TRATOR DE PNEUS, POTÊNCIA 85 CV, TRAÇÃO 4X4, PESO COM LASTRO DE 4.675 KG - JUROS. AF_06/2014</t>
  </si>
  <si>
    <t>TRATOR DE PNEUS, POTÊNCIA 85 CV, TRAÇÃO 4X4, PESO COM LASTRO DE 4.675 KG - MANUTENÇÃO. AF_06/2014</t>
  </si>
  <si>
    <t>TRATOR DE PNEUS, POTÊNCIA 85 CV, TRAÇÃO 4X4, PESO COM LASTRO DE 4.675 KG - MATERIAIS NA OPERAÇÃO. AF_06/2014</t>
  </si>
  <si>
    <t>UNIDADE DOSADORA AIRLESS TIPO HOT SPRAY - DEPRECIAÇÃO. AF_05/2023</t>
  </si>
  <si>
    <t>UNIDADE DOSADORA AIRLESS TIPO HOT SPRAY - JUROS. AF_05/2023</t>
  </si>
  <si>
    <t>UNIDADE DOSADORA AIRLESS TIPO HOT SPRAY - MANUTENÇÃO. AF_05/2023</t>
  </si>
  <si>
    <t>UNIDADE DOSADORA AIRLESS TIPO HOT SPRAY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</si>
  <si>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</si>
  <si>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</si>
  <si>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</si>
  <si>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</si>
  <si>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</si>
  <si>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</si>
  <si>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</si>
  <si>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</si>
  <si>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USINA DE CONCRETO FIXA, CAPACIDADE NOMINAL DE 90 A 120 M3/H, SEM SILO - DEPRECIAÇÃO. AF_07/2016</t>
  </si>
  <si>
    <t>USINA DE CONCRETO FIXA, CAPACIDADE NOMINAL DE 90 A 120 M3/H, SEM SILO - JUROS. AF_07/2016</t>
  </si>
  <si>
    <t>USINA DE CONCRETO FIXA, CAPACIDADE NOMINAL DE 90 A 120 M3/H, SEM SILO - MANUTENÇÃO. AF_07/2016</t>
  </si>
  <si>
    <t>USINA DE CONCRETO FIXA, CAPACIDADE NOMINAL DE 90 A 120 M3/H, SEM SILO - MATERIAIS NA OPERAÇÃO. AF_07/2016</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</si>
  <si>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</si>
  <si>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</si>
  <si>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</si>
  <si>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</si>
  <si>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</si>
  <si>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</si>
  <si>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</si>
  <si>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</si>
  <si>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</si>
  <si>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</si>
  <si>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</si>
  <si>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</si>
  <si>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</si>
  <si>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</si>
  <si>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</si>
  <si>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MANUTENÇÃO. AF_07/2016</t>
  </si>
  <si>
    <t>USINA MISTURADORA DE SOLOS, CAPACIDADE DE 200 A 500 TON/H, POTENCIA 75KW - MATERIAIS NA OPERAÇÃO. AF_07/2016</t>
  </si>
  <si>
    <t>VARREDEIRA DE GRAMA SINTÉTICA A GASOLINA, 2,4 CV, 4 TEMPOS - DEPRECIAÇÃO. AF_05/2023</t>
  </si>
  <si>
    <t>VARREDEIRA DE GRAMA SINTÉTICA A GASOLINA, 2,4 CV, 4 TEMPOS - JUROS. AF_05/2023</t>
  </si>
  <si>
    <t>VARREDEIRA DE GRAMA SINTÉTICA A GASOLINA, 2,4 CV, 4 TEMPOS - MANUTENÇÃO. AF_05/2023</t>
  </si>
  <si>
    <t>VARREDEIRA DE GRAMA SINTÉTICA A GASOLINA, 2,4 CV, 4 TEMPOS - MATERIAIS NA OPERAÇÃO. AF_05/2023</t>
  </si>
  <si>
    <t>VASSOURA MECÂNICA REBOCÁVEL COM ESCOVA CILÍNDRICA, LARGURA ÚTIL DE VARRIMENTO DE 2,44 M - DEPRECIAÇÃO. AF_06/2014</t>
  </si>
  <si>
    <t>VASSOURA MECÂNICA REBOCÁVEL COM ESCOVA CILÍNDRICA, LARGURA ÚTIL DE VARRIMENTO DE 2,44 M - JUROS. AF_06/2014</t>
  </si>
  <si>
    <t>VASSOURA MECÂNICA REBOCÁVEL COM ESCOVA CILÍNDRICA, LARGURA ÚTIL DE VARRIMENTO DE 2,44 M - MANUTENÇÃO. AF_06/2014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</si>
  <si>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</si>
  <si>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</si>
  <si>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</si>
  <si>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</si>
  <si>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</si>
  <si>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</si>
  <si>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</si>
  <si>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</si>
  <si>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</si>
  <si>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</si>
  <si>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</si>
  <si>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</si>
  <si>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ARMAÇÃO DE DESCIDA D'ÁGUA UTILIZANDO AÇO CA-60 DE 5 MM - MONTAGEM.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</si>
  <si>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</si>
  <si>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</si>
  <si>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</si>
  <si>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</si>
  <si>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TIPO BACIA EM PEDRA DE MÃO ARGAMASSADA (DES 01, 02, 03, 04), LANÇADO MANUALMENTE, INCLUINDO MATERIAIS E FÔRMAS (2 UTILIZAÇÕES). AF_08/2022</t>
  </si>
  <si>
    <t>CONCRETAGEM DE DISSIPADOR DE ENERGIA, CONCRETO USINADO, FCK = 20 MPA, COM USO DE BOMBA - LANÇAMENTO, ADENSAMENTO E ACABAMENTO. AF_08/2022</t>
  </si>
  <si>
    <t>CONCRETAGEM DE DISSIPADOR DE ENERGIA, FCK = 20 MPA, COM USO DE JERICAS E PREPARO EM BETONEIRA DE 600 L - AREIA E BRITA COMERCIAIS - LANÇAMENTO, ADENSAMENTO E ACABAMENTO. AF_08/2022</t>
  </si>
  <si>
    <t>DESCIDA D'ÁGUA RÁPIDA (DAR 03), EM CONCRETO USINADO, FCK = 20 MPA, LANÇADO COM BOMBA, INCLUINDO ARMAÇÃO, MATERIAIS E FÔRMAS (2 UTILIZAÇÕES).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</si>
  <si>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</si>
  <si>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</si>
  <si>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FABRICAÇÃO, MONTAGEM E DESMONTAGEM DE FÔRMA PARA BACIA DE DISSIPAÇÃO, EM MADEIRA SERRADA, E = 25 MM, 2 UTILIZAÇÕES. AF_08/2022</t>
  </si>
  <si>
    <t>FABRICAÇÃO, MONTAGEM E DESMONTAGEM DE FÔRMA PARA ESCADA HIDRÁULICA, EM CHAPA DE MADEIRA COMPENSADA RESINADA, E = 17 MM, 3 UTILIZAÇÕES. AF_08/2022</t>
  </si>
  <si>
    <t>PEDRA ARGAMASSADA COM CIMENTO E AREIA 1:3, 40% DE ARGAMASSA EM VOLUME - AREIA E PEDRA DE MÃO COMERCIAIS - FORNECIMENTO E ASSENTAMENTO. AF_08/2022</t>
  </si>
  <si>
    <t>PEDRA DE MÃO FIXADA COM CONCRETO PARA BACIA DE DISSIPAÇÃO, 40% DE CONCRETO EM VOLUME, FCK = 20 MPA, COM USO DE JERICA E PREPARO EM BETONEIRA DE 600 L - AREIA, BRITA E PEDRA DE MÃO COMERCIAIS - LANÇAMENTO, ADENSAMENTO E ACABAMENTO. AF_08/2022</t>
  </si>
  <si>
    <t>DRAGAGEM DE MATERIAIS DE 1A CATEGORIA E COMPOSTOS ORGÂNICOS E INORGÂNICOS COM DRAGLINE (CAÇAMBA: 0,76 M3/ 43 T). AF_03/2024</t>
  </si>
  <si>
    <t>DRAGAGEM DE MATERIAIS DE 1A CATEGORIA E COMPOSTOS ORGÂNICOS E INORGÂNICOS COM ESCAVADEIRA HIDRÁULICA (CAÇAMBA: 0,80 M3/111 HP). AF_03/2024</t>
  </si>
  <si>
    <t>DRAGAGEM DE MATERIAIS DE 1A CATEGORIA E COMPOSTOS ORGÂNICOS E INORGÂNICOS COM ESCAVADEIRA HIDRÁULICA DE LONGO ALCANCE (CAÇAMBA: 0,52 M3/155 HP). AF_03/2024</t>
  </si>
  <si>
    <t>DRAGAGEM DE MATERIAIS DE 1A CATEGORIA E COMPOSTOS ORGÂNICOS E INORGÂNICOS COM RETROESCAVADEIRA (CAÇAMBA: 0,26 M3/88 HP). AF_03/2024</t>
  </si>
  <si>
    <t>CAIXA DE PASSAGEM PARA AR CONDICIONADO - FORNECIMENTO E INSTALAÇÃO. AF_08/2022</t>
  </si>
  <si>
    <t>JOELHO 45 GRAUS, PVC, SOLDÁVEL, DN 20 MM, INSTALADO EM DRENO DE AR CONDICIONADO - FORNECIMENTO E INSTALAÇÃO. AF_08/2022</t>
  </si>
  <si>
    <t>JOELHO 45 GRAUS, PVC, SOLDÁVEL, DN 25MM, INSTALADO EM DRENO DE AR-CONDICIONADO - FORNECIMENTO E INSTALAÇÃO. AF_08/2022</t>
  </si>
  <si>
    <t>JOELHO 45 GRAUS, PVC, SOLDÁVEL, DN 32 MM, INSTALADO EM DRENO DE AR CONDICIONADO - FORNECIMENTO E INSTALAÇÃO. AF_08/2022</t>
  </si>
  <si>
    <t>JOELHO 90 GRAUS, PVC, SOLDÁVEL, DN 20 MM, INSTALADO EM DRENO DE AR CONDICIONADO - FORNECIMENTO E INSTALAÇÃO. AF_08/2022</t>
  </si>
  <si>
    <t>JOELHO 90 GRAUS, PVC, SOLDÁVEL, DN 25MM, INSTALADO EM DRENO DE AR-CONDICIONADO - FORNECIMENTO E INSTALAÇÃO. AF_08/2022</t>
  </si>
  <si>
    <t>JOELHO 90 GRAUS, PVC, SOLDÁVEL, DN 32 MM, INSTALADO EM DRENO DE AR CONDICIONADO - FORNECIMENTO E INSTALAÇÃO. AF_08/2022</t>
  </si>
  <si>
    <t>LUVA, PVC, SOLDÁVEL, DN 20 MM, INSTALADO EM DRENO DE AR CONDICIONADO - FORNECIMENTO E INSTALAÇÃO. AF_08/2022</t>
  </si>
  <si>
    <t>LUVA, PVC, SOLDÁVEL, DN 25MM, INSTALADO EM DRENO DE AR-CONDICIONADO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</si>
  <si>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</si>
  <si>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</si>
  <si>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25MM, INSTALADO EM DRENO DE AR-CONDICIONADO - FORNECIMENTO E INSTALAÇÃO. AF_08/2022</t>
  </si>
  <si>
    <t>TE, PVC, SOLDÁVEL, DN 32 MM, INSTALADO EM DRENO DE AR CONDICIONADO - FORNECIMENTO E INSTALAÇÃO. AF_08/2022</t>
  </si>
  <si>
    <t>TUBO, PVC, SOLDÁVEL, DE 20MM, INSTALADO EM DRENO DE AR CONDICIONADO - FORNECIMENTO E INSTALAÇÃO. AF_08/2022</t>
  </si>
  <si>
    <t>TUBO, PVC, SOLDÁVEL, DE 25MM, INSTALADO EM DRENO DE AR-CONDICIONADO - FORNECIMENTO E INSTALAÇÃO. AF_08/2022</t>
  </si>
  <si>
    <t>TUBO, PVC, SOLDÁVEL, DE 32MM, INSTALADO EM DRENO DE AR CONDICIONADO - FORNECIMENTO E INSTALAÇÃO. AF_08/2022</t>
  </si>
  <si>
    <t>DRENO BARBACÃ, DN 100 MM, COM MATERIAL DRENANTE. AF_07/2021</t>
  </si>
  <si>
    <t>DRENO BARBACÃ, DN 50 MM, COM MATERIAL DRENANTE. AF_07/2021</t>
  </si>
  <si>
    <t>DRENO BARBACÃ, DN 75 MM, COM MATERIAL DRENANTE. AF_07/2021</t>
  </si>
  <si>
    <t>DRENO EM MURO DE CONTENÇÃO, EXECUTADO NO PÉ DO MURO, COM TUBO DE PEAD CORRUGADO FLEXÍVEL PERFURADO, ENCHIMENTO COM BRITA, ENVOLVIDO COM MANTA GEOTÊXTIL. AF_07/2021</t>
  </si>
  <si>
    <t>DRENO EM MURO DE CONTENÇÃO, EXECUTADO NO PÉ DO MURO, COM TUBO DE PEAD CORRUGADO FLEXÍVEL PERFURADO, ENVOLVIDO COM GEOCOMPOSTO DRENANTE. AF_07/2021</t>
  </si>
  <si>
    <t>DRENO EM MURO DE CONTENÇÃO, EXECUTADO NO PÉ DO MURO, COM TUBO DE PVC CORRUGADO RÍGIDO PERFURADO, ENCHIMENTO COM BRITA, ENVOLVIDO COM MANTA GEOTÊXTIL. AF_07/2021</t>
  </si>
  <si>
    <t>DRENO ESPINHA DE PEIXE (SEÇÃO (0,40 X 0,40 M), COM TUBO DE PEAD CORRUGADO PERFURADO, DN 100 MM, ENCHIMENTO COM BRITA, ENVOLVIDO COM MANTA GEOTÊXTIL, INCLUSIVE CONEXÕES. AF_07/2021</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</si>
  <si>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</si>
  <si>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</si>
  <si>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</si>
  <si>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</si>
  <si>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</si>
  <si>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AREIA, INCLUSIVE CONEXÕES. AF_07/2021</t>
  </si>
  <si>
    <t>DRENO ESPINHA DE PEIXE (SEÇÃO 0,50 X 0,80 M), COM TUBO DE PVC CORRUGADO RÍGIDO PERFURADO, DN 100 MM, ENCHIMENTO COM BRITA, ENVOLVIDO COM MANTA GEOTÊXTIL, INCLUSIVE CONEXÕES.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</si>
  <si>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</si>
  <si>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</si>
  <si>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CONCRETO SIMPLES POROSO, DN 200 MM, ENCHIMENTO COM AREIA, COM SELO DE ARGILA. AF_07/2021</t>
  </si>
  <si>
    <t>DRENO PROFUNDO (SEÇÃO 0,50 X 1,50 M), COM TUBO DE CONCRETO SIMPLES POROSO, DN 200 MM, ENCHIMENTO COM AREIA. AF_07/2021</t>
  </si>
  <si>
    <t>DRENO PROFUNDO (SEÇÃO 0,50 X 1,50 M), COM TUBO DE CONCRETO SIMPLES POROSO, DN 200 MM, ENCHIMENTO COM BRITA, ENVOLVIDO COM MANTA GEOTÊXTIL, COM SELO DE ARGILA. AF_07/2021</t>
  </si>
  <si>
    <t>DRENO PROFUNDO (SEÇÃO 0,50 X 1,50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</si>
  <si>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</si>
  <si>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PEAD CORRUGADO PERFURADO, DN 100 MM, ENCHIMENTO COM AREIA. AF_07/2021</t>
  </si>
  <si>
    <t>DRENO PROFUNDO (SEÇÃO 0,50 X 1,50 M), COM TUBO DE PEAD CORRUGADO PERFURADO, DN 100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</si>
  <si>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</si>
  <si>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PVC CORRUGADO RÍGIDO PERFURADO, DN 100 MM, ENCHIMENTO COM AREIA, COM SELO DE ARGILA. AF_07/2021</t>
  </si>
  <si>
    <t>DRENO PROFUNDO (SEÇÃO 0,50 X 1,50 M), COM TUBO DE PVC CORRUGADO RÍGIDO PERFURADO, DN 100 MM, ENCHIMENTO COM AREIA. AF_07/2021</t>
  </si>
  <si>
    <t>DRENO PROFUNDO (SEÇÃO 0,50 X 1,50 M), COM TUBO DE PVC CORRUGADO RÍGIDO PERFURADO, DN 100 MM, ENCHIMENTO COM BRITA, ENVOLVIDO COM MANTA GEOTÊXTIL, COM SELO DE ARGILA. AF_07/2021</t>
  </si>
  <si>
    <t>DRENO PROFUNDO (SEÇÃO 0,50 X 1,50 M), COM TUBO DE PVC CORRUGADO RÍGIDO PERFURADO, DN 100 MM, ENCHIMENTO COM BRITA, ENVOLVIDO COM MANTA GEOTÊXTIL. AF_07/2021</t>
  </si>
  <si>
    <t>DRENO SUBSUPERFICIAL (SEÇÃO 0,40 X 0,40 M), CEGO, ENCHIMENTO DE BRITA, ENVOLVIDO COM MANTA GEOTÊXTIL. AF_07/2021</t>
  </si>
  <si>
    <t>DRENO SUBSUPERFICIAL (SEÇÃO 0,40 X 0,40 M), CEGO, ENCHIMENTO DE BRITA. AF_07/2021</t>
  </si>
  <si>
    <t>DRENO SUBSUPERFICIAL (SEÇÃO 0,40 X 0,40 M), COM TUBO DE CONCRETO SIMPLES POROSO, DN 200 MM, ENCHIMENTO COM AREIA. AF_07/2021</t>
  </si>
  <si>
    <t>DRENO SUBSUPERFICIAL (SEÇÃO 0,40 X 0,40 M), COM TUBO DE CONCRETO SIMPLES POROSO, DN 200 MM, ENCHIMENTO COM BRITA, ENVOLVIDO COM MANTA GEOTÊXTIL. AF_07/2021</t>
  </si>
  <si>
    <t>DRENO SUBSUPERFICIAL (SEÇÃO 0,40 X 0,40 M), COM TUBO DE PEAD CORRUGADO PERFURADO, DN 100 MM, ENCHIMENTO COM AREIA. AF_07/2021</t>
  </si>
  <si>
    <t>DRENO SUBSUPERFICIAL (SEÇÃO 0,40 X 0,40 M), COM TUBO DE PEAD CORRUGADO PERFURADO, DN 100 MM, ENCHIMENTO COM BRITA, ENVOLVIDO COM MANTA GEOTÊXTIL. AF_07/2021</t>
  </si>
  <si>
    <t>DRENO SUBSUPERFICIAL (SEÇÃO 0,40 X 0,40 M), COM TUBO DE PVC CORRUGADO RÍGIDO PERFURADO, DN 100 MM, ENCHIMENTO COM AREIA. AF_07/2021</t>
  </si>
  <si>
    <t>ENCHIMENTO DE AREIA PARA DRENO, LANÇAMENTO MANUAL. AF_07/2021</t>
  </si>
  <si>
    <t>ENCHIMENTO DE AREIA PARA DRENO, LANÇAMENTO MECANIZADO. AF_07/2021</t>
  </si>
  <si>
    <t>ENCHIMENTO DE BRITA PARA DRENO, LANÇAMENTO MANUAL. AF_07/2021</t>
  </si>
  <si>
    <t>ENCHIMENTO DE BRITA PARA DRENO, LANÇAMENTO MECANIZADO. AF_07/2021</t>
  </si>
  <si>
    <t>GEOCOMPOSTO DRENANTE, INSTALADO EM MURO DE CONTENÇÃO - EXCLUSIVE DRENO NO PÉ DO MURO.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</si>
  <si>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</si>
  <si>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</si>
  <si>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GEOTÊXTIL NÃO TECIDO 100% POLIÉSTER, RESISTÊNCIA A TRAÇÃO DE 31 KN/M (RT-31), INSTALADO EM DRENO - FORNECIMENTO E INSTALAÇÃO. AF_07/2021</t>
  </si>
  <si>
    <t>GEOTÊXTIL NÃO TECIDO 100% POLIÉSTER, RESISTÊNCIA A TRAÇÃO DE 9 KN/M (RT - 9), INSTALADO EM DRENO - FORNECIMENTO E INSTALAÇÃO. AF_07/2021</t>
  </si>
  <si>
    <t>JUNÇÃO DUPLA DE PVC, SÉRIE NORMAL, PARA ESGOTO PREDIAL, DN 100 X 100 X 100 MM, INSTALADA EM DRENO - FORNECIMENTO E INSTALAÇÃO. AF_07/2021</t>
  </si>
  <si>
    <t>JUNÇÃO SIMPLES DE PVC, 45 GRAUS, SÉRIE NORMAL, PARA ESGOTO PREDIAL, DN 100 MM, INSTALADA EM DRENO - FORNECIMENTO E INSTALAÇÃO. AF_07/2021</t>
  </si>
  <si>
    <t>LUVA DE PEAD, DN 100 MM, INSTALADA EM DRENO - FORNECIMENTO E INSTALAÇÃO. AF_07/2021</t>
  </si>
  <si>
    <t>LUVA DE PVC, SÉRIE NORMAL, PARA ESGOTO PREDIAL, DN 100 MM, INSTALADA EM DRENO - FORNECIMENTO E INSTALAÇÃO. AF_07/2021</t>
  </si>
  <si>
    <t>TUBO DE CONCRETO SIMPLES POROSO, DN 200 MM, PARA DRENO - FORNECIMENTO E ASSENTAMENTO. AF_07/2021</t>
  </si>
  <si>
    <t>TUBO DE PEAD CORRUGADO PERFURADO, DN 100 MM, PARA DRENO - FORNECIMENTO E ASSENTAMENTO. AF_07/2021</t>
  </si>
  <si>
    <t>TUBO DE PVC CORRUGADO RÍGIDO PERFURADO, DN 100 MM, PARA DRENO - FORNECIMENTO E ASSENTAMENTO. AF_07/2021</t>
  </si>
  <si>
    <t>FABRICAÇÃO DE CURVA, REDUÇÃO OU TÊ PARA DUTO PARA AR CONDICIONADO EM CHAPA GALVANIZADA BITOLA 22. AF_03/2024</t>
  </si>
  <si>
    <t>FABRICAÇÃO DE CURVA, REDUÇÃO OU TÊ PARA DUTO PARA AR CONDICIONADO EM CHAPA GALVANIZADA BITOLA 24. AF_03/2024</t>
  </si>
  <si>
    <t>FABRICAÇÃO DE CURVA, REDUÇÃO OU TÊ PARA DUTO PARA AR CONDICIONADO EM CHAPA GALVANIZADA BITOLA 26. AF_03/2024</t>
  </si>
  <si>
    <t>FABRICAÇÃO DE DUTO RETANGULAR PARA AR CONDICIONADO (TRECHO RETO) EM CHAPA GALVANIZADA BITOLA 22. AF_03/2024</t>
  </si>
  <si>
    <t>FABRICAÇÃO DE DUTO RETANGULAR PARA AR CONDICIONADO (TRECHO RETO) EM CHAPA GALVANIZADA BITOLA 24. AF_03/2024</t>
  </si>
  <si>
    <t>FABRICAÇÃO DE DUTO RETANGULAR PARA AR CONDICIONADO (TRECHO RETO) EM CHAPA GALVANIZADA BITOLA 26. AF_03/2024</t>
  </si>
  <si>
    <t>FABRICAÇÃO DE DUTO RETANGULAR PARA AR CONDICIONADO EM PAINEL PRÉ-ISOLADO. AF_03/2024</t>
  </si>
  <si>
    <t>INSTALAÇÃO DE COLARINHO DE AÇO GALVANIZADO DN 109 MM (4") PARA DUTO FLEXÍVEL CIRCULAR PARA AR CONDICIONADO. AF_03/2024</t>
  </si>
  <si>
    <t>INSTALAÇÃO DE COLARINHO DE AÇO GALVANIZADO DN 131 MM (5") PARA DUTO FLEXÍVEL CIRCULAR PARA AR CONDICIONADO. AF_03/2024</t>
  </si>
  <si>
    <t>INSTALAÇÃO DE COLARINHO DE AÇO GALVANIZADO DN 161 MM (6") PARA DUTO FLEXÍVEL CIRCULAR PARA AR CONDICIONADO. AF_03/2024</t>
  </si>
  <si>
    <t>INSTALAÇÃO DE COLARINHO DE AÇO GALVANIZADO DN 185 MM (7") PARA DUTO FLEXÍVEL CIRCULAR PARA AR CONDICIONADO. AF_03/2024</t>
  </si>
  <si>
    <t>INSTALAÇÃO DE COLARINHO DE AÇO GALVANIZADO DN 209 MM (8") PARA DUTO FLEXÍVEL CIRCULAR PARA AR CONDICIONADO. AF_03/2024</t>
  </si>
  <si>
    <t>INSTALAÇÃO DE COLARINHO DE AÇO GALVANIZADO DN 263 MM (10") PARA DUTO FLEXÍVEL CIRCULAR PARA AR CONDICIONADO. AF_03/2024</t>
  </si>
  <si>
    <t>INSTALAÇÃO DE COLARINHO DE AÇO GALVANIZADO DN 314 MM (12") PARA DUTO FLEXÍVEL CIRCULAR PARA AR CONDICIONADO. AF_03/2024</t>
  </si>
  <si>
    <t>INSTALAÇÃO DE COLARINHO DE AÇO GALVANIZADO DN 364 MM (14") PARA DUTO FLEXÍVEL CIRCULAR PARA AR CONDICIONADO. AF_03/2024</t>
  </si>
  <si>
    <t>INSTALAÇÃO DE CURVA, REDUÇÃO OU TÊ DE DUTO PARA AR CONDICIONADO EM CHAPA GALVANIZADA BITOLA 22 - COM ISOLAMENTO DE MANTA FIXADA NA CHAPA COM CLAVO, INCLUSO FABRICAÇÃO. AF_03/2024</t>
  </si>
  <si>
    <t>INSTALAÇÃO DE CURVA, REDUÇÃO OU TÊ DE DUTO PARA AR CONDICIONADO EM CHAPA GALVANIZADA BITOLA 22 - COM ISOLAMENTO DE MANTA FIXADA NA CHAPA COM FITA PLÁSTICA, INCLUSO FABRICAÇÃO. AF_03/2024</t>
  </si>
  <si>
    <t>INSTALAÇÃO DE CURVA, REDUÇÃO OU TÊ DE DUTO PARA AR CONDICIONADO EM CHAPA GALVANIZADA BITOLA 24 - COM ISOLAMENTO DE MANTA FIXADA NA CHAPA COM CLAVO, INCLUSO FABRICAÇÃO. AF_03/2024</t>
  </si>
  <si>
    <t>INSTALAÇÃO DE CURVA, REDUÇÃO OU TÊ DE DUTO PARA AR CONDICIONADO EM CHAPA GALVANIZADA BITOLA 24 - COM ISOLAMENTO DE MANTA FIXADA NA CHAPA COM FITA PLÁSTICA, INCLUSO FABRICAÇÃO. AF_03/2024</t>
  </si>
  <si>
    <t>INSTALAÇÃO DE CURVA, REDUÇÃO OU TÊ DE DUTO PARA AR CONDICIONADO EM CHAPA GALVANIZADA BITOLA 26 - COM ISOLAMENTO DE MANTA FIXADA NA CHAPA COM CLAVO, INCLUSO FABRICAÇÃO. AF_03/2024</t>
  </si>
  <si>
    <t>INSTALAÇÃO DE CURVA, REDUÇÃO OU TÊ DE DUTO PARA AR CONDICIONADO EM CHAPA GALVANIZADA BITOLA 26 - COM ISOLAMENTO DE MANTA FIXADA NA CHAPA COM FITA PLÁSTICA, INCLUSO FABRICAÇÃO. AF_03/2024</t>
  </si>
  <si>
    <t>INSTALAÇÃO DE CURVA, REDUÇÃO OU TÊ PARA DUTO PARA AR CONDICIONADO EM CHAPA GALVANIZADA BITOLA 22 - COM ISOLAMENTO DE MANTA COLADA NA CHAPA, INCLUSO FABRICAÇÃO. AF_03/2024</t>
  </si>
  <si>
    <t>INSTALAÇÃO DE CURVA, REDUÇÃO OU TÊ PARA DUTO PARA AR CONDICIONADO EM CHAPA GALVANIZADA BITOLA 22 - SEM ISOLAMENTO, INCLUSO FABRICAÇÃO. AF_03/2024</t>
  </si>
  <si>
    <t>INSTALAÇÃO DE CURVA, REDUÇÃO OU TÊ PARA DUTO PARA AR CONDICIONADO EM CHAPA GALVANIZADA BITOLA 24 - COM ISOLAMENTO DE MANTA COLADA NA CHAPA, INCLUSO FABRICAÇÃO. AF_03/2024</t>
  </si>
  <si>
    <t>INSTALAÇÃO DE CURVA, REDUÇÃO OU TÊ PARA DUTO PARA AR CONDICIONADO EM CHAPA GALVANIZADA BITOLA 24 - SEM ISOLAMENTO, INCLUSO FABRICAÇÃO. AF_03/2024</t>
  </si>
  <si>
    <t>INSTALAÇÃO DE CURVA, REDUÇÃO OU TÊ PARA DUTO PARA AR CONDICIONADO EM CHAPA GALVANIZADA BITOLA 26 - COM ISOLAMENTO DE MANTA COLADA NA CHAPA, INCLUSO FABRICAÇÃO. AF_03/2024</t>
  </si>
  <si>
    <t>INSTALAÇÃO DE CURVA, REDUÇÃO OU TÊ PARA DUTO PARA AR CONDICIONADO EM CHAPA GALVANIZADA BITOLA 26 - SEM ISOLAMENTO, INCLUSO FABRICAÇÃO. AF_03/2024</t>
  </si>
  <si>
    <t>INSTALAÇÃO DE DUTO FLEXÍVEL CIRCULAR PARA AR CONDICIONADO EM ALUMÍNIO ISOLADO - DN 109 MM (4"). AF_03/2024</t>
  </si>
  <si>
    <t>INSTALAÇÃO DE DUTO FLEXÍVEL CIRCULAR PARA AR CONDICIONADO EM ALUMÍNIO ISOLADO - DN 131 MM (5"). AF_03/2024</t>
  </si>
  <si>
    <t>INSTALAÇÃO DE DUTO FLEXÍVEL CIRCULAR PARA AR CONDICIONADO EM ALUMÍNIO ISOLADO - DN 161 MM (6"). AF_03/2024</t>
  </si>
  <si>
    <t>INSTALAÇÃO DE DUTO FLEXÍVEL CIRCULAR PARA AR CONDICIONADO EM ALUMÍNIO ISOLADO - DN 185 MM (7"). AF_03/2024</t>
  </si>
  <si>
    <t>INSTALAÇÃO DE DUTO FLEXÍVEL CIRCULAR PARA AR CONDICIONADO EM ALUMÍNIO ISOLADO - DN 209 MM (8"). AF_03/2024</t>
  </si>
  <si>
    <t>INSTALAÇÃO DE DUTO FLEXÍVEL CIRCULAR PARA AR CONDICIONADO EM ALUMÍNIO ISOLADO - DN 263 MM (10"). AF_03/2024</t>
  </si>
  <si>
    <t>INSTALAÇÃO DE DUTO FLEXÍVEL CIRCULAR PARA AR CONDICIONADO EM ALUMÍNIO ISOLADO - DN 314 MM (12"). AF_03/2024</t>
  </si>
  <si>
    <t>INSTALAÇÃO DE DUTO FLEXÍVEL CIRCULAR PARA AR CONDICIONADO EM ALUMÍNIO ISOLADO - DN 364 MM (14"). AF_03/2024</t>
  </si>
  <si>
    <t>INSTALAÇÃO DE DUTO RETANGULAR PARA AR CONDICIONADO (TRECHO RETO) EM CHAPA GALVANIZADA BITOLA 22 - COM ISOLAMENTO DE MANTA COLADA NA CHAPA, INCLUSO FABRICAÇÃO. AF_03/2024</t>
  </si>
  <si>
    <t>INSTALAÇÃO DE DUTO RETANGULAR PARA AR CONDICIONADO (TRECHO RETO) EM CHAPA GALVANIZADA BITOLA 22 - COM ISOLAMENTO DE MANTA FIXADA NA CHAPA COM CLAVO, INCLUSO FABRICAÇÃO. AF_03/2024</t>
  </si>
  <si>
    <t>INSTALAÇÃO DE DUTO RETANGULAR PARA AR CONDICIONADO (TRECHO RETO) EM CHAPA GALVANIZADA BITOLA 22 - COM ISOLAMENTO DE MANTA FIXADA NA CHAPA COM FITA PLÁSTICA, INCLUSO FABRICAÇÃO. AF_03/2024</t>
  </si>
  <si>
    <t>INSTALAÇÃO DE DUTO RETANGULAR PARA AR CONDICIONADO (TRECHO RETO) EM CHAPA GALVANIZADA BITOLA 22 - SEM ISOLAMENTO, INCLUSO FABRICAÇÃO. AF_03/2024</t>
  </si>
  <si>
    <t>INSTALAÇÃO DE DUTO RETANGULAR PARA AR CONDICIONADO (TRECHO RETO) EM CHAPA GALVANIZADA BITOLA 24 - COM ISOLAMENTO DE MANTA COLADA NA CHAPA, INCLUSO FABRICAÇÃO. AF_03/2024</t>
  </si>
  <si>
    <t>INSTALAÇÃO DE DUTO RETANGULAR PARA AR CONDICIONADO (TRECHO RETO) EM CHAPA GALVANIZADA BITOLA 24 - COM ISOLAMENTO DE MANTA FIXADA NA CHAPA COM CLAVO, INCLUSO FABRICAÇÃO. AF_03/2024</t>
  </si>
  <si>
    <t>INSTALAÇÃO DE DUTO RETANGULAR PARA AR CONDICIONADO (TRECHO RETO) EM CHAPA GALVANIZADA BITOLA 24 - COM ISOLAMENTO DE MANTA FIXADA NA CHAPA COM FITA PLÁSTICA, INCLUSO FABRICAÇÃO. AF_03/2024</t>
  </si>
  <si>
    <t>INSTALAÇÃO DE DUTO RETANGULAR PARA AR CONDICIONADO (TRECHO RETO) EM CHAPA GALVANIZADA BITOLA 24 - SEM ISOLAMENTO, INCLUSO FABRICAÇÃO. AF_03/2024</t>
  </si>
  <si>
    <t>INSTALAÇÃO DE DUTO RETANGULAR PARA AR CONDICIONADO (TRECHO RETO) EM CHAPA GALVANIZADA BITOLA 26 - COM ISOLAMENTO DE MANTA COLADA NA CHAPA, INCLUSO FABRICAÇÃO. AF_03/2024</t>
  </si>
  <si>
    <t>INSTALAÇÃO DE DUTO RETANGULAR PARA AR CONDICIONADO (TRECHO RETO) EM CHAPA GALVANIZADA BITOLA 26 - COM ISOLAMENTO DE MANTA FIXADA NA CHAPA COM CLAVO, INCLUSO FABRICAÇÃO. AF_03/2024</t>
  </si>
  <si>
    <t>INSTALAÇÃO DE DUTO RETANGULAR PARA AR CONDICIONADO (TRECHO RETO) EM CHAPA GALVANIZADA BITOLA 26 - COM ISOLAMENTO DE MANTA FIXADA NA CHAPA COM FITA PLÁSTICA, INCLUSO FABRICAÇÃO. AF_03/2024</t>
  </si>
  <si>
    <t>INSTALAÇÃO DE DUTO RETANGULAR PARA AR CONDICIONADO (TRECHO RETO) EM CHAPA GALVANIZADA BITOLA 26 - SEM ISOLAMENTO, INCLUSO FABRICAÇÃO. AF_03/2024</t>
  </si>
  <si>
    <t>INSTALAÇÃO DE DUTO RETANGULAR PARA AR CONDICIONADO EM PAINEL PRÉ-ISOLADO, INCLUSO FABRICAÇÃO. AF_03/2024</t>
  </si>
  <si>
    <t>PINTURA ANTICORROSIVA DE DUTO METÁLICO. AF_03/2024</t>
  </si>
  <si>
    <t>COTOVELO HORIZONTAL 90º PARA ELETROCALHA, LISA OU PERFURADA EM AÇO GALVANIZADO, LARGURA DE 100MM E ALTURA DE 50MM - FORNECIMENTO E INSTALAÇÃO. AF_04/2023</t>
  </si>
  <si>
    <t>COTOVELO HORIZONTAL 90º PARA ELETROCALHA, LISA OU PERFURADA EM AÇO GALVANIZADO, LARGURA DE 50MM E ALTURA DE 50MM - FORNECIMENTO E INSTALAÇÃO. AF_04/2023</t>
  </si>
  <si>
    <t>COTOVELO HORIZONTAL 90º PARA ELETROCALHA, LISA OU PERFURADA EM AÇO GALVANIZADO, LARGURA DE 75MM E ALTURA DE 50MM - FORNECIMENTO E INSTALAÇÃO. AF_04/2023</t>
  </si>
  <si>
    <t>COTOVELO HORIZONTAL 90º, PARA ELETROCALHA, LISA OU PERFURADA EM AÇO GALVANIZADO, LARGURA DE 125MM E ALTURA DE 50MM - FORNECIMENTO E INSTALAÇÃO. AF_04/2023</t>
  </si>
  <si>
    <t>COTOVELO HORIZONTAL 90º, PARA ELETROCALHA, LISA OU PERFURADA EM AÇO GALVANIZADO, LARGURA DE 150MM E ALTURA DE 50MM - FORNECIMENTO E INSTALAÇÃO. AF_04/2023</t>
  </si>
  <si>
    <t>COTOVELO HORIZONTAL 90º, PARA ELETROCALHA, LISA OU PERFURADA EM AÇO GALVANIZADO, LARGURA DE 200MM E ALTURA DE 50MM - FORNECIMENTO E INSTALAÇÃO. AF_04/2023</t>
  </si>
  <si>
    <t>COTOVELO HORIZONTAL 90º, PARA ELETROCALHA, LISA OU PERFURADA EM AÇO GALVANIZADO, LARGURA DE 250MM E ALTURA DE 50MM - FORNECIMENTO E INSTALAÇÃO. AF_04/2023</t>
  </si>
  <si>
    <t>COTOVELO HORIZONTAL 90º, PARA ELETROCALHA, LISA OU PERFURADA EM AÇO GALVANIZADO, LARGURA DE 300MM E ALTURA DE 50MM - FORNECIMENTO E INSTALAÇÃO. AF_04/2023</t>
  </si>
  <si>
    <t>COTOVELO HORIZONTAL 90º, PARA ELETROCALHA, LISA OU PERFURADA EM AÇO GALVANIZADO, LARGURA DE 400MM E ALTURA DE 50MM - FORNECIMENTO E INSTALAÇÃO. AF_04/2023</t>
  </si>
  <si>
    <t>COTOVELO HORIZONTAL 90º, PARA ELETROCALHA, LISA OU PERFURADA EM AÇO GALVANIZADO, LARGURA DE 500MM E ALTURA DE 50MM - FORNECIMENTO E INSTALAÇÃO. AF_04/2023</t>
  </si>
  <si>
    <t>COTOVELO HORIZONTAL 90º, PARA ELETROCALHA, LISA OU PERFURADA EM AÇO GALVANIZADO, LARGURA DE 600MM E ALTURA DE 50MM - FORNECIMENTO E INSTALAÇÃO. AF_04/2023</t>
  </si>
  <si>
    <t>COTOVELO HORIZONTAL 90º, PARA ELETROCALHA, LISA OU PERFURADA EM AÇO GALVANIZADO, LARGURA DE 700MM E ALTURA DE 50MM - FORNECIMENTO E INSTALAÇÃO. AF_04/2023</t>
  </si>
  <si>
    <t>COTOVELO HORIZONTAL 90º, PARA ELETROCALHA, LISA OU PERFURADA EM AÇO GALVANIZADO, LARGURA DE 800MM E ALTURA DE 50MM - FORNECIMENTO E INSTALAÇÃO. AF_04/2023</t>
  </si>
  <si>
    <t>COTOVELO RETO 90º PARA ELETROCALHA, LISA OU PERFURADA EM AÇO GALVANIZADO, LARGURA DE 100MM E ALTURA DE 50MM - FORNECIMENTO E INSTALAÇÃO. AF_04/2023</t>
  </si>
  <si>
    <t>COTOVELO RETO 90º PARA ELETROCALHA, LISA OU PERFURADA EM AÇO GALVANIZADO, LARGURA DE 50MM E ALTURA DE 50MM - FORNECIMENTO E INSTALAÇÃO. AF_04/2023</t>
  </si>
  <si>
    <t>COTOVELO RETO 90º PARA ELETROCALHA, LISA OU PERFURADA EM AÇO GALVANIZADO, LARGURA DE 75MM E ALTURA DE 50MM - FORNECIMENTO E INSTALAÇÃO. AF_04/2023</t>
  </si>
  <si>
    <t>COTOVELO RETO 90º, PARA ELETROCALHA, LISA OU PERFURADA EM AÇO GALVANIZADO, LARGURA DE 125MM E ALTURA DE 50MM - FORNECIMENTO E INSTALAÇÃO. AF_04/2023</t>
  </si>
  <si>
    <t>COTOVELO RETO 90º, PARA ELETROCALHA, LISA OU PERFURADA EM AÇO GALVANIZADO, LARGURA DE 150MM E ALTURA DE 50MM - FORNECIMENTO E INSTALAÇÃO. AF_04/2023</t>
  </si>
  <si>
    <t>COTOVELO RETO 90º, PARA ELETROCALHA, LISA OU PERFURADA EM AÇO GALVANIZADO, LARGURA DE 200MM E ALTURA DE 50MM - FORNECIMENTO E INSTALAÇÃO. AF_04/2023</t>
  </si>
  <si>
    <t>COTOVELO RETO 90º, PARA ELETROCALHA, LISA OU PERFURADA EM AÇO GALVANIZADO, LARGURA DE 250MM E ALTURA DE 50MM - FORNECIMENTO E INSTALAÇÃO. AF_04/2023</t>
  </si>
  <si>
    <t>COTOVELO RETO 90º, PARA ELETROCALHA, LISA OU PERFURADA EM AÇO GALVANIZADO, LARGURA DE 300MM E ALTURA DE 50MM - FORNECIMENTO E INSTALAÇÃO. AF_04/2023</t>
  </si>
  <si>
    <t>COTOVELO RETO 90º, PARA ELETROCALHA, LISA OU PERFURADA EM AÇO GALVANIZADO, LARGURA DE 400MM E ALTURA DE 50MM - FORNECIMENTO E INSTALAÇÃO. AF_04/2023</t>
  </si>
  <si>
    <t>COTOVELO RETO 90º, PARA ELETROCALHA, LISA OU PERFURADA EM AÇO GALVANIZADO, LARGURA DE 500MM E ALTURA DE 50MM - FORNECIMENTO E INSTALAÇÃO. AF_04/2023</t>
  </si>
  <si>
    <t>COTOVELO RETO 90º, PARA ELETROCALHA, LISA OU PERFURADA EM AÇO GALVANIZADO, LARGURA DE 600MM E ALTURA DE 50MM - FORNECIMENTO E INSTALAÇÃO. AF_04/2023</t>
  </si>
  <si>
    <t>COTOVELO RETO 90º, PARA ELETROCALHA, LISA OU PERFURADA EM AÇO GALVANIZADO, LARGURA DE 700MM E ALTURA DE 50MM - FORNECIMENTO E INSTALAÇÃO. AF_04/2023</t>
  </si>
  <si>
    <t>COTOVELO RETO 90º, PARA ELETROCALHA, LISA OU PERFURADA EM AÇO GALVANIZADO, LARGURA DE 800MM E ALTURA DE 50MM - FORNECIMENTO E INSTALAÇÃO. AF_04/2023</t>
  </si>
  <si>
    <t>CURVA HORIZONTAL 90º PARA ELETROCALHA, LISA OU PERFURADA EM AÇO GALVANIZADO, LARGURA DE 100MM E ALTURA DE 50MM - FORNECIMENTO E INSTALAÇÃO. AF_04/2023</t>
  </si>
  <si>
    <t>CURVA HORIZONTAL 90º PARA ELETROCALHA, LISA OU PERFURADA EM AÇO GALVANIZADO, LARGURA DE 50MM E ALTURA DE 50MM - FORNECIMENTO E INSTALAÇÃO. AF_04/2023</t>
  </si>
  <si>
    <t>CURVA HORIZONTAL 90º, PARA ELETROCALHA, LISA OU PERFURADA EM AÇO GALVANIZADO, LARGURA DE 125MM E ALTURA DE 50MM - FORNECIMENTO E INSTALAÇÃO. AF_04/2023</t>
  </si>
  <si>
    <t>CURVA HORIZONTAL 90º, PARA ELETROCALHA, LISA OU PERFURADA EM AÇO GALVANIZADO, LARGURA DE 150MM E ALTURA DE 50MM - FORNECIMENTO E INSTALAÇÃO. AF_04/2023</t>
  </si>
  <si>
    <t>CURVA HORIZONTAL 90º, PARA ELETROCALHA, LISA OU PERFURADA EM AÇO GALVANIZADO, LARGURA DE 200MM E ALTURA DE 50MM - FORNECIMENTO E INSTALAÇÃO. AF_04/2023</t>
  </si>
  <si>
    <t>CURVA HORIZONTAL 90º, PARA ELETROCALHA, LISA OU PERFURADA EM AÇO GALVANIZADO, LARGURA DE 250MM E ALTURA DE 50MM - FORNECIMENTO E INSTALAÇÃO. AF_04/2023</t>
  </si>
  <si>
    <t>CURVA HORIZONTAL 90º, PARA ELETROCALHA, LISA OU PERFURADA EM AÇO GALVANIZADO, LARGURA DE 300MM E ALTURA DE 50MM - FORNECIMENTO E INSTALAÇÃO. AF_04/2023</t>
  </si>
  <si>
    <t>CURVA HORIZONTAL 90º, PARA ELETROCALHA, LISA OU PERFURADA EM AÇO GALVANIZADO, LARGURA DE 400MM E ALTURA DE 50MM - FORNECIMENTO E INSTALAÇÃO. AF_04/2023</t>
  </si>
  <si>
    <t>CURVA HORIZONTAL 90º, PARA ELETROCALHA, LISA OU PERFURADA EM AÇO GALVANIZADO, LARGURA DE 500MM E ALTURA DE 50MM - FORNECIMENTO E INSTALAÇÃO. AF_04/2023</t>
  </si>
  <si>
    <t>CURVA HORIZONTAL 90º, PARA ELETROCALHA, LISA OU PERFURADA EM AÇO GALVANIZADO, LARGURA DE 600MM E ALTURA DE 50MM - FORNECIMENTO E INSTALAÇÃO. AF_04/2023</t>
  </si>
  <si>
    <t>CURVA HORIZONTAL 90º, PARA ELETROCALHA, LISA OU PERFURADA EM AÇO GALVANIZADO, LARGURA DE 700MM E ALTURA DE 50MM - FORNECIMENTO E INSTALAÇÃO. AF_04/2023</t>
  </si>
  <si>
    <t>CURVA HORIZONTAL 90º, PARA ELETROCALHA, LISA OU PERFURADA EM AÇO GALVANIZADO, LARGURA DE 75MM E ALTURA DE 50MM - FORNECIMENTO E INSTALAÇÃO. AF_04/2023</t>
  </si>
  <si>
    <t>CURVA HORIZONTAL 90º, PARA ELETROCALHA, LISA OU PERFURADA EM AÇO GALVANIZADO, LARGURA DE 800MM E ALTURA DE 50MM - FORNECIMENTO E INSTALAÇÃO. AF_04/2023</t>
  </si>
  <si>
    <t>ELETROCALHA LISA OU PERFURADA EM AÇO GALVANIZADO, LARGURA 100MM E ALTURA 50MM, INCLUSIVE EMENDA E FIXAÇÃO - FORNECIMENTO E INSTALAÇÃO. AF_04/2023</t>
  </si>
  <si>
    <t>ELETROCALHA LISA OU PERFURADA EM AÇO GALVANIZADO, LARGURA 125MM E ALTURA 50MM, INCLUSIVE EMENDA E FIXAÇÃO - FORNECIMENTO E INSTALAÇÃO. AF_04/2023</t>
  </si>
  <si>
    <t>ELETROCALHA LISA OU PERFURADA EM AÇO GALVANIZADO, LARGURA 150MM E ALTURA 50MM, INCLUSIVE EMENDA E FIXAÇÃO - FORNECIMENTO E INSTALAÇÃO. AF_04/2023</t>
  </si>
  <si>
    <t>ELETROCALHA LISA OU PERFURADA EM AÇO GALVANIZADO, LARGURA 200MM E ALTURA 50MM, INCLUSIVE EMENDA E FIXAÇÃO - FORNECIMENTO E INSTALAÇÃO. AF_04/2023</t>
  </si>
  <si>
    <t>ELETROCALHA LISA OU PERFURADA EM AÇO GALVANIZADO, LARGURA 250MM E ALTURA 50MM, INCLUSIVE EMENDA E FIXAÇÃO - FORNECIMENTO E INSTALAÇÃO. AF_04/2023</t>
  </si>
  <si>
    <t>ELETROCALHA LISA OU PERFURADA EM AÇO GALVANIZADO, LARGURA 300MM E ALTURA 50MM, INCLUSIVE EMENDA E FIXAÇÃO - FORNECIMENTO E INSTALAÇÃO. AF_04/2023</t>
  </si>
  <si>
    <t>ELETROCALHA LISA OU PERFURADA EM AÇO GALVANIZADO, LARGURA 400MM E ALTURA 50MM, INCLUSIVE EMENDA E FIXAÇÃO - FORNECIMENTO E INSTALAÇÃO. AF_04/2023</t>
  </si>
  <si>
    <t>ELETROCALHA LISA OU PERFURADA EM AÇO GALVANIZADO, LARGURA 500MM E ALTURA 50MM, INCLUSIVE EMENDA E FIXAÇÃO - FORNECIMENTO E INSTALAÇÃO. AF_04/2023</t>
  </si>
  <si>
    <t>ELETROCALHA LISA OU PERFURADA EM AÇO GALVANIZADO, LARGURA 50MM E ALTURA 50MM, INCLUSIVE EMENDA E FIXAÇÃO - FORNECIMENTO E INSTALAÇÃO. AF_04/2023</t>
  </si>
  <si>
    <t>ELETROCALHA LISA OU PERFURADA EM AÇO GALVANIZADO, LARGURA 600MM E ALTURA 50MM, INCLUSIVE EMENDA E FIXAÇÃO - FORNECIMENTO E INSTALAÇÃO. AF_04/2023</t>
  </si>
  <si>
    <t>ELETROCALHA LISA OU PERFURADA EM AÇO GALVANIZADO, LARGURA 700MM E ALTURA 50MM, INCLUSIVE EMENDA E FIXAÇÃO - FORNECIMENTO E INSTALAÇÃO. AF_04/2023</t>
  </si>
  <si>
    <t>ELETROCALHA LISA OU PERFURADA EM AÇO GALVANIZADO, LARGURA 75MM E ALTURA 50MM, INCLUSIVE EMENDA E FIXAÇÃO - FORNECIMENTO E INSTALAÇÃO. AF_04/2023</t>
  </si>
  <si>
    <t>ELETROCALHA LISA OU PERFURADA EM AÇO GALVANIZADO, LARGURA 800MM E ALTURA 50MM, INCLUSIVE EMENDA E FIXAÇÃO - FORNECIMENTO E INSTALAÇÃO. AF_04/2023</t>
  </si>
  <si>
    <t>EMENDA PARA ELETROCALHA, LISA OU PERFURADA EM AÇO GALVANIZADO, LARGURA 100MM E ALTURA 50MM - FORNECIMENTO E INSTALAÇÃO. AF_04/2023</t>
  </si>
  <si>
    <t>EMENDA PARA ELETROCALHA, LISA OU PERFURADA EM AÇO GALVANIZADO, LARGURA 125MM E ALTURA 50MM - FORNECIMENTO E INSTALAÇÃO. AF_04/2023</t>
  </si>
  <si>
    <t>EMENDA PARA ELETROCALHA, LISA OU PERFURADA EM AÇO GALVANIZADO, LARGURA 150MM E ALTURA 50MM - FORNECIMENTO E INSTALAÇÃO. AF_04/2023</t>
  </si>
  <si>
    <t>EMENDA PARA ELETROCALHA, LISA OU PERFURADA EM AÇO GALVANIZADO, LARGURA 50MM E ALTURA 50MM - FORNECIMENTO E INSTALAÇÃO. AF_04/2023</t>
  </si>
  <si>
    <t>EMENDA PARA ELETROCALHA, LISA OU PERFURADA EM AÇO GALVANIZADO, LARGURA 75MM E ALTURA 50MM - FORNECIMENTO E INSTALAÇÃO. AF_04/2023</t>
  </si>
  <si>
    <t>EMENDA PARA ELETROCALHA, LISA OU PERFURADA EM AÇO GALVANIZADO, LARGURA DE 200MM E ALTURA DE 50MM - FORNECIMENTO E INSTALAÇÃO. AF_04/2023</t>
  </si>
  <si>
    <t>EMENDA PARA ELETROCALHA, LISA OU PERFURADA EM AÇO GALVANIZADO, LARGURA DE 250MM E ALTURA DE 50MM - FORNECIMENTO E INSTALAÇÃO. AF_04/2023</t>
  </si>
  <si>
    <t>EMENDA PARA ELETROCALHA, LISA OU PERFURADA EM AÇO GALVANIZADO, LARGURA DE 300MM E ALTURA DE 50MM - FORNECIMENTO E INSTALAÇÃO. AF_04/2023</t>
  </si>
  <si>
    <t>EMENDA PARA ELETROCALHA, LISA OU PERFURADA EM AÇO GALVANIZADO, LARGURA DE 400MM E ALTURA DE 50MM - FORNECIMENTO E INSTALAÇÃO. AF_04/2023</t>
  </si>
  <si>
    <t>EMENDA PARA ELETROCALHA, LISA OU PERFURADA EM AÇO GALVANIZADO, LARGURA DE 500MM E ALTURA DE 50MM - FORNECIMENTO E INSTALAÇÃO. AF_04/2023</t>
  </si>
  <si>
    <t>EMENDA PARA ELETROCALHA, LISA OU PERFURADA EM AÇO GALVANIZADO, LARGURA DE 600MM E ALTURA DE 50MM - FORNECIMENTO E INSTALAÇÃO. AF_04/2023</t>
  </si>
  <si>
    <t>EMENDA PARA ELETROCALHA, LISA OU PERFURADA EM AÇO GALVANIZADO, LARGURA DE 700MM E ALTURA DE 50MM - FORNECIMENTO E INSTALAÇÃO. AF_04/2023</t>
  </si>
  <si>
    <t>EMENDA PARA ELETROCALHA, LISA OU PERFURADA EM AÇO GALVANIZADO, LARGURA DE 800MM E ALTURA DE 50MM - FORNECIMENTO E INSTALAÇÃO. AF_04/2023</t>
  </si>
  <si>
    <t>REDUÇÃO PARA ELETROCALHA, LISA OU PERFURADA EM AÇO GALVANIZADO, 100X75MM E ALTURA 50MM - FORNECIMENTO E INSTALAÇÃO. AF_04/2023</t>
  </si>
  <si>
    <t>REDUÇÃO PARA ELETROCALHA, LISA OU PERFURADA EM AÇO GALVANIZADO, 125X100MM E ALTURA DE 50MM - FORNECIMENTO E INSTALAÇÃO. AF_04/2023</t>
  </si>
  <si>
    <t>REDUÇÃO PARA ELETROCALHA, LISA OU PERFURADA EM AÇO GALVANIZADO, 150X125MM E ALTURA DE 50MM - FORNECIMENTO E INSTALAÇÃO. AF_04/2023</t>
  </si>
  <si>
    <t>REDUÇÃO PARA ELETROCALHA, LISA OU PERFURADA EM AÇO GALVANIZADO, 75X50MM E ALTURA 50MM - FORNECIMENTO E INSTALAÇÃO. AF_04/2023</t>
  </si>
  <si>
    <t>REDUÇÃO PARA ELETROCALHA, LISA OU PERFURADA EM AÇO GALVANIZADO, LARGURA DE 200X150MM E ALTURA DE 50MM - FORNECIMENTO E INSTALAÇÃO. AF_04/2023</t>
  </si>
  <si>
    <t>REDUÇÃO PARA ELETROCALHA, LISA OU PERFURADA EM AÇO GALVANIZADO, LARGURA DE 250X200MM E ALTURA DE 50MM - FORNECIMENTO E INSTALAÇÃO. AF_04/2023</t>
  </si>
  <si>
    <t>REDUÇÃO PARA ELETROCALHA, LISA OU PERFURADA EM AÇO GALVANIZADO, LARGURA DE 300X250MM E ALTURA DE 50MM - FORNECIMENTO E INSTALAÇÃO. AF_04/2023</t>
  </si>
  <si>
    <t>REDUÇÃO PARA ELETROCALHA, LISA OU PERFURADA EM AÇO GALVANIZADO, LARGURA DE 400X300MM E ALTURA DE 50MM - FORNECIMENTO E INSTALAÇÃO. AF_04/2023</t>
  </si>
  <si>
    <t>REDUÇÃO PARA ELETROCALHA, LISA OU PERFURADA EM AÇO GALVANIZADO, LARGURA DE 500X400MM E ALTURA DE 50MM - FORNECIMENTO E INSTALAÇÃO. AF_04/2023</t>
  </si>
  <si>
    <t>REDUÇÃO PARA ELETROCALHA, LISA OU PERFURADA EM AÇO GALVANIZADO, LARGURA DE 600X500MM E ALTURA DE 50MM - FORNECIMENTO E INSTALAÇÃO. AF_04/2023</t>
  </si>
  <si>
    <t>REDUÇÃO PARA ELETROCALHA, LISA OU PERFURADA EM AÇO GALVANIZADO, LARGURA DE 700X600MM E ALTURA DE 50MM - FORNECIMENTO E INSTALAÇÃO. AF_04/2023</t>
  </si>
  <si>
    <t>REDUÇÃO PARA ELETROCALHA, LISA OU PERFURADA EM AÇO GALVANIZADO, LARGURA DE 800X700MM E ALTURA DE 50MM - FORNECIMENTO E INSTALAÇÃO. AF_04/2023</t>
  </si>
  <si>
    <t>TÊ HORIZONTAL 90º, PARA ELETROCALHA, LISA OU PERFURADA EM AÇO GALVANIZADO, LARGURA DE 100MM E ALTURA DE 50MM - FORNECIMENTO E INSTALAÇÃO. AF_04/2023</t>
  </si>
  <si>
    <t>TÊ HORIZONTAL 90º, PARA ELETROCALHA, LISA OU PERFURADA EM AÇO GALVANIZADO, LARGURA DE 125MM E ALTURA DE 50MM - FORNECIMENTO E INSTALAÇÃO. AF_04/2023</t>
  </si>
  <si>
    <t>TÊ HORIZONTAL 90º, PARA ELETROCALHA, LISA OU PERFURADA EM AÇO GALVANIZADO, LARGURA DE 150MM E ALTURA DE 50MM - FORNECIMENTO E INSTALAÇÃO. AF_04/2023</t>
  </si>
  <si>
    <t>TÊ HORIZONTAL 90º, PARA ELETROCALHA, LISA OU PERFURADA EM AÇO GALVANIZADO, LARGURA DE 200MM E ALTURA DE 50MM - FORNECIMENTO E INSTALAÇÃO. AF_04/2023</t>
  </si>
  <si>
    <t>TÊ HORIZONTAL 90º, PARA ELETROCALHA, LISA OU PERFURADA EM AÇO GALVANIZADO, LARGURA DE 250MM E ALTURA DE 50MM - FORNECIMENTO E INSTALAÇÃO. AF_04/2023</t>
  </si>
  <si>
    <t>TÊ HORIZONTAL 90º, PARA ELETROCALHA, LISA OU PERFURADA EM AÇO GALVANIZADO, LARGURA DE 300MM E ALTURA DE 50MM - FORNECIMENTO E INSTALAÇÃO. AF_04/2023</t>
  </si>
  <si>
    <t>TÊ HORIZONTAL 90º, PARA ELETROCALHA, LISA OU PERFURADA EM AÇO GALVANIZADO, LARGURA DE 400MM E ALTURA DE 50MM - FORNECIMENTO E INSTALAÇÃO. AF_04/2023</t>
  </si>
  <si>
    <t>TÊ HORIZONTAL 90º, PARA ELETROCALHA, LISA OU PERFURADA EM AÇO GALVANIZADO, LARGURA DE 500MM E ALTURA DE 50MM - FORNECIMENTO E INSTALAÇÃO. AF_04/2023</t>
  </si>
  <si>
    <t>TÊ HORIZONTAL 90º, PARA ELETROCALHA, LISA OU PERFURADA EM AÇO GALVANIZADO, LARGURA DE 50MM E ALTURA DE 50MM - FORNECIMENTO E INSTALAÇÃO. AF_04/2023</t>
  </si>
  <si>
    <t>TÊ HORIZONTAL 90º, PARA ELETROCALHA, LISA OU PERFURADA EM AÇO GALVANIZADO, LARGURA DE 600MM E ALTURA DE 50MM - FORNECIMENTO E INSTALAÇÃO. AF_04/2023</t>
  </si>
  <si>
    <t>TÊ HORIZONTAL 90º, PARA ELETROCALHA, LISA OU PERFURADA EM AÇO GALVANIZADO, LARGURA DE 700MM E ALTURA DE 50MM - FORNECIMENTO E INSTALAÇÃO. AF_04/2023</t>
  </si>
  <si>
    <t>TÊ HORIZONTAL 90º, PARA ELETROCALHA, LISA OU PERFURADA EM AÇO GALVANIZADO, LARGURA DE 75MM E ALTURA DE 50MM - FORNECIMENTO E INSTALAÇÃO. AF_04/2023</t>
  </si>
  <si>
    <t>TÊ HORIZONTAL 90º, PARA ELETROCALHA, LISA OU PERFURADA EM AÇO GALVANIZADO, LARGURA DE 800MM E ALTURA DE 50MM - FORNECIMENTO E INSTALAÇÃO. AF_04/2023</t>
  </si>
  <si>
    <t>COLOCAÇÃO DE TELA EM ANDAIME FACHADEIRO. AF_03/2024</t>
  </si>
  <si>
    <t>COLOCAÇÃO DE TELA FACHADEIRA PERIMETRAL. AF_03/2024</t>
  </si>
  <si>
    <t>FECHAMENTO METÁLICO REMOVÍVEL DE ABERTURA DE CAIXILHO (PROTEÇÃO DE GESSEIRO) - 4 MONTAGENS EM OBRA. AF_03/2024</t>
  </si>
  <si>
    <t>FECHAMENTO METÁLICO REMOVÍVEL DE VÃO DE PORTAS (VÃO DO ELEVADOR) - 1 MONTAGEM EM OBRA. AF_03/2024</t>
  </si>
  <si>
    <t>FECHAMENTO REMOVÍVEL DE ABERTURA DE CAIXILHO EM MADEIRA - 4 MONTAGENS EM OBRA. AF_03/2024</t>
  </si>
  <si>
    <t>FECHAMENTO REMOVÍVEL DE ABERTURA NO PISO EM MADEIRA - 1 MONTAGEM EM OBRA. AF_03/2024</t>
  </si>
  <si>
    <t>FECHAMENTO REMOVÍVEL DE VÃO DE PORTAS EM MADEIRA (VÃO DO ELEVADOR) - 1 MONTAGEM EM OBRA. AF_03/2024</t>
  </si>
  <si>
    <t>FITA DE SINALIZAÇÃO FIXADA NA ESTRUTURA. AF_03/2024</t>
  </si>
  <si>
    <t>GUARDA-CORPO DE CONCRETAGEM COM MONTANTES METÁLICOS FIXADOS EM BARROTES (VIGAMENTO) DE FORMA DE MADEIRA COM FECHAMENTO EM PAINEL DE TELA METÁLICA. AF_03/2024</t>
  </si>
  <si>
    <t>GUARDA-CORPO DE CONCRETAGEM COM MONTANTES METÁLICOS FIXADOS NOS GARFOS DE FORMA DE MADEIRA COM FECHAMENTO EM PAINEL DE TELA METÁLICA. AF_03/2024</t>
  </si>
  <si>
    <t>GUARDA-CORPO EM LAJE PÓS DESFÔRMA COM MONTANTE METÁLICO FIXADO EM LAJE COM PARABOLT E FECHAMENTO EM PAINEL DE TELA METÁLICA. AF_03/2024</t>
  </si>
  <si>
    <t>GUARDA-CORPO EM LAJE PÓS DESFÔRMA COM MONTANTE METÁLICO FIXADO EM LAJE COM SARGENTO E FECHAMENTO EM PAINEL DE TELA METÁLICA. AF_03/2024</t>
  </si>
  <si>
    <t>GUARDA-CORPO EM LAJE PÓS-DESFÔRMA COM CABOS DE AÇO E FECHAMENTO EM TELA DE POLIPROPILENO (SISTEMA DE BARREIRA COM REDE) PARA EDIFÍCIOS ACIMA DE 4 PAVIMENTOS (2 MONTAGENS). AF_03/2024</t>
  </si>
  <si>
    <t>GUARDA-CORPO EM LAJE PÓS-DESFÔRMA COM CABOS DE AÇO E FECHAMENTO EM TELA DE POLIPROPILENO (SISTEMA DE BARREIRA COM REDE)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</si>
  <si>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</si>
  <si>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DE MADEIRA ESTRONCADAS NA ESTRUTURA, TRAVESSÕES DE MADEIRA E FECHAMENTO EM TELA DE POLIPROPILENO PARA EDIFÍCIOS COM ATÉ 4 PAVIMENTOS (1 MONTAGEM). AF_03/2024</t>
  </si>
  <si>
    <t>GUARDA-CORPO EM LAJE PÓS-DESFÔRMA COM ESCORAS METÁLICAS ESTRONCADAS NA ESTRUTURA E FECHAMENTO EM PAINEL DE TELA METÁLICA PARA EDIFÍCIOS ACIMA DE 4 PAVIMENTOS (2 MONTAGENS). AF_03/2024</t>
  </si>
  <si>
    <t>GUARDA-CORPO EM LAJE PÓS-DESFÔRMA COM ESCORAS METÁLICAS ESTRONCADAS NA ESTRUTURA E FECHAMENTO EM PAINEL DE TELA METÁLICA PARA EDIFÍCIOS COM ATÉ 4 PAVIMENTOS (1 MONTAGEM). AF_03/2024</t>
  </si>
  <si>
    <t>GUARDA-CORPO EM LAJE PÓS-DESFÔRMA COM ESCORAS METÁLICAS ESTRONCADAS NA ESTRUTURA, TRAVESSÕES DE MADEIRA E FECHAMENTO EM TELA DE POLIPROPILENO PARA EDIFÍCIOS ACIMA DE 4 PAVIMENTOS (2 MONTAGENS). AF_03/2024_PS</t>
  </si>
  <si>
    <t>GUARDA-CORPO EM LAJE PÓS-DESFÔRMA COM ESCORAS METÁLICAS ESTRONCADAS NA ESTRUTURA, TRAVESSÕES DE MADEIRA E FECHAMENTO EM TELA DE POLIPROPILENO PARA EDIFÍCIOS COM ATÉ 4 PAVIMENTOS (1 MONTAGEM). AF_03/2024_PS</t>
  </si>
  <si>
    <t>GUARDA-CORPO EM LAJE PÓS-DESFÔRMA COM MONTANTE METÁLICO FIXADO COM BARRAS DE AÇO ENGASTADAS NA LAJE, CABOS DE AÇO E FECHAMENTO EM TELA DE POLIPROPILENO PARA EDIFÍCIOS ACIMA DE 4 PAVIMENTOS (2 MONTAGENS). AF_03/2024</t>
  </si>
  <si>
    <t>GUARDA-CORPO EM LAJE PÓS-DESFÔRMA COM MONTANTE METÁLICO FIXADO COM BARRAS DE AÇO ENGASTADAS NA LAJE, CABOS DE AÇO E FECHAMENTO EM TELA DE POLIPROPILENO PARA EDIFÍCIOS COM ATÉ 4 PAVIMENTOS (1 MONTAGEM). AF_03/2024</t>
  </si>
  <si>
    <t>GUARDA-CORPO EM LAJE PÓS-DESFÔRMA COM MONTANTE METÁLICO FIXADO COM BARRAS DE AÇO ENGASTADAS NA LAJE, TRAVESSÃO EM MADEIRA E FECHAMENTO EM TELA DE POLIPROPILENO PARA EDIFÍCIOS ACIMA DE 4 PAVIMENTOS (2 MONTAGENS). AF_03/2024</t>
  </si>
  <si>
    <t>GUARDA-CORPO EM LAJE PÓS-DESFÔRMA COM MONTANTE METÁLICO FIXADO COM BARRAS DE AÇO ENGASTADAS NA LAJE, TRAVESSÃO EM MADEIRA E FECHAMENTO EM TELA DE POLIPROPILENO PARA EDIFÍCIOS COM ATÉ 4 PAVIMENTOS (1 MONTAGEM). AF_03/2024</t>
  </si>
  <si>
    <t>GUARDA-CORPO EM LAJE PÓS-DESFÔRMA COM MONTANTE METÁLICO FIXADO EM VIGA DE BORDA E FECHAMENTO EM PAINEL DE TELA METÁLICA PARA EDIFÍCIOS ACIMA DE 4 PAVIMENTOS (2 MONTAGENS). AF_03/2024</t>
  </si>
  <si>
    <t>GUARDA-CORPO EM LAJE PÓS-DESFÔRMA, PARA ESTRUTURAS EM CONCRETO, COM MONTANTE METÁLICO FIXADO EM VIGA DE BORDA E FECHAMENTO EM PAINEL DE TELA METÁLICA PARA EDIFÍCIOS COM ATÉ 4 PAVIMENTOS (1 MONTAGEM).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</si>
  <si>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</si>
  <si>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</si>
  <si>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E FECHAMENTO EM PLACA COMPENSADO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</si>
  <si>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</si>
  <si>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</si>
  <si>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FIXADO EM FÔRMA DE MADEIRA COM MONTANTES E TRAVESSÕES EM MADEIRA PRÉ-MONTADOS PARA EDIFÍCIOS COM ATÉ 2 PAVIMENTOS. AF_03/2024</t>
  </si>
  <si>
    <t>GUARDA-CORPO PARA ALVENARIA ESTRUTURAL, COM MONTANTE METÁLICO PARA DOIS NÍVEIS DE PROTEÇÃO E FECHAMENTO EM PAINEL DE TELA METÁLICA PARA EDIFÍCIOS ACIMA DE 8 PAVIMENTOS. AF_03/2024</t>
  </si>
  <si>
    <t>GUARDA-CORPO PARA ALVENARIA ESTRUTURAL, COM MONTANTE METÁLICO PARA DOIS NÍVEIS DE PROTEÇÃO E FECHAMENTO EM PAINEL DE TELA METÁLICA PARA EDIFÍCIOS COM ALTURA DE 5 A 8 PAVIMENTOS. AF_03/2024</t>
  </si>
  <si>
    <t>GUARDA-CORPO PARA ALVENARIA ESTRUTURAL, COM MONTANTE METÁLICO PARA DOIS NÍVEIS DE PROTEÇÃO E FECHAMENTO EM PAINEL DE TELA METÁLICA PARA EDIFÍCIOS COM ATÉ 4 PAVIMENTOS. AF_03/2024</t>
  </si>
  <si>
    <t>GUARDA-CORPO PARA POÇO DE CREMALHEIRA, COM MONTANTE METÁLICO FIXADO EM LAJE COM CHUMBADOR PARABOLT E FECHAMENTO EM PAINEL DE TELA METÁLICA (EXCLUSO PROTEÇÃO). AF_03/2024</t>
  </si>
  <si>
    <t>INSTALAÇÃO DE GAMBIARRA PARA SINALIZAÇÃO, INCLUINDO LÂMPADA, E SINALIZADOR. AF_03/2024</t>
  </si>
  <si>
    <t>INSTALAÇÃO DE SINALIZADOR NOTURNO LED. AF_03/2024</t>
  </si>
  <si>
    <t>LINHA DE VIDA INSTALADA JUNTO AO PISO PARA EDIFÍCIOS ACIMA DE 8 PAVIMENTOS. AF_03/2024</t>
  </si>
  <si>
    <t>LINHA DE VIDA INSTALADA JUNTO AO PISO PARA EDIFÍCIOS DE 5 A 8 PAVIMENTOS. AF_03/2024</t>
  </si>
  <si>
    <t>LINHA DE VIDA INSTALADA JUNTO AO PISO PARA EDIFÍCIOS DE ATÉ 4 PAVIMENTOS. AF_03/2024</t>
  </si>
  <si>
    <t>LINHA DE VIDA TIPO VARAL DE SEGURANÇA COM CABO DE AÇO PARA PROTEÇÃO DE PERIFERIA PARA EDIFÍCIOS ACIMA DE 8 PAVIMENTOS. AF_03/2024</t>
  </si>
  <si>
    <t>LINHA DE VIDA TIPO VARAL DE SEGURANÇA COM CABO DE AÇO PARA PROTEÇÃO DE PERIFERIA PARA EDIFÍCIOS DE 5 A 8 PAVIMENTOS. AF_03/2024</t>
  </si>
  <si>
    <t>LINHA DE VIDA TIPO VARAL DE SEGURANÇA COM CABO DE AÇO PARA PROTEÇÃO DE PERIFERIA PARA EDIFÍCIOS DE ATÉ 4 PAVIMENTOS. AF_03/2024</t>
  </si>
  <si>
    <t>MONTAGEM E DESMONTAGEM DE ANDAIME MODULAR FACHADEIRO, COM PISO METÁLICO, PARA EDIFÍCIOS COM MULTIPLOS PAVIMENTOS (EXCLUSIVE ANDAIME E LIMPEZA). AF_03/2024</t>
  </si>
  <si>
    <t>MONTAGEM E DESMONTAGEM DE ANDAIME MULTIDIRECIONAL (EXCLUSIVE ANDAIME E LIMPEZA). AF_03/2024</t>
  </si>
  <si>
    <t>MONTAGEM E DESMONTAGEM DE ANDAIME TUBULAR TIPO "TORRE" (EXCLUSIVE ANDAIME E LIMPEZA). AF_03/2024</t>
  </si>
  <si>
    <t>PLACA INDICATIVA FIXADA DIRETAMENTE NA ESTRUTURA ATRAVÉS DE PREGOS. AF_03/2024</t>
  </si>
  <si>
    <t>PLATAFORMA DE PROTEÇÃO PRINCIPAL (PRIMÁRIA) PARA COLETA DE RESÍDUOS COM ESTRUTURA METÁLICA E FORRAÇÃO EM TÁBUA DE MADEIRA SERRADA - 1 MONTAGEM POR OBRA. AF_03/2024</t>
  </si>
  <si>
    <t>PLATAFORMA DE PROTEÇÃO PRINCIPAL (PRIMÁRIA) PARA COLETA DE RESÍDUOS COM ESTRUTURA METÁLICA E FORRAÇÃO EM TÁBUA DE MADEIRA SERRADA - 2 MONTAGENS POR OBRA. AF_03/2024</t>
  </si>
  <si>
    <t>PLATAFORMA DE PROTEÇÃO PRINCIPAL (PRIMÁRIA) PARA COLETA DE RESÍDUOS COM ESTRUTURA METÁLICA E TRAMA DE MADEIRA FORRADA EM PAINEL COMPENSADO - 1 MONTAGEM POR OBRA. AF_03/2024</t>
  </si>
  <si>
    <t>PLATAFORMA DE PROTEÇÃO PRINCIPAL (PRIMÁRIA) PARA COLETA DE RESÍDUOS COM ESTRUTURA METÁLICA E TRAMA DE MADEIRA FORRADA EM PAINEL COMPENSADO - 2 MONTAGENS POR OBRA. AF_03/2024</t>
  </si>
  <si>
    <t>PLATAFORMA DE PROTEÇÃO PRINCIPAL PARA ALVENARIA ESTRUTURAL PARA SER APOIADA EM ANDAIME, INCLUSIVE MONTAGEM E DESMONTAGEM. AF_03/2024</t>
  </si>
  <si>
    <t>PLATAFORMA DE PROTEÇÃO SECUNDÁRIA PARA COLETA DE RESÍDUOS COM ESTRUTURA METÁLICA E FORRAÇÃO EM TÁBUA DE MADEIRA SERRADA - 1 MONTAGEM POR OBRA. AF_03/2024</t>
  </si>
  <si>
    <t>PLATAFORMA DE PROTEÇÃO SECUNDÁRIA PARA COLETA DE RESÍDUOS COM ESTRUTURA METÁLICA E FORRAÇÃO EM TÁBUA DE MADEIRA SERRADA - 2 MONTAGENS POR OBRA. AF_03/2024</t>
  </si>
  <si>
    <t>PLATAFORMA DE PROTEÇÃO SECUNDÁRIA PARA COLETA DE RESÍDUOS COM ESTRUTURA METÁLICA E FORRAÇÃO EM TÁBUA DE MADEIRA SERRADA - 3 MONTAGENS POR OBRA. AF_03/2024</t>
  </si>
  <si>
    <t>PLATAFORMA DE PROTEÇÃO SECUNDÁRIA PARA COLETA DE RESÍDUOS COM ESTRUTURA METÁLICA E TRAMA DE MADEIRA FORRADA EM PAINEL COMPENSADO - 1 MONTAGEM POR OBRA. AF_03/2024</t>
  </si>
  <si>
    <t>PLATAFORMA DE PROTEÇÃO SECUNDÁRIA PARA COLETA DE RESÍDUOS COM ESTRUTURA METÁLICA E TRAMA DE MADEIRA FORRADA EM PAINEL COMPENSADO - 2 MONTAGENS POR OBRA. AF_03/2024</t>
  </si>
  <si>
    <t>PLATAFORMA DE PROTEÇÃO SECUNDÁRIA PARA COLETA DE RESÍDUOS COM ESTRUTURA METÁLICA E TRAMA DE MADEIRA FORRADA EM PAINEL COMPENSADO - 3 MONTAGENS POR OBRA. AF_03/2024</t>
  </si>
  <si>
    <t>PLATAFORMA DE PROTEÇÃO TERCIÁRIA PARA COLETA DE RESÍDUOS COM ESTRUTURA METÁLICA E FORRAÇÃO EM TÁBUA DE MADEIRA SERRADA - 1 MONTAGEM POR OBRA. AF_03/2024</t>
  </si>
  <si>
    <t>PLATAFORMA DE PROTEÇÃO TERCIÁRIA PARA COLETA DE RESÍDUOS COM ESTRUTURA METÁLICA E FORRAÇÃO EM TÁBUA DE MADEIRA SERRADA - 2 MONTAGENS POR OBRA. AF_03/2024</t>
  </si>
  <si>
    <t>PLATAFORMA DE PROTEÇÃO TERCIÁRIA PARA COLETA DE RESÍDUOS COM ESTRUTURA METÁLICA E TRAMA DE MADEIRA FORRADA EM PAINEL COMPENSADO - 1 MONTAGEM POR OBRA. AF_03/2024</t>
  </si>
  <si>
    <t>PLATAFORMA DE PROTEÇÃO TERCIÁRIA PARA COLETA DE RESÍDUOS COM ESTRUTURA METÁLICA E TRAMA DE MADEIRA FORRADA EM PAINEL COMPENSADO - 2 MONTAGENS POR OBRA. AF_03/2024</t>
  </si>
  <si>
    <t>PONTEIRAS DE PROTEÇÃO DE PONTAS E VERGALHÕES EXPOSTOS EM ALVENARIA ESTRUTURAL. AF_03/2024</t>
  </si>
  <si>
    <t>PONTEIRAS DE PROTEÇÃO DE PONTAS E VERGALHÕES EXPOSTOS EM ESTRUTURAS DE CONCRETO ARMADO CONVENCIONAL. AF_03/2024</t>
  </si>
  <si>
    <t>PONTEIRAS DE PROTEÇÃO DE PONTAS E VERGALHÕES EXPOSTOS EM FUNDAÇÕES. AF_03/2024</t>
  </si>
  <si>
    <t>PROTEÇÃO DE ACESSO A CREMALHEIRA, COM CANCELA FIXADA EM LAJE - 1 MONTAGEM (EXCLUSO CANCELA). AF_03/2024</t>
  </si>
  <si>
    <t>PROTEÇÃO DE PEDESTRES, INCLUSIVE MONTAGEM E DESMONTAGEM. AF_03/2024_PS</t>
  </si>
  <si>
    <t>REDE DE PROTEÇÃO PISO A PISO (SISTEMA U). AF_03/2024</t>
  </si>
  <si>
    <t>REDE DE PROTEÇÃO TIPO SLQA INTERMEDIÁRIO PARA EDIFÍCIOS ACIMA DE 8 PAVIMENTOS. AF_03/2024</t>
  </si>
  <si>
    <t>REDE DE PROTEÇÃO TIPO SLQA INTERMEDIÁRIO PARA EDIFÍCIOS DE 5 A 8 PAVIMENTOS. AF_03/2024</t>
  </si>
  <si>
    <t>REDE DE PROTEÇÃO TIPO SLQA INTERMEDIÁRIO PARA EDIFÍCIOS DE ATÉ 4 PAVIMENTOS. AF_03/2024</t>
  </si>
  <si>
    <t>REDE DE PROTEÇÃO TIPO SLQA PESADO COM SUPORTES METÁLICOS TIPO FORCA PARA EDIFÍCIOS DE 5 A 8 PAVIMENTOS. AF_03/2024</t>
  </si>
  <si>
    <t>REDE DE PROTEÇÃO TIPO SLQA PESADO COM SUPORTES METÁLICOS TIPO FORCA PARA EDIFÍCIOS DE ACIMA DE 8 PAVIMENTOS. AF_03/2024</t>
  </si>
  <si>
    <t>REDE DE PROTEÇÃO TIPO SLQA PESADO COM SUPORTES METÁLICOS TIPO FORCA PARA EDIFÍCIOS DE ATÉ 4 PAVIMENTOS. AF_03/2024</t>
  </si>
  <si>
    <t>SINALIZAÇÃO COM FITA FIXADA EM CONE PLÁSTICO, INCLUINDO CONE. AF_03/2024</t>
  </si>
  <si>
    <t>SISTEMA DE PROTEÇÃO PARA PILARES DE PERIFERIA. AF_03/2024</t>
  </si>
  <si>
    <t>TOTEN EM MADEIRA COM PLACA INDICATIVA POSICIONADA NO TERRENO. AF_03/2024</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</si>
  <si>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</si>
  <si>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</si>
  <si>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</si>
  <si>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</si>
  <si>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</si>
  <si>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CA-60 DE 5,0 MM - MONTAGEM. AF_11/2020</t>
  </si>
  <si>
    <t>ESCADA EM CONCRETO ARMADO MOLDADO IN LOCO, FCK 25 MPA, COM 1 LANCE E LAJE CASCATA, FÔRMA EM CHAPA DE MADEIRA COMPENSADA RESINADA. AF_11/2020</t>
  </si>
  <si>
    <t>ESCADA EM CONCRETO ARMADO MOLDADO IN LOCO, FCK 25 MPA, COM 1 LANCE E LAJE PLANA, FÔRMA EM CHAPA DE MADEIRA COMPENSADA RESINADA. AF_11/2020</t>
  </si>
  <si>
    <t>ESCADA EM CONCRETO ARMADO MOLDADO IN LOCO, FCK 25 MPA, COM 2 LANCES EM L E LAJE CASCATA, FÔRMA EM CHAPA DE MADEIRA COMPENSADA RESINADA. AF_11/2020</t>
  </si>
  <si>
    <t>ESCADA EM CONCRETO ARMADO MOLDADO IN LOCO, FCK 25 MPA, COM 2 LANCES EM L E LAJE PLANA, FÔRMA EM CHAPA DE MADEIRA COMPENSADA RESINADA. AF_11/2020</t>
  </si>
  <si>
    <t>ESCADA EM CONCRETO ARMADO MOLDADO IN LOCO, FCK 25 MPA, COM 2 LANCES EM U E LAJE CASCATA, FÔRMA EM CHAPA DE MADEIRA COMPENSADA RESINADA. AF_11/2020</t>
  </si>
  <si>
    <t>ESCADA EM CONCRETO ARMADO MOLDADO IN LOCO, FCK 25 MPA, COM 2 LANCES EM U E LAJE PLANA, FÔRMA EM CHAPA DE MADEIRA COMPENSADA RESINADA. AF_11/2020</t>
  </si>
  <si>
    <t>ESCADA EM CONCRETO ARMADO MOLDADO IN LOCO, FCK 25 MPA, COM 2 LANCES EM X E LAJE CASCATA, FÔRMA EM CHAPA DE MADEIRA COMPENSADA RESINADA. AF_11/2020</t>
  </si>
  <si>
    <t>ESCADA EM CONCRETO ARMADO MOLDADO IN LOCO, FCK 25 MPA, COM 2 LANCES EM X E LAJE PLANA, FÔRMA EM CHAPA DE MADEIRA COMPENSADA RESINADA. AF_11/2020</t>
  </si>
  <si>
    <t>ESCADA HELICOIDAL EM AÇO GALVANIZADO, DIAMETRO DE 1,2 M, DOTADA DE GUARDA-CORPO, FIXADA COM CHUMBADOR MECÂNICO. AF_11/2020</t>
  </si>
  <si>
    <t>ESCADA TIPO MARINHEIRO EM TUBO ACO GALVANIZADO 1 1/2", COM GUARDA-CORPO, PARA ALTURAS MAIORES QUE 3 M, FIXADA COM CHUMBADOR MECÂNICO. AF_11/2020</t>
  </si>
  <si>
    <t>ESCADA TIPO MARINHEIRO EM TUBO ACO GALVANIZADO 1 1/2", SEM GUARDA-CORPO, FIXADA COM CHUMBADOR MECÂNICO. AF_11/2020</t>
  </si>
  <si>
    <t>ESCADA TIPO MARINHEIRO EM TUBO AÇO GALVANIZADO 1 1/2", COM GUARDA-CORPO, PARA ALTURAS DE ATÉ 3 M, FIXADA COM CHUMBADOR MECÂNICO.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</si>
  <si>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</si>
  <si>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</si>
  <si>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</si>
  <si>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</si>
  <si>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CASCATA, EM MADEIRA SERRADA, E=25 MM. AF_11/2020</t>
  </si>
  <si>
    <t>FABRICAÇÃO DE FÔRMA PARA ESCADA DUPLA COM 2 LANCES EM X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</si>
  <si>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</si>
  <si>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</si>
  <si>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</si>
  <si>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</si>
  <si>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</si>
  <si>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</si>
  <si>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</si>
  <si>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</si>
  <si>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</si>
  <si>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</si>
  <si>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</si>
  <si>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</si>
  <si>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</si>
  <si>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</si>
  <si>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</si>
  <si>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</si>
  <si>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</si>
  <si>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</si>
  <si>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 DUPLA COM 2 LANCES EM "X" E LAJE CASCATA, EM CHAPA DE MADEIRA COMPENSADA PLASTIFICADA, 10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</si>
  <si>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</si>
  <si>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</si>
  <si>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</si>
  <si>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</si>
  <si>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</si>
  <si>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</si>
  <si>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PLANA, EM CHAPA DE MADEIRA COMPENSADA PLASTIFICADA, 10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</si>
  <si>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</si>
  <si>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</si>
  <si>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</si>
  <si>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</si>
  <si>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</si>
  <si>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</si>
  <si>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ESCADAS, COM 1 LANCE E LAJE CASCATA, EM CHAPA DE MADEIRA COMPENSADA PLASTIFICADA, 10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</si>
  <si>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</si>
  <si>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</si>
  <si>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</si>
  <si>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</si>
  <si>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</si>
  <si>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</si>
  <si>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PLANA, EM CHAPA DE MADEIRA COMPENSADA PLASTIFICADA, 10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</si>
  <si>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</si>
  <si>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</si>
  <si>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</si>
  <si>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</si>
  <si>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</si>
  <si>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</si>
  <si>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2 LANCES EM "L" E LAJE CASCATA, EM CHAPA DE MADEIRA COMPENSADA PLASTIFICADA, 10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</si>
  <si>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</si>
  <si>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</si>
  <si>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</si>
  <si>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</si>
  <si>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</si>
  <si>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</si>
  <si>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PLANA, EM CHAPA DE MADEIRA COMPENSADA PLASTIFICADA, 10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</si>
  <si>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</si>
  <si>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</si>
  <si>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</si>
  <si>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</si>
  <si>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</si>
  <si>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</si>
  <si>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"U" E LAJE CASCATA, EM CHAPA DE MADEIRA COMPENSADA PLASTIFICADA, 10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</si>
  <si>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</si>
  <si>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</si>
  <si>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</si>
  <si>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</si>
  <si>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</si>
  <si>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</si>
  <si>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PLANA, EM CHAPA DE MADEIRA COMPENSADA PLASTIFICADA, 10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</si>
  <si>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</si>
  <si>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</si>
  <si>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</si>
  <si>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</si>
  <si>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MADEIRA SERRADA, 1 UTILIZAÇÃO. AF_11/2020</t>
  </si>
  <si>
    <t>MONTAGEM E DESMONTAGEM DE FÔRMA PARA ESCADAS, COM 2 LANCES EM "U" E LAJE PLANA, EM MADEIRA SERRADA, 2 UTILIZAÇÕES. AF_11/2020</t>
  </si>
  <si>
    <t>ESCAVAÇÃO HORIZONTAL EM SOLO DE 1A CATEGORIA COM TRATOR DE ESTEIRAS (100HP/LÂMINA: 2,19M3). AF_07/2020</t>
  </si>
  <si>
    <t>ESCAVAÇÃO HORIZONTAL EM SOLO DE 1A CATEGORIA COM TRATOR DE ESTEIRAS (125HP/LÂMINA: 2,70M3).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</si>
  <si>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</si>
  <si>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</si>
  <si>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</si>
  <si>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INCLUINDO CARGA E DESCARGA EM SOLO DE 1A CATEGORIA COM TRATOR DE ESTEIRAS (100HP/LÂMINA: 2,19M3). AF_07/2020</t>
  </si>
  <si>
    <t>ESCAVAÇÃO HORIZONTAL, INCLUINDO CARGA E DESCARGA EM SOLO DE 1A CATEGORIA COM TRATOR DE ESTEIRAS (125HP/LÂMINA: 2,70M3).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</si>
  <si>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</si>
  <si>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</si>
  <si>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</si>
  <si>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</si>
  <si>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</si>
  <si>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</si>
  <si>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</si>
  <si>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</si>
  <si>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</si>
  <si>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</si>
  <si>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</si>
  <si>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(347HP/LÂMINA: 8,70M3) E CAMINHÃO BASCULANTE DE 14M3, DMT ATÉ 200M. AF_07/2020</t>
  </si>
  <si>
    <t>ESCAVAÇÃO HORIZONTAL, INCLUINDO ESCARIFICAÇÃO EM SOLO DE 2A CATEGORIA COM TRATOR DE ESTEIRAS (100HP/LÂMINA: 2,19M3). AF_07/2020</t>
  </si>
  <si>
    <t>ESCAVAÇÃO HORIZONTAL, INCLUINDO ESCARIFICAÇÃO EM SOLO DE 2A CATEGORIA COM TRATOR DE ESTEIRAS (125HP/LÂMINA: 2,70M3).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</si>
  <si>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</si>
  <si>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</si>
  <si>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</si>
  <si>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</si>
  <si>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(125HP/LÂMINA: 2,70M3).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</si>
  <si>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</si>
  <si>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</si>
  <si>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</si>
  <si>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</si>
  <si>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</si>
  <si>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(125HP/LÂMINA: 2,70M3) E CAMINHÃO BASCULANTE DE 10M3, DMT ATÉ 200M. AF_07/2020</t>
  </si>
  <si>
    <t>ESCAVAÇÃO HORIZONTAL, INCLUINDO ESCARIFICAÇÃO, CARGA, DESCARGA E TRANSPORTE EM SOLO DE 2A CATEGORIA COM TRATOR DE ESTEIRAS (125HP/LÂMINA: 2,70M3) E CAMINHÃO BASCULANTE DE 14M3,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</si>
  <si>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</si>
  <si>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</si>
  <si>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</si>
  <si>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</si>
  <si>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</si>
  <si>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(347HP/LÂMINA: 8,70M3) E CAMINHÃO BASCULANTE DE 14M3, DMT ATÉ 200M. AF_07/2020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</si>
  <si>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</si>
  <si>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</si>
  <si>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</si>
  <si>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</si>
  <si>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</si>
  <si>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</si>
  <si>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</si>
  <si>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</si>
  <si>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</si>
  <si>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</si>
  <si>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</si>
  <si>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</si>
  <si>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</si>
  <si>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</si>
  <si>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</si>
  <si>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</si>
  <si>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</si>
  <si>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</si>
  <si>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</si>
  <si>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</si>
  <si>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</si>
  <si>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</si>
  <si>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</si>
  <si>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</si>
  <si>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</si>
  <si>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</si>
  <si>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</si>
  <si>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</si>
  <si>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</si>
  <si>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</si>
  <si>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</si>
  <si>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</si>
  <si>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</si>
  <si>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</si>
  <si>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</si>
  <si>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</si>
  <si>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</si>
  <si>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</si>
  <si>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</si>
  <si>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</si>
  <si>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</si>
  <si>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</si>
  <si>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</si>
  <si>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</si>
  <si>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</si>
  <si>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</si>
  <si>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</si>
  <si>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</si>
  <si>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</si>
  <si>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</si>
  <si>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</si>
  <si>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</si>
  <si>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</si>
  <si>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</si>
  <si>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</si>
  <si>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</si>
  <si>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</si>
  <si>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12 CAMINHÕES BASCULANTES DE 10 M³, DMT DE 6 KM E VELOCIDADE MÉDIA22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</si>
  <si>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</si>
  <si>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</si>
  <si>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</si>
  <si>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</si>
  <si>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</si>
  <si>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</si>
  <si>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</si>
  <si>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</si>
  <si>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</si>
  <si>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</si>
  <si>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</si>
  <si>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</si>
  <si>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</si>
  <si>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</si>
  <si>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MECANIZADA DE VALA COM PROF. ATÉ 1,5 M (MÉDIA MONTANTE E JUSANTE/UMA COMPOSIÇÃO POR TRECHO), ESCAVADEIRA (0,8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</si>
  <si>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</si>
  <si>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</si>
  <si>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</si>
  <si>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</si>
  <si>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</si>
  <si>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</si>
  <si>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</si>
  <si>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</si>
  <si>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</si>
  <si>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</si>
  <si>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</si>
  <si>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</si>
  <si>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</si>
  <si>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</si>
  <si>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</si>
  <si>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</si>
  <si>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</si>
  <si>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</si>
  <si>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</si>
  <si>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</si>
  <si>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</si>
  <si>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</si>
  <si>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</si>
  <si>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</si>
  <si>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</si>
  <si>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</si>
  <si>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</si>
  <si>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</si>
  <si>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</si>
  <si>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</si>
  <si>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</si>
  <si>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</si>
  <si>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</si>
  <si>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</si>
  <si>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</si>
  <si>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</si>
  <si>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</si>
  <si>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</si>
  <si>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</si>
  <si>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</si>
  <si>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</si>
  <si>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</si>
  <si>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</si>
  <si>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</si>
  <si>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</si>
  <si>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</si>
  <si>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</si>
  <si>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</si>
  <si>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</si>
  <si>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</si>
  <si>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</si>
  <si>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</si>
  <si>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</si>
  <si>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</si>
  <si>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</si>
  <si>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</si>
  <si>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</si>
  <si>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</si>
  <si>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</si>
  <si>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</si>
  <si>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</si>
  <si>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</si>
  <si>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</si>
  <si>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</si>
  <si>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</si>
  <si>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</si>
  <si>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</si>
  <si>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</si>
  <si>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</si>
  <si>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</si>
  <si>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</si>
  <si>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DESMONTE DE MATERIAL DE 3ª CATEGORIA, COM USO DE ARGAMASSA EXPANSIVA - EXCLUSIVE CARGA E TRANSPORTE. AF_03/2021</t>
  </si>
  <si>
    <t>DESMONTE DE MATERIAL DE 3ª CATEGORIA, COM USO DE ARGAMASSA EXPANSIVA, EM VALA - EXCLUSIVE RETIRADA, CARGA E TRANSPORTE. AF_03/2021</t>
  </si>
  <si>
    <t>DESMONTE DE MATERIAL DE 3ª CATEGORIA, COM USO DE EMULSÃO EXPLOSIVA ENCARTUCHADA - EXCLUSIVE CARGA E TRANSPORTE. AF_03/2021</t>
  </si>
  <si>
    <t>DESMONTE DE MATERIAL DE 3ª CATEGORIA, EM VALA, COM USO DE EMULSÃO EXPLOSIVA ENCARTUCHADA - EXCLUSIVE RETIRADA, CARGA E TRANSPORTE. AF_03/2021</t>
  </si>
  <si>
    <t>ESCAVAÇÃO DE VALA EM MATERIAL DE 3ª CATEGORIA, RESISTÊNCIA À COMPRESSÃO MAIOR OU IGUAL A 50 MPA, COM ROMPEDOR ACOPLADO EM ESCAVADEIRA HIDRÁULICA - EXCLUSIVE RETIRADA, CARGA E TRANSPORTE. AF_03/2021</t>
  </si>
  <si>
    <t>ESCAVAÇÃO DE VALA EM MATERIAL DE 3ª CATEGORIA, RESISTÊNCIA À COMPRESSÃO MENOR QUE 50 MPA, COM ROMPEDOR ACOPLADO EM ESCAVADEIRA HIDRÁULICA - EXCLUSIVE RETIRADA, CARGA E TRANSPORTE. AF_03/2021</t>
  </si>
  <si>
    <t>ESCAVAÇÃO DE VALA EM MATERIAL DE 3ª CATEGORIA, RESISTÊNCIA À COMPRESSÃO MENOR QUE 50 MPA, COM ROMPEDOR ACOPLADO EM RETROESCAVADEIRA - EXCLUSIVE RETIRADA CARGA E TRANSPORTE. AF_03/2021</t>
  </si>
  <si>
    <t>ESCAVAÇÃO EM MATERIAL DE 3ª CATEGORIA, RESISTÊNCIA À COMPRESSÃO MAIOR OU IGUAL A 50 MPA E MENOR QUE 70 MPA, COM ROMPEDOR ACOPLADO EM ESCAVADEIRA HIDRÁULICA - EXCLUSIVE CARGA E TRANSPORTE. AF_03/2021</t>
  </si>
  <si>
    <t>ESCAVAÇÃO EM MATERIAL DE 3ª CATEGORIA, RESISTÊNCIA À COMPRESSÃO MAIOR OU IGUAL A 70 MPA E MENOR QUE 90 MPA, COM ROMPEDOR ACOPLADO EM ESCAVADEIRA HIDRÁULICA - EXCLUSIVE CARGA E TRANSPORTE. AF_03/2021</t>
  </si>
  <si>
    <t>ESCAVAÇÃO EM MATERIAL DE 3ª CATEGORIA, RESISTÊNCIA À COMPRESSÃO MAIOR OU IGUAL A 90 MPA E MENOR QUE 110 MPA, COM ROMPEDOR ACOPLADO EM ESCAVADEIRA HIDRÁULICA - EXCLUSIVE CARGA E TRANSPORTE. AF_03/2021</t>
  </si>
  <si>
    <t>ESCAVAÇÃO EM MATERIAL DE 3ª CATEGORIA, RESISTÊNCIA À COMPRESSÃO MAIOR QUE 110 MPA, COM ROMPEDOR ACOPLADO EM ESCAVADEIRA HIDRÁULICA - EXCLUSIVE CARGA E TRANSPORTE. AF_03/2021</t>
  </si>
  <si>
    <t>ESCAVAÇÃO EM MATERIAL DE 3ª CATEGORIA, RESISTÊNCIA À COMPRESSÃO MENOR QUE 50 MPA, COM ROMPEDOR ACOPLADO EM ESCAVADEIRA HIDRÁULICA - EXCLUSIVE CARGA E TRANSPORTE. AF_03/2021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</si>
  <si>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</si>
  <si>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</si>
  <si>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INSTALAÇÃO DE MATERIAL GRANULAR FILTRANTE PARA SISTEMA DE REBAIXAMENTO DE LENÇOL FREÁTICO POR POÇOS PROFUNDOSA, DIÂMETRO DO POÇO DE 400 MM. AF_12/2022</t>
  </si>
  <si>
    <t>INSTALAÇÃO DE SISTEMA DE REBAIXAMENTO DE LENÇOL FREÁTICO POR POÇOS PROFUNDOS, DIÂMETRO DO POÇO DE 400 MM (EXCLUI O FORNECIMENTO E FUNCIONAMENTO DE BOMBAS). AF_12/2022</t>
  </si>
  <si>
    <t>INSTALAÇÃO DE TUBULAÇÃO (GEOMECÂNICA E DE SUCÇÃO) PARA SISTEMA DE REBAIXAMENTO DE LENÇOL FREÁTICO POR POÇOS PROFUNDOS COM BOMBA SUBMERSA, DIÂMETRO DO POÇO DE 400 MM. AF_12/2022</t>
  </si>
  <si>
    <t>INSTALAÇÃO E DESINSTALAÇÃO DE CONJUNTO DE BOMBAS, À VÁCUO E CENTRÍFUGA, PARA SISTEMA DE REBAIXAMENTO DE LENÇOL FREÁTICO POR PONTEIRAS FILTRANTES (EXCLUI O FORNECIMENTO DE BOMBAS). AF_12/2022</t>
  </si>
  <si>
    <t>INSTALAÇÃO E DESINSTALAÇÃO DE MANGOTES PARA SISTEMA DE REBAIXAMENTO DE LENÇOL FREÁTICO POR PONTEIRAS FILTRANTES. AF_12/2022</t>
  </si>
  <si>
    <t>INSTALAÇÃO E DESINSTALAÇÃO DE REGISTRO DE PVC PARA SISTEMA DE REBAIXAMENTO DE LENÇOL FREÁTICO POR PONTEIRAS FILTRANTES. AF_12/2022</t>
  </si>
  <si>
    <t>INSTALAÇÃO E DESINSTALAÇÃO DE SISTEMA DE BOMBA PARA SISTEMA DE REBAIXAMENTO DE LENÇOL FREÁTICO POR POÇOS PROFUNDOS (EXCLUI O FORNECIMENTO DE BOMBA). AF_12/2022</t>
  </si>
  <si>
    <t>INSTALAÇÃO E DESINSTALAÇÃO DE SISTEMA DE REBAIXAMENTO DE LENÇOL FREÁTICO POR PONTEIRAS FILTRANTES PARA OBRAS ESTACIONÁRIAS (EXCLUI O FORNECIMENTO E FUNCIONAMENTO DE BOMBAS). AF_12/2022</t>
  </si>
  <si>
    <t>INSTALAÇÃO E DESINSTALAÇÃO DE SISTEMA DE REBAIXAMENTO DE LENÇOL FREÁTICO POR PONTEIRAS FILTRANTES PARA OBRAS ITINERANTES (EXCLUI O FORNECIMENTO E FUNCIONAMENTO DE BOMBAS). AF_12/2022</t>
  </si>
  <si>
    <t>INSTALAÇÃO E DESINSTALAÇÃO DE TUBO COLETOR DE PVC, DIÂMETRO DE 100 MM, PARA SISTEMA DE REBAIXAMENTO DE LENÇOL FREÁTICO POR PONTEIRAS FILTRANTES. AF_12/2022</t>
  </si>
  <si>
    <t>INSTALAÇÃO E RETIRADA DE REVESTIMENTO METÁLICO PARA PERFURAÇÃO DE SOLO PARA SISTEMA DE REBAIXAMENTO DE LENÇOL FREÁTICO POR PORÇOS PROFUNDOS, DIÂMETRO DO POÇO DE 400 MM. AF_12/2022</t>
  </si>
  <si>
    <t>PERFURAÇÃO DE SOLO PARA SISTEMA DE REBAIXAMENTO DE LENÇOL FREÁTICO POR POÇOS PROFUNDOS, DIÂMETRO DO POÇO DE 400 MM. AF_12/2022</t>
  </si>
  <si>
    <t>PERFURAÇÃO DE SOLO, INSTALAÇÃO E DESINSTALAÇÃO DE PONTEIRAS PARA SISTEMA DE REBAIXAMENTO DE LENÇOL FREÁTICO POR PONTEIRAS FILTRANTES EM OBRAS ESTACIONÁRIAS. AF_12/2022</t>
  </si>
  <si>
    <t>PERFURAÇÃO DE SOLO, INSTALAÇÃO E DESINSTALAÇÃO DE PONTEIRAS PARA SISTEMA DE REBAIXAMENTO DE LENÇOL FREÁTICO POR PONTEIRAS FILTRANTES EM OBRAS ITINERANTES. AF_12/2022</t>
  </si>
  <si>
    <t>CAIXILHO FIXO DE ALUMÍNIO PARA VIDRO (VIDRO INCLUSO), BATENTE/ REQUADRO DE 4 A 14 CM, SEM GUARNIÇÃO/ ALIZAR, FIXAÇÃO COM PARAFUSOS, VEDAÇÃO COM SILICONE, EXCLUSIVE CONTRAMARCO - FORNECIMENTO E INSTALAÇÃO. AF_11/2024</t>
  </si>
  <si>
    <t>CAIXILHO FIXO DE PVC BRANCO PARA VIDRO (VIDRO INCLUSO), BATENTE/ REQUADRO DE 4 A 14 CM, SEM GUARNIÇÃO/ ALIZAR, COM FERRAGENS, FIXAÇÃO COM PARAFUSOS, VEDAÇÃO COM SILICONE, EXCLUSIVE CONTRAMARCO - FORNECIMENTO E INSTALAÇÃO. AF_11/2024</t>
  </si>
  <si>
    <t>CONTRAMARCO DE ALUMÍNIO, FIXAÇÃO COM ARGAMASSA - FORNECIMENTO E INSTALAÇÃO. AF_11/2024</t>
  </si>
  <si>
    <t>CONTRAMARCO DE ALUMÍNIO, FIXAÇÃO COM PARAFUSO - FORNECIMENTO E INSTALAÇÃO. AF_11/2024</t>
  </si>
  <si>
    <t>CONTRAMARCO DE AÇO, FIXAÇÃO COM ARGAMASSA - FORNECIMENTO E INSTALAÇÃO. AF_11/2024</t>
  </si>
  <si>
    <t>CONTRAMARCO DE AÇO, FIXAÇÃO COM PARAFUSO - FORNECIMENTO E INSTALAÇÃO. AF_11/2024</t>
  </si>
  <si>
    <t>GUARNIÇÃO DE ALUMÍNIO. AF_11/2024</t>
  </si>
  <si>
    <t>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</si>
  <si>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</si>
  <si>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t>
  </si>
  <si>
    <t>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</si>
  <si>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</si>
  <si>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t>
  </si>
  <si>
    <t>JANELA DE ALUMÍNIO TIPO MAXIM-AR, BATENTE/ REQUADRO 3 A 14 CM, VIDRO INCLUSO, FIXAÇÃO COM PARAFUSO, SEM GUARNIÇÃO/ ALIZAR, DIMENSÕES 60X80 (A X L) CM, SEM ACABAMENTO, VEDAÇÃO COM SILICONE, EXCLUSIVE CONTRAMARCO - FORNECIMENTO E INSTALAÇÃO. AF_11/2024</t>
  </si>
  <si>
    <t>JANELA DE ALUMÍNIO TIPO MAXIM-AR, VIDRO INCLUSO, COM BANDEIRA, FIXAÇÃO COM PARAFUSO, SEM GUARNIÇÃO/ ALIZAR, DIMENSÕES 100X80 (A X L) CM, SEM ACABAMENTO, VEDAÇÃO COM SILICONE, EXCLUSIVE CONTRAMARCO - FORNECIMENTO E INSTALAÇÃO. AF_11/2024</t>
  </si>
  <si>
    <t>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t>
  </si>
  <si>
    <t>JANELA DE AÇO DE CORRER COM 4 FOLHAS PARA VIDRO (VIDROS NÃO INCLUSOS), BATENTE/ REQUADRO INCLUSO (6 A 14 CM), FIXAÇÃO COM ARGAMASSA, COM PINTURA ANTICORROSIVA, COM FERRAGENS, FIXAÇÃO COM ARGAMASSA, EXCLUSIVE CONTRAMARCO - FORNECIMENTO E INSTALAÇÃO. AF_11/2024</t>
  </si>
  <si>
    <t>JANELA DE AÇO GALVANIZADO TIPO MAXIMO-AR, PINT. ANTICORROSIVA, COM BATENTE/REQUADRO DE 6 A 14 CM, SEM VIDRO, COM GRADE, 1 FL, 60 X 80 CM (A X L), FIXAÇÃO COM ARGAMASSA, EXCLUSIVE CONTRAMARCO - FORNECIMENTO E INSTALAÇÃO. AF_11/2024</t>
  </si>
  <si>
    <t>JANELA DE AÇO TIPO BASCULANTE, PARA VIDROS (VIDROS NÃO INCLUSOS), BATENTE/ REQUADRO INCLUSO (6,5 A 14 CM), DIMENSÕES 60X60 CM, COM COM PINTURA ANTICORROSIVA, SEM ACABAMENTO, COM FERRAGENS, FIXAÇÃO COM ARGAMASSA, EXCLUSIVE CONTRAMARCO - FORNECIMENTO E INSTALAÇÃO. AF_11/2024</t>
  </si>
  <si>
    <t>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t>
  </si>
  <si>
    <t>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t>
  </si>
  <si>
    <t>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</si>
  <si>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t>
  </si>
  <si>
    <t>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</si>
  <si>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</si>
  <si>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t>
  </si>
  <si>
    <t>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</si>
  <si>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</si>
  <si>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t>
  </si>
  <si>
    <t>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t>
  </si>
  <si>
    <t>JANELA DE PVC BRANCO TIPO MAXIM-AR (VIDRO INCLUSO), BATENTE/ REQUADRO DE 4 A 14 CM, DIMENSÕES 60X60 CM, COM GUARNIÇÃO/ ALIZAR, COM FERRAGENS, FIXAÇÃO COM PARAFUSOS, VEDAÇÃO COM SILICONE, EXCLUSIVE CONTRAMARCO - FORNECIMENTO E INSTALAÇÃO. AF_11/2024</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</si>
  <si>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</si>
  <si>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</si>
  <si>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</si>
  <si>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BROCA DE CONCRETO, DIÂMETRO DE 30CM, ESCAVAÇÃO MANUAL COM TRADO CONCHA, INTEIRAMENTE ARMADA. AF_05/2020</t>
  </si>
  <si>
    <t>ESTACA CIRCULAR ESCAVADA COM FLUIDO ESTABILIZANTE (ESTACÃO), DIÂMETRO DE 110CM (EXCLUSIVE MOBILIZAÇÃO E DESMOBILIZAÇÃO). AF_05/2020</t>
  </si>
  <si>
    <t>ESTACA CIRCULAR ESCAVADA COM FLUIDO ESTABILIZANTE (ESTACÃO), DIÂMETRO DE 140CM (EXCLUSIVE MOBILIZAÇÃO E DESMOBILIZAÇÃO). AF_05/2020</t>
  </si>
  <si>
    <t>ESTACA CIRCULAR ESCAVADA COM FLUIDO ESTABILIZANTE (ESTACÃO), DIÂMETRO DE 80CM (EXCLUSIVE MOBILIZAÇÃO E DESMOBILIZAÇÃO). AF_05/2020</t>
  </si>
  <si>
    <t>ESTACA RETANGULAR ESCAVADA COM FLUIDO ESTABILIZANTE (BARRETE), 40 X 250CM (EXCLUSIVE MOBILIZAÇÃO E DESMOBILIZAÇÃO). AF_05/2020</t>
  </si>
  <si>
    <t>ESTACA RETANGULAR ESCAVADA COM FLUIDO ESTABILIZANTE (BARRETE), 60 X 250CM (EXCLUSIVE MOBILIZAÇÃO E DESMOBILIZAÇÃO). AF_05/2020</t>
  </si>
  <si>
    <t>ESTACA RETANGULAR ESCAVADA COM FLUIDO ESTABILIZANTE (BARRETE), 80 X 250CM (EXCLUSIVE MOBILIZAÇÃO E DESMOBILIZAÇÃO). AF_05/2020</t>
  </si>
  <si>
    <t>ESTACA STRAUSS, DIÂMETRO DE 25CM, COM ARMADURA DE ARRANQUE (EXCLUSIVE MOBILIZAÇÃO E DESMOBILIZAÇÃO). AF_05/2020</t>
  </si>
  <si>
    <t>ESTACA STRAUSS, DIÂMETRO DE 32CM, COM ARMADURA DE ARRANQUE (EXCLUSIVE MOBILIZAÇÃO E DESMOBILIZAÇÃO). AF_05/2020</t>
  </si>
  <si>
    <t>ESTACA STRAUSS, DIÂMETRO DE 32CM, INTEIRAMENTE ARMADA (EXCLUSIVE MOBILIZAÇÃO E DESMOBILIZAÇÃO). AF_05/2020</t>
  </si>
  <si>
    <t>ESTACA STRAUSS, DIÂMETRO DE 38CM, COM ARMADURA DE ARRANQUE (EXCLUSIVE MOBILIZAÇÃO E DESMOBILIZAÇÃO). AF_05/2020</t>
  </si>
  <si>
    <t>ESTACA STRAUSS, DIÂMETRO DE 38CM, INTEIRAMENTE ARMADA (EXCLUSIVE MOBILIZAÇÃO E DESMOBILIZAÇÃO). AF_05/2020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</si>
  <si>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</si>
  <si>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</si>
  <si>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</si>
  <si>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METÁLICA PARA FUNDAÇÃO, UTILIZANDO PERFIL LAMINADO HP250X62 (EXCLUSIVE MOBILIZAÇÃO E DESMOBILIZAÇÃO). AF_01/2020</t>
  </si>
  <si>
    <t>ESTACA METÁLICA PARA FUNDAÇÃO, UTILIZANDO PERFIL LAMINADO HP310X125 (EXCLUSIVE MOBILIZAÇÃO E DESMOBILIZAÇÃO). AF_01/2020</t>
  </si>
  <si>
    <t>ESTACA METÁLICA PARA FUNDAÇÃO, UTILIZANDO PERFIL LAMINADO HP310X79 (EXCLUSIVE MOBILIZAÇÃO E DESMOBILIZAÇÃO). AF_01/2020</t>
  </si>
  <si>
    <t>ESTACA PRÉ-MOLDADA DE CONCRETO CENTRIFUGADO, SEÇÃO CIRCULAR, CAPACIDADE DE 100 TONELADAS, INCLUSO EMENDA (EXCLUSIVE MOBILIZAÇÃO E DESMOBILIZAÇÃO). AF_12/2019</t>
  </si>
  <si>
    <t>ESTACA PRÉ-MOLDADA DE CONCRETO SEÇÃO QUADRADA, CAPACIDADE DE 50 TONELADAS, INCLUSO EMENDA (EXCLUSIVE MOBILIZAÇÃO E DESMOBILIZAÇÃO). AF_12/2019</t>
  </si>
  <si>
    <t>ESTACA PRÉ-MOLDADA DE CONCRETO, SEÇÃO QUADRADA, CAPACIDADE DE 25 TONELADAS, INCLUSO EMENDA (EXCLUSIVE MOBILIZAÇÃO E DESMOBILIZAÇÃO). AF_12/2019</t>
  </si>
  <si>
    <t>ESTACA RAIZ, DIÂMETRO DE 20 CM, PERFURADA EM ROCHA (EXCLUSIVE MOBILIZAÇÃO E DESMOBILIZAÇÃO). AF_03/2020</t>
  </si>
  <si>
    <t>ESTACA RAIZ, DIÂMETRO DE 20 CM, SEM PRESENÇA DE ROCHA (EXCLUSIVE MOBILIZAÇÃO E DESMOBILIZAÇÃO). AF_03/2020</t>
  </si>
  <si>
    <t>ESTACA RAIZ, DIÂMETRO DE 31 CM, PERFURADA EM ROCHA (EXCLUSIVE MOBILIZAÇÃO E DESMOBILIZAÇÃO). AF_03/2020</t>
  </si>
  <si>
    <t>ESTACA RAIZ, DIÂMETRO DE 31 CM, SEM PRESENÇA DE ROCHA (EXCLUSIVE MOBILIZAÇÃO E DESMOBILIZAÇÃO). AF_03/2020</t>
  </si>
  <si>
    <t>ESTACA RAIZ, DIÂMETRO DE 40 CM, PERFURADA EM ROCHA (EXCLUSIVE MOBILIZAÇÃO E DESMOBILIZAÇÃO). AF_03/2020</t>
  </si>
  <si>
    <t>ESTACA RAIZ, DIÂMETRO DE 40 CM, SEM PRESENÇA DE ROCHA (EXCLUSIVE MOBILIZAÇÃO E DESMOBILIZAÇÃO). AF_03/2020</t>
  </si>
  <si>
    <t>ESTACA RAIZ, DIÂMETRO DE 45 CM, PERFURADA EM ROCHA (EXCLUSIVE MOBILIZAÇÃO E DESMOBILIZAÇÃO). AF_03/2020</t>
  </si>
  <si>
    <t>ESTACA RAIZ, DIÂMETRO DE 45 CM, SEM PRESENÇA DE ROCHA (EXCLUSIVE MOBILIZAÇÃO E DESMOBILIZAÇÃO). AF_03/2020</t>
  </si>
  <si>
    <t>FORNECIMENTO E MONTAGEM DE ESCADAS PRÉ-FABRICADAS, INCLUSO IÇAMENTO COM GUINDASTE. AF_03/2024</t>
  </si>
  <si>
    <t>FORNECIMENTO E MONTAGEM DE LAJES ALVEOLARES PRÉ-FABRICADAS, INCLUSO IÇAMENTO COM GUINDASTE. AF_03/2024</t>
  </si>
  <si>
    <t>FORNECIMENTO E MONTAGEM DE LAJES DUPLO T (PI) PRÉ-FABRICADAS, INCLUSO IÇAMENTO COM GUINDASTE. AF_03/2024</t>
  </si>
  <si>
    <t>FORNECIMENTO E MONTAGEM DE PAINÉIS ESTRUTURAIS PRÉ-FABRICADOS, INCLUSO IÇAMENTO COM GUINDASTE. AF_03/2024</t>
  </si>
  <si>
    <t>FORNECIMENTO E MONTAGEM DE PILARES PRÉ-FABRICADOS, INCLUSO IÇAMENTO COM GUINDASTE. AF_03/2024</t>
  </si>
  <si>
    <t>FORNECIMENTO E MONTAGEM DE PRÉ-LAJE TRELIÇADA PRÉ-FABRICADAS, INCLUSO IÇAMENTO COM GUINDASTE. AF_03/2024</t>
  </si>
  <si>
    <t>FORNECIMENTO E MONTAGEM DE TERÇAS PRÉ-FABRICADAS, INCLUSO IÇAMENTO COM GUINDASTE. AF_03/2024</t>
  </si>
  <si>
    <t>FORNECIMENTO E MONTAGEM DE TESOURAS PRÉ-FABRICADAS, INCLUSO IÇAMENTO COM GUINDASTE. AF_03/2024</t>
  </si>
  <si>
    <t>FORNECIMENTO E MONTAGEM DE VIGAS CALHA PRÉ-FABRICADAS, INCLUSO IÇAMENTO COM GUINDASTE. AF_03/2024</t>
  </si>
  <si>
    <t>FORNECIMENTO E MONTAGEM DE VIGAS PRÉ-FABRICADAS, INCLUSO IÇAMENTO COM GUINDASTE. AF_03/2024</t>
  </si>
  <si>
    <t>PEÇA CIRCULAR PRÉ-MOLDADA, VOLUME DE CONCRETO ACIMA DE 100 LITROS, TAXA DE AÇO APROXIMADA DE 30KG/M³. AF_03/2024</t>
  </si>
  <si>
    <t>PEÇA CIRCULAR PRÉ-MOLDADA, VOLUME DE CONCRETO DE 10 A 30 LITROS, TAXA DE FIBRA DE POLIPROPILENO APROXIMADA DE 6 KG/M³. AF_03/2024_PS</t>
  </si>
  <si>
    <t>PEÇA CIRCULAR PRÉ-MOLDADA, VOLUME DE CONCRETO DE 30 A 100 LITROS, TAXA DE AÇO APROXIMADA DE 30KG/M³. AF_03/2024</t>
  </si>
  <si>
    <t>PEÇA RETANGULAR PRÉ-MOLDADA, VOLUME DE CONCRETO ACIMA DE 100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</si>
  <si>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</si>
  <si>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</si>
  <si>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DE 30 A 70 LITROS, TAXA DE AÇO APROXIMADA DE 70KG/M³. AF_03/2024</t>
  </si>
  <si>
    <t>PEÇA RETANGULAR PRÉ-MOLDADA, VOLUME DE CONCRETO DE ATÉ 10 LITROS, TAXA DE AÇO APROXIMADA DE 30KG/M³. AF_03/2024</t>
  </si>
  <si>
    <t>CONTENÇÃO EM CORTINA COM ESTACAS ESPAÇADAS COM 30 CM DE DIÂMETRO E PROFUNDIDADE ATÉ 20 METROS. AF_02/2025</t>
  </si>
  <si>
    <t>CONTENÇÃO EM CORTINA COM ESTACAS ESPAÇADAS COM 40 CM DE DIÂMETRO E PROFUNDIDADE ATÉ 20 METROS. AF_02/2025</t>
  </si>
  <si>
    <t>CONTENÇÃO EM CORTINA COM ESTACAS ESPAÇADAS COM 50 CM DE DIÂMETRO E PROFUNDIDADE ATÉ 20 METROS. AF_02/2025</t>
  </si>
  <si>
    <t>CONTENÇÃO EM CORTINA COM ESTACAS ESPAÇADAS COM 60 CM DE DIÂMETRO E PROFUNDIDADE ATÉ 20 METROS. AF_02/2025</t>
  </si>
  <si>
    <t>CONTENÇÃO EM CORTINA COM ESTACAS SECANTES COM 40 CM DE DIÂMETRO E PROFUNDIDADE ATÉ 20 METROS. AF_02/2025</t>
  </si>
  <si>
    <t>CONTENÇÃO EM CORTINA COM ESTACAS SECANTES COM 50 CM DE DIÂMETRO E PROFUNDIDADE ATÉ 20 METROS. AF_02/2025</t>
  </si>
  <si>
    <t>CONTENÇÃO EM PAREDE DIAFRAGMA COM 30 CM DE ESPESSURA E PROFUNDIDADE ATÉ 25 METROS. AF_02/2025</t>
  </si>
  <si>
    <t>CONTENÇÃO EM PAREDE DIAFRAGMA COM 40 CM DE ESPESSURA E PROFUNDIDADE ATÉ 25 METROS. AF_02/2025</t>
  </si>
  <si>
    <t>CONTENÇÃO EM PAREDE DIAFRAGMA COM 50 CM DE ESPESSURA E PROFUNDIDADE ATÉ 25 METROS. AF_02/2025</t>
  </si>
  <si>
    <t>CONTENÇÃO EM PAREDE DIAFRAGMA COM 60 CM DE ESPESSURA E PROFUNDIDADE ATÉ 25 METROS. AF_02/2025</t>
  </si>
  <si>
    <t>CONTENÇÃO EM PAREDE DIAFRAGMA COM 80 CM DE ESPESSURA E PROFUNDIDADE ATÉ 25 METROS. AF_02/2025</t>
  </si>
  <si>
    <t>EXECUÇÃO DE MURETA GUIA PARA CONTENÇÃO/FUNDAÇÃO, PARA LAMELAS ATÉ 0,80 M DE LARGURA. AF_02/2025</t>
  </si>
  <si>
    <t>ARMAÇÃO DE CORTINA DE CONTENÇÃO EM CONCRETO ARMADO, COM AÇO CA-50 DE 10 MM - MONTAGEM. AF_11/2024</t>
  </si>
  <si>
    <t>ARMAÇÃO DE CORTINA DE CONTENÇÃO EM CONCRETO ARMADO, COM AÇO CA-50 DE 12,5 MM - MONTAGEM. AF_11/2024</t>
  </si>
  <si>
    <t>ARMAÇÃO DE CORTINA DE CONTENÇÃO EM CONCRETO ARMADO, COM AÇO CA-50 DE 16 MM - MONTAGEM. AF_11/2024</t>
  </si>
  <si>
    <t>ARMAÇÃO DE CORTINA DE CONTENÇÃO EM CONCRETO ARMADO, COM AÇO CA-50 DE 20 MM - MONTAGEM. AF_11/2024</t>
  </si>
  <si>
    <t>ARMAÇÃO DE CORTINA DE CONTENÇÃO EM CONCRETO ARMADO, COM AÇO CA-50 DE 25 MM - MONTAGEM. AF_11/2024</t>
  </si>
  <si>
    <t>ARMAÇÃO DE CORTINA DE CONTENÇÃO EM CONCRETO ARMADO, COM AÇO CA-50 DE 6,3 MM - MONTAGEM. AF_11/2024</t>
  </si>
  <si>
    <t>ARMAÇÃO DE CORTINA DE CONTENÇÃO EM CONCRETO ARMADO, COM AÇO CA-50 DE 8 MM - MONTAGEM. AF_11/2024</t>
  </si>
  <si>
    <t>CONCRETAGEM DE CORTINA DE CONTENÇÃO, ATRAVÉS DE BOMBA - LANÇAMENTO, ADENSAMENTO E ACABAMENTO. AF_11/2024</t>
  </si>
  <si>
    <t>CONTENÇÃO EM PERFIL PRANCHADO COM PAINEL TRELIÇADO DUPLA FACE DE CONCRETO PRÉ-FABRICADO, PERFIS ESPAÇADOS A 1,5 M PARA 1 SUBSOLO. AF_11/2024</t>
  </si>
  <si>
    <t>CONTENÇÃO EM PERFIL PRANCHADO COM PAINEL TRELIÇADO DUPLA FACE DE CONCRETO PRÉ-FABRICADO, PERFIS ESPAÇADOS A 1,5 M PARA 2 OU MAIS SUBSOLOS. AF_11/2024</t>
  </si>
  <si>
    <t>CONTENÇÃO EM PERFIL PRANCHADO COM PAINEL TRELIÇADO DUPLA FACE DE CONCRETO PRÉ-FABRICADO, PERFIS ESPAÇADOS A 2 M PARA 1 SUBSOLO. AF_11/2024</t>
  </si>
  <si>
    <t>CONTENÇÃO EM PERFIL PRANCHADO COM PAINEL TRELIÇADO DUPLA FACE DE CONCRETO PRÉ-FABRICADO, PERFIS ESPAÇADOS A 2 M PARA 2 OU MAIS SUBSOLOS. AF_11/2024</t>
  </si>
  <si>
    <t>CONTENÇÃO EM PERFIL PRANCHADO COM PRANCHÃO DE MADEIRA, PERFIS ESPAÇADOS A 1,5 M PARA 1 SUBSOLO. AF_11/2024</t>
  </si>
  <si>
    <t>CONTENÇÃO EM PERFIL PRANCHADO COM PRANCHÃO DE MADEIRA, PERFIS ESPAÇADOS A 1,5 M PARA 2 OU MAIS SUBSOLOS. AF_11/2024</t>
  </si>
  <si>
    <t>CONTENÇÃO EM PERFIL PRANCHADO COM PRANCHÃO DE MADEIRA, PERFIS ESPAÇADOS A 2 M PARA 1 SUBSOLO. AF_11/2024</t>
  </si>
  <si>
    <t>CONTENÇÃO EM PERFIL PRANCHADO COM PRANCHÃO DE MADEIRA, PERFIS ESPAÇADOS A 2 M PARA 2 OU MAIS SUBSOLOS. AF_11/2024</t>
  </si>
  <si>
    <t>FABRICAÇÃO, MONTAGEM E DESMONTAGEM DE FÔRMA PARA CORTINA DE CONTENÇÃO, EM CHAPA DE MADEIRA COMPENSADA PLASTIFICADA, E = 18 MM, 10 UTILIZAÇÕES. AF_11/2024</t>
  </si>
  <si>
    <t>MURO DE ARRIMO COM BLOCOS DE CONCRETO ESTRUTURAL E PILARES INTERMEDIÁRIOS, COM ALTURA MAIOR QUE 1,6 M E MENOR OU IGUAL A 2,8 M (EXCETO FUNDAÇÃO). AF_11/2024</t>
  </si>
  <si>
    <t>MURO DE ARRIMO COM BLOCOS DE CONCRETO ESTRUTURAL E PILARES INTERMEDIÁRIOS, COM ALTURA MAIOR QUE 2,8 M E MENOR OU IGUAL A 4,0 M (EXCETO FUNDAÇÃO). AF_11/2024</t>
  </si>
  <si>
    <t>MURO DE ARRIMO COM BLOCOS DE CONCRETO ESTRUTURAL, ATÉ 1,6 M DE ALTURA (EXCETO FUNDAÇÃO). AF_11/2024</t>
  </si>
  <si>
    <t>PILAR DE MADEIRA ROLIÇA, EUCALIPTO OU EQUIVALENTE DA REGIÃO, FIXADO COM PORTA PILAR METÁLICO, DIÂMETRO DE 12 A 15 CM, APOIO ARTICULADO, COMPRIMENTO DE 3 M. AF_03/2024</t>
  </si>
  <si>
    <t>PILAR DE MADEIRA ROLIÇA, EUCALIPTO OU EQUIVALENTE DA REGIÃO, FIXADO COM PORTA PILAR METÁLICO, DIÂMETRO DE 12 A 15 CM, APOIO ARTICULADO, COMPRIMENTO DE 6 M. AF_03/2024</t>
  </si>
  <si>
    <t>PILAR DE MADEIRA ROLIÇA, EUCALIPTO OU EQUIVALENTE DA REGIÃO, FIXADO COM PORTA PILAR METÁLICO, DIÂMETRO DE 12 A 15 CM, APOIO ENGASTADO, COMPRIMENTO DE 3 M. AF_03/2024</t>
  </si>
  <si>
    <t>PILAR DE MADEIRA ROLIÇA, EUCALIPTO OU EQUIVALENTE DA REGIÃO, FIXADO COM PORTA PILAR METÁLICO, DIÂMETRO DE 12 A 15 CM, APOIO ENGASTADO, COMPRIMENTO DE 6 M. AF_03/2024</t>
  </si>
  <si>
    <t>PILAR DE MADEIRA ROLIÇA, EUCALIPTO OU EQUIVALENTE DA REGIÃO, FIXADO COM PORTA PILAR METÁLICO, DIÂMETRO DE 16 A 20 CM, APOIO ARTICULADO, COMPRIMENTO DE 3 M. AF_03/2024</t>
  </si>
  <si>
    <t>PILAR DE MADEIRA ROLIÇA, EUCALIPTO OU EQUIVALENTE DA REGIÃO, FIXADO COM PORTA PILAR METÁLICO, DIÂMETRO DE 16 A 20 CM, APOIO ARTICULADO, COMPRIMENTO DE 6 M. AF_03/2024</t>
  </si>
  <si>
    <t>PILAR DE MADEIRA ROLIÇA, EUCALIPTO OU EQUIVALENTE DA REGIÃO, FIXADO COM PORTA PILAR METÁLICO, DIÂMETRO DE 16 A 20 CM, APOIO ENGASTADO, COMPRIMENTO DE 3 M. AF_03/2024</t>
  </si>
  <si>
    <t>PILAR DE MADEIRA ROLIÇA, EUCALIPTO OU EQUIVALENTE DA REGIÃO, FIXADO COM PORTA PILAR METÁLICO, DIÂMETRO DE 16 A 20 CM, APOIO ENGASTADO, COMPRIMENTO DE 6 M. AF_03/2024</t>
  </si>
  <si>
    <t>PILAR DE MADEIRA ROLIÇA, EUCALIPTO OU EQUIVALENTE DA REGIÃO, FIXADO COM PORTA PILAR METÁLICO, DIÂMETRO DE 21 A 29 CM, APOIO ARTICULADO, COMPRIMENTO DE 3 M. AF_03/2024</t>
  </si>
  <si>
    <t>PILAR DE MADEIRA ROLIÇA, EUCALIPTO OU EQUIVALENTE DA REGIÃO, FIXADO COM PORTA PILAR METÁLICO, DIÂMETRO DE 21 A 29 CM, APOIO ARTICULADO, COMPRIMENTO DE 6 M. AF_03/2024</t>
  </si>
  <si>
    <t>PILAR DE MADEIRA ROLIÇA, EUCALIPTO OU EQUIVALENTE DA REGIÃO, FIXADO COM PORTA PILAR METÁLICO, DIÂMETRO DE 21 A 29 CM, APOIO ENGASTADO, COMPRIMENTO DE 3 M. AF_03/2024</t>
  </si>
  <si>
    <t>PILAR DE MADEIRA ROLIÇA, EUCALIPTO OU EQUIVALENTE DA REGIÃO, FIXADO COM PORTA PILAR METÁLICO, DIÂMETRO DE 21 A 29 CM, APOIO ENGASTADO, COMPRIMENTO DE 6 M. AF_03/2024</t>
  </si>
  <si>
    <t>PILAR DE MADEIRA ROLIÇA, EUCALIPTO OU EQUIVALENTE DA REGIÃO, FIXADO COM PORTA PILAR METÁLICO, DIÂMETRO DE 30 A 34 CM, APOIO ARTICULADO, COMPRIMENTO DE 3 M. AF_03/2024</t>
  </si>
  <si>
    <t>PILAR DE MADEIRA ROLIÇA, EUCALIPTO OU EQUIVALENTE DA REGIÃO, FIXADO COM PORTA PILAR METÁLICO, DIÂMETRO DE 30 A 34 CM, APOIO ARTICULADO, COMPRIMENTO DE 6 M. AF_03/2024</t>
  </si>
  <si>
    <t>PILAR DE MADEIRA ROLIÇA, EUCALIPTO OU EQUIVALENTE DA REGIÃO, FIXADO COM PORTA PILAR METÁLICO, DIÂMETRO DE 30 A 34 CM, APOIO ENGASTADO, COMPRIMENTO DE 3 M. AF_03/2024</t>
  </si>
  <si>
    <t>PILAR DE MADEIRA ROLIÇA, EUCALIPTO OU EQUIVALENTE DA REGIÃO, FIXADO COM PORTA PILAR METÁLICO, DIÂMETRO DE 30 A 34 CM, APOIO ENGASTADO, COMPRIMENTO DE 6 M. AF_03/2024</t>
  </si>
  <si>
    <t>PILAR DE MADEIRA ROLIÇA, EUCALIPTO OU EQUIVALENTE DA REGIÃO, FIXADO COM VERGALHÃO, DIÂMETRO DE 12 A 15 CM, APOIO ARTICULADO, COMPRIMENTO DE 3 M. AF_03/2024</t>
  </si>
  <si>
    <t>PILAR DE MADEIRA ROLIÇA, EUCALIPTO OU EQUIVALENTE DA REGIÃO, FIXADO COM VERGALHÃO, DIÂMETRO DE 12 A 15 CM, APOIO ARTICULADO, COMPRIMENTO DE 6 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</si>
  <si>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</si>
  <si>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</si>
  <si>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</si>
  <si>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</si>
  <si>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</si>
  <si>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</si>
  <si>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PORTA PILAR METÁLICO, SEÇÃO QUADRADA 10 X 10 CM, APOIO ARTICULADO, COMPRIMENTO DE 3 M. AF_03/2024</t>
  </si>
  <si>
    <t>PILAR DE MADEIRA SERRADA, MAÇARANDUBA OU EQUIVALENTE DA REGIÃO, NÃO APARELHADO, FIXADO COM PORTA PILAR METÁLICO, SEÇÃO QUADRADA 10 X 10 CM, APOIO ARTICULADO, COMPRIMENTO DE 6 M. AF_03/2024</t>
  </si>
  <si>
    <t>PILAR DE MADEIRA SERRADA, MAÇARANDUBA OU EQUIVALENTE DA REGIÃO, NÃO APARELHADO, FIXADO COM PORTA PILAR METÁLICO, SEÇÃO QUADRADA 10 X 10 CM, APOIO ENGASTADO, COMPRIMENTO DE 3 M. AF_03/2024</t>
  </si>
  <si>
    <t>PILAR DE MADEIRA SERRADA, MAÇARANDUBA OU EQUIVALENTE DA REGIÃO, NÃO APARELHADO, FIXADO COM PORTA PILAR METÁLICO, SEÇÃO QUADRADA 10 X 10 CM, APOIO ENGASTADO, COMPRIMENTO DE 6 M. AF_03/2024</t>
  </si>
  <si>
    <t>PILAR DE MADEIRA SERRADA, MAÇARANDUBA OU EQUIVALENTE DA REGIÃO, NÃO APARELHADO, FIXADO COM PORTA PILAR METÁLICO, SEÇÃO QUADRADA 15 X 15 CM, APOIO ARTICULADO, COMPRIMENTO DE 3 M. AF_03/2024</t>
  </si>
  <si>
    <t>PILAR DE MADEIRA SERRADA, MAÇARANDUBA OU EQUIVALENTE DA REGIÃO, NÃO APARELHADO, FIXADO COM PORTA PILAR METÁLICO, SEÇÃO QUADRADA 15 X 15 CM, APOIO ARTICULADO, COMPRIMENTO DE 6 M. AF_03/2024</t>
  </si>
  <si>
    <t>PILAR DE MADEIRA SERRADA, MAÇARANDUBA OU EQUIVALENTE DA REGIÃO, NÃO APARELHADO, FIXADO COM PORTA PILAR METÁLICO, SEÇÃO QUADRADA 15 X 15 CM, APOIO ENGASTADO, COMPRIMENTO DE 3 M. AF_03/2024</t>
  </si>
  <si>
    <t>PILAR DE MADEIRA SERRADA, MAÇARANDUBA OU EQUIVALENTE DA REGIÃO, NÃO APARELHADO, FIXADO COM PORTA PILAR METÁLICO, SEÇÃO QUADRADA 15 X 15 CM, APOIO ENGASTADO, COMPRIMENTO DE 6 M. AF_03/2024</t>
  </si>
  <si>
    <t>PILAR DE MADEIRA SERRADA, MAÇARANDUBA OU EQUIVALENTE DA REGIÃO, NÃO APARELHADO, FIXADO COM PORTA PILAR METÁLICO, SEÇÃO QUADRADA 20 X 20 CM, APOIO ARTICULADO, COMPRIMENTO DE 3 M. AF_03/2024</t>
  </si>
  <si>
    <t>PILAR DE MADEIRA SERRADA, MAÇARANDUBA OU EQUIVALENTE DA REGIÃO, NÃO APARELHADO, FIXADO COM PORTA PILAR METÁLICO, SEÇÃO QUADRADA 20 X 20 CM, APOIO ARTICULADO, COMPRIMENTO DE 6 M. AF_03/2024</t>
  </si>
  <si>
    <t>PILAR DE MADEIRA SERRADA, MAÇARANDUBA OU EQUIVALENTE DA REGIÃO, NÃO APARELHADO, FIXADO COM PORTA PILAR METÁLICO, SEÇÃO QUADRADA 20 X 20 CM, APOIO ENGASTADO, COMPRIMENTO DE 3 M. AF_03/2024</t>
  </si>
  <si>
    <t>PILAR DE MADEIRA SERRADA, MAÇARANDUBA OU EQUIVALENTE DA REGIÃO, NÃO APARELHADO, FIXADO COM PORTA PILAR METÁLICO, SEÇÃO QUADRADA 20 X 20 CM, APOIO ENGASTADO,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</si>
  <si>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</si>
  <si>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</si>
  <si>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</si>
  <si>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</si>
  <si>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</si>
  <si>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</si>
  <si>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PISO DE MADEIRA, SOBRE VIGOTAS DE MADEIRA SEÇÃO 7,5 X 15 CM.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</si>
  <si>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</si>
  <si>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</si>
  <si>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</si>
  <si>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</si>
  <si>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</si>
  <si>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</si>
  <si>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APARELHADA, SEÇÃO RETANGULAR 7,5 X 23 CM. AF_03/2024</t>
  </si>
  <si>
    <t>VIGA DE MADEIRA SERRADA, MAÇARANDUBA OU EQUIVALENTE DA REGIÃO, APARELHADA, SEÇÃO RETANGULAR 8 X 30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</si>
  <si>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</si>
  <si>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</si>
  <si>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</si>
  <si>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</si>
  <si>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</si>
  <si>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</si>
  <si>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NÃO APARELHADA, SEÇÃO RETANGULAR 7,5 X 23 CM. AF_03/2024</t>
  </si>
  <si>
    <t>VIGA DE MADEIRA SERRADA, MAÇARANDUBA OU EQUIVALENTE DA REGIÃO, NÃO APARELHADA, SEÇÃO RETANGULAR 8 X 16 CM. AF_03/2024</t>
  </si>
  <si>
    <t>VIGA DE MADEIRA SERRADA, MAÇARANDUBA OU EQUIVALENTE DA REGIÃO, NÃO APARELHADA, SEÇÃO RETANGULAR 8 X 30 CM. AF_03/2024</t>
  </si>
  <si>
    <t>VIGA DE MADEIRA SERRADA, PINUS OU EQUIVALENTE DA REGIÃO, SEÇÃO RETANGULAR 7,5 X 10 CM. AF_03/2024</t>
  </si>
  <si>
    <t>VIGA DE MADEIRA SERRADA, PINUS OU EQUIVALENTE DA REGIÃO, SEÇÃO RETANGULAR 7,5 X 15 CM. AF_03/2024</t>
  </si>
  <si>
    <t>EXECUÇÃO DE GRAMPO PARA SOLO GRAMPEADO COM COMPRIMENTO MAIOR QUE 10 M, DIÂMETRO DE 10 CM, PERFURAÇÃO COM EQUIPAMENTO MANUAL E ARMADURA COM DIÂMETRO DE 20 MM. AF_07/2024</t>
  </si>
  <si>
    <t>EXECUÇÃO DE GRAMPO PARA SOLO GRAMPEADO COM COMPRIMENTO MAIOR QUE 10 M, DIÂMETRO DE 7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</si>
  <si>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</si>
  <si>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</si>
  <si>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EXECUÇÃO DE GRAMPO PARA SOLO GRAMPEADO COM COMPRIMENTO MENOR OU IGUAL A 6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</si>
  <si>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</si>
  <si>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LONGARINA, PARA TIRANTES PERMANENTES, COM PERFIL METÁLICO, INCLUINDO CUNHA E SOLIDARIZAÇÃO. AF_11/2023</t>
  </si>
  <si>
    <t>EXECUÇÃO DE LONGARINA, PARA TIRANTES PROVISÓRIOS, COM PERFIL METÁLICO, INCLUINDO CUNHA E SOLIDARIZAÇÃO.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</si>
  <si>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</si>
  <si>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</si>
  <si>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</si>
  <si>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</si>
  <si>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</si>
  <si>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</si>
  <si>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</si>
  <si>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</si>
  <si>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</si>
  <si>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</si>
  <si>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</si>
  <si>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</si>
  <si>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</si>
  <si>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</si>
  <si>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22 M E MENOR QUE 30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</si>
  <si>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</si>
  <si>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</si>
  <si>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</si>
  <si>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</si>
  <si>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</si>
  <si>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</si>
  <si>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</si>
  <si>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</si>
  <si>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200 MM EXECUTADO COM HASTE UTILIZANDO PERFURATRIZ SOBRE ESTEIRA. AF_11/2023</t>
  </si>
  <si>
    <t>EXECUÇÃO DE PROTEÇÃO DA CABEÇA DO TIRANTE COM USO DE FÔRMAS METÁLICAS, 50 UTILIZAÇÕES, E CONCRETO FCK =15 MPA. AF_11/2023</t>
  </si>
  <si>
    <t>INJEÇÃO DE CALDA DE CIMENTO PARA CHUMBAMENTO DE TIRANTE COM 8 CORDOALHAS DE 12,7 MM, COMPRIMENTO MAIOR OU IGUAL A 22 M E MENOR QUE 30 M, DIÂMETRO DE 100 MM, INCLUSIVE PRODUÇÃO. AF_11/2023</t>
  </si>
  <si>
    <t>INJEÇÃO DE CALDA DE CIMENTO PARA CHUMBAMENTO DE TIRANTE COM 8 CORDOALHAS DE 12,7 MM, COMPRIMENTO MAIOR OU IGUAL A 22 M E MENOR QUE 30 M, DIÂMETRO DE 150 MM, INCLUSIVE PRODUÇÃO. AF_11/2023</t>
  </si>
  <si>
    <t>INJEÇÃO DE CALDA DE CIMENTO PARA CHUMBAMENTO DE TIRANTE COM 8 CORDOALHAS DE 12,7 MM, COMPRIMENTO MAIOR OU IGUAL A 22 M E MENOR QUE 30 M, DIÂMETRO DE 200 MM, INCLUSIVE PRODUÇÃO. AF_11/2023</t>
  </si>
  <si>
    <t>INJEÇÃO DE CALDA DE CIMENTO PARA CHUMBAMENTO DE TIRANTE MONOBARRA COM ARMADURA DE 36 MM, COMPRIMENTO MAIOR OU IGUAL A 22 M E MENOR QUE 30 M, DIÂMETRO DE 100 MM, INCLUSIVE PRODUÇÃO. AF_11/2023</t>
  </si>
  <si>
    <t>INJEÇÃO DE CALDA DE CIMENTO PARA CHUMBAMENTO DE TIRANTE MONOBARRA COM ARMADURA DE 36 MM, COMPRIMENTO MAIOR OU IGUAL A 22 M E MENOR QUE 30 M, DIÂMETRO DE 150 MM, INCLUSIVE PRODUÇÃO. AF_11/2023</t>
  </si>
  <si>
    <t>INJEÇÃO DE CALDA DE CIMENTO PARA CHUMBAMENTO DE TIRANTE MONOBARRA COM ARMADURA DE 36 MM, COMPRIMENTO MAIOR OU IGUAL A 22 M E MENOR QUE 30 M, DIÂMETRO DE 200 MM, INCLUSIVE PRODUÇÃO. AF_11/2023</t>
  </si>
  <si>
    <t>INSTALAÇÃO DE TIRANTE COM 4 CORDOALHAS DE 12,7 MM, COMPRIMENTO MAIOR OU IGUAL A 14 M E MENOR QUE 22 M, INCLUSIVE MONTAGEM, INSTALAÇÃO E PROTENSÃO. AF_11/2023</t>
  </si>
  <si>
    <t>INSTALAÇÃO DE TIRANTE COM 4 CORDOALHAS DE 12,7 MM, COMPRIMENTO MAIOR OU IGUAL A 22 M E MENOR QUE 30 M, INCLUSIVE MONTAGEM, INSTALAÇÃO E PROTENSÃO. AF_11/2023</t>
  </si>
  <si>
    <t>INSTALAÇÃO DE TIRANTE COM 4 CORDOALHAS DE 12,7 MM, COMPRIMENTO MAIOR OU IGUAL A 6 M E MENOR QUE 14 M, INCLUSIVE MONTAGEM, INSTALAÇÃO E PROTENSÃO. AF_11/2023</t>
  </si>
  <si>
    <t>INSTALAÇÃO DE TIRANTE COM 6 CORDOALHAS DE 12,7 MM, COMPRIMENTO MAIOR OU IGUAL A 14 M E MENOR QUE 22 M, INCLUSIVE MONTAGEM, INSTALAÇÃO E PROTENSÃO. AF_11/2023</t>
  </si>
  <si>
    <t>INSTALAÇÃO DE TIRANTE COM 6 CORDOALHAS DE 12,7 MM, COMPRIMENTO MAIOR OU IGUAL A 22 M E MENOR QUE 30 M, INCLUSIVE MONTAGEM, INSTALAÇÃO E PROTENSÃO. AF_11/2023</t>
  </si>
  <si>
    <t>INSTALAÇÃO DE TIRANTE COM 6 CORDOALHAS DE 12,7 MM, COMPRIMENTO MAIOR OU IGUAL A 6 M E MENOR QUE 14 M, INCLUSIVE MONTAGEM, INSTALAÇÃO E PROTENSÃO. AF_11/2023</t>
  </si>
  <si>
    <t>INSTALAÇÃO DE TIRANTE COM 8 CORDOALHAS DE 12,7 MM, COMPRIMENTO MAIOR OU IGUAL A 14 M E MENOR QUE 22 M, INCLUSIVE MONTAGEM, INSTALAÇÃO E PROTENSÃO. AF_11/2023</t>
  </si>
  <si>
    <t>INSTALAÇÃO DE TIRANTE COM 8 CORDOALHAS DE 12,7 MM, COMPRIMENTO MAIOR OU IGUAL A 22 M E MENOR QUE 30 M, INCLUSIVE MONTAGEM, INSTALAÇÃO E PROTENSÃO. AF_11/2023</t>
  </si>
  <si>
    <t>INSTALAÇÃO DE TIRANTE COM 8 CORDOALHAS DE 12,7 MM, COMPRIMENTO MAIOR OU IGUAL A 6 M E MENOR QUE 14 M, INCLUSIVE MONTAGEM, INSTALAÇÃO E PROTENSÃO. AF_11/2023</t>
  </si>
  <si>
    <t>INSTALAÇÃO DE TIRANTE MONOBARRA COM ARMADURA DE 25 MM, COMPRIMENTO MAIOR OU IGUAL A 14 M E MENOR QUE 22 M, INCLUSIVE MONTAGEM, INSTALAÇÃO E PROTENSÃO. AF_11/2023</t>
  </si>
  <si>
    <t>INSTALAÇÃO DE TIRANTE MONOBARRA COM ARMADURA DE 25 MM, COMPRIMENTO MAIOR OU IGUAL A 22 M E MENOR QUE 30 M, INCLUSIVE MONTAGEM, INSTALAÇÃO E PROTENSÃO. AF_11/2023</t>
  </si>
  <si>
    <t>INSTALAÇÃO DE TIRANTE MONOBARRA COM ARMADURA DE 25 MM, COMPRIMENTO MAIOR OU IGUAL A 6 M E MENOR QUE 14 M, INCLUSIVE MONTAGEM, INSTALAÇÃO E PROTENSÃO. AF_11/2023</t>
  </si>
  <si>
    <t>INSTALAÇÃO DE TIRANTE MONOBARRA COM ARMADURA DE 32 MM, COMPRIMENTO MAIOR OU IGUAL A 14 M E MENOR QUE 22 M, INCLUSIVE MONTAGEM, INSTALAÇÃO E PROTENSÃO. AF_11/2023</t>
  </si>
  <si>
    <t>INSTALAÇÃO DE TIRANTE MONOBARRA COM ARMADURA DE 32 MM, COMPRIMENTO MAIOR OU IGUAL A 22 M E MENOR QUE 30 M, INCLUSIVE MONTAGEM, INSTALAÇÃO E PROTENSÃO. AF_11/2023</t>
  </si>
  <si>
    <t>INSTALAÇÃO DE TIRANTE MONOBARRA COM ARMADURA DE 32 MM, COMPRIMENTO MAIOR OU IGUAL A 6 M E MENOR QUE 14 M, INCLUSIVE MONTAGEM, INSTALAÇÃO E PROTENSÃO. AF_11/2023</t>
  </si>
  <si>
    <t>INSTALAÇÃO DE TIRANTE MONOBARRA COM ARMADURA DE 36 MM, COMPRIMENTO MAIOR OU IGUAL A 14 M E MENOR QUE 22 M, INCLUSIVE MONTAGEM, INSTALAÇÃO E PROTENSÃO. AF_11/2023</t>
  </si>
  <si>
    <t>INSTALAÇÃO DE TIRANTE MONOBARRA COM ARMADURA DE 36 MM, COMPRIMENTO MAIOR OU IGUAL A 22 M E MENOR QUE 30 M, INCLUSIVE MONTAGEM, INSTALAÇÃO E PROTENSÃO. AF_11/2023</t>
  </si>
  <si>
    <t>INSTALAÇÃO DE TIRANTE MONOBARRA COM ARMADURA DE 36 MM, COMPRIMENTO MAIOR OU IGUAL A 6 M E MENOR QUE 14 M, INCLUSIVE MONTAGEM, INSTALAÇÃO E PROTENSÃO. AF_11/2023</t>
  </si>
  <si>
    <t>PERFURAÇÃO DE CORTINA PRÉ-MOLDADA COM MARTELETE ROMPEDOR. AF_11/2023</t>
  </si>
  <si>
    <t>PERFURAÇÃO DE PAREDE DIAFRAGMA COM COROA DIAMANTADA DE DIÂMETRO DE 102 MM. AF_11/2023</t>
  </si>
  <si>
    <t>REQUADRO DE VÃOS COM PLACAS DE PORCELANATO ASSENTADAS COM ARGAMASSA COLANTE. AF_03/2025</t>
  </si>
  <si>
    <t>REQUADRO DE VÃOS PLACAS DE GRANITO FIXADAS COM INSERTE METÁLICO. AF_03/2025</t>
  </si>
  <si>
    <t>REVESTIMENTO NÃO ADERIDO DE PAREDES EXTERNAS COM PLACAS DE GRANITO DE ÁREA MAIOR QUE 10000 CM2, FIXADAS COM INSERTE METÁLICO. AF_03/2025</t>
  </si>
  <si>
    <t>REVESTIMENTO NÃO ADERIDO DE PAREDES EXTERNAS COM PLACAS DE GRANITO DE ÁREA MAIOR QUE 3025 CM2 E MENOR OU IGUAL A 10000 CM2, FIXADAS COM INSERTE METÁLICO. AF_03/2025</t>
  </si>
  <si>
    <t>REVESTIMENTO NÃO ADERIDO DE PAREDES EXTERNAS COM PLACAS DE PORCELANATO DE ÁREA MAIOR DO QUE 2500 CM2 E MENOR OU IGUAL A 6400 CM2, FIXADAS COM INSERTE METÁLICO. AF_03/2025</t>
  </si>
  <si>
    <t>REVESTIMENTO NÃO ADERIDO DE PAREDES EXTERNAS COM PLACAS DE PORCELANATO DE ÁREA MAIOR QUE 6400 CM2 E MENOR QUE 10000 CM2, FIXADAS COM INSERTE METÁLICO. AF_03/2025</t>
  </si>
  <si>
    <t>ACABAMENTOS PARA FORRO (MOLDURA DE GESSO). AF_08/2023</t>
  </si>
  <si>
    <t>ACABAMENTOS PARA FORRO (MOLDURA EM DRYWALL, COM LARGURA DE 15 CM). AF_08/2023_PS</t>
  </si>
  <si>
    <t>ACABAMENTOS PARA FORRO (RODA-FORRO EM MADEIRA PINUS). AF_08/2023</t>
  </si>
  <si>
    <t>ACABAMENTOS PARA FORRO (RODA-FORRO EM PERFIL METÁLICO E PLÁSTICO). AF_08/2023</t>
  </si>
  <si>
    <t>ACABAMENTOS PARA FORRO (SANCA DE GESSO, MONTADA NA OBRA). AF_08/2023_PS</t>
  </si>
  <si>
    <t>FORRO EM DRYWALL PARA AMBIENTES RESIDENCIAIS, INCLUSIVE ESTRUTURA UNIDIRECIONAL DE FIXAÇÃO. AF_08/2023_PS</t>
  </si>
  <si>
    <t>FORRO EM DRYWALL, PARA AMBIENTES COMERCIAIS, INCLUSIVE ESTRUTURA BIRECIONAL DE FIXAÇÃO. AF_08/2023_PS</t>
  </si>
  <si>
    <t>FORRO EM MADEIRA PINUS, PARA AMBIENTES RESIDENCIAIS E COMERCIAIS, INCLUSIVE ESTRUTURA BIDIRECIONAL DE FIXAÇÃO. AF_08/2023</t>
  </si>
  <si>
    <t>FORRO EM MADEIRA PINUS, PARA AMBIENTES RESIDENCIAIS, INCLUSIVE ESTRUTURA UNIDIRECIONAL DE FIXAÇÃO. AF_08/2023</t>
  </si>
  <si>
    <t>FORRO EM PLACAS DE GESSO, PARA AMBIENTES COMERCIAIS. AF_08/2023_PS</t>
  </si>
  <si>
    <t>FORRO EM PLACAS DE GESSO, PARA AMBIENTES RESIDENCIAIS. AF_08/2023_PS</t>
  </si>
  <si>
    <t>FORRO EM RÉGUAS DE PVC, FRISADO, PARA AMBIENTES COMERCIAIS, INCLUSIVE ESTRUTURA BIDIRECIONAL DE FIXAÇÃO. AF_08/2023_PS</t>
  </si>
  <si>
    <t>FORRO EM RÉGUAS DE PVC, FRISADO, PARA AMBIENTES RESIDENCIAIS, INCLUSIVE ESTRUTURA UNIDIRECIONAL DE FIXAÇÃO. AF_08/2023_PS</t>
  </si>
  <si>
    <t>FORRO EM RÉGUAS DE PVC, LISO, PARA AMBIENTES COMERCIAIS, INCLUSIVE ESTRUTURA BIDIRECIONAL DE FIXAÇÃO. AF_08/2023_PS</t>
  </si>
  <si>
    <t>FORRO EM RÉGUAS DE PVC, LISO, PARA AMBIENTES RESIDENCIAIS, INCLUSIVE ESTRUTURA UNIDIRECIONAL DE FIXAÇÃO. AF_08/2023_PS</t>
  </si>
  <si>
    <t>FORRO METÁLICO, PARA AMBIENTES COMERCIAIS, INCLUSIVE ESTRUTURA DE FIXAÇÃO. AF_08/2023</t>
  </si>
  <si>
    <t>CAIXA ENTERRADA DISTRIBUIDORA DE VAZÃO (SUMIDOUROS MÚLTIPLOS), RETANGULAR, EM ALVENARIA COM BLOCOS DE CONCRETO, DIMENSÕES INTERNAS: 0,60 X 0,60 X H=0,50 M. AF_12/2020</t>
  </si>
  <si>
    <t>CAIXA ENTERRADA DISTRIBUIDORA DE VAZÃO (SUMIDOUROS MÚLTIPLOS), RETANGULAR, EM ALVENARIA COM TIJOLOS MACIÇOS, DIMENSÕES INTERNAS: 0,60 X 0,60 X H=0,50 M. AF_12/2020</t>
  </si>
  <si>
    <t>CAIXA ENTERRADA DISTRIBUIDORA DE VAZÃO (SUMIDOUROS MÚLTIPLOS), RETANGULAR, EM CONCRETO PRÉ-MOLDADO, DIMENSÕES INTERNAS: 0,60 X 0,60 X H=0,50 M. AF_12/2020</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</si>
  <si>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</si>
  <si>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</si>
  <si>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</si>
  <si>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</si>
  <si>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</si>
  <si>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</si>
  <si>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</si>
  <si>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</si>
  <si>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</si>
  <si>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</si>
  <si>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</si>
  <si>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</si>
  <si>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</si>
  <si>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</si>
  <si>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</si>
  <si>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</si>
  <si>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</si>
  <si>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</si>
  <si>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</si>
  <si>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</si>
  <si>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</si>
  <si>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</si>
  <si>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</si>
  <si>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</si>
  <si>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</si>
  <si>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</si>
  <si>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</si>
  <si>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</si>
  <si>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</si>
  <si>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</si>
  <si>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</si>
  <si>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</si>
  <si>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</si>
  <si>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</si>
  <si>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</si>
  <si>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</si>
  <si>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</si>
  <si>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</si>
  <si>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4,6 X H=2,4 M, VOLUME ÚTIL: 14720 L (PARA 105 CONTRIBUINTES). AF_12/2020</t>
  </si>
  <si>
    <t>TANQUE SÉPTICO RETANGULAR, EM ALVENARIA COM BLOCOS DE CONCRETO, DIMENSÕES INTERNAS: 1,6 X 4,8 X H=2,0 M, VOLUME ÚTIL: 12288 L (PARA 86 CONTRIBUINTES). AF_12/2020</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</si>
  <si>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</si>
  <si>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</si>
  <si>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</si>
  <si>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</si>
  <si>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4,6 X H=2,4 M, VOLUME ÚTIL: 14720 L (PARA 105 CONTRIBUINTES). AF_12/2020</t>
  </si>
  <si>
    <t>TANQUE SÉPTICO RETANGULAR, EM ALVENARIA COM TIJOLOS CERÂMICOS MACIÇOS, DIMENSÕES INTERNAS: 1,6 X 4,8 X H=2,0 M, VOLUME ÚTIL: 12288 L (PARA 86 CONTRIBUINTES). AF_12/2020</t>
  </si>
  <si>
    <t>ARMAÇÃO DE BLOCO E SAPATA UTILIZANDO AÇO CA-50 DE 25 MM - MONTAGEM. AF_01/2024</t>
  </si>
  <si>
    <t>ARMAÇÃO DE BLOCO UTILIZANDO AÇO CA-50 DE 10 MM - MONTAGEM. AF_01/2024</t>
  </si>
  <si>
    <t>ARMAÇÃO DE BLOCO UTILIZANDO AÇO CA-50 DE 6,3 MM - MONTAGEM. AF_01/2024</t>
  </si>
  <si>
    <t>ARMAÇÃO DE BLOCO UTILIZANDO AÇO CA-50 DE 8 MM - MONTAGEM. AF_01/2024</t>
  </si>
  <si>
    <t>ARMAÇÃO DE BLOCO UTILIZANDO AÇO CA-60 DE 5 MM - MONTAGEM. AF_01/2024</t>
  </si>
  <si>
    <t>ARMAÇÃO DE BLOCO, SAPATA ISOLADA E SAPATA CORRIDA UTILIZANDO AÇO CA-50 DE 20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</si>
  <si>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</si>
  <si>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</si>
  <si>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SAPATA ISOLADA, VIGA BALDRAME E SAPATA CORRIDA UTILIZANDO AÇO CA-50 DE 10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</si>
  <si>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</si>
  <si>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</si>
  <si>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CA-60 DE 5 MM - MONTAGEM. AF_01/2024</t>
  </si>
  <si>
    <t>CONCRETAGEM DE BLOCO DE COROAMENTO OU VIGA BALDRAME, FCK 30 MPA, COM USO DE BOMBA - LANÇAMENTO, ADENSAMENTO E ACABAMENTO. AF_01/2024</t>
  </si>
  <si>
    <t>CONCRETAGEM DE BLOCO DE COROAMENTO OU VIGA BALDRAME, FCK 30 MPA, COM USO DE JERICA - LANÇAMENTO, ADENSAMENTO E ACABAMENTO. AF_01/2024</t>
  </si>
  <si>
    <t>CONCRETAGEM DE SAPATA CORRIDA, FCK 30 MPA, COM USO DE BOMBA - LANÇAMENTO, ADENSAMENTO E ACABAMENTO. AF_01/2024</t>
  </si>
  <si>
    <t>CONCRETAGEM DE SAPATA CORRIDA, FCK 30 MPA, COM USO DE JERICA - LANÇAMENTO, ADENSAMENTO E ACABAMENTO. AF_01/2024</t>
  </si>
  <si>
    <t>CONCRETAGEM DE SAPATA, FCK 30 MPA, COM USO DE BOMBA - LANÇAMENTO, ADENSAMENTO E ACABAMENTO. AF_01/2024</t>
  </si>
  <si>
    <t>CONCRETAGEM DE SAPATA, FCK 30 MPA, COM USO DE JERICA - LANÇAMENTO, ADENSAMENTO E ACABAMENTO. AF_01/2024</t>
  </si>
  <si>
    <t>ESCAVAÇÃO MANUAL PARA BLOCO DE COROAMENTO OU SAPATA (INCLUINDO ESCAVAÇÃO PARA COLOCAÇÃO DE FÔRMAS). AF_01/2024</t>
  </si>
  <si>
    <t>ESCAVAÇÃO MANUAL PARA BLOCO DE COROAMENTO OU SAPATA (SEM ESCAVAÇÃO PARA COLOCAÇÃO DE FÔRMAS). AF_01/2024</t>
  </si>
  <si>
    <t>ESCAVAÇÃO MANUAL PARA VIGA BALDRAME OU SAPATA CORRIDA (INCLUINDO ESCAVAÇÃO PARA COLOCAÇÃO DE FÔRMAS). AF_01/2024</t>
  </si>
  <si>
    <t>ESCAVAÇÃO MANUAL PARA VIGA BALDRAME OU SAPATA CORRIDA (SEM ESCAVAÇÃO PARA COLOCAÇÃO DE FÔRMAS). AF_01/2024</t>
  </si>
  <si>
    <t>ESCAVAÇÃO MECANIZADA PARA BLOCO DE COROAMENTO OU SAPATA COM RETROESCAVADEIRA (INCLUINDO ESCAVAÇÃO PARA COLOCAÇÃO DE FÔRMAS). AF_01/2024</t>
  </si>
  <si>
    <t>ESCAVAÇÃO MECANIZADA PARA BLOCO DE COROAMENTO OU SAPATA COM RETROESCAVADEIRA (SEM ESCAVAÇÃO PARA COLOCAÇÃO DE FÔRMAS). AF_01/2024</t>
  </si>
  <si>
    <t>ESCAVAÇÃO MECANIZADA PARA VIGA BALDRAME OU SAPATA CORRIDA COM MINI-ESCAVADEIRA (INCLUINDO ESCAVAÇÃO PARA COLOCAÇÃO DE FÔRMAS). AF_01/2024</t>
  </si>
  <si>
    <t>ESCAVAÇÃO MECANIZADA PARA VIGA BALDRAME OU SAPATA CORRIDA COM MINI-ESCAVADEIRA (SEM ESCAVAÇÃO PARA COLOCAÇÃO DE FÔRMAS). AF_01/2024</t>
  </si>
  <si>
    <t>FABRICAÇÃO, MONTAGEM E DESMONTAGEM DE FÔRMA PARA BLOCO DE COROAMENTO,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</si>
  <si>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</si>
  <si>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BLOCO DE COROAMENTO, EM MADEIRA SERRADA, E=25 MM, 1 UTILIZAÇÃO. AF_01/2024</t>
  </si>
  <si>
    <t>FABRICAÇÃO, MONTAGEM E DESMONTAGEM DE FÔRMA PARA BLOCO DE COROAMENTO, EM MADEIRA SERRADA, E=25 MM, 2 UTILIZAÇÕES. AF_01/2024</t>
  </si>
  <si>
    <t>FABRICAÇÃO, MONTAGEM E DESMONTAGEM DE FÔRMA PARA BLOCO DE COROAMENTO,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</si>
  <si>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</si>
  <si>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</si>
  <si>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</si>
  <si>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</si>
  <si>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</si>
  <si>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EM CHAPA DE MADEIRA COMPENSADA RESINADA, E=17 MM, 2 UTILIZAÇÕES. AF_01/2024</t>
  </si>
  <si>
    <t>FABRICAÇÃO, MONTAGEM E DESMONTAGEM DE FÔRMA PARA SAPATA, EM CHAPA DE MADEIRA COMPENSADA RESINADA, E=17 MM, 4 UTILIZAÇÕES. AF_01/2024</t>
  </si>
  <si>
    <t>FABRICAÇÃO, MONTAGEM E DESMONTAGEM DE FÔRMA PARA SAPATA, EM MADEIRA SERRADA, E=25 MM, 1 UTILIZAÇÃO. AF_01/2024</t>
  </si>
  <si>
    <t>FABRICAÇÃO, MONTAGEM E DESMONTAGEM DE FÔRMA PARA SAPATA, EM MADEIRA SERRADA, E=25 MM, 2 UTILIZAÇÕES. AF_01/2024</t>
  </si>
  <si>
    <t>FABRICAÇÃO, MONTAGEM E DESMONTAGEM DE FÔRMA PARA SAPATA, EM MADEIRA SERRADA, E=25 MM, 4 UTILIZAÇÕES. AF_01/2024</t>
  </si>
  <si>
    <t>FABRICAÇÃO, MONTAGEM E DESMONTAGEM DE FÔRMA PARA VIGA BALDRAME, EM CHAPA DE MADEIRA COMPENSADA RESINADA, E=17 MM, 2 UTILIZAÇÕES. AF_01/2024</t>
  </si>
  <si>
    <t>FABRICAÇÃO, MONTAGEM E DESMONTAGEM DE FÔRMA PARA VIGA BALDRAME, EM CHAPA DE MADEIRA COMPENSADA RESINADA, E=17 MM, 4 UTILIZAÇÕES. AF_01/2024</t>
  </si>
  <si>
    <t>FABRICAÇÃO, MONTAGEM E DESMONTAGEM DE FÔRMA PARA VIGA BALDRAME, EM MADEIRA SERRADA, E=25 MM, 1 UTILIZAÇÃO. AF_01/2024</t>
  </si>
  <si>
    <t>FABRICAÇÃO, MONTAGEM E DESMONTAGEM DE FÔRMA PARA VIGA BALDRAME, EM MADEIRA SERRADA, E=25 MM, 2 UTILIZAÇÕES. AF_01/2024</t>
  </si>
  <si>
    <t>FABRICAÇÃO, MONTAGEM E DESMONTAGEM DE FÔRMA PARA VIGA BALDRAME, EM MADEIRA SERRADA, E=25 MM, 4 UTILIZAÇÕES. AF_01/2024</t>
  </si>
  <si>
    <t>MONTAGEM E DESMONTAGEM DE FÔRMA PARA ESTRUTURA CIRCULAR, COM INSTALAÇÃO EXCLUSIVAMENTE NA FACE INTERNA DA ESTRUTURA, COM AUXÍLIO DE GUINDASTE. AF_07/2024</t>
  </si>
  <si>
    <t>MONTAGEM E DESMONTAGEM DE FÔRMA PARA ESTRUTURA CIRCULAR, COM INSTALAÇÃO EXCLUSIVAMENTE NA FACE INTERNA DA ESTRUTURA, SEM AUXÍLIO DE GUINDASTE. AF_07/2024</t>
  </si>
  <si>
    <t>MONTAGEM E DESMONTAGEM DE FÔRMA PARA ESTRUTURA CIRCULAR, COM INSTALAÇÃO NA FACE INTERNA E EXTERNA DA EXTRUTURA, COM AUXÍLIO DE GUINDASTE. AF_07/2024</t>
  </si>
  <si>
    <t>MONTAGEM E DESMONTAGEM DE FÔRMA PARA ESTRUTURA CIRCULAR, COM INSTALAÇÃO NA FACE INTERNA E EXTERNA DA EXTRUTURA, SEM AUXÍLIO DE GUINDASTE. AF_07/2024</t>
  </si>
  <si>
    <t>ESCORAMENTO DE FÔRMAS DE LAJE EM MADEIRA NÃO APARELHADA, PÉ-DIREITO DUPLO, INCLUSO TRAVAMENTO, 4 UTILIZAÇÕES. AF_09/2020</t>
  </si>
  <si>
    <t>ESCORAMENTO DE FÔRMAS DE LAJE EM MADEIRA NÃO APARELHADA, PÉ-DIREITO SIMPLES, INCLUSO TRAVAMENTO, 4 UTILIZAÇÕES. AF_09/2020</t>
  </si>
  <si>
    <t>FABRICAÇÃO DE ESCORAS DE VIGA DO TIPO GARFO, EM MADEIRA. AF_09/2020</t>
  </si>
  <si>
    <t>FABRICAÇÃO DE ESCORAS DO TIPO PONTALETE, EM MADEIRA, PARA PÉ-DIREITO DUPLO. AF_09/2020</t>
  </si>
  <si>
    <t>FABRICAÇÃO DE ESCORAS DO TIPO PONTALETE, EM MADEIRA, PARA PÉ-DIREITO SIMPLES. AF_09/2020</t>
  </si>
  <si>
    <t>FABRICAÇÃO DE FÔRMA PARA LAJES, EM CHAPA DE MADEIRA COMPENSADA PLASTIFICADA, E = 18 MM. AF_09/2020</t>
  </si>
  <si>
    <t>FABRICAÇÃO DE FÔRMA PARA LAJES, EM CHAPA DE MADEIRA COMPENSADA RESINADA, E = 17 MM. AF_09/2020</t>
  </si>
  <si>
    <t>FABRICAÇÃO DE FÔRMA PARA LAJES, EM MADEIRA SERRADA, E=25 MM. AF_09/2020</t>
  </si>
  <si>
    <t>FABRICAÇÃO DE FÔRMA PARA PILARES E ESTRUTURAS SIMILARES, EM CHAPA DE MADEIRA COMPENSADA PLASTIFICADA, E = 18 MM. AF_09/2020</t>
  </si>
  <si>
    <t>FABRICAÇÃO DE FÔRMA PARA PILARES E ESTRUTURAS SIMILARES, EM CHAPA DE MADEIRA COMPENSADA RESINADA, E = 17 MM. AF_09/2020</t>
  </si>
  <si>
    <t>FABRICAÇÃO DE FÔRMA PARA PILARES E ESTRUTURAS SIMILARES, EM MADEIRA SERRADA, E=25 MM. AF_09/2020</t>
  </si>
  <si>
    <t>FABRICAÇÃO DE FÔRMA PARA VIGAS, COM MADEIRA SERRADA, E = 25 MM. AF_09/2020</t>
  </si>
  <si>
    <t>FABRICAÇÃO DE FÔRMA PARA VIGAS, EM CHAPA DE MADEIRA COMPENSADA PLASTIFICADA, E = 18 MM. AF_09/2020</t>
  </si>
  <si>
    <t>FABRICAÇÃO DE FÔRMA PARA VIGAS, EM CHAPA DE MADEIRA COMPENSADA RESINADA, E = 17 MM. AF_09/2020</t>
  </si>
  <si>
    <t>MONTAGEM E DESMONTAGEM DE FÔRMA DE LAJE MACIÇA, PÉ-DIREITO DUPLO,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</si>
  <si>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</si>
  <si>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</si>
  <si>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</si>
  <si>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DUPLO, EM CHAPA DE MADEIRA COMPENSADA RESINADA, 2 UTILIZAÇÕES. AF_09/2020</t>
  </si>
  <si>
    <t>MONTAGEM E DESMONTAGEM DE FÔRMA DE LAJE MACIÇA, PÉ-DIREITO DUPLO, EM CHAPA DE MADEIRA COMPENSADA RESINADA, 4 UTILIZAÇÕES. AF_09/2020</t>
  </si>
  <si>
    <t>MONTAGEM E DESMONTAGEM DE FÔRMA DE LAJE MACIÇA, PÉ-DIREITO DUPLO,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</si>
  <si>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</si>
  <si>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PLASTIFICADA, 10 UTILIZAÇÕES. AF_09/2020</t>
  </si>
  <si>
    <t>MONTAGEM E DESMONTAGEM DE FÔRMA DE LAJE MACIÇA, PÉ-DIREITO SIMPLES, EM CHAPA DE MADEIRA COMPENSADA PLASTIFICADA, 12 UTILIZAÇÕES. AF_09/2020</t>
  </si>
  <si>
    <t>MONTAGEM E DESMONTAGEM DE FÔRMA DE LAJE MACIÇA, PÉ-DIREITO SIMPLES, EM CHAPA DE MADEIRA COMPENSADA PLASTIFICADA, 14 UTILIZAÇÕES. AF_09/2020</t>
  </si>
  <si>
    <t>MONTAGEM E DESMONTAGEM DE FÔRMA DE LAJE MACIÇA, PÉ-DIREITO SIMPLES, EM CHAPA DE MADEIRA COMPENSADA PLASTIFICADA, 18 UTILIZAÇÕES. AF_09/2020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</si>
  <si>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</si>
  <si>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</si>
  <si>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</si>
  <si>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</si>
  <si>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MONTAGEM E DESMONTAGEM DE FÔRMA DE LAJE MACIÇA, PÉ-DIREITO SIMPLES, EM CHAPA DE MADEIRA COMPENSADA RESINADA, 2 UTILIZAÇÕES. AF_09/2020</t>
  </si>
  <si>
    <t>MONTAGEM E DESMONTAGEM DE FÔRMA DE LAJE MACIÇA, PÉ-DIREITO SIMPLES, EM CHAPA DE MADEIRA COMPENSADA RESINADA, 4 UTILIZAÇÕES. AF_09/2020</t>
  </si>
  <si>
    <t>MONTAGEM E DESMONTAGEM DE FÔRMA DE LAJE MACIÇA, PÉ-DIREITO SIMPLES, EM CHAPA DE MADEIRA COMPENSADA RESINADA, 6 UTILIZAÇÕES. AF_09/2020</t>
  </si>
  <si>
    <t>MONTAGEM E DESMONTAGEM DE FÔRMA DE LAJE MACIÇA, PÉ-DIREITO SIMPLES, EM CHAPA DE MADEIRA COMPENSADA RESINADA, 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</si>
  <si>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</si>
  <si>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</si>
  <si>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</si>
  <si>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</si>
  <si>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</si>
  <si>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</si>
  <si>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</si>
  <si>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</si>
  <si>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</si>
  <si>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</si>
  <si>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</si>
  <si>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SIMPLES, EM CHAPA DE MADEIRA COMPENSADA RESINADA, 18 UTILIZAÇÕES. AF_09/2020</t>
  </si>
  <si>
    <t>MONTAGEM E DESMONTAGEM DE FÔRMA DE LAJE NERVURADA COM CUBETA E ASSOALHO, PÉ-DIREITO SIMPLES, EM CHAPA DE MADEIRA COMPENSADA RESINADA, 8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</si>
  <si>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</si>
  <si>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</si>
  <si>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</si>
  <si>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DUPLO, EM CHAPA DE MADEIRA COMPENSADA PLASTIFICADA, 18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</si>
  <si>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</si>
  <si>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</si>
  <si>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</si>
  <si>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</si>
  <si>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</si>
  <si>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</si>
  <si>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</si>
  <si>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</si>
  <si>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</si>
  <si>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</si>
  <si>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</si>
  <si>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</si>
  <si>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</si>
  <si>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</si>
  <si>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</si>
  <si>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VIGA, ESCORAMENTO COM GARFO DE MADEIRA, PÉ-DIREITO DUPLO,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</si>
  <si>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</si>
  <si>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</si>
  <si>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</si>
  <si>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COM GARFO DE MADEIRA, PÉ-DIREITO DUPLO, EM CHAPA DE MADEIRA RESINADA, 2 UTILIZAÇÕES. AF_09/2020</t>
  </si>
  <si>
    <t>MONTAGEM E DESMONTAGEM DE FÔRMA DE VIGA, ESCORAMENTO COM GARFO DE MADEIRA, PÉ-DIREITO DUPLO,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</si>
  <si>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</si>
  <si>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DUPLO, EM CHAPA DE MADEIRA RESINADA, 8 UTILIZAÇÕES. AF_09/2020</t>
  </si>
  <si>
    <t>MONTAGEM E DESMONTAGEM DE FÔRMA DE VIGA, ESCORAMENTO COM GARFO DE MADEIRA, PÉ-DIREITO SIMPLES, EM CHAPA DE MADEIRA PLASTIFICADA, 10 UTILIZAÇÕES. AF_09/2020</t>
  </si>
  <si>
    <t>MONTAGEM E DESMONTAGEM DE FÔRMA DE VIGA, ESCORAMENTO COM GARFO DE MADEIRA, PÉ-DIREITO SIMPLES, EM CHAPA DE MADEIRA PLASTIFICADA, 12 UTILIZAÇÕES. AF_09/2020</t>
  </si>
  <si>
    <t>MONTAGEM E DESMONTAGEM DE FÔRMA DE VIGA, ESCORAMENTO COM GARFO DE MADEIRA, PÉ-DIREITO SIMPLES, EM CHAPA DE MADEIRA PLASTIFICADA, 14 UTILIZAÇÕES. AF_09/2020</t>
  </si>
  <si>
    <t>MONTAGEM E DESMONTAGEM DE FÔRMA DE VIGA, ESCORAMENTO COM GARFO DE MADEIRA, PÉ-DIREITO SIMPLES, EM CHAPA DE MADEIRA PLASTIFICADA, 18 UTILIZAÇÕES. AF_09/2020</t>
  </si>
  <si>
    <t>MONTAGEM E DESMONTAGEM DE FÔRMA DE VIGA, ESCORAMENTO COM GARFO DE MADEIRA, PÉ-DIREITO SIMPLES, EM CHAPA DE MADEIRA RESINADA, 2 UTILIZAÇÕES. AF_09/2020</t>
  </si>
  <si>
    <t>MONTAGEM E DESMONTAGEM DE FÔRMA DE VIGA, ESCORAMENTO COM GARFO DE MADEIRA, PÉ-DIREITO SIMPLES, EM CHAPA DE MADEIRA RESINADA, 4 UTILIZAÇÕES. AF_09/2020</t>
  </si>
  <si>
    <t>MONTAGEM E DESMONTAGEM DE FÔRMA DE VIGA, ESCORAMENTO COM GARFO DE MADEIRA, PÉ-DIREITO SIMPLES, EM CHAPA DE MADEIRA RESINADA, 6 UTILIZAÇÕES. AF_09/2020</t>
  </si>
  <si>
    <t>MONTAGEM E DESMONTAGEM DE FÔRMA DE VIGA, ESCORAMENTO COM GARFO DE MADEIRA, PÉ-DIREITO SIMPLES, EM CHAPA DE MADEIRA RESINADA, 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</si>
  <si>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</si>
  <si>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</si>
  <si>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</si>
  <si>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METÁLICO, PÉ-DIREITO DUPLO, EM CHAPA DE MADEIRA PLASTIFICADA, 10 UTILIZAÇÕES. AF_09/2020</t>
  </si>
  <si>
    <t>MONTAGEM E DESMONTAGEM DE FÔRMA DE VIGA, ESCORAMENTO METÁLICO, PÉ-DIREITO DUPLO, EM CHAPA DE MADEIRA PLASTIFICADA, 12 UTILIZAÇÕES. AF_09/2020</t>
  </si>
  <si>
    <t>MONTAGEM E DESMONTAGEM DE FÔRMA DE VIGA, ESCORAMENTO METÁLICO, PÉ-DIREITO DUPLO, EM CHAPA DE MADEIRA PLASTIFICADA, 14 UTILIZAÇÕES. AF_09/2020</t>
  </si>
  <si>
    <t>MONTAGEM E DESMONTAGEM DE FÔRMA DE VIGA, ESCORAMENTO METÁLICO, PÉ-DIREITO DUPLO, EM CHAPA DE MADEIRA PLASTIFICADA, 18 UTILIZAÇÕES. AF_09/2020</t>
  </si>
  <si>
    <t>MONTAGEM E DESMONTAGEM DE FÔRMA DE VIGA, ESCORAMENTO METÁLICO, PÉ-DIREITO DUPLO, EM CHAPA DE MADEIRA RESINADA, 2 UTILIZAÇÕES. AF_09/2020</t>
  </si>
  <si>
    <t>MONTAGEM E DESMONTAGEM DE FÔRMA DE VIGA, ESCORAMENTO METÁLICO, PÉ-DIREITO DUPLO, EM CHAPA DE MADEIRA RESINADA, 4 UTILIZAÇÕES. AF_09/2020</t>
  </si>
  <si>
    <t>MONTAGEM E DESMONTAGEM DE FÔRMA DE VIGA, ESCORAMENTO METÁLICO, PÉ-DIREITO DUPLO, EM CHAPA DE MADEIRA RESINADA, 6 UTILIZAÇÕES. AF_09/2020</t>
  </si>
  <si>
    <t>MONTAGEM E DESMONTAGEM DE FÔRMA DE VIGA, ESCORAMENTO METÁLICO, PÉ-DIREITO DUPLO, EM CHAPA DE MADEIRA RESINADA, 8 UTILIZAÇÕES. AF_09/2020</t>
  </si>
  <si>
    <t>MONTAGEM E DESMONTAGEM DE FÔRMA DE VIGA, ESCORAMENTO METÁLICO, PÉ-DIREITO SIMPLES, EM CHAPA DE MADEIRA PLASTIFICADA, 10 UTILIZAÇÕES. AF_09/2020</t>
  </si>
  <si>
    <t>MONTAGEM E DESMONTAGEM DE FÔRMA DE VIGA, ESCORAMENTO METÁLICO, PÉ-DIREITO SIMPLES, EM CHAPA DE MADEIRA PLASTIFICADA, 12 UTILIZAÇÕES. AF_09/2020</t>
  </si>
  <si>
    <t>MONTAGEM E DESMONTAGEM DE FÔRMA DE VIGA, ESCORAMENTO METÁLICO, PÉ-DIREITO SIMPLES, EM CHAPA DE MADEIRA PLASTIFICADA, 14 UTILIZAÇÕES. AF_09/2020</t>
  </si>
  <si>
    <t>MONTAGEM E DESMONTAGEM DE FÔRMA DE VIGA, ESCORAMENTO METÁLICO, PÉ-DIREITO SIMPLES, EM CHAPA DE MADEIRA PLASTIFICADA, 18 UTILIZAÇÕES. AF_09/2020</t>
  </si>
  <si>
    <t>MONTAGEM E DESMONTAGEM DE FÔRMA DE VIGA, ESCORAMENTO METÁLICO, PÉ-DIREITO SIMPLES, EM CHAPA DE MADEIRA RESINADA, 2 UTILIZAÇÕES. AF_09/2020</t>
  </si>
  <si>
    <t>MONTAGEM E DESMONTAGEM DE FÔRMA DE VIGA, ESCORAMENTO METÁLICO, PÉ-DIREITO SIMPLES, EM CHAPA DE MADEIRA RESINADA, 4 UTILIZAÇÕES. AF_09/2020</t>
  </si>
  <si>
    <t>MONTAGEM E DESMONTAGEM DE FÔRMA DE VIGA, ESCORAMENTO METÁLICO, PÉ-DIREITO SIMPLES, EM CHAPA DE MADEIRA RESINADA, 6 UTILIZAÇÕES. AF_09/2020</t>
  </si>
  <si>
    <t>MONTAGEM E DESMONTAGEM DE FÔRMA DE VIGA, ESCORAMENTO METÁLICO, PÉ-DIREITO SIMPLES, EM CHAPA DE MADEIRA RESINADA, 8 UTILIZAÇÕES. AF_09/2020</t>
  </si>
  <si>
    <t>FABRICAÇÃO DE FÔRMA PARA PILARES CIRCULARES, EM CHAPA DE MADEIRA COMPENSADA RESINADA, PÉ-DIREITO DUPLO. AF_05/2024</t>
  </si>
  <si>
    <t>FABRICAÇÃO DE FÔRMA PARA PILARES CIRCULARES, EM CHAPA DE MADEIRA COMPENSADA RESINADA, PÉ-DIREITO SIMPLES. AF_05/2024</t>
  </si>
  <si>
    <t>MONTAGEM E DESMONTAGEM DE FÔRMA DE PILARES CIRCULARES, COM ÁREA MÉDIA DAS SEÇÕES MAIOR QUE 0,28 M², EM PAPELÃO. AF_05/2024</t>
  </si>
  <si>
    <t>MONTAGEM E DESMONTAGEM DE FÔRMA DE PILARES CIRCULARES, COM ÁREA MÉDIA DAS SEÇÕES MENOR OU IGUAL A 0,28 M², EM PAPELÃO. AF_05/2024</t>
  </si>
  <si>
    <t>MONTAGEM E DESMONTAGEM DE FÔRMA DE PILARES CIRCULARES, PÉ-DIREITO DUPLO, EM MADEIRA, 2 UTILIZAÇÕES. AF_05/2024</t>
  </si>
  <si>
    <t>MONTAGEM E DESMONTAGEM DE FÔRMA DE PILARES CIRCULARES, PÉ-DIREITO DUPLO, METÁLICA. AF_05/2024</t>
  </si>
  <si>
    <t>MONTAGEM E DESMONTAGEM DE FÔRMA DE PILARES CIRCULARES, PÉ-DIREITO DUPLO, PLÁSTICA. AF_05/2024</t>
  </si>
  <si>
    <t>MONTAGEM E DESMONTAGEM DE FÔRMA DE PILARES CIRCULARES, PÉ-DIREITO SIMPLES, EM MADEIRA, 2 UTILIZAÇÕES. AF_05/2024</t>
  </si>
  <si>
    <t>MONTAGEM E DESMONTAGEM DE FÔRMA DE PILARES CIRCULARES, PÉ-DIREITO SIMPLES, METÁLICA. AF_05/2024</t>
  </si>
  <si>
    <t>MONTAGEM E DESMONTAGEM DE FÔRMA DE PILARES CIRCULARES, PÉ-DIREITO SIMPLES, PLÁSTICA. AF_05/2024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</si>
  <si>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</si>
  <si>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</si>
  <si>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</si>
  <si>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</si>
  <si>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</si>
  <si>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</si>
  <si>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</si>
  <si>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</si>
  <si>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</si>
  <si>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DE GRAVIDADE, COM GAIOLAS DE COMPRIMENTO IGUAL A 5 M, PARA MUROS COM ALTURA MENOR OU IGUAL A 4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</si>
  <si>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</si>
  <si>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MURO DE GABIÃO, ENCHIMENTO COM RESÍDUO DE CONSTRUÇÃO E DEMOLIÇÃO, DE GRAVIDADE, COM GAIOLA TRAPEZOIDAL DE COMPRIMENTO IGUAL A 2 M, PARA MUROS COM ALTURA MENOR OU IGUAL A 2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</si>
  <si>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</si>
  <si>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</si>
  <si>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</si>
  <si>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</si>
  <si>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ADUELA/ GALERIA ABERTA PRE-MOLDADA DE CONCRETO ARMADO, SECAO QUADRANGULAR INTERNA DE 1,50 X 1,50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</si>
  <si>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</si>
  <si>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</si>
  <si>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15 CM, TB-45 E FCK DO CONCRETO = 30 MPA FORNECIMENTO E ASSENTAMENTO. AF_01/2023</t>
  </si>
  <si>
    <t>ADUELA/ GALERIA ABERTA PRE-MOLDADA DE CONCRETO ARMADO, SECAO QUADRANGULAR INTERNA DE 2,50 X 2,50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</si>
  <si>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</si>
  <si>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20 CM, TB-45 E FCK DO CONCRETO = 30 MPA FORNECIMENTO E ASSENTAMENTO. AF_01/2023</t>
  </si>
  <si>
    <t>ADUELA/ GALERIA ABERTA PRE-MOLDADA DE CONCRETO ARMADO, SECAO QUADRANGULAR INTERNA DE 3,00 X 3,00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</si>
  <si>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35 CM, TB-45 E FCK DO CONCRETO = 30 MPA FORNECIMENTO E ASSENTAMENTO. AF_01/2023</t>
  </si>
  <si>
    <t>ADUELA/ GALERIA ABERTA PRE-MOLDADA DE CONCRETO ARMADO, SECAO RETANGULAR INTERNA DE 2,00 X 1,50 M (L X A), MISULA DE 20 X 20 CM, C = 1,00 M, ESPESSURA MIN = 20 CM, TB-45 E FCK DO CONCRETO = 30 MPA FORNECIMENTO E ASSENTAMENTO. AF_01/2023</t>
  </si>
  <si>
    <t>ADUELA/ GALERIA ABERTA PRE-MOLDADA DE CONCRETO ARMADO, SECAO RETANGULAR INTERNA DE 2,50 X 1,50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</si>
  <si>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</si>
  <si>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20 CM, TB-45 E FCK DO CONCRETO = 30 MPA FORNECIMENTO E ASSENTAMENTO. AF_01/2023</t>
  </si>
  <si>
    <t>ADUELA/ GALERIA ABERTA PRE-MOLDADA DE CONCRETO ARMADO, SECAO RETANGULAR INTERNA DE 3,00 X 2,00 M (L X A), MISULA DE 20 X 20 CM, C = 1,00 M, ESPESSURA MIN = 15 CM, TB-45 E FCK DO CONCRETO = 30 MPA FORNECIMENTO E ASSENTAMENTO. AF_01/2023</t>
  </si>
  <si>
    <t>ADUELA/ GALERIA ABERTA PRE-MOLDADA DE CONCRETO ARMADO, SECAO RETANGULAR INTERNA DE 3,00 X 2,00 M (L X A), MISULA DE 20 X 20 CM, C = 1,00 M, ESPESSURA MIN = 20 CM, TB-45 E FCK DO CONCRETO = 30 MPA FORNECIMENTO E ASSENTAMENTO. AF_01/2023</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</si>
  <si>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</si>
  <si>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</si>
  <si>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</si>
  <si>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</si>
  <si>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</si>
  <si>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</si>
  <si>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</si>
  <si>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ADUELA/ GALERIA FECHADA PRE-MOLDADA DE CONCRETO ARMADO, SECAO QUADRANGULAR INTERNA DE 3,00 X 3,00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</si>
  <si>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35 CM, TB-45 E FCK DO CONCRETO = 30 MPA FORNECIMENTO E ASSENTAMENTO. AF_01/2023</t>
  </si>
  <si>
    <t>APLICAÇÃO DE MANTA GEOTÊXTIL NAS JUNTAS RÍGIDAS DE ADUELAS PRÉ-MOLDADAS DE CONCRETO ARMADO. AF_01/2023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</si>
  <si>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</si>
  <si>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</si>
  <si>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</si>
  <si>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</si>
  <si>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</si>
  <si>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</si>
  <si>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DESEMPENADO (SEM TALISCAS) EM PAREDES, ESPESSURA DE 0,5CM. AF_03/2023</t>
  </si>
  <si>
    <t>APLICAÇÃO MANUAL DE GESSO DESEMPENADO (SEM TALISCAS) EM PAREDES, ESPESSURA DE 1,0CM.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</si>
  <si>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</si>
  <si>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</si>
  <si>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</si>
  <si>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</si>
  <si>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</si>
  <si>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MENOR QUE 5M², ESPESSURA DE 1,0CM. AF_03/2023</t>
  </si>
  <si>
    <t>APLICAÇÃO MANUAL DE GESSO DESEMPENADO (SEM TALISCAS) EM TETO DE AMBIENTES DE ÁREA ENTRE 5M² E 10M², ESPESSURA DE 0,5CM. AF_03/2023</t>
  </si>
  <si>
    <t>APLICAÇÃO MANUAL DE GESSO DESEMPENADO (SEM TALISCAS) EM TETO DE AMBIENTES DE ÁREA ENTRE 5M² E 10M², ESPESSURA DE 1,0CM. AF_03/2023</t>
  </si>
  <si>
    <t>APLICAÇÃO MANUAL DE GESSO DESEMPENADO (SEM TALISCAS) EM TETO DE AMBIENTES DE ÁREA MAIOR QUE 10M², ESPESSURA DE 0,5CM. AF_03/2023</t>
  </si>
  <si>
    <t>APLICAÇÃO MANUAL DE GESSO DESEMPENADO (SEM TALISCAS) EM TETO DE AMBIENTES DE ÁREA MAIOR QUE 10M², ESPESSURA DE 1,0CM. AF_03/2023</t>
  </si>
  <si>
    <t>APLICAÇÃO MANUAL DE GESSO DESEMPENADO (SEM TALISCAS) EM TETO DE AMBIENTES DE ÁREA MENOR QUE 5M², ESPESSURA DE 0,5CM. AF_03/2023</t>
  </si>
  <si>
    <t>APLICAÇÃO MANUAL DE GESSO DESEMPENADO (SEM TALISCAS) EM TETO DE AMBIENTES DE ÁREA MENOR QUE 5M², ESPESSURA DE 1,0CM. AF_03/2023</t>
  </si>
  <si>
    <t>APLICAÇÃO MANUAL DE GESSO SARRAFEADO (COM TALISCAS) EM PAREDES COM PÉ DIREITO DUPLO, ESPESSURA DE 1,0CM. AF_03/2023</t>
  </si>
  <si>
    <t>APLICAÇÃO MANUAL DE GESSO SARRAFEADO (COM TALISCAS) EM PAREDES COM PÉ DIREITO DUPLO, ESPESSURA DE 1,5CM. AF_03/2023</t>
  </si>
  <si>
    <t>APLICAÇÃO MANUAL DE GESSO SARRAFEADO (COM TALISCAS) EM PAREDES, ESPESSURA DE 1,0CM. AF_03/2023</t>
  </si>
  <si>
    <t>APLICAÇÃO MANUAL DE GESSO SARRAFEADO (COM TALISCAS) EM PAREDES, ESPESSURA DE 1,5CM. AF_03/2023</t>
  </si>
  <si>
    <t>ASSENTAMENTO DE GUIA (MEIO-FIO) EM TRECHO CURVO, CONFECCIONADA EM CONCRETO PRÉ-FABRICADO, DIMENSÕES 100X15X13X20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</si>
  <si>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</si>
  <si>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CURVO,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</si>
  <si>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</si>
  <si>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</si>
  <si>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RETO, CONFECCIONADA EM CONCRETO PRÉ-FABRICADO, DIMENSÕES 100X15X13X30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</si>
  <si>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</si>
  <si>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RETO, CONFECCIONADA EM CONCRETO PRÉ-FABRICADO, DIMENSÕES 80X08X08X25 CM (COMPRIMENTO X BASE INFERIOR X BASE SUPERIOR X ALTURA). AF_01/2024</t>
  </si>
  <si>
    <t>ASSENTAMENTO DE GUIA (MEIO-FIO), TIPO PAVER (FINCADINHA) EM TRECHO RETO, EM CONCRETO PRÉ-FABRICADO, DIMENSÕES 45X08X608X19 CM (COMPRIMENTO X BASE INFERIOR X BASE SUPERIOR X ALTURA), PARA DELIMITAÇÃO DE JARDINS, PRAÇAS OU PASSEIOS. AF_01/2024</t>
  </si>
  <si>
    <t>ASSENTAMENTO DE GUIA (MEIO-FIO), TIPO PAVER, FINCADINHA, EM TRECHO CURVO, EM CONCRETO PRÉ-FABRICADO, DIMENSÕES 45X08X08X19 CM (COMPRIMENTO X BASE INFERIOR X BASE SUPERIOR X ALTURA), PARA DELIMITAÇÃO DE JARDINS, PRAÇAS OU PASSEIOS. AF_01/2024</t>
  </si>
  <si>
    <t>EXECUÇÃO DE ESCORAS DE CONCRETO PARA CONTENÇÃO DE GUIAS PRÉ-FABRICADAS. AF_01/2024</t>
  </si>
  <si>
    <t>EXECUÇÃO DE SARJETA DE CONCRETO USINADO, MOLDADA IN LOCO EM TRECHO CURVO, 30 CM BASE X 10 CM ALTURA. AF_01/2024</t>
  </si>
  <si>
    <t>EXECUÇÃO DE SARJETA DE CONCRETO USINADO, MOLDADA IN LOCO EM TRECHO CURVO, 30 CM BASE X 15 CM ALTURA. AF_01/2024</t>
  </si>
  <si>
    <t>EXECUÇÃO DE SARJETA DE CONCRETO USINADO, MOLDADA IN LOCO EM TRECHO CURVO, 45 CM BASE X 10 CM ALTURA. AF_01/2024</t>
  </si>
  <si>
    <t>EXECUÇÃO DE SARJETA DE CONCRETO USINADO, MOLDADA IN LOCO EM TRECHO CURVO, 45 CM BASE X 15 CM ALTURA. AF_01/2024</t>
  </si>
  <si>
    <t>EXECUÇÃO DE SARJETA DE CONCRETO USINADO, MOLDADA IN LOCO EM TRECHO CURVO, 60 CM BASE X 10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</si>
  <si>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</si>
  <si>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</si>
  <si>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RETO, 30 CM BASE X 15 CM ALTURA. AF_01/2024</t>
  </si>
  <si>
    <t>EXECUÇÃO DE SARJETA DE CONCRETO USINADO, MOLDADA IN LOCO EM TRECHO RETO, 45 CM BASE X 10 CM ALTURA. AF_01/2024</t>
  </si>
  <si>
    <t>EXECUÇÃO DE SARJETA DE CONCRETO USINADO, MOLDADA IN LOCO EM TRECHO RETO, 45 CM BASE X 15 CM ALTURA. AF_01/2024</t>
  </si>
  <si>
    <t>EXECUÇÃO DE SARJETA DE CONCRETO USINADO, MOLDADA IN LOCO EM TRECHO RETO, 60 CM BASE X 10 CM ALTURA. AF_01/2024</t>
  </si>
  <si>
    <t>EXECUÇÃO DE SARJETA DE CONCRETO USINADO, MOLDADA IN LOCO EM TRECHO RETO, 60 CM BASE X 15 CM ALTURA. AF_01/2024</t>
  </si>
  <si>
    <t>EXECUÇÃO DE SARJETÃO DE CONCRETO USINADO, MOLDADA IN LOCO EM TRECHO RETO, 100 CM BASE X 20 CM ALTURA. AF_01/2024</t>
  </si>
  <si>
    <t>GUIA (MEIO-FIO) CONCRETO, MOLDADA IN LOCO EM TRECHO CURVO COM EXTRUSORA, 13 CM BASE X 22 CM ALTURA. AF_01/2024</t>
  </si>
  <si>
    <t>GUIA (MEIO-FIO) CONCRETO, MOLDADA IN LOCO EM TRECHO CURVO COM EXTRUSORA, 15 CM BASE X 30 CM ALTURA. AF_01/2024</t>
  </si>
  <si>
    <t>GUIA (MEIO-FIO) CONCRETO, MOLDADA IN LOCO EM TRECHO RETO COM EXTRUSORA, 13 CM BASE X 22 CM ALTURA. AF_01/2024</t>
  </si>
  <si>
    <t>GUIA (MEIO-FIO) CONCRETO, MOLDADA IN LOCO EM TRECHO RETO COM EXTRUSORA, 15 CM BASE X 30 CM ALTURA. AF_01/2024</t>
  </si>
  <si>
    <t>GUIA (MEIO-FIO) E SARJETA CONJUGADOS DE CONCRETO, MOLDADA IN LOCO EM TRECHO CURVO COM EXTRUSORA, 45 CM BASE (15 CM BASE DA GUIA + 30 CM BASE DA SARJETA) X 22 CM ALTURA. AF_01/2024</t>
  </si>
  <si>
    <t>GUIA (MEIO-FIO) E SARJETA CONJUGADOS DE CONCRETO, MOLDADA IN LOCO EM TRECHO CURVO COM EXTRUSORA, 60 CM BASE (15 CM BASE DA GUIA + 45 CM BASE DA SARJETA) X 26 CM ALTURA. AF_01/2024</t>
  </si>
  <si>
    <t>GUIA (MEIO-FIO) E SARJETA CONJUGADOS DE CONCRETO, MOLDADA IN LOCO EM TRECHO CURVO COM EXTRUSORA, 65 CM BASE (15 CM BASE DA GUIA + 50 CM BASE DA SARJETA) X 26 CM ALTURA. AF_01/2024</t>
  </si>
  <si>
    <t>GUIA (MEIO-FIO) E SARJETA CONJUGADOS DE CONCRETO, MOLDADA IN LOCO EM TRECHO RETO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</si>
  <si>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</si>
  <si>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RETO COM EXTRUSORA, 65 CM BASE (15 CM BASE DA GUIA + 50 CM BASE DA SARJETA) X 26 CM ALTURA. AF_01/2024</t>
  </si>
  <si>
    <t>BLOCO AUTÔNOMO DE ILUMINAÇÃO DE EMERGÊNCIA COM DOIS REFLETORES - FORNECIMENTO E INSTALAÇÃO. AF_09/2024</t>
  </si>
  <si>
    <t>CÂMERA DE MONITORAMENTO COM ATÉ 25 METROS DE ALCANCE TIPO BULLET - FORNECIMENTO E INSTALAÇÃO. AF_09/2024</t>
  </si>
  <si>
    <t>CÂMERA DE MONITORAMENTO COM ATÉ 25 METROS DE ALCANCE TIPO DOME - FORNECIMENTO E INSTALAÇÃO. AF_09/2024</t>
  </si>
  <si>
    <t>CÂMERA DE MONITORAMENTO COM MAIS DE 25 METROS DE ALCANCE TIPO BULLET - FORNECIMENTO E INSTALAÇÃO. AF_09/2024</t>
  </si>
  <si>
    <t>CÂMERA IP BULLET - FORNECIMENTO E INSTALAÇÃO. AF_09/2024</t>
  </si>
  <si>
    <t>CÂMERA IP DOME RESOLUCAO 1MP - FORNECIMENTO E INSTALAÇÃO. AF_09/2024</t>
  </si>
  <si>
    <t>CÂMERA IP SPEED DOME - FORNECIMENTO E INSTALAÇÃO. AF_09/2024</t>
  </si>
  <si>
    <t>CÂMERA IP WIFI - FORNECIMENTO E INSTALAÇÃO. AF_09/2024</t>
  </si>
  <si>
    <t>DRIVER SLIM PARA FITA LED - FORNECIMENTO E INSTALAÇÃO. AF_09/2024</t>
  </si>
  <si>
    <t>FITA LED - FORNECIMENTO E INSTALAÇÃO. AF_09/2024</t>
  </si>
  <si>
    <t>LUMINÁRIA ARANDELA TIPO MEIA LUA, DE SOBREPOR, COM 1 LÂMPADA LED DE 6 W, SEM REATOR - FORNECIMENTO E INSTALAÇÃO. AF_09/2024</t>
  </si>
  <si>
    <t>LUMINÁRIA ARANDELA TIPO TARTARUGA, DE SOBREPOR, COM 1 LÂMPADA LED DE 6 W, SEM REATOR - FORNECIMENTO E INSTALAÇÃO. AF_09/2024</t>
  </si>
  <si>
    <t>LUMINÁRIA DE EMERGÊNCIA, COM 30 LÂMPADAS LED DE 2 W, SEM REATOR - FORNECIMENTO E INSTALAÇÃO. AF_09/2024</t>
  </si>
  <si>
    <t>LUMINÁRIA LED DE EMBUTIR - QUADRADA 60X60CM, INCLUSO DRIVER - FORNECIMENTO E INSTALAÇÃO. AF_09/2024</t>
  </si>
  <si>
    <t>LUMINÁRIA LED DE SOBREPOR - QUADRADA *60X60*CM, INCLUSO DRIVER - FORNECIMENTO E INSTALAÇÃO. AF_09/2024</t>
  </si>
  <si>
    <t>LUMINÁRIA LED DE SOBREPOR HERMÉTICA - *60X15CM*, INCLUSO DRIVER - FORNECIMENTO E INSTALAÇÃO. AF_09/2024</t>
  </si>
  <si>
    <t>LUMINÁRIA TIPO CALHA, DE EMBUTIR, COM 1 LÂMPADA TUBULAR LED DE 18 W, SEM REATOR - FORNECIMENTO E INSTALAÇÃO. AF_09/2024</t>
  </si>
  <si>
    <t>LUMINÁRIA TIPO CALHA, DE EMBUTIR, COM 2 LÂMPADAS TUBULARES LED DE 18 W, SEM REATOR - FORNECIMENTO E INSTALAÇÃO. AF_09/2024</t>
  </si>
  <si>
    <t>LUMINÁRIA TIPO CALHA, DE EMBUTIR, COM 2 LÂMPADAS TUBULARES LED DE 9 W, SEM REATOR - FORNECIMENTO E INSTALAÇÃO. AF_09/2024</t>
  </si>
  <si>
    <t>LUMINÁRIA TIPO CALHA, DE EMBUTIR, PARA 1 LÂMPADA TUBULAR LED DE 36 W, SEM LÂMPADA E SEM REATOR - FORNECIMENTO E INSTALAÇÃO. AF_09/2024</t>
  </si>
  <si>
    <t>LUMINÁRIA TIPO CALHA, DE EMBUTIR, PARA 2 LÂMPADAS TUBULARES LED DE 36 W, SEM LÂMPADA E SEM REATOR - FORNECIMENTO E INSTALAÇÃO. AF_09/2024</t>
  </si>
  <si>
    <t>LUMINÁRIA TIPO CALHA, DE SOBREPOR, COM 1 LÂMPADA TUBULAR LED DE 18 W, SEM REATOR - FORNECIMENTO E INSTALAÇÃO. AF_09/2024</t>
  </si>
  <si>
    <t>LUMINÁRIA TIPO CALHA, DE SOBREPOR, COM 1 LÂMPADA TUBULAR LED DE 9 W SEM REATOR - FORNECIMENTO E INSTALAÇÃO. AF_09/2024</t>
  </si>
  <si>
    <t>LUMINÁRIA TIPO CALHA, DE SOBREPOR, COM 2 LÂMPADAS TUBULARES LED DE 18 W, SEM REATOR - FORNECIMENTO E INSTALAÇÃO. AF_09/2024</t>
  </si>
  <si>
    <t>LUMINÁRIA TIPO CALHA, DE SOBREPOR, COM 2 LÂMPADAS TUBULARES LED DE 9 W SEM REATOR - FORNECIMENTO E INSTALAÇÃO. AF_09/2024</t>
  </si>
  <si>
    <t>LUMINÁRIA TIPO CALHA, DE SOBREPOR, PARA 1 LÂMPADA TUBULAR LED DE 36 W, SEM LÂMPADA E SEM REATOR - FORNECIMENTO E INSTALAÇÃO. AF_09/2024</t>
  </si>
  <si>
    <t>LUMINÁRIA TIPO CALHA, DE SOBREPOR, PARA 2 LÂMPADAS TUBULARES LED DE 36 W, SEM LÂMPADA E SEM REATOR - FORNECIMENTO E INSTALAÇÃO. AF_09/2024</t>
  </si>
  <si>
    <t>LUMINÁRIA TIPO PLAFON CIRCULAR, DE SOBREPOR, COM LED DE 12/13 W - FORNECIMENTO E INSTALAÇÃO. AF_09/2024</t>
  </si>
  <si>
    <t>LUMINÁRIA TIPO PLAFON QUADRADA, DE EMBUTIR, COM LED DE 12 W - FORNECIMENTO E INSTALAÇÃO. AF_09/2024</t>
  </si>
  <si>
    <t>LUMINÁRIA TIPO PLAFON QUADRADA, DE EMBUTIR, COM LED DE 18 W - FORNECIMENTO E INSTALAÇÃO. AF_09/2024</t>
  </si>
  <si>
    <t>LUMINÁRIA TIPO PLAFON QUADRADA, DE EMBUTIR, COM LED DE 24 W - FORNECIMENTO E INSTALAÇÃO. AF_09/2024</t>
  </si>
  <si>
    <t>LUMINÁRIA TIPO PLAFON QUADRADA, DE SOBREPOR, COM LED DE 12 W - FORNECIMENTO E INSTALAÇÃO. AF_09/2024</t>
  </si>
  <si>
    <t>LUMINÁRIA TIPO PLAFON QUADRADA, DE SOBREPOR, COM LED DE 18 W - FORNECIMENTO E INSTALAÇÃO. AF_09/2024</t>
  </si>
  <si>
    <t>LUMINÁRIA TIPO PLAFON QUADRADA, DE SOBREPOR, COM LED DE 24 W - FORNECIMENTO E INSTALAÇÃO. AF_09/2024</t>
  </si>
  <si>
    <t>LUMINÁRIA TIPO SPOT, DE EMBUTIR, COM 1 LÂMPADA LED PAR20 - FORNECIMENTO E INSTALAÇÃO. AF_09/2024</t>
  </si>
  <si>
    <t>LUMINÁRIA TIPO SPOT, DE SOBREPOR, COM 1 LÂMPADA LED PAR20 - FORNECIMENTO E INSTALAÇÃO. AF_09/2024</t>
  </si>
  <si>
    <t>LÂMPADA COMPACTA DE LED 10 W, BASE E27 - FORNECIMENTO E INSTALAÇÃO. AF_09/2024</t>
  </si>
  <si>
    <t>LÂMPADA COMPACTA DE LED 6 W, BASE E27 - FORNECIMENTO E INSTALAÇÃO. AF_09/2024</t>
  </si>
  <si>
    <t>LÂMPADA TUBULAR LED 9/10W SEM SOQUETE - FORNECIMENTO E INSTALAÇÃO. AF_09/2024</t>
  </si>
  <si>
    <t>LÂMPADA TUBULAR LED DE 18/20 W, COM SOQUETE, BASE G13 - FORNECIMENTO E INSTALAÇÃO. AF_09/2024_PS</t>
  </si>
  <si>
    <t>LÂMPADA TUBULAR LED DE 9/10 W, COM SOQUETE, BASE G13 - FORNECIMENTO E INSTALAÇÃO. AF_09/2024_PS</t>
  </si>
  <si>
    <t>PERFIL COM FITA LED - FORNECIMENTO E INSTALAÇÃO. AF_09/2024</t>
  </si>
  <si>
    <t>SENSOR DE PRESENÇA COM FOTOCÉLULA, FIXAÇÃO EM PAREDE - FORNECIMENTO E INSTALAÇÃO. AF_09/2024</t>
  </si>
  <si>
    <t>SENSOR DE PRESENÇA COM FOTOCÉLULA, FIXAÇÃO EM TETO - FORNECIMENTO E INSTALAÇÃO. AF_09/2024</t>
  </si>
  <si>
    <t>SENSOR DE PRESENÇA SEM FOTOCÉLULA, FIXAÇÃO EM PAREDE - FORNECIMENTO E INSTALAÇÃO. AF_09/2024</t>
  </si>
  <si>
    <t>SENSOR DE PRESENÇA SEM FOTOCÉLULA, FIXAÇÃO EM TETO - FORNECIMENTO E INSTALAÇÃO. AF_09/2024</t>
  </si>
  <si>
    <t>IMPERMEABILIZAÇÃO COM MANTA ASFÁLTICA COLADA COM ASFALTO DERRETIDO, DUAS CAMADAS, E = 3MM E E=4MM. AF_09/2023</t>
  </si>
  <si>
    <t>IMPERMEABILIZAÇÃO DE SUPERFÍCIE COM ARGAMASSA DE CIMENTO E AREIA, COM ADITIVO IMPERMEABILIZANTE, E = 1,5CM. AF_09/2023</t>
  </si>
  <si>
    <t>IMPERMEABILIZAÇÃO DE SUPERFÍCIE COM ARGAMASSA POLIMÉRICA / MEMBRANA ACRÍLICA, 3 DEMÃOS. AF_09/2023</t>
  </si>
  <si>
    <t>IMPERMEABILIZAÇÃO DE SUPERFÍCIE COM EMULSÃO ASFÁLTICA, 2 DEMÃOS. AF_09/2023</t>
  </si>
  <si>
    <t>IMPERMEABILIZAÇÃO DE SUPERFÍCIE COM MANTA ASFÁLTICA COLADA COM ASFALTO DERRETIDO, UMA CAMADA, E=4MM. AF_09/2023</t>
  </si>
  <si>
    <t>IMPERMEABILIZAÇÃO DE SUPERFÍCIE COM MANTA ASFÁLTICA, DUAS CAMADAS, INCLUSIVE APLICAÇÃO DE PRIMER ASFÁLTICO, E=3MM E E=4MM. AF_09/2023</t>
  </si>
  <si>
    <t>IMPERMEABILIZAÇÃO DE SUPERFÍCIE COM MANTA ASFÁLTICA, UMA CAMADA, INCLUSIVE APLICAÇÃO DE PRIMER ASFÁLTICO, E=4MM. AF_09/2023</t>
  </si>
  <si>
    <t>IMPERMEABILIZAÇÃO DE SUPERFÍCIE COM MEMBRANA A BASE DE POLIURÉIA, 2 DEMÃOS. AF_09/2023</t>
  </si>
  <si>
    <t>IMPERMEABILIZAÇÃO DE SUPERFÍCIE COM MEMBRANA À BASE DE POLIURETANO, 2 DEMÃOS. AF_09/2023</t>
  </si>
  <si>
    <t>IMPERMEABILIZAÇÃO DE SUPERFÍCIE COM MEMBRANA À BASE DE RESINA ACRÍLICA, 3 DEMÃOS. AF_09/2023</t>
  </si>
  <si>
    <t>PROTEÇÃO MECÂNICA DE SUPERFICIE HORIZONTAL COM ARGAMASSA DE CIMENTO E AREIA, TRAÇO 1:3, E=3CM. AF_09/2023</t>
  </si>
  <si>
    <t>PROTEÇÃO MECÂNICA DE SUPERFICIE HORIZONTAL COM ARGAMASSA DE CIMENTO E AREIA, TRAÇO 1:3, E=4CM. AF_09/2023</t>
  </si>
  <si>
    <t>PROTEÇÃO MECÂNICA DE SUPERFICIE HORIZONTAL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</si>
  <si>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</si>
  <si>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</si>
  <si>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HORIZONTAL COM ARGAMASSA DE CIMENTO E AREIA, TRAÇO 1:3, E=2CM. AF_09/2023</t>
  </si>
  <si>
    <t>PROTEÇÃO MECÂNICA DE SUPERFÍCIE VERTICAL COM ARGAMASSA DE CIMENTO E AREIA, TRAÇO 1:3, E=2CM. AF_09/2023</t>
  </si>
  <si>
    <t>PROTEÇÃO MECÂNICA DE SUPERFÍCIE VERTICAL COM ARGAMASSA DE CIMENTO E AREIA, TRAÇO 1:3, E=3CM. AF_09/2023</t>
  </si>
  <si>
    <t>PROTEÇÃO MECÂNICA DE SUPERFÍCIE VERTICAL COM ARGAMASSA DE CIMENTO E AREIA, TRAÇO 1:3, E=4CM. AF_09/2023</t>
  </si>
  <si>
    <t>PROTEÇÃO MECÂNICA DE SUPERFÍCIE VERTICAL COM ARGAMASSA DE CIMENTO E AREIA, TRAÇO 1:3, E=5CM. AF_09/2023</t>
  </si>
  <si>
    <t>PROTEÇÃO MECÂNICA DE SUPERFÍCIE VERTICAL COM CONCRETO 15 MPA, E=5CM. AF_09/2023</t>
  </si>
  <si>
    <t>TRATAMENTO DE JUNTA DE DILATAÇÃO COM MANTA ASFÁLTICA ADERIDA COM MAÇARICO. AF_09/2023</t>
  </si>
  <si>
    <t>TRATAMENTO DE JUNTA DE DILATAÇÃO, COM TARUGO DE POLIETILENO E SELANTE PU, INCLUSO PREENCHIMENTO COM ESPUMA EXPANSIVA PU. AF_09/2023</t>
  </si>
  <si>
    <t>TRATAMENTO DE RALO OU PONTO EMERGENTE COM MANTA ASFÁLTICA COLADA COM ASFÁLTO DERRETIDO, E=4MM. AF_09/2023</t>
  </si>
  <si>
    <t>TRATAMENTO DE RODAPÉ COM MANTA ASFÁLTICA COLADA COM ASFALTO DERRETIDO, E=4MM. AF_09/2023</t>
  </si>
  <si>
    <t>CABO DE COBRE FLEXÍVEL ISOLADO, 1,5 MM², ANTI-CHAMA 0,6/1,0 KV, PARA CIRCUITOS TERMINAIS - FORNECIMENTO E INSTALAÇÃO. AF_03/2023</t>
  </si>
  <si>
    <t>CABO DE COBRE FLEXÍVEL ISOLADO, 1,5 MM², ANTI-CHAMA 450/750 V, PARA CIRCUITOS TERMINAIS - FORNECIMENTO E INSTALAÇÃO. AF_03/2023</t>
  </si>
  <si>
    <t>CABO DE COBRE FLEXÍVEL ISOLADO, 10 MM², ANTI-CHAMA 0,6/1,0 KV, PARA CIRCUITOS TERMINAIS - FORNECIMENTO E INSTALAÇÃO. AF_03/2023</t>
  </si>
  <si>
    <t>CABO DE COBRE FLEXÍVEL ISOLADO, 10 MM², ANTI-CHAMA 450/750 V, PARA CIRCUITOS TERMINAIS - FORNECIMENTO E INSTALAÇÃO. AF_03/2023</t>
  </si>
  <si>
    <t>CABO DE COBRE FLEXÍVEL ISOLADO, 16 MM², ANTI-CHAMA 0,6/1,0 KV, PARA CIRCUITOS TERMINAIS - FORNECIMENTO E INSTALAÇÃO. AF_03/2023</t>
  </si>
  <si>
    <t>CABO DE COBRE FLEXÍVEL ISOLADO, 16 MM², ANTI-CHAMA 450/750 V, PARA CIRCUITOS TERMINAIS - FORNECIMENTO E INSTALAÇÃO. AF_03/2023</t>
  </si>
  <si>
    <t>CABO DE COBRE FLEXÍVEL ISOLADO, 2,5 MM², ANTI-CHAMA 0,6/1,0 KV, PARA CIRCUITOS TERMINAIS - FORNECIMENTO E INSTALAÇÃO. AF_03/2023</t>
  </si>
  <si>
    <t>CABO DE COBRE FLEXÍVEL ISOLADO, 2,5 MM², ANTI-CHAMA 450/750 V, PARA CIRCUITOS TERMINAIS - FORNECIMENTO E INSTALAÇÃO. AF_03/2023</t>
  </si>
  <si>
    <t>CABO DE COBRE FLEXÍVEL ISOLADO, 4 MM², ANTI-CHAMA 0,6/1,0 KV, PARA CIRCUITOS TERMINAIS - FORNECIMENTO E INSTALAÇÃO. AF_03/2023</t>
  </si>
  <si>
    <t>CABO DE COBRE FLEXÍVEL ISOLADO, 4 MM², ANTI-CHAMA 450/750 V, PARA CIRCUITOS TERMINAIS - FORNECIMENTO E INSTALAÇÃO. AF_03/2023</t>
  </si>
  <si>
    <t>CABO DE COBRE FLEXÍVEL ISOLADO, 6 MM², ANTI-CHAMA 0,6/1,0 KV, PARA CIRCUITOS TERMINAIS - FORNECIMENTO E INSTALAÇÃO. AF_03/2023</t>
  </si>
  <si>
    <t>CABO DE COBRE FLEXÍVEL ISOLADO, 6 MM², ANTI-CHAMA 450/750 V, PARA CIRCUITOS TERMINAIS - FORNECIMENTO E INSTALAÇÃO. AF_03/2023</t>
  </si>
  <si>
    <t>CAIXA ELÉTRICA 4"X2" AUTOTRAVANTE PARA FURO CIRCULAR ALTA (2,00 M DO PISO), PVC, INSTALADA EM PAREDE - FORNECIMENTO E INSTALAÇÃO. AF_03/2023</t>
  </si>
  <si>
    <t>CAIXA ELÉTRICA 4"X2" AUTOTRAVANTE PARA FURO CIRCULAR BAIXA (0,30 M DO PISO), PVC, INSTALADA EM PAREDE - FORNECIMENTO E INSTALAÇÃO. AF_03/2023</t>
  </si>
  <si>
    <t>CAIXA ELÉTRICA 4"X2" AUTOTRAVANTE PARA FURO CIRCULAR MÉDIA (1,30 M DO PISO), PVC, INSTALADA EM PAREDE - FORNECIMENTO E INSTALAÇÃO. AF_03/2023</t>
  </si>
  <si>
    <t>CAIXA ELÉTRICA 4"X4" AUTOTRAVANTE PARA FURO CIRCULAR ALTA (2,00 M DO PISO), PVC, INSTALADA EM PAREDE - FORNECIMENTO E INSTALAÇÃO. AF_03/2023</t>
  </si>
  <si>
    <t>CAIXA ELÉTRICA 4"X4" AUTOTRAVANTE PARA FURO CIRCULAR BAIXA (0,30 M DO PISO), PVC, INSTALADA EM PAREDE - FORNECIMENTO E INSTALAÇÃO. AF_03/2023</t>
  </si>
  <si>
    <t>CAIXA ELÉTRICA 4"X4" AUTOTRAVANTE PARA FURO CIRCULAR MÉDIA (1,30 M DO PISO), PVC, INSTALADA EM PAREDE - FORNECIMENTO E INSTALAÇÃO. AF_03/2023</t>
  </si>
  <si>
    <t>CAIXA OCTOGONAL 3" X 3", PVC, INSTALADA EM LAJE - FORNECIMENTO E INSTALAÇÃO. AF_03/2023</t>
  </si>
  <si>
    <t>CAIXA OCTOGONAL 4" X 4", METÁLICA, INSTALADA EM LAJE - FORNECIMENTO E INSTALAÇÃO. AF_03/2023</t>
  </si>
  <si>
    <t>CAIXA OCTOGONAL 4" X 4", PVC, INSTALADA EM LAJE - FORNECIMENTO E INSTALAÇÃO. AF_03/2023</t>
  </si>
  <si>
    <t>CAIXA RETANGULAR 4" X 2" ALTA (2,00 M DO PISO), METÁLICA, INSTALADA EM PAREDE - FORNECIMENTO E INSTALAÇÃO. AF_03/2023</t>
  </si>
  <si>
    <t>CAIXA RETANGULAR 4" X 2" ALTA (2,00 M DO PISO), PVC, INSTALADA EM PAREDE - FORNECIMENTO E INSTALAÇÃO. AF_03/2023</t>
  </si>
  <si>
    <t>CAIXA RETANGULAR 4" X 2" BAIXA (0,30 M DO PISO), METÁLICA, INSTALADA EM PAREDE - FORNECIMENTO E INSTALAÇÃO. AF_03/2023</t>
  </si>
  <si>
    <t>CAIXA RETANGULAR 4" X 2" BAIXA (0,30 M DO PISO), PVC, INSTALADA EM PAREDE - FORNECIMENTO E INSTALAÇÃO. AF_03/2023</t>
  </si>
  <si>
    <t>CAIXA RETANGULAR 4" X 2" MÉDIA (1,30 M DO PISO), METÁLICA, INSTALADA EM PAREDE - FORNECIMENTO E INSTALAÇÃO. AF_03/2023</t>
  </si>
  <si>
    <t>CAIXA RETANGULAR 4" X 2" MÉDIA (1,30 M DO PISO), PVC, INSTALADA EM PAREDE - FORNECIMENTO E INSTALAÇÃO. AF_03/2023</t>
  </si>
  <si>
    <t>CAIXA RETANGULAR 4" X 4" ALTA (2,00 M DO PISO), METÁLICA, INSTALADA EM PAREDE - FORNECIMENTO E INSTALAÇÃO. AF_03/2023</t>
  </si>
  <si>
    <t>CAIXA RETANGULAR 4" X 4" ALTA (2,00 M DO PISO), PVC, INSTALADA EM PAREDE - FORNECIMENTO E INSTALAÇÃO. AF_03/2023</t>
  </si>
  <si>
    <t>CAIXA RETANGULAR 4" X 4" BAIXA (0,30 M DO PISO), METÁLICA, INSTALADA EM PAREDE - FORNECIMENTO E INSTALAÇÃO. AF_03/2023</t>
  </si>
  <si>
    <t>CAIXA RETANGULAR 4" X 4" BAIXA (0,30 M DO PISO), PVC, INSTALADA EM PAREDE - FORNECIMENTO E INSTALAÇÃO. AF_03/2023</t>
  </si>
  <si>
    <t>CAIXA RETANGULAR 4" X 4" MÉDIA (1,30 M DO PISO), METÁLICA, INSTALADA EM PAREDE - FORNECIMENTO E INSTALAÇÃO. AF_03/2023</t>
  </si>
  <si>
    <t>CAIXA RETANGULAR 4" X 4" MÉDIA (1,30 M DO PISO), PVC, INSTALADA EM PAREDE - FORNECIMENTO E INSTALAÇÃO. AF_03/2023</t>
  </si>
  <si>
    <t>CAIXA SEXTAVADA 3" X 3", METÁLICA, INSTALADA EM LAJE - FORNECIMENTO E INSTALAÇÃO. AF_03/2023</t>
  </si>
  <si>
    <t>CAMPAINHA CIGARRA (1 MÓDULO), 10A/250V, INCLUINDO SUPORTE E PLACA - FORNECIMENTO E INSTALAÇÃO. AF_03/2023</t>
  </si>
  <si>
    <t>CAMPAINHA CIGARRA (1 MÓDULO), 10A/250V, SEM SUPORTE E SEM PLACA - FORNECIMENTO E INSTALAÇÃO. AF_03/2023</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</si>
  <si>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</si>
  <si>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</si>
  <si>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</si>
  <si>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CURVA 180 GRAUS PARA ELETRODUTO, PVC, ROSCÁVEL, DN 20 MM (1/2"), PARA CIRCUITOS TERMINAIS, INSTALADA EM FORRO - FORNECIMENTO E INSTALAÇÃO. AF_03/2023</t>
  </si>
  <si>
    <t>CURVA 180 GRAUS PARA ELETRODUTO, PVC, ROSCÁVEL, DN 20 MM (1/2"), PARA CIRCUITOS TERMINAIS, INSTALADA EM LAJE - FORNECIMENTO E INSTALAÇÃO. AF_03/2023</t>
  </si>
  <si>
    <t>CURVA 180 GRAUS PARA ELETRODUTO, PVC, ROSCÁVEL, DN 20 MM (1/2"), PARA CIRCUITOS TERMINAIS, INSTALADA EM PAREDE - FORNECIMENTO E INSTALAÇÃO. AF_03/2023</t>
  </si>
  <si>
    <t>CURVA 180 GRAUS PARA ELETRODUTO, PVC, ROSCÁVEL, DN 25 MM (3/4"), PARA CIRCUITOS TERMINAIS, INSTALADA EM FORRO - FORNECIMENTO E INSTALAÇÃO. AF_03/2023</t>
  </si>
  <si>
    <t>CURVA 180 GRAUS PARA ELETRODUTO, PVC, ROSCÁVEL, DN 25 MM (3/4"), PARA CIRCUITOS TERMINAIS, INSTALADA EM LAJE - FORNECIMENTO E INSTALAÇÃO. AF_03/2023</t>
  </si>
  <si>
    <t>CURVA 180 GRAUS PARA ELETRODUTO, PVC, ROSCÁVEL, DN 25 MM (3/4"), PARA CIRCUITOS TERMINAIS, INSTALADA EM PAREDE - FORNECIMENTO E INSTALAÇÃO. AF_03/2023</t>
  </si>
  <si>
    <t>CURVA 180 GRAUS PARA ELETRODUTO, PVC, ROSCÁVEL, DN 32 MM (1"), PARA CIRCUITOS TERMINAIS, INSTALADA EM FORRO - FORNECIMENTO E INSTALAÇÃO. AF_03/2023</t>
  </si>
  <si>
    <t>CURVA 180 GRAUS PARA ELETRODUTO, PVC, ROSCÁVEL, DN 32 MM (1"), PARA CIRCUITOS TERMINAIS, INSTALADA EM LAJE - FORNECIMENTO E INSTALAÇÃO. AF_03/2023</t>
  </si>
  <si>
    <t>CURVA 180 GRAUS PARA ELETRODUTO, PVC, ROSCÁVEL, DN 32 MM (1"), PARA CIRCUITOS TERMINAIS, INSTALADA EM PAREDE - FORNECIMENTO E INSTALAÇÃO. AF_03/2023</t>
  </si>
  <si>
    <t>CURVA 180 GRAUS PARA ELETRODUTO, PVC, ROSCÁVEL, DN 40 MM (1 1/4"), PARA CIRCUITOS TERMINAIS, INSTALADA EM FORRO - FORNECIMENTO E INSTALAÇÃO. AF_03/2023</t>
  </si>
  <si>
    <t>CURVA 180 GRAUS PARA ELETRODUTO, PVC, ROSCÁVEL, DN 40 MM (1 1/4"), PARA CIRCUITOS TERMINAIS, INSTALADA EM LAJE - FORNECIMENTO E INSTALAÇÃO. AF_03/2023</t>
  </si>
  <si>
    <t>CURVA 180 GRAUS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</si>
  <si>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</si>
  <si>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90 GRAUS PARA ELETRODUTO, PVC, ROSCÁVEL, DN 20 MM (1/2"), PARA CIRCUITOS TERMINAIS, INSTALADA EM LAJE - FORNECIMENTO E INSTALAÇÃO. AF_03/2023</t>
  </si>
  <si>
    <t>CURVA 90 GRAUS PARA ELETRODUTO, PVC, ROSCÁVEL, DN 20 MM (1/2"), PARA CIRCUITOS TERMINAIS, INSTALADA EM PAREDE - FORNECIMENTO E INSTALAÇÃO. AF_03/2023</t>
  </si>
  <si>
    <t>CURVA 90 GRAUS PARA ELETRODUTO, PVC, ROSCÁVEL, DN 25 MM (3/4"), PARA CIRCUITOS TERMINAIS, INSTALADA EM FORRO - FORNECIMENTO E INSTALAÇÃO. AF_03/2023</t>
  </si>
  <si>
    <t>CURVA 90 GRAUS PARA ELETRODUTO, PVC, ROSCÁVEL, DN 25 MM (3/4"), PARA CIRCUITOS TERMINAIS, INSTALADA EM LAJE - FORNECIMENTO E INSTALAÇÃO. AF_03/2023</t>
  </si>
  <si>
    <t>CURVA 90 GRAUS PARA ELETRODUTO, PVC, ROSCÁVEL, DN 25 MM (3/4"), PARA CIRCUITOS TERMINAIS, INSTALADA EM PAREDE - FORNECIMENTO E INSTALAÇÃO. AF_03/2023</t>
  </si>
  <si>
    <t>CURVA 90 GRAUS PARA ELETRODUTO, PVC, ROSCÁVEL, DN 32 MM (1"), PARA CIRCUITOS TERMINAIS, INSTALADA EM FORRO - FORNECIMENTO E INSTALAÇÃO. AF_03/2023</t>
  </si>
  <si>
    <t>CURVA 90 GRAUS PARA ELETRODUTO, PVC, ROSCÁVEL, DN 32 MM (1"), PARA CIRCUITOS TERMINAIS, INSTALADA EM LAJE - FORNECIMENTO E INSTALAÇÃO. AF_03/2023</t>
  </si>
  <si>
    <t>CURVA 90 GRAUS PARA ELETRODUTO, PVC, ROSCÁVEL, DN 32 MM (1"), PARA CIRCUITOS TERMINAIS, INSTALADA EM PAREDE - FORNECIMENTO E INSTALAÇÃO. AF_03/2023</t>
  </si>
  <si>
    <t>CURVA 90 GRAUS PARA ELETRODUTO, PVC, ROSCÁVEL, DN 40 MM (1 1/4"), PARA CIRCUITOS TERMINAIS, INSTALADA EM FORRO - FORNECIMENTO E INSTALAÇÃO. AF_03/2023</t>
  </si>
  <si>
    <t>CURVA 90 GRAUS PARA ELETRODUTO, PVC, ROSCÁVEL, DN 40 MM (1 1/4"), PARA CIRCUITOS TERMINAIS, INSTALADA EM LAJE - FORNECIMENTO E INSTALAÇÃO. AF_03/2023</t>
  </si>
  <si>
    <t>CURVA 90 GRAUS PARA ELETRODUTO, PVC, ROSCÁVEL, DN 40 MM (1 1/4"), PARA CIRCUITOS TERMINAIS, INSTALADA EM PAREDE - FORNECIMENTO E INSTALAÇÃO. AF_03/2023</t>
  </si>
  <si>
    <t>DIMMER ROTATIVO (1 MÓDULO), 220V/600W, INCLUINDO SUPORTE E PLACA - FORNECIMENTO E INSTALAÇÃO. AF_03/2023</t>
  </si>
  <si>
    <t>DIMMER ROTATIVO (1 MÓDULO), 220V/600W, SEM SUPORTE E SEM PLACA - FORNECIMENTO E INSTALAÇÃO. AF_03/2023</t>
  </si>
  <si>
    <t>ELETRODUTO FLEXÍVEL CORRUGADO REFORÇADO, PVC, DN 20 MM (1/2"), PARA CIRCUITOS TERMINAIS, INSTALADO EM FORRO - FORNECIMENTO E INSTALAÇÃO. AF_03/2023</t>
  </si>
  <si>
    <t>ELETRODUTO FLEXÍVEL CORRUGADO REFORÇADO, PVC, DN 20 MM (1/2"), PARA CIRCUITOS TERMINAIS, INSTALADO EM LAJE - FORNECIMENTO E INSTALAÇÃO. AF_03/2023</t>
  </si>
  <si>
    <t>ELETRODUTO FLEXÍVEL CORRUGADO REFORÇADO, PVC, DN 20 MM (1/2"), PARA CIRCUITOS TERMINAIS, INSTALADO EM PAREDE - FORNECIMENTO E INSTALAÇÃO. AF_03/2023</t>
  </si>
  <si>
    <t>ELETRODUTO FLEXÍVEL CORRUGADO REFORÇADO, PVC, DN 25 MM (3/4"), PARA CIRCUITOS TERMINAIS, INSTALADO EM FORRO - FORNECIMENTO E INSTALAÇÃO. AF_03/2023</t>
  </si>
  <si>
    <t>ELETRODUTO FLEXÍVEL CORRUGADO REFORÇADO, PVC, DN 25 MM (3/4"), PARA CIRCUITOS TERMINAIS, INSTALADO EM LAJE - FORNECIMENTO E INSTALAÇÃO. AF_03/2023</t>
  </si>
  <si>
    <t>ELETRODUTO FLEXÍVEL CORRUGADO REFORÇADO, PVC, DN 25 MM (3/4"), PARA CIRCUITOS TERMINAIS, INSTALADO EM PAREDE - FORNECIMENTO E INSTALAÇÃO. AF_03/2023</t>
  </si>
  <si>
    <t>ELETRODUTO FLEXÍVEL CORRUGADO REFORÇADO, PVC, DN 32 MM (1"), PARA CIRCUITOS TERMINAIS, INSTALADO EM FORRO - FORNECIMENTO E INSTALAÇÃO. AF_03/2023</t>
  </si>
  <si>
    <t>ELETRODUTO FLEXÍVEL CORRUGADO REFORÇADO, PVC, DN 32 MM (1"), PARA CIRCUITOS TERMINAIS, INSTALADO EM LAJE - FORNECIMENTO E INSTALAÇÃO. AF_03/2023</t>
  </si>
  <si>
    <t>ELETRODUTO FLEXÍVEL CORRUGADO REFORÇADO, PVC, DN 32 MM (1"), PARA CIRCUITOS TERMINAIS, INSTALADO EM PAREDE - FORNECIMENTO E INSTALAÇÃO. AF_03/2023</t>
  </si>
  <si>
    <t>ELETRODUTO FLEXÍVEL CORRUGADO, PEAD, DN 32 MM (1"), PARA CIRCUITOS TERMINAIS, INSTALADO EM FORRO - FORNECIMENTO E INSTALAÇÃO. AF_03/2023</t>
  </si>
  <si>
    <t>ELETRODUTO FLEXÍVEL CORRUGADO, PEAD, DN 32 MM (1"), PARA CIRCUITOS TERMINAIS, INSTALADO EM LAJE - FORNECIMENTO E INSTALAÇÃO. AF_03/2023</t>
  </si>
  <si>
    <t>ELETRODUTO FLEXÍVEL CORRUGADO, PEAD, DN 32 MM (1"), PARA CIRCUITOS TERMINAIS, INSTALADO EM PAREDE - FORNECIMENTO E INSTALAÇÃO. AF_03/2023</t>
  </si>
  <si>
    <t>ELETRODUTO FLEXÍVEL CORRUGADO, PEAD, DN 40 MM (1 1/4"), PARA CIRCUITOS TERMINAIS, INSTALADO EM FORRO - FORNECIMENTO E INSTALAÇÃO. AF_03/2023</t>
  </si>
  <si>
    <t>ELETRODUTO FLEXÍVEL CORRUGADO, PEAD, DN 40 MM (1 1/4"), PARA CIRCUITOS TERMINAIS, INSTALADO EM LAJE - FORNECIMENTO E INSTALAÇÃO. AF_03/2023</t>
  </si>
  <si>
    <t>ELETRODUTO FLEXÍVEL CORRUGADO, PEAD, DN 40 MM (1 1/4"), PARA CIRCUITOS TERMINAIS, INSTALADO EM PAREDE - FORNECIMENTO E INSTALAÇÃO. AF_03/2023</t>
  </si>
  <si>
    <t>ELETRODUTO FLEXÍVEL CORRUGADO, PVC, DN 20 MM (1/2"), PARA CIRCUITOS TERMINAIS, INSTALADO EM FORRO - FORNECIMENTO E INSTALAÇÃO. AF_03/2023</t>
  </si>
  <si>
    <t>ELETRODUTO FLEXÍVEL CORRUGADO, PVC, DN 20 MM (1/2"), PARA CIRCUITOS TERMINAIS, INSTALADO EM PAREDE - FORNECIMENTO E INSTALAÇÃO. AF_03/2023</t>
  </si>
  <si>
    <t>ELETRODUTO FLEXÍVEL CORRUGADO, PVC, DN 25 MM (3/4"), PARA CIRCUITOS TERMINAIS, INSTALADO EM FORRO - FORNECIMENTO E INSTALAÇÃO. AF_03/2023</t>
  </si>
  <si>
    <t>ELETRODUTO FLEXÍVEL CORRUGADO, PVC, DN 25 MM (3/4"), PARA CIRCUITOS TERMINAIS, INSTALADO EM PAREDE - FORNECIMENTO E INSTALAÇÃO. AF_03/2023</t>
  </si>
  <si>
    <t>ELETRODUTO FLEXÍVEL CORRUGADO, PVC, DN 32 MM (1"), PARA CIRCUITOS TERMINAIS, INSTALADO EM FORRO - FORNECIMENTO E INSTALAÇÃO. AF_03/2023</t>
  </si>
  <si>
    <t>ELETRODUTO FLEXÍVEL CORRUGADO, PVC, DN 32 MM (1"), PARA CIRCUITOS TERMINAIS, INSTALADO EM PAREDE - FORNECIMENTO E INSTALAÇÃO. AF_03/2023</t>
  </si>
  <si>
    <t>ELETRODUTO FLEXÍVEL LISO, PEAD, DN 32 MM (1"), PARA CIRCUITOS TERMINAIS, INSTALADO EM FORRO - FORNECIMENTO E INSTALAÇÃO. AF_03/2023</t>
  </si>
  <si>
    <t>ELETRODUTO FLEXÍVEL LISO, PEAD, DN 32 MM (1"), PARA CIRCUITOS TERMINAIS, INSTALADO EM LAJE - FORNECIMENTO E INSTALAÇÃO. AF_03/2023</t>
  </si>
  <si>
    <t>ELETRODUTO FLEXÍVEL LISO, PEAD, DN 32 MM (1"), PARA CIRCUITOS TERMINAIS, INSTALADO EM PAREDE - FORNECIMENTO E INSTALAÇÃO. AF_03/2023</t>
  </si>
  <si>
    <t>ELETRODUTO FLEXÍVEL LISO, PEAD, DN 40 MM (1 1/4"), PARA CIRCUITOS TERMINAIS, INSTALADO EM FORRO - FORNECIMENTO E INSTALAÇÃO. AF_03/2023</t>
  </si>
  <si>
    <t>ELETRODUTO FLEXÍVEL LISO, PEAD, DN 40 MM (1 1/4"), PARA CIRCUITOS TERMINAIS, INSTALADO EM LAJE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</si>
  <si>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</si>
  <si>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</si>
  <si>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20 MM (1/2"),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</si>
  <si>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</si>
  <si>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FORRO - FORNECIMENTO E INSTALAÇÃO. AF_03/2023</t>
  </si>
  <si>
    <t>ELETRODUTO RÍGIDO ROSCÁVEL, PVC, DN 25 MM (3/4"), PARA CIRCUITOS TERMINAIS, INSTALADO EM LAJE - FORNECIMENTO E INSTALAÇÃO. AF_03/2023</t>
  </si>
  <si>
    <t>ELETRODUTO RÍGIDO ROSCÁVEL, PVC, DN 25 MM (3/4"), PARA CIRCUITOS TERMINAIS, INSTALADO EM PAREDE - FORNECIMENTO E INSTALAÇÃO. AF_03/2023</t>
  </si>
  <si>
    <t>ELETRODUTO RÍGIDO ROSCÁVEL, PVC, DN 32 MM (1"), PARA CIRCUITOS TERMINAIS, INSTALADO EM FORRO - FORNECIMENTO E INSTALAÇÃO. AF_03/2023</t>
  </si>
  <si>
    <t>ELETRODUTO RÍGIDO ROSCÁVEL, PVC, DN 32 MM (1"), PARA CIRCUITOS TERMINAIS, INSTALADO EM LAJE - FORNECIMENTO E INSTALAÇÃO. AF_03/2023</t>
  </si>
  <si>
    <t>ELETRODUTO RÍGIDO ROSCÁVEL, PVC, DN 32 MM (1"), PARA CIRCUITOS TERMINAIS, INSTALADO EM PAREDE - FORNECIMENTO E INSTALAÇÃO. AF_03/2023</t>
  </si>
  <si>
    <t>ELETRODUTO RÍGIDO ROSCÁVEL, PVC, DN 40 MM (1 1/4"), PARA CIRCUITOS TERMINAIS, INSTALADO EM FORRO - FORNECIMENTO E INSTALAÇÃO. AF_03/2023</t>
  </si>
  <si>
    <t>ELETRODUTO RÍGIDO ROSCÁVEL, PVC, DN 40 MM (1 1/4"), PARA CIRCUITOS TERMINAIS, INSTALADO EM LAJE - FORNECIMENTO E INSTALAÇÃO. AF_03/2023</t>
  </si>
  <si>
    <t>ELETRODUTO RÍGIDO ROSCÁVEL, PVC, DN 40 MM (1 1/4"), PARA CIRCUITOS TERMINAIS, INSTALADO EM PAREDE - FORNECIMENTO E INSTALAÇÃO. AF_03/2023</t>
  </si>
  <si>
    <t>INTERRUPTOR BIPOLAR (1 MÓDULO), 10A/250V, INCLUINDO SUPORTE E PLACA - FORNECIMENTO E INSTALAÇÃO. AF_03/2023</t>
  </si>
  <si>
    <t>INTERRUPTOR BIPOLAR (1 MÓDULO), 10A/250V, SEM SUPORTE E SEM PLACA - FORNECIMENTO E INSTALAÇÃO. AF_03/2023</t>
  </si>
  <si>
    <t>INTERRUPTOR INTERMEDIÁRIO (1 MÓDULO), 10A/250V, INCLUINDO SUPORTE E PLACA - FORNECIMENTO E INSTALAÇÃO. AF_03/2023</t>
  </si>
  <si>
    <t>INTERRUPTOR INTERMEDIÁRIO (1 MÓDULO), 10A/250V, SEM SUPORTE E SEM PLACA - FORNECIMENTO E INSTALAÇÃO. AF_03/2023</t>
  </si>
  <si>
    <t>INTERRUPTOR PARALELO (1 MÓDULO) COM 1 TOMADA DE EMBUTIR 2P+T 10 A, INCLUINDO SUPORTE E PLACA - FORNECIMENTO E INSTALAÇÃO. AF_03/2023</t>
  </si>
  <si>
    <t>INTERRUPTOR PARALELO (1 MÓDULO) COM 1 TOMADA DE EMBUTIR 2P+T 10 A, SEM SUPORTE E SEM PLACA - FORNECIMENTO E INSTALAÇÃO. AF_03/2023</t>
  </si>
  <si>
    <t>INTERRUPTOR PARALELO (1 MÓDULO) COM 2 TOMADAS DE EMBUTIR 2P+T 10 A, INCLUINDO SUPORTE E PLACA - FORNECIMENTO E INSTALAÇÃO. AF_03/2023</t>
  </si>
  <si>
    <t>INTERRUPTOR PARALELO (1 MÓDULO) COM 2 TOMADAS DE EMBUTIR 2P+T 10 A, SEM SUPORTE E SEM PLACA - FORNECIMENTO E INSTALAÇÃO. AF_03/2023</t>
  </si>
  <si>
    <t>INTERRUPTOR PARALELO (1 MÓDULO), 10A/250V, INCLUINDO SUPORTE E PLACA - FORNECIMENTO E INSTALAÇÃO. AF_03/2023</t>
  </si>
  <si>
    <t>INTERRUPTOR PARALELO (1 MÓDULO), 10A/250V, SEM SUPORTE E SEM PLACA - FORNECIMENTO E INSTALAÇÃO. AF_03/2023</t>
  </si>
  <si>
    <t>INTERRUPTOR PARALELO (2 MÓDULOS) COM 1 TOMADA DE EMBUTIR 2P+T 10 A, INCLUINDO SUPORTE E PLACA - FORNECIMENTO E INSTALAÇÃO. AF_03/2023</t>
  </si>
  <si>
    <t>INTERRUPTOR PARALELO (2 MÓDULOS) COM 1 TOMADA DE EMBUTIR 2P+T 10 A, SEM SUPORTE E SEM PLACA - FORNECIMENTO E INSTALAÇÃO. AF_03/2023</t>
  </si>
  <si>
    <t>INTERRUPTOR PARALELO (2 MÓDULOS), 10A/250V, INCLUINDO SUPORTE E PLACA - FORNECIMENTO E INSTALAÇÃO. AF_03/2023</t>
  </si>
  <si>
    <t>INTERRUPTOR PARALELO (2 MÓDULOS), 10A/250V, SEM SUPORTE E SEM PLACA - FORNECIMENTO E INSTALAÇÃO. AF_03/2023</t>
  </si>
  <si>
    <t>INTERRUPTOR PARALELO (3 MÓDULOS), 10A/250V, INCLUINDO SUPORTE E PLACA - FORNECIMENTO E INSTALAÇÃO. AF_03/2023</t>
  </si>
  <si>
    <t>INTERRUPTOR PARALELO (3 MÓDULOS), 10A/250V, SEM SUPORTE E SEM PLACA - FORNECIMENTO E INSTALAÇÃO. AF_03/2023</t>
  </si>
  <si>
    <t>INTERRUPTOR PULSADOR CAMPAINHA (1 MÓDULO), 10A/250V, INCLUINDO SUPORTE E PLACA - FORNECIMENTO E INSTALAÇÃO. AF_03/2023</t>
  </si>
  <si>
    <t>INTERRUPTOR PULSADOR CAMPAINHA (1 MÓDULO), 10A/250V, SEM SUPORTE E SEM PLACA - FORNECIMENTO E INSTALAÇÃO. AF_03/2023</t>
  </si>
  <si>
    <t>INTERRUPTOR PULSADOR MINUTERIA (1 MÓDULO), 10A/250V, INCLUINDO SUPORTE E PLACA - FORNECIMENTO E INSTALAÇÃO. AF_03/2023</t>
  </si>
  <si>
    <t>INTERRUPTOR PULSADOR MINUTERIA (1 MÓDULO), 10A/250V, SEM SUPORTE E SEM PLACA - FORNECIMENTO E INSTALAÇÃO. AF_03/2023</t>
  </si>
  <si>
    <t>INTERRUPTOR SIMPLES (1 MÓDULO) COM 1 TOMADA DE EMBUTIR 2P+T 10 A, INCLUINDO SUPORTE E PLACA - FORNECIMENTO E INSTALAÇÃO. AF_03/2023</t>
  </si>
  <si>
    <t>INTERRUPTOR SIMPLES (1 MÓDULO) COM 1 TOMADA DE EMBUTIR 2P+T 10 A, SEM SUPORTE E SEM PLACA - FORNECIMENTO E INSTALAÇÃO. AF_03/2023</t>
  </si>
  <si>
    <t>INTERRUPTOR SIMPLES (1 MÓDULO) COM 2 TOMADAS DE EMBUTIR 2P+T 10 A, INCLUINDO SUPORTE E PLACA - FORNECIMENTO E INSTALAÇÃO. AF_03/2023</t>
  </si>
  <si>
    <t>INTERRUPTOR SIMPLES (1 MÓDULO) COM 2 TOMADAS DE EMBUTIR 2P+T 10 A, SEM SUPORTE E SEM PLACA - FORNECIMENTO E INSTALAÇÃO. AF_03/2023</t>
  </si>
  <si>
    <t>INTERRUPTOR SIMPLES (1 MÓDULO) COM 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</si>
  <si>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</si>
  <si>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</si>
  <si>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</si>
  <si>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10A/250V, INCLUINDO SUPORTE E PLACA - FORNECIMENTO E INSTALAÇÃO. AF_03/2023</t>
  </si>
  <si>
    <t>INTERRUPTOR SIMPLES (1 MÓDULO), 10A/250V, SEM SUPORTE E SEM PLACA - FORNECIMENTO E INSTALAÇÃO. AF_03/2023</t>
  </si>
  <si>
    <t>INTERRUPTOR SIMPLES (1 MÓDULO), INTERRUPTOR PARALELO (1 MÓDULO) E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</si>
  <si>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</si>
  <si>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(2 MÓDULOS) COM 1 TOMADA DE EMBUTIR 2P+T 10 A, INCLUINDO SUPORTE E PLACA - FORNECIMENTO E INSTALAÇÃO. AF_03/2023</t>
  </si>
  <si>
    <t>INTERRUPTOR SIMPLES (2 MÓDULOS) COM 1 TOMADA DE EMBUTIR 2P+T 10 A, SEM SUPORTE E SEM PLACA - FORNECIMENTO E INSTALAÇÃO. AF_03/2023</t>
  </si>
  <si>
    <t>INTERRUPTOR SIMPLES (2 MÓDULOS) COM INTERRUPTOR PARALELO (1 MÓDULO),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</si>
  <si>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</si>
  <si>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(2 MÓDULOS), 10A/250V, INCLUINDO SUPORTE E PLACA - FORNECIMENTO E INSTALAÇÃO. AF_03/2023</t>
  </si>
  <si>
    <t>INTERRUPTOR SIMPLES (2 MÓDULOS) COM INTERRUPTOR PARALELO (2 MÓDULOS), 10A/250V, SEM SUPORTE E SEM PLACA - FORNECIMENTO E INSTALAÇÃO. AF_03/2023</t>
  </si>
  <si>
    <t>INTERRUPTOR SIMPLES (2 MÓDULOS), 10A/250V, INCLUINDO SUPORTE E PLACA - FORNECIMENTO E INSTALAÇÃO. AF_03/2023</t>
  </si>
  <si>
    <t>INTERRUPTOR SIMPLES (2 MÓDULOS), 10A/250V, SEM SUPORTE E SEM PLACA - FORNECIMENTO E INSTALAÇÃO. AF_03/2023</t>
  </si>
  <si>
    <t>INTERRUPTOR SIMPLES (3 MÓDULOS) COM INTERRUPTOR PARALELO (1 MÓDULO), 10A/250V, INCLUINDO SUPORTE E PLACA - FORNECIMENTO E INSTALAÇÃO. AF_03/2023</t>
  </si>
  <si>
    <t>INTERRUPTOR SIMPLES (3 MÓDULOS) COM INTERRUPTOR PARALELO (1 MÓDULO), 10A/250V, SEM SUPORTE E SEM PLACA - FORNECIMENTO E INSTALAÇÃO. AF_03/2023</t>
  </si>
  <si>
    <t>INTERRUPTOR SIMPLES (3 MÓDULOS), 10A/250V, INCLUINDO SUPORTE E PLACA - FORNECIMENTO E INSTALAÇÃO. AF_03/2023</t>
  </si>
  <si>
    <t>INTERRUPTOR SIMPLES (3 MÓDULOS), 10A/250V, SEM SUPORTE E SEM PLACA - FORNECIMENTO E INSTALAÇÃO. AF_03/2023</t>
  </si>
  <si>
    <t>INTERRUPTOR SIMPLES (4 MÓDULOS), 10A/250V, INCLUINDO SUPORTE E PLACA - FORNECIMENTO E INSTALAÇÃO. AF_03/2023</t>
  </si>
  <si>
    <t>INTERRUPTOR SIMPLES (4 MÓDULOS), 10A/250V, SEM SUPORTE E SEM PLACA - FORNECIMENTO E INSTALAÇÃO. AF_03/2023</t>
  </si>
  <si>
    <t>INTERRUPTOR SIMPLES (6 MÓDULOS), 10A/250V, INCLUINDO SUPORTE E PLACA - FORNECIMENTO E INSTALAÇÃO. AF_03/2023</t>
  </si>
  <si>
    <t>INTERRUPTOR SIMPLES (6 MÓDULOS), 10A/250V, SEM SUPORTE E SEM PLACA - FORNECIMENTO E INSTALAÇÃO. AF_03/2023</t>
  </si>
  <si>
    <t>LUVA PARA ELETRODUTO, PVC, ROSCÁVEL, DN 20 MM (1/2"), PARA CIRCUITOS TERMINAIS, INSTALADA EM FORRO - FORNECIMENTO E INSTALAÇÃO. AF_03/2023</t>
  </si>
  <si>
    <t>LUVA PARA ELETRODUTO, PVC, ROSCÁVEL, DN 20 MM (1/2"),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</si>
  <si>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</si>
  <si>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FORRO - FORNECIMENTO E INSTALAÇÃO. AF_03/2023</t>
  </si>
  <si>
    <t>LUVA PARA ELETRODUTO, PVC, ROSCÁVEL, DN 25 MM (3/4"), PARA CIRCUITOS TERMINAIS, INSTALADA EM LAJE - FORNECIMENTO E INSTALAÇÃO. AF_03/2023</t>
  </si>
  <si>
    <t>LUVA PARA ELETRODUTO, PVC, ROSCÁVEL, DN 25 MM (3/4"), PARA CIRCUITOS TERMINAIS, INSTALADA EM PAREDE - FORNECIMENTO E INSTALAÇÃO. AF_03/2023</t>
  </si>
  <si>
    <t>LUVA PARA ELETRODUTO, PVC, ROSCÁVEL, DN 32 MM (1"), PARA CIRCUITOS TERMINAIS, INSTALADA EM FORRO - FORNECIMENTO E INSTALAÇÃO. AF_03/2023</t>
  </si>
  <si>
    <t>LUVA PARA ELETRODUTO, PVC, ROSCÁVEL, DN 32 MM (1"), PARA CIRCUITOS TERMINAIS, INSTALADA EM LAJE - FORNECIMENTO E INSTALAÇÃO. AF_03/2023</t>
  </si>
  <si>
    <t>LUVA PARA ELETRODUTO, PVC, ROSCÁVEL, DN 32 MM (1"), PARA CIRCUITOS TERMINAIS, INSTALADA EM PAREDE - FORNECIMENTO E INSTALAÇÃO. AF_03/2023</t>
  </si>
  <si>
    <t>LUVA PARA ELETRODUTO, PVC, ROSCÁVEL, DN 40 MM (1 1/4"), PARA CIRCUITOS TERMINAIS, INSTALADA EM FORRO - FORNECIMENTO E INSTALAÇÃO. AF_03/2023</t>
  </si>
  <si>
    <t>LUVA PARA ELETRODUTO, PVC, ROSCÁVEL, DN 40 MM (1 1/4"), PARA CIRCUITOS TERMINAIS, INSTALADA EM LAJE - FORNECIMENTO E INSTALAÇÃO. AF_03/2023</t>
  </si>
  <si>
    <t>LUVA PARA ELETRODUTO, PVC, ROSCÁVEL, DN 40 MM (1 1/4"), PARA CIRCUITOS TERMINAIS, INSTALADA EM PAREDE - FORNECIMENTO E INSTALAÇÃO. AF_03/2023</t>
  </si>
  <si>
    <t>SUPORTE PARAFUSADO COM PLACA DE ENCAIXE 4" X 2" ALTO (2,00 M DO PISO) PARA PONTO ELÉTRICO - FORNECIMENTO E INSTALAÇÃO. AF_03/2023</t>
  </si>
  <si>
    <t>SUPORTE PARAFUSADO COM PLACA DE ENCAIXE 4" X 2" BAIXO (0,30 M DO PISO) PARA PONTO ELÉTRICO - FORNECIMENTO E INSTALAÇÃO. AF_03/2023</t>
  </si>
  <si>
    <t>SUPORTE PARAFUSADO COM PLACA DE ENCAIXE 4" X 2" MÉDIO (1,30 M DO PISO) PARA PONTO ELÉTRICO - FORNECIMENTO E INSTALAÇÃO. AF_03/2023</t>
  </si>
  <si>
    <t>SUPORTE PARAFUSADO COM PLACA DE ENCAIXE 4" X 4" ALTO (2,00 M DO PISO) PARA PONTO ELÉTRICO - FORNECIMENTO E INSTALAÇÃO. AF_03/2023</t>
  </si>
  <si>
    <t>SUPORTE PARAFUSADO COM PLACA DE ENCAIXE 4" X 4" BAIXO (0,30 M DO PISO) PARA PONTO ELÉTRICO - FORNECIMENTO E INSTALAÇÃO. AF_03/2023</t>
  </si>
  <si>
    <t>SUPORTE PARAFUSADO COM PLACA DE ENCAIXE 4" X 4" MÉDIO (1,30 M DO PISO) PARA PONTO ELÉTRICO - FORNECIMENTO E INSTALAÇÃO. AF_03/2023</t>
  </si>
  <si>
    <t>TOMADA ALTA DE EMBUTIR (1 MÓDULO), 2P+T 10 A, INCLUINDO SUPORTE E PLACA - FORNECIMENTO E INSTALAÇÃO. AF_03/2023</t>
  </si>
  <si>
    <t>TOMADA ALTA DE EMBUTIR (1 MÓDULO), 2P+T 10 A, SEM SUPORTE E SEM PLACA - FORNECIMENTO E INSTALAÇÃO. AF_03/2023</t>
  </si>
  <si>
    <t>TOMADA ALTA DE EMBUTIR (1 MÓDULO), 2P+T 20 A, INCLUINDO SUPORTE E PLACA - FORNECIMENTO E INSTALAÇÃO. AF_03/2023</t>
  </si>
  <si>
    <t>TOMADA ALTA DE EMBUTIR (1 MÓDULO), 2P+T 20 A, SEM SUPORTE E SEM PLACA - FORNECIMENTO E INSTALAÇÃO. AF_03/2023</t>
  </si>
  <si>
    <t>TOMADA BAIXA DE EMBUTIR (1 MÓDULO), 2P+T 10 A, INCLUINDO SUPORTE E PLACA - FORNECIMENTO E INSTALAÇÃO. AF_03/2023</t>
  </si>
  <si>
    <t>TOMADA BAIXA DE EMBUTIR (1 MÓDULO), 2P+T 10 A, SEM SUPORTE E SEM PLACA - FORNECIMENTO E INSTALAÇÃO. AF_03/2023</t>
  </si>
  <si>
    <t>TOMADA BAIXA DE EMBUTIR (1 MÓDULO), 2P+T 20 A, INCLUINDO SUPORTE E PLACA - FORNECIMENTO E INSTALAÇÃO. AF_03/2023</t>
  </si>
  <si>
    <t>TOMADA BAIXA DE EMBUTIR (1 MÓDULO), 2P+T 20 A, SEM SUPORTE E SEM PLACA - FORNECIMENTO E INSTALAÇÃO. AF_03/2023</t>
  </si>
  <si>
    <t>TOMADA BAIXA DE EMBUTIR (2 MÓDULOS), 2P+T 10 A, INCLUINDO SUPORTE E PLACA - FORNECIMENTO E INSTALAÇÃO. AF_03/2023</t>
  </si>
  <si>
    <t>TOMADA BAIXA DE EMBUTIR (2 MÓDULOS), 2P+T 10 A, SEM SUPORTE E SEM PLACA - FORNECIMENTO E INSTALAÇÃO. AF_03/2023</t>
  </si>
  <si>
    <t>TOMADA BAIXA DE EMBUTIR (2 MÓDULOS), 2P+T 20 A, INCLUINDO SUPORTE E PLACA - FORNECIMENTO E INSTALAÇÃO. AF_03/2023</t>
  </si>
  <si>
    <t>TOMADA BAIXA DE EMBUTIR (2 MÓDULOS), 2P+T 20 A, SEM SUPORTE E SEM PLACA - FORNECIMENTO E INSTALAÇÃO. AF_03/2023</t>
  </si>
  <si>
    <t>TOMADA BAIXA DE EMBUTIR (3 MÓDULOS), 2P+T 10 A, INCLUINDO SUPORTE E PLACA - FORNECIMENTO E INSTALAÇÃO. AF_03/2023</t>
  </si>
  <si>
    <t>TOMADA BAIXA DE EMBUTIR (3 MÓDULOS), 2P+T 10 A, SEM SUPORTE E SEM PLACA - FORNECIMENTO E INSTALAÇÃO. AF_03/2023</t>
  </si>
  <si>
    <t>TOMADA BAIXA DE EMBUTIR (3 MÓDULOS), 2P+T 20 A, INCLUINDO SUPORTE E PLACA - FORNECIMENTO E INSTALAÇÃO. AF_03/2023</t>
  </si>
  <si>
    <t>TOMADA BAIXA DE EMBUTIR (3 MÓDULOS), 2P+T 20 A, SEM SUPORTE E SEM PLACA - FORNECIMENTO E INSTALAÇÃO. AF_03/2023</t>
  </si>
  <si>
    <t>TOMADA BAIXA DE EMBUTIR (4 MÓDULOS), 2P+T 10 A, INCLUINDO SUPORTE E PLACA - FORNECIMENTO E INSTALAÇÃO. AF_03/2023</t>
  </si>
  <si>
    <t>TOMADA BAIXA DE EMBUTIR (4 MÓDULOS), 2P+T 10 A, SEM SUPORTE E SEM PLACA - FORNECIMENTO E INSTALAÇÃO. AF_03/2023</t>
  </si>
  <si>
    <t>TOMADA BAIXA DE EMBUTIR (6 MÓDULOS), 2P+T 10 A, INCLUINDO SUPORTE E PLACA - FORNECIMENTO E INSTALAÇÃO. AF_03/2023</t>
  </si>
  <si>
    <t>TOMADA BAIXA DE EMBUTIR (6 MÓDULOS), 2P+T 10 A, SEM SUPORTE E SEM PLACA - FORNECIMENTO E INSTALAÇÃO. AF_03/2023</t>
  </si>
  <si>
    <t>TOMADA MÉDIA DE EMBUTIR (1 MÓDULO), 2P+T 10 A, INCLUINDO SUPORTE E PLACA - FORNECIMENTO E INSTALAÇÃO. AF_03/2023</t>
  </si>
  <si>
    <t>TOMADA MÉDIA DE EMBUTIR (1 MÓDULO), 2P+T 10 A, SEM SUPORTE E SEM PLACA - FORNECIMENTO E INSTALAÇÃO. AF_03/2023</t>
  </si>
  <si>
    <t>TOMADA MÉDIA DE EMBUTIR (1 MÓDULO), 2P+T 20 A, INCLUINDO SUPORTE E PLACA - FORNECIMENTO E INSTALAÇÃO. AF_03/2023</t>
  </si>
  <si>
    <t>TOMADA MÉDIA DE EMBUTIR (1 MÓDULO), 2P+T 20 A, SEM SUPORTE E SEM PLACA - FORNECIMENTO E INSTALAÇÃO. AF_03/2023</t>
  </si>
  <si>
    <t>TOMADA MÉDIA DE EMBUTIR (2 MÓDULOS), 2P+T 10 A, INCLUINDO SUPORTE E PLACA - FORNECIMENTO E INSTALAÇÃO. AF_03/2023</t>
  </si>
  <si>
    <t>TOMADA MÉDIA DE EMBUTIR (2 MÓDULOS), 2P+T 10 A, SEM SUPORTE E SEM PLACA - FORNECIMENTO E INSTALAÇÃO. AF_03/2023</t>
  </si>
  <si>
    <t>TOMADA MÉDIA DE EMBUTIR (2 MÓDULOS), 2P+T 20 A, INCLUINDO SUPORTE E PLACA - FORNECIMENTO E INSTALAÇÃO. AF_03/2023</t>
  </si>
  <si>
    <t>TOMADA MÉDIA DE EMBUTIR (2 MÓDULOS), 2P+T 20 A, SEM SUPORTE E SEM PLACA - FORNECIMENTO E INSTALAÇÃO. AF_03/2023</t>
  </si>
  <si>
    <t>TOMADA MÉDIA DE EMBUTIR (3 MÓDULOS), 2P+T 10 A, INCLUINDO SUPORTE E PLACA - FORNECIMENTO E INSTALAÇÃO. AF_03/2023</t>
  </si>
  <si>
    <t>TOMADA MÉDIA DE EMBUTIR (3 MÓDULOS), 2P+T 10 A, SEM SUPORTE E SEM PLACA - FORNECIMENTO E INSTALAÇÃO. AF_03/2023</t>
  </si>
  <si>
    <t>TOMADA MÉDIA DE EMBUTIR (3 MÓDULOS), 2P+T 20 A, INCLUINDO SUPORTE E PLACA - FORNECIMENTO E INSTALAÇÃO. AF_03/2023</t>
  </si>
  <si>
    <t>TOMADA MÉDIA DE EMBUTIR (3 MÓDULOS), 2P+T 20 A, SEM SUPORTE E SEM PLACA - FORNECIMENTO E INSTALAÇÃO. AF_03/2023</t>
  </si>
  <si>
    <t>CABO DE COBRE ISOLADO, 10 MM², ANTI-CHAMA 450/750 V, INSTALADO EM ELETROCALHA OU PERFILADO - FORNECIMENTO E INSTALAÇÃO. AF_07/2025</t>
  </si>
  <si>
    <t>CABO DE COBRE ISOLADO, 16 MM², ANTI-CHAMA 450/750 V, INSTALADO EM ELETROCALHA OU PERFILADO - FORNECIMENTO E INSTALAÇÃO. AF_07/2025</t>
  </si>
  <si>
    <t>CABO DE COBRE ISOLADO, 25 MM², ANTI-CHAMA 450/750 V, INSTALADO EM ELETROCALHA OU PERFILADO - FORNECIMENTO E INSTALAÇÃO. AF_07/2025</t>
  </si>
  <si>
    <t>CAIXA DE PROTEÇÃO PARA MEDIDOR MONOFÁSICO DE EMBUTIR - FORNECIMENTO E INSTALAÇÃO. AF_07/2025</t>
  </si>
  <si>
    <t>CONTATOR TRIPOLAR I NOMIMAL 95A - FORNECIMENTO E INSTALAÇÃO. AF_07/2025</t>
  </si>
  <si>
    <t>CONTATOR TRIPOLAR I NOMINAL 12A - FORNECIMENTO E INSTALAÇÃO. AF_07/2025</t>
  </si>
  <si>
    <t>CONTATOR TRIPOLAR I NOMINAL 22A - FORNECIMENTO E INSTALAÇÃO. AF_07/2025</t>
  </si>
  <si>
    <t>CONTATOR TRIPOLAR I NOMINAL 38A - FORNECIMENTO E INSTALAÇÃO. AF_07/2025</t>
  </si>
  <si>
    <t>COTOVELO PARA BARRAMENTO BLINDADO, 1000A - FORNECIMENTO E INSTALAÇÃO. AF_07/2025</t>
  </si>
  <si>
    <t>COTOVELO PARA BARRAMENTO BLINDADO, 1250A - FORNECIMENTO E INSTALAÇÃO. AF_07/2025</t>
  </si>
  <si>
    <t>COTOVELO PARA BARRAMENTO BLINDADO, 1600A - FORNECIMENTO E INSTALAÇÃO. AF_07/2025</t>
  </si>
  <si>
    <t>COTOVELO PARA BARRAMENTO BLINDADO, 2000A - FORNECIMENTO E INSTALAÇÃO. AF_07/2025</t>
  </si>
  <si>
    <t>COTOVELO PARA BARRAMENTO BLINDADO, 2500A - FORNECIMENTO E INSTALAÇÃO. AF_07/2025</t>
  </si>
  <si>
    <t>COTOVELO PARA BARRAMENTO BLINDADO, 250A - FORNECIMENTO E INSTALAÇÃO. AF_07/2025</t>
  </si>
  <si>
    <t>COTOVELO PARA BARRAMENTO BLINDADO, 350A - FORNECIMENTO E INSTALAÇÃO. AF_07/2025</t>
  </si>
  <si>
    <t>COTOVELO PARA BARRAMENTO BLINDADO, 450A - FORNECIMENTO E INSTALAÇÃO. AF_07/2025</t>
  </si>
  <si>
    <t>COTOVELO PARA BARRAMENTO BLINDADO, 550A - FORNECIMENTO E INSTALAÇÃO. AF_07/2025</t>
  </si>
  <si>
    <t>COTOVELO PARA BARRAMENTO BLINDADO, 630A - FORNECIMENTO E INSTALAÇÃO. AF_07/2025</t>
  </si>
  <si>
    <t>DISJUNTOR BAIXA TENSÃO TRIPOLAR A SECO 800A/600V - FORNECIMENTO E INSTALAÇÃO. AF_07/2025</t>
  </si>
  <si>
    <t>DISJUNTOR BIPOLAR DR 63A - FORNECIMENTO E INSTALAÇÃO. AF_07/2025</t>
  </si>
  <si>
    <t>DISJUNTOR BIPOLAR TIPO DIN, CORRENTE NOMINAL DE 10A - FORNECIMENTO E INSTALAÇÃO. AF_07/2025</t>
  </si>
  <si>
    <t>DISJUNTOR BIPOLAR TIPO DIN, CORRENTE NOMINAL DE 16A - FORNECIMENTO E INSTALAÇÃO. AF_07/2025</t>
  </si>
  <si>
    <t>DISJUNTOR BIPOLAR TIPO DIN, CORRENTE NOMINAL DE 20A - FORNECIMENTO E INSTALAÇÃO. AF_07/2025</t>
  </si>
  <si>
    <t>DISJUNTOR BIPOLAR TIPO DIN, CORRENTE NOMINAL DE 25A - FORNECIMENTO E INSTALAÇÃO. AF_07/2025</t>
  </si>
  <si>
    <t>DISJUNTOR BIPOLAR TIPO DIN, CORRENTE NOMINAL DE 32A - FORNECIMENTO E INSTALAÇÃO. AF_07/2025</t>
  </si>
  <si>
    <t>DISJUNTOR BIPOLAR TIPO DIN, CORRENTE NOMINAL DE 40A - FORNECIMENTO E INSTALAÇÃO. AF_07/2025</t>
  </si>
  <si>
    <t>DISJUNTOR BIPOLAR TIPO DIN, CORRENTE NOMINAL DE 50A - FORNECIMENTO E INSTALAÇÃO. AF_07/2025</t>
  </si>
  <si>
    <t>DISJUNTOR BIPOLAR TIPO DR, CORRENTE NOMINAL DE 25A - FORNECIMENTO E INSTALAÇÃO. AF_07/2025</t>
  </si>
  <si>
    <t>DISJUNTOR BIPOLAR TIPO DR, CORRENTE NOMINAL DE 40A - FORNECIMENTO E INSTALAÇÃO. AF_07/2025</t>
  </si>
  <si>
    <t>DISJUNTOR BIPOLAR TIPO NEMA, CORRENTE NOMINAL DE 10 ATÉ 50A - FORNECIMENTO E INSTALAÇÃO. AF_07/2025</t>
  </si>
  <si>
    <t>DISJUNTOR MONOPOLAR TIPO DIN, CORRENTE NOMINAL DE 10A - FORNECIMENTO E INSTALAÇÃO. AF_07/2025</t>
  </si>
  <si>
    <t>DISJUNTOR MONOPOLAR TIPO DIN, CORRENTE NOMINAL DE 16A - FORNECIMENTO E INSTALAÇÃO. AF_07/2025</t>
  </si>
  <si>
    <t>DISJUNTOR MONOPOLAR TIPO DIN, CORRENTE NOMINAL DE 20A - FORNECIMENTO E INSTALAÇÃO. AF_07/2025</t>
  </si>
  <si>
    <t>DISJUNTOR MONOPOLAR TIPO DIN, CORRENTE NOMINAL DE 25A - FORNECIMENTO E INSTALAÇÃO. AF_07/2025</t>
  </si>
  <si>
    <t>DISJUNTOR MONOPOLAR TIPO DIN, CORRENTE NOMINAL DE 32A - FORNECIMENTO E INSTALAÇÃO. AF_07/2025</t>
  </si>
  <si>
    <t>DISJUNTOR MONOPOLAR TIPO DIN, CORRENTE NOMINAL DE 40A - FORNECIMENTO E INSTALAÇÃO. AF_07/2025</t>
  </si>
  <si>
    <t>DISJUNTOR MONOPOLAR TIPO DIN, CORRENTE NOMINAL DE 50A - FORNECIMENTO E INSTALAÇÃO. AF_07/2025</t>
  </si>
  <si>
    <t>DISJUNTOR MONOPOLAR TIPO NEMA, CORRENTE NOMINAL DE 10 ATÉ 30A - FORNECIMENTO E INSTALAÇÃO. AF_07/2025</t>
  </si>
  <si>
    <t>DISJUNTOR MONOPOLAR TIPO NEMA, CORRENTE NOMINAL DE 35 ATÉ 50A - FORNECIMENTO E INSTALAÇÃO. AF_07/2025</t>
  </si>
  <si>
    <t>DISJUNTOR TERMOMAGNÉTICO TRIPOLAR, CORRENTE NOMINAL DE 125A - FORNECIMENTO E INSTALAÇÃO. AF_07/2025</t>
  </si>
  <si>
    <t>DISJUNTOR TERMOMAGNÉTICO TRIPOLAR, CORRENTE NOMINAL DE 200A - FORNECIMENTO E INSTALAÇÃO. AF_07/2025</t>
  </si>
  <si>
    <t>DISJUNTOR TERMOMAGNÉTICO TRIPOLAR, CORRENTE NOMINAL DE 250A - FORNECIMENTO E INSTALAÇÃO. AF_07/2025</t>
  </si>
  <si>
    <t>DISJUNTOR TERMOMAGNÉTICO TRIPOLAR, CORRENTE NOMINAL DE 400A - FORNECIMENTO E INSTALAÇÃO. AF_07/2025</t>
  </si>
  <si>
    <t>DISJUNTOR TERMOMAGNÉTICO TRIPOLAR, CORRENTE NOMINAL DE 600A - FORNECIMENTO E INSTALAÇÃO. AF_07/2025</t>
  </si>
  <si>
    <t>DISJUNTOR TETRAPOLAR TIPO DR, CORRENTE NOMINAL DE 25A - FORNECIMENTO E INSTALAÇÃO. AF_07/2025</t>
  </si>
  <si>
    <t>DISJUNTOR TETRAPOLAR TIPO DR, CORRENTE NOMINAL DE 40A - FORNECIMENTO E INSTALAÇÃO. AF_07/2025</t>
  </si>
  <si>
    <t>DISJUNTOR TRIPOLAR DIN 63A - FORNECIMENTO E INSTALAÇÃO. AF_07/2025</t>
  </si>
  <si>
    <t>DISJUNTOR TRIPOLAR DIN 80A - FORNECIMENTO E INSTALAÇÃO. AF_07/2025</t>
  </si>
  <si>
    <t>DISJUNTOR TRIPOLAR TIPO DIN, CORRENTE NOMINAL DE 10A - FORNECIMENTO E INSTALAÇÃO. AF_07/2025</t>
  </si>
  <si>
    <t>DISJUNTOR TRIPOLAR TIPO DIN, CORRENTE NOMINAL DE 16A - FORNECIMENTO E INSTALAÇÃO. AF_07/2025</t>
  </si>
  <si>
    <t>DISJUNTOR TRIPOLAR TIPO DIN, CORRENTE NOMINAL DE 20A - FORNECIMENTO E INSTALAÇÃO. AF_07/2025</t>
  </si>
  <si>
    <t>DISJUNTOR TRIPOLAR TIPO DIN, CORRENTE NOMINAL DE 25A - FORNECIMENTO E INSTALAÇÃO. AF_07/2025</t>
  </si>
  <si>
    <t>DISJUNTOR TRIPOLAR TIPO DIN, CORRENTE NOMINAL DE 32A - FORNECIMENTO E INSTALAÇÃO. AF_07/2025</t>
  </si>
  <si>
    <t>DISJUNTOR TRIPOLAR TIPO DIN, CORRENTE NOMINAL DE 40A - FORNECIMENTO E INSTALAÇÃO. AF_07/2025</t>
  </si>
  <si>
    <t>DISJUNTOR TRIPOLAR TIPO DIN, CORRENTE NOMINAL DE 50A - FORNECIMENTO E INSTALAÇÃO. AF_07/2025</t>
  </si>
  <si>
    <t>DISJUNTOR TRIPOLAR TIPO NEMA, CORRENTE NOMINAL DE 10 ATÉ 50A - FORNECIMENTO E INSTALAÇÃO. AF_07/2025</t>
  </si>
  <si>
    <t>DISJUNTOR TRIPOLAR TIPO NEMA, CORRENTE NOMINAL DE 60 ATÉ 100A - FORNECIMENTO E INSTALAÇÃO. AF_07/2025</t>
  </si>
  <si>
    <t>DISPOSITIVO DPS 20KA-175V OU 275V - FORNECIMENTO E INSTALAÇÃO. AF_07/2025</t>
  </si>
  <si>
    <t>DISPOSITIVO DPS 40KA-175V OU 275V - FORNECIMENTO E INSTALAÇÃO. AF_07/2025</t>
  </si>
  <si>
    <t>DISPOSITIVO DPS 60KA-275V - FORNECIMENTO E INSTALAÇÃO. AF_07/2025</t>
  </si>
  <si>
    <t>GABARITO PARA BARRAMENTO BLINDADO - FORNECIMENTO E INSTALAÇÃO. AF_07/2025</t>
  </si>
  <si>
    <t>PEÇA RETA DE BARRAMENTO BLINDADO, 1000A - FORNECIMENTO E INSTALAÇÃO. AF_07/2025</t>
  </si>
  <si>
    <t>PEÇA RETA DE BARRAMENTO BLINDADO, 1250A - FORNECIMENTO E INSTALAÇÃO. AF_07/2025</t>
  </si>
  <si>
    <t>PEÇA RETA DE BARRAMENTO BLINDADO, 1600A - FORNECIMENTO E INSTALAÇÃO. AF_07/2025</t>
  </si>
  <si>
    <t>PEÇA RETA DE BARRAMENTO BLINDADO, 2000A - FORNECIMENTO E INSTALAÇÃO. AF_07/2025</t>
  </si>
  <si>
    <t>PEÇA RETA DE BARRAMENTO BLINDADO, 2500A - FORNECIMENTO E INSTALAÇÃO. AF_07/2025</t>
  </si>
  <si>
    <t>PEÇA RETA DE BARRAMENTO BLINDADO, 250A - FORNECIMENTO E INSTALAÇÃO. AF_07/2025</t>
  </si>
  <si>
    <t>PEÇA RETA DE BARRAMENTO BLINDADO, 350A - FORNECIMENTO E INSTALAÇÃO. AF_07/2025</t>
  </si>
  <si>
    <t>PEÇA RETA DE BARRAMENTO BLINDADO, 450A - FORNECIMENTO E INSTALAÇÃO. AF_07/2025</t>
  </si>
  <si>
    <t>PEÇA RETA DE BARRAMENTO BLINDADO, 550A - FORNECIMENTO E INSTALAÇÃO. AF_07/2025</t>
  </si>
  <si>
    <t>PEÇA RETA DE BARRAMENTO BLINDADO, 630A - FORNECIMENTO E INSTALAÇÃO. AF_07/2025</t>
  </si>
  <si>
    <t>QUADRO DE DISTRIBUIÇÃO DE ENERGIA EM CHAPA DE AÇO GALVANIZADO, DE EMBUTIR, COM BARRAMENTO TRIFÁSICO, PARA 12 DISJUNTORES DIN 100A - FORNECIMENTO E INSTALAÇÃO. AF_07/2025</t>
  </si>
  <si>
    <t>QUADRO DE DISTRIBUIÇÃO DE ENERGIA EM CHAPA DE AÇO GALVANIZADO, DE EMBUTIR, COM BARRAMENTO TRIFÁSICO, PARA 18 DISJUNTORES DIN 100A - FORNECIMENTO E INSTALAÇÃO. AF_07/2025</t>
  </si>
  <si>
    <t>QUADRO DE DISTRIBUIÇÃO DE ENERGIA EM CHAPA DE AÇO GALVANIZADO, DE EMBUTIR, COM BARRAMENTO TRIFÁSICO, PARA 24 DISJUNTORES DIN 100A - FORNECIMENTO E INSTALAÇÃO. AF_07/2025</t>
  </si>
  <si>
    <t>QUADRO DE DISTRIBUIÇÃO DE ENERGIA EM CHAPA DE AÇO GALVANIZADO, DE EMBUTIR, COM BARRAMENTO TRIFÁSICO, PARA 28 DISJUNTORES DIN 100A - FORNECIMENTO E INSTALAÇÃO. AF_07/2025</t>
  </si>
  <si>
    <t>QUADRO DE DISTRIBUIÇÃO DE ENERGIA EM CHAPA DE AÇO GALVANIZADO, DE EMBUTIR, COM BARRAMENTO TRIFÁSICO, PARA 30 DISJUNTORES DIN 150A - FORNECIMENTO E INSTALAÇÃO. AF_07/2025</t>
  </si>
  <si>
    <t>QUADRO DE DISTRIBUIÇÃO DE ENERGIA EM CHAPA DE AÇO GALVANIZADO, DE EMBUTIR, COM BARRAMENTO TRIFÁSICO, PARA 30 DISJUNTORES DIN 225A - FORNECIMENTO E INSTALAÇÃO. AF_07/2025</t>
  </si>
  <si>
    <t>QUADRO DE DISTRIBUIÇÃO DE ENERGIA EM CHAPA DE AÇO GALVANIZADO, DE EMBUTIR, COM BARRAMENTO TRIFÁSICO, PARA 36 DISJUNTORES DIN 100A - FORNECIMENTO E INSTALAÇÃO. AF_07/2025</t>
  </si>
  <si>
    <t>QUADRO DE DISTRIBUIÇÃO DE ENERGIA EM CHAPA DE AÇO GALVANIZADO, DE EMBUTIR, COM BARRAMENTO TRIFÁSICO, PARA 40 DISJUNTORES DIN 100A - FORNECIMENTO E INSTALAÇÃO. AF_07/2025</t>
  </si>
  <si>
    <t>QUADRO DE DISTRIBUIÇÃO DE ENERGIA EM CHAPA DE AÇO GALVANIZADO, DE EMBUTIR, COM BARRAMENTO TRIFÁSICO, PARA 48 DISJUNTORES DIN 100A - FORNECIMENTO E INSTALAÇÃO. AF_07/2025</t>
  </si>
  <si>
    <t>QUADRO DE DISTRIBUIÇÃO DE ENERGIA EM CHAPA DE AÇO GALVANIZADO, DE SOBREPOR, COM BARRAMENTO TRIFÁSICO, PARA 18 DISJUNTORES DIN 100A - FORNECIMENTO E INSTALAÇÃO. AF_07/2025</t>
  </si>
  <si>
    <t>QUADRO DE DISTRIBUIÇÃO DE ENERGIA EM CHAPA DE AÇO GALVANIZADO, DE SOBREPOR, COM BARRAMENTO TRIFÁSICO, PARA 28 DISJUNTORES DIN 100A - FORNECIMENTO E INSTALAÇÃO. AF_07/2025</t>
  </si>
  <si>
    <t>QUADRO DE DISTRIBUIÇÃO DE ENERGIA EM CHAPA DE AÇO GALVANIZADO, DE SOBREPOR, COM BARRAMENTO TRIFÁSICO, PARA 36 DISJUNTORES DIN 100A - FORNECIMENTO E INSTALAÇÃO. AF_07/2025</t>
  </si>
  <si>
    <t>QUADRO DE DISTRIBUIÇÃO DE ENERGIA EM CHAPA DE AÇO GALVANIZADO, DE SOBREPOR, COM BARRAMENTO TRIFÁSICO, PARA 48 DISJUNTORES DIN 100A - FORNECIMENTO E INSTALAÇÃO. AF_07/2025</t>
  </si>
  <si>
    <t>QUADRO DE DISTRIBUIÇÃO DE ENERGIA EM PVC, DE EMBUTIR, SEM BARRAMENTO, PARA 3 DISJUNTORES - FORNECIMENTO E INSTALAÇÃO. AF_07/2025</t>
  </si>
  <si>
    <t>QUADRO DE DISTRIBUIÇÃO DE ENERGIA EM PVC, DE EMBUTIR, SEM BARRAMENTO, PARA 6 DISJUNTORES - FORNECIMENTO E INSTALAÇÃO. AF_07/2025</t>
  </si>
  <si>
    <t>QUADRO DE DISTRIBUIÇÃO DE LUZ EM PVC PARA 12 DISJUNTORES - FORNECIMENTO E INSTALAÇÃO. AF_07/2025</t>
  </si>
  <si>
    <t>QUADRO DE DISTRIBUIÇÃO DE LUZ EM PVC PARA 24 DISJUNTORES - FORNECIMENTO E INSTALAÇÃO. AF_07/2025</t>
  </si>
  <si>
    <t>QUADRO DE DISTRIBUIÇÃO DE LUZ EM PVC PARA 4 DISJUNTORES - FORNECIMENTO E INSTALAÇÃO. AF_07/2025</t>
  </si>
  <si>
    <t>QUADRO DE DISTRIBUIÇÃO DE LUZ EM PVC PARA 8 DISJUNTORES - FORNECIMENTO E INSTALAÇÃO. AF_07/2025</t>
  </si>
  <si>
    <t>QUADRO DE MEDIÇÃO GERAL DE ENERGIA COM 12 MEDIDORES - FORNECIMENTO E INSTALAÇÃO. AF_07/2025</t>
  </si>
  <si>
    <t>QUADRO DE MEDIÇÃO GERAL DE ENERGIA COM 16 MEDIDORES - FORNECIMENTO E INSTALAÇÃO. AF_07/2025</t>
  </si>
  <si>
    <t>QUADRO DE MEDIÇÃO GERAL DE ENERGIA COM 8 MEDIDORES - FORNECIMENTO E INSTALAÇÃO. AF_07/2025</t>
  </si>
  <si>
    <t>QUADRO DE MEDIÇÃO GERAL DE ENERGIA PARA 1 MEDIDOR DE SOBREPOR - FORNECIMENTO E INSTALAÇÃO. AF_07/2025</t>
  </si>
  <si>
    <t>QUADRO DE MEDIÇÃO GERAL DE ENERGIA PARA BARRAMENTO BLINDADO COM 4 MEDIDORES - FORNECIMENTO E INSTALAÇÃO. AF_07/2025</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</si>
  <si>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</si>
  <si>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</si>
  <si>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</si>
  <si>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</si>
  <si>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</si>
  <si>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</si>
  <si>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ADAPTADOR COM FLANGE E ANEL DE VEDAÇÃO, PVC, SOLDÁVEL, DN 20 MM X 1/2", INSTALADO EM RESERVAÇÃO PREDIAL DE ÁGUA - FORNECIMENTO E INSTALAÇÃO. AF_04/2024</t>
  </si>
  <si>
    <t>ADAPTADOR COM FLANGE E ANEL DE VEDAÇÃO, PVC, SOLDÁVEL, DN 25 MM X 3/4",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</si>
  <si>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</si>
  <si>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</si>
  <si>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</si>
  <si>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</si>
  <si>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110 MM X 4",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</si>
  <si>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</si>
  <si>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</si>
  <si>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CURTO COM BOLSA E ROSCA PARA REGISTRO, PVC, SOLDÁVEL, DN 110 MM X 4", INSTALADO EM RESERVAÇÃO PREDIAL DE ÁGUA - FORNECIMENTO E INSTALAÇÃO. AF_04/2024</t>
  </si>
  <si>
    <t>ADAPTADOR CURTO COM BOLSA E ROSCA PARA REGISTRO, PVC, SOLDÁVEL, DN 25 MM X 3/4", INSTALADO EM RESERVAÇÃO PREDIAL DE ÁGUA - FORNECIMENTO E INSTALAÇÃO. AF_04/2024</t>
  </si>
  <si>
    <t>ADAPTADOR CURTO COM BOLSA E ROSCA PARA REGISTRO, PVC, SOLDÁVEL, DN 32 MM X 1", INSTALADO EM RESERVAÇÃO PREDIAL DE ÁGUA - FORNECIMENTO E INSTALAÇÃO. AF_04/2024</t>
  </si>
  <si>
    <t>ADAPTADOR CURTO COM BOLSA E ROSCA PARA REGISTRO, PVC, SOLDÁVEL, DN 40 MM X 1 1/4", INSTALADO EM RESERVAÇÃO PREDIAL DE ÁGUA - FORNECIMENTO E INSTALAÇÃO. AF_04/2024</t>
  </si>
  <si>
    <t>ADAPTADOR CURTO COM BOLSA E ROSCA PARA REGISTRO, PVC, SOLDÁVEL, DN 50 MM X 1 1/2", INSTALADO EM RESERVAÇÃO PREDIAL DE ÁGUA - FORNECIMENTO E INSTALAÇÃO. AF_04/2024</t>
  </si>
  <si>
    <t>ADAPTADOR CURTO COM BOLSA E ROSCA PARA REGISTRO, PVC, SOLDÁVEL, DN 60 MM X 2", INSTALADO EM RESERVAÇÃO PREDIAL DE ÁGUA - FORNECIMENTO E INSTALAÇÃO. AF_04/2024</t>
  </si>
  <si>
    <t>ADAPTADOR CURTO COM BOLSA E ROSCA PARA REGISTRO, PVC, SOLDÁVEL, DN 75 MM X 2 1/2", INSTALADO EM RESERVAÇÃO PREDIAL DE ÁGUA - FORNECIMENTO E INSTALAÇÃO. AF_04/2024</t>
  </si>
  <si>
    <t>ADAPTADOR CURTO COM BOLSA E ROSCA PARA REGISTRO, PVC, SOLDÁVEL, DN 85 MM X 3",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</si>
  <si>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</si>
  <si>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</si>
  <si>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</si>
  <si>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28 MM, INSTALADO EM RESERVAÇÃO PREDIAL DE ÁGUA - FORNECIMENTO E INSTALAÇÃO. AF_04/2024</t>
  </si>
  <si>
    <t>BUCHA DE REDUÇÃO CPVC, SOLDÁVEL, DN 54 X 35 MM, INSTALADO EM RESERVAÇÃO PREDIAL DE ÁGUA - FORNECIMENTO E INSTALAÇÃO. AF_04/2024</t>
  </si>
  <si>
    <t>BUCHA DE REDUÇÃO EM COBRE, PONTA X BOLSA, 66 X 54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</si>
  <si>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</si>
  <si>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</si>
  <si>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BUCHA DE REDUÇÃO PVC, SOLDÁVEL, LONGA, DN 50 X 32 MM, INSTALADO EM RESERVAÇÃO PREDIAL DE ÁGUA - FORNECIMENTO E INSTALAÇÃO. AF_04/2024</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</si>
  <si>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</si>
  <si>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</si>
  <si>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</si>
  <si>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</si>
  <si>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BUCHA DE REDUÇÃO, EM FERRO GALVANIZADO, CONEXÃO ROSQUEADA, DN 80 MM X 50 MM (3" X 2"), INSTALADO EM RESERVAÇÃO PREDIAL DE ÁGUA - FORNECIMENTO E INSTALAÇÃO. AF_04/2024</t>
  </si>
  <si>
    <t>BUCHA DE REDUÇÃO, EM FERRO GALVANIZADO, CONEXÃO ROSQUEADA, DN 80 MM X 65 MM (3" X 2 1/2"),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</si>
  <si>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</si>
  <si>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</si>
  <si>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</si>
  <si>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PPR, DN 50 X 25 MM, INSTALADO EM RESERVAÇÃO PREDIAL DE ÁGUA - FORNECIMENTO E INSTALAÇÃO. AF_04/2024</t>
  </si>
  <si>
    <t>BUCHA DE REDUÇÃO, PPR, DN 50 X 32 MM, INSTALADO EM RESERVAÇÃO PREDIAL DE ÁGUA - FORNECIMENTO E INSTALAÇÃO. AF_04/2024</t>
  </si>
  <si>
    <t>CONECTOR EM BRONZE/LATÃO, DN 104 MM X 4", SEM ANEL DE SOLDA, BOLSA X ROSCA, INSTALADO EM RESERVAÇÃO PREDIAL DE ÁGUA - FORNECIMENTO E INSTALAÇÃO. AF_04/2024</t>
  </si>
  <si>
    <t>CONECTOR EM BRONZE/LATÃO, DN 54 MM X 2", SEM ANEL DE SOLDA, BOLSA X ROSCA, INSTALADO EM RESERVAÇÃO PREDIAL DE ÁGUA - FORNECIMENTO E INSTALAÇÃO. AF_04/2024</t>
  </si>
  <si>
    <t>CONECTOR EM BRONZE/LATÃO, DN 66 MM X 2 1/2", SEM ANEL DE SOLDA, BOLSA X ROSCA, INSTALADO EM RESERVAÇÃO PREDIAL DE ÁGUA - FORNECIMENTO E INSTALAÇÃO. AF_04/2024</t>
  </si>
  <si>
    <t>CONECTOR EM BRONZE/LATÃO, DN 79 MM X 3", SEM ANEL DE SOLDA, BOLSA X ROSCA, INSTALADO EM RESERVAÇÃO PREDIAL DE ÁGUA - FORNECIMENTO E INSTALAÇÃO. AF_04/2024</t>
  </si>
  <si>
    <t>CONECTOR MACHO, PPR, 25 MM X 1/2'', INSTALADO EM RESERVAÇÃO PREDIAL DE ÁGUA - FORNECIMENTO E INSTALAÇÃO. AF_04/2024</t>
  </si>
  <si>
    <t>CONECTOR MACHO, PPR, 32 MM X 3/4'', INSTALADO EM RESERVAÇÃO PREDIAL DE ÁGUA - FORNECIMENTO E INSTALAÇÃO. AF_04/2024</t>
  </si>
  <si>
    <t>CONECTOR, CPVC, SOLDÁVEL, DN 114 MM X 4", INSTALADO EM RESERVAÇÃO PREDIAL DE ÁGUA - FORNECIMENTO E INSTALAÇÃO. AF_04/2024</t>
  </si>
  <si>
    <t>CONECTOR, CPVC, SOLDÁVEL, DN 22 MM X 3/4", INSTALADO EM RESERVAÇÃO PREDIAL DE ÁGUA - FORNECIMENTO E INSTALAÇÃO. AF_04/2024</t>
  </si>
  <si>
    <t>CONECTOR, CPVC, SOLDÁVEL, DN 28 MM X 1", INSTALADO EM RESERVAÇÃO PREDIAL DE ÁGUA - FORNECIMENTO E INSTALAÇÃO. AF_04/2024</t>
  </si>
  <si>
    <t>CONECTOR, CPVC, SOLDÁVEL, DN 35 MM X 1 1/4", INSTALADO EM RESERVAÇÃO PREDIAL DE ÁGUA - FORNECIMENTO E INSTALAÇÃO. AF_04/2024</t>
  </si>
  <si>
    <t>CONECTOR, CPVC, SOLDÁVEL, DN 42 MM X 1 1/2", INSTALADO EM RESERVAÇÃO PREDIAL DE ÁGUA - FORNECIMENTO E INSTALAÇÃO. AF_04/2024</t>
  </si>
  <si>
    <t>CONECTOR, CPVC, SOLDÁVEL, DN 54 MM X 2",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</si>
  <si>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</si>
  <si>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</si>
  <si>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CONJUNTO HIDRÁULICO EM AÇO ROSCÁVEL PARA INSTALAÇÃO DE BOMBA, DN SUCÇÃO 32 MM (1 1/4") E DN RECALQUE 25 MM (1"), PARA EDIFICAÇÃO COM 4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</si>
  <si>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</si>
  <si>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</si>
  <si>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65 MM (2½") E DN RECALQUE 50 MM (2"), PARA EDIFICAÇÃO COM 18 PAVIMENTOS - FORNECIMENTO E INSTALAÇÃO. AF_04/2024</t>
  </si>
  <si>
    <t>COTOVELO 45 GRAUS, EM FERRO GALVANIZADO, CONEXÃO ROSQUEADA, DN 50 MM (2"), INSTALADO EM RESERVAÇÃO PREDIAL DE ÁGUA - FORNECIMENTO E INSTALAÇÃO. AF_04/2024</t>
  </si>
  <si>
    <t>COTOVELO 45 GRAUS, EM FERRO GALVANIZADO, CONEXÃO ROSQUEADA, DN 65 MM (2 1/2"), INSTALADO EM RESERVAÇÃO PREDIAL DE ÁGUA - FORNECIMENTO E INSTALAÇÃO. AF_04/2024</t>
  </si>
  <si>
    <t>COTOVELO 45 GRAUS,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</si>
  <si>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</si>
  <si>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</si>
  <si>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</si>
  <si>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</si>
  <si>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</si>
  <si>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COTOVELO DE REDUÇÃO, 90 GRAUS, EM FERRO GALVANIZADO, CONEXÃO ROSQUEADA, DN 65 MM X 50 MM (2 1/2" X 2"), INSTALADO EM RESERVAÇÃO PREDIAL DE ÁGUA - FORNECIMENTO E INSTALAÇÃO. AF_04/2024</t>
  </si>
  <si>
    <t>COTOVELO EM COBRE, DN 104 MM, 90 GRAUS, SEM ANEL DE SOLDA, INSTALADO EM RESERVAÇÃO PREDIAL DE ÁGUA - FORNECIMENTO E INSTALAÇÃO. AF_04/2024</t>
  </si>
  <si>
    <t>COTOVELO EM COBRE, DN 54 MM, 90 GRAUS, SEM ANEL DE SOLDA, INSTALADO EM RESERVAÇÃO PREDIAL DE ÁGUA - FORNECIMENTO E INSTALAÇÃO. AF_04/2024</t>
  </si>
  <si>
    <t>COTOVELO EM COBRE, DN 66 MM, 90 GRAUS, SEM ANEL DE SOLDA, INSTALADO EM RESERVAÇÃO PREDIAL DE ÁGUA - FORNECIMENTO E INSTALAÇÃO. AF_04/2024</t>
  </si>
  <si>
    <t>COTOVELO EM COBRE, DN 79 MM, 90 GRAUS, SEM ANEL DE SOLDA, INSTALADO EM RESERVAÇÃO PREDIAL DE ÁGUA - FORNECIMENTO E INSTALAÇÃO. AF_04/2024</t>
  </si>
  <si>
    <t>COTOVELO, 90 GRAUS, EM FERRO GALVANIZADO, MACHO/FÊMEA,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</si>
  <si>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</si>
  <si>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</si>
  <si>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</si>
  <si>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</si>
  <si>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</si>
  <si>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80 MM (3"), INSTALADO EM RESERVAÇÃO PREDIAL DE ÁGUA - FORNECIMENTO E INSTALAÇÃO. AF_04/2024</t>
  </si>
  <si>
    <t>CURVA 90 GRAUS, CPVC, SOLDÁVEL, DN 114 MM, INSTALADO EM RESERVAÇÃO PREDIAL DE ÁGUA - FORNECIMENTO E INSTALAÇÃO. AF_04/2024</t>
  </si>
  <si>
    <t>CURVA 90 GRAUS, CPVC, SOLDÁVEL, DN 22 MM, INSTALADO EM RESERVAÇÃO PREDIAL DE ÁGUA - FORNECIMENTO E INSTALAÇÃO. AF_04/2024</t>
  </si>
  <si>
    <t>CURVA 90 GRAUS, CPVC, SOLDÁVEL, DN 28 MM, INSTALADO EM RESERVAÇÃO PREDIAL DE ÁGUA - FORNECIMENTO E INSTALAÇÃO. AF_04/2024</t>
  </si>
  <si>
    <t>CURVA 90 GRAUS, CPVC, SOLDÁVEL, DN 35 MM, INSTALADO EM RESERVAÇÃO PREDIAL DE ÁGUA - FORNECIMENTO E INSTALAÇÃO. AF_04/2024</t>
  </si>
  <si>
    <t>CURVA 90 GRAUS, CPVC, SOLDÁVEL, DN 42 MM, INSTALADO EM RESERVAÇÃO PREDIAL DE ÁGUA - FORNECIMENTO E INSTALAÇÃO. AF_04/2024</t>
  </si>
  <si>
    <t>CURVA 90 GRAUS, CPVC, SOLDÁVEL, DN 54 MM, INSTALADO EM RESERVAÇÃO PREDIAL DE ÁGUA - FORNECIMENTO E INSTALAÇÃO. AF_04/2024</t>
  </si>
  <si>
    <t>CURVA 90 GRAUS, CPVC, SOLDÁVEL, DN 73 MM, INSTALADO EM RESERVAÇÃO PREDIAL DE ÁGUA - FORNECIMENTO E INSTALAÇÃO. AF_04/2024</t>
  </si>
  <si>
    <t>CURVA 90 GRAUS, CPVC, SOLDÁVEL, DN 89 MM,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</si>
  <si>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</si>
  <si>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</si>
  <si>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80 MM (3"),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</si>
  <si>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</si>
  <si>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</si>
  <si>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</si>
  <si>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</si>
  <si>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</si>
  <si>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80 MM (3"), INSTALADO EM RESERVAÇÃO PREDIAL DE ÁGUA - FORNECIMENTO E INSTALAÇÃO. AF_04/2024</t>
  </si>
  <si>
    <t>CURVA 90 GRAUS, PVC, SOLDÁVEL, DN 110 MM, INSTALADO EM RESERVAÇÃO PREDIAL DE ÁGUA - FORNECIMENTO E INSTALAÇÃO. AF_04/2024</t>
  </si>
  <si>
    <t>CURVA 90 GRAUS, PVC, SOLDÁVEL, DN 25 MM, INSTALADO EM RESERVAÇÃO PREDIAL DE ÁGUA - FORNECIMENTO E INSTALAÇÃO. AF_04/2024</t>
  </si>
  <si>
    <t>CURVA 90 GRAUS, PVC, SOLDÁVEL, DN 32 MM, INSTALADO EM RESERVAÇÃO PREDIAL DE ÁGUA - FORNECIMENTO E INSTALAÇÃO. AF_04/2024</t>
  </si>
  <si>
    <t>CURVA 90 GRAUS, PVC, SOLDÁVEL, DN 40 MM, INSTALADO EM RESERVAÇÃO PREDIAL DE ÁGUA - FORNECIMENTO E INSTALAÇÃO. AF_04/2024</t>
  </si>
  <si>
    <t>CURVA 90 GRAUS, PVC, SOLDÁVEL, DN 50 MM, INSTALADO EM RESERVAÇÃO PREDIAL DE ÁGUA - FORNECIMENTO E INSTALAÇÃO. AF_04/2024</t>
  </si>
  <si>
    <t>CURVA 90 GRAUS, PVC, SOLDÁVEL, DN 60 MM, INSTALADO EM RESERVAÇÃO PREDIAL DE ÁGUA - FORNECIMENTO E INSTALAÇÃO. AF_04/2024</t>
  </si>
  <si>
    <t>CURVA 90 GRAUS, PVC, SOLDÁVEL, DN 75 MM, INSTALADO EM RESERVAÇÃO PREDIAL DE ÁGUA - FORNECIMENTO E INSTALAÇÃO. AF_04/2024</t>
  </si>
  <si>
    <t>CURVA 90 GRAUS, PVC, SOLDÁVEL, DN 85 MM, INSTALADO EM RESERVAÇÃO PREDIAL DE ÁGUA - FORNECIMENTO E INSTALAÇÃO. AF_04/2024</t>
  </si>
  <si>
    <t>CURVA EM COBRE, DN 104 MM, 45 GRAUS, SEM ANEL DE SOLDA, BOLSA X BOLSA, INSTALADO EM RESERVAÇÃO PREDIAL DE ÁGUA - FORNECIMENTO E INSTALAÇÃO. AF_04/2024</t>
  </si>
  <si>
    <t>CURVA EM COBRE, DN 54 MM, 45 GRAUS, SEM ANEL DE SOLDA, BOLSA X BOLSA, INSTALADO EM RESERVAÇÃO PREDIAL DE ÁGUA - FORNECIMENTO E INSTALAÇÃO. AF_04/2024</t>
  </si>
  <si>
    <t>CURVA EM COBRE, DN 66 MM, 45 GRAUS, SEM ANEL DE SOLDA, BOLSA X BOLSA, INSTALADO EM RESERVAÇÃO PREDIAL DE ÁGUA - FORNECIMENTO E INSTALAÇÃO. AF_04/2024</t>
  </si>
  <si>
    <t>CURVA EM COBRE, DN 79 MM, 45 GRAUS, SEM ANEL DE SOLDA, BOLSA X BOLSA,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</si>
  <si>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</si>
  <si>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</si>
  <si>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</si>
  <si>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</si>
  <si>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</si>
  <si>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</si>
  <si>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</si>
  <si>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</si>
  <si>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</si>
  <si>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FLANGE CURTA EM COBRE, DN 104 MM X 4", INSTALADO EM RESERVAÇÃO PREDIAL DE ÁGUA - FORNECIMENTO E INSTALAÇÃO. AF_04/2024</t>
  </si>
  <si>
    <t>FLANGE CURTA EM COBRE, DN 54 MM X 2", INSTALADO EM RESERVAÇÃO PREDIAL DE ÁGUA - FORNECIMENTO E INSTALAÇÃO. AF_04/2024</t>
  </si>
  <si>
    <t>FLANGE CURTA EM COBRE, DN 66 MM X 2 1/2", INSTALADO EM RESERVAÇÃO PREDIAL DE ÁGUA - FORNECIMENTO E INSTALAÇÃO. AF_04/2024</t>
  </si>
  <si>
    <t>FLANGE CURTA EM COBRE, DN 79 MM X 3", INSTALADO EM RESERVAÇÃO PREDIAL DE ÁGUA - FORNECIMENTO E INSTALAÇÃO. AF_04/2024</t>
  </si>
  <si>
    <t>JOELHO 90 GRAUS COM BUCHA DE LATÃO, PVC, SOLDÁVEL, DN 25 MM X 3/4", INSTALADO EM RESERVAÇÃO PREDIAL DE ÁGUA - FORNECIMENTO E INSTALAÇÃO. AF_04/2024</t>
  </si>
  <si>
    <t>JOELHO 90 GRAUS, CPVC, SOLDÁVEL, DN 114 MM, INSTALADO EM RESERVAÇÃO PREDIAL DE ÁGUA - FORNECIMENTO E INSTALAÇÃO. AF_04/2024</t>
  </si>
  <si>
    <t>JOELHO 90 GRAUS, CPVC, SOLDÁVEL, DN 22 MM, INSTALADO EM RESERVAÇÃO PREDIAL DE ÁGUA - FORNECIMENTO E INSTALAÇÃO. AF_04/2024</t>
  </si>
  <si>
    <t>JOELHO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</si>
  <si>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</si>
  <si>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</si>
  <si>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</si>
  <si>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</si>
  <si>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</si>
  <si>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PPR, DN 110 MM,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</si>
  <si>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</si>
  <si>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</si>
  <si>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</si>
  <si>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</si>
  <si>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</si>
  <si>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</si>
  <si>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</si>
  <si>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</si>
  <si>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PVC, SOLDÁVEL, DN 110 MM INSTALADO EM RESERVAÇÃO PREDIAL DE ÁGUA - FORNECIMENTO E INSTALAÇÃO. AF_04/2024</t>
  </si>
  <si>
    <t>JOELHO 90 GRAUS, PVC, SOLDÁVEL, DN 32 MM INSTALADO EM RESERVAÇÃO PREDIAL DE ÁGUA - FORNECIMENTO E INSTALAÇÃO. AF_04/2024</t>
  </si>
  <si>
    <t>JOELHO 90 GRAUS, PVC, SOLDÁVEL, DN 40 MM INSTALADO EM RESERVAÇÃO PREDIAL DE ÁGUA - FORNECIMENTO E INSTALAÇÃO. AF_04/2024</t>
  </si>
  <si>
    <t>JOELHO 90 GRAUS, PVC, SOLDÁVEL, DN 50 MM INSTALADO EM RESERVAÇÃO PREDIAL DE ÁGUA - FORNECIMENTO E INSTALAÇÃO. AF_04/2024</t>
  </si>
  <si>
    <t>JOELHO 90 GRAUS, PVC, SOLDÁVEL, DN 60 MM INSTALADO EM RESERVAÇÃO PREDIAL DE ÁGUA - FORNECIMENTO E INSTALAÇÃO. AF_04/2024</t>
  </si>
  <si>
    <t>JOELHO 90 GRAUS, PVC, SOLDÁVEL, DN 75 MM INSTALADO EM RESERVAÇÃO PREDIAL DE ÁGUA - FORNECIMENTO E INSTALAÇÃO. AF_04/2024</t>
  </si>
  <si>
    <t>JOELHO 90 GRAUS, PVC, SOLDÁVEL, DN 85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</si>
  <si>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</si>
  <si>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</si>
  <si>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</si>
  <si>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42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</si>
  <si>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</si>
  <si>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</si>
  <si>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</si>
  <si>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</si>
  <si>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</si>
  <si>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</si>
  <si>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</si>
  <si>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JOELHO PPR 45 GRAUS, SOLDÁVEL, DN 63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</si>
  <si>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</si>
  <si>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</si>
  <si>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</si>
  <si>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JOELHO PVC, SOLDÁVEL, 45 GRAUS, DN 25 MM,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</si>
  <si>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</si>
  <si>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</si>
  <si>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</si>
  <si>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</si>
  <si>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</si>
  <si>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</si>
  <si>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LUVA DE COBRE, DN 104 MM, SEM ANEL DE SOLDA,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</si>
  <si>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</si>
  <si>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</si>
  <si>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</si>
  <si>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</si>
  <si>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50 MM (3"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</si>
  <si>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</si>
  <si>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SOLDÁVEL, PVC, DN 50 X 25 MM,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</si>
  <si>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</si>
  <si>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</si>
  <si>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</si>
  <si>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PVC, SOLDÁVEL, DN 25 MM, INSTALADO EM RESERVAÇÃO PREDIAL DE ÁGUA - FORNECIMENTO E INSTALAÇÃO. AF_04/2024</t>
  </si>
  <si>
    <t>LUVA PVC, SOLDÁVEL, DN 32 MM, INSTALADO EM RESERVAÇÃO PREDIAL DE ÁGUA - FORNECIMENTO E INSTALAÇÃO. AF_04/2024</t>
  </si>
  <si>
    <t>LUVA, CPVC, SOLDÁVEL, DN 114 MM, INSTALADO EM RESERVAÇÃO PREDIAL DE ÁGUA - FORNECIMENTO E INSTALAÇÃO. AF_04/2024</t>
  </si>
  <si>
    <t>LUVA, CPVC, SOLDÁVEL, DN 22 MM, INSTALADO EM RESERVAÇÃO PREDIAL DE ÁGUA - FORNECIMENTO E INSTALAÇÃO. AF_04/2024</t>
  </si>
  <si>
    <t>LUVA, CPVC, SOLDÁVEL, DN 28 MM, INSTALADO EM RESERVAÇÃO PREDIAL DE ÁGUA - FORNECIMENTO E INSTALAÇÃO. AF_04/2024</t>
  </si>
  <si>
    <t>LUVA, CPVC, SOLDÁVEL, DN 35 MM, INSTALADO EM RESERVAÇÃO PREDIAL DE ÁGUA - FORNECIMENTO E INSTALAÇÃO. AF_04/2024</t>
  </si>
  <si>
    <t>LUVA, CPVC, SOLDÁVEL, DN 42 MM, INSTALADO EM RESERVAÇÃO PREDIAL DE ÁGUA - FORNECIMENTO E INSTALAÇÃO. AF_04/2024</t>
  </si>
  <si>
    <t>LUVA, CPVC, SOLDÁVEL, DN 54 MM, INSTALADO EM RESERVAÇÃO PREDIAL DE ÁGUA - FORNECIMENTO E INSTALAÇÃO. AF_04/2024</t>
  </si>
  <si>
    <t>LUVA, CPVC, SOLDÁVEL, DN 73 MM, INSTALADO EM RESERVAÇÃO PREDIAL DE ÁGUA - FORNECIMENTO E INSTALAÇÃO. AF_04/2024</t>
  </si>
  <si>
    <t>LUVA, CPVC, SOLDÁVEL, DN 89 MM, INSTALADO EM RESERVAÇÃO PREDIAL DE ÁGUA - FORNECIMENTO E INSTALAÇÃO. AF_04/2024</t>
  </si>
  <si>
    <t>LUVA,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</si>
  <si>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</si>
  <si>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</si>
  <si>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LUVA, PPR, DN 110 MM, CLASSE PN 25, INSTALADO EM RESERVAÇÃO PREDIAL DE ÁGUA - FORNECIMENTO E INSTALAÇÃO. AF_04/2024</t>
  </si>
  <si>
    <t>LUVA, PPR, DN 20 MM, INSTALADO EM RESERVAÇÃO PREDIAL DE ÁGUA - FORNECIMENTO E INSTALAÇÃO. AF_04/2024</t>
  </si>
  <si>
    <t>LUVA, PPR, DN 25 MM, INSTALADO EM RESERVAÇÃO PREDIAL DE ÁGUA - FORNECIMENTO E INSTALAÇÃO. AF_04/2024</t>
  </si>
  <si>
    <t>LUVA, PPR, DN 32 MM, CLASSE PN 25,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</si>
  <si>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</si>
  <si>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</si>
  <si>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</si>
  <si>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</si>
  <si>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</si>
  <si>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PVC, SOLDÁVEL, DN 110 MM, INSTALADO EM RESERVAÇÃO PREDIAL DE ÁGUA - FORNECIMENTO E INSTALAÇÃO. AF_04/2024</t>
  </si>
  <si>
    <t>LUVA, PVC, SOLDÁVEL, DN 40 MM, INSTALADO EM RESERVAÇÃO PREDIAL DE ÁGUA - FORNECIMENTO E INSTALAÇÃO. AF_04/2024</t>
  </si>
  <si>
    <t>LUVA, PVC, SOLDÁVEL, DN 50 MM, INSTALADO EM RESERVAÇÃO PREDIAL DE ÁGUA - FORNECIMENTO E INSTALAÇÃO. AF_04/2024</t>
  </si>
  <si>
    <t>LUVA, PVC, SOLDÁVEL, DN 60 MM, INSTALADO EM RESERVAÇÃO PREDIAL DE ÁGUA - FORNECIMENTO E INSTALAÇÃO. AF_04/2024</t>
  </si>
  <si>
    <t>LUVA, PVC, SOLDÁVEL, DN 75 MM, INSTALADO EM RESERVAÇÃO PREDIAL DE ÁGUA - FORNECIMENTO E INSTALAÇÃO. AF_04/2024</t>
  </si>
  <si>
    <t>LUVA, PVC, SOLDÁVEL, DN 85 MM, INSTALADO EM RESERVAÇÃO PREDIAL DE ÁGUA - FORNECIMENTO E INSTALAÇÃO. AF_04/2024</t>
  </si>
  <si>
    <t>NIPLE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</si>
  <si>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</si>
  <si>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EM FERRO GALVANIZADO, CONEXÃO ROSQUEADA, DN 50 MM (2"), INSTALADO EM RESERVAÇÃO PREDIAL DE ÁGUA - FORNECIMENTO E INSTALAÇÃO. AF_04/2024</t>
  </si>
  <si>
    <t>NIPLE, EM FERRO GALVANIZADO, CONEXÃO ROSQUEADA, DN 65 MM (2 1/2"), INSTALADO EM RESERVAÇÃO PREDIAL DE ÁGUA - FORNECIMENTO E INSTALAÇÃO. AF_04/2024</t>
  </si>
  <si>
    <t>NIPLE, EM FERRO GALVANIZADO, CONEXÃO ROSQUEADA, DN 80 MM (3"),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</si>
  <si>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</si>
  <si>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</si>
  <si>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</si>
  <si>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TE DE REDUÇÃO, EM FERRO GALVANIZADO, CONEXÃO ROSQUEADA, DN 80 MM X 50 MM (3" X 2"), INSTALADO EM RESERVAÇÃO PREDIAL DE ÁGUA - FORNECIMENTO E INSTALAÇÃO. AF_04/2024</t>
  </si>
  <si>
    <t>TE DE REDUÇÃO, EM FERRO GALVANIZADO, CONEXÃO ROSQUEADA, DN 80 MM X 65 MM (3" X 2 1/2"),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</si>
  <si>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</si>
  <si>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</si>
  <si>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TE EM COBRE, DN 104 MM,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</si>
  <si>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</si>
  <si>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</si>
  <si>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</si>
  <si>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</si>
  <si>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</si>
  <si>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</si>
  <si>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</si>
  <si>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</si>
  <si>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</si>
  <si>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</si>
  <si>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</si>
  <si>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</si>
  <si>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</si>
  <si>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</si>
  <si>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104 MM, CLASSE E, SEM ISOLAMENTO,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</si>
  <si>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</si>
  <si>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</si>
  <si>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</si>
  <si>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CPVC, SOLDÁVEL, DN 114 MM,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</si>
  <si>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</si>
  <si>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</si>
  <si>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</si>
  <si>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</si>
  <si>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</si>
  <si>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</si>
  <si>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</si>
  <si>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PPR, DN 110 MM, CLASSE PN 12, INSTALADO EM RESERVAÇÃO PREDIAL DE ÁGUA - FORNECIMENTO E INSTALAÇÃO. AF_04/2024</t>
  </si>
  <si>
    <t>TUBO, PPR, DN 110 MM, CLASSE PN 25, INSTALADO EM RESERVAÇÃO PREDIAL DE ÁGUA - FORNECIMENTO E INSTALAÇÃO. AF_04/2024</t>
  </si>
  <si>
    <t>TUBO, PPR, DN 20 MM, CLASSE PN 20, INSTALADO EM RESERVAÇÃO PREDIAL DE ÁGUA - FORNECIMENTO E INSTALAÇÃO. AF_04/2024</t>
  </si>
  <si>
    <t>TUBO, PPR, DN 20 MM, CLASSE PN 25, INSTALADO EM RESERVAÇÃO PREDIAL DE ÁGUA - FORNECIMENTO E INSTALAÇÃO. AF_04/2024</t>
  </si>
  <si>
    <t>TUBO, PPR, DN 25 MM, CLASSE PN 20, INSTALADO EM RESERVAÇÃO PREDIAL DE ÁGUA - FORNECIMENTO E INSTALAÇÃO. AF_04/2024</t>
  </si>
  <si>
    <t>TUBO, PPR, DN 25 MM, CLASSE PN 25, INSTALADO EM RESERVAÇÃO PREDIAL DE ÁGUA - FORNECIMENTO E INSTALAÇÃO. AF_04/2024</t>
  </si>
  <si>
    <t>TUBO, PPR, DN 32 MM, CLASSE PN 12, INSTALADO EM RESERVAÇÃO PREDIAL DE ÁGUA - FORNECIMENTO E INSTALAÇÃO. AF_04/2024</t>
  </si>
  <si>
    <t>TUBO, PPR, DN 32 MM, CLASSE PN 25, INSTALADO EM RESERVAÇÃO PREDIAL DE ÁGUA - FORNECIMENTO E INSTALAÇÃO. AF_04/2024</t>
  </si>
  <si>
    <t>TUBO, PPR, DN 40 MM, CLASSE PN 12, INSTALADO EM RESERVAÇÃO PREDIAL DE ÁGUA - FORNECIMENTO E INSTALAÇÃO. AF_04/2024</t>
  </si>
  <si>
    <t>TUBO, PPR, DN 40 MM, CLASSE PN 25, INSTALADO EM RESERVAÇÃO PREDIAL DE ÁGUA - FORNECIMENTO E INSTALAÇÃO. AF_04/2024</t>
  </si>
  <si>
    <t>TUBO, PPR, DN 50 MM, CLASSE PN 12, INSTALADO EM RESERVAÇÃO PREDIAL DE ÁGUA - FORNECIMENTO E INSTALAÇÃO. AF_04/2024</t>
  </si>
  <si>
    <t>TUBO, PPR, DN 50 MM, CLASSE PN 25, INSTALADO EM RESERVAÇÃO PREDIAL DE ÁGUA - FORNECIMENTO E INSTALAÇÃO. AF_04/2024</t>
  </si>
  <si>
    <t>TUBO, PPR, DN 63 MM, CLASSE PN 12, INSTALADO EM RESERVAÇÃO PREDIAL DE ÁGUA - FORNECIMENTO E INSTALAÇÃO. AF_04/2024</t>
  </si>
  <si>
    <t>TUBO, PPR, DN 63 MM, CLASSE PN 25, INSTALADO EM RESERVAÇÃO PREDIAL DE ÁGUA - FORNECIMENTO E INSTALAÇÃO. AF_04/2024</t>
  </si>
  <si>
    <t>TUBO, PPR, DN 75 MM, CLASSE PN 12, INSTALADO EM RESERVAÇÃO PREDIAL DE ÁGUA - FORNECIMENTO E INSTALAÇÃO. AF_04/2024</t>
  </si>
  <si>
    <t>TUBO, PPR, DN 75 MM, CLASSE PN 25, INSTALADO EM RESERVAÇÃO PREDIAL DE ÁGUA - FORNECIMENTO E INSTALAÇÃO. AF_04/2024</t>
  </si>
  <si>
    <t>TUBO, PPR, DN 90 MM, CLASSE PN 12, INSTALADO EM RESERVAÇÃO PREDIAL DE ÁGUA - FORNECIMENTO E INSTALAÇÃO. AF_04/2024</t>
  </si>
  <si>
    <t>TUBO, PPR, DN 90 MM, CLASSE PN 25, INSTALADO EM RESERVAÇÃO PREDIAL DE ÁGUA - FORNECIMENTO E INSTALAÇÃO. AF_04/2024</t>
  </si>
  <si>
    <t>TUBO, PVC, SOLDÁVEL, DE 110MM, INSTALADO EM RESERVAÇÃO PREDIAL DE ÁGUA - FORNECIMENTO E INSTALAÇÃO. AF_04/2024</t>
  </si>
  <si>
    <t>TUBO, PVC, SOLDÁVEL, DE 25MM, INSTALADO EM RESERVAÇÃO PREDIAL DE ÁGUA - FORNECIMENTO E INSTALAÇÃO. AF_04/2024</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</si>
  <si>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</si>
  <si>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</si>
  <si>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</si>
  <si>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</si>
  <si>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</si>
  <si>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</si>
  <si>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TÊ COM BUCHA DE LATÃO NA BOLSA CENTRAL, PVC, SOLDÁVEL, DN 25 MM X 3/4", INSTALADO EM RESERVAÇÃO PREDIAL DE ÁGUA - FORNECIMENTO E INSTALAÇÃO. AF_04/2024</t>
  </si>
  <si>
    <t>TÊ DE REDUÇÃO, PVC, SOLDÁVEL, DN 110 MM X 60 MM, INSTALADO EM RESERVAÇÃO PREDIAL DE ÁGUA - FORNECIMENTO E INSTALAÇÃO. AF_04/2024</t>
  </si>
  <si>
    <t>TÊ DE REDUÇÃO, PVC, SOLDÁVEL, DN 32 MM X 25 MM, INSTALADO EM RESERVAÇÃO PREDIAL DE ÁGUA - FORNECIMENTO E INSTALAÇÃO. AF_04/2024</t>
  </si>
  <si>
    <t>TÊ DE REDUÇÃO, PVC, SOLDÁVEL, DN 40 MM X 32 MM, INSTALADO EM RESERVAÇÃO PREDIAL DE ÁGUA - FORNECIMENTO E INSTALAÇÃO. AF_04/2024</t>
  </si>
  <si>
    <t>TÊ DE REDUÇÃO, PVC, SOLDÁVEL, DN 50 MM X 40 MM, INSTALADO EM RESERVAÇÃO PREDIAL DE ÁGUA - FORNECIMENTO E INSTALAÇÃO. AF_04/2024</t>
  </si>
  <si>
    <t>TÊ DE REDUÇÃO, PVC, SOLDÁVEL, DN 75 MM X 50 MM, INSTALADO EM RESERVAÇÃO PREDIAL DE ÁGUA - FORNECIMENTO E INSTALAÇÃO. AF_04/2024</t>
  </si>
  <si>
    <t>TÊ DE REDUÇÃO, PVC, SOLDÁVEL, DN 85 MM X 60 MM,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</si>
  <si>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</si>
  <si>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</si>
  <si>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</si>
  <si>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TÊ, PPR, DN 110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</si>
  <si>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</si>
  <si>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</si>
  <si>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</si>
  <si>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</si>
  <si>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</si>
  <si>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</si>
  <si>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</si>
  <si>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</si>
  <si>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PVC, SOLDÁVEL, DN 110 MM INSTALADO EM RESERVAÇÃO PREDIAL DE ÁGUA - FORNECIMENTO E INSTALAÇÃO. AF_04/2024</t>
  </si>
  <si>
    <t>TÊ, PVC, SOLDÁVEL, DN 25 MM INSTALADO EM RESERVAÇÃO PREDIAL DE ÁGUA - FORNECIMENTO E INSTALAÇÃO. AF_04/2024</t>
  </si>
  <si>
    <t>TÊ, PVC, SOLDÁVEL, DN 32 MM INSTALADO EM RESERVAÇÃO PREDIAL DE ÁGUA - FORNECIMENTO E INSTALAÇÃO. AF_04/2024</t>
  </si>
  <si>
    <t>TÊ, PVC, SOLDÁVEL, DN 40 MM INSTALADO EM RESERVAÇÃO PREDIAL DE ÁGUA - FORNECIMENTO E INSTALAÇÃO. AF_04/2024</t>
  </si>
  <si>
    <t>TÊ, PVC, SOLDÁVEL, DN 50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</si>
  <si>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</si>
  <si>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</si>
  <si>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PVC, SOLDÁVEL, DN 85 MM INSTALADO EM RESERVAÇÃO PREDIAL DE ÁGUA - FORNECIMENTO E INSTALAÇÃO. AF_04/2024</t>
  </si>
  <si>
    <t>UNIÃO FLANGE, PPR, COM PARAFUSOS, DN 40 MM, INSTALADO EM RESERVAÇÃO PREDIAL DE ÁGUA - FORNECIMENTO E INSTALAÇÃO. AF_04/2024</t>
  </si>
  <si>
    <t>UNIÃO FLANGE, PPR, COM PARAFUSOS, DN 50 MM, INSTALADO EM RESERVAÇÃO PREDIAL DE ÁGUA - FORNECIMENTO E INSTALAÇÃO. AF_04/2024</t>
  </si>
  <si>
    <t>UNIÃO FLANGE, PPR, COM PARAFUSOS, DN 63 MM, INSTALADO EM RESERVAÇÃO PREDIAL DE ÁGUA - FORNECIMENTO E INSTALAÇÃO. AF_04/2024</t>
  </si>
  <si>
    <t>UNIÃO FLANGE, PPR, COM PARAFUSOS, DN 75 MM, INSTALADO EM RESERVAÇÃO PREDIAL DE ÁGUA - FORNECIMENTO E INSTALAÇÃO. AF_04/2024</t>
  </si>
  <si>
    <t>UNIÃO FLANGE, PPR, COM PARAFUSOS, DN 90 MM, INSTALADO EM RESERVAÇÃO PREDIAL DE ÁGUA - FORNECIMENTO E INSTALAÇÃO. AF_04/2024</t>
  </si>
  <si>
    <t>CONEXÃO FIXA, ROSCA FÊMEA, METÁLICA, PARA INSTALAÇÕES EM PEX ÁGUA, DN 16 MM X 1/2", COM ANEL DESLIZANTE.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</si>
  <si>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</si>
  <si>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</si>
  <si>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CONEXÃO FIXA, ROSCA FÊMEA, METÁLICA, PARA INSTALAÇÕES EM PEX ÁGUA, DN 25 MM X 1",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</si>
  <si>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</si>
  <si>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32 MM X 1", COM ANEL DESLIZANTE - FORNECIMENTO E INSTALAÇÃO. AF_02/2023</t>
  </si>
  <si>
    <t>CONEXÃO FIXA, ROSCA FÊMEA, PARA INSTALAÇÕES EM PEX ÁGUA, DN 16MM X 1/2",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</si>
  <si>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</si>
  <si>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</si>
  <si>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CONEXÃO FIXA, ROSCA FÊMEA, PARA INSTALAÇÕES EM PEX ÁGUA, DN 25MM X 3/4", CONEXÃO POR CRIMPAGEM - FORNECIMENTO E INSTALAÇÃO. AF_02/2023</t>
  </si>
  <si>
    <t>CONEXÃO FIXA, ROSCA MACHO, PARA INSTALAÇÕES EM PEX ÁGUA, DN 16 MM X 1/2", COM ANEL DESLIZANTE - FORNECIMENTO E INSTALAÇÃO. AF_02/2023</t>
  </si>
  <si>
    <t>CONEXÃO FIXA, ROSCA MACHO, PARA INSTALAÇÕES EM PEX ÁGUA, DN 16 MM X 3/4", COM ANEL DESLIZANTE - FORNECIMENTO E INSTALAÇÃO. AF_02/2023</t>
  </si>
  <si>
    <t>CONEXÃO FIXA, ROSCA MACHO, PARA INSTALAÇÕES EM PEX ÁGUA, DN 20 MM X 1/2", COM ANEL DESLIZANTE - FORNECIMENTO E INSTALAÇÃO. AF_02/2023</t>
  </si>
  <si>
    <t>CONEXÃO FIXA, ROSCA MACHO, PARA INSTALAÇÕES EM PEX ÁGUA, DN 20 MM X 3/4", COM ANEL DESLIZANTE - FORNECIMENTO E INSTALAÇÃO. AF_02/2023</t>
  </si>
  <si>
    <t>CONEXÃO FIXA, ROSCA MACHO, PARA INSTALAÇÕES EM PEX ÁGUA, DN 25 MM X 1", COM ANEL DESLIZANTE - FORNECIMENTO E INSTALAÇÃO. AF_02/2023</t>
  </si>
  <si>
    <t>CONEXÃO FIXA, ROSCA MACHO, PARA INSTALAÇÕES EM PEX ÁGUA, DN 25 MM X 1/2", COM ANEL DESLIZANTE - FORNECIMENTO E INSTALAÇÃO. AF_02/2023</t>
  </si>
  <si>
    <t>CONEXÃO FIXA, ROSCA MACHO, PARA INSTALAÇÕES EM PEX ÁGUA, DN 25 MM X 3/4", COM ANEL DESLIZANTE - FORNECIMENTO E INSTALAÇÃO. AF_02/2023</t>
  </si>
  <si>
    <t>CONEXÃO FIXA, ROSCA MACHO, PARA INSTALAÇÕES EM PEX ÁGUA, DN 32 MM X 1", COM ANEL DESLIZANTE - FORNECIMENTO E INSTALAÇÃO. AF_02/2023</t>
  </si>
  <si>
    <t>CONEXÃO MÓVEL, ROSCA FÊMEA, METÁLICA, PARA INSTALAÇÕES EM PEX ÁGUA, DN 16 MM X 3/4", COM ANEL DESLIZANTE. FORNECIMENTO E INSTALAÇÃO. AF_02/2023</t>
  </si>
  <si>
    <t>CONEXÃO MÓVEL, ROSCA FÊMEA, PARA INSTALAÇÕES EM PEX ÁGUA, DN 16 MM X 1/2", COM ANEL DESLIZANTE - FORNECIMENTO E INSTALAÇÃO. AF_02/2023</t>
  </si>
  <si>
    <t>CONEXÃO MÓVEL, ROSCA FÊMEA, PARA INSTALAÇÕES EM PEX ÁGUA, DN 20 MM X 1/2", COM ANEL DESLIZANTE - FORNECIMENTO E INSTALAÇÃO. AF_02/2023</t>
  </si>
  <si>
    <t>CONEXÃO MÓVEL, ROSCA FÊMEA, PARA INSTALAÇÕES EM PEX ÁGUA, DN 20 MM X 3/4", COM ANEL DESLIZANTE - FORNECIMENTO E INSTALAÇÃO. AF_02/2023</t>
  </si>
  <si>
    <t>CONEXÃO MÓVEL, ROSCA FÊMEA, PARA INSTALAÇÕES EM PEX ÁGUA, DN 25 MM X 1", COM ANEL DESLIZANTE - FORNECIMENTO E INSTALAÇÃO. AF_02/2023</t>
  </si>
  <si>
    <t>CONEXÃO MÓVEL, ROSCA FÊMEA, PARA INSTALAÇÕES EM PEX ÁGUA, DN 25 MM X 3/4", COM ANEL DESLIZANTE - FORNECIMENTO E INSTALAÇÃO. AF_02/2023</t>
  </si>
  <si>
    <t>CONEXÃO MÓVEL, ROSCA FÊMEA, PARA INSTALAÇÕES EM PEX ÁGUA, DN 32 MM X 1", COM ANEL DESLIZANTE - FORNECIMENTO E INSTALAÇÃO. AF_02/2023</t>
  </si>
  <si>
    <t>DISTRIBUIDOR 2 SAÍDAS, METÁLICO, PARA INSTALAÇÕES EM PEX ÁGUA, ENTRADA DE 1" X 2 SAÍDAS DE 1/2", CONEXÃO POR ANEL DESLIZANTE - FORNECIMENTO E INSTALAÇÃO. AF_02/2023</t>
  </si>
  <si>
    <t>DISTRIBUIDOR 2 SAÍDAS, METÁLICO, PARA INSTALAÇÕES EM PEX ÁGUA, ENTRADA DE 3/4" X 2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</si>
  <si>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</si>
  <si>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</si>
  <si>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METÁLICO, PARA INSTALAÇÕES EM PEX ÁGUA, ENTRADA DE 1" X 3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</si>
  <si>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</si>
  <si>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</si>
  <si>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</si>
  <si>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JOELHO 90 GRAUS, METÁLICO, PARA INSTALAÇÕES EM PEX ÁGUA, DN 16 MM, CONEXÃO POR ANEL DESLIZANTE - FORNECIMENTO E INSTALAÇÃO. AF_02/2023</t>
  </si>
  <si>
    <t>JOELHO 90 GRAUS, METÁLICO, PARA INSTALAÇÕES EM PEX ÁGUA, DN 20 MM, CONEXÃO POR ANEL DESLIZANTE - FORNECIMENTO E INSTALAÇÃO. AF_02/2023</t>
  </si>
  <si>
    <t>JOELHO 90 GRAUS, METÁLICO, PARA INSTALAÇÕES EM PEX ÁGUA, DN 25 MM,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</si>
  <si>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</si>
  <si>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</si>
  <si>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PARA INSTALAÇÕES EM PEX ÁGUA, DN 20 MM, CONEXÃO POR CRIMPAGEM - FORNECIMENTO E INSTALAÇÃO. AF_02/2023</t>
  </si>
  <si>
    <t>JOELHO 90 GRAUS, PARA INSTALAÇÕES EM PEX ÁGUA, DN 25 MM, CONEXÃO POR CRIMPAGEM - FORNECIMENTO E INSTALAÇÃO. AF_02/2023</t>
  </si>
  <si>
    <t>JOELHO 90 GRAUS, ROSCA FÊMEA TERMINAL, METÁLICO, PARA INSTALAÇÕES EM PEX ÁGUA, DN 16MM X 1/2",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</si>
  <si>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</si>
  <si>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</si>
  <si>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90 GRAUS, ROSCA FÊMEA TERMINAL, METÁLICO, PARA INSTALAÇÕES EM PEX ÁGUA, DN 25 MM X 3/4", CONEXÃO POR ANEL DESLIZANTE - FORNECIMENTO E INSTALAÇÃO. AF_02/2023</t>
  </si>
  <si>
    <t>JOELHO 90 GRAUS, ROSCA FÊMEA TERMINAL, PARA INSTALAÇÕES EM PEX ÁGUA, DN 16MM X 1/2",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</si>
  <si>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</si>
  <si>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</si>
  <si>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ROSCA FÊMEA TERMINAL, PARA INSTALAÇÕES EM PEX ÁGUA, DN 25 MM X 3/4", FIXAÇÃO DAS CONEXÕES POR CRIMPAGEM - FORNECIMENTO E INSTALAÇÃO. AF_02/2023</t>
  </si>
  <si>
    <t>JOELHO 90 GRAUS, ROSCA FÊMEA TERMINAL, PARA INSTALAÇÕES EM PEX ÁGUA, DN 25MM X 1/2", CONEXÃO POR CRIMPAGEM - FORNECIMENTO E INSTALAÇÃO. AF_02/2023</t>
  </si>
  <si>
    <t>JOELHO 90 GRAUS, ROSCA MACHO TERMINAL, PARA INSTALAÇÕES EM PEX ÁGUA, DN 16 MM X 1/2", COM ANEL DESLIZANTE - FORNECIMENTO E INSTALAÇÃO. AF_02/2023</t>
  </si>
  <si>
    <t>JOELHO 90 GRAUS, ROSCA MACHO TERMINAL, PARA INSTALAÇÕES EM PEX ÁGUA, DN 20 MM X 1/2", FIXAÇÃO DAS CONEXÕES POR CRIMPAGEM - FORNECIMENTO E INSTALAÇÃO. AF_02/2023</t>
  </si>
  <si>
    <t>JOELHO 90 GRAUS, ROSCA MACHO TERMINAL, PARA INSTALAÇÕES EM PEX ÁGUA, DN 20 MM X 3/4", FIXAÇÃO DAS CONEXÕES POR CRIMPAGEM - FORNECIMENTO E INSTALAÇÃO. AF_02/2023</t>
  </si>
  <si>
    <t>JOELHO 90 GRAUS, ROSCA MACHO TERMINAL, PARA INSTALAÇÕES EM PEX ÁGUA, DN 25 MM X 1", COM ANEL DESLIZANTE - FORNECIMENTO E INSTALAÇÃO. AF_02/2023</t>
  </si>
  <si>
    <t>JOELHO 90 GRAUS, ROSCA MACHO TERMINAL, PARA INSTALAÇÕES EM PEX ÁGUA, DN 25 MM X 1/2", COM ANEL DESLIZANTE - FORNECIMENTO E INSTALAÇÃO. AF_02/2023</t>
  </si>
  <si>
    <t>JOELHO 90 GRAUS, ROSCA MACHO TERMINAL, PARA INSTALAÇÕES EM PEX ÁGUA, DN 25 MM X 3/4", FIXAÇÃO DAS CONEXÕES POR CRIMPAGEM - FORNECIMENTO E INSTALAÇÃO. AF_02/2023</t>
  </si>
  <si>
    <t>JOELHO 90 GRAUS, ROSCA MACHO TERMINAL, PARA INSTALAÇÕES EM PEX ÁGUA, DN 32 MM X 1", COM ANEL DESLIZANTE - FORNECIMENTO E INSTALAÇÃO. AF_02/2023</t>
  </si>
  <si>
    <t>JOELHO ROSCA FÊMEA MÓVEL, PARA INSTALAÇÕES EM PEX ÁGUA, DN 16 MM X 1/2", COM ANEL DESLIZANTE - FORNECIMENTO E INSTALAÇÃO. AF_02/2023</t>
  </si>
  <si>
    <t>JOELHO ROSCA FÊMEA MÓVEL, PARA INSTALAÇÕES EM PEX ÁGUA, DN 20 MM X 1/2", COM ANEL DESLIZANTE - FORNECIMENTO E INSTALAÇÃO. AF_02/2023</t>
  </si>
  <si>
    <t>JOELHO ROSCA FÊMEA MÓVEL, PARA INSTALAÇÕES EM PEX ÁGUA, DN 25 MM X 3/4", COM ANEL DESLIZANTE - FORNECIMENTO E INSTALAÇÃO. AF_02/2023</t>
  </si>
  <si>
    <t>JOELHO ROSCA FÊMEA, COM BASE FIXA, METÁLICO, PARA INSTALAÇÕES EM PEX ÁGUA, DN 20MM X 1/2", CONEXÃO POR ANEL DESLIZANTE - FORNECIMENTO E INSTALAÇÃO. AF_02/2023</t>
  </si>
  <si>
    <t>JOELHO ROSCA FÊMEA, COM BASE FIXA, METÁLICO, PARA INSTALAÇÕES EM PEX ÁGUA, DN 25MM X 3/4", CONEXÃO POR ANEL DESLIZANTE - FORNECIMENTO E INSTALAÇÃO. AF_02/2023</t>
  </si>
  <si>
    <t>JOELHO ROSCA FÊMEA, MÓVEL, METÁLICO, PARA INSTALAÇÕES EM PEX ÁGUA, DN 20MM X 3/4", CONEXÃO POR ANEL DESLIZANTE - FORNECIMENTO E INSTALAÇÃO. AF_02/2023</t>
  </si>
  <si>
    <t>JOELHO, ROSCA FÊMEA, COM BASE FIXA, METÁLICO, PARA INSTALAÇÕES EM PEX ÁGUA, DN 16MM X 1/2", CONEXÃO POR ANEL DESLIZANTE - FORNECIMENTO E INSTALAÇÃO. AF_02/2023</t>
  </si>
  <si>
    <t>JOELHO, ROSCA FÊMEA, COM BASE FIXA, PARA INSTALAÇÕES EM PEX ÁGUA, DN 16 MM X 3/4", FIXAÇÃO DAS CONEXÕES POR CRIMPAGEM - FORNECIMENTO E INSTALAÇÃO. AF_02/2023</t>
  </si>
  <si>
    <t>JOELHO, ROSCA FÊMEA, COM BASE FIXA, PARA INSTALAÇÕES EM PEX ÁGUA, DN 20 MM X 3/4", FIXAÇÃO DAS CONEXÕES POR CRIMPAGEM - FORNECIMENTO E INSTALAÇÃO. AF_02/2023</t>
  </si>
  <si>
    <t>JOELHO, ROSCA FÊMEA, COM BASE FIXA, PARA INSTALAÇÕES EM PEX ÁGUA, DN 25 MM X 1/2", FIXAÇÃO DAS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</si>
  <si>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</si>
  <si>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</si>
  <si>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ANEL DESLIZANTE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</si>
  <si>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</si>
  <si>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ANEL DESLIZANTE - FORNECIMENTO E INSTALAÇÃO. AF_02/2023</t>
  </si>
  <si>
    <t>KIT CHASSI PEX, PRÉ-FABRICADO, PARA ÁREA DE SERVIÇO COM TANQUE E MÁQUINA DE LAVAR ROUPA, INCLUSO QUADRO METÁLICO, TUBOS E CONEXÕES POR CRIMPAGEM - FORNECIMENTO E INSTALAÇÃO. AF_02/2023</t>
  </si>
  <si>
    <t>LUVA DE REDUÇÃO PARA INSTALAÇÕES EM PEX ÁGUA, DN 20 X 16 MM, CONEXÃO POR CRIMPAGEM - FORNECIMENTO E INSTALAÇÃO. AF_02/2023</t>
  </si>
  <si>
    <t>LUVA DE REDUÇÃO PARA INSTALAÇÕES EM PEX ÁGUA, DN 25 X 16 MM, CONEXÃO POR CRIMPAGEM - FORNECIMENTO E INSTALAÇÃO. AF_02/2023</t>
  </si>
  <si>
    <t>LUVA DE REDUÇÃO PARA INSTALAÇÕES EM PEX ÁGUA, DN 32 X 25 MM, CONEXÃO POR CRIMPAGEM - FORNECIMENTO E INSTALAÇÃO. AF_02/2023</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</si>
  <si>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</si>
  <si>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</si>
  <si>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</si>
  <si>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20 MM, FIXAÇÃO DAS CONEXÕES POR CRIMPAGEM - FORNECIMENTO E INSTALAÇÃO. AF_02/2023</t>
  </si>
  <si>
    <t>LUVA DE REDUÇÃO, PARA INSTALAÇÕES EM PEX ÁGUA, DN 32 X 25 MM, COM ANEL DESLIZANTE - FORNECIMENTO E INSTALAÇÃO. AF_02/2023</t>
  </si>
  <si>
    <t>LUVA PARA INSTALAÇÕES EM PEX ÁGUA, DN 16 MM, CONEXÃO POR CRIMPAGEM - FORNECIMENTO E INSTALAÇÃO. AF_02/2023</t>
  </si>
  <si>
    <t>LUVA PARA INSTALAÇÕES EM PEX ÁGUA, DN 20 MM, CONEXÃO POR CRIMPAGEM - FORNECIMENTO E INSTALAÇÃO. AF_02/2023</t>
  </si>
  <si>
    <t>LUVA PARA INSTALAÇÕES EM PEX ÁGUA, DN 25 MM, CONEXÃO POR CRIMPAGEM - FORNECIMENTO E INSTALAÇÃO. AF_02/2023</t>
  </si>
  <si>
    <t>LUVA PARA INSTALAÇÕES EM PEX ÁGUA, DN 32 MM, CONEXÃO POR CRIMPAGEM - FORNECIMENTO E INSTALAÇÃO. AF_02/2023</t>
  </si>
  <si>
    <t>LUVA, PARA INSTALAÇÕES EM PEX ÁGUA, DN 16 MM, COM ANEL DESLIZANTE - FORNECIMENTO E INSTALAÇÃO. AF_02/2023</t>
  </si>
  <si>
    <t>LUVA, PARA INSTALAÇÕES EM PEX ÁGUA, DN 20 MM, COM ANEL DESLIZANTE - FORNECIMENTO E INSTALAÇÃO. AF_02/2023</t>
  </si>
  <si>
    <t>LUVA, PARA INSTALAÇÕES EM PEX ÁGUA, DN 25 MM, COM ANEL DESLIZANTE - FORNECIMENTO E INSTALAÇÃO. AF_02/2023</t>
  </si>
  <si>
    <t>LUVA, PARA INSTALAÇÕES EM PEX ÁGUA, DN 32 MM, COM ANEL DESLIZANTE - FORNECIMENTO E INSTALAÇÃO. AF_02/2023</t>
  </si>
  <si>
    <t>TAMPÃO / CAP, ROSCA FÊMEA, PARA INSTALAÇÕES EM PEX ÁGUA, DN 1/2" - FORNECIMENTO E INSTALAÇÃO. AF_02/2023</t>
  </si>
  <si>
    <t>TAMPÃO / CAP, ROSCA FÊMEA, PARA INSTALAÇÕES EM PEX ÁGUA, DN 3/4" - FORNECIMENTO E INSTALAÇÃO. AF_02/2023</t>
  </si>
  <si>
    <t>TAMPÃO / CAP, ROSCA MACHO, PARA INSTALAÇÕES EM PEX ÁGUA, DN 1/2" - FORNECIMENTO E INSTALAÇÃO. AF_02/2023</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</si>
  <si>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</si>
  <si>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</si>
  <si>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</si>
  <si>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</si>
  <si>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TÊ DE REDUÇÃO, PARA INSTALAÇÕES EM PEX ÁGUA, DN 16 X 20 X 16 MM, COM ANEL DESLIZANTE - FORNECIMENTO E INSTALAÇÃO. AF_02/2023</t>
  </si>
  <si>
    <t>TÊ DE REDUÇÃO, PARA INSTALAÇÕES EM PEX ÁGUA, DN 16 X 25 X 16 MM, COM ANEL DESLIZANTE - FORNECIMENTO E INSTALAÇÃO. AF_02/2023</t>
  </si>
  <si>
    <t>TÊ DE REDUÇÃO, PARA INSTALAÇÕES EM PEX ÁGUA, DN 20 X 16 X 16 MM, COM ANEL DESLIZANTE - FORNECIMENTO E INSTALAÇÃO. AF_02/2023</t>
  </si>
  <si>
    <t>TÊ DE REDUÇÃO, PARA INSTALAÇÕES EM PEX ÁGUA, DN 20 X 16 X 20 MM, COM ANEL DESLIZANTE - FORNECIMENTO E INSTALAÇÃO. AF_02/2023</t>
  </si>
  <si>
    <t>TÊ DE REDUÇÃO, PARA INSTALAÇÕES EM PEX ÁGUA, DN 20 X 20 X 16 MM, COM ANEL DESLIZANTE - FORNECIMENTO E INSTALAÇÃO. AF_02/2023</t>
  </si>
  <si>
    <t>TÊ DE REDUÇÃO, PARA INSTALAÇÕES EM PEX ÁGUA, DN 20 X 25 X 20 MM, COM ANEL DESLIZANTE - FORNECIMENTO E INSTALAÇÃO. AF_02/2023</t>
  </si>
  <si>
    <t>TÊ DE REDUÇÃO, PARA INSTALAÇÕES EM PEX ÁGUA, DN 25 X 16 X 16 MM, COM ANEL DESLIZANTE - FORNECIMENTO E INSTALAÇÃO. AF_02/2023</t>
  </si>
  <si>
    <t>TÊ DE REDUÇÃO, PARA INSTALAÇÕES EM PEX ÁGUA, DN 25 X 16 X 20 MM, COM ANEL DESLIZANTE - FORNECIMENTO E INSTALAÇÃO. AF_02/2023</t>
  </si>
  <si>
    <t>TÊ DE REDUÇÃO, PARA INSTALAÇÕES EM PEX ÁGUA, DN 25 X 16 X 25 MM, COM ANEL DESLIZANTE - FORNECIMENTO E INSTALAÇÃO. AF_02/2023</t>
  </si>
  <si>
    <t>TÊ DE REDUÇÃO, PARA INSTALAÇÕES EM PEX ÁGUA, DN 25 X 20 X 20 MM, COM ANEL DESLIZANTE - FORNECIMENTO E INSTALAÇÃO. AF_02/2023</t>
  </si>
  <si>
    <t>TÊ DE REDUÇÃO, PARA INSTALAÇÕES EM PEX ÁGUA, DN 25 X 20 X 25 MM, COM ANEL DESLIZANTE - FORNECIMENTO E INSTALAÇÃO. AF_02/2023</t>
  </si>
  <si>
    <t>TÊ DE REDUÇÃO, PARA INSTALAÇÕES EM PEX ÁGUA, DN 25 X 32 X 25 MM, COM ANEL DESLIZANTE - FORNECIMENTO E INSTALAÇÃO. AF_02/2023</t>
  </si>
  <si>
    <t>TÊ DE REDUÇÃO, PARA INSTALAÇÕES EM PEX ÁGUA, DN 32 X 20 X 32 MM, COM ANEL DESLIZANTE - FORNECIMENTO E INSTALAÇÃO. AF_02/2023</t>
  </si>
  <si>
    <t>TÊ DE REDUÇÃO, PARA INSTALAÇÕES EM PEX ÁGUA, DN 32 X 25 X 25 MM, COM ANEL DESLIZANTE - FORNECIMENTO E INSTALAÇÃO. AF_02/2023</t>
  </si>
  <si>
    <t>TÊ DE REDUÇÃO, PARA INSTALAÇÕES EM PEX ÁGUA, DN 32 X 25 X 32 MM, COM ANEL DESLIZANTE - FORNECIMENTO E INSTALAÇÃO. AF_02/2023</t>
  </si>
  <si>
    <t>TÊ MISTURADOR, PARA INSTALAÇÕES EM PEX ÁGUA, DN 16 MM X 1/2", COM ANEL DESLIZANTE - FORNECIMENTO E INSTALAÇÃO. AF_02/2023</t>
  </si>
  <si>
    <t>TÊ MISTURADOR, PARA INSTALAÇÕES EM PEX ÁGUA, DN 20 MM X 3/4", COM ANEL DESLIZANTE - FORNECIMENTO E INSTALAÇÃO. AF_02/2023</t>
  </si>
  <si>
    <t>TÊ ROSCA FÊMEA, PARA INSTALAÇÕES EM PEX ÁGUA, DN 20 MM X 3/4", COM ANEL DESLIZANTE - FORNECIMENTO E INSTALAÇÃO. AF_02/2023</t>
  </si>
  <si>
    <t>TÊ ROSCA FÊMEA, PARA INSTALAÇÕES EM PEX ÁGUA, DN 25 MM X 1/2", COM ANEL DESLIZANTE - FORNECIMENTO E INSTALAÇÃO. AF_02/2023</t>
  </si>
  <si>
    <t>TÊ ROSCA MACHO, PARA INSTALAÇÕES EM PEX ÁGUA, DN 16 MM X 1/2", COM ANEL DESLIZANTE - FORNECIMENTO E INSTALAÇÃO. AF_02/2023</t>
  </si>
  <si>
    <t>TÊ ROSCA MACHO, PARA INSTALAÇÕES EM PEX ÁGUA, DN 20 MM X 1/2", COM ANEL DESLIZANTE - FORNECIMENTO E INSTALAÇÃO. AF_02/2023</t>
  </si>
  <si>
    <t>TÊ ROSCA MACHO, PARA INSTALAÇÕES EM PEX ÁGUA, DN 20 MM X 3/4", COM ANEL DESLIZANTE - FORNECIMENTO E INSTALAÇÃO. AF_02/2023</t>
  </si>
  <si>
    <t>TÊ ROSCA MACHO, PARA INSTALAÇÕES EM PEX ÁGUA, DN 25 MM X 3/4", COM ANEL DESLIZANTE - FORNECIMENTO E INSTALAÇÃO. AF_02/2023</t>
  </si>
  <si>
    <t>TÊ ROSCA MACHO, PARA INSTALAÇÕES EM PEX ÁGUA, DN 32 MM X 3/4", COM ANEL DESLIZANTE - FORNECIMENTO E INSTALAÇÃO. AF_02/2023</t>
  </si>
  <si>
    <t>TÊ, METÁLICO, PARA INSTALAÇÕES EM PEX ÁGUA, DN 16 MM, CONEXÃO POR ANEL DESLIZANTE - FORNECIMENTO E INSTALAÇÃO. AF_02/2023</t>
  </si>
  <si>
    <t>TÊ, METÁLICO, PARA INSTALAÇÕES EM PEX ÁGUA, DN 20 MM, CONEXÃO POR ANEL DESLIZANTE - FORNECIMENTO E INSTALAÇÃO. AF_02/2023</t>
  </si>
  <si>
    <t>TÊ, METÁLICO, PARA INSTALAÇÕES EM PEX ÁGUA, DN 25 MM,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</si>
  <si>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</si>
  <si>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</si>
  <si>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</si>
  <si>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</si>
  <si>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</si>
  <si>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TÊ, ROSCA FÊMEA, METÁLICO, PARA INSTALAÇÕES EM PEX ÁGUA, DN 16 MM X ½", CONEXÃO POR ANEL DESLIZANTE - FORNECIMENTO E INSTALAÇÃO. AF_02/2023</t>
  </si>
  <si>
    <t>TÊ, ROSCA FÊMEA, METÁLICO, PARA INSTALAÇÕES EM PEX ÁGUA, DN 20 MM X 1/2", CONEXÃO POR ANEL DESLIZANTE - FORNECIMENTO E INSTALAÇÃO. AF_02/2023</t>
  </si>
  <si>
    <t>TÊ, ROSCA FÊMEA, METÁLICO, PARA INSTALAÇÕES EM PEX ÁGUA, DN 25 MM X 3/4", CONEXÃO POR ANEL DESLIZANTE - FORNECIMENTO E INSTALAÇÃO. AF_02/2023</t>
  </si>
  <si>
    <t>UNIÃO DE REDUÇÃO, METÁLICA, PARA INSTALAÇÕES EM PEX ÁGUA, DN 20 X 16 MM, CONEXÃO POR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</si>
  <si>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</si>
  <si>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</si>
  <si>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DE REDUÇÃO, METÁLICA, PARA INSTALAÇÕES EM PEX ÁGUA, DN 32 X 25 MM, CONEXÃO POR ANEL DESLIZANTE - FORNECIMENTO E INSTALAÇÃO. AF_02/2023</t>
  </si>
  <si>
    <t>UNIÃO METÁLICA PARA INSTALAÇÕES EM PEX ÁGUA, DN 16 MM, COM ANEL DESLIZANTE - FORNECIMENTO E INSTALAÇÃO. AF_02/2023</t>
  </si>
  <si>
    <t>UNIÃO METÁLICA PARA INSTALAÇÕES EM PEX ÁGUA, DN 20 MM, COM ANEL DESLIZANTE - FORNECIMENTO E INSTALAÇÃO. AF_02/2023</t>
  </si>
  <si>
    <t>UNIÃO METÁLICA PARA INSTALAÇÕES EM PEX ÁGUA, DN 25 MM, COM ANEL DESLIZANTE - FORNECIMENTO E INSTALAÇÃO. AF_02/2023</t>
  </si>
  <si>
    <t>UNIÃO METÁLICA PARA INSTALAÇÕES EM PEX ÁGUA, DN 32 MM, COM ANEL DESLIZANTE - FORNECIMENTO E INSTALAÇÃO. AF_02/2023</t>
  </si>
  <si>
    <t>BUCHA DE REDUÇÃO, PPR, 32 X 25, CLASSE PN 25, INSTALADO EM PRUMADA DE ÁGUA FORNECIMENTO E INSTALAÇÃO . AF_08/2022</t>
  </si>
  <si>
    <t>BUCHA DE REDUÇÃO, PPR, 32 X 25, CLASSE PN 25, INSTALADO EM RAMAL DE DISTRIBUIÇÃO DE ÁGUA FORNECIMENTO E INSTALAÇÃO. AF_08/2022</t>
  </si>
  <si>
    <t>BUCHA DE REDUÇÃO, PPR, 40 X 25, CLASSE PN 25, INSTALADO EM PRUMADA DE ÁGUA FORNECIMENTO E INSTALAÇÃO . AF_08/2022</t>
  </si>
  <si>
    <t>BUCHA DE REDUÇÃO, PPR, 40 X 25, CLASSE PN 25, INSTALADO EM RAMAL DE DISTRIBUIÇÃO DE ÁGUA FORNECIMENTO E INSTALAÇÃO. AF_08/2022</t>
  </si>
  <si>
    <t>BUCHA DE REDUÇÃO, PPR, DN 25 X 20 MM, INSTALADO EM RAMAL OU SUB-RAMAL DE ÁGUA - FORNECIMENTO E INSTALAÇÃO. AF_08/2022</t>
  </si>
  <si>
    <t>CONECTOR FÊMEA, PPR, 25 X 1/2", CLASSE PN 25, INSTALADO EM PRUMADA DE ÁGUA FORNECIMENTO E INSTALAÇÃO . AF_08/2022</t>
  </si>
  <si>
    <t>CONECTOR FÊMEA, PPR, 25 X 1/2, CLASSE PN 25, INSTALADO EM RAMAL DE DISTRIBUIÇÃO DE ÁGUA FORNECIMENTO E INSTALAÇÃO. AF_08/2022</t>
  </si>
  <si>
    <t>CONECTOR FÊMEA, PPR, 25 X 1/2, CLASSE PN 25, INSTALADO EM RAMAL OU SUB-RAMAL DE ÁGUA FORNECIMENTO E INSTALAÇÃO. AF_08/2022</t>
  </si>
  <si>
    <t>CONECTOR FÊMEA, PPR, 32 X 3/4", CLASSE PN 25, INSTALADO EM RAMAL DE DISTRIBUIÇÃO DE ÁGUA FORNECIMENTO E INSTALAÇÃO. AF_08/2022</t>
  </si>
  <si>
    <t>CONECTOR MACHO, PPR, 25 X 1/2", CLASSE PN 25, INSTALADO EM PRUMADA DE ÁGUA FORNECIMENTO E INSTALAÇÃO . AF_08/2022</t>
  </si>
  <si>
    <t>CONECTOR MACHO, PPR, 25 X 1/2, CLASSE PN 25, INSTALADO EM RAMAL DE DISTRIBUIÇÃO DE ÁGUA FORNECIMENTO E INSTALAÇÃO. AF_08/2022</t>
  </si>
  <si>
    <t>CONECTOR MACHO, PPR, 25 X 1/2, CLASSE PN 25, INSTALADO EM RAMAL OU SUB-RAMAL DE ÁGUA FORNECIMENTO E INSTALAÇÃO. AF_08/2022</t>
  </si>
  <si>
    <t>CONECTOR MACHO, PPR, 32 X 3/4", CLASSE PN 25, INSTALADO EM RAMAL DE DISTRIBUIÇÃO DE ÁGUA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</si>
  <si>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</si>
  <si>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</si>
  <si>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</si>
  <si>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45 GRAUS, PPR, DN 25 MM, CLASSE PN 25, INSTALADO EM PRUMADA DE ÁGUA FORNECIMENTO E INSTALAÇÃO . AF_08/2022</t>
  </si>
  <si>
    <t>JOELHO 45 GRAUS, PPR, DN 25 MM, CLASSE PN 25, INSTALADO EM RAMAL DE DISTRIBUIÇÃO DE ÁGUA FORNECIMENTO E INSTALAÇÃO. AF_08/2022</t>
  </si>
  <si>
    <t>JOELHO 45 GRAUS, PPR, DN 25 MM, CLASSE PN 25, INSTALADO EM RAMAL OU SUB-RAMAL DE ÁGUA FORNECIMENTO E INSTALAÇÃO. AF_08/2022</t>
  </si>
  <si>
    <t>JOELHO 45 GRAUS, PPR, DN 32 MM, CLASSE PN 25, INSTALADO EM PRUMADA DE ÁGUA FORNECIMENTO E INSTALAÇÃO . AF_08/2022</t>
  </si>
  <si>
    <t>JOELHO 45 GRAUS, PPR, DN 32 MM, CLASSE PN 25, INSTALADO EM RAMAL DE DISTRIBUIÇÃO DE ÁGUA - FORNECIMENTO E INSTALAÇÃO. AF_08/2022</t>
  </si>
  <si>
    <t>JOELHO 45 GRAUS, PPR, DN 40 MM, CLASSE PN 25, INSTALADO EM PRUMADA DE ÁGUA FORNECIMENTO E INSTALAÇÃO . AF_08/2022</t>
  </si>
  <si>
    <t>JOELHO 45 GRAUS, PPR, DN 40 MM, CLASSE PN 25, INSTALADO EM RAMAL DE DISTRIBUIÇÃO DE ÁGUA - FORNECIMENTO E INSTALAÇÃO. AF_08/2022</t>
  </si>
  <si>
    <t>JOELHO 45 GRAUS, PPR, DN 50 MM, CLASSE PN 25, INSTALADO EM PRUMADA DE ÁGUA FORNECIMENTO E INSTALAÇÃO . AF_08/2022</t>
  </si>
  <si>
    <t>JOELHO 45 GRAUS, PPR, DN 63 MM, CLASSE PN 25, INSTALADO EM PRUMADA DE ÁGUA FORNECIMENTO E INSTALAÇÃO . AF_08/2022</t>
  </si>
  <si>
    <t>JOELHO 45 GRAUS, PPR, DN 75 MM, CLASSE PN 25, INSTALADO EM PRUMADA DE ÁGUA FORNECIMENTO E INSTALAÇÃO . AF_08/2022</t>
  </si>
  <si>
    <t>JOELHO 45 GRAUS, PPR, F/ F, DN 90 MM, INSTALADO EM PRUMADA DE ÁGUA - FORNECIMENTO E INSTALAÇÃO. AF_08/2022</t>
  </si>
  <si>
    <t>JOELHO 90 GRAUS, PPR, DN 110 MM, CLASSE PN 25, INSTALADO EM PRUMADA DE ÁGUA FORNECIMENTO E INSTALAÇÃO . AF_08/2022</t>
  </si>
  <si>
    <t>JOELHO 90 GRAUS, PPR, DN 20 MM, INSTALADO EM RAMAL OU SUB-RAMAL DE ÁGUA - FORNECIMENTO E INSTALAÇÃO. AF_08/2022</t>
  </si>
  <si>
    <t>JOELHO 90 GRAUS, PPR, DN 25 MM, CLASSE PN 25, INSTALADO EM PRUMADA DE ÁGUA FORNECIMENTO E INSTALAÇÃO . AF_08/2022</t>
  </si>
  <si>
    <t>JOELHO 90 GRAUS, PPR, DN 25 MM, CLASSE PN 25, INSTALADO EM RAMAL DE DISTRIBUIÇÃO FORNECIMENTO E INSTALAÇÃO. AF_08/2022</t>
  </si>
  <si>
    <t>JOELHO 90 GRAUS, PPR, DN 25 MM, CLASSE PN 25, INSTALADO EM RAMAL OU SUB-RAMAL DE ÁGUA FORNECIMENTO E INSTALAÇÃO. AF_08/2022</t>
  </si>
  <si>
    <t>JOELHO 90 GRAUS, PPR, DN 32 MM, CLASSE PN 25, INSTALADO EM PRUMADA DE ÁGUA FORNECIMENTO E INSTALAÇÃO . AF_08/2022</t>
  </si>
  <si>
    <t>JOELHO 90 GRAUS, PPR, DN 32 MM, CLASSE PN 25, INSTALADO EM RAMAL DE DISTRIBUIÇÃO - FORNECIMENTO E INSTALAÇÃO. AF_08/2022</t>
  </si>
  <si>
    <t>JOELHO 90 GRAUS, PPR, DN 40 MM, CLASSE PN 25, INSTALADO EM PRUMADA DE ÁGUA FORNECIMENTO E INSTALAÇÃO . AF_08/2022</t>
  </si>
  <si>
    <t>JOELHO 90 GRAUS, PPR, DN 40 MM, CLASSE PN 25, INSTALADO EM RAMAL DE DISTRIBUIÇÃO - FORNECIMENTO E INSTALAÇÃO. AF_08/2022</t>
  </si>
  <si>
    <t>JOELHO 90 GRAUS, PPR, DN 50 MM, CLASSE PN 25, INSTALADO EM PRUMADA DE ÁGUA FORNECIMENTO E INSTALAÇÃO . AF_08/2022</t>
  </si>
  <si>
    <t>JOELHO 90 GRAUS, PPR, DN 63 MM, CLASSE PN 25, INSTALADO EM PRUMADA DE ÁGUA FORNECIMENTO E INSTALAÇÃO . AF_08/2022</t>
  </si>
  <si>
    <t>JOELHO 90 GRAUS, PPR, DN 75 MM, CLASSE PN 25, INSTALADO EM PRUMADA DE ÁGUA FORNECIMENTO E INSTALAÇÃO . AF_08/2022</t>
  </si>
  <si>
    <t>JOELHO 90 GRAUS, PPR, DN 90 MM, CLASSE PN 25, INSTALADO EM PRUMADA DE ÁGUA FORNECIMENTO E INSTALAÇÃO . AF_08/2022</t>
  </si>
  <si>
    <t>LUVA, PPR, DN 110 MM, CLASSE PN 25, INSTALADO EM PRUMADA DE ÁGUA FORNECIMENTO E INSTALAÇÃO. AF_08/2022</t>
  </si>
  <si>
    <t>LUVA, PPR, DN 20 MM, INSTALADO EM RAMAL OU SUB-RAMAL DE ÁGUA - FORNECIMENTO E INSTALAÇÃO. AF_08/2022</t>
  </si>
  <si>
    <t>LUVA, PPR, DN 25 MM, CLASSE PN 25, INSTALADO EM PRUMADA DE ÁGUA FORNECIMENTO E INSTALAÇÃO . AF_08/2022</t>
  </si>
  <si>
    <t>LUVA, PPR, DN 25 MM, CLASSE PN 25, INSTALADO EM RAMAL DE DISTRIBUIÇÃO DE ÁGUA FORNECIMENTO E INSTALAÇÃO. AF_08/2022</t>
  </si>
  <si>
    <t>LUVA, PPR, DN 25 MM, CLASSE PN 25, INSTALADO EM RAMAL OU SUB-RAMAL DE ÁGUA FORNECIMENTO E INSTALAÇÃO. AF_08/2022</t>
  </si>
  <si>
    <t>LUVA, PPR, DN 32 MM, CLASSE PN 25, INSTALADO EM PRUMADA DE ÁGUA FORNECIMENTO E INSTALAÇÃO. AF_08/2022</t>
  </si>
  <si>
    <t>LUVA, PPR, DN 32 MM, CLASSE PN 25, INSTALADO EM RAMAL DE DISTRIBUIÇÃO DE ÁGUA FORNECIMENTO E INSTALAÇÃO. AF_08/2022</t>
  </si>
  <si>
    <t>LUVA, PPR, DN 40 MM, CLASSE PN 25, INSTALADO EM PRUMADA DE ÁGUA FORNECIMENTO E INSTALAÇÃO. AF_08/2022</t>
  </si>
  <si>
    <t>LUVA, PPR, DN 40 MM, CLASSE PN 25, INSTALADO EM RAMAL DE DISTRIBUIÇÃO DE ÁGUA FORNECIMENTO E INSTALAÇÃO.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</si>
  <si>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</si>
  <si>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</si>
  <si>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</si>
  <si>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</si>
  <si>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TUBO, PPR, DN 110, CLASSE PN 12, INSTALADO EM PRUMADA DE ÁGUA FORNECIMENTO E INSTALAÇÃO. AF_08/2022</t>
  </si>
  <si>
    <t>TUBO, PPR, DN 110, CLASSE PN 25, INSTALADO EM PRUMADA DE ÁGUA FORNECIMENTO E INSTALAÇÃO. AF_08/2022</t>
  </si>
  <si>
    <t>TUBO, PPR, DN 20, CLASSE PN20, INSTALADO EM RAMAL OU SUB-RAMAL DE ÁGUA - FORNECIMENTO E INSTALAÇÃO. AF_08/2022</t>
  </si>
  <si>
    <t>TUBO, PPR, DN 20, CLASSE PN25, INSTALADO EM RAMAL OU SUB-RAMAL DE ÁGUA - FORNECIMENTO E INSTALAÇÃO. AF_08/2022</t>
  </si>
  <si>
    <t>TUBO, PPR, DN 25, CLASSE PN 20, INSTALADO EM PRUMADA DE ÁGUA FORNECIMENTO E INSTALAÇÃO. AF_08/2022</t>
  </si>
  <si>
    <t>TUBO, PPR, DN 25, CLASSE PN 20, INSTALADO EM RAMAL DE DISTRIBUIÇÃO DE ÁGUA FORNECIMENTO E INSTALAÇÃO. AF_08/2022</t>
  </si>
  <si>
    <t>TUBO, PPR, DN 25, CLASSE PN 20, INSTALADO EM RAMAL OU SUB-RAMAL DE ÁGUA FORNECIMENTO E INSTALAÇÃO. AF_08/2022</t>
  </si>
  <si>
    <t>TUBO, PPR, DN 25, CLASSE PN 25 INSTALADO EM RAMAL OU SUB-RAMAL DE ÁGUA FORNECIMENTO E INSTALAÇÃO. AF_08/2022</t>
  </si>
  <si>
    <t>TUBO, PPR, DN 25, CLASSE PN 25, INSTALADO EM PRUMADA DE ÁGUA FORNECIMENTO E INSTALAÇÃO. AF_08/2022</t>
  </si>
  <si>
    <t>TUBO, PPR, DN 25, CLASSE PN 25, INSTALADO EM RAMAL DE DISTRIBUIÇÃO DE ÁGUA FORNECIMENTO E INSTALAÇÃO. AF_08/2022</t>
  </si>
  <si>
    <t>TUBO, PPR, DN 32, CLASSE PN 12, INSTALADO EM PRUMADA DE ÁGUA FORNECIMENTO E INSTALAÇÃO. AF_08/2022</t>
  </si>
  <si>
    <t>TUBO, PPR, DN 32, CLASSE PN 12, INSTALADO EM RAMAL DE DISTRIBUIÇÃO DE ÁGUA FORNECIMENTO E INSTALAÇÃO. AF_08/2022</t>
  </si>
  <si>
    <t>TUBO, PPR, DN 32, CLASSE PN 25, INSTALADO EM PRUMADA DE ÁGUA FORNECIMENTO E INSTALAÇÃO. AF_08/2022</t>
  </si>
  <si>
    <t>TUBO, PPR, DN 32, CLASSE PN 25, INSTALADO EM RAMAL DE DISTRIBUIÇÃO DE ÁGUA FORNECIMENTO E INSTALAÇÃO. AF_08/2022</t>
  </si>
  <si>
    <t>TUBO, PPR, DN 40, CLASSE PN 12, INSTALADO EM PRUMADA DE ÁGUA FORNECIMENTO E INSTALAÇÃO. AF_08/2022</t>
  </si>
  <si>
    <t>TUBO, PPR, DN 40, CLASSE PN 12, INSTALADO EM RAMAL DE DISTRIBUIÇÃO DE ÁGUA FORNECIMENTO E INSTALAÇÃO. AF_08/2022</t>
  </si>
  <si>
    <t>TUBO, PPR, DN 40, CLASSE PN 25, INSTALADO EM PRUMADA DE ÁGUA FORNECIMENTO E INSTALAÇÃO. AF_08/2022</t>
  </si>
  <si>
    <t>TUBO, PPR, DN 40, CLASSE PN 25, INSTALADO EM RAMAL DE DISTRIBUIÇÃO DE ÁGUA FORNECIMENTO E INSTALAÇÃO. AF_08/2022</t>
  </si>
  <si>
    <t>TUBO, PPR, DN 50, CLASSE PN 12, INSTALADO EM PRUMADA DE ÁGUA FORNECIMENTO E INSTALAÇÃO. AF_08/2022</t>
  </si>
  <si>
    <t>TUBO, PPR, DN 50, CLASSE PN 25, INSTALADO EM PRUMADA DE ÁGUA FORNECIMENTO E INSTALAÇÃO. AF_08/2022</t>
  </si>
  <si>
    <t>TUBO, PPR, DN 63, CLASSE PN 12, INSTALADO EM PRUMADA DE ÁGUA FORNECIMENTO E INSTALAÇÃO. AF_08/2022</t>
  </si>
  <si>
    <t>TUBO, PPR, DN 63, CLASSE PN 25, INSTALADO EM PRUMADA DE ÁGUA FORNECIMENTO E INSTALAÇÃO. AF_08/2022</t>
  </si>
  <si>
    <t>TUBO, PPR, DN 75, CLASSE PN 12, INSTALADO EM PRUMADA DE ÁGUA FORNECIMENTO E INSTALAÇÃO. AF_08/2022</t>
  </si>
  <si>
    <t>TUBO, PPR, DN 75, CLASSE PN 25, INSTALADO EM PRUMADA DE ÁGUA FORNECIMENTO E INSTALAÇÃO. AF_08/2022</t>
  </si>
  <si>
    <t>TUBO, PPR, DN 90, CLASSE PN 12, INSTALADO EM PRUMADA DE ÁGUA FORNECIMENTO E INSTALAÇÃO. AF_08/2022</t>
  </si>
  <si>
    <t>TUBO, PPR, DN 90, CLASSE PN 25, INSTALADO EM PRUMADA DE ÁGUA FORNECIMENTO E INSTALAÇÃO. AF_08/2022</t>
  </si>
  <si>
    <t>TÊ MISTURADOR, PPR, 25 X 3/4, CLASSE PN 25, INSTALADO EM RAMAL OU SUB-RAMAL DE ÁGUA FORNECIMENTO E INSTALAÇÃO. AF_08/2022</t>
  </si>
  <si>
    <t>TÊ MISTURADOR, PPR, F M M, DN 20 X 20 MM, INSTALADO EM RAMAL OU SUB-RAMAL DE ÁGUA - FORNECIMENTO E INSTALAÇÃO. AF_08/2022</t>
  </si>
  <si>
    <t>TÊ MISTURADOR, PPR, F M M, DN 25 X 25 MM, INSTALADO EM RAMAL OU SUB-RAMAL DE ÁGUA - FORNECIMENTO E INSTALAÇÃO. AF_08/2022</t>
  </si>
  <si>
    <t>TÊ NORMAL, PPR, 90 GRAUS, DN 20 X 20 X 20 MM, INSTALADO EM RAMAL OU SUB-RAMAL DE ÁGUA - FORNECIMENTO E INSTALAÇÃO. AF_08/2022</t>
  </si>
  <si>
    <t>TÊ NORMAL, PPR, DN 110 MM, CLASSE PN 25, INSTALADO EM PRUMADA DE ÁGUA FORNECIMENTO E INSTALAÇÃO . AF_08/2022</t>
  </si>
  <si>
    <t>TÊ NORMAL, PPR, DN 25 MM, CLASSE PN 25, INSTALADO EM PRUMADA DE ÁGUA FORNECIMENTO E INSTALAÇÃO . AF_08/2022</t>
  </si>
  <si>
    <t>TÊ NORMAL, PPR, DN 25 MM, CLASSE PN 25, INSTALADO EM RAMAL DE DISTRIBUIÇÃO DE ÁGUA FORNECIMENTO E INSTALAÇÃO. AF_08/2022</t>
  </si>
  <si>
    <t>TÊ NORMAL, PPR, DN 25 MM, CLASSE PN 25, INSTALADO EM RAMAL OU SUB-RAMAL DE ÁGUA FORNECIMENTO E INSTALAÇÃO. AF_08/2022</t>
  </si>
  <si>
    <t>TÊ NORMAL, PPR, DN 32 MM, CLASSE PN 25, INSTALADO EM PRUMADA DE ÁGUA FORNECIMENTO E INSTALAÇÃO . AF_08/2022</t>
  </si>
  <si>
    <t>TÊ NORMAL, PPR, DN 32 MM, CLASSE PN 25, INSTALADO EM RAMAL DE DISTRIBUIÇÃO DE ÁGUA FORNECIMENTO E INSTALAÇÃO. AF_08/2022</t>
  </si>
  <si>
    <t>TÊ NORMAL, PPR, DN 40 MM, CLASSE PN 25, INSTALADO EM PRUMADA DE ÁGUA FORNECIMENTO E INSTALAÇÃO . AF_08/2022</t>
  </si>
  <si>
    <t>TÊ NORMAL, PPR, DN 40 MM, CLASSE PN 25, INSTALADO EM RAMAL DE DISTRIBUIÇÃO DE ÁGUA FORNECIMENTO E INSTALAÇÃO.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</si>
  <si>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</si>
  <si>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</si>
  <si>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</si>
  <si>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</si>
  <si>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</si>
  <si>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</si>
  <si>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</si>
  <si>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</si>
  <si>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LINEAR, EM PVC COM GRELHA INOX, JUNTA SOLDÁVEL, FORNECIDO E INSTALADO EM RAMAL DE DESCARGA OU EM RAMAL DE ESGOTO SANITÁRIO. AF_08/2022</t>
  </si>
  <si>
    <t>RALO SECO CÔNICO, PVC, DN 100 X 40 MM, JUNTA SOLDÁVEL, FORNECIDO E INSTALADO EM RAMAL DE DESCARGA OU EM RAMAL DE ESGOTO SANITÁRIO. AF_08/2022</t>
  </si>
  <si>
    <t>RALO SECO,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</si>
  <si>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</si>
  <si>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RALO SIFONADO, PVC, DN 100 X 40 MM, JUNTA SOLDÁVEL, FORNECIDO E INSTALADO EM RAMAL DE DESCARGA OU EM RAMAL DE ESGOTO SANITÁRIO. AF_08/2022</t>
  </si>
  <si>
    <t>BUCHA DE REDUÇÃO LONGA, PVC, SÉRIE NORMAL, ESGOTO PREDIAL, DN 50 X 40 MM, JUNTA SOLDÁVEL E ELÁSTICA, FORNECIDO E INSTALADO EM RAMAL DE DESCARGA OU RAMAL DE ESGOTO SANITÁRIO. AF_08/2022</t>
  </si>
  <si>
    <t>CAP, PVC, SÉRIE NORMAL, ESGOTO PREDIAL, DN 100 MM, JUNTA ELÁSTICA, FORNECIDO E INSTALADO EM SUBCOLETOR AÉREO DE ESGOTO SANITÁRIO. AF_08/2022</t>
  </si>
  <si>
    <t>CURVA CURTA 90 GRAUS, PVC, SERIE NORMAL, ESGOTO PREDIAL, DN 100 MM, JUNTA ELÁSTICA, FORNECIDO E INSTALADO EM PRUMADA DE ESGOTO SANITÁRIO OU VENTILAÇÃO. AF_08/2022</t>
  </si>
  <si>
    <t>CURVA CURTA 90 GRAUS, PVC, SERIE NORMAL, ESGOTO PREDIAL, DN 100 MM, JUNTA ELÁSTICA, FORNECIDO E INSTALADO EM RAMAL DE DESCARGA OU RAMAL DE ESGOTO SANITÁRIO. AF_08/2022</t>
  </si>
  <si>
    <t>CURVA CURTA 90 GRAUS, PVC, SERIE NORMAL, ESGOTO PREDIAL, DN 100 MM, JUNTA ELÁSTICA, FORNECIDO E INSTALADO EM SUBCOLETOR AÉREO DE ESGOTO SANITÁRIO. AF_08/2022</t>
  </si>
  <si>
    <t>CURVA CURTA 90 GRAUS, PVC, SERIE NORMAL, ESGOTO PREDIAL, DN 40 MM, JUNTA SOLDÁVEL, FORNECIDO E INSTALADO EM RAMAL DE DESCARGA OU RAMAL DE ESGOTO SANITÁRIO. AF_08/2022</t>
  </si>
  <si>
    <t>CURVA CURTA 90 GRAUS, PVC, SERIE NORMAL, ESGOTO PREDIAL, DN 50 MM, JUNTA ELÁSTICA, FORNECIDO E INSTALADO EM PRUMADA DE ESGOTO SANITÁRIO OU VENTILAÇÃO. AF_08/2022</t>
  </si>
  <si>
    <t>CURVA CURTA 90 GRAUS, PVC, SERIE NORMAL, ESGOTO PREDIAL, DN 50 MM, JUNTA ELÁSTICA, FORNECIDO E INSTALADO EM RAMAL DE DESCARGA OU RAMAL DE ESGOTO SANITÁRIO. AF_08/2022</t>
  </si>
  <si>
    <t>CURVA CURTA 90 GRAUS, PVC, SERIE NORMAL, ESGOTO PREDIAL, DN 75 MM, JUNTA ELÁSTICA, FORNECIDO E INSTALADO EM PRUMADA DE ESGOTO SANITÁRIO OU VENTILAÇÃO. AF_08/2022</t>
  </si>
  <si>
    <t>CURVA CURTA 90 GRAUS, PVC, SERIE NORMAL, ESGOTO PREDIAL, DN 75 MM, JUNTA ELÁSTICA, FORNECIDO E INSTALADO EM RAMAL DE DESCARGA OU RAMAL DE ESGOTO SANITÁRIO. AF_08/2022</t>
  </si>
  <si>
    <t>CURVA LONGA 90 GRAUS, PVC, SERIE NORMAL, ESGOTO PREDIAL, DN 100 MM, JUNTA ELÁSTICA, FORNECIDO E INSTALADO EM PRUMADA DE ESGOTO SANITÁRIO OU VENTILAÇÃO. AF_08/2022</t>
  </si>
  <si>
    <t>CURVA LONGA 90 GRAUS, PVC, SERIE NORMAL, ESGOTO PREDIAL, DN 100 MM, JUNTA ELÁSTICA, FORNECIDO E INSTALADO EM RAMAL DE DESCARGA OU RAMAL DE ESGOTO SANITÁRIO. AF_08/2022</t>
  </si>
  <si>
    <t>CURVA LONGA 90 GRAUS, PVC, SERIE NORMAL, ESGOTO PREDIAL, DN 100 MM, JUNTA ELÁSTICA, FORNECIDO E INSTALADO EM SUBCOLETOR AÉREO DE ESGOTO SANITÁRIO. AF_08/2022</t>
  </si>
  <si>
    <t>CURVA LONGA 90 GRAUS, PVC, SERIE NORMAL, ESGOTO PREDIAL, DN 40 MM, JUNTA SOLDÁVEL, FORNECIDO E INSTALADO EM RAMAL DE DESCARGA OU RAMAL DE ESGOTO SANITÁRIO. AF_08/2022</t>
  </si>
  <si>
    <t>CURVA LONGA 90 GRAUS, PVC, SERIE NORMAL, ESGOTO PREDIAL, DN 50 MM, JUNTA ELÁSTICA, FORNECIDO E INSTALADO EM PRUMADA DE ESGOTO SANITÁRIO OU VENTILAÇÃO. AF_08/2022</t>
  </si>
  <si>
    <t>CURVA LONGA 90 GRAUS, PVC, SERIE NORMAL, ESGOTO PREDIAL, DN 50 MM, JUNTA ELÁSTICA, FORNECIDO E INSTALADO EM RAMAL DE DESCARGA OU RAMAL DE ESGOTO SANITÁRIO. AF_08/2022</t>
  </si>
  <si>
    <t>CURVA LONGA 90 GRAUS, PVC, SERIE NORMAL, ESGOTO PREDIAL, DN 75 MM, JUNTA ELÁSTICA, FORNECIDO E INSTALADO EM PRUMADA DE ESGOTO SANITÁRIO OU VENTILAÇÃO. AF_08/2022</t>
  </si>
  <si>
    <t>CURVA LONGA 90 GRAUS, PVC, SERIE NORMAL, ESGOTO PREDIAL, DN 75 MM, JUNTA ELÁSTICA, FORNECIDO E INSTALADO EM RAMAL DE DESCARGA OU RAMAL DE ESGOTO SANITÁRIO. AF_08/2022</t>
  </si>
  <si>
    <t>JOELHO 45 GRAUS, PVC, SERIE NORMAL, ESGOTO PREDIAL, DN 100 MM, JUNTA ELÁSTICA, FORNECIDO E INSTALADO EM PRUMADA DE ESGOTO SANITÁRIO OU VENTILAÇÃO. AF_08/2022</t>
  </si>
  <si>
    <t>JOELHO 45 GRAUS, PVC, SERIE NORMAL, ESGOTO PREDIAL, DN 100 MM, JUNTA ELÁSTICA, FORNECIDO E INSTALADO EM RAMAL DE DESCARGA OU RAMAL DE ESGOTO SANITÁRIO. AF_08/2022</t>
  </si>
  <si>
    <t>JOELHO 45 GRAUS, PVC, SERIE NORMAL, ESGOTO PREDIAL, DN 100 MM, JUNTA ELÁSTICA, FORNECIDO E INSTALADO EM SUBCOLETOR AÉREO DE ESGOTO SANITÁRIO. AF_08/2022</t>
  </si>
  <si>
    <t>JOELHO 45 GRAUS, PVC, SERIE NORMAL, ESGOTO PREDIAL, DN 150 MM, JUNTA ELÁSTICA, FORNECIDO E INSTALADO EM SUBCOLETOR AÉREO DE ESGOTO SANITÁRIO. AF_08/2022</t>
  </si>
  <si>
    <t>JOELHO 45 GRAUS, PVC, SERIE NORMAL, ESGOTO PREDIAL, DN 40 MM, JUNTA SOLDÁVEL, FORNECIDO E INSTALADO EM RAMAL DE DESCARGA OU RAMAL DE ESGOTO SANITÁRIO. AF_08/2022</t>
  </si>
  <si>
    <t>JOELHO 45 GRAUS, PVC, SERIE NORMAL, ESGOTO PREDIAL, DN 50 MM, JUNTA ELÁSTICA, FORNECIDO E INSTALADO EM PRUMADA DE ESGOTO SANITÁRIO OU VENTILAÇÃO. AF_08/2022</t>
  </si>
  <si>
    <t>JOELHO 45 GRAUS, PVC, SERIE NORMAL, ESGOTO PREDIAL, DN 50 MM, JUNTA ELÁSTICA, FORNECIDO E INSTALADO EM RAMAL DE DESCARGA OU RAMAL DE ESGOTO SANITÁRIO. AF_08/2022</t>
  </si>
  <si>
    <t>JOELHO 45 GRAUS, PVC, SERIE NORMAL, ESGOTO PREDIAL, DN 75 MM, JUNTA ELÁSTICA, FORNECIDO E INSTALADO EM PRUMADA DE ESGOTO SANITÁRIO OU VENTILAÇÃO. AF_08/2022</t>
  </si>
  <si>
    <t>JOELHO 45 GRAUS, PVC, SERIE NORMAL, ESGOTO PREDIAL, DN 75 MM, JUNTA ELÁSTICA, FORNECIDO E INSTALADO EM RAMAL DE DESCARGA OU RAMAL DE ESGOTO SANITÁRIO. AF_08/2022</t>
  </si>
  <si>
    <t>JOELHO 90 GRAUS, PVC, SERIE NORMAL, ESGOTO PREDIAL, DN 100 MM, JUNTA ELÁSTICA, FORNECIDO E INSTALADO EM PRUMADA DE ESGOTO SANITÁRIO OU VENTILAÇÃO. AF_08/2022</t>
  </si>
  <si>
    <t>JOELHO 90 GRAUS, PVC, SERIE NORMAL, ESGOTO PREDIAL, DN 100 MM, JUNTA ELÁSTICA, FORNECIDO E INSTALADO EM RAMAL DE DESCARGA OU RAMAL DE ESGOTO SANITÁRIO. AF_08/2022</t>
  </si>
  <si>
    <t>JOELHO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</si>
  <si>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</si>
  <si>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90 GRAUS, PVC, SERIE NORMAL, ESGOTO PREDIAL, DN 40 MM, JUNTA SOLDÁVEL, FORNECIDO E INSTALADO EM RAMAL DE DESCARGA OU RAMAL DE ESGOTO SANITÁRIO. AF_08/2022</t>
  </si>
  <si>
    <t>JOELHO 90 GRAUS, PVC, SERIE NORMAL, ESGOTO PREDIAL, DN 50 MM, JUNTA ELÁSTICA, FORNECIDO E INSTALADO EM PRUMADA DE ESGOTO SANITÁRIO OU VENTILAÇÃO. AF_08/2022</t>
  </si>
  <si>
    <t>JOELHO 90 GRAUS, PVC, SERIE NORMAL, ESGOTO PREDIAL, DN 50 MM, JUNTA ELÁSTICA, FORNECIDO E INSTALADO EM RAMAL DE DESCARGA OU RAMAL DE ESGOTO SANITÁRIO. AF_08/2022</t>
  </si>
  <si>
    <t>JOELHO 90 GRAUS, PVC, SERIE NORMAL, ESGOTO PREDIAL, DN 75 MM, JUNTA ELÁSTICA, FORNECIDO E INSTALADO EM PRUMADA DE ESGOTO SANITÁRIO OU VENTILAÇÃO. AF_08/2022</t>
  </si>
  <si>
    <t>JOELHO 90 GRAUS, PVC, SERIE NORMAL, ESGOTO PREDIAL, DN 75 MM, JUNTA ELÁSTICA, FORNECIDO E INSTALADO EM RAMAL DE DESCARGA OU RAMAL DE ESGOTO SANITÁRIO. AF_08/2022</t>
  </si>
  <si>
    <t>JUNÇÃO DE REDUCAO INVERTIDA, PVC, SÉRIE NORMAL, ESGOTO PREDIAL, DN 100 X 75 MM, JUNTA ELÁSTICA, FORNECIDO E INSTALADO EM PRUMADA DE ESGOTO SANITÁRIO OU VENTILAÇÃO. AF_08/2022</t>
  </si>
  <si>
    <t>JUNÇÃO DE REDUCAO INVERTIDA, PVC, SÉRIE NORMAL, ESGOTO PREDIAL, DN 100 X 75 MM, JUNTA ELÁSTICA, FORNECIDO E INSTALADO EM RAMAL DE DESCARGA OU RAMAL DE ESGOTO SANITÁRIO. AF_08/2022</t>
  </si>
  <si>
    <t>JUNÇÃO DE REDUÇÃO INVERTIDA, PVC, SÉRIE NORMAL, ESGOTO PREDIAL, DN 100 X 50 MM, JUNTA ELÁSTICA, FORNECIDO E INSTALADO EM PRUMADA DE ESGOTO SANITÁRIO OU VENTILAÇÃO. AF_08/2022</t>
  </si>
  <si>
    <t>JUNÇÃO DE REDUÇÃO INVERTIDA, PVC, SÉRIE NORMAL, ESGOTO PREDIAL, DN 100 X 50 MM, JUNTA ELÁSTICA, FORNECIDO E INSTALADO EM RAMAL DE DESCARGA OU RAMAL DE ESGOTO SANITÁRIO. AF_08/2022</t>
  </si>
  <si>
    <t>JUNÇÃO DE REDUÇÃO INVERTIDA, PVC, SÉRIE NORMAL, ESGOTO PREDIAL, DN 75 X 50 MM, JUNTA ELÁSTICA, FORNECIDO E INSTALADO EM PRUMADA DE ESGOTO SANITÁRIO OU VENTILAÇÃO. AF_08/2022</t>
  </si>
  <si>
    <t>JUNÇÃO DE REDUÇÃO INVERTIDA, PVC, SÉRIE NORMAL, ESGOTO PREDIAL, DN 75 X 50 MM, JUNTA ELÁSTICA, FORNECIDO E INSTALADO EM RAMAL DE DESCARGA OU RAMAL DE ESGOTO SANITÁRIO. AF_08/2022</t>
  </si>
  <si>
    <t>JUNÇÃO SIMPLES, PVC, SERIE NORMAL, ESGOTO PREDIAL, DN 100 X 100 MM, JUNTA ELÁSTICA, FORNECIDO E INSTALADO EM PRUMADA DE ESGOTO SANITÁRIO OU VENTILAÇÃO. AF_08/2022</t>
  </si>
  <si>
    <t>JUNÇÃO SIMPLES, PVC, SERIE NORMAL, ESGOTO PREDIAL, DN 100 X 100 MM, JUNTA ELÁSTICA, FORNECIDO E INSTALADO EM RAMAL DE DESCARGA OU RAMAL DE ESGOTO SANITÁRIO. AF_08/2022</t>
  </si>
  <si>
    <t>JUNÇÃO SIMPLES, PVC, SERIE NORMAL, ESGOTO PREDIAL, DN 100 X 100 MM, JUNTA ELÁSTICA, FORNECIDO E INSTALADO EM SUBCOLETOR AÉREO DE ESGOTO SANITÁRIO. AF_08/2022</t>
  </si>
  <si>
    <t>JUNÇÃO SIMPLES, PVC, SERIE NORMAL, ESGOTO PREDIAL, DN 40 MM, JUNTA SOLDÁVEL, FORNECIDO E INSTALADO EM RAMAL DE DESCARGA OU RAMAL DE ESGOTO SANITÁRIO. AF_08/2022</t>
  </si>
  <si>
    <t>JUNÇÃO SIMPLES, PVC, SERIE NORMAL, ESGOTO PREDIAL, DN 50 X 50 MM, JUNTA ELÁSTICA, FORNECIDO E INSTALADO EM PRUMADA DE ESGOTO SANITÁRIO OU VENTILAÇÃO. AF_08/2022</t>
  </si>
  <si>
    <t>JUNÇÃO SIMPLES, PVC, SERIE NORMAL, ESGOTO PREDIAL, DN 50 X 50 MM, JUNTA ELÁSTICA, FORNECIDO E INSTALADO EM RAMAL DE DESCARGA OU RAMAL DE ESGOTO SANITÁRIO. AF_08/2022</t>
  </si>
  <si>
    <t>JUNÇÃO SIMPLES, PVC, SERIE NORMAL, ESGOTO PREDIAL, DN 75 X 75 MM, JUNTA ELÁSTICA, FORNECIDO E INSTALADO EM PRUMADA DE ESGOTO SANITÁRIO OU VENTILAÇÃO. AF_08/2022</t>
  </si>
  <si>
    <t>JUNÇÃO SIMPLES, PVC, SERIE NORMAL, ESGOTO PREDIAL, DN 75 X 75 MM, JUNTA ELÁSTICA, FORNECIDO E INSTALADO EM RAMAL DE DESCARGA OU RAMAL DE ESGOTO SANITÁRIO. AF_08/2022</t>
  </si>
  <si>
    <t>LUVA DE CORRER, PVC, SERIE NORMAL, ESGOTO PREDIAL, DN 100 MM, JUNTA ELÁSTICA, FORNECIDO E INSTALADO EM PRUMADA DE ESGOTO SANITÁRIO OU VENTILAÇÃO. AF_08/2022</t>
  </si>
  <si>
    <t>LUVA DE CORRER, PVC, SERIE NORMAL, ESGOTO PREDIAL, DN 100 MM, JUNTA ELÁSTICA, FORNECIDO E INSTALADO EM RAMAL DE DESCARGA OU RAMAL DE ESGOTO SANITÁRIO. AF_08/2022</t>
  </si>
  <si>
    <t>LUVA DE CORRER, PVC, SERIE NORMAL, ESGOTO PREDIAL, DN 100 MM, JUNTA ELÁSTICA, FORNECIDO E INSTALADO EM SUBCOLETOR AÉREO DE ESGOTO SANITÁRIO. AF_08/2022</t>
  </si>
  <si>
    <t>LUVA DE CORRER, PVC, SERIE NORMAL, ESGOTO PREDIAL, DN 50 MM, JUNTA ELÁSTICA, FORNECIDO E INSTALADO EM PRUMADA DE ESGOTO SANITÁRIO OU VENTILAÇÃO. AF_08/2022</t>
  </si>
  <si>
    <t>LUVA DE CORRER, PVC, SERIE NORMAL, ESGOTO PREDIAL, DN 50 MM, JUNTA ELÁSTICA, FORNECIDO E INSTALADO EM RAMAL DE DESCARGA OU RAMAL DE ESGOTO SANITÁRIO. AF_08/2022</t>
  </si>
  <si>
    <t>LUVA DE CORRER, PVC, SERIE NORMAL, ESGOTO PREDIAL, DN 75 MM, JUNTA ELÁSTICA, FORNECIDO E INSTALADO EM PRUMADA DE ESGOTO SANITÁRIO OU VENTILAÇÃO. AF_08/2022</t>
  </si>
  <si>
    <t>LUVA DE CORRER, PVC, SERIE NORMAL, ESGOTO PREDIAL, DN 75 MM, JUNTA ELÁSTICA, FORNECIDO E INSTALADO EM RAMAL DE DESCARGA OU RAMAL DE ESGOTO SANITÁRIO. AF_08/2022</t>
  </si>
  <si>
    <t>LUVA SIMPLES, PVC, SERIE NORMAL, ESGOTO PREDIAL, DN 100 MM, JUNTA ELÁSTICA, FORNECIDO E INSTALADO EM PRUMADA DE ESGOTO SANITÁRIO OU VENTILAÇÃO. AF_08/2022</t>
  </si>
  <si>
    <t>LUVA SIMPLES, PVC, SERIE NORMAL, ESGOTO PREDIAL, DN 100 MM, JUNTA ELÁSTICA, FORNECIDO E INSTALADO EM RAMAL DE DESCARGA OU RAMAL DE ESGOTO SANITÁRIO. AF_08/2022</t>
  </si>
  <si>
    <t>LUVA SIMPLES, PVC, SERIE NORMAL, ESGOTO PREDIAL, DN 100 MM, JUNTA ELÁSTICA, FORNECIDO E INSTALADO EM SUBCOLETOR AÉREO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</si>
  <si>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</si>
  <si>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PRUMADA DE ESGOTO SANITÁRIO OU VENTILAÇÃO. AF_08/2022</t>
  </si>
  <si>
    <t>LUVA SIMPLES, PVC, SERIE NORMAL, ESGOTO PREDIAL, DN 50 MM, JUNTA ELÁSTICA, FORNECIDO E INSTALADO EM RAMAL DE DESCARGA OU RAMAL DE ESGOTO SANITÁRIO. AF_08/2022</t>
  </si>
  <si>
    <t>LUVA SIMPLES, PVC, SERIE NORMAL, ESGOTO PREDIAL, DN 75 MM, JUNTA ELÁSTICA, FORNECIDO E INSTALADO EM PRUMADA DE ESGOTO SANITÁRIO OU VENTILAÇÃO. AF_08/2022</t>
  </si>
  <si>
    <t>LUVA SIMPLES, PVC, SERIE NORMAL, ESGOTO PREDIAL, DN 75 MM, JUNTA ELÁSTICA, FORNECIDO E INSTALADO EM RAMAL DE DESCARGA OU RAMAL DE ESGOTO SANITÁRIO. AF_08/2022</t>
  </si>
  <si>
    <t>LUVA SIMPLES, PVC, SÉRIE NORMAL, ESGOTO PREDIAL, DN 150 MM, JUNTA ELÁSTICA, FORNECIDO E INSTALADO EM SUBCOLETOR AÉREO DE ESGOTO SANITÁRIO. AF_08/2022</t>
  </si>
  <si>
    <t>TE, PVC, SERIE NORMAL, ESGOTO PREDIAL, DN 100 X 100 MM, JUNTA ELÁSTICA, FORNECIDO E INSTALADO EM PRUMADA DE ESGOTO SANITÁRIO OU VENTILAÇÃO. AF_08/2022</t>
  </si>
  <si>
    <t>TE, PVC, SERIE NORMAL, ESGOTO PREDIAL, DN 100 X 100 MM, JUNTA ELÁSTICA, FORNECIDO E INSTALADO EM RAMAL DE DESCARGA OU RAMAL DE ESGOTO SANITÁRIO. AF_08/2022</t>
  </si>
  <si>
    <t>TE, PVC, SERIE NORMAL, ESGOTO PREDIAL, DN 100 X 100 MM, JUNTA ELÁSTICA, FORNECIDO E INSTALADO EM SUBCOLETOR AÉREO DE ESGOTO SANITÁRIO. AF_08/2022</t>
  </si>
  <si>
    <t>TE, PVC, SERIE NORMAL, ESGOTO PREDIAL, DN 40 X 40 MM, JUNTA SOLDÁVEL, FORNECIDO E INSTALADO EM RAMAL DE DESCARGA OU RAMAL DE ESGOTO SANITÁRIO. AF_08/2022</t>
  </si>
  <si>
    <t>TE, PVC, SERIE NORMAL, ESGOTO PREDIAL, DN 50 X 50 MM, JUNTA ELÁSTICA, FORNECIDO E INSTALADO EM PRUMADA DE ESGOTO SANITÁRIO OU VENTILAÇÃO. AF_08/2022</t>
  </si>
  <si>
    <t>TE, PVC, SERIE NORMAL, ESGOTO PREDIAL, DN 50 X 50 MM, JUNTA ELÁSTICA, FORNECIDO E INSTALADO EM RAMAL DE DESCARGA OU RAMAL DE ESGOTO SANITÁRIO. AF_08/2022</t>
  </si>
  <si>
    <t>TE, PVC, SERIE NORMAL, ESGOTO PREDIAL, DN 75 X 75 MM, JUNTA ELÁSTICA, FORNECIDO E INSTALADO EM PRUMADA DE ESGOTO SANITÁRIO OU VENTILAÇÃO. AF_08/2022</t>
  </si>
  <si>
    <t>TE, PVC, SERIE NORMAL, ESGOTO PREDIAL, DN 75 X 75 MM, JUNTA ELÁSTICA, FORNECIDO E INSTALADO EM RAMAL DE DESCARGA OU RAMAL DE ESGOTO SANITÁRIO. AF_08/2022</t>
  </si>
  <si>
    <t>TE, PVC, SÉRIE NORMAL, ESGOTO PREDIAL, DN 100 X 50 MM, JUNTA ELÁSTICA, FORNECIDO E INSTALADO EM PRUMADA DE ESGOTO SANITÁRIO OU VENTILAÇÃO. AF_08/2022</t>
  </si>
  <si>
    <t>TE, PVC, SÉRIE NORMAL, ESGOTO PREDIAL, DN 100 X 50 MM, JUNTA ELÁSTICA, FORNECIDO E INSTALADO EM RAMAL DE DESCARGA OU RAMAL DE ESGOTO SANITÁRIO. AF_08/2022</t>
  </si>
  <si>
    <t>TE, PVC, SÉRIE NORMAL, ESGOTO PREDIAL, DN 100 X 75 MM, JUNTA ELÁSTICA, FORNECIDO E INSTALADO EM PRUMADA DE ESGOTO SANITÁRIO OU VENTILAÇÃO. AF_08/2022</t>
  </si>
  <si>
    <t>TE, PVC, SÉRIE NORMAL, ESGOTO PREDIAL, DN 100 X 75 MM, JUNTA ELÁSTICA, FORNECIDO E INSTALADO EM RAMAL DE DESCARGA OU RAMAL DE ESGOTO SANITÁRIO. AF_08/2022</t>
  </si>
  <si>
    <t>TERMINAL DE VENTILAÇÃO, PVC, SÉRIE NORMAL, ESGOTO PREDIAL, DN 100 MM, JUNTA SOLDÁVEL, FORNECIDO E INSTALADO EM PRUMADA DE ESGOTO SANITÁRIO OU VENTILAÇÃO. AF_08/2022</t>
  </si>
  <si>
    <t>TERMINAL DE VENTILAÇÃO, PVC, SÉRIE NORMAL, ESGOTO PREDIAL, DN 50 MM, JUNTA SOLDÁVEL, FORNECIDO E INSTALADO EM PRUMADA DE ESGOTO SANITÁRIO OU VENTILAÇÃO. AF_08/2022</t>
  </si>
  <si>
    <t>TERMINAL DE VENTILAÇÃO, PVC, SÉRIE NORMAL, ESGOTO PREDIAL, DN 75 MM, JUNTA SOLDÁVEL,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</si>
  <si>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</si>
  <si>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RAMAL DE DESCARGA OU RAMAL DE ESGOTO SANITÁRIO.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</si>
  <si>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</si>
  <si>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</si>
  <si>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PVC, SERIE NORMAL, ESGOTO PREDIAL, DN 40 MM, FORNECIDO E INSTALADO EM RAMAL DE DESCARGA OU RAMAL DE ESGOTO SANITÁRIO. AF_08/2022</t>
  </si>
  <si>
    <t>TUBO PVC, SERIE NORMAL, ESGOTO PREDIAL, DN 50 MM, FORNECIDO E INSTALADO EM PRUMADA DE ESGOTO SANITÁRIO OU VENTILAÇÃO. AF_08/2022</t>
  </si>
  <si>
    <t>TUBO PVC, SERIE NORMAL, ESGOTO PREDIAL, DN 50 MM, FORNECIDO E INSTALADO EM RAMAL DE DESCARGA OU RAMAL DE ESGOTO SANITÁRIO. AF_08/2022</t>
  </si>
  <si>
    <t>TUBO PVC, SERIE NORMAL, ESGOTO PREDIAL, DN 75 MM, FORNECIDO E INSTALADO EM PRUMADA DE ESGOTO SANITÁRIO OU VENTILAÇÃO. AF_08/2022</t>
  </si>
  <si>
    <t>TUBO PVC, SERIE NORMAL, ESGOTO PREDIAL, DN 75 MM, FORNECIDO E INSTALADO EM RAMAL DE DESCARGA OU RAMAL DE ESGOTO SANITÁRIO. AF_08/2022</t>
  </si>
  <si>
    <t>ADAPTADOR CURTO COM BOLSA E ROSCA PARA REGISTRO, PVC, SOLDÁVEL, DN 20MM X 1/2, INSTALADO EM RAMAL OU SUB-RAMAL DE ÁGUA - FORNECIMENTO E INSTALAÇÃO. AF_06/2022</t>
  </si>
  <si>
    <t>ADAPTADOR CURTO COM BOLSA E ROSCA PARA REGISTRO, PVC, SOLDÁVEL, DN 25MM X 3/4, INSTALADO EM RAMAL DE DISTRIBUIÇÃO DE ÁGUA - FORNECIMENTO E INSTALAÇÃO. AF_06/2022</t>
  </si>
  <si>
    <t>ADAPTADOR CURTO COM BOLSA E ROSCA PARA REGISTRO, PVC, SOLDÁVEL, DN 25MM X 3/4, INSTALADO EM RAMAL OU SUB-RAMAL DE ÁGUA - FORNECIMENTO E INSTALAÇÃO. AF_06/2022</t>
  </si>
  <si>
    <t>ADAPTADOR CURTO COM BOLSA E ROSCA PARA REGISTRO, PVC, SOLDÁVEL, DN 32MM X 1, INSTALADO EM PRUMADA DE ÁGUA - FORNECIMENTO E INSTALAÇÃO. AF_06/2022</t>
  </si>
  <si>
    <t>ADAPTADOR CURTO COM BOLSA E ROSCA PARA REGISTRO, PVC, SOLDÁVEL, DN 32MM X 1, INSTALADO EM RAMAL DE DISTRIBUIÇÃO DE ÁGUA - FORNECIMENTO E INSTALAÇÃO. AF_06/2022</t>
  </si>
  <si>
    <t>ADAPTADOR CURTO COM BOLSA E ROSCA PARA REGISTRO, PVC, SOLDÁVEL, DN 32MM X 1, INSTALADO EM RAMAL OU SUB-RAMAL DE ÁGUA - FORNECIMENTO E INSTALAÇÃO. AF_06/2022</t>
  </si>
  <si>
    <t>ADAPTADOR CURTO COM BOLSA E ROSCA PARA REGISTRO, PVC, SOLDÁVEL, DN 40MM X 1.1/2", INSTALADO EM RAMAL DE DISTRIBUIÇÃO DE ÁGUA - FORNECIMENTO E INSTALAÇÃO. AF_06/2022</t>
  </si>
  <si>
    <t>ADAPTADOR CURTO COM BOLSA E ROSCA PARA REGISTRO, PVC, SOLDÁVEL, DN 40MM X 1.1/2, INSTALADO EM PRUMADA DE ÁGUA - FORNECIMENTO E INSTALAÇÃO. AF_06/2022</t>
  </si>
  <si>
    <t>ADAPTADOR CURTO COM BOLSA E ROSCA PARA REGISTRO, PVC, SOLDÁVEL, DN 40MM X 1.1/4", INSTALADO EM RAMAL DE DISTRIBUIÇÃO DE ÁGUA - FORNECIMENTO E INSTALAÇÃO. AF_06/2022</t>
  </si>
  <si>
    <t>ADAPTADOR CURTO COM BOLSA E ROSCA PARA REGISTRO, PVC, SOLDÁVEL, DN 40MM X 1.1/4, INSTALADO EM PRUMADA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</si>
  <si>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</si>
  <si>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1.1/2, INSTALADO EM PRUMADA DE ÁGUA - FORNECIMENTO E INSTALAÇÃO. AF_06/2022</t>
  </si>
  <si>
    <t>ADAPTADOR CURTO COM BOLSA E ROSCA PARA REGISTRO, PVC, SOLDÁVEL, DN 50MM X 1.1/4", INSTALADO EM RAMAL DE DISTRIBUIÇÃO DE ÁGUA - FORNECIMENTO E INSTALAÇÃO. AF_06/2022</t>
  </si>
  <si>
    <t>ADAPTADOR CURTO COM BOLSA E ROSCA PARA REGISTRO, PVC, SOLDÁVEL, DN 50MM X 1.1/4, INSTALADO EM PRUMADA DE ÁGUA - FORNECIMENTO E INSTALAÇÃO. AF_06/2022</t>
  </si>
  <si>
    <t>ADAPTADOR CURTO COM BOLSA E ROSCA PARA REGISTRO, PVC, SOLDÁVEL, DN 60MM X 2, INSTALADO EM PRUMADA DE ÁGUA - FORNECIMENTO E INSTALAÇÃO. AF_06/2022</t>
  </si>
  <si>
    <t>ADAPTADOR CURTO COM BOLSA E ROSCA PARA REGISTRO, PVC, SOLDÁVEL, DN 75MM X 2.1/2", INSTALADO EM PRUMADA DE ÁGUA - FORNECIMENTO E INSTALAÇÃO. AF_12/2014</t>
  </si>
  <si>
    <t>ADAPTADOR CURTO COM BOLSA E ROSCA PARA REGISTRO, PVC, SOLDÁVEL, DN 85MM X 3, INSTALADO EM PRUMADA DE ÁGUA - FORNECIMENTO E INSTALAÇÃO. AF_06/2022</t>
  </si>
  <si>
    <t>BUCHA DE REDUÇÃO, CURTA, PVC, SOLDÁVEL, DN 25 X 20 MM, INSTALADO EM RAMAL DE DISTRIBUIÇÃO DE ÁGUA - FORNECIMENTO E INSTALAÇÃO. AF_06/2022</t>
  </si>
  <si>
    <t>BUCHA DE REDUÇÃO, CURTA, PVC, SOLDÁVEL, DN 25 X 20 MM, INSTALADO EM RAMAL OU SUB-RAMAL DE ÁGUA - FORNECIMENTO E INSTALAÇÃO. AF_06/2022</t>
  </si>
  <si>
    <t>BUCHA DE REDUÇÃO, CURTA, PVC, SOLDÁVEL, DN 32 X 25 MM, INSTALADO EM PRUMADA DE ÁGUA - FORNECIMENTO E INSTALAÇÃO. AF_06/2022</t>
  </si>
  <si>
    <t>BUCHA DE REDUÇÃO, CURTA, PVC, SOLDÁVEL, DN 32 X 25 MM, INSTALADO EM RAMAL DE DISTRIBUIÇÃO DE ÁGUA - FORNECIMENTO E INSTALAÇÃO. AF_06/2022</t>
  </si>
  <si>
    <t>BUCHA DE REDUÇÃO, CURTA, PVC, SOLDÁVEL, DN 32 X 25 MM, INSTALADO EM RAMAL OU SUB-RAMAL DE ÁGUA - FORNECIMENTO E INSTALAÇÃO. AF_06/2022</t>
  </si>
  <si>
    <t>BUCHA DE REDUÇÃO, CURTA, PVC, SOLDÁVEL, DN 50 X 40 MM, INSTALADO EM PRUMADA DE ÁGUA - FORNECIMENTO E INSTALAÇÃO. AF_06/2022</t>
  </si>
  <si>
    <t>BUCHA DE REDUÇÃO, CURTA, PVC, SOLDÁVEL, DN 50 X 40 MM, INSTALADO EM RAMAL DE DISTRIBUIÇÃO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</si>
  <si>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</si>
  <si>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</si>
  <si>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32 X 20 MM, INSTALADO EM RAMAL DE DISTRIBUIÇÃO DE ÁGUA - FORNECIMENTO E INSTALAÇÃO. AF_06/2022</t>
  </si>
  <si>
    <t>BUCHA DE REDUÇÃO, LONGA, PVC, SOLDÁVEL, DN 32 X 20 MM, INSTALADO EM RAMAL OU SUB-RAMAL DE ÁGUA - FORNECIMENTO E INSTALAÇÃO. AF_06/2022</t>
  </si>
  <si>
    <t>BUCHA DE REDUÇÃO, LONGA, PVC, SOLDÁVEL, DN 40 X 25 MM, INSTALADO EM PRUMADA DE ÁGUA - FORNECIMENTO E INSTALAÇÃO. AF_06/2022</t>
  </si>
  <si>
    <t>BUCHA DE REDUÇÃO, LONGA, PVC, SOLDÁVEL, DN 40 X 25 MM, INSTALADO EM RAMAL DE DISTRIBUIÇÃO DE ÁGUA - FORNECIMENTO E INSTALAÇÃO. AF_06/2022</t>
  </si>
  <si>
    <t>BUCHA DE REDUÇÃO, LONGA, PVC, SOLDÁVEL, DN 50 X 25 MM, INSTALADO EM PRUMADA DE ÁGUA - FORNECIMENTO E INSTALAÇÃO. AF_06/2022</t>
  </si>
  <si>
    <t>BUCHA DE REDUÇÃO, LONGA, PVC, SOLDÁVEL, DN 50 X 25 MM, INSTALADO EM RAMAL DE DISTRIBUIÇÃO DE ÁGUA - FORNECIMENTO E INSTALAÇÃO. AF_06/2022</t>
  </si>
  <si>
    <t>BUCHA DE REDUÇÃO, LONGA, PVC, SOLDÁVEL, DN 50 X 32 MM, INSTALADO EM PRUMADA DE ÁGUA - FORNECIMENTO E INSTALAÇÃO. AF_06/2022</t>
  </si>
  <si>
    <t>BUCHA DE REDUÇÃO, LONGA, PVC, SOLDÁVEL, DN 50 X 32 MM, INSTALADO EM RAMAL DE DISTRIBUIÇÃO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</si>
  <si>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</si>
  <si>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</si>
  <si>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</si>
  <si>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</si>
  <si>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BUCHA DE REDUÇÃO, PVC, SOLDÁVEL, DN 40MM X 32MM, INSTALADO EM RAMAL DE DISTRIBUIÇÃO DE ÁGUA - FORNECIMENTO E INSTALAÇÃO. AF_06/2022</t>
  </si>
  <si>
    <t>CURVA 45 GRAUS, PVC, SOLDÁVEL, DN 20MM, INSTALADO EM RAMAL DE DISTRIBUIÇÃO DE ÁGUA - FORNECIMENTO E INSTALAÇÃO. AF_06/2022</t>
  </si>
  <si>
    <t>CURVA 45 GRAUS, PVC, SOLDÁVEL, DN 20MM, INSTALADO EM RAMAL OU SUB-RAMAL DE ÁGUA - FORNECIMENTO E INSTALAÇÃO. AF_06/2022</t>
  </si>
  <si>
    <t>CURVA 45 GRAUS, PVC, SOLDÁVEL, DN 25MM, INSTALADO EM PRUMADA DE ÁGUA - FORNECIMENTO E INSTALAÇÃO. AF_06/2022</t>
  </si>
  <si>
    <t>CURVA 45 GRAUS, PVC, SOLDÁVEL, DN 25MM, INSTALADO EM RAMAL DE DISTRIBUIÇÃO DE ÁGUA - FORNECIMENTO E INSTALAÇÃO. AF_06/2022</t>
  </si>
  <si>
    <t>CURVA 45 GRAUS, PVC, SOLDÁVEL, DN 25MM, INSTALADO EM RAMAL OU SUB-RAMAL DE ÁGUA - FORNECIMENTO E INSTALAÇÃO. AF_06/2022</t>
  </si>
  <si>
    <t>CURVA 45 GRAUS, PVC, SOLDÁVEL, DN 32MM, INSTALADO EM PRUMADA DE ÁGUA - FORNECIMENTO E INSTALAÇÃO. AF_06/2022</t>
  </si>
  <si>
    <t>CURVA 45 GRAUS, PVC, SOLDÁVEL, DN 32MM, INSTALADO EM RAMAL DE DISTRIBUIÇÃO DE ÁGUA - FORNECIMENTO E INSTALAÇÃO. AF_06/2022</t>
  </si>
  <si>
    <t>CURVA 45 GRAUS, PVC, SOLDÁVEL, DN 32MM, INSTALADO EM RAMAL OU SUB-RAMAL DE ÁGUA - FORNECIMENTO E INSTALAÇÃO. AF_06/2022</t>
  </si>
  <si>
    <t>CURVA 45 GRAUS, PVC, SOLDÁVEL, DN 40MM, INSTALADO EM PRUMADA DE ÁGUA - FORNECIMENTO E INSTALAÇÃO. AF_06/2022</t>
  </si>
  <si>
    <t>CURVA 45 GRAUS, PVC, SOLDÁVEL, DN 40MM, INSTALADO EM RAMAL DE DISTRIBUIÇÃO DE ÁGUA - FORNECIMENTO E INSTALAÇÃO. AF_06/2022</t>
  </si>
  <si>
    <t>CURVA 45 GRAUS, PVC, SOLDÁVEL, DN 50MM, INSTALADO EM PRUMADA DE ÁGUA - FORNECIMENTO E INSTALAÇÃO. AF_06/2022</t>
  </si>
  <si>
    <t>CURVA 45 GRAUS, PVC, SOLDÁVEL, DN 50MM, INSTALADO EM RAMAL DE DISTRIBUIÇÃO DE ÁGUA - FORNECIMENTO E INSTALAÇÃO. AF_06/2022</t>
  </si>
  <si>
    <t>CURVA 45 GRAUS, PVC, SOLDÁVEL, DN 60MM, INSTALADO EM PRUMADA DE ÁGUA - FORNECIMENTO E INSTALAÇÃO. AF_06/2022</t>
  </si>
  <si>
    <t>CURVA 45 GRAUS, PVC, SOLDÁVEL, DN 75MM, INSTALADO EM PRUMADA DE ÁGUA - FORNECIMENTO E INSTALAÇÃO. AF_06/2022</t>
  </si>
  <si>
    <t>CURVA 45 GRAUS, PVC, SOLDÁVEL, DN 85MM, INSTALADO EM PRUMADA DE ÁGUA - FORNECIMENTO E INSTALAÇÃO. AF_06/2022</t>
  </si>
  <si>
    <t>CURVA 90 GRAUS, PVC, SOLDÁVEL, DN 20MM, INSTALADO EM RAMAL DE DISTRIBUIÇÃO DE ÁGUA - FORNECIMENTO E INSTALAÇÃO. AF_06/2022</t>
  </si>
  <si>
    <t>CURVA 90 GRAUS, PVC, SOLDÁVEL, DN 20MM, INSTALADO EM RAMAL OU SUB-RAMAL DE ÁGUA - FORNECIMENTO E INSTALAÇÃO. AF_06/2022</t>
  </si>
  <si>
    <t>CURVA 90 GRAUS, PVC, SOLDÁVEL, DN 25MM, INSTALADO EM PRUMADA DE ÁGUA - FORNECIMENTO E INSTALAÇÃO. AF_06/2022</t>
  </si>
  <si>
    <t>CURVA 90 GRAUS, PVC, SOLDÁVEL, DN 25MM, INSTALADO EM RAMAL DE DISTRIBUIÇÃO DE ÁGUA - FORNECIMENTO E INSTALAÇÃO. AF_06/2022</t>
  </si>
  <si>
    <t>CURVA 90 GRAUS, PVC, SOLDÁVEL, DN 25MM, INSTALADO EM RAMAL OU SUB-RAMAL DE ÁGUA - FORNECIMENTO E INSTALAÇÃO. AF_06/2022</t>
  </si>
  <si>
    <t>CURVA 90 GRAUS, PVC, SOLDÁVEL, DN 32MM, INSTALADO EM PRUMADA DE ÁGUA - FORNECIMENTO E INSTALAÇÃO. AF_06/2022</t>
  </si>
  <si>
    <t>CURVA 90 GRAUS, PVC, SOLDÁVEL, DN 32MM, INSTALADO EM RAMAL DE DISTRIBUIÇÃO DE ÁGUA - FORNECIMENTO E INSTALAÇÃO. AF_06/2022</t>
  </si>
  <si>
    <t>CURVA 90 GRAUS, PVC, SOLDÁVEL, DN 32MM, INSTALADO EM RAMAL OU SUB-RAMAL DE ÁGUA - FORNECIMENTO E INSTALAÇÃO. AF_06/2022</t>
  </si>
  <si>
    <t>CURVA 90 GRAUS, PVC, SOLDÁVEL, DN 40MM, INSTALADO EM PRUMADA DE ÁGUA - FORNECIMENTO E INSTALAÇÃO. AF_06/2022</t>
  </si>
  <si>
    <t>CURVA 90 GRAUS, PVC, SOLDÁVEL, DN 40MM, INSTALADO EM RAMAL DE DISTRIBUIÇÃO DE ÁGUA - FORNECIMENTO E INSTALAÇÃO. AF_06/2022</t>
  </si>
  <si>
    <t>CURVA 90 GRAUS, PVC, SOLDÁVEL, DN 50MM, INSTALADO EM PRUMADA DE ÁGUA - FORNECIMENTO E INSTALAÇÃO. AF_06/2022</t>
  </si>
  <si>
    <t>CURVA 90 GRAUS, PVC, SOLDÁVEL, DN 50MM, INSTALADO EM RAMAL DE DISTRIBUIÇÃO DE ÁGUA - FORNECIMENTO E INSTALAÇÃO. AF_06/2022</t>
  </si>
  <si>
    <t>CURVA 90 GRAUS, PVC, SOLDÁVEL, DN 60MM, INSTALADO EM PRUMADA DE ÁGUA - FORNECIMENTO E INSTALAÇÃO. AF_06/2022</t>
  </si>
  <si>
    <t>CURVA 90 GRAUS, PVC, SOLDÁVEL, DN 75MM, INSTALADO EM PRUMADA DE ÁGUA - FORNECIMENTO E INSTALAÇÃO. AF_06/2022</t>
  </si>
  <si>
    <t>CURVA 90 GRAUS, PVC, SOLDÁVEL, DN 85MM, INSTALADO EM PRUMADA DE ÁGUA - FORNECIMENTO E INSTALAÇÃO. AF_06/2022</t>
  </si>
  <si>
    <t>CURVA DE TRANSPOSIÇÃO, PVC, SOLDÁVEL, DN 20MM, INSTALADO EM RAMAL DE DISTRIBUIÇÃO DE ÁGUA FORNECIMENTO E INSTALAÇÃO. AF_06/2022</t>
  </si>
  <si>
    <t>CURVA DE TRANSPOSIÇÃO, PVC, SOLDÁVEL, DN 20MM, INSTALADO EM RAMAL OU SUB-RAMAL DE ÁGUA - FORNECIMENTO E INSTALAÇÃO. AF_06/2022</t>
  </si>
  <si>
    <t>CURVA DE TRANSPOSIÇÃO, PVC, SOLDÁVEL, DN 25MM, INSTALADO EM PRUMADA DE ÁGUA - FORNECIMENTO E INSTALAÇÃO. AF_06/2022</t>
  </si>
  <si>
    <t>CURVA DE TRANSPOSIÇÃO, PVC, SOLDÁVEL, DN 25MM, INSTALADO EM RAMAL DE DISTRIBUIÇÃO DE ÁGUA FORNECIMENTO E INSTALAÇÃO. AF_06/2022</t>
  </si>
  <si>
    <t>CURVA DE TRANSPOSIÇÃO, PVC, SOLDÁVEL, DN 25MM, INSTALADO EM RAMAL OU SUB-RAMAL DE ÁGUA FORNECIMENTO E INSTALAÇÃO. AF_06/2022</t>
  </si>
  <si>
    <t>CURVA DE TRANSPOSIÇÃO, PVC, SOLDÁVEL, DN 32MM, INSTALADO EM PRUMADA DE ÁGUA FORNECIMENTO E INSTALAÇÃO. AF_06/2022</t>
  </si>
  <si>
    <t>CURVA DE TRANSPOSIÇÃO, PVC, SOLDÁVEL, DN 32MM, INSTALADO EM RAMAL DE DISTRIBUIÇÃO DE ÁGUA FORNECIMENTO E INSTALAÇÃO. AF_06/2022</t>
  </si>
  <si>
    <t>CURVA DE TRANSPOSIÇÃO, PVC, SOLDÁVEL, DN 32MM, INSTALADO EM RAMAL OU SUB-RAMAL DE ÁGUA FORNECIMENTO E INSTALAÇÃO. AF_06/2022</t>
  </si>
  <si>
    <t>JOELHO 45 GRAUS, PVC, SOLDÁVEL, DN 20MM, INSTALADO EM RAMAL DE DISTRIBUIÇÃO DE ÁGUA - FORNECIMENTO E INSTALAÇÃO. AF_06/2022</t>
  </si>
  <si>
    <t>JOELHO 45 GRAUS, PVC, SOLDÁVEL, DN 20MM, INSTALADO EM RAMAL OU SUB-RAMAL DE ÁGUA - FORNECIMENTO E INSTALAÇÃO. AF_06/2022</t>
  </si>
  <si>
    <t>JOELHO 45 GRAUS, PVC, SOLDÁVEL, DN 25MM, INSTALADO EM PRUMADA DE ÁGUA - FORNECIMENTO E INSTALAÇÃO. AF_06/2022</t>
  </si>
  <si>
    <t>JOELHO 45 GRAUS, PVC, SOLDÁVEL, DN 25MM, INSTALADO EM RAMAL DE DISTRIBUIÇÃO DE ÁGUA - FORNECIMENTO E INSTALAÇÃO. AF_06/2022</t>
  </si>
  <si>
    <t>JOELHO 45 GRAUS, PVC, SOLDÁVEL, DN 25MM, INSTALADO EM RAMAL OU SUB-RAMAL DE ÁGUA - FORNECIMENTO E INSTALAÇÃO. AF_06/2022</t>
  </si>
  <si>
    <t>JOELHO 45 GRAUS, PVC, SOLDÁVEL, DN 32MM, INSTALADO EM PRUMADA DE ÁGUA - FORNECIMENTO E INSTALAÇÃO. AF_06/2022</t>
  </si>
  <si>
    <t>JOELHO 45 GRAUS, PVC, SOLDÁVEL, DN 32MM, INSTALADO EM RAMAL DE DISTRIBUIÇÃO DE ÁGUA - FORNECIMENTO E INSTALAÇÃO. AF_06/2022</t>
  </si>
  <si>
    <t>JOELHO 45 GRAUS, PVC, SOLDÁVEL, DN 32MM, INSTALADO EM RAMAL OU SUB-RAMAL DE ÁGUA - FORNECIMENTO E INSTALAÇÃO. AF_06/2022</t>
  </si>
  <si>
    <t>JOELHO 45 GRAUS, PVC, SOLDÁVEL, DN 40MM, INSTALADO EM PRUMADA DE ÁGUA - FORNECIMENTO E INSTALAÇÃO. AF_06/2022</t>
  </si>
  <si>
    <t>JOELHO 45 GRAUS, PVC, SOLDÁVEL, DN 40MM, INSTALADO EM RAMAL DE DISTRIBUIÇÃO DE ÁGUA - FORNECIMENTO E INSTALAÇÃO. AF_06/2022</t>
  </si>
  <si>
    <t>JOELHO 45 GRAUS, PVC, SOLDÁVEL, DN 50MM, INSTALADO EM PRUMADA DE ÁGUA - FORNECIMENTO E INSTALAÇÃO. AF_06/2022</t>
  </si>
  <si>
    <t>JOELHO 45 GRAUS, PVC, SOLDÁVEL, DN 50MM, INSTALADO EM RAMAL DE DISTRIBUIÇÃO DE ÁGUA - FORNECIMENTO E INSTALAÇÃO. AF_06/2022</t>
  </si>
  <si>
    <t>JOELHO 45 GRAUS, PVC, SOLDÁVEL, DN 60MM, INSTALADO EM PRUMADA DE ÁGUA - FORNECIMENTO E INSTALAÇÃO. AF_06/2022</t>
  </si>
  <si>
    <t>JOELHO 45 GRAUS, PVC, SOLDÁVEL, DN 75MM, INSTALADO EM PRUMADA DE ÁGUA - FORNECIMENTO E INSTALAÇÃO. AF_06/2022</t>
  </si>
  <si>
    <t>JOELHO 45 GRAUS, PVC, SOLDÁVEL, DN 85MM, INSTALADO EM PRUMADA DE ÁGUA - FORNECIMENTO E INSTALAÇÃO. AF_06/2022</t>
  </si>
  <si>
    <t>JOELHO 90 GRAUS COM BUCHA DE LATÃO, PVC, SOLDÁVEL, DN 25MM, X 1/2 INSTALADO EM RAMAL OU SUB-RAMAL DE ÁGUA - FORNECIMENTO E INSTALAÇÃO. AF_06/2022</t>
  </si>
  <si>
    <t>JOELHO 90 GRAUS COM BUCHA DE LATÃO, PVC, SOLDÁVEL, DN 25MM, X 3/4 INSTALADO EM RAMAL OU SUB-RAMAL DE ÁGUA - FORNECIMENTO E INSTALAÇÃO. AF_06/2022</t>
  </si>
  <si>
    <t>JOELHO 90 GRAUS, PVC, SOLDÁVEL, DN 20MM, INSTALADO EM RAMAL DE DISTRIBUIÇÃO DE ÁGUA - FORNECIMENTO E INSTALAÇÃO. AF_06/2022</t>
  </si>
  <si>
    <t>JOELHO 90 GRAUS, PVC, SOLDÁVEL, DN 20MM, INSTALADO EM RAMAL OU SUB-RAMAL DE ÁGUA - FORNECIMENTO E INSTALAÇÃO. AF_06/2022</t>
  </si>
  <si>
    <t>JOELHO 90 GRAUS, PVC, SOLDÁVEL, DN 25MM, INSTALADO EM PRUMADA DE ÁGUA - FORNECIMENTO E INSTALAÇÃO. AF_06/2022</t>
  </si>
  <si>
    <t>JOELHO 90 GRAUS, PVC, SOLDÁVEL, DN 25MM, INSTALADO EM RAMAL DE DISTRIBUIÇÃO DE ÁGUA - FORNECIMENTO E INSTALAÇÃO. AF_06/2022</t>
  </si>
  <si>
    <t>JOELHO 90 GRAUS, PVC, SOLDÁVEL, DN 25MM, INSTALADO EM RAMAL OU SUB-RAMAL DE ÁGUA - FORNECIMENTO E INSTALAÇÃO. AF_06/2022</t>
  </si>
  <si>
    <t>JOELHO 90 GRAUS, PVC, SOLDÁVEL, DN 25MM, X 3/4 INSTALADO EM RAMAL DE DISTRIBUIÇÃO DE ÁGUA - FORNECIMENTO E INSTALAÇÃO. AF_06/2022</t>
  </si>
  <si>
    <t>JOELHO 90 GRAUS, PVC, SOLDÁVEL, DN 32MM, INSTALADO EM PRUMADA DE ÁGUA - FORNECIMENTO E INSTALAÇÃO. AF_06/2022</t>
  </si>
  <si>
    <t>JOELHO 90 GRAUS, PVC, SOLDÁVEL, DN 32MM, INSTALADO EM RAMAL DE DISTRIBUIÇÃO DE ÁGUA - FORNECIMENTO E INSTALAÇÃO. AF_06/2022</t>
  </si>
  <si>
    <t>JOELHO 90 GRAUS, PVC, SOLDÁVEL, DN 32MM, INSTALADO EM RAMAL OU SUB-RAMAL DE ÁGUA - FORNECIMENTO E INSTALAÇÃO. AF_06/2022</t>
  </si>
  <si>
    <t>JOELHO 90 GRAUS, PVC, SOLDÁVEL, DN 40MM, INSTALADO EM PRUMADA DE ÁGUA - FORNECIMENTO E INSTALAÇÃO. AF_06/2022</t>
  </si>
  <si>
    <t>JOELHO 90 GRAUS, PVC, SOLDÁVEL, DN 40MM, INSTALADO EM RAMAL DE DISTRIBUIÇÃO DE ÁGUA - FORNECIMENTO E INSTALAÇÃO. AF_06/2022</t>
  </si>
  <si>
    <t>JOELHO 90 GRAUS, PVC, SOLDÁVEL, DN 50MM, INSTALADO EM PRUMADA DE ÁGUA - FORNECIMENTO E INSTALAÇÃO. AF_06/2022</t>
  </si>
  <si>
    <t>JOELHO 90 GRAUS, PVC, SOLDÁVEL, DN 50MM, INSTALADO EM RAMAL DE DISTRIBUIÇÃO DE ÁGUA - FORNECIMENTO E INSTALAÇÃO. AF_06/2022</t>
  </si>
  <si>
    <t>JOELHO 90 GRAUS, PVC, SOLDÁVEL, DN 60MM, INSTALADO EM PRUMADA DE ÁGUA - FORNECIMENTO E INSTALAÇÃO. AF_06/2022</t>
  </si>
  <si>
    <t>JOELHO 90 GRAUS, PVC, SOLDÁVEL, DN 75MM, INSTALADO EM PRUMADA DE ÁGUA - FORNECIMENTO E INSTALAÇÃO. AF_06/2022</t>
  </si>
  <si>
    <t>JOELHO 90 GRAUS, PVC, SOLDÁVEL, DN 85MM, INSTALADO EM PRUMADA DE ÁGUA - FORNECIMENTO E INSTALAÇÃO. AF_06/2022</t>
  </si>
  <si>
    <t>JOELHO DE REDUÇÃO, 90 GRAUS, PVC, SOLDÁVEL, DN 25 MM X 20 MM, INSTALADO EM RAMAL DE DISTRIBUIÇÃO DE ÁGUA - FORNECIMENTO E INSTALAÇÃO. AF_06/2022</t>
  </si>
  <si>
    <t>JOELHO DE REDUÇÃO, 90 GRAUS, PVC, SOLDÁVEL, DN 25 MM X 20 MM, INSTALADO EM RAMAL OU SUB-RAMAL DE ÁGUA - FORNECIMENTO E INSTALAÇÃO. AF_06/2022</t>
  </si>
  <si>
    <t>JOELHO DE REDUÇÃO, 90 GRAUS, PVC, SOLDÁVEL, DN 32 MM X 25 MM, INSTALADO EM PRUMADA DE ÁGUA - FORNECIMENTO E INSTALAÇÃO. AF_06/2022</t>
  </si>
  <si>
    <t>JOELHO DE REDUÇÃO, 90 GRAUS, PVC, SOLDÁVEL, DN 32 MM X 25 MM, INSTALADO EM RAMAL DE DISTRIBUIÇÃO DE ÁGUA - FORNECIMENTO E INSTALAÇÃO. AF_06/2022</t>
  </si>
  <si>
    <t>JOELHO DE REDUÇÃO, 90 GRAUS, PVC, SOLDÁVEL, DN 32 MM X 25 MM, INSTALADO EM RAMAL OU SUB-RAMAL DE ÁGUA - FORNECIMENTO E INSTALAÇÃO. AF_06/2022</t>
  </si>
  <si>
    <t>LUVA COM BUCHA DE LATÃO, PVC, SOLDÁVEL, DN 20MM X 1/2", INSTALADO EM RAMAL OU SUB-RAMAL DE ÁGUA - FORNECIMENTO E INSTALAÇÃO. AF_06/2022</t>
  </si>
  <si>
    <t>LUVA COM BUCHA DE LATÃO, PVC, SOLDÁVEL, DN 25MM X 3/4, INSTALADO EM RAMAL DE DISTRIBUIÇÃO DE ÁGUA - FORNECIMENTO E INSTALAÇÃO. AF_06/2022</t>
  </si>
  <si>
    <t>LUVA COM BUCHA DE LATÃO, PVC, SOLDÁVEL, DN 25MM X 3/4, INSTALADO EM RAMAL OU SUB-RAMAL DE ÁGUA - FORNECIMENTO E INSTALAÇÃO. AF_06/2022</t>
  </si>
  <si>
    <t>LUVA COM BUCHA DE LATÃO, PVC, SOLDÁVEL, DN 32MM X 1, INSTALADO EM RAMAL DE DISTRIBUIÇÃO DE ÁGUA FORNECIMENTO E INSTALAÇÃO. AF_06/2022</t>
  </si>
  <si>
    <t>LUVA COM BUCHA DE LATÃO, PVC, SOLDÁVEL, DN 32MM X 1, INSTALADO EM RAMAL OU SUB-RAMAL DE ÁGUA FORNECIMENTO E INSTALAÇÃO. AF_06/2022</t>
  </si>
  <si>
    <t>LUVA COM ROSCA, PVC, SOLDÁVEL, DN 40MM X 1.1/4", INSTALADO EM RAMAL DE DISTRIBUIÇÃO DE ÁGUA - FORNECIMENTO E INSTALAÇÃO. AF_06/2022</t>
  </si>
  <si>
    <t>LUVA COM ROSCA, PVC, SOLDÁVEL, DN 40MM X 1.1/4, INSTALADO EM PRUMADA DE ÁGUA - FORNECIMENTO E INSTALAÇÃO. AF_06/2022</t>
  </si>
  <si>
    <t>LUVA COM ROSCA, PVC, SOLDÁVEL, DN 50MM X 1.1/2", INSTALADO EM RAMAL DE DISTRIBUIÇÃO DE ÁGUA - FORNECIMENTO E INSTALAÇÃO. AF_06/2022</t>
  </si>
  <si>
    <t>LUVA COM ROSCA, PVC, SOLDÁVEL, DN 50MM X 1.1/2, INSTALADO EM PRUMADA DE ÁGUA - FORNECIMENTO E INSTALAÇÃO. AF_06/2022</t>
  </si>
  <si>
    <t>LUVA DE CORRER, PVC, SOLDÁVEL, DN 20MM, INSTALADO EM RAMAL DE DISTRIBUIÇÃO DE ÁGUA - FORNECIMENTO E INSTALAÇÃO. AF_06/2022</t>
  </si>
  <si>
    <t>LUVA DE CORRER, PVC, SOLDÁVEL, DN 20MM, INSTALADO EM RAMAL OU SUB-RAMAL DE ÁGUA - FORNECIMENTO E INSTALAÇÃO. AF_06/2022</t>
  </si>
  <si>
    <t>LUVA DE CORRER, PVC, SOLDÁVEL, DN 25MM, INSTALADO EM PRUMADA DE ÁGUA - FORNECIMENTO E INSTALAÇÃO. AF_06/2022</t>
  </si>
  <si>
    <t>LUVA DE CORRER, PVC, SOLDÁVEL, DN 25MM, INSTALADO EM RAMAL DE DISTRIBUIÇÃO DE ÁGUA - FORNECIMENTO E INSTALAÇÃO. AF_06/2022</t>
  </si>
  <si>
    <t>LUVA DE CORRER, PVC, SOLDÁVEL, DN 25MM, INSTALADO EM RAMAL OU SUB-RAMAL DE ÁGUA - FORNECIMENTO E INSTALAÇÃO. AF_12/2014</t>
  </si>
  <si>
    <t>LUVA DE CORRER, PVC, SOLDÁVEL, DN 32MM, INSTALADO EM PRUMADA DE ÁGUA - FORNECIMENTO E INSTALAÇÃO. AF_06/2022</t>
  </si>
  <si>
    <t>LUVA DE CORRER, PVC, SOLDÁVEL, DN 32MM, INSTALADO EM RAMAL DE DISTRIBUIÇÃO DE ÁGUA FORNECIMENTO E INSTALAÇÃO. AF_06/2022</t>
  </si>
  <si>
    <t>LUVA DE CORRER, PVC, SOLDÁVEL, DN 32MM, INSTALADO EM RAMAL OU SUB-RAMAL DE ÁGUA FORNECIMENTO E INSTALAÇÃO. AF_06/2022</t>
  </si>
  <si>
    <t>LUVA DE CORRER, PVC, SOLDÁVEL, DN 40MM, INSTALADO EM PRUMADA DE ÁGUA FORNECIMENTO E INSTALAÇÃO. AF_06/2022</t>
  </si>
  <si>
    <t>LUVA DE CORRER, PVC, SOLDÁVEL, DN 40MM, INSTALADO EM RAMAL DE DISTRIBUIÇÃO DE ÁGUA - FORNECIMENTO E INSTALAÇÃO. AF_06/2022</t>
  </si>
  <si>
    <t>LUVA DE CORRER, PVC, SOLDÁVEL, DN 50MM, INSTALADO EM PRUMADA DE ÁGUA - FORNECIMENTO E INSTALAÇÃO. AF_06/2022</t>
  </si>
  <si>
    <t>LUVA DE CORRER, PVC, SOLDÁVEL, DN 50MM, INSTALADO EM RAMAL DE DISTRIBUIÇÃO DE ÁGUA - FORNECIMENTO E INSTALAÇÃO. AF_06/2022</t>
  </si>
  <si>
    <t>LUVA DE CORRER, PVC, SOLDÁVEL, DN 60MM, INSTALADO EM PRUMADA DE ÁGUA FORNECIMENTO E INSTALAÇÃO. AF_06/2022</t>
  </si>
  <si>
    <t>LUVA DE REDUÇÃO, PVC, SOLDÁVEL, DN 25MM X 20MM, INSTALADO EM RAMAL DE DISTRIBUIÇÃO DE ÁGUA - FORNECIMENTO E INSTALAÇÃO. AF_06/2022</t>
  </si>
  <si>
    <t>LUVA DE REDUÇÃO, PVC, SOLDÁVEL, DN 25MM X 20MM, INSTALADO EM RAMAL OU SUB-RAMAL DE ÁGUA - FORNECIMENTO E INSTALAÇÃO. AF_06/2022</t>
  </si>
  <si>
    <t>LUVA DE REDUÇÃO, PVC, SOLDÁVEL, DN 32MM X 25MM, INSTALADO EM PRUMADA DE ÁGUA - FORNECIMENTO E INSTALAÇÃO. AF_06/2022</t>
  </si>
  <si>
    <t>LUVA DE REDUÇÃO, PVC, SOLDÁVEL, DN 32MM X 25MM, INSTALADO EM RAMAL DE DISTRIBUIÇÃO DE ÁGUA - FORNECIMENTO E INSTALAÇÃO. AF_06/2022</t>
  </si>
  <si>
    <t>LUVA DE REDUÇÃO, PVC, SOLDÁVEL, DN 32MM X 25MM, INSTALADO EM RAMAL OU SUB-RAMAL DE ÁGUA - FORNECIMENTO E INSTALAÇÃO. AF_06/2022</t>
  </si>
  <si>
    <t>LUVA DE REDUÇÃO, PVC, SOLDÁVEL, DN 40MM X 32MM, INSTALADO EM PRUMADA DE ÁGUA - FORNECIMENTO E INSTALAÇÃO. AF_06/2022</t>
  </si>
  <si>
    <t>LUVA DE REDUÇÃO, PVC, SOLDÁVEL, DN 40MM X 32MM, INSTALADO EM RAMAL DE DISTRIBUIÇÃO DE ÁGUA - FORNECIMENTO E INSTALAÇÃO. AF_06/2022</t>
  </si>
  <si>
    <t>LUVA DE REDUÇÃO, PVC, SOLDÁVEL, DN 50MM X 25MM, INSTALADO EM PRUMADA DE ÁGUA FORNECIMENTO E INSTALAÇÃO. AF_06/2022</t>
  </si>
  <si>
    <t>LUVA DE REDUÇÃO, PVC, SOLDÁVEL, DN 50MM X 25MM, INSTALADO EM RAMAL DE DISTRIBUIÇÃO DE ÁGUA FORNECIMENTO E INSTALAÇÃO. AF_06/2022</t>
  </si>
  <si>
    <t>LUVA DE REDUÇÃO, PVC, SOLDÁVEL, DN 60MM X 50MM, INSTALADO EM PRUMADA DE ÁGUA - FORNECIMENTO E INSTALAÇÃO. AF_06/2022</t>
  </si>
  <si>
    <t>LUVA SOLDÁVEL E COM BUCHA DE LATÃO, PVC, SOLDÁVEL, DN 32MM X 1, INSTALADO EM PRUMADA DE ÁGUA FORNECIMENTO E INSTALAÇÃO. AF_06/2022</t>
  </si>
  <si>
    <t>LUVA SOLDÁVEL E COM ROSCA, PVC, SOLDÁVEL, DN 25MM X 3/4, INSTALADO EM RAMAL OU SUB-RAMAL DE ÁGUA - FORNECIMENTO E INSTALAÇÃO. AF_06/2022</t>
  </si>
  <si>
    <t>LUVA SOLDÁVEL E COM ROSCA, PVC, SOLDÁVEL, DN 32MM X 1, INSTALADO EM PRUMADA DE ÁGUA - FORNECIMENTO E INSTALAÇÃO. AF_06/2022</t>
  </si>
  <si>
    <t>LUVA SOLDÁVEL E COM ROSCA, PVC, SOLDÁVEL, DN 32MM X 1, INSTALADO EM RAMAL DE DISTRIBUIÇÃO DE ÁGUA - FORNECIMENTO E INSTALAÇÃO. AF_06/2022</t>
  </si>
  <si>
    <t>LUVA SOLDÁVEL E COM ROSCA, PVC, SOLDÁVEL, DN 32MM X 1, INSTALADO EM RAMAL OU SUB-RAMAL DE ÁGUA - FORNECIMENTO E INSTALAÇÃO. AF_06/2022</t>
  </si>
  <si>
    <t>LUVA, PVC, SOLDÁVEL, DN 20MM, INSTALADO EM RAMAL DE DISTRIBUIÇÃO DE ÁGUA - FORNECIMENTO E INSTALAÇÃO. AF_06/2022</t>
  </si>
  <si>
    <t>LUVA, PVC, SOLDÁVEL, DN 20MM, INSTALADO EM RAMAL OU SUB-RAMAL DE ÁGUA - FORNECIMENTO E INSTALAÇÃO. AF_06/2022</t>
  </si>
  <si>
    <t>LUVA, PVC, SOLDÁVEL, DN 25MM, INSTALADO EM PRUMADA DE ÁGUA - FORNECIMENTO E INSTALAÇÃO. AF_06/2022</t>
  </si>
  <si>
    <t>LUVA, PVC, SOLDÁVEL, DN 25MM, INSTALADO EM RAMAL DE DISTRIBUIÇÃO DE ÁGUA - FORNECIMENTO E INSTALAÇÃO. AF_06/2022</t>
  </si>
  <si>
    <t>LUVA, PVC, SOLDÁVEL, DN 25MM, INSTALADO EM RAMAL OU SUB-RAMAL DE ÁGUA - FORNECIMENTO E INSTALAÇÃO. AF_06/2022</t>
  </si>
  <si>
    <t>LUVA, PVC, SOLDÁVEL, DN 32MM, INSTALADO EM PRUMADA DE ÁGUA - FORNECIMENTO E INSTALAÇÃO. AF_06/2022</t>
  </si>
  <si>
    <t>LUVA, PVC, SOLDÁVEL, DN 32MM, INSTALADO EM RAMAL DE DISTRIBUIÇÃO DE ÁGUA - FORNECIMENTO E INSTALAÇÃO. AF_06/2022</t>
  </si>
  <si>
    <t>LUVA, PVC, SOLDÁVEL, DN 32MM, INSTALADO EM RAMAL OU SUB-RAMAL DE ÁGUA - FORNECIMENTO E INSTALAÇÃO. AF_06/2022</t>
  </si>
  <si>
    <t>LUVA, PVC, SOLDÁVEL, DN 40MM, INSTALADO EM PRUMADA DE ÁGUA - FORNECIMENTO E INSTALAÇÃO. AF_06/2022</t>
  </si>
  <si>
    <t>LUVA, PVC, SOLDÁVEL, DN 40MM, INSTALADO EM RAMAL DE DISTRIBUIÇÃO DE ÁGUA - FORNECIMENTO E INSTALAÇÃO. AF_06/2022</t>
  </si>
  <si>
    <t>LUVA, PVC, SOLDÁVEL, DN 50MM, INSTALADO EM PRUMADA DE ÁGUA - FORNECIMENTO E INSTALAÇÃO. AF_06/2022</t>
  </si>
  <si>
    <t>LUVA, PVC, SOLDÁVEL, DN 50MM, INSTALADO EM RAMAL DE DISTRIBUIÇÃO DE ÁGUA - FORNECIMENTO E INSTALAÇÃO. AF_06/2022</t>
  </si>
  <si>
    <t>LUVA, PVC, SOLDÁVEL, DN 60MM, INSTALADO EM PRUMADA DE ÁGUA - FORNECIMENTO E INSTALAÇÃO. AF_06/2022</t>
  </si>
  <si>
    <t>LUVA, PVC, SOLDÁVEL, DN 75MM, INSTALADO EM PRUMADA DE ÁGUA - FORNECIMENTO E INSTALAÇÃO. AF_06/2022</t>
  </si>
  <si>
    <t>LUVA, PVC, SOLDÁVEL, DN 85MM, INSTALADO EM PRUMADA DE ÁGUA - FORNECIMENTO E INSTALAÇÃO. AF_06/2022</t>
  </si>
  <si>
    <t>TE DE REDUÇÃO, 90 GRAUS, PVC, SOLDÁVEL, DN 50 MM X 20 MM, INSTALADO EM PRUMADA DE ÁGUA - FORNECIMENTO E INSTALAÇÃO. AF_06/2022</t>
  </si>
  <si>
    <t>TE DE REDUÇÃO, 90 GRAUS, PVC, SOLDÁVEL, DN 50 MM X 20 MM, INSTALADO EM RAMAL DE DISTRIBUIÇÃO DE ÁGUA - FORNECIMENTO E INSTALAÇÃO. AF_06/2022</t>
  </si>
  <si>
    <t>TE DE REDUÇÃO, 90 GRAUS, PVC, SOLDÁVEL, DN 50 MM X 32 MM, INSTALADO EM PRUMADA DE ÁGUA - FORNECIMENTO E INSTALAÇÃO. AF_06/2022</t>
  </si>
  <si>
    <t>TE DE REDUÇÃO, 90 GRAUS, PVC, SOLDÁVEL, DN 50 MM X 32 MM, INSTALADO EM RAMAL DE DISTRIBUIÇÃO DE ÁGUA - FORNECIMENTO E INSTALAÇÃO. AF_06/2022</t>
  </si>
  <si>
    <t>TE DE REDUÇÃO, PVC, SOLDÁVEL, DN 75MM X 50MM, INSTALADO EM PRUMADA DE ÁGUA - FORNECIMENTO E INSTALAÇÃO. AF_06/2022</t>
  </si>
  <si>
    <t>TE DE REDUÇÃO, PVC, SOLDÁVEL, DN 85MM X 60MM, INSTALADO EM PRUMADA DE ÁGUA - FORNECIMENTO E INSTALAÇÃO. AF_06/2022</t>
  </si>
  <si>
    <t>TE, PVC, SOLDÁVEL, DN 20MM, INSTALADO EM RAMAL DE DISTRIBUIÇÃO DE ÁGUA - FORNECIMENTO E INSTALAÇÃO. AF_06/2022</t>
  </si>
  <si>
    <t>TE, PVC, SOLDÁVEL, DN 20MM, INSTALADO EM RAMAL OU SUB-RAMAL DE ÁGUA - FORNECIMENTO E INSTALAÇÃO. AF_06/2022</t>
  </si>
  <si>
    <t>TE, PVC, SOLDÁVEL, DN 25MM, INSTALADO EM PRUMADA DE ÁGUA - FORNECIMENTO E INSTALAÇÃO. AF_06/2022</t>
  </si>
  <si>
    <t>TE, PVC, SOLDÁVEL, DN 25MM, INSTALADO EM RAMAL DE DISTRIBUIÇÃO DE ÁGUA - FORNECIMENTO E INSTALAÇÃO. AF_06/2022</t>
  </si>
  <si>
    <t>TE, PVC, SOLDÁVEL, DN 25MM, INSTALADO EM RAMAL OU SUB-RAMAL DE ÁGUA - FORNECIMENTO E INSTALAÇÃO. AF_06/2022</t>
  </si>
  <si>
    <t>TE, PVC, SOLDÁVEL, DN 32MM, INSTALADO EM PRUMADA DE ÁGUA - FORNECIMENTO E INSTALAÇÃO. AF_06/2022</t>
  </si>
  <si>
    <t>TE, PVC, SOLDÁVEL, DN 32MM, INSTALADO EM RAMAL DE DISTRIBUIÇÃO DE ÁGUA - FORNECIMENTO E INSTALAÇÃO. AF_06/2022</t>
  </si>
  <si>
    <t>TE, PVC, SOLDÁVEL, DN 32MM, INSTALADO EM RAMAL OU SUB-RAMAL DE ÁGUA - FORNECIMENTO E INSTALAÇÃO. AF_06/2022</t>
  </si>
  <si>
    <t>TE, PVC, SOLDÁVEL, DN 40MM, INSTALADO EM PRUMADA DE ÁGUA - FORNECIMENTO E INSTALAÇÃO. AF_06/2022</t>
  </si>
  <si>
    <t>TE, PVC, SOLDÁVEL, DN 40MM, INSTALADO EM RAMAL DE DISTRIBUIÇÃO DE ÁGUA - FORNECIMENTO E INSTALAÇÃO. AF_06/2022</t>
  </si>
  <si>
    <t>TE, PVC, SOLDÁVEL, DN 50MM, INSTALADO EM PRUMADA DE ÁGUA - FORNECIMENTO E INSTALAÇÃO. AF_06/2022</t>
  </si>
  <si>
    <t>TE, PVC, SOLDÁVEL, DN 50MM, INSTALADO EM RAMAL DE DISTRIBUIÇÃO DE ÁGUA - FORNECIMENTO E INSTALAÇÃO. AF_06/2022</t>
  </si>
  <si>
    <t>TE, PVC, SOLDÁVEL, DN 60MM, INSTALADO EM PRUMADA DE ÁGUA - FORNECIMENTO E INSTALAÇÃO. AF_06/2022</t>
  </si>
  <si>
    <t>TE, PVC, SOLDÁVEL, DN 75MM, INSTALADO EM PRUMADA DE ÁGUA - FORNECIMENTO E INSTALAÇÃO. AF_06/2022</t>
  </si>
  <si>
    <t>TE, PVC, SOLDÁVEL, DN 85MM, INSTALADO EM PRUMADA DE ÁGUA - FORNECIMENTO E INSTALAÇÃO. AF_06/2022</t>
  </si>
  <si>
    <t>TUBO, PVC, SOLDÁVEL, DE 20MM, INSTALADO EM RAMAL DE DISTRIBUIÇÃO DE ÁGUA - FORNECIMENTO E INSTALAÇÃO. AF_06/2022</t>
  </si>
  <si>
    <t>TUBO, PVC, SOLDÁVEL, DE 20MM, INSTALADO EM RAMAL OU SUB-RAMAL DE ÁGUA - FORNECIMENTO E INSTALAÇÃO. AF_06/2022</t>
  </si>
  <si>
    <t>TUBO, PVC, SOLDÁVEL, DE 25MM, INSTALADO EM PRUMADA DE ÁGUA - FORNECIMENTO E INSTALAÇÃO. AF_06/2022</t>
  </si>
  <si>
    <t>TUBO, PVC, SOLDÁVEL, DE 25MM, INSTALADO EM RAMAL DE DISTRIBUIÇÃO DE ÁGUA - FORNECIMENTO E INSTALAÇÃO. AF_06/2022</t>
  </si>
  <si>
    <t>TUBO, PVC, SOLDÁVEL, DE 25MM, INSTALADO EM RAMAL OU SUB-RAMAL DE ÁGUA - FORNECIMENTO E INSTALAÇÃO. AF_06/2022</t>
  </si>
  <si>
    <t>TUBO, PVC, SOLDÁVEL, DE 32MM, INSTALADO EM PRUMADA DE ÁGUA - FORNECIMENTO E INSTALAÇÃO. AF_06/2022</t>
  </si>
  <si>
    <t>TUBO, PVC, SOLDÁVEL, DE 32MM, INSTALADO EM RAMAL DE DISTRIBUIÇÃO DE ÁGUA - FORNECIMENTO E INSTALAÇÃO. AF_06/2022</t>
  </si>
  <si>
    <t>TUBO, PVC, SOLDÁVEL, DE 32MM, INSTALADO EM RAMAL OU SUB-RAMAL DE ÁGUA - FORNECIMENTO E INSTALAÇÃO. AF_06/2022</t>
  </si>
  <si>
    <t>TUBO, PVC, SOLDÁVEL, DE 40MM, INSTALADO EM PRUMADA DE ÁGUA - FORNECIMENTO E INSTALAÇÃO. AF_06/2022</t>
  </si>
  <si>
    <t>TUBO, PVC, SOLDÁVEL, DE 40MM, INSTALADO EM RAMAL DE DISTRIBUIÇÃO DE ÁGUA - FORNECIMENTO E INSTALAÇÃO. AF_06/2022</t>
  </si>
  <si>
    <t>TUBO, PVC, SOLDÁVEL, DE 50MM, INSTALADO EM PRUMADA DE ÁGUA - FORNECIMENTO E INSTALAÇÃO. AF_06/2022</t>
  </si>
  <si>
    <t>TUBO, PVC, SOLDÁVEL, DE 50MM, INSTALADO EM RAMAL DE DISTRIBUIÇÃO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</si>
  <si>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</si>
  <si>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</si>
  <si>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</si>
  <si>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TÊ COM BUCHA DE LATÃO NA BOLSA CENTRAL, PVC, SOLDÁVEL, DN 20MM X 1/2, INSTALADO EM RAMAL OU SUB-RAMAL DE ÁGUA - FORNECIMENTO E INSTALAÇÃO. AF_06/2022</t>
  </si>
  <si>
    <t>TÊ COM BUCHA DE LATÃO NA BOLSA CENTRAL, PVC, SOLDÁVEL, DN 25MM X 1/2, INSTALADO EM RAMAL OU SUB-RAMAL DE ÁGUA - FORNECIMENTO E INSTALAÇÃO. AF_06/2022</t>
  </si>
  <si>
    <t>TÊ COM BUCHA DE LATÃO NA BOLSA CENTRAL, PVC, SOLDÁVEL, DN 25MM X 3/4, INSTALADO EM RAMAL OU SUB-RAMAL DE ÁGUA - FORNECIMENTO E INSTALAÇÃO. AF_06/2022</t>
  </si>
  <si>
    <t>TÊ COM BUCHA DE LATÃO NA BOLSA CENTRAL, PVC, SOLDÁVEL, DN 32MM X 3/4, INSTALADO EM RAMAL DE DISTRIBUIÇÃO DE ÁGUA - FORNECIMENTO E INSTALAÇÃO. AF_06/2022</t>
  </si>
  <si>
    <t>TÊ COM BUCHA DE LATÃO NA BOLSA CENTRAL, PVC, SOLDÁVEL, DN 32MM X 3/4, INSTALADO EM RAMAL OU SUB-RAMAL DE ÁGUA - FORNECIMENTO E INSTALAÇÃO. AF_06/2022</t>
  </si>
  <si>
    <t>TÊ DE REDUÇÃO, PVC, SOLDÁVEL, DN 25MM X 20MM, INSTALADO EM RAMAL DE DISTRIBUIÇÃO DE ÁGUA - FORNECIMENTO E INSTALAÇÃO. AF_06/2022</t>
  </si>
  <si>
    <t>TÊ DE REDUÇÃO, PVC, SOLDÁVEL, DN 25MM X 20MM, INSTALADO EM RAMAL OU SUB-RAMAL DE ÁGUA - FORNECIMENTO E INSTALAÇÃO. AF_06/2022</t>
  </si>
  <si>
    <t>TÊ DE REDUÇÃO, PVC, SOLDÁVEL, DN 32MM X 25MM, INSTALADO EM PRUMADA DE ÁGUA - FORNECIMENTO E INSTALAÇÃO. AF_06/2022</t>
  </si>
  <si>
    <t>TÊ DE REDUÇÃO, PVC, SOLDÁVEL, DN 32MM X 25MM, INSTALADO EM RAMAL DE DISTRIBUIÇÃO DE ÁGUA - FORNECIMENTO E INSTALAÇÃO. AF_06/2022</t>
  </si>
  <si>
    <t>TÊ DE REDUÇÃO, PVC, SOLDÁVEL, DN 32MM X 25MM, INSTALADO EM RAMAL OU SUB-RAMAL DE ÁGUA - FORNECIMENTO E INSTALAÇÃO. AF_06/2022</t>
  </si>
  <si>
    <t>TÊ DE REDUÇÃO, PVC, SOLDÁVEL, DN 40MM X 32MM, INSTALADO EM PRUMADA DE ÁGUA - FORNECIMENTO E INSTALAÇÃO. AF_06/2022</t>
  </si>
  <si>
    <t>TÊ DE REDUÇÃO, PVC, SOLDÁVEL, DN 40MM X 32MM, INSTALADO EM RAMAL DE DISTRIBUIÇÃO DE ÁGUA - FORNECIMENTO E INSTALAÇÃO. AF_06/2022</t>
  </si>
  <si>
    <t>TÊ DE REDUÇÃO, PVC, SOLDÁVEL, DN 50MM X 25MM, INSTALADO EM PRUMADA DE ÁGUA - FORNECIMENTO E INSTALAÇÃO. AF_06/2022</t>
  </si>
  <si>
    <t>TÊ DE REDUÇÃO, PVC, SOLDÁVEL, DN 50MM X 25MM, INSTALADO EM RAMAL DE DISTRIBUIÇÃO DE ÁGUA - FORNECIMENTO E INSTALAÇÃO. AF_06/2022</t>
  </si>
  <si>
    <t>TÊ DE REDUÇÃO, PVC, SOLDÁVEL, DN 50MM X 40MM, INSTALADO EM PRUMADA DE ÁGUA - FORNECIMENTO E INSTALAÇÃO. AF_06/2022</t>
  </si>
  <si>
    <t>TÊ DE REDUÇÃO, PVC, SOLDÁVEL, DN 50MM X 40MM, INSTALADO EM RAMAL DE DISTRIBUIÇÃO DE ÁGUA - FORNECIMENTO E INSTALAÇÃO. AF_06/2022</t>
  </si>
  <si>
    <t>TÊ SOLDÁVEL E COM ROSCA NA BOLSA CENTRAL, PVC, SOLDÁVEL, DN 20MM X 1/2, INSTALADO EM RAMAL DE DISTRIBUIÇÃO DE ÁGUA - FORNECIMENTO E INSTALAÇÃO. AF_06/2022</t>
  </si>
  <si>
    <t>UNIÃO, PVC, SOLDÁVEL, DN 20MM, INSTALADO EM RAMAL DE DISTRIBUIÇÃO DE ÁGUA - FORNECIMENTO E INSTALAÇÃO. AF_06/2022</t>
  </si>
  <si>
    <t>UNIÃO, PVC, SOLDÁVEL, DN 20MM, INSTALADO EM RAMAL OU SUB-RAMAL DE ÁGUA - FORNECIMENTO E INSTALAÇÃO. AF_06/2022</t>
  </si>
  <si>
    <t>UNIÃO, PVC, SOLDÁVEL, DN 25MM, INSTALADO EM PRUMADA DE ÁGUA - FORNECIMENTO E INSTALAÇÃO. AF_06/2022</t>
  </si>
  <si>
    <t>UNIÃO, PVC, SOLDÁVEL, DN 25MM, INSTALADO EM RAMAL DE DISTRIBUIÇÃO DE ÁGUA - FORNECIMENTO E INSTALAÇÃO. AF_06/2022</t>
  </si>
  <si>
    <t>UNIÃO, PVC, SOLDÁVEL, DN 25MM, INSTALADO EM RAMAL OU SUB-RAMAL DE ÁGUA - FORNECIMENTO E INSTALAÇÃO. AF_06/2022</t>
  </si>
  <si>
    <t>UNIÃO, PVC, SOLDÁVEL, DN 32MM, INSTALADO EM PRUMADA DE ÁGUA - FORNECIMENTO E INSTALAÇÃO. AF_06/2022</t>
  </si>
  <si>
    <t>UNIÃO, PVC, SOLDÁVEL, DN 32MM, INSTALADO EM RAMAL DE DISTRIBUIÇÃO DE ÁGUA - FORNECIMENTO E INSTALAÇÃO. AF_06/2022</t>
  </si>
  <si>
    <t>UNIÃO, PVC, SOLDÁVEL, DN 32MM, INSTALADO EM RAMAL OU SUB-RAMAL DE ÁGUA - FORNECIMENTO E INSTALAÇÃO. AF_06/2022</t>
  </si>
  <si>
    <t>UNIÃO, PVC, SOLDÁVEL, DN 40MM, INSTALADO EM PRUMADA DE ÁGUA - FORNECIMENTO E INSTALAÇÃO. AF_06/2022</t>
  </si>
  <si>
    <t>UNIÃO, PVC, SOLDÁVEL, DN 40MM, INSTALADO EM RAMAL DE DISTRIBUIÇÃO DE ÁGUA - FORNECIMENTO E INSTALAÇÃO. AF_06/2022</t>
  </si>
  <si>
    <t>UNIÃO, PVC, SOLDÁVEL, DN 50MM, INSTALADO EM PRUMADA DE ÁGUA - FORNECIMENTO E INSTALAÇÃO. AF_06/2022</t>
  </si>
  <si>
    <t>UNIÃO, PVC, SOLDÁVEL, DN 50MM, INSTALADO EM RAMAL DE DISTRIBUIÇÃO DE ÁGUA - FORNECIMENTO E INSTALAÇÃO. AF_06/2022</t>
  </si>
  <si>
    <t>UNIÃO, PVC, SOLDÁVEL, DN 60MM, INSTALADO EM PRUMADA DE ÁGUA - FORNECIMENTO E INSTALAÇÃO. AF_06/2022</t>
  </si>
  <si>
    <t>UNIÃO, PVC, SOLDÁVEL, DN 75MM, INSTALADO EM PRUMADA DE ÁGUA - FORNECIMENTO E INSTALAÇÃO. AF_06/2022</t>
  </si>
  <si>
    <t>UNIÃO, PVC, SOLDÁVEL, DN 85MM, INSTALADO EM PRUMADA DE ÁGUA - FORNECIMENTO E INSTALAÇÃO. AF_06/2022</t>
  </si>
  <si>
    <t>ADAPTADOR, CPVC, SOLDÁVEL, DN 22MM, INSTALADO EM RAMAL DE DISTRIBUIÇÃO DE ÁGUA FORNECIMENTO E INSTALAÇÃO. AF_06/2022</t>
  </si>
  <si>
    <t>ADAPTADOR, CPVC, SOLDÁVEL, DN15MM, INSTALADO EM RAMAL OU SUB-RAMAL DE ÁGUA FORNECIMENTO E INSTALAÇÃO. AF_06/2022</t>
  </si>
  <si>
    <t>ADAPTADOR, CPVC, SOLDÁVEL, DN22MM, INSTALADO EM RAMAL OU SUB-RAMAL DE ÁGUA FORNECIMENTO E INSTALAÇÃO. AF_06/2022</t>
  </si>
  <si>
    <t>BUCHA DE REDUÇÃO, CPVC, SOLDÁVEL, DN 28MM X 22MM, INSTALADO EM RAMAL DE DISTRIBUIÇÃO DE ÁGUA - FORNECIMENTO E INSTALAÇÃO. AF_06/2022</t>
  </si>
  <si>
    <t>BUCHA DE REDUÇÃO, CPVC, SOLDÁVEL, DN 42MM X 22MM, INSTALADO EM RAMAL DE DISTRIBUIÇÃO DE ÁGUA - FORNECIMENTO E INSTALAÇÃO. AF_06/2022</t>
  </si>
  <si>
    <t>BUCHA DE REDUÇÃO, CPVC, SOLDÁVEL, DN22MM X 15MM, INSTALADO EM RAMAL OU SUB-RAMAL DE ÁGUA FORNECIMENTO E INSTALAÇÃO. AF_06/2022</t>
  </si>
  <si>
    <t>BUCHA DE REDUÇÃO, CPVC, SOLDÁVEL, DN28MM X 22MM, INSTALADO EM RAMAL OU SUB-RAMAL DE ÁGUA FORNECIMENTO E INSTALAÇÃO. AF_06/2022</t>
  </si>
  <si>
    <t>BUCHA DE REDUÇÃO, CPVC, SOLDÁVEL, DN35MM X 28MM, INSTALADO EM RAMAL DE DISTRIBUIÇÃO DE ÁGUA - FORNECIMENTO E INSTALAÇÃO. AF_06/2022</t>
  </si>
  <si>
    <t>BUCHA DE REDUÇÃO, CPVC, SOLDÁVEL, DN35MM X 28MM, INSTALADO EM RAMAL OU SUB-RAMAL DE ÁGUA FORNECIMENTO E INSTALAÇÃO. AF_06/2022</t>
  </si>
  <si>
    <t>CONECTOR, CPVC, SOLDÁVEL, DN 15MM X 1/2, INSTALADO EM RAMAL OU SUB-RAMAL DE ÁGUA FORNECIMENTO E INSTALAÇÃO. AF_06/2022</t>
  </si>
  <si>
    <t>CONECTOR, CPVC, SOLDÁVEL, DN 22MM X 1/2, INSTALADO EM RAMAL OU SUB-RAMAL DE ÁGUA FORNECIMENTO E INSTALAÇÃO. AF_06/2022</t>
  </si>
  <si>
    <t>CONECTOR, CPVC, SOLDÁVEL, DN 28MM X 1, INSTALADO EM RAMAL DE DISTRIBUIÇÃO DE ÁGUA FORNECIMENTO E INSTALAÇÃO. AF_06/2022</t>
  </si>
  <si>
    <t>CONECTOR, CPVC, SOLDÁVEL, DN 28MM X 1, INSTALADO EM RAMAL OU SUB-RAMAL DE ÁGUA FORNECIMENTO E INSTALAÇÃO. AF_06/2022</t>
  </si>
  <si>
    <t>CONECTOR, CPVC, SOLDÁVEL, DN 35MM X 1 1/4, INSTALADO EM PRUMADA DE ÁGUA FORNECIMENTO E INSTALAÇÃO. AF_06/2022</t>
  </si>
  <si>
    <t>CONECTOR, CPVC, SOLDÁVEL, DN 35MM X 1 1/4, INSTALADO EM RAMAL DE DISTRIBUIÇÃO DE ÁGUA - FORNECIMENTO E INSTALAÇÃO. AF_06/2022</t>
  </si>
  <si>
    <t>CONECTOR, CPVC, SOLDÁVEL, DN 35MM X 1 1/4, INSTALADO EM RAMAL OU SUB-RAMAL DE ÁGUA FORNECIMENTO E INSTALAÇÃO. AF_06/2022</t>
  </si>
  <si>
    <t>CONECTOR, CPVC, SOLDÁVEL, DN 42MM X 1.1/2", INSTALADO EM RAMAL DE DISTRIBUIÇÃO DE ÁGUA - FORNECIMENTO E INSTALAÇÃO. AF_06/2022</t>
  </si>
  <si>
    <t>CONECTOR, CPVC, SOLDÁVEL, DN 42MM X 1.1/2, INSTALADO EM PRUMADA DE ÁGUA FORNECIMENTO E INSTALAÇÃO. AF_06/2022</t>
  </si>
  <si>
    <t>CONECTOR, CPVC, SOLDÁVEL, DN22MM X 3/4", INSTALADO EM RAMAL OU SUB-RAMAL DE ÁGUA - FORNECIMENTO E INSTALAÇÃO. AF_06/2022</t>
  </si>
  <si>
    <t>CURVA 90 GRAUS, CPVC, SOLDÁVEL, DN 15MM, INSTALADO EM RAMAL OU SUB-RAMAL DE ÁGUA - FORNECIMENTO E INSTALAÇÃO. AF_06/2022</t>
  </si>
  <si>
    <t>CURVA 90 GRAUS, CPVC, SOLDÁVEL, DN 22MM, INSTALADO EM RAMAL DE DISTRIBUIÇÃO DE ÁGUA - FORNECIMENTO E INSTALAÇÃO. AF_06/2022</t>
  </si>
  <si>
    <t>CURVA 90 GRAUS, CPVC, SOLDÁVEL, DN 22MM, INSTALADO EM RAMAL OU SUB-RAMAL DE ÁGUA - FORNECIMENTO E INSTALAÇÃO. AF_06/2022</t>
  </si>
  <si>
    <t>CURVA 90 GRAUS, CPVC, SOLDÁVEL, DN 28MM, INSTALADO EM RAMAL DE DISTRIBUIÇÃO DE ÁGUA FORNECIMENTO E INSTALAÇÃO. AF_06/2022</t>
  </si>
  <si>
    <t>CURVA 90 GRAUS, CPVC, SOLDÁVEL, DN 28MM, INSTALADO EM RAMAL OU SUB-RAMAL DE ÁGUA FORNECIMENTO E INSTALAÇÃO. AF_06/2022</t>
  </si>
  <si>
    <t>CURVA DE TRANSPOSIÇÃO, CPVC, SOLDÁVEL, DN 22MM, INSTALADO EM RAMAL DE DISTRIBUIÇÃO DE ÁGUA FORNECIMENTO E INSTALAÇÃO. AF_06/2022</t>
  </si>
  <si>
    <t>CURVA DE TRANSPOSIÇÃO, CPVC, SOLDÁVEL, DN15MM, INSTALADO EM RAMAL OU SUB-RAMAL DE ÁGUA FORNECIMENTO E INSTALAÇÃO. AF_06/2022</t>
  </si>
  <si>
    <t>CURVA DE TRANSPOSIÇÃO, CPVC, SOLDÁVEL, DN22MM, INSTALADO EM RAMAL OU SUB-RAMAL DE ÁGUA FORNECIMENTO E INSTALAÇÃO. AF_06/2022</t>
  </si>
  <si>
    <t>JOELHO 45 GRAUS, CPVC, SOLDÁVEL, DN 15MM, INSTALADO EM RAMAL OU SUB-RAMAL DE ÁGUA - FORNECIMENTO E INSTALAÇÃO. AF_06/2022</t>
  </si>
  <si>
    <t>JOELHO 45 GRAUS, CPVC, SOLDÁVEL, DN 22MM, INSTALADO EM RAMAL DE DISTRIBUIÇÃO DE ÁGUA FORNECIMENTO E INSTALAÇÃO. AF_06/2022</t>
  </si>
  <si>
    <t>JOELHO 45 GRAUS, CPVC, SOLDÁVEL, DN 22MM, INSTALADO EM RAMAL OU SUB-RAMAL DE ÁGUA - FORNECIMENTO E INSTALAÇÃO. AF_06/2022</t>
  </si>
  <si>
    <t>JOELHO 45 GRAUS, CPVC, SOLDÁVEL, DN 28MM, INSTALADO EM RAMAL DE DISTRIBUIÇÃO DE ÁGUA FORNECIMENTO E INSTALAÇÃO. AF_06/2022</t>
  </si>
  <si>
    <t>JOELHO 45 GRAUS, CPVC, SOLDÁVEL, DN 28MM, INSTALADO EM RAMAL OU SUB-RAMAL DE ÁGUA FORNECIMENTO E INSTALAÇÃO. AF_06/2022</t>
  </si>
  <si>
    <t>JOELHO 45 GRAUS, CPVC, SOLDÁVEL, DN 35MM, INSTALADO EM PRUMADA DE ÁGUA - FORNECIMENTO E INSTALAÇÃO. AF_06/2022</t>
  </si>
  <si>
    <t>JOELHO 45 GRAUS, CPVC, SOLDÁVEL, DN 35MM, INSTALADO EM RAMAL DE DISTRIBUIÇÃO DE ÁGUA FORNECIMENTO E INSTALAÇÃO. AF_06/2022</t>
  </si>
  <si>
    <t>JOELHO 45 GRAUS, CPVC, SOLDÁVEL, DN 35MM, INSTALADO EM RAMAL OU SUB-RAMAL DE ÁGUA FORNECIMENTO E INSTALAÇÃO. AF_06/2022</t>
  </si>
  <si>
    <t>JOELHO 45 GRAUS, CPVC, SOLDÁVEL, DN 42MM, INSTALADO EM PRUMADA DE ÁGUA FORNECIMENTO E INSTALAÇÃO. AF_06/2022</t>
  </si>
  <si>
    <t>JOELHO 45 GRAUS, CPVC, SOLDÁVEL, DN 42MM, INSTALADO EM RAMAL DE DISTRIBUIÇÃO DE ÁGUA - FORNECIMENTO E INSTALAÇÃO. AF_06/2022</t>
  </si>
  <si>
    <t>JOELHO 45 GRAUS, CPVC, SOLDÁVEL, DN 54MM, INSTALADO EM PRUMADA DE ÁGUA FORNECIMENTO E INSTALAÇÃO. AF_06/2022</t>
  </si>
  <si>
    <t>JOELHO 45 GRAUS, CPVC, SOLDÁVEL, DN 73MM, INSTALADO EM PRUMADA DE ÁGUA FORNECIMENTO E INSTALAÇÃO. AF_06/2022</t>
  </si>
  <si>
    <t>JOELHO 45 GRAUS, CPVC, SOLDÁVEL, DN 89MM, INSTALADO EM PRUMADA DE ÁGUA FORNECIMENTO E INSTALAÇÃO. AF_06/2022</t>
  </si>
  <si>
    <t>JOELHO 90 GRAUS, CPVC, SOLDÁVEL, DN 15MM, INSTALADO EM RAMAL OU SUB-RAMAL DE ÁGUA - FORNECIMENTO E INSTALAÇÃO. AF_06/2022</t>
  </si>
  <si>
    <t>JOELHO 90 GRAUS, CPVC, SOLDÁVEL, DN 22MM, INSTALADO EM RAMAL DE DISTRIBUIÇÃO DE ÁGUA FORNECIMENTO E INSTALAÇÃO. AF_06/2022</t>
  </si>
  <si>
    <t>JOELHO 90 GRAUS, CPVC, SOLDÁVEL, DN 22MM, INSTALADO EM RAMAL OU SUB-RAMAL DE ÁGUA - FORNECIMENTO E INSTALAÇÃO. AF_06/2022</t>
  </si>
  <si>
    <t>JOELHO 90 GRAUS, CPVC, SOLDÁVEL, DN 28MM, INSTALADO EM RAMAL DE DISTRIBUIÇÃO DE ÁGUA FORNECIMENTO E INSTALAÇÃO. AF_06/2022</t>
  </si>
  <si>
    <t>JOELHO 90 GRAUS, CPVC, SOLDÁVEL, DN 28MM, INSTALADO EM RAMAL OU SUB-RAMAL DE ÁGUA - FORNECIMENTO E INSTALAÇÃO. AF_06/2022</t>
  </si>
  <si>
    <t>JOELHO 90 GRAUS, CPVC, SOLDÁVEL, DN 35MM, INSTALADO EM PRUMADA DE ÁGUA FORNECIMENTO E INSTALAÇÃO. AF_06/2022</t>
  </si>
  <si>
    <t>JOELHO 90 GRAUS, CPVC, SOLDÁVEL, DN 35MM, INSTALADO EM RAMAL DE DISTRIBUIÇÃO DE ÁGUA FORNECIMENTO E INSTALAÇÃO. AF_06/2022</t>
  </si>
  <si>
    <t>JOELHO 90 GRAUS, CPVC, SOLDÁVEL, DN 35MM, INSTALADO EM RAMAL OU SUB-RAMAL DE ÁGUA FORNECIMENTO E INSTALAÇÃO. AF_06/2022</t>
  </si>
  <si>
    <t>JOELHO 90 GRAUS, CPVC, SOLDÁVEL, DN 42MM, INSTALADO EM PRUMADA DE ÁGUA FORNECIMENTO E INSTALAÇÃO. AF_06/2022</t>
  </si>
  <si>
    <t>JOELHO 90 GRAUS, CPVC, SOLDÁVEL, DN 42MM, INSTALADO EM RAMAL DE DISTRIBUIÇÃO DE ÁGUA - FORNECIMENTO E INSTALAÇÃO. AF_06/2022</t>
  </si>
  <si>
    <t>JOELHO 90 GRAUS, CPVC, SOLDÁVEL, DN 54MM, INSTALADO EM PRUMADA DE ÁGUA FORNECIMENTO E INSTALAÇÃO. AF_06/2022</t>
  </si>
  <si>
    <t>JOELHO 90 GRAUS, CPVC, SOLDÁVEL, DN 73MM, INSTALADO EM PRUMADA DE ÁGUA FORNECIMENTO E INSTALAÇÃO. AF_06/2022</t>
  </si>
  <si>
    <t>JOELHO 90 GRAUS, CPVC, SOLDÁVEL, DN 89MM, INSTALADO EM PRUMADA DE ÁGUA FORNECIMENTO E INSTALAÇÃO. AF_06/2022</t>
  </si>
  <si>
    <t>JOELHO DE TRANSIÇÃO, 90 GRAUS, CPVC, SOLDÁVEL, DN 15MM X 1/2",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</si>
  <si>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</si>
  <si>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</si>
  <si>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LUVA DE CORRER, CPVC, SOLDÁVEL, DN 15MM, INSTALADO EM RAMAL OU SUB-RAMAL DE ÁGUA FORNECIMENTO E INSTALAÇÃO. AF_06/2022</t>
  </si>
  <si>
    <t>LUVA DE CORRER, CPVC, SOLDÁVEL, DN 22MM, INSTALADO EM RAMAL DE DISTRIBUIÇÃO DE ÁGUA FORNECIMENTO E INSTALAÇÃO. AF_12/2014</t>
  </si>
  <si>
    <t>LUVA DE CORRER, CPVC, SOLDÁVEL, DN 22MM, INSTALADO EM RAMAL OU SUB-RAMAL DE ÁGUA FORNECIMENTO E INSTALAÇÃO. AF_06/2022</t>
  </si>
  <si>
    <t>LUVA DE CORRER, CPVC, SOLDÁVEL, DN 28MM, INSTALADO EM RAMAL DE DISTRIBUIÇÃO DE ÁGUA FORNECIMENTO E INSTALAÇÃO. AF_06/2022</t>
  </si>
  <si>
    <t>LUVA DE CORRER, CPVC, SOLDÁVEL, DN 28MM, INSTALADO EM RAMAL OU SUB-RAMAL DE ÁGUA FORNECIMENTO E INSTALAÇÃO. AF_06/2022</t>
  </si>
  <si>
    <t>LUVA DE CORRER, CPVC, SOLDÁVEL, DN 35MM, INSTALADO EM PRUMADA DE ÁGUA FORNECIMENTO E INSTALAÇÃO. AF_06/2022</t>
  </si>
  <si>
    <t>LUVA DE CORRER, CPVC, SOLDÁVEL, DN 35MM, INSTALADO EM RAMAL DE DISTRIBUIÇÃO DE ÁGUA - FORNECIMENTO E INSTALAÇÃO. AF_06/2022</t>
  </si>
  <si>
    <t>LUVA DE CORRER, CPVC, SOLDÁVEL, DN 35MM, INSTALADO EM RAMAL OU SUB-RAMAL DE ÁGUA FORNECIMENTO E INSTALAÇÃO. AF_06/2022</t>
  </si>
  <si>
    <t>LUVA DE CORRER, CPVC, SOLDÁVEL, DN 42MM, INSTALADO EM PRUMADA DE ÁGUA FORNECIMENTO E INSTALAÇÃO. AF_06/2022</t>
  </si>
  <si>
    <t>LUVA DE CORRER, CPVC, SOLDÁVEL, DN 42MM, INSTALADO EM RAMAL DE DISTRIBUIÇÃO DE ÁGUA - FORNECIMENTO E INSTALAÇÃO. AF_06/2022</t>
  </si>
  <si>
    <t>LUVA DE TRANSIÇÃO, CPVC, SOLDÁVEL, DN 22MM X 25MM, INSTALADO EM RAMAL DE DISTRIBUIÇÃO DE ÁGUA FORNECIMENTO E INSTALAÇÃO. AF_06/2022</t>
  </si>
  <si>
    <t>LUVA DE TRANSIÇÃO, CPVC, SOLDÁVEL, DN 54MM X 2, INSTALADO EM PRUMADA DE ÁGUA FORNECIMENTO E INSTALAÇÃO. AF_06/2022</t>
  </si>
  <si>
    <t>LUVA DE TRANSIÇÃO, CPVC, SOLDÁVEL, DN15MM X 1/2", INSTALADO EM RAMAL OU SUB-RAMAL DE ÁGUA - FORNECIMENTO E INSTALAÇÃO. AF_06/2022</t>
  </si>
  <si>
    <t>LUVA DE TRANSIÇÃO, CPVC, SOLDÁVEL, DN22MM X 25MM, INSTALADO EM RAMAL OU SUB-RAMAL DE ÁGUA - FORNECIMENTO E INSTALAÇÃO. AF_06/2022</t>
  </si>
  <si>
    <t>LUVA DE TRANSIÇÃO, CPVC, SOLDÁVEL, DN42MM X 1.1/2", INSTALADO EM RAMAL DE DISTRIBUIÇÃO DE ÁGUA - FORNECIMENTO E INSTALAÇÃO. AF_06/2022</t>
  </si>
  <si>
    <t>LUVA DE TRANSIÇÃO, CPVC, SOLDÁVEL, DN42MM X 1.1/2, INSTALADO EM PRUMADA DE ÁGUA FORNECIMENTO E INSTALAÇÃO. AF_06/2022</t>
  </si>
  <si>
    <t>LUVA, CPVC, SOLDÁVEL, DN 15MM, INSTALADO EM RAMAL OU SUB-RAMAL DE ÁGUA - FORNECIMENTO E INSTALAÇÃO. AF_06/2022</t>
  </si>
  <si>
    <t>LUVA, CPVC, SOLDÁVEL, DN 22MM, INSTALADO EM RAMAL DE DISTRIBUIÇÃO DE ÁGUA FORNECIMENTO E INSTALAÇÃO. AF_06/2022</t>
  </si>
  <si>
    <t>LUVA, CPVC, SOLDÁVEL, DN 22MM, INSTALADO EM RAMAL OU SUB-RAMAL DE ÁGUA FORNECIMENTO E INSTALAÇÃO. AF_06/2022</t>
  </si>
  <si>
    <t>LUVA, CPVC, SOLDÁVEL, DN 28MM, INSTALADO EM RAMAL DE DISTRIBUIÇÃO DE ÁGUA FORNECIMENTO E INSTALAÇÃO. AF_06/2022</t>
  </si>
  <si>
    <t>LUVA, CPVC, SOLDÁVEL, DN 28MM, INSTALADO EM RAMAL OU SUB-RAMAL DE ÁGUA FORNECIMENTO E INSTALAÇÃO. AF_06/2022</t>
  </si>
  <si>
    <t>LUVA, CPVC, SOLDÁVEL, DN 35MM, INSTALADO EM PRUMADA DE ÁGUA FORNECIMENTO E INSTALAÇÃO. AF_06/2022</t>
  </si>
  <si>
    <t>LUVA, CPVC, SOLDÁVEL, DN 35MM, INSTALADO EM RAMAL DE DISTRIBUIÇÃO DE ÁGUA - FORNECIMENTO E INSTALAÇÃO. AF_06/2022</t>
  </si>
  <si>
    <t>LUVA, CPVC, SOLDÁVEL, DN 35MM, INSTALADO EM RAMAL OU SUB-RAMAL DE ÁGUA FORNECIMENTO E INSTALAÇÃO. AF_06/2022</t>
  </si>
  <si>
    <t>LUVA, CPVC, SOLDÁVEL, DN 42MM, INSTALADO EM PRUMADA DE ÁGUA FORNECIMENTO E INSTALAÇÃO. AF_06/2022</t>
  </si>
  <si>
    <t>LUVA, CPVC, SOLDÁVEL, DN 42MM, INSTALADO EM RAMAL DE DISTRIBUIÇÃO DE ÁGUA - FORNECIMENTO E INSTALAÇÃO. AF_06/2022</t>
  </si>
  <si>
    <t>LUVA, CPVC, SOLDÁVEL, DN 54MM, INSTALADO EM PRUMADA DE ÁGUA FORNECIMENTO E INSTALAÇÃO. AF_06/2022</t>
  </si>
  <si>
    <t>LUVA, CPVC, SOLDÁVEL, DN 73MM, INSTALADO EM PRUMADA DE ÁGUA FORNECIMENTO E INSTALAÇÃO. AF_06/2022</t>
  </si>
  <si>
    <t>LUVA, CPVC, SOLDÁVEL, DN 89MM, INSTALADO EM PRUMADA DE ÁGUA FORNECIMENTO E INSTALAÇÃO. AF_06/2022</t>
  </si>
  <si>
    <t>TE DE REDUÇÃO, CPVC, SOLDÁVEL, DN 22 X 15 MM, INSTALADO EM RAMAL OU SUB-RAMAL DE ÁGUA - FORNECIMENTO E INSTALAÇÃO. AF_06/2022</t>
  </si>
  <si>
    <t>TE DE REDUÇÃO, CPVC, SOLDÁVEL, DN 28 X 22 MM, INSTALADO EM RAMAL DE DISTRIBUIÇÃO DE ÁGUA - FORNECIMENTO E INSTALAÇÃO. AF_06/2022</t>
  </si>
  <si>
    <t>TE DE REDUÇÃO, CPVC, SOLDÁVEL, DN 28 X 22 MM, INSTALADO EM RAMAL OU SUB-RAMAL DE ÁGUA - FORNECIMENTO E INSTALAÇÃO. AF_06/2022</t>
  </si>
  <si>
    <t>TE DE REDUÇÃO, CPVC, SOLDÁVEL, DN 35 X 28 MM, INSTALADO EM RAMAL DE DISTRIBUIÇÃO DE ÁGUA - FORNECIMENTO E INSTALAÇÃO. AF_06/2022</t>
  </si>
  <si>
    <t>TE DE REDUÇÃO, CPVC, SOLDÁVEL, DN 35 X 28 MM, INSTALADO EM RAMAL OU SUB-RAMAL DE ÁGUA - FORNECIMENTO E INSTALAÇÃO. AF_06/2022</t>
  </si>
  <si>
    <t>TE DE REDUÇÃO, CPVC, SOLDÁVEL, DN 42 X 35 MM, INSTALADO EM PRUMADA DE ÁGUA - FORNECIMENTO E INSTALAÇÃO. AF_06/2022</t>
  </si>
  <si>
    <t>TE DE REDUÇÃO, CPVC, SOLDÁVEL, DN 42 X 35 MM, INSTALADO EM RAMAL DE DISTRIBUIÇÃO DE ÁGUA - FORNECIMENTO E INSTALAÇÃO. AF_06/2022</t>
  </si>
  <si>
    <t>TE DE TRANSIÇÃO, CPVC, SOLDÁVEL, DN 15MM X 1/2, INSTALADO EM RAMAL OU SUB-RAMAL DE ÁGUA FORNECIMENTO E INSTALAÇÃO. AF_06/2022</t>
  </si>
  <si>
    <t>TE DE TRANSIÇÃO, CPVC, SOLDÁVEL, DN 22MM X 1/2, INSTALADO EM RAMAL OU SUB-RAMAL DE ÁGUA FORNECIMENTO E INSTALAÇÃO. AF_06/2022</t>
  </si>
  <si>
    <t>TE MISTURADOR DE TRANSIÇÃO, CPVC, SOLDÁVEL, DN 22MM X 3/4", INSTALADO EM RAMAL OU SUB-RAMAL DE ÁGUA - FORNECIMENTO E INSTALAÇÃO. AF_06/2022</t>
  </si>
  <si>
    <t>TE, CPVC, SOLDÁVEL, DN 15MM, INSTALADO EM RAMAL OU SUB-RAMAL DE ÁGUA - FORNECIMENTO E INSTALAÇÃO. AF_06/2022</t>
  </si>
  <si>
    <t>TE, CPVC, SOLDÁVEL, DN 22MM, INSTALADO EM RAMAL DE DISTRIBUIÇÃO DE ÁGUA - FORNECIMENTO E INSTALAÇÃO. AF_06/2022</t>
  </si>
  <si>
    <t>TE, CPVC, SOLDÁVEL, DN 22MM, INSTALADO EM RAMAL OU SUB-RAMAL DE ÁGUA - FORNECIMENTO E INSTALAÇÃO. AF_06/2022</t>
  </si>
  <si>
    <t>TE, CPVC, SOLDÁVEL, DN 42MM, INSTALADO EM PRUMADA DE ÁGUA FORNECIMENTO E INSTALAÇÃO. AF_06/2022</t>
  </si>
  <si>
    <t>TE, CPVC, SOLDÁVEL, DN 42MM, INSTALADO EM RAMAL DE DISTRIBUIÇÃO DE ÁGUA - FORNECIMENTO E INSTALAÇÃO. AF_06/2022</t>
  </si>
  <si>
    <t>TUBO, CPVC, SOLDÁVEL, DN 15MM, INSTALADO EM RAMAL OU SUB-RAMAL DE ÁGUA - FORNECIMENTO E INSTALAÇÃO. AF_06/2022</t>
  </si>
  <si>
    <t>TUBO, CPVC, SOLDÁVEL, DN 22MM, INSTALADO EM RAMAL DE DISTRIBUIÇÃO DE ÁGUA - FORNECIMENTO E INSTALAÇÃO. AF_06/2022</t>
  </si>
  <si>
    <t>TUBO, CPVC, SOLDÁVEL, DN 22MM, INSTALADO EM RAMAL OU SUB-RAMAL DE ÁGUA - FORNECIMENTO E INSTALAÇÃO. AF_06/2022</t>
  </si>
  <si>
    <t>TUBO, CPVC, SOLDÁVEL, DN 28MM, INSTALADO EM RAMAL DE DISTRIBUIÇÃO DE ÁGUA - FORNECIMENTO E INSTALAÇÃO. AF_06/2022</t>
  </si>
  <si>
    <t>TUBO, CPVC, SOLDÁVEL, DN 28MM, INSTALADO EM RAMAL OU SUB-RAMAL DE ÁGUA - FORNECIMENTO E INSTALAÇÃO. AF_06/2022</t>
  </si>
  <si>
    <t>TUBO, CPVC, SOLDÁVEL, DN 35MM, INSTALADO EM PRUMADA DE ÁGUA FORNECIMENTO E INSTALAÇÃO. AF_06/2022</t>
  </si>
  <si>
    <t>TUBO, CPVC, SOLDÁVEL, DN 35MM, INSTALADO EM RAMAL DE DISTRIBUIÇÃO DE ÁGUA FORNECIMENTO E INSTALAÇÃO. AF_06/2022</t>
  </si>
  <si>
    <t>TUBO, CPVC, SOLDÁVEL, DN 35MM, INSTALADO EM RAMAL OU SUB-RAMAL DE ÁGUA FORNECIMENTO E INSTALAÇÃO. AF_06/2022</t>
  </si>
  <si>
    <t>TUBO, CPVC, SOLDÁVEL, DN 42MM, INSTALADO EM PRUMADA DE ÁGUA FORNECIMENTO E INSTALAÇÃO. AF_06/2022</t>
  </si>
  <si>
    <t>TUBO, CPVC, SOLDÁVEL, DN 42MM, INSTALADO EM RAMAL DE DISTRIBUIÇÃO DE ÁGUA - FORNECIMENTO E INSTALAÇÃO. AF_06/2022</t>
  </si>
  <si>
    <t>TUBO, CPVC, SOLDÁVEL, DN 54MM,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</si>
  <si>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</si>
  <si>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</si>
  <si>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TÊ MISTURADOR, CPVC, SOLDÁVEL, DN 22MM, INSTALADO EM RAMAL DE DISTRIBUIÇÃO DE ÁGUA - FORNECIMENTO E INSTALAÇÃO. AF_06/2022</t>
  </si>
  <si>
    <t>TÊ MISTURADOR, CPVC, SOLDÁVEL, DN15MM, INSTALADO EM RAMAL OU SUB-RAMAL DE ÁGUA FORNECIMENTO E INSTALAÇÃO. AF_06/2022</t>
  </si>
  <si>
    <t>TÊ MISTURADOR, CPVC, SOLDÁVEL, DN22MM, INSTALADO EM RAMAL OU SUB-RAMAL DE ÁGUA FORNECIMENTO E INSTALAÇÃO. AF_06/2022</t>
  </si>
  <si>
    <t>TÊ, CPVC, SOLDÁVEL, DN 28MM, INSTALADO EM RAMAL DE DISTRIBUIÇÃO DE ÁGUA - FORNECIMENTO E INSTALAÇÃO. AF_06/2022</t>
  </si>
  <si>
    <t>TÊ, CPVC, SOLDÁVEL, DN 35MM,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</si>
  <si>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</si>
  <si>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</si>
  <si>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</si>
  <si>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TÊ, CPVC, SOLDÁVEL, DN28MM, INSTALADO EM RAMAL OU SUB-RAMAL DE ÁGUA FORNECIMENTO E INSTALAÇÃO. AF_06/2022</t>
  </si>
  <si>
    <t>TÊ, CPVC, SOLDÁVEL, DN35MM, INSTALADO EM RAMAL DE DISTRIBUIÇÃO DE ÁGUA - FORNECIMENTO E INSTALAÇÃO. AF_06/2022</t>
  </si>
  <si>
    <t>TÊ, CPVC, SOLDÁVEL, DN35MM, INSTALADO EM RAMAL OU SUB-RAMAL DE ÁGUA FORNECIMENTO E INSTALAÇÃO. AF_06/2022</t>
  </si>
  <si>
    <t>UNIÃO, CPVC, SOLDÁVEL, DN 22MM, INSTALADO EM RAMAL DE DISTRIBUIÇÃO DE ÁGUA FORNECIMENTO E INSTALAÇÃO. AF_06/2022</t>
  </si>
  <si>
    <t>UNIÃO, CPVC, SOLDÁVEL, DN 28MM, INSTALADO EM RAMAL DE DISTRIBUIÇÃO DE ÁGUA FORNECIMENTO E INSTALAÇÃO. AF_06/2022</t>
  </si>
  <si>
    <t>UNIÃO, CPVC, SOLDÁVEL, DN 42MM, INSTALADO EM RAMAL DE DISTRIBUIÇÃO DE ÁGUA FORNECIMENTO E INSTALAÇÃO. AF_06/2022</t>
  </si>
  <si>
    <t>UNIÃO, CPVC, SOLDÁVEL, DN 54MM, INSTALADO EM PRUMADA DE ÁGUA FORNECIMENTO E INSTALAÇÃO. AF_06/2022</t>
  </si>
  <si>
    <t>UNIÃO, CPVC, SOLDÁVEL, DN 73MM, INSTALADO EM PRUMADA DE ÁGUA FORNECIMENTO E INSTALAÇÃO. AF_06/2022</t>
  </si>
  <si>
    <t>UNIÃO, CPVC, SOLDÁVEL, DN 89MM, INSTALADO EM PRUMADA DE ÁGUA FORNECIMENTO E INSTALAÇÃO. AF_06/2022</t>
  </si>
  <si>
    <t>UNIÃO, CPVC, SOLDÁVEL, DN15MM, INSTALADO EM RAMAL OU SUB-RAMAL DE ÁGUA FORNECIMENTO E INSTALAÇÃO. AF_06/2022</t>
  </si>
  <si>
    <t>UNIÃO, CPVC, SOLDÁVEL, DN22MM, INSTALADO EM RAMAL OU SUB-RAMAL DE ÁGUA FORNECIMENTO E INSTALAÇÃO. AF_06/2022</t>
  </si>
  <si>
    <t>UNIÃO, CPVC, SOLDÁVEL, DN28MM, INSTALADO EM RAMAL OU SUB-RAMAL DE ÁGUA FORNECIMENTO E INSTALAÇÃO. AF_06/2022</t>
  </si>
  <si>
    <t>UNIÃO, CPVC, SOLDÁVEL, DN35MM, INSTALADO EM PRUMADA DE ÁGUA FORNECIMENTO E INSTALAÇÃO. AF_06/2022</t>
  </si>
  <si>
    <t>UNIÃO, CPVC, SOLDÁVEL, DN35MM, INSTALADO EM RAMAL DE DISTRIBUIÇÃO DE ÁGUA - FORNECIMENTO E INSTALAÇÃO. AF_06/2022</t>
  </si>
  <si>
    <t>UNIÃO, CPVC, SOLDÁVEL, DN35MM, INSTALADO EM RAMAL OU SUB-RAMAL DE ÁGUA FORNECIMENTO E INSTALAÇÃO. AF_06/2022</t>
  </si>
  <si>
    <t>UNIÃO, CPVC, SOLDÁVEL, DN42MM, INSTALADO EM PRUMADA DE ÁGUA FORNECIMENTO E INSTALAÇÃO. AF_06/2022</t>
  </si>
  <si>
    <t>BUCHA DE REDUÇÃO LONGA, PVC, SERIE R, ÁGUA PLUVIAL, DN 50 X 40 MM, JUNTA ELÁSTICA, FORNECIDO E INSTALADO EM RAMAL DE ENCAMINHAMENTO. AF_06/2022</t>
  </si>
  <si>
    <t>CAIXA SIFONADA, PVC, DN 100 X 100 X 50 MM, FORNECIDA E INSTALADA EM RAMAIS DE ENCAMINHAMENTO DE ÁGUA PLUVIAL. AF_06/2022</t>
  </si>
  <si>
    <t>CAIXA SIFONADA, PVC, DN 150 X 185 X 75 MM, FORNECIDA E INSTALADA EM RAMAIS DE ENCAMINHAMENTO DE ÁGUA PLUVIAL. AF_06/2022</t>
  </si>
  <si>
    <t>CAP, PVC, SERIE R, ÁGUA PLUVIAL, DN 100 MM, JUNTA ELÁSTICA, FORNECIDO E INSTALADO EM RAMAL DE ENCAMINHAMENTO. AF_06/2022</t>
  </si>
  <si>
    <t>CAP, PVC, SERIE R, ÁGUA PLUVIAL, DN 150 MM, JUNTA ELÁSTICA, FORNECIDO E INSTALADO EM RAMAL DE ENCAMINHAMENTO. AF_06/2022</t>
  </si>
  <si>
    <t>CURVA 87 GRAUS E 30 MINUTOS, PVC, SERIE R, ÁGUA PLUVIAL, DN 100 MM, JUNTA ELÁSTICA, FORNECIDO E INSTALADO EM CONDUTORES VERTICAIS DE ÁGUAS PLUVIAIS. AF_06/2022</t>
  </si>
  <si>
    <t>CURVA 87 GRAUS E 30 MINUTOS, PVC, SERIE R, ÁGUA PLUVIAL, DN 100 MM, JUNTA ELÁSTICA, FORNECIDO E INSTALADO EM RAMAL DE ENCAMINHAMENTO. AF_06/2022</t>
  </si>
  <si>
    <t>CURVA 87 GRAUS E 30 MINUTOS, PVC, SERIE R, ÁGUA PLUVIAL, DN 150 MM, JUNTA ELÁSTICA, FORNECIDO E INSTALADO EM CONDUTORES VERTICAIS DE ÁGUAS PLUVIAIS. AF_06/2022</t>
  </si>
  <si>
    <t>CURVA 87 GRAUS E 30 MINUTOS, PVC, SERIE R, ÁGUA PLUVIAL, DN 150 MM, JUNTA ELÁSTICA, FORNECIDO E INSTALADO EM RAMAL DE ENCAMINHAMENTO. AF_06/2022</t>
  </si>
  <si>
    <t>CURVA 87 GRAUS E 30 MINUTOS, PVC, SERIE R, ÁGUA PLUVIAL, DN 75 MM, JUNTA ELÁSTICA, FORNECIDO E INSTALADO EM CONDUTORES VERTICAIS DE ÁGUAS PLUVIAIS. AF_06/2022</t>
  </si>
  <si>
    <t>CURVA 87 GRAUS E 30 MINUTOS, PVC, SERIE R, ÁGUA PLUVIAL, DN 75 MM, JUNTA ELÁSTICA, FORNECIDO E INSTALADO EM RAMAL DE ENCAMINHAMENTO. AF_06/2022</t>
  </si>
  <si>
    <t>CURVA 90 GRAUS, PVC, SERIE R, ÁGUA PLUVIAL, DN 100 MM, JUNTA ELÁSTICA, FORNECIDO E INSTALADO EM CONDUTORES VERTICAIS DE ÁGUAS PLUVIAIS. AF_06/2022</t>
  </si>
  <si>
    <t>CURVA 90 GRAUS, PVC, SERIE R, ÁGUA PLUVIAL, DN 100 MM, JUNTA ELÁSTICA, FORNECIDO E INSTALADO EM RAMAL DE ENCAMINHAMENTO. AF_06/2022</t>
  </si>
  <si>
    <t>JOELHO 45 GRAUS, PVC, SERIE R, ÁGUA PLUVIAL, DN 100 MM, JUNTA ELÁSTICA, FORNECIDO E INSTALADO EM CONDUTORES VERTICAIS DE ÁGUAS PLUVIAIS. AF_06/2022</t>
  </si>
  <si>
    <t>JOELHO 45 GRAUS, PVC, SERIE R, ÁGUA PLUVIAL, DN 100 MM, JUNTA ELÁSTICA, FORNECIDO E INSTALADO EM RAMAL DE ENCAMINHAMENTO. AF_06/2022</t>
  </si>
  <si>
    <t>JOELHO 45 GRAUS, PVC, SERIE R, ÁGUA PLUVIAL, DN 150 MM, JUNTA ELÁSTICA, FORNECIDO E INSTALADO EM CONDUTORES VERTICAIS DE ÁGUAS PLUVIAIS. AF_06/2022</t>
  </si>
  <si>
    <t>JOELHO 45 GRAUS, PVC, SERIE R, ÁGUA PLUVIAL, DN 150 MM, JUNTA ELÁSTICA, FORNECIDO E INSTALADO EM RAMAL DE ENCAMINHAMENTO. AF_06/2022</t>
  </si>
  <si>
    <t>JOELHO 45 GRAUS, PVC, SERIE R, ÁGUA PLUVIAL, DN 40 MM, JUNTA SOLDÁVEL, FORNECIDO E INSTALADO EM RAMAL DE ENCAMINHAMENTO. AF_06/2022</t>
  </si>
  <si>
    <t>JOELHO 45 GRAUS, PVC, SERIE R, ÁGUA PLUVIAL, DN 50 MM, JUNTA ELÁSTICA, FORNECIDO E INSTALADO EM RAMAL DE ENCAMINHAMENTO. AF_06/2022</t>
  </si>
  <si>
    <t>JOELHO 45 GRAUS, PVC, SERIE R, ÁGUA PLUVIAL, DN 75 MM, JUNTA ELÁSTICA, FORNECIDO E INSTALADO EM CONDUTORES VERTICAIS DE ÁGUAS PLUVIAIS. AF_06/2022</t>
  </si>
  <si>
    <t>JOELHO 45 GRAUS, PVC, SERIE R, ÁGUA PLUVIAL, DN 75 MM, JUNTA ELÁSTICA, FORNECIDO E INSTALADO EM RAMAL DE ENCAMINHAMENTO. AF_06/2022</t>
  </si>
  <si>
    <t>JOELHO 90 GRAUS, PVC, SERIE R, ÁGUA PLUVIAL, DN 100 MM, JUNTA ELÁSTICA, FORNECIDO E INSTALADO EM CONDUTORES VERTICAIS DE ÁGUAS PLUVIAIS. AF_06/2022</t>
  </si>
  <si>
    <t>JOELHO 90 GRAUS, PVC, SERIE R, ÁGUA PLUVIAL, DN 100 MM, JUNTA ELÁSTICA, FORNECIDO E INSTALADO EM RAMAL DE ENCAMINHAMENTO. AF_06/2022</t>
  </si>
  <si>
    <t>JOELHO 90 GRAUS, PVC, SERIE R, ÁGUA PLUVIAL, DN 150 MM, JUNTA ELÁSTICA, FORNECIDO E INSTALADO EM CONDUTORES VERTICAIS DE ÁGUAS PLUVIAIS. AF_06/2022</t>
  </si>
  <si>
    <t>JOELHO 90 GRAUS, PVC, SERIE R, ÁGUA PLUVIAL, DN 150 MM, JUNTA ELÁSTICA, FORNECIDO E INSTALADO EM RAMAL DE ENCAMINHAMENTO. AF_06/2022</t>
  </si>
  <si>
    <t>JOELHO 90 GRAUS, PVC, SERIE R, ÁGUA PLUVIAL, DN 40 MM, JUNTA SOLDÁVEL, FORNECIDO E INSTALADO EM RAMAL DE ENCAMINHAMENTO. AF_06/2022</t>
  </si>
  <si>
    <t>JOELHO 90 GRAUS, PVC, SERIE R, ÁGUA PLUVIAL, DN 50 MM, JUNTA ELÁSTICA, FORNECIDO E INSTALADO EM RAMAL DE ENCAMINHAMENTO. AF_06/2022</t>
  </si>
  <si>
    <t>JOELHO 90 GRAUS, PVC, SERIE R, ÁGUA PLUVIAL, DN 75 MM, JUNTA ELÁSTICA, FORNECIDO E INSTALADO EM CONDUTORES VERTICAIS DE ÁGUAS PLUVIAIS. AF_06/2022</t>
  </si>
  <si>
    <t>JOELHO 90 GRAUS, PVC, SERIE R, ÁGUA PLUVIAL, DN 75 MM, JUNTA ELÁSTICA, FORNECIDO E INSTALADO EM RAMAL DE ENCAMINHAMENTO. AF_06/2022</t>
  </si>
  <si>
    <t>JUNÇÃO DUPLA, PVC, SERIE R, ÁGUA PLUVIAL, DN 100 X 100 X 100 MM, JUNTA ELÁSTICA, FORNECIDO E INSTALADO EM RAMAL DE ENCAMINHAMENTO. AF_06/2022</t>
  </si>
  <si>
    <t>JUNÇÃO SIMPLES, PVC, SERIE R, ÁGUA PLUVIAL, DN 100 X 100 MM, JUNTA ELÁSTICA, FORNECIDO E INSTALADO EM CONDUTORES VERTICAIS DE ÁGUAS PLUVIAIS. AF_06/2022</t>
  </si>
  <si>
    <t>JUNÇÃO SIMPLES, PVC, SERIE R, ÁGUA PLUVIAL, DN 100 X 100 MM, JUNTA ELÁSTICA, FORNECIDO E INSTALADO EM RAMAL DE ENCAMINHAMENTO. AF_06/2022</t>
  </si>
  <si>
    <t>JUNÇÃO SIMPLES, PVC, SERIE R, ÁGUA PLUVIAL, DN 100 X 75 MM, JUNTA ELÁSTICA, FORNECIDO E INSTALADO EM CONDUTORES VERTICAIS DE ÁGUAS PLUVIAIS. AF_06/2022</t>
  </si>
  <si>
    <t>JUNÇÃO SIMPLES, PVC, SERIE R, ÁGUA PLUVIAL, DN 100 X 75 MM, JUNTA ELÁSTICA, FORNECIDO E INSTALADO EM RAMAL DE ENCAMINHAMENTO. AF_06/2022</t>
  </si>
  <si>
    <t>JUNÇÃO SIMPLES, PVC, SERIE R, ÁGUA PLUVIAL, DN 150 X 100 MM, JUNTA ELÁSTICA, FORNECIDO E INSTALADO EM CONDUTORES VERTICAIS DE ÁGUAS PLUVIAIS. AF_06/2022</t>
  </si>
  <si>
    <t>JUNÇÃO SIMPLES, PVC, SERIE R, ÁGUA PLUVIAL, DN 150 X 100 MM, JUNTA ELÁSTICA, FORNECIDO E INSTALADO EM RAMAL DE ENCAMINHAMENTO. AF_06/2022</t>
  </si>
  <si>
    <t>JUNÇÃO SIMPLES, PVC, SERIE R, ÁGUA PLUVIAL, DN 150 X 150 MM, JUNTA ELÁSTICA, FORNECIDO E INSTALADO EM CONDUTORES VERTICAIS DE ÁGUAS PLUVIAIS. AF_06/2022</t>
  </si>
  <si>
    <t>JUNÇÃO SIMPLES, PVC, SERIE R, ÁGUA PLUVIAL, DN 150 X 150 MM, JUNTA ELÁSTICA, FORNECIDO E INSTALADO EM RAMAL DE ENCAMINHAMENTO. AF_06/2022</t>
  </si>
  <si>
    <t>JUNÇÃO SIMPLES, PVC, SERIE R, ÁGUA PLUVIAL, DN 40 MM, JUNTA SOLDÁVEL, FORNECIDO E INSTALADO EM RAMAL DE ENCAMINHAMENTO. AF_06/2022</t>
  </si>
  <si>
    <t>JUNÇÃO SIMPLES, PVC, SERIE R, ÁGUA PLUVIAL, DN 50 MM, JUNTA ELÁSTICA, FORNECIDO E INSTALADO EM RAMAL DE ENCAMINHAMENTO. AF_06/2022</t>
  </si>
  <si>
    <t>JUNÇÃO SIMPLES, PVC, SERIE R, ÁGUA PLUVIAL, DN 75 X 75 MM, JUNTA ELÁSTICA, FORNECIDO E INSTALADO EM CONDUTORES VERTICAIS DE ÁGUAS PLUVIAIS. AF_06/2022</t>
  </si>
  <si>
    <t>JUNÇÃO SIMPLES, PVC, SERIE R, ÁGUA PLUVIAL, DN 75 X 75 MM, JUNTA ELÁSTICA, FORNECIDO E INSTALADO EM RAMAL DE ENCAMINHAMENTO. AF_06/2022</t>
  </si>
  <si>
    <t>LUVA DE CORRER, PVC, SERIE R, ÁGUA PLUVIAL, DN 100 MM, JUNTA ELÁSTICA, FORNECIDO E INSTALADO EM CONDUTORES VERTICAIS DE ÁGUAS PLUVIAIS. AF_06/2022</t>
  </si>
  <si>
    <t>LUVA DE CORRER, PVC, SERIE R, ÁGUA PLUVIAL, DN 100 MM, JUNTA ELÁSTICA, FORNECIDO E INSTALADO EM RAMAL DE ENCAMINHAMENTO. AF_06/2022</t>
  </si>
  <si>
    <t>LUVA DE CORRER, PVC, SERIE R, ÁGUA PLUVIAL, DN 150 MM, JUNTA ELÁSTICA, FORNECIDO E INSTALADO EM CONDUTORES VERTICAIS DE ÁGUAS PLUVIAIS. AF_06/2022</t>
  </si>
  <si>
    <t>LUVA DE CORRER, PVC, SERIE R, ÁGUA PLUVIAL, DN 150 MM, JUNTA ELÁSTICA, FORNECIDO E INSTALADO EM RAMAL DE ENCAMINHAMENTO. AF_06/2022</t>
  </si>
  <si>
    <t>LUVA DE CORRER, PVC, SERIE R, ÁGUA PLUVIAL, DN 75 MM, JUNTA ELÁSTICA, FORNECIDO E INSTALADO EM CONDUTORES VERTICAIS DE ÁGUAS PLUVIAIS. AF_06/2022</t>
  </si>
  <si>
    <t>LUVA DE CORRER, PVC, SERIE R, ÁGUA PLUVIAL, DN 75 MM, JUNTA ELÁSTICA, FORNECIDO E INSTALADO EM RAMAL DE ENCAMINHAMENTO. AF_06/2022</t>
  </si>
  <si>
    <t>LUVA SIMPLES, PVC, SERIE R, ÁGUA PLUVIAL, DN 100 MM, JUNTA ELÁSTICA, FORNECIDO E INSTALADO EM CONDUTORES VERTICAIS DE ÁGUAS PLUVIAIS. AF_06/2022</t>
  </si>
  <si>
    <t>LUVA SIMPLES, PVC, SERIE R, ÁGUA PLUVIAL, DN 100 MM, JUNTA ELÁSTICA, FORNECIDO E INSTALADO EM RAMAL DE ENCAMINHAMENTO. AF_06/2022</t>
  </si>
  <si>
    <t>LUVA SIMPLES, PVC, SERIE R, ÁGUA PLUVIAL, DN 150 MM, JUNTA ELÁSTICA, FORNECIDO E INSTALADO EM CONDUTORES VERTICAIS DE ÁGUAS PLUVIAIS. AF_06/2022</t>
  </si>
  <si>
    <t>LUVA SIMPLES, PVC, SERIE R, ÁGUA PLUVIAL, DN 150 MM, JUNTA ELÁSTICA, FORNECIDO E INSTALADO EM RAMAL DE ENCAMINHAMENTO.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</si>
  <si>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</si>
  <si>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</si>
  <si>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LUVA SIMPLES, PVC, SERIE R, ÁGUA PLUVIAL, DN 75 MM, JUNTA ELÁSTICA, FORNECIDO E INSTALADO EM CONDUTORES VERTICAIS DE ÁGUAS PLUVIAIS. AF_06/2022</t>
  </si>
  <si>
    <t>LUVA SIMPLES, PVC, SERIE R, ÁGUA PLUVIAL, DN 75 MM, JUNTA ELÁSTICA, FORNECIDO E INSTALADO EM RAMAL DE ENCAMINHAMENTO. AF_06/2022</t>
  </si>
  <si>
    <t>RALO SIFONADO, PVC, DN 100 X 40 MM, JUNTA SOLDÁVEL, FORNECIDO E INSTALADO EM RAMAIS DE ENCAMINHAMENTO DE ÁGUA PLUVIAL. AF_06/2022</t>
  </si>
  <si>
    <t>REDUÇÃO EXCÊNTRICA, PVC, SERIE R, ÁGUA PLUVIAL, DN 100 X 75 MM, JUNTA ELÁSTICA, FORNECIDO E INSTALADO EM CONDUTORES VERTICAIS DE ÁGUAS PLUVIAIS. AF_06/2022</t>
  </si>
  <si>
    <t>REDUÇÃO EXCÊNTRICA, PVC, SERIE R, ÁGUA PLUVIAL, DN 100 X 75 MM, JUNTA ELÁSTICA, FORNECIDO E INSTALADO EM RAMAL DE ENCAMINHAMENTO. AF_06/2022</t>
  </si>
  <si>
    <t>REDUÇÃO EXCÊNTRICA, PVC, SERIE R, ÁGUA PLUVIAL, DN 150 X 100 MM, JUNTA ELÁSTICA, FORNECIDO E INSTALADO EM CONDUTORES VERTICAIS DE ÁGUAS PLUVIAIS. AF_06/2022</t>
  </si>
  <si>
    <t>REDUÇÃO EXCÊNTRICA, PVC, SERIE R, ÁGUA PLUVIAL, DN 150 X 100 MM, JUNTA ELÁSTICA, FORNECIDO E INSTALADO EM RAMAL DE ENCAMINHAMENTO. AF_06/2022</t>
  </si>
  <si>
    <t>REDUÇÃO EXCÊNTRICA, PVC, SERIE R, ÁGUA PLUVIAL, DN 75 X 50 MM, JUNTA ELÁSTICA, FORNECIDO E INSTALADO EM RAMAL DE ENCAMINHAMENTO. AF_06/2022</t>
  </si>
  <si>
    <t>TUBO PVC, SÉRIE R, ÁGUA PLUVIAL, DN 100 MM, FORNECIDO E INSTALADO EM CONDUTORES VERTICAIS DE ÁGUAS PLUVIAIS. AF_06/2022</t>
  </si>
  <si>
    <t>TUBO PVC, SÉRIE R, ÁGUA PLUVIAL, DN 100 MM, FORNECIDO E INSTALADO EM RAMAL DE ENCAMINHAMENTO. AF_06/2022</t>
  </si>
  <si>
    <t>TUBO PVC, SÉRIE R, ÁGUA PLUVIAL, DN 150 MM, FORNECIDO E INSTALADO EM CONDUTORES VERTICAIS DE ÁGUAS PLUVIAIS. AF_06/2022</t>
  </si>
  <si>
    <t>TUBO PVC, SÉRIE R, ÁGUA PLUVIAL, DN 150 MM, FORNECIDO E INSTALADO EM RAMAL DE ENCAMINHAMENTO. AF_06/2022</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</si>
  <si>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</si>
  <si>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</si>
  <si>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CONDUTORES VERTICAIS DE ÁGUAS PLUVIAIS. AF_06/2022</t>
  </si>
  <si>
    <t>TUBO PVC, SÉRIE R, ÁGUA PLUVIAL, DN 75 MM, FORNECIDO E INSTALADO EM RAMAL DE ENCAMINHAMENTO. AF_06/2022</t>
  </si>
  <si>
    <t>TÊ DE INSPEÇÃO, PVC, SERIE R, ÁGUA PLUVIAL, DN 100 MM, JUNTA ELÁSTICA, FORNECIDO E INSTALADO EM CONDUTORES VERTICAIS DE ÁGUAS PLUVIAIS. AF_06/2022</t>
  </si>
  <si>
    <t>TÊ DE INSPEÇÃO, PVC, SERIE R, ÁGUA PLUVIAL, DN 100 MM, JUNTA ELÁSTICA, FORNECIDO E INSTALADO EM RAMAL DE ENCAMINHAMENTO. AF_06/2022</t>
  </si>
  <si>
    <t>TÊ DE INSPEÇÃO, PVC, SERIE R, ÁGUA PLUVIAL, DN 150 MM, JUNTA ELÁSTICA, FORNECIDO E INSTALADO EM RAMAL DE ENCAMINHAMENTO. AF_06/2022</t>
  </si>
  <si>
    <t>TÊ DE INSPEÇÃO, PVC, SERIE R, ÁGUA PLUVIAL, DN 150 X 100 MM, JUNTA ELÁSTICA, FORNECIDO E INSTALADO EM CONDUTORES VERTICAIS DE ÁGUAS PLUVIAIS. AF_06/2022</t>
  </si>
  <si>
    <t>TÊ DE INSPEÇÃO, PVC, SERIE R, ÁGUA PLUVIAL, DN 75 MM, JUNTA ELÁSTICA, FORNECIDO E INSTALADO EM CONDUTORES VERTICAIS DE ÁGUAS PLUVIAIS. AF_06/2022</t>
  </si>
  <si>
    <t>TÊ DE INSPEÇÃO, PVC, SERIE R, ÁGUA PLUVIAL, DN 75 MM, JUNTA ELÁSTICA, FORNECIDO E INSTALADO EM RAMAL DE ENCAMINHAMENTO. AF_06/2022</t>
  </si>
  <si>
    <t>TÊ, PVC, SERIE R, ÁGUA PLUVIAL, DN 100 X 100 MM, JUNTA ELÁSTICA, FORNECIDO E INSTALADO EM CONDUTORES VERTICAIS DE ÁGUAS PLUVIAIS. AF_06/2022</t>
  </si>
  <si>
    <t>TÊ, PVC, SERIE R, ÁGUA PLUVIAL, DN 100 X 100 MM, JUNTA ELÁSTICA, FORNECIDO E INSTALADO EM RAMAL DE ENCAMINHAMENTO. AF_06/2022</t>
  </si>
  <si>
    <t>TÊ, PVC, SERIE R, ÁGUA PLUVIAL, DN 100 X 75 MM, JUNTA ELÁSTICA, FORNECIDO E INSTALADO EM CONDUTORES VERTICAIS DE ÁGUAS PLUVIAIS. AF_06/2022</t>
  </si>
  <si>
    <t>TÊ, PVC, SERIE R, ÁGUA PLUVIAL, DN 100 X 75 MM, JUNTA ELÁSTICA, FORNECIDO E INSTALADO EM RAMAL DE ENCAMINHAMENTO. AF_06/2022</t>
  </si>
  <si>
    <t>TÊ, PVC, SERIE R, ÁGUA PLUVIAL, DN 150 X 100 MM, JUNTA ELÁSTICA, FORNECIDO E INSTALADO EM CONDUTORES VERTICAIS DE ÁGUAS PLUVIAIS. AF_06/2022</t>
  </si>
  <si>
    <t>TÊ, PVC, SERIE R, ÁGUA PLUVIAL, DN 150 X 100 MM, JUNTA ELÁSTICA, FORNECIDO E INSTALADO EM RAMAL DE ENCAMINHAMENTO. AF_06/2022</t>
  </si>
  <si>
    <t>TÊ, PVC, SERIE R, ÁGUA PLUVIAL, DN 150 X 150 MM, JUNTA ELÁSTICA, FORNECIDO E INSTALADO EM CONDUTORES VERTICAIS DE ÁGUAS PLUVIAIS. AF_06/2022</t>
  </si>
  <si>
    <t>TÊ, PVC, SERIE R, ÁGUA PLUVIAL, DN 150 X 150 MM, JUNTA ELÁSTICA, FORNECIDO E INSTALADO EM RAMAL DE ENCAMINHAMENTO. AF_06/2022</t>
  </si>
  <si>
    <t>TÊ, PVC, SERIE R, ÁGUA PLUVIAL, DN 75 MM, JUNTA ELÁSTICA, FORNECIDO E INSTALADO EM RAMAL DE ENCAMINHAMENTO. AF_06/2022</t>
  </si>
  <si>
    <t>TÊ, PVC, SERIE R, ÁGUA PLUVIAL, DN 75 X 75 MM, JUNTA ELÁSTICA, FORNECIDO E INSTALADO EM CONDUTORES VERTICAIS DE ÁGUAS PLUVIAIS. AF_06/2022</t>
  </si>
  <si>
    <t>CONEXÃO FIXA, ROSCA FÊMEA, METÁLICA, PARA INSTALAÇÕES EM PEX MULTICAMADA, DN 16MM X 1/2", CONEXÃO POR CRIMPAGEM - FORNECIMENTO E INSTALAÇÃO. AF_01/2020</t>
  </si>
  <si>
    <t>CONEXÃO FIXA, ROSCA FÊMEA, METÁLICA, PARA INSTALAÇÕES EM PEX MULTICAMADA, DN 20MM X 3/4", CONEXÃO POR CRIMPAGEM - FORNECIMENTO E INSTALAÇÃO. AF_01/2020</t>
  </si>
  <si>
    <t>CONEXÃO FIXA, ROSCA FÊMEA, METÁLICA, PARA INSTALAÇÕES EM PEX MULTICAMADA, DN 26MM X 1", CONEXÃO POR CRIMPAGEM - FORNECIMENTO E INSTALAÇÃO. AF_01/2020</t>
  </si>
  <si>
    <t>CONEXÃO FIXA, ROSCA FÊMEA, METÁLICA, PARA INSTALAÇÕES EM PEX MULTICAMADA, DN 32MM X 1 1/4", CONEXÃO POR CRIMPAGEM - FORNECIMENTO E INSTALAÇÃO. AF_01/2020</t>
  </si>
  <si>
    <t>CONEXÃO FIXA, ROSCA MACHO, METÁLICA, PARA INSTALAÇÕES EM PEX MULTICAMADA, DN 16MM X 1/2", CONEXÃO POR CRIMPAGEM - FORNECIMENTO E INSTALAÇÃO. AF_01/2020</t>
  </si>
  <si>
    <t>CONEXÃO FIXA, ROSCA MACHO, METÁLICA, PARA INSTALAÇÕES EM PEX MULTICAMADA, DN 20MM X 3/4", CONEXÃO POR CRIMPAGEM - FORNECIMENTO E INSTALAÇÃO. AF_01/2020</t>
  </si>
  <si>
    <t>CONEXÃO FIXA, ROSCA MACHO, METÁLICA, PARA INSTALAÇÕES EM PEX MULTICAMADA, DN 26MM X 1", CONEXÃO POR CRIMPAGEM - FORNECIMENTO E INSTALAÇÃO. AF_01/2020</t>
  </si>
  <si>
    <t>CONEXÃO FIXA, ROSCA MACHO, METÁLICA, PARA INSTALAÇÕES EM PEX MULTICAMADA, DN 32MM X 1 1/4", CONEXÃO POR CRIMPAGEM - FORNECIMENTO E INSTALAÇÃO. AF_01/2020</t>
  </si>
  <si>
    <t>FIXAÇÃO DE TUBOS VERTICAIS DE MULTICAMADA, DIÂMETROS MENORES OU IGUAIS A 32 MM, COM ABRAÇADEIRA TIPO SUPORTE MÚLTIPLO, FIXADA EM PAREDE EXTERNA - FORNECIMENTO E INSTALAÇÃO. AF_01/2020</t>
  </si>
  <si>
    <t>JOELHO 90 GRAUS, PARA INSTALAÇÕES EM PEX MULTICAMADA, DN 16 MM, CONEXÃO POR CRIMPAGEM - FORNECIMENTO E INSTALAÇÃO. AF_01/2020</t>
  </si>
  <si>
    <t>JOELHO 90 GRAUS, PARA INSTALAÇÕES EM PEX MULTICAMADA, DN 20 MM, CONEXÃO POR CRIMPAGEM - FORNECIMENTO E INSTALAÇÃO. AF_01/2020</t>
  </si>
  <si>
    <t>JOELHO 90 GRAUS, PARA INSTALAÇÕES EM PEX MULTICAMADA, DN 26 MM, CONEXÃO POR CRIMPAGEM - FORNECIMENTO E INSTALAÇÃO. AF_01/2020</t>
  </si>
  <si>
    <t>JOELHO 90 GRAUS, PARA INSTALAÇÕES EM PEX MULTICAMADA, DN 32 MM, CONEXÃO POR CRIMPAGEM - FORNECIMENTO E INSTALAÇÃO. AF_01/2020</t>
  </si>
  <si>
    <t>JOELHO 90 GRAUS, ROSCA FÊMEA, PARA INSTALAÇÕES EM PEX MULTICAMADA, DN 16 MM X 1/2'', CONEXÃO POR CRIMPAGEM - FORNECIMENTO E INSTALAÇÃO. AF_01/2020</t>
  </si>
  <si>
    <t>JOELHO 90 GRAUS, ROSCA FÊMEA, PARA INSTALAÇÕES EM PEX MULTICAMADA, DN 20 MM X 3/4", CONEXÃO POR CRIMPAGEM - FORNECIMENTO E INSTALAÇÃO. AF_01/2020</t>
  </si>
  <si>
    <t>JOELHO 90 GRAUS, ROSCA FÊMEA, PARA INSTALAÇÕES EM PEX MULTICAMADA, DN 25 MM X 1'', CONEXÃO POR CRIMPAGEM - FORNECIMENTO E INSTALAÇÃO. AF_01/2020</t>
  </si>
  <si>
    <t>JOELHO 90 GRAUS, ROSCA FÊMEA, PARA INSTALAÇÕES EM PEX MULTICAMADA, DN 32 MM X 1 1/4'', CONEXÃO POR CRIMPAGEM - FORNECIMENTO E INSTALAÇÃO. AF_01/2020</t>
  </si>
  <si>
    <t>JOELHO 90 GRAUS, ROSCA MACHO, PARA INSTALAÇÕES EM PEX MULTICAMADA, DN 16 MM X 1/2'', CONEXÃO POR CRIMPAGEM - FORNECIMENTO E INSTALAÇÃO. AF_01/2020</t>
  </si>
  <si>
    <t>JOELHO 90 GRAUS, ROSCA MACHO, PARA INSTALAÇÕES EM PEX MULTICAMADA, DN 20 MM X 3/4", CONEXÃO POR CRIMPAGEM - FORNECIMENTO E INSTALAÇÃO. AF_01/2020</t>
  </si>
  <si>
    <t>JOELHO 90 GRAUS, ROSCA MACHO, PARA INSTALAÇÕES EM PEX MULTICAMADA, DN 25 MM X 1'', CONEXÃO POR CRIMPAGEM - FORNECIMENTO E INSTALAÇÃO. AF_01/2020</t>
  </si>
  <si>
    <t>JOELHO 90 GRAUS, ROSCA MACHO, PARA INSTALAÇÕES EM PEX MULTICAMADA, DN 32 MM X 1 1/4'', CONEXÃO POR CRIMPAGEM - FORNECIMENTO E INSTALAÇÃO. AF_01/2020</t>
  </si>
  <si>
    <t>LUVA DE REDUÇÃO PARA INSTALAÇÕES EM PEX MULTICAMADA, DN 20 X 16 MM, CONEXÃO POR CRIMPAGEM - FORNECIMENTO E INSTALAÇÃO. AF_01/2020</t>
  </si>
  <si>
    <t>LUVA DE REDUÇÃO PARA INSTALAÇÕES EM PEX MULTICAMADA, DN 26 X 20 MM, CONEXÃO POR CRIMPAGEM - FORNECIMENTO E INSTALAÇÃO. AF_01/2020</t>
  </si>
  <si>
    <t>LUVA DE REDUÇÃO PARA INSTALAÇÕES EM PEX MULTICAMADA, DN 32 X 26 MM, CONEXÃO POR CRIMPAGEM - FORNECIMENTO E INSTALAÇÃO. AF_01/2020</t>
  </si>
  <si>
    <t>LUVA PARA INSTALAÇÕES EM PEX MULTICAMADA, DN 16 MM, CONEXÃO POR CRIMPAGEM - FORNECIMENTO E INSTALAÇÃO. AF_01/2020</t>
  </si>
  <si>
    <t>LUVA PARA INSTALAÇÕES EM PEX MULTICAMADA, DN 20 MM, CONEXÃO POR CRIMPAGEM - FORNECIMENTO E INSTALAÇÃO. AF_01/2020</t>
  </si>
  <si>
    <t>LUVA PARA INSTALAÇÕES EM PEX MULTICAMADA, DN 26 MM, CONEXÃO POR CRIMPAGEM - FORNECIMENTO E INSTALAÇÃO. AF_01/2020</t>
  </si>
  <si>
    <t>LUVA PARA INSTALAÇÕES EM PEX MULTICAMADA, DN 32 MM, CONEXÃO POR CRIMPAGEM - FORNECIMENTO E INSTALAÇÃO. AF_01/2020</t>
  </si>
  <si>
    <t>TUBO, PEX, MULTICAMADA, COM PROTEÇÃO UV, DN 16, INSTALADO EM IMPLANTAÇÃO DE INSTALAÇÕES DE GÁS - FORNECIMENTO E INSTALAÇÃO. AF_01/2020</t>
  </si>
  <si>
    <t>TUBO, PEX, MULTICAMADA, COM PROTEÇÃO UV, DN 16, INSTALADO EM PRUMADA DE INSTALAÇÕES DE GÁS - FORNECIMENTO E INSTALAÇÃO. AF_01/2020</t>
  </si>
  <si>
    <t>TUBO, PEX, MULTICAMADA, COM PROTEÇÃO UV, DN 20, INSTALADO EM IMPLANTAÇÃO DE INSTALAÇÕES DE GÁS - FORNECIMENTO E INSTALAÇÃO. AF_01/2020</t>
  </si>
  <si>
    <t>TUBO, PEX, MULTICAMADA, COM PROTEÇÃO UV, DN 20, INSTALADO EM PRUMADA DE INSTALAÇÕES DE GÁS - FORNECIMENTO E INSTALAÇÃO. AF_01/2020</t>
  </si>
  <si>
    <t>TUBO, PEX, MULTICAMADA, COM PROTEÇÃO UV, DN 25, INSTALADO EM PRUMADA DE INSTALAÇÕES DE GÁS - FORNECIMENTO E INSTALAÇÃO. AF_01/2020</t>
  </si>
  <si>
    <t>TUBO, PEX, MULTICAMADA, COM PROTEÇÃO UV, DN 26, INSTALADO EM IMPLANTAÇÃO DE INSTALAÇÕES DE GÁS - FORNECIMENTO E INSTALAÇÃO. AF_01/2020</t>
  </si>
  <si>
    <t>TUBO, PEX, MULTICAMADA, COM PROTEÇÃO UV, DN 32, INSTALADO EM IMPLANTAÇÃO DE INSTALAÇÕES DE GÁS - FORNECIMENTO E INSTALAÇÃO. AF_01/2020</t>
  </si>
  <si>
    <t>TUBO, PEX, MULTICAMADA, COM PROTEÇÃO UV, DN 32, INSTALADO EM PRUMADA DE INSTALAÇÕES DE GÁS - FORNECIMENTO E INSTALAÇÃO. AF_01/2020</t>
  </si>
  <si>
    <t>TUBO, PEX, MULTICAMADA, COM TUBO LUVA, DN 16, INSTALADO EM IMPLANTAÇÃO DE INSTALAÇÕES DE GÁS - FORNECIMENTO E INSTALAÇÃO. AF_01/2020</t>
  </si>
  <si>
    <t>TUBO, PEX, MULTICAMADA, COM TUBO LUVA, DN 16, INSTALADO EM RAMAL INTERNO DE INSTALAÇÕES DE GÁS - FORNECIMENTO E INSTALAÇÃO. AF_01/2020</t>
  </si>
  <si>
    <t>TUBO, PEX, MULTICAMADA, COM TUBO LUVA, DN 20, INSTALADO EM IMPLANTAÇÃO DE INSTALAÇÕES DE GÁS - FORNECIMENTO E INSTALAÇÃO. AF_01/2020</t>
  </si>
  <si>
    <t>TUBO, PEX, MULTICAMADA, COM TUBO LUVA, DN 20, INSTALADO EM RAMAL INTERNO DE INSTALAÇÕES DE GÁS - FORNECIMENTO E INSTALAÇÃO. AF_01/2020</t>
  </si>
  <si>
    <t>TUBO, PEX, MULTICAMADA, COM TUBO LUVA, DN 26, INSTALADO EM IMPLANTAÇÃO DE INSTALAÇÕES DE GÁS - FORNECIMENTO E INSTALAÇÃO. AF_01/2020</t>
  </si>
  <si>
    <t>TUBO, PEX, MULTICAMADA, COM TUBO LUVA, DN 26, INSTALADO EM RAMAL INTERNO DE INSTALAÇÕES DE GÁS - FORNECIMENTO E INSTALAÇÃO. AF_01/2020</t>
  </si>
  <si>
    <t>TUBO, PEX, MULTICAMADA, COM TUBO LUVA, DN 32, INSTALADO EM IMPLANTAÇÃO DE INSTALAÇÕES DE GÁS - FORNECIMENTO E INSTALAÇÃO. AF_01/2020</t>
  </si>
  <si>
    <t>TUBO, PEX, MULTICAMADA, COM TUBO LUVA, DN 32, INSTALADO EM RAMAL INTERNO DE INSTALAÇÕES DE GÁS - FORNECIMENTO E INSTALAÇÃO. AF_01/2020</t>
  </si>
  <si>
    <t>TUBO, PEX, MULTICAMADA, DN 16, INSTALADO EM IMPLANTAÇÃO DE INSTALAÇÕES DE GÁS - FORNECIMENTO E INSTALAÇÃO. AF_01/2020</t>
  </si>
  <si>
    <t>TUBO, PEX, MULTICAMADA, DN 16, INSTALADO EM RAMAL INTERNO DE INSTALAÇÕES DE GÁS - FORNECIMENTO E INSTALAÇÃO. AF_01/2020</t>
  </si>
  <si>
    <t>TUBO, PEX, MULTICAMADA, DN 20, INSTALADO EM IMPLANTAÇÃO DE INSTALAÇÕES DE GÁS - FORNECIMENTO E INSTALAÇÃO. AF_01/2020</t>
  </si>
  <si>
    <t>TUBO, PEX, MULTICAMADA, DN 20, INSTALADO EM RAMAL INTERNO DE INSTALAÇÕES DE GÁS - FORNECIMENTO E INSTALAÇÃO. AF_01/2020</t>
  </si>
  <si>
    <t>TUBO, PEX, MULTICAMADA, DN 26, INSTALADO EM IMPLANTAÇÃO DE INSTALAÇÕES DE GÁS - FORNECIMENTO E INSTALAÇÃO. AF_01/2020</t>
  </si>
  <si>
    <t>TUBO, PEX, MULTICAMADA, DN 26, INSTALADO EM RAMAL INTERNO DE INSTALAÇÕES DE GÁS - FORNECIMENTO E INSTALAÇÃO. AF_01/2020</t>
  </si>
  <si>
    <t>TUBO, PEX, MULTICAMADA, DN 32, INSTALADO EM IMPLANTAÇÃO DE INSTALAÇÕES DE GÁS - FORNECIMENTO E INSTALAÇÃO. AF_01/2020</t>
  </si>
  <si>
    <t>TUBO, PEX, MULTICAMADA, DN 32, INSTALADO EM RAMAL INTERNO DE INSTALAÇÕES DE GÁS - FORNECIMENTO E INSTALAÇÃO. AF_01/2020</t>
  </si>
  <si>
    <t>TÊ, PARA INSTALAÇÕES EM PEX MULTICAMADA, DN 16 MM, CONEXÃO POR CRIMPAGEM - FORNECIMENTO E INSTALAÇÃO. AF_01/2020</t>
  </si>
  <si>
    <t>TÊ, PARA INSTALAÇÕES EM PEX MULTICAMADA, DN 20 MM, CONEXÃO POR CRIMPAGEM - FORNECIMENTO E INSTALAÇÃO. AF_01/2020</t>
  </si>
  <si>
    <t>TÊ, PARA INSTALAÇÕES EM PEX MULTICAMADA, DN 26 MM, CONEXÃO POR CRIMPAGEM - FORNECIMENTO E INSTALAÇÃO. AF_01/2020</t>
  </si>
  <si>
    <t>TÊ, PARA INSTALAÇÕES EM PEX MULTICAMADA, DN 32 MM, CONEXÃO POR CRIMPAGEM - FORNECIMENTO E INSTALAÇÃO. AF_01/2020</t>
  </si>
  <si>
    <t>COTOVELO EM COBRE, 45 GRAUS, DN 1 1/8", INSTALADO EM RAMAL DE ALIMENTAÇÃO DE AR-CONDICIONADO COM CONDENSADORA CENTRAL - FORNECIMENTO E INSTALAÇÃO. AF_07/2025</t>
  </si>
  <si>
    <t>COTOVELO EM COBRE, 45 GRAUS, DN 1 5/8", INSTALADO EM RAMAL DE ALIMENTAÇÃO DE AR-CONDICIONADO COM CONDENSADORA CENTRAL - FORNECIMENTO E INSTALAÇÃO. AF_07/2025</t>
  </si>
  <si>
    <t>COTOVELO EM COBRE, 90 GRAUS, DN 1 1/8", INSTALADO EM RAMAL DE ALIMENTAÇÃO DE AR-CONDICIONADO COM CONDENSADORA CENTRAL - FORNECIMENTO E INSTALAÇÃO. AF_07/2025</t>
  </si>
  <si>
    <t>COTOVELO EM COBRE, 90 GRAUS, DN 1 5/8", INSTALADO EM RAMAL DE ALIMENTAÇÃO DE AR-CONDICIONADO COM CONDENSADORA CENTRAL - FORNECIMENTO E INSTALAÇÃO. AF_07/2025</t>
  </si>
  <si>
    <t>LUVA EM COBRE, DN 1 1/8", INSTALADO EM RAMAL DE ALIMENTAÇÃO DE AR-CONDICIONADO COM CONDENSADORA CENTRAL - FORNECIMENTO E INSTALAÇÃO. AF_07/2025</t>
  </si>
  <si>
    <t>LUVA EM COBRE, DN 1 5/8", INSTALADO EM RAMAL DE ALIMENTAÇÃO DE AR-CONDICIONADO COM CONDENSADORA CENTRAL - FORNECIMENTO E INSTALAÇÃO. AF_07/2025</t>
  </si>
  <si>
    <t>REFINETE EM COBRE, DN 1 1/8", INSTALADO EM RAMAL DE ALIMENTAÇÃO DE AR-CONDICIONADO COM CONDENSADORA CENTRAL - INSTALAÇÃO. AF_07/2025</t>
  </si>
  <si>
    <t>REFINETE EM COBRE, DN 1 5/8", INSTALADO EM RAMAL DE ALIMENTAÇÃO DE AR-CONDICIONADO COM CONDENSADORA CENTRAL - INSTALAÇÃO. AF_07/2025</t>
  </si>
  <si>
    <t>TE EM COBRE, DN 1 1/8", INSTALADO EM RAMAL DE ALIMENTAÇÃO DE AR-CONDICIONADO COM CONDENSADORA CENTRAL - FORNECIMENTO E INSTALAÇÃO. AF_07/2025</t>
  </si>
  <si>
    <t>TE EM COBRE, DN 1 5/8", INSTALADO EM RAMAL DE ALIMENTAÇÃO DE AR-CONDICIONADO COM CONDENSADORA CENTRAL - FORNECIMENTO E INSTALAÇÃO. AF_07/2025</t>
  </si>
  <si>
    <t>TUBO EM COBRE FLEXÍVEL, DN 1/2", COM ISOLAMENTO, INSTALADO EM RAMAL DE ALIMENTAÇÃO DE AR-CONDICIONADO - FORNECIMENTO E INSTALAÇÃO. AF_07/2025</t>
  </si>
  <si>
    <t>TUBO EM COBRE FLEXÍVEL, DN 1/4", COM ISOLAMENTO, INSTALADO EM RAMAL DE ALIMENTAÇÃO DE AR-CONDICIONADO - FORNECIMENTO E INSTALAÇÃO. AF_07/2025</t>
  </si>
  <si>
    <t>TUBO EM COBRE FLEXÍVEL, DN 3/4", COM ISOLAMENTO, INSTALADO EM RAMAL DE ALIMENTAÇÃO DE AR-CONDICIONADO - FORNECIMENTO E INSTALAÇÃO. AF_07/2025</t>
  </si>
  <si>
    <t>TUBO EM COBRE FLEXÍVEL, DN 3/8", COM ISOLAMENTO, INSTALADO EM RAMAL DE ALIMENTAÇÃO DE AR-CONDICIONADO - FORNECIMENTO E INSTALAÇÃO. AF_07/2025</t>
  </si>
  <si>
    <t>TUBO EM COBRE FLEXÍVEL, DN 5/8", COM ISOLAMENTO, INSTALADO EM RAMAL DE ALIMENTAÇÃO DE AR-CONDICIONADO - FORNECIMENTO E INSTALAÇÃO. AF_07/2025</t>
  </si>
  <si>
    <t>TUBO EM COBRE FLEXÍVEL, DN 7/8", COM ISOLAMENTO, INSTALADO EM RAMAL DE ALIMENTAÇÃO DE AR-CONDICIONADO - FORNECIMENTO E INSTALAÇÃO. AF_07/2025</t>
  </si>
  <si>
    <t>TUBO EM COBRE RÍGIDO, DN 1 1/8"", COM ISOLAMENTO, INSTALADO EM RAMAL DE ALIMENTAÇÃO DE AR-CONDICIONADO COM CONDENSADORA CENTRAL - FORNECIMENTO E INSTALAÇÃO. AF_07/2025</t>
  </si>
  <si>
    <t>TUBO EM COBRE RÍGIDO, DN 1 5/8"", COM ISOLAMENTO, INSTALADO EM RAMAL DE ALIMENTAÇÃO DE AR-CONDICIONADO COM CONDENSADORA CENTRAL - FORNECIMENTO E INSTALAÇÃO. AF_07/2025</t>
  </si>
  <si>
    <t>BUCHA DE REDUÇÃO EM COBRE, DN 22 MM X 15 MM, SEM ANEL DE SOLDA, PONTA X BOLSA, INSTALADO EM RAMAL DE DISTRIBUIÇÃO DE HIDRÁULICA PREDIAL - FORNECIMENTO E INSTALAÇÃO. AF_04/2022</t>
  </si>
  <si>
    <t>BUCHA DE REDUÇÃO EM COBRE, DN 22 MM X 15 MM, SEM ANEL DE SOLDA, PONTA X BOLSA, INSTALADO EM RAMAL E SUB-RAMAL DE AQUECIMENTO SOLAR - FORNECIMENTO E INSTALAÇÃO. AF_04/2022</t>
  </si>
  <si>
    <t>BUCHA DE REDUÇÃO EM COBRE, DN 22 MM X 15 MM, SEM ANEL DE SOLDA, PONTA X BOLSA, INSTALADO EM RAMAL E SUB-RAMAL DE GÁS COMBUSTÍVEL - FORNECIMENTO E INSTALAÇÃO. AF_04/2022</t>
  </si>
  <si>
    <t>BUCHA DE REDUÇÃO EM COBRE, DN 22 MM X 15 MM, SEM ANEL DE SOLDA, PONTA X BOLSA, INSTALADO EM RAMAL E SUB-RAMAL DE GÁS MEDICINAL - FORNECIMENTO E INSTALAÇÃO. AF_04/2022</t>
  </si>
  <si>
    <t>BUCHA DE REDUÇÃO EM COBRE, DN 22 MM X 15 MM, SEM ANEL DE SOLDA, PONTA X BOLSA, INSTALADO EM RAMAL E SUB-RAMAL DE HIDRÁULICA PREDIAL - FORNECIMENTO E INSTALAÇÃO. AF_04/2022</t>
  </si>
  <si>
    <t>BUCHA DE REDUÇÃO EM COBRE, DN 28 MM X 22 MM, SEM ANEL DE SOLDA, INSTALADO EM RAMAL DE DISTRIBUIÇÃO DE HIDRÁULICA PREDIAL - FORNECIMENTO E INSTALAÇÃO. AF_04/2022</t>
  </si>
  <si>
    <t>BUCHA DE REDUÇÃO EM COBRE, DN 28 MM X 22 MM, SEM ANEL DE SOLDA, INSTALADO EM RAMAL E SUB-RAMAL DE AQUECIMENTO SOLAR - FORNECIMENTO E INSTALAÇÃO. AF_04/2022</t>
  </si>
  <si>
    <t>BUCHA DE REDUÇÃO EM COBRE, DN 28 MM X 22 MM, SEM ANEL DE SOLDA, INSTALADO EM RAMAL E SUB-RAMAL DE GÁS COMBUSTÍVEL - FORNECIMENTO E INSTALAÇÃO. AF_04/2022</t>
  </si>
  <si>
    <t>BUCHA DE REDUÇÃO EM COBRE, DN 28 MM X 22 MM, SEM ANEL DE SOLDA, INSTALADO EM RAMAL E SUB-RAMAL DE GÁS MEDICINAL - FORNECIMENTO E INSTALAÇÃO. AF_04/2022</t>
  </si>
  <si>
    <t>BUCHA DE REDUÇÃO EM COBRE, DN 28 MM X 22 MM, SEM ANEL DE SOLDA, INSTALADO EM RAMAL E SUB-RAMAL DE HIDRÁULICA PREDIAL - FORNECIMENTO E INSTALAÇÃO. AF_04/2022</t>
  </si>
  <si>
    <t>BUCHA DE REDUÇÃO EM COBRE, DN 28 MM X 22 MM, SEM ANEL DE SOLDA, PONTA X BOLSA, INSTALADO EM PRUMADA DE HIDRÁULICA PREDIAL - FORNECIMENTO E INSTALAÇÃO. AF_04/2022</t>
  </si>
  <si>
    <t>BUCHA DE REDUÇÃO EM COBRE, DN 35 MM X 28 MM, SEM ANEL DE SOLDA, PONTA X BOLSA, INSTALADO EM PRUMADA DE HIDRÁULICA PREDIAL - FORNECIMENTO E INSTALAÇÃO. AF_04/2022</t>
  </si>
  <si>
    <t>BUCHA DE REDUÇÃO EM COBRE, DN 42 MM X 35 MM, SEM ANEL DE SOLDA, PONTA X BOLSA, INSTALADO EM PRUMADA DE HIDRÁULICA PREDIAL - FORNECIMENTO E INSTALAÇÃO. AF_04/2022</t>
  </si>
  <si>
    <t>BUCHA DE REDUÇÃO EM COBRE, DN 54 MM X 42 MM, SEM ANEL DE SOLDA, PONTA X BOLSA, INSTALADO EM PRUMADA DE HIDRÁULICA PREDIAL - FORNECIMENTO E INSTALAÇÃO. AF_04/2022</t>
  </si>
  <si>
    <t>BUCHA DE REDUÇÃO EM COBRE, DN 66 MM X 54 MM, SEM ANEL DE SOLDA, PONTA X BOLSA, INSTALADO EM PRUMADA DE HIDRÁULICA PREDIAL - FORNECIMENTO E INSTALAÇÃO. AF_04/2022</t>
  </si>
  <si>
    <t>CONECTOR EM BRONZE/LATÃO, DN 15 MM X 1/2", SEM ANEL DE SOLDA, BOLSA X ROSCA F, INSTALADO EM RAMAL DE DISTRIBUIÇÃO DE HIDRÁULICA PREDIAL - FORNECIMENTO E INSTALAÇÃO. AF_04/2022</t>
  </si>
  <si>
    <t>CONECTOR EM BRONZE/LATÃO, DN 15 MM X 1/2", SEM ANEL DE SOLDA, BOLSA X ROSCA F, INSTALADO EM RAMAL E SUB-RAMAL DE AQUECIMENTO SOLAR - FORNECIMENTO E INSTALAÇÃO. AF_04/2022</t>
  </si>
  <si>
    <t>CONECTOR EM BRONZE/LATÃO, DN 15 MM X 1/2", SEM ANEL DE SOLDA, BOLSA X ROSCA F, INSTALADO EM RAMAL E SUB-RAMAL DE GÁS COMBUSTÍVEL - FORNECIMENTO E INSTALAÇÃO. AF_04/2022</t>
  </si>
  <si>
    <t>CONECTOR EM BRONZE/LATÃO, DN 15 MM X 1/2", SEM ANEL DE SOLDA, BOLSA X ROSCA F, INSTALADO EM RAMAL E SUB-RAMAL DE GÁS MEDICINAL - FORNECIMENTO E INSTALAÇÃO. AF_04/2022</t>
  </si>
  <si>
    <t>CONECTOR EM BRONZE/LATÃO, DN 15 MM X 1/2", SEM ANEL DE SOLDA, BOLSA X ROSCA F, INSTALADO EM RAMAL E SUB-RAMAL DE HIDRÁULICA PREDIAL - FORNECIMENTO E INSTALAÇÃO. AF_04/2022</t>
  </si>
  <si>
    <t>CONECTOR EM BRONZE/LATÃO, DN 22 MM X 1/2", SEM ANEL DE SOLDA, BOLSA X ROSCA F, INSTALADO EM PRUMADA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</si>
  <si>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</si>
  <si>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1/2", SEM ANEL DE SOLDA, BOLSA X ROSCA F, INSTALADO EM RAMAL E SUB-RAMAL DE AQUECIMENTO SOLAR - FORNECIMENTO E INSTALAÇÃO. AF_04/2022</t>
  </si>
  <si>
    <t>CONECTOR EM BRONZE/LATÃO, DN 22 MM X 1/2", SEM ANEL DE SOLDA, BOLSA X ROSCA F, INSTALADO EM RAMAL E SUB-RAMAL DE GÁS COMBUSTÍVEL - FORNECIMENTO E INSTALAÇÃO. AF_04/2022</t>
  </si>
  <si>
    <t>CONECTOR EM BRONZE/LATÃO, DN 22 MM X 1/2", SEM ANEL DE SOLDA, BOLSA X ROSCA F, INSTALADO EM RAMAL E SUB-RAMAL DE GÁS MEDICINAL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</si>
  <si>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</si>
  <si>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PRUMADA DE HIDRÁULICA PREDIAL - FORNECIMENTO E INSTALAÇÃO. AF_04/2022</t>
  </si>
  <si>
    <t>CONECTOR EM BRONZE/LATÃO, DN 22 MM X 3/4", SEM ANEL DE SOLDA, BOLSA X ROSCA F, INSTALADO EM RAMAL DE DISTRIBUIÇÃO DE HIDRÁULICA PREDIAL - FORNECIMENTO E INSTALAÇÃO. AF_04/2022</t>
  </si>
  <si>
    <t>CONECTOR EM BRONZE/LATÃO, DN 22 MM X 3/4", SEM ANEL DE SOLDA, BOLSA X ROSCA F, INSTALADO EM RAMAL E SUB-RAMAL DE AQUECIMENTO SOLAR - FORNECIMENTO E INSTALAÇÃO. AF_04/2022</t>
  </si>
  <si>
    <t>CONECTOR EM BRONZE/LATÃO, DN 22 MM X 3/4", SEM ANEL DE SOLDA, BOLSA X ROSCA F, INSTALADO EM RAMAL E SUB-RAMAL DE GÁS COMBUSTÍVEL - FORNECIMENTO E INSTALAÇÃO. AF_04/2022</t>
  </si>
  <si>
    <t>CONECTOR EM BRONZE/LATÃO, DN 22 MM X 3/4", SEM ANEL DE SOLDA, BOLSA X ROSCA F, INSTALADO EM RAMAL E SUB-RAMAL DE GÁS MEDICINAL - FORNECIMENTO E INSTALAÇÃO. AF_04/2022</t>
  </si>
  <si>
    <t>CONECTOR EM BRONZE/LATÃO, DN 22 MM X 3/4", SEM ANEL DE SOLDA, BOLSA X ROSCA F, INSTALADO EM RAMAL E SUB-RAMAL DE HIDRÁULICA PREDIAL - FORNECIMENTO E INSTALAÇÃO. AF_04/2022</t>
  </si>
  <si>
    <t>CONECTOR EM BRONZE/LATÃO, DN 28 MM X 1/2", SEM ANEL DE SOLDA, BOLSA X ROSCA F, INSTALADO EM PRUMADA DE HIDRÁULICA PREDIAL - FORNECIMENTO E INSTALAÇÃO. AF_04/2022</t>
  </si>
  <si>
    <t>CONECTOR EM BRONZE/LATÃO, DN 28 MM X 1/2", SEM ANEL DE SOLDA, BOLSA X ROSCA F, INSTALADO EM RAMAL DE DISTRIBUIÇÃO DE HIDRÁULICA PREDIAL - FORNECIMENTO E INSTALAÇÃO. AF_04/2022</t>
  </si>
  <si>
    <t>CONECTOR EM BRONZE/LATÃO, DN 28 MM X 1/2", SEM ANEL DE SOLDA, BOLSA X ROSCA F, INSTALADO EM RAMAL E SUB-RAMAL DE AQUECIMENTO SOLAR - FORNECIMENTO E INSTALAÇÃO. AF_04/2022</t>
  </si>
  <si>
    <t>CONECTOR EM BRONZE/LATÃO, DN 28 MM X 1/2", SEM ANEL DE SOLDA, BOLSA X ROSCA F, INSTALADO EM RAMAL E SUB-RAMAL DE GÁS COMBUSTÍVEL - FORNECIMENTO E INSTALAÇÃO. AF_04/2022</t>
  </si>
  <si>
    <t>CONECTOR EM BRONZE/LATÃO, DN 28 MM X 1/2", SEM ANEL DE SOLDA, BOLSA X ROSCA F, INSTALADO EM RAMAL E SUB-RAMAL DE GÁS MEDICINAL - FORNECIMENTO E INSTALAÇÃO. AF_04/2022</t>
  </si>
  <si>
    <t>CONECTOR EM BRONZE/LATÃO, DN 28 MM X 1/2", SEM ANEL DE SOLDA, BOLSA X ROSCA F, INSTALADO EM RAMAL E SUB-RAMAL DE HIDRÁULICA PREDIAL - FORNECIMENTO E INSTALAÇÃO. AF_04/2022</t>
  </si>
  <si>
    <t>COTOVELO EM BRONZE/LATÃO, DN 15 MM X 1/2", 90 GRAUS, SEM ANEL DE SOLDA, BOLSA X ROSCA F, INSTALADO EM RAMAL DE DISTRIBUIÇÃO DE HIDRÁULICA PREDIAL - FORNECIMENTO E INSTALAÇÃO. AF_04/2022</t>
  </si>
  <si>
    <t>COTOVELO EM BRONZE/LATÃO, DN 15 MM X 1/2", 90 GRAUS, SEM ANEL DE SOLDA, BOLSA X ROSCA F, INSTALADO EM RAMAL E SUB-RAMAL DE AQUECIMENTO SOLAR - FORNECIMENTO E INSTALAÇÃO. AF_04/2022</t>
  </si>
  <si>
    <t>COTOVELO EM BRONZE/LATÃO, DN 15 MM X 1/2", 90 GRAUS, SEM ANEL DE SOLDA, BOLSA X ROSCA F, INSTALADO EM RAMAL E SUB-RAMAL DE GÁS COMBUSTÍVEL - FORNECIMENTO E INSTALAÇÃO. AF_04/2022</t>
  </si>
  <si>
    <t>COTOVELO EM BRONZE/LATÃO, DN 15 MM X 1/2", 90 GRAUS, SEM ANEL DE SOLDA, BOLSA X ROSCA F, INSTALADO EM RAMAL E SUB-RAMAL DE GÁS MEDICINAL - FORNECIMENTO E INSTALAÇÃO. AF_04/2022</t>
  </si>
  <si>
    <t>COTOVELO EM BRONZE/LATÃO, DN 15 MM X 1/2", 90 GRAUS, SEM ANEL DE SOLDA, BOLSA X ROSCA F, INSTALADO EM RAMAL E SUB-RAMAL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</si>
  <si>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</si>
  <si>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</si>
  <si>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1/2", 90 GRAUS, SEM ANEL DE SOLDA, BOLSA X ROSCA F, INSTALADO EM RAMAL E SUB-RAMAL DE AQUECIMENTO SOLAR - FORNECIMENTO E INSTALAÇÃO. AF_04/2022</t>
  </si>
  <si>
    <t>COTOVELO EM BRONZE/LATÃO, DN 22 MM X 1/2", 90 GRAUS, SEM ANEL DE SOLDA, BOLSA X ROSCA F, INSTALADO EM RAMAL E SUB-RAMAL DE GÁS COMBUSTÍVEL - FORNECIMENTO E INSTALAÇÃO. AF_04/2022</t>
  </si>
  <si>
    <t>COTOVELO EM BRONZE/LATÃO, DN 22 MM X 1/2", 90 GRAUS, SEM ANEL DE SOLDA, BOLSA X ROSCA F, INSTALADO EM RAMAL E SUB-RAMAL DE GÁS MEDICINAL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</si>
  <si>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</si>
  <si>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PRUMADA DE HIDRÁULICA PREDIAL - FORNECIMENTO E INSTALAÇÃO. AF_04/2022</t>
  </si>
  <si>
    <t>COTOVELO EM BRONZE/LATÃO, DN 22 MM X 3/4", 90 GRAUS, SEM ANEL DE SOLDA, BOLSA X ROSCA F, INSTALADO EM RAMAL DE DISTRIBUIÇÃO DE HIDRÁULICA PREDIAL - FORNECIMENTO E INSTALAÇÃO. AF_04/2022</t>
  </si>
  <si>
    <t>COTOVELO EM BRONZE/LATÃO, DN 22 MM X 3/4", 90 GRAUS, SEM ANEL DE SOLDA, BOLSA X ROSCA F, INSTALADO EM RAMAL E SUB-RAMAL DE AQUECIMENTO SOLAR - FORNECIMENTO E INSTALAÇÃO. AF_04/2022</t>
  </si>
  <si>
    <t>COTOVELO EM BRONZE/LATÃO, DN 22 MM X 3/4", 90 GRAUS, SEM ANEL DE SOLDA, BOLSA X ROSCA F, INSTALADO EM RAMAL E SUB-RAMAL DE GÁS COMBUSTÍVEL - FORNECIMENTO E INSTALAÇÃO. AF_04/2022</t>
  </si>
  <si>
    <t>COTOVELO EM BRONZE/LATÃO, DN 22 MM X 3/4", 90 GRAUS, SEM ANEL DE SOLDA, BOLSA X ROSCA F, INSTALADO EM RAMAL E SUB-RAMAL DE GÁS MEDICINAL - FORNECIMENTO E INSTALAÇÃO. AF_04/2022</t>
  </si>
  <si>
    <t>COTOVELO EM BRONZE/LATÃO, DN 22 MM X 3/4", 90 GRAUS, SEM ANEL DE SOLDA, BOLSA X ROSCA F, INSTALADO EM RAMAL E SUB-RAMAL DE HIDRÁULICA PREDIAL - FORNECIMENTO E INSTALAÇÃO. AF_04/2022</t>
  </si>
  <si>
    <t>COTOVELO EM COBRE, DN 15 MM, 90 GRAUS, SEM ANEL DE SOLDA, INSTALADO EM RAMAL DE DISTRIBUIÇÃO FORNECIMENTO E INSTALAÇÃO. AF_04/2022</t>
  </si>
  <si>
    <t>COTOVELO EM COBRE, DN 15 MM, 90 GRAUS, SEM ANEL DE SOLDA, INSTALADO EM RAMAL E SUB-RAMAL DE AQUECIMENTO SOLAR - FORNECIMENTO E INSTALAÇÃO. AF_04/2022</t>
  </si>
  <si>
    <t>COTOVELO EM COBRE, DN 15 MM, 90 GRAUS, SEM ANEL DE SOLDA, INSTALADO EM RAMAL E SUB-RAMAL DE GÁS COMBUSTÍVEL - FORNECIMENTO E INSTALAÇÃO. AF_04/2022</t>
  </si>
  <si>
    <t>COTOVELO EM COBRE, DN 15 MM, 90 GRAUS, SEM ANEL DE SOLDA, INSTALADO EM RAMAL E SUB-RAMAL DE GÁS MEDICINAL - FORNECIMENTO E INSTALAÇÃO. AF_04/2022</t>
  </si>
  <si>
    <t>COTOVELO EM COBRE, DN 15 MM, 90 GRAUS, SEM ANEL DE SOLDA, INSTALADO EM RAMAL E SUB-RAMAL DE HIDRÁULICA PREDIAL - FORNECIMENTO E INSTALAÇÃO. AF_04/2022</t>
  </si>
  <si>
    <t>COTOVELO EM COBRE, DN 22 MM, 90 GRAUS, SEM ANEL DE SOLDA, INSTALADO EM PRUMADA DE HIDRÁULICA PREDIAL - FORNECIMENTO E INSTALAÇÃO. AF_04/2022</t>
  </si>
  <si>
    <t>COTOVELO EM COBRE, DN 22 MM, 90 GRAUS, SEM ANEL DE SOLDA, INSTALADO EM RAMAL DE DISTRIBUIÇÃO DE HIDRÁULICA PREDIAL - FORNECIMENTO E INSTALAÇÃO. AF_04/2022</t>
  </si>
  <si>
    <t>COTOVELO EM COBRE, DN 22 MM, 90 GRAUS, SEM ANEL DE SOLDA, INSTALADO EM RAMAL E SUB-RAMAL DE AQUECIMENTO SOLAR - FORNECIMENTO E INSTALAÇÃO. AF_04/2022</t>
  </si>
  <si>
    <t>COTOVELO EM COBRE, DN 22 MM, 90 GRAUS, SEM ANEL DE SOLDA, INSTALADO EM RAMAL E SUB-RAMAL DE GÁS COMBUSTÍVEL - FORNECIMENTO E INSTALAÇÃO. AF_04/2022</t>
  </si>
  <si>
    <t>COTOVELO EM COBRE, DN 22 MM, 90 GRAUS, SEM ANEL DE SOLDA, INSTALADO EM RAMAL E SUB-RAMAL DE GÁS MEDICINAL - FORNECIMENTO E INSTALAÇÃO. AF_04/2022</t>
  </si>
  <si>
    <t>COTOVELO EM COBRE, DN 22 MM, 90 GRAUS, SEM ANEL DE SOLDA, INSTALADO EM RAMAL E SUB-RAMAL DE HIDRÁULICA PREDIAL - FORNECIMENTO E INSTALAÇÃO. AF_04/2022</t>
  </si>
  <si>
    <t>COTOVELO EM COBRE, DN 28 MM, 90 GRAUS, SEM ANEL DE SOLDA, INSTALADO EM PRUMADA DE HIDRÁULICA PREDIAL - FORNECIMENTO E INSTALAÇÃO. AF_04/2022</t>
  </si>
  <si>
    <t>COTOVELO EM COBRE, DN 28 MM, 90 GRAUS, SEM ANEL DE SOLDA, INSTALADO EM RAMAL DE DISTRIBUIÇÃO DE HIDRÁULICA PREDIAL - FORNECIMENTO E INSTALAÇÃO. AF_04/2022</t>
  </si>
  <si>
    <t>COTOVELO EM COBRE, DN 28 MM, 90 GRAUS, SEM ANEL DE SOLDA, INSTALADO EM RAMAL E SUB-RAMAL DE AQUECIMENTO SOLAR - FORNECIMENTO E INSTALAÇÃO. AF_04/2022</t>
  </si>
  <si>
    <t>COTOVELO EM COBRE, DN 28 MM, 90 GRAUS, SEM ANEL DE SOLDA, INSTALADO EM RAMAL E SUB-RAMAL DE GÁS COMBUSTÍVEL - FORNECIMENTO E INSTALAÇÃO. AF_04/2022</t>
  </si>
  <si>
    <t>COTOVELO EM COBRE, DN 28 MM, 90 GRAUS, SEM ANEL DE SOLDA, INSTALADO EM RAMAL E SUB-RAMAL DE GÁS MEDICINAL - FORNECIMENTO E INSTALAÇÃO. AF_04/2022</t>
  </si>
  <si>
    <t>COTOVELO EM COBRE, DN 28 MM, 90 GRAUS, SEM ANEL DE SOLDA, INSTALADO EM RAMAL E SUB-RAMAL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</si>
  <si>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</si>
  <si>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</si>
  <si>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</si>
  <si>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</si>
  <si>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CURVA DE TRANSPOSIÇÃO EM BRONZE/LATÃO, DN 15 MM, SEM ANEL DE SOLDA, BOLSA X BOLSA, INSTALADO EM RAMAL DE DISTRIBUIÇÃO DE HIDRÁULICA PREDIAL - FORNECIMENTO E INSTALAÇÃO. AF_04/2022</t>
  </si>
  <si>
    <t>CURVA DE TRANSPOSIÇÃO EM BRONZE/LATÃO, DN 15 MM, SEM ANEL DE SOLDA, BOLSA X BOLSA, INSTALADO EM RAMAL E SUB-RAMAL DE AQUECIMENTO SOLAR - FORNECIMENTO E INSTALAÇÃO. AF_04/2022</t>
  </si>
  <si>
    <t>CURVA DE TRANSPOSIÇÃO EM BRONZE/LATÃO, DN 15 MM, SEM ANEL DE SOLDA, BOLSA X BOLSA, INSTALADO EM RAMAL E SUB-RAMAL DE GÁS COMBUSTÍVEL - FORNECIMENTO E INSTALAÇÃO. AF_04/2022</t>
  </si>
  <si>
    <t>CURVA DE TRANSPOSIÇÃO EM BRONZE/LATÃO, DN 15 MM, SEM ANEL DE SOLDA, BOLSA X BOLSA, INSTALADO EM RAMAL E SUB-RAMAL DE GÁS MEDICINAL - FORNECIMENTO E INSTALAÇÃO. AF_04/2022</t>
  </si>
  <si>
    <t>CURVA DE TRANSPOSIÇÃO EM BRONZE/LATÃO, DN 15 MM, SEM ANEL DE SOLDA, BOLSA X BOLSA, INSTALADO EM RAMAL E SUB-RAMAL DE HIDRÁULICA PREDIAL - FORNECIMENTO E INSTALAÇÃO. AF_04/2022</t>
  </si>
  <si>
    <t>CURVA DE TRANSPOSIÇÃO EM BRONZE/LATÃO, DN 22 MM, SEM ANEL DE SOLDA, BOLSA X BOLSA, INSTALADO EM PRUMADA DE HIDRÁULICA PREDIAL - FORNECIMENTO E INSTALAÇÃO. AF_04/2022</t>
  </si>
  <si>
    <t>CURVA DE TRANSPOSIÇÃO EM BRONZE/LATÃO, DN 22 MM, SEM ANEL DE SOLDA, BOLSA X BOLSA, INSTALADO EM RAMAL DE DISTRIBUIÇÃO DE HIDRÁULICA PREDIAL - FORNECIMENTO E INSTALAÇÃO. AF_04/2022</t>
  </si>
  <si>
    <t>CURVA DE TRANSPOSIÇÃO EM BRONZE/LATÃO, DN 22 MM, SEM ANEL DE SOLDA, BOLSA X BOLSA, INSTALADO EM RAMAL E SUB-RAMAL DE AQUECIMENTO SOLAR - FORNECIMENTO E INSTALAÇÃO. AF_04/2022</t>
  </si>
  <si>
    <t>CURVA DE TRANSPOSIÇÃO EM BRONZE/LATÃO, DN 22 MM, SEM ANEL DE SOLDA, BOLSA X BOLSA, INSTALADO EM RAMAL E SUB-RAMAL DE GÁS COMBUSTÍVEL - FORNECIMENTO E INSTALAÇÃO. AF_04/2022</t>
  </si>
  <si>
    <t>CURVA DE TRANSPOSIÇÃO EM BRONZE/LATÃO, DN 22 MM, SEM ANEL DE SOLDA, BOLSA X BOLSA, INSTALADO EM RAMAL E SUB-RAMAL DE GÁS MEDICINAL - FORNECIMENTO E INSTALAÇÃO. AF_04/2022</t>
  </si>
  <si>
    <t>CURVA DE TRANSPOSIÇÃO EM BRONZE/LATÃO, DN 22 MM, SEM ANEL DE SOLDA, BOLSA X BOLSA, INSTALADO EM RAMAL E SUB-RAMAL DE HIDRÁULICA PREDIAL - FORNECIMENTO E INSTALAÇÃO. AF_04/2022</t>
  </si>
  <si>
    <t>CURVA DE TRANSPOSIÇÃO EM BRONZE/LATÃO, DN 28 MM, SEM ANEL DE SOLDA, BOLSA X BOLSA, INSTALADO EM PRUMADA DE HIDRÁULICA PREDIAL - FORNECIMENTO E INSTALAÇÃO. AF_04/2022</t>
  </si>
  <si>
    <t>CURVA DE TRANSPOSIÇÃO EM BRONZE/LATÃO, DN 28 MM, SEM ANEL DE SOLDA, BOLSA X BOLSA, INSTALADO EM RAMAL DE DISTRIBUIÇÃO DE HIDRÁULICA PREDIAL - FORNECIMENTO E INSTALAÇÃO. AF_04/2022</t>
  </si>
  <si>
    <t>CURVA DE TRANSPOSIÇÃO EM BRONZE/LATÃO, DN 28 MM, SEM ANEL DE SOLDA, BOLSA X BOLSA, INSTALADO EM RAMAL E SUB-RAMAL DE AQUECIMENTO SOLAR - FORNECIMENTO E INSTALAÇÃO. AF_04/2022</t>
  </si>
  <si>
    <t>CURVA DE TRANSPOSIÇÃO EM BRONZE/LATÃO, DN 28 MM, SEM ANEL DE SOLDA, BOLSA X BOLSA, INSTALADO EM RAMAL E SUB-RAMAL DE GÁS COMBUSTÍVEL - FORNECIMENTO E INSTALAÇÃO. AF_04/2022</t>
  </si>
  <si>
    <t>CURVA DE TRANSPOSIÇÃO EM BRONZE/LATÃO, DN 28 MM, SEM ANEL DE SOLDA, BOLSA X BOLSA, INSTALADO EM RAMAL E SUB-RAMAL DE GÁS MEDICINAL - FORNECIMENTO E INSTALAÇÃO. AF_04/2022</t>
  </si>
  <si>
    <t>CURVA DE TRANSPOSIÇÃO EM BRONZE/LATÃO, DN 28 MM, SEM ANEL DE SOLDA, BOLSA X BOLSA, INSTALADO EM RAMAL E SUB-RAMAL DE HIDRÁULICA PREDIAL - FORNECIMENTO E INSTALAÇÃO. AF_04/2022</t>
  </si>
  <si>
    <t>CURVA EM COBRE, DN 15 MM, 45 GRAUS, SEM ANEL DE SOLDA, BOLSA X BOLSA, INSTALADO EM RAMAL DE DISTRIBUIÇÃO DE HIDRÁULICA PREDIAL - FORNECIMENTO E INSTALAÇÃO. AF_04/2022</t>
  </si>
  <si>
    <t>CURVA EM COBRE, DN 15 MM, 45 GRAUS, SEM ANEL DE SOLDA, BOLSA X BOLSA, INSTALADO EM RAMAL E SUB-RAMAL DE AQUECIMENTO SOLAR - FORNECIMENTO E INSTALAÇÃO. AF_04/2022</t>
  </si>
  <si>
    <t>CURVA EM COBRE, DN 15 MM, 45 GRAUS, SEM ANEL DE SOLDA, BOLSA X BOLSA, INSTALADO EM RAMAL E SUB-RAMAL DE GÁS COMBUSTÍVEL - FORNECIMENTO E INSTALAÇÃO. AF_04/2022</t>
  </si>
  <si>
    <t>CURVA EM COBRE, DN 15 MM, 45 GRAUS, SEM ANEL DE SOLDA, BOLSA X BOLSA, INSTALADO EM RAMAL E SUB-RAMAL DE GÁS MEDICINAL - FORNECIMENTO E INSTALAÇÃO. AF_04/2022</t>
  </si>
  <si>
    <t>CURVA EM COBRE, DN 15 MM, 45 GRAUS, SEM ANEL DE SOLDA, BOLSA X BOLSA, INSTALADO EM RAMAL E SUB-RAMAL DE HIDRÁULICA PREDIAL - FORNECIMENTO E INSTALAÇÃO. AF_04/2022</t>
  </si>
  <si>
    <t>CURVA EM COBRE, DN 22 MM, 45 GRAUS, SEM ANEL DE SOLDA, BOLSA X BOLSA, INSTALADO EM PRUMADA DE HIDRÁULICA PREDIAL - FORNECIMENTO E INSTALAÇÃO. AF_04/2022</t>
  </si>
  <si>
    <t>CURVA EM COBRE, DN 22 MM, 45 GRAUS, SEM ANEL DE SOLDA, BOLSA X BOLSA, INSTALADO EM RAMAL DE DISTRIBUIÇÃO DE HIDRÁULICA PREDIAL - FORNECIMENTO E INSTALAÇÃO. AF_04/2022</t>
  </si>
  <si>
    <t>CURVA EM COBRE, DN 22 MM, 45 GRAUS, SEM ANEL DE SOLDA, BOLSA X BOLSA, INSTALADO EM RAMAL E SUB-RAMAL DE AQUECIMENTO SOLAR - FORNECIMENTO E INSTALAÇÃO. AF_04/2022</t>
  </si>
  <si>
    <t>CURVA EM COBRE, DN 22 MM, 45 GRAUS, SEM ANEL DE SOLDA, BOLSA X BOLSA, INSTALADO EM RAMAL E SUB-RAMAL DE GÁS COMBUSTÍVEL - FORNECIMENTO E INSTALAÇÃO. AF_04/2022</t>
  </si>
  <si>
    <t>CURVA EM COBRE, DN 22 MM, 45 GRAUS, SEM ANEL DE SOLDA, BOLSA X BOLSA, INSTALADO EM RAMAL E SUB-RAMAL DE GÁS MEDICINAL - FORNECIMENTO E INSTALAÇÃO. AF_04/2022</t>
  </si>
  <si>
    <t>CURVA EM COBRE, DN 22 MM, 45 GRAUS, SEM ANEL DE SOLDA, BOLSA X BOLSA, INSTALADO EM RAMAL E SUB-RAMAL DE HIDRÁULICA PREDIAL - FORNECIMENTO E INSTALAÇÃO. AF_04/2022</t>
  </si>
  <si>
    <t>CURVA EM COBRE, DN 28 MM, 45 GRAUS, SEM ANEL DE SOLDA, BOLSA X BOLSA, INSTALADO EM PRUMADA DE HIDRÁULICA PREDIAL - FORNECIMENTO E INSTALAÇÃO. AF_04/2022</t>
  </si>
  <si>
    <t>CURVA EM COBRE, DN 28 MM, 45 GRAUS, SEM ANEL DE SOLDA, BOLSA X BOLSA, INSTALADO EM RAMAL DE DISTRIBUIÇÃO DE HIDRÁULICA PREDIAL - FORNECIMENTO E INSTALAÇÃO. AF_04/2022</t>
  </si>
  <si>
    <t>CURVA EM COBRE, DN 28 MM, 45 GRAUS, SEM ANEL DE SOLDA, BOLSA X BOLSA, INSTALADO EM RAMAL E SUB-RAMAL DE AQUECIMENTO SOLAR - FORNECIMENTO E INSTALAÇÃO. AF_04/2022</t>
  </si>
  <si>
    <t>CURVA EM COBRE, DN 28 MM, 45 GRAUS, SEM ANEL DE SOLDA, BOLSA X BOLSA, INSTALADO EM RAMAL E SUB-RAMAL DE GÁS COMBUSTÍVEL - FORNECIMENTO E INSTALAÇÃO. AF_04/2022</t>
  </si>
  <si>
    <t>CURVA EM COBRE, DN 28 MM, 45 GRAUS, SEM ANEL DE SOLDA, BOLSA X BOLSA, INSTALADO EM RAMAL E SUB-RAMAL DE GÁS MEDICINAL - FORNECIMENTO E INSTALAÇÃO. AF_04/2022</t>
  </si>
  <si>
    <t>CURVA EM COBRE, DN 28 MM, 45 GRAUS, SEM ANEL DE SOLDA, BOLSA X BOLSA, INSTALADO EM RAMAL E SUB-RAMAL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</si>
  <si>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</si>
  <si>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</si>
  <si>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</si>
  <si>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</si>
  <si>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JUNTA DE EXPANSÃO EM BRONZE/LATÃO, DN 35 MM, PONTA X PONTA, INSTALADO EM PRUMADA DE HIDRÁULICA PREDIAL - FORNECIMENTO E INSTALAÇÃO. AF_04/2022</t>
  </si>
  <si>
    <t>JUNTA DE EXPANSÃO EM BRONZE/LATÃO, DN 42 MM, PONTA X PONTA, INSTALADO EM PRUMADA DE HIDRÁULICA PREDIAL - FORNECIMENTO E INSTALAÇÃO. AF_04/2022</t>
  </si>
  <si>
    <t>JUNTA DE EXPANSÃO EM BRONZE/LATÃO, DN 54 MM, PONTA X PONTA, INSTALADO EM PRUMADA DE HIDRÁULICA PREDIAL - FORNECIMENTO E INSTALAÇÃO. AF_04/2022</t>
  </si>
  <si>
    <t>JUNTA DE EXPANSÃO EM BRONZE/LATÃO, DN 66 MM, PONTA X PONTA, INSTALADO EM PRUMADA DE HIDRÁULICA PREDIAL - FORNECIMENTO E INSTALAÇÃO. AF_04/2022</t>
  </si>
  <si>
    <t>JUNTA DE EXPANSÃO EM COBRE, DN 15 MM, PONTA X PONTA, INSTALADO EM RAMAL DE DISTRIBUIÇÃO DE HIDRÁULICA PREDIAL - FORNECIMENTO E INSTALAÇÃO. AF_04/2022</t>
  </si>
  <si>
    <t>JUNTA DE EXPANSÃO EM COBRE, DN 15 MM, PONTA X PONTA, INSTALADO EM RAMAL E SUB-RAMAL DE AQUECIMENTO SOLAR - FORNECIMENTO E INSTALAÇÃO. AF_04/2022</t>
  </si>
  <si>
    <t>JUNTA DE EXPANSÃO EM COBRE, DN 15 MM, PONTA X PONTA, INSTALADO EM RAMAL E SUB-RAMAL DE GÁS COMBUSTÍVEL - FORNECIMENTO E INSTALAÇÃO. AF_04/2022</t>
  </si>
  <si>
    <t>JUNTA DE EXPANSÃO EM COBRE, DN 15 MM, PONTA X PONTA, INSTALADO EM RAMAL E SUB-RAMAL DE GÁS MEDICINAL - FORNECIMENTO E INSTALAÇÃO. AF_04/2022</t>
  </si>
  <si>
    <t>JUNTA DE EXPANSÃO EM COBRE, DN 15 MM, PONTA X PONTA, INSTALADO EM RAMAL E SUB-RAMAL DE HIDRÁULICA PREDIAL - FORNECIMENTO E INSTALAÇÃO. AF_04/2022</t>
  </si>
  <si>
    <t>JUNTA DE EXPANSÃO EM COBRE, DN 22 MM, PONTA X PONTA, INSTALADO EM PRUMADA DE HIDRÁULICA PREDIAL - FORNECIMENTO E INSTALAÇÃO. AF_04/2022</t>
  </si>
  <si>
    <t>JUNTA DE EXPANSÃO EM COBRE, DN 22 MM, PONTA X PONTA, INSTALADO EM RAMAL DE DISTRIBUIÇÃO DE HIDRÁULICA PREDIAL - FORNECIMENTO E INSTALAÇÃO. AF_04/2022</t>
  </si>
  <si>
    <t>JUNTA DE EXPANSÃO EM COBRE, DN 22 MM, PONTA X PONTA, INSTALADO EM RAMAL E SUB-RAMAL DE AQUECIMENTO SOLAR - FORNECIMENTO E INSTALAÇÃO. AF_04/2022</t>
  </si>
  <si>
    <t>JUNTA DE EXPANSÃO EM COBRE, DN 22 MM, PONTA X PONTA, INSTALADO EM RAMAL E SUB-RAMAL DE GÁS COMBUSTÍVEL - FORNECIMENTO E INSTALAÇÃO. AF_04/2022</t>
  </si>
  <si>
    <t>JUNTA DE EXPANSÃO EM COBRE, DN 22 MM, PONTA X PONTA, INSTALADO EM RAMAL E SUB-RAMAL DE GÁS MEDICINAL - FORNECIMENTO E INSTALAÇÃO. AF_04/2022</t>
  </si>
  <si>
    <t>JUNTA DE EXPANSÃO EM COBRE, DN 22 MM, PONTA X PONTA, INSTALADO EM RAMAL E SUB-RAMAL DE HIDRÁULICA PREDIAL - FORNECIMENTO E INSTALAÇÃO. AF_04/2022</t>
  </si>
  <si>
    <t>JUNTA DE EXPANSÃO EM COBRE, DN 28 MM, PONTA X PONTA, INSTALADO EM PRUMADA DE HIDRÁULICA PREDIAL - FORNECIMENTO E INSTALAÇÃO. AF_04/2022</t>
  </si>
  <si>
    <t>JUNTA DE EXPANSÃO EM COBRE, DN 28 MM, PONTA X PONTA, INSTALADO EM RAMAL DE DISTRIBUIÇÃO DE HIDRÁULICA PREDIAL - FORNECIMENTO E INSTALAÇÃO. AF_04/2022</t>
  </si>
  <si>
    <t>JUNTA DE EXPANSÃO EM COBRE, DN 28 MM, PONTA X PONTA, INSTALADO EM RAMAL E SUB-RAMAL DE AQUECIMENTO SOLAR - FORNECIMENTO E INSTALAÇÃO. AF_04/2022</t>
  </si>
  <si>
    <t>JUNTA DE EXPANSÃO EM COBRE, DN 28 MM, PONTA X PONTA, INSTALADO EM RAMAL E SUB-RAMAL DE GÁS COMBUSTÍVEL - FORNECIMENTO E INSTALAÇÃO. AF_04/2022</t>
  </si>
  <si>
    <t>JUNTA DE EXPANSÃO EM COBRE, DN 28 MM, PONTA X PONTA, INSTALADO EM RAMAL E SUB-RAMAL DE GÁS MEDICINAL - FORNECIMENTO E INSTALAÇÃO. AF_04/2022</t>
  </si>
  <si>
    <t>JUNTA DE EXPANSÃO EM COBRE, DN 28 MM, PONTA X PONTA, INSTALADO EM RAMAL E SUB-RAMAL DE HIDRÁULICA PREDIAL - FORNECIMENTO E INSTALAÇÃO. AF_04/2022</t>
  </si>
  <si>
    <t>LUVA EM COBRE, DN 15 MM, SEM ANEL DE SOLDA, INSTALADO EM RAMAL DE DISTRIBUIÇÃO DE HIDRÁULICA PREDIAL - FORNECIMENTO E INSTALAÇÃO. AF_04/2022</t>
  </si>
  <si>
    <t>LUVA EM COBRE, DN 15 MM, SEM ANEL DE SOLDA, INSTALADO EM RAMAL E SUB-RAMAL DE AQUECIMENTO SOLAR - FORNECIMENTO E INSTALAÇÃO. AF_04/2022</t>
  </si>
  <si>
    <t>LUVA EM COBRE, DN 15 MM, SEM ANEL DE SOLDA, INSTALADO EM RAMAL E SUB-RAMAL DE GÁS COMBUSTÍVEL - FORNECIMENTO E INSTALAÇÃO. AF_04/2022</t>
  </si>
  <si>
    <t>LUVA EM COBRE, DN 15 MM, SEM ANEL DE SOLDA, INSTALADO EM RAMAL E SUB-RAMAL DE GÁS MEDICINAL - FORNECIMENTO E INSTALAÇÃO. AF_04/2022</t>
  </si>
  <si>
    <t>LUVA EM COBRE, DN 15 MM, SEM ANEL DE SOLDA, INSTALADO EM RAMAL E SUB-RAMAL DE HIDRÁULICA PREDIAL - FORNECIMENTO E INSTALAÇÃO. AF_04/2022</t>
  </si>
  <si>
    <t>LUVA EM COBRE, DN 22 MM, SEM ANEL DE SOLDA, INSTALADO EM PRUMADA DE HIDRÁULICA PREDIAL - FORNECIMENTO E INSTALAÇÃO. AF_04/2022</t>
  </si>
  <si>
    <t>LUVA EM COBRE, DN 22 MM, SEM ANEL DE SOLDA, INSTALADO EM RAMAL DE DISTRIBUIÇÃO DE HIDRÁULICA PREDIAL - FORNECIMENTO E INSTALAÇÃO. AF_04/2022</t>
  </si>
  <si>
    <t>LUVA EM COBRE, DN 22 MM, SEM ANEL DE SOLDA, INSTALADO EM RAMAL E SUB-RAMAL DE AQUECIMENTO SOLAR - FORNECIMENTO E INSTALAÇÃO. AF_04/2022</t>
  </si>
  <si>
    <t>LUVA EM COBRE, DN 22 MM, SEM ANEL DE SOLDA, INSTALADO EM RAMAL E SUB-RAMAL DE GÁS COMBUSTÍVEL - FORNECIMENTO E INSTALAÇÃO. AF_04/2022</t>
  </si>
  <si>
    <t>LUVA EM COBRE, DN 22 MM, SEM ANEL DE SOLDA, INSTALADO EM RAMAL E SUB-RAMAL DE GÁS MEDICINAL - FORNECIMENTO E INSTALAÇÃO. AF_04/2022</t>
  </si>
  <si>
    <t>LUVA EM COBRE, DN 22 MM, SEM ANEL DE SOLDA, INSTALADO EM RAMAL E SUB-RAMAL DE HIDRÁULICA PREDIAL - FORNECIMENTO E INSTALAÇÃO. AF_04/2022</t>
  </si>
  <si>
    <t>LUVA EM COBRE, DN 28 MM, SEM ANEL DE SOLDA, INSTALADO EM PRUMADA DE HIDRÁULICA PREDIAL - FORNECIMENTO E INSTALAÇÃO. AF_04/2022</t>
  </si>
  <si>
    <t>LUVA EM COBRE, DN 28 MM, SEM ANEL DE SOLDA, INSTALADO EM RAMAL DE DISTRIBUIÇÃO DE HIDRÁULICA PREDIAL - FORNECIMENTO E INSTALAÇÃO. AF_04/2022</t>
  </si>
  <si>
    <t>LUVA EM COBRE, DN 28 MM, SEM ANEL DE SOLDA, INSTALADO EM RAMAL E SUB-RAMAL DE AQUECIMENTO SOLAR - FORNECIMENTO E INSTALAÇÃO. AF_04/2022</t>
  </si>
  <si>
    <t>LUVA EM COBRE, DN 28 MM, SEM ANEL DE SOLDA, INSTALADO EM RAMAL E SUB-RAMAL DE GÁS COMBUSTÍVEL - FORNECIMENTO E INSTALAÇÃO. AF_04/2022</t>
  </si>
  <si>
    <t>LUVA EM COBRE, DN 28 MM, SEM ANEL DE SOLDA, INSTALADO EM RAMAL E SUB-RAMAL DE GÁS MEDICINAL - FORNECIMENTO E INSTALAÇÃO. AF_04/2022</t>
  </si>
  <si>
    <t>LUVA EM COBRE, DN 28 MM, SEM ANEL DE SOLDA, INSTALADO EM RAMAL E SUB-RAMAL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</si>
  <si>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</si>
  <si>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</si>
  <si>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</si>
  <si>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</si>
  <si>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LUVA PASSANTE EM COBRE, DN 15 MM, SEM ANEL DE SOLDA, INSTALADO EM RAMAL DE DISTRIBUIÇÃO DE HIDRÁULICA PREDIAL - FORNECIMENTO E INSTALAÇÃO. AF_04/2022</t>
  </si>
  <si>
    <t>LUVA PASSANTE EM COBRE, DN 15 MM, SEM ANEL DE SOLDA, INSTALADO EM RAMAL E SUB-RAMAL DE AQUECIMENTO SOLAR - FORNECIMENTO E INSTALAÇÃO. AF_04/2022</t>
  </si>
  <si>
    <t>LUVA PASSANTE EM COBRE, DN 15 MM, SEM ANEL DE SOLDA, INSTALADO EM RAMAL E SUB-RAMAL DE GÁS COMBUSTÍVEL - FORNECIMENTO E INSTALAÇÃO. AF_04/2022</t>
  </si>
  <si>
    <t>LUVA PASSANTE EM COBRE, DN 15 MM, SEM ANEL DE SOLDA, INSTALADO EM RAMAL E SUB-RAMAL DE GÁS MEDICINAL - FORNECIMENTO E INSTALAÇÃO. AF_04/2022</t>
  </si>
  <si>
    <t>LUVA PASSANTE EM COBRE, DN 15 MM, SEM ANEL DE SOLDA, INSTALADO EM RAMAL E SUB-RAMAL DE HIDRÁULICA PREDIAL - FORNECIMENTO E INSTALAÇÃO. AF_04/2022</t>
  </si>
  <si>
    <t>LUVA PASSANTE EM COBRE, DN 22 MM, SEM ANEL DE SOLDA, INSTALADO EM PRUMADA DE HIDRÁULICA PREDIAL - FORNECIMENTO E INSTALAÇÃO. AF_04/2022</t>
  </si>
  <si>
    <t>LUVA PASSANTE EM COBRE, DN 22 MM, SEM ANEL DE SOLDA, INSTALADO EM RAMAL DE DISTRIBUIÇÃO DE HIDRÁULICA PREDIAL - FORNECIMENTO E INSTALAÇÃO. AF_04/2022</t>
  </si>
  <si>
    <t>LUVA PASSANTE EM COBRE, DN 22 MM, SEM ANEL DE SOLDA, INSTALADO EM RAMAL E SUB-RAMAL DE AQUECIMENTO SOLAR - FORNECIMENTO E INSTALAÇÃO. AF_04/2022</t>
  </si>
  <si>
    <t>LUVA PASSANTE EM COBRE, DN 22 MM, SEM ANEL DE SOLDA, INSTALADO EM RAMAL E SUB-RAMAL DE GÁS COMBUSTÍVEL - FORNECIMENTO E INSTALAÇÃO. AF_04/2022</t>
  </si>
  <si>
    <t>LUVA PASSANTE EM COBRE, DN 22 MM, SEM ANEL DE SOLDA, INSTALADO EM RAMAL E SUB-RAMAL DE GÁS MEDICINAL - FORNECIMENTO E INSTALAÇÃO. AF_04/2022</t>
  </si>
  <si>
    <t>LUVA PASSANTE EM COBRE, DN 22 MM, SEM ANEL DE SOLDA, INSTALADO EM RAMAL E SUB-RAMAL DE HIDRÁULICA PREDIAL - FORNECIMENTO E INSTALAÇÃO. AF_04/2022</t>
  </si>
  <si>
    <t>LUVA PASSANTE EM COBRE, DN 28 MM, SEM ANEL DE SOLDA, INSTALADO EM PRUMADA DE HIDRÁULICA PREDIAL - FORNECIMENTO E INSTALAÇÃO. AF_04/2022</t>
  </si>
  <si>
    <t>LUVA PASSANTE EM COBRE, DN 28 MM, SEM ANEL DE SOLDA, INSTALADO EM RAMAL DE DISTRIBUIÇÃO DE HIDRÁULICA PREDIAL - FORNECIMENTO E INSTALAÇÃO. AF_04/2022</t>
  </si>
  <si>
    <t>LUVA PASSANTE EM COBRE, DN 28 MM, SEM ANEL DE SOLDA, INSTALADO EM RAMAL E SUB-RAMAL DE AQUECIMENTO SOLAR - FORNECIMENTO E INSTALAÇÃO. AF_04/2022</t>
  </si>
  <si>
    <t>LUVA PASSANTE EM COBRE, DN 28 MM, SEM ANEL DE SOLDA, INSTALADO EM RAMAL E SUB-RAMAL DE GÁS COMBUSTÍVEL - FORNECIMENTO E INSTALAÇÃO. AF_04/2022</t>
  </si>
  <si>
    <t>LUVA PASSANTE EM COBRE, DN 28 MM, SEM ANEL DE SOLDA, INSTALADO EM RAMAL E SUB-RAMAL DE GÁS MEDICINAL - FORNECIMENTO E INSTALAÇÃO. AF_04/2022</t>
  </si>
  <si>
    <t>LUVA PASSANTE EM COBRE, DN 28 MM, SEM ANEL DE SOLDA, INSTALADO EM RAMAL E SUB-RAMAL DE HIDRÁULICA PREDIAL - FORNECIMENTO E INSTALAÇÃO. AF_04/2022</t>
  </si>
  <si>
    <t>LUVA PASSANTE EM COBRE, DN 35 MM, SEM ANEL DE SOLDA, INSTALADO EM PRUMADA DE HIDRÁULICA PREDIAL - FORNECIMENTO E INSTALAÇÃO. AF_04/2022</t>
  </si>
  <si>
    <t>LUVA PASSANTE EM COBRE, DN 42 MM, SEM ANEL DE SOLDA, INSTALADO EM PRUMADA DE HIDRÁULICA PREDIAL - FORNECIMENTO E INSTALAÇÃO. AF_04/2022</t>
  </si>
  <si>
    <t>LUVA PASSANTE EM COBRE, DN 54 MM, SEM ANEL DE SOLDA, INSTALADO EM PRUMADA DE HIDRÁULICA PREDIAL - FORNECIMENTO E INSTALAÇÃO. AF_04/2022</t>
  </si>
  <si>
    <t>LUVA PASSANTE EM COBRE, DN 66 MM, SEM ANEL DE SOLDA, INSTALADO EM PRUMADA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</si>
  <si>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</si>
  <si>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</si>
  <si>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TE EM COBRE, DN 15 MM, SEM ANEL DE SOLDA, INSTALADO EM RAMAL DE DISTRIBUIÇÃO DE HIDRÁULICA PREDIAL - FORNECIMENTO E INSTALAÇÃO. AF_04/2022</t>
  </si>
  <si>
    <t>TE EM COBRE, DN 15 MM, SEM ANEL DE SOLDA, INSTALADO EM RAMAL E SUB-RAMAL DE HIDRÁULICA PREDIAL - FORNECIMENTO E INSTALAÇÃO. AF_04/2022</t>
  </si>
  <si>
    <t>TE EM COBRE, DN 22 MM, SEM ANEL DE SOLDA, INSTALADO EM PRUMADA DE HIDRÁULICA PREDIAL - FORNECIMENTO E INSTALAÇÃO. AF_04/2022</t>
  </si>
  <si>
    <t>TE EM COBRE, DN 22 MM, SEM ANEL DE SOLDA, INSTALADO EM RAMAL DE DISTRIBUIÇÃO DE HIDRÁULICA PREDIAL - FORNECIMENTO E INSTALAÇÃO. AF_04/2022</t>
  </si>
  <si>
    <t>TE EM COBRE, DN 22 MM, SEM ANEL DE SOLDA, INSTALADO EM RAMAL E SUB-RAMAL DE GÁS COMBUSTÍVEL - FORNECIMENTO E INSTALAÇÃO. AF_04/2022</t>
  </si>
  <si>
    <t>TE EM COBRE, DN 22 MM, SEM ANEL DE SOLDA, INSTALADO EM RAMAL E SUB-RAMAL DE HIDRÁULICA PREDIAL - FORNECIMENTO E INSTALAÇÃO. AF_04/2022</t>
  </si>
  <si>
    <t>TE EM COBRE, DN 28 MM, SEM ANEL DE SOLDA, INSTALADO EM PRUMADA DE HIDRÁULICA PREDIAL - FORNECIMENTO E INSTALAÇÃO. AF_04/2022</t>
  </si>
  <si>
    <t>TE EM COBRE, DN 28 MM, SEM ANEL DE SOLDA, INSTALADO EM RAMAL DE DISTRIBUIÇÃO DE HIDRÁULICA PREDIAL - FORNECIMENTO E INSTALAÇÃO. AF_04/2022</t>
  </si>
  <si>
    <t>TE EM COBRE, DN 28 MM, SEM ANEL DE SOLDA, INSTALADO EM RAMAL E SUB-RAMAL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</si>
  <si>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</si>
  <si>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</si>
  <si>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</si>
  <si>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</si>
  <si>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TUBO EM COBRE RÍGIDO, DN 15 MM, CLASSE A, SEM ISOLAMENTO, INSTALADO EM RAMAL E SUB-RAMAL DE GÁS MEDICINAL - FORNECIMENTO E INSTALAÇÃO. AF_04/2022</t>
  </si>
  <si>
    <t>TUBO EM COBRE RÍGIDO, DN 15 MM, CLASSE E, COM ISOLAMENTO, INSTALADO EM RAMAL DE DISTRIBUIÇÃO DE HIDRÁULICA PREDIAL - FORNECIMENTO E INSTALAÇÃO. AF_04/2022</t>
  </si>
  <si>
    <t>TUBO EM COBRE RÍGIDO, DN 15 MM, CLASSE E, COM ISOLAMENTO, INSTALADO EM RAMAL E SUB-RAMAL DE AQUECIMENTO SOLAR - FORNECIMENTO E INSTALAÇÃO. AF_04/2022</t>
  </si>
  <si>
    <t>TUBO EM COBRE RÍGIDO, DN 15 MM, CLASSE E, COM ISOLAMENTO, INSTALADO EM RAMAL E SUB-RAMAL DE HIDRÁULICA PREDIAL - FORNECIMENTO E INSTALAÇÃO. AF_04/2022</t>
  </si>
  <si>
    <t>TUBO EM COBRE RÍGIDO, DN 15 MM, CLASSE E, SEM ISOLAMENTO, INSTALADO EM RAMAL DE DISTRIBUIÇÃO DE HIDRÁULICA PREDIAL - FORNECIMENTO E INSTALAÇÃO. AF_04/2022</t>
  </si>
  <si>
    <t>TUBO EM COBRE RÍGIDO, DN 15 MM, CLASSE E, SEM ISOLAMENTO, INSTALADO EM RAMAL E SUB-RAMAL DE AQUECIMENTO SOLAR - FORNECIMENTO E INSTALAÇÃO. AF_04/2022</t>
  </si>
  <si>
    <t>TUBO EM COBRE RÍGIDO, DN 15 MM, CLASSE E, SEM ISOLAMENTO, INSTALADO EM RAMAL E SUB-RAMAL DE GÁS COMBUSTÍVEL - FORNECIMENTO E INSTALAÇÃO. AF_04/2022</t>
  </si>
  <si>
    <t>TUBO EM COBRE RÍGIDO, DN 15 MM, CLASSE E, SEM ISOLAMENTO, INSTALADO EM RAMAL E SUB-RAMAL DE HIDRÁULICA PREDIAL - FORNECIMENTO E INSTALAÇÃO. AF_04/2022</t>
  </si>
  <si>
    <t>TUBO EM COBRE RÍGIDO, DN 22 MM, CLASSE A, SEM ISOLAMENTO, INSTALADO EM PRUMADA DE GÁS COMBUSTÍVEL - FORNECIMENTO E INSTALAÇÃO. AF_04/2022</t>
  </si>
  <si>
    <t>TUBO EM COBRE RÍGIDO, DN 22 MM, CLASSE A, SEM ISOLAMENTO, INSTALADO EM RAMAL E SUB-RAMAL DE GÁS MEDICINAL - FORNECIMENTO E INSTALAÇÃO. AF_04/2022</t>
  </si>
  <si>
    <t>TUBO EM COBRE RÍGIDO, DN 22 MM, CLASSE E, COM ISOLAMENTO, INSTALADO EM PRUMADA DE HIDRÁULICA PREDIAL - FORNECIMENTO E INSTALAÇÃO. AF_04/2022</t>
  </si>
  <si>
    <t>TUBO EM COBRE RÍGIDO, DN 22 MM, CLASSE E, COM ISOLAMENTO, INSTALADO EM RAMAL DE DISTRIBUIÇÃO DE HIDRÁULICA PREDIAL - FORNECIMENTO E INSTALAÇÃO. AF_04/2022</t>
  </si>
  <si>
    <t>TUBO EM COBRE RÍGIDO, DN 22 MM, CLASSE E, COM ISOLAMENTO, INSTALADO EM RAMAL E SUB-RAMAL DE AQUECIMENTO SOLAR - FORNECIMENTO E INSTALAÇÃO. AF_04/2022</t>
  </si>
  <si>
    <t>TUBO EM COBRE RÍGIDO, DN 22 MM, CLASSE E, COM ISOLAMENTO, INSTALADO EM RAMAL E SUB-RAMAL DE HIDRÁULICA PREDIAL - FORNECIMENTO E INSTALAÇÃO. AF_04/2022</t>
  </si>
  <si>
    <t>TUBO EM COBRE RÍGIDO, DN 22 MM, CLASSE E, SEM ISOLAMENTO, INSTALADO EM PRUMADA DE HIDRÁULICA PREDIAL - FORNECIMENTO E INSTALAÇÃO. AF_04/2022</t>
  </si>
  <si>
    <t>TUBO EM COBRE RÍGIDO, DN 22 MM, CLASSE E, SEM ISOLAMENTO, INSTALADO EM RAMAL DE DISTRIBUIÇÃO DE HIDRÁULICA PREDIAL - FORNECIMENTO E INSTALAÇÃO. AF_04/2022</t>
  </si>
  <si>
    <t>TUBO EM COBRE RÍGIDO, DN 22 MM, CLASSE E, SEM ISOLAMENTO, INSTALADO EM RAMAL E SUB-RAMAL DE AQUECIMENTO SOLAR - FORNECIMENTO E INSTALAÇÃO. AF_04/2022</t>
  </si>
  <si>
    <t>TUBO EM COBRE RÍGIDO, DN 22 MM, CLASSE E, SEM ISOLAMENTO, INSTALADO EM RAMAL E SUB-RAMAL DE GÁS COMBUSTÍVEL - FORNECIMENTO E INSTALAÇÃO. AF_04/2022</t>
  </si>
  <si>
    <t>TUBO EM COBRE RÍGIDO, DN 22 MM, CLASSE E, SEM ISOLAMENTO, INSTALADO EM RAMAL E SUB-RAMAL DE HIDRÁULICA PREDIAL - FORNECIMENTO E INSTALAÇÃO. AF_04/2022</t>
  </si>
  <si>
    <t>TUBO EM COBRE RÍGIDO, DN 28 MM, CLASSE A, SEM ISOLAMENTO, INSTALADO EM PRUMADA DE GÁS COMBUSTÍVEL - FORNECIMENTO E INSTALAÇÃO. AF_04/2022</t>
  </si>
  <si>
    <t>TUBO EM COBRE RÍGIDO, DN 28 MM, CLASSE A, SEM ISOLAMENTO, INSTALADO EM RAMAL E SUB-RAMAL DE GÁS MEDICINAL - FORNECIMENTO E INSTALAÇÃO. AF_04/2022</t>
  </si>
  <si>
    <t>TUBO EM COBRE RÍGIDO, DN 28 MM, CLASSE E, COM ISOLAMENTO, INSTALADO EM PRUMADA DE HIDRÁULICA PREDIAL - FORNECIMENTO E INSTALAÇÃO. AF_04/2022</t>
  </si>
  <si>
    <t>TUBO EM COBRE RÍGIDO, DN 28 MM, CLASSE E, COM ISOLAMENTO, INSTALADO EM RAMAL DE DISTRIBUIÇÃO DE HIDRÁULICA PREDIAL - FORNECIMENTO E INSTALAÇÃO. AF_04/2022</t>
  </si>
  <si>
    <t>TUBO EM COBRE RÍGIDO, DN 28 MM, CLASSE E, COM ISOLAMENTO, INSTALADO EM RAMAL E SUB-RAMAL DE AQUECIMENTO SOLAR - FORNECIMENTO E INSTALAÇÃO. AF_04/2022</t>
  </si>
  <si>
    <t>TUBO EM COBRE RÍGIDO, DN 28 MM, CLASSE E, COM ISOLAMENTO, INSTALADO EM RAMAL E SUB-RAMAL DE HIDRÁULICA PREDIAL - FORNECIMENTO E INSTALAÇÃO. AF_04/2022</t>
  </si>
  <si>
    <t>TUBO EM COBRE RÍGIDO, DN 28 MM, CLASSE E, SEM ISOLAMENTO, INSTALADO EM PRUMADA DE HIDRÁULICA PREDIAL - FORNECIMENTO E INSTALAÇÃO. AF_04/2022</t>
  </si>
  <si>
    <t>TUBO EM COBRE RÍGIDO, DN 28 MM, CLASSE E, SEM ISOLAMENTO, INSTALADO EM RAMAL DE DISTRIBUIÇÃO DE HIDRÁULICA PREDIAL - FORNECIMENTO E INSTALAÇÃO. AF_04/2022</t>
  </si>
  <si>
    <t>TUBO EM COBRE RÍGIDO, DN 28 MM, CLASSE E, SEM ISOLAMENTO, INSTALADO EM RAMAL E SUB-RAMAL DE AQUECIMENTO SOLAR - FORNECIMENTO E INSTALAÇÃO. AF_04/2022</t>
  </si>
  <si>
    <t>TUBO EM COBRE RÍGIDO, DN 28 MM, CLASSE E, SEM ISOLAMENTO, INSTALADO EM RAMAL E SUB-RAMAL DE GÁS COMBUSTÍVEL - FORNECIMENTO E INSTALAÇÃO. AF_04/2022</t>
  </si>
  <si>
    <t>TUBO EM COBRE RÍGIDO, DN 28 MM, CLASSE E, SEM ISOLAMENTO, INSTALADO EM RAMAL E SUB-RAMAL DE HIDRÁULICA PREDIAL - FORNECIMENTO E INSTALAÇÃO. AF_04/2022</t>
  </si>
  <si>
    <t>TUBO EM COBRE RÍGIDO, DN 35 MM, CLASSE A, SEM ISOLAMENTO, INSTALADO EM PRUMADA DE GÁS COMBUSTÍVEL - FORNECIMENTO E INSTALAÇÃO. AF_04/2022</t>
  </si>
  <si>
    <t>TUBO EM COBRE RÍGIDO, DN 35 MM, CLASSE E, COM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</si>
  <si>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</si>
  <si>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A, SEM ISOLAMENTO, INSTALADO EM PRUMADA DE GÁS COMBUSTÍVEL - FORNECIMENTO E INSTALAÇÃO. AF_04/2022</t>
  </si>
  <si>
    <t>TUBO EM COBRE RÍGIDO, DN 42 MM, CLASSE E, COM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</si>
  <si>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</si>
  <si>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A, SEM ISOLAMENTO, INSTALADO EM PRUMADA DE GÁS COMBUSTÍVEL - FORNECIMENTO E INSTALAÇÃO. AF_04/2022</t>
  </si>
  <si>
    <t>TUBO EM COBRE RÍGIDO, DN 54 MM, CLASSE E, COM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</si>
  <si>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</si>
  <si>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A, SEM ISOLAMENTO, INSTALADO EM PRUMADA DE GÁS COMBUSTÍVEL - FORNECIMENTO E INSTALAÇÃO. AF_04/2022</t>
  </si>
  <si>
    <t>TUBO EM COBRE RÍGIDO, DN 66 MM, CLASSE E, COM ISOLAMENTO, INSTALADO EM PRUMADA DE HIDRÁULICA PREDIAL - FORNECIMENTO E INSTALAÇÃO. AF_04/2022</t>
  </si>
  <si>
    <t>TUBO EM COBRE RÍGIDO, DN 66 MM, CLASSE E, SEM ISOLAMENTO, INSTALADO EM PRUMADA DE HIDRÁULICA PREDIAL - FORNECIMENTO E INSTALAÇÃO. AF_04/2022</t>
  </si>
  <si>
    <t>TÊ EM COBRE, DN 15 MM, SEM ANEL DE SOLDA, INSTALADO EM RAMAL E SUB-RAMAL DE AQUECIMENTO SOLAR - FORNECIMENTO E INSTALAÇÃO. AF_04/2022</t>
  </si>
  <si>
    <t>TÊ EM COBRE, DN 15 MM, SEM ANEL DE SOLDA, INSTALADO EM RAMAL E SUB-RAMAL DE GÁS COMBUSTÍVEL - FORNECIMENTO E INSTALAÇÃO. AF_04/2022</t>
  </si>
  <si>
    <t>TÊ EM COBRE, DN 15 MM, SEM ANEL DE SOLDA, INSTALADO EM RAMAL E SUB-RAMAL DE GÁS MEDICINAL - FORNECIMENTO E INSTALAÇÃO. AF_04/2022</t>
  </si>
  <si>
    <t>TÊ EM COBRE, DN 22 MM, SEM ANEL DE SOLDA, INSTALADO EM RAMAL E SUB-RAMAL DE AQUECIMENTO SOLAR - FORNECIMENTO E INSTALAÇÃO. AF_04/2022</t>
  </si>
  <si>
    <t>TÊ EM COBRE, DN 22 MM, SEM ANEL DE SOLDA, INSTALADO EM RAMAL E SUB-RAMAL DE GÁS MEDICINAL - FORNECIMENTO E INSTALAÇÃO. AF_04/2022</t>
  </si>
  <si>
    <t>TÊ EM COBRE, DN 28 MM, SEM ANEL DE SOLDA, INSTALADO EM RAMAL E SUB-RAMAL DE AQUECIMENTO SOLAR - FORNECIMENTO E INSTALAÇÃO. AF_04/2022</t>
  </si>
  <si>
    <t>TÊ EM COBRE, DN 28 MM, SEM ANEL DE SOLDA, INSTALADO EM RAMAL E SUB-RAMAL DE GÁS COMBUSTÍVEL - FORNECIMENTO E INSTALAÇÃO. AF_04/2022</t>
  </si>
  <si>
    <t>TÊ EM COBRE, DN 28 MM, SEM ANEL DE SOLDA, INSTALADO EM RAMAL E SUB-RAMAL DE GÁS MEDICINAL - FORNECIMENTO E INSTALAÇÃO. AF_04/2022</t>
  </si>
  <si>
    <t>ESTRUTURA DE MADEIRA PROVISÓRIA PARA SUPORTE DE CAIXA D'ÁGUA ELEVADA DE 2000 LITROS. AF_03/2024</t>
  </si>
  <si>
    <t>ESTRUTURA DE MADEIRA PROVISÓRIA PARA SUPORTE DE CAIXA DÁGUA ELEVADA DE 1000 LITROS. AF_03/2024</t>
  </si>
  <si>
    <t>ESTRUTURA DE MADEIRA PROVISÓRIA PARA SUPORTE DE CAIXA DÁGUA ELEVADA DE 3000 LITROS. AF_03/2024</t>
  </si>
  <si>
    <t>EXECUÇÃO DE PILARETES PARA TAPUMES E CONSTRUÇÕES TEMPORÁRIAS. AF_03/2024</t>
  </si>
  <si>
    <t>EXECUÇÃO DOS APOIOS PARA CONTÊINER OU MÓDULO HABITÁVEL. AF_03/2024</t>
  </si>
  <si>
    <t>INSTALAÇÃO DE CATRACA ELETRÔNICA. AF_03/2024</t>
  </si>
  <si>
    <t>INSTALAÇÃO DE CONCERTINA DUPLA CLIPADA, ESPIRAL DE 300 MM. AF_03/2024</t>
  </si>
  <si>
    <t>INSTALAÇÃO DE CONCERTINA FLAT, ESPIRAL DE 300 MM. AF_03/2024</t>
  </si>
  <si>
    <t>INSTALAÇÃO DE CONCERTINA SIMPLES, ESPIRAL DE 300 MM. AF_03/2024</t>
  </si>
  <si>
    <t>INSTALAÇÃO E DESINSTALAÇÃO MANUAL DE CONTÊINER OU MÓDULO HABITÁVEL PEQUENO. AF_03/2024</t>
  </si>
  <si>
    <t>INSTALAÇÃO E DESINSTALAÇÃO MECANIZADA DE CONTÊINER OU MÓDULO HABITÁVEL DE USOS DIVERSOS.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</si>
  <si>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</si>
  <si>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</si>
  <si>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EXTERNA, SEM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</si>
  <si>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</si>
  <si>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</si>
  <si>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PAREDE DE MADEIRA COMPENSADA PARA CONSTRUÇÃO TEMPORÁRIA EM CHAPA DUPLA,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</si>
  <si>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</si>
  <si>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</si>
  <si>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EXTERNA, SEM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</si>
  <si>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</si>
  <si>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</si>
  <si>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SIMPLES, INTERNA, SEM VÃO. AF_03/2024</t>
  </si>
  <si>
    <t>PAREDE DE MADEIRA OSB PARA CONSTRUÇÃO TEMPORÁRIA EM CHAPA DUPLA, EXTERNA, COM ÁREA LÍQUIDA MAIOR OU IGUAL A QUE 6 M², COM VÃO. AF_03/2024</t>
  </si>
  <si>
    <t>PAREDE DE MADEIRA OSB PARA CONSTRUÇÃO TEMPORÁRIA EM CHAPA DUPLA, EXTERNA, COM ÁREA LÍQUIDA MENOR QUE 6 M², COM VÃO. AF_03/2024</t>
  </si>
  <si>
    <t>PAREDE DE MADEIRA OSB PARA CONSTRUÇÃO TEMPORÁRIA EM CHAPA DUPLA, EXTERNA, SEM VÃO. AF_03/2024</t>
  </si>
  <si>
    <t>PAREDE DE MADEIRA OSB PARA CONSTRUÇÃO TEMPORÁRIA EM CHAPA DUPLA, INTERNA, COM ÁREA LÍQUIDA MAIOR OU IGUAL A 6 M², COM VÃO. AF_03/2024</t>
  </si>
  <si>
    <t>PAREDE DE MADEIRA OSB PARA CONSTRUÇÃO TEMPORÁRIA EM CHAPA DUPLA, INTERNA, COM ÁREA LÍQUIDA MENOR QUE 6 M², COM VÃO. AF_03/2024</t>
  </si>
  <si>
    <t>PAREDE DE MADEIRA OSB PARA CONSTRUÇÃO TEMPORÁRIA EM CHAPA DUPLA, INTERNA, SEM VÃO. AF_03/2024</t>
  </si>
  <si>
    <t>PAREDE DE MADEIRA OSB PARA CONSTRUÇÃO TEMPORÁRIA EM CHAPA SIMPLES, EXTERNA, COM ÁREA LÍQUIDA MAIOR OU IGUAL A 6 M², COM VÃO. AF_03/2024</t>
  </si>
  <si>
    <t>PAREDE DE MADEIRA OSB PARA CONSTRUÇÃO TEMPORÁRIA EM CHAPA SIMPLES, EXTERNA, COM ÁREA LÍQUIDA MENOR QUE 6 M², COM VÃO. AF_03/2024</t>
  </si>
  <si>
    <t>PAREDE DE MADEIRA OSB PARA CONSTRUÇÃO TEMPORÁRIA EM CHAPA SIMPLES, EXTERNA, SEM VÃO. AF_03/2024</t>
  </si>
  <si>
    <t>PAREDE DE MADEIRA OSB PARA CONSTRUÇÃO TEMPORÁRIA EM CHAPA SIMPLES, INTERNA, COM ÁREA LÍQUIDA MAIOR OU IGUAL A 6 M², COM VÃO. AF_03/2024</t>
  </si>
  <si>
    <t>PAREDE DE MADEIRA OSB PARA CONSTRUÇÃO TEMPORÁRIA EM CHAPA SIMPLES, INTERNA, COM ÁREA LÍQUIDA MENOR QUE 6 M², COM VÃO. AF_03/2024</t>
  </si>
  <si>
    <t>PAREDE DE MADEIRA OSB PARA CONSTRUÇÃO TEMPORÁRIA EM CHAPA SIMPLES, INTERNA, SEM VÃO. AF_03/2024</t>
  </si>
  <si>
    <t>PISO PARA CONSTRUÇÃO TEMPORÁRIA EM MADEIRA, SEM REAPROVEITAMENTO. AF_03/2024</t>
  </si>
  <si>
    <t>TAPUME COM CHAPA METÁLICA. AF_03/2024</t>
  </si>
  <si>
    <t>TAPUME COM COMPENSADO DE MADEIRA. AF_03/2024</t>
  </si>
  <si>
    <t>TAPUME COM TELHA METÁLICA. AF_03/2024</t>
  </si>
  <si>
    <t>TAPUME EM CHAPA DE MADEIRA OSB. AF_03/2024</t>
  </si>
  <si>
    <t>LAJE PRÉ-MOLDADA UNIDIRECIONAL COM VÃOS MAIORES QUE 3,0 M, BIAPOIADA, PARA PISO, ENCHIMENTO EM CERÂMICA, VIGOTA PROTENDIDA, ALTURA TOTAL DA LAJE "LT" = 12 CM (ENCHIMENTO+CAPA) = (8+4). AF_08/2025</t>
  </si>
  <si>
    <t>LAJE PRÉ-MOLDADA UNIDIRECIONAL COM VÃOS MAIORES QUE 3,0 M, BIAPOIADA, PARA PISO, ENCHIMENTO EM CERÂMICA, VIGOTA PROTENDIDA, ALTURA TOTAL DA LAJE "LT" = 16 CM (ENCHIMENTO+CAPA) = (12+4). AF_08/2025</t>
  </si>
  <si>
    <t>LAJE PRÉ-MOLDADA UNIDIRECIONAL COM VÃOS MAIORES QUE 3,0 M, BIAPOIADA, PARA PISO, ENCHIMENTO EM CERÂMICA, VIGOTA PROTENDIDA, ALTURA TOTAL DA LAJE "LT" = 20 CM (ENCHIMENTO+CAPA) = (16+4). AF_08/2025</t>
  </si>
  <si>
    <t>LAJE PRÉ-MOLDADA UNIDIRECIONAL COM VÃOS MAIORES QUE 3,0 M, BIAPOIADA, PARA PISO, ENCHIMENTO EM CERÂMICA, VIGOTA PROTENDIDA, ALTURA TOTAL DA LAJE "LT" = 25 CM (ENCHIMENTO+CAPA) = (20+5). AF_08/2025</t>
  </si>
  <si>
    <t>LAJE PRÉ-MOLDADA UNIDIRECIONAL COM VÃOS MAIORES QUE 3,0 M, BIAPOIADA, PARA PISO, ENCHIMENTO EM CERÂMICA, VIGOTA PROTENDIDA, ALTURA TOTAL DA LAJE "LT" = 30 CM (ENCHIMENTO+CAPA) = (25+5). AF_08/2025</t>
  </si>
  <si>
    <t>LAJE PRÉ-MOLDADA UNIDIRECIONAL COM VÃOS MAIORES QUE 3,0 M, BIAPOIADA, PARA PISO, ENCHIMENTO EM EPS, VIGOTA PROTENDIDA, ALTURA TOTAL DA LAJE "LT" = 12 CM (ENCHIMENTO+CAPA) = (8+4). AF_08/2025</t>
  </si>
  <si>
    <t>LAJE PRÉ-MOLDADA UNIDIRECIONAL COM VÃOS MAIORES QUE 3,0 M, BIAPOIADA, PARA PISO, ENCHIMENTO EM EPS, VIGOTA PROTENDIDA, ALTURA TOTAL DA LAJE "LT" = 16 CM (ENCHIMENTO+CAPA) = (12+4). AF_08/2025</t>
  </si>
  <si>
    <t>LAJE PRÉ-MOLDADA UNIDIRECIONAL COM VÃOS MAIORES QUE 3,0 M, BIAPOIADA, PARA PISO, ENCHIMENTO EM EPS, VIGOTA PROTENDIDA, ALTURA TOTAL DA LAJE "LT" = 20 CM (ENCHIMENTO+CAPA) = (16+4). AF_08/2025</t>
  </si>
  <si>
    <t>LAJE PRÉ-MOLDADA UNIDIRECIONAL COM VÃOS MAIORES QUE 3,0 M, BIAPOIADA, PARA PISO, ENCHIMENTO EM EPS, VIGOTA PROTENDIDA, ALTURA TOTAL DA LAJE "LT" = 25 CM (ENCHIMENTO+CAPA) = (20+5). AF_08/2025</t>
  </si>
  <si>
    <t>LAJE PRÉ-MOLDADA UNIDIRECIONAL COM VÃOS MAIORES QUE 3,0 M, BIAPOIADA, PARA PISO, ENCHIMENTO EM EPS, VIGOTA PROTENDIDA, ALTURA TOTAL DA LAJE "LT" = 30 CM (ENCHIMENTO+CAPA) = (25+5). AF_08/2025</t>
  </si>
  <si>
    <t>LAJE PRÉ-MOLDADA UNIDIRECIONAL COM VÃOS MENORES OU IGUAIS A 3,0 M, BIAPOIADA, PARA PISO, ENCHIMENTO EM CERÂMICA, VIGOTA PROTENDIDA, ALTURA TOTAL DA LAJE "LT" = 12 CM (ENCHIMENTO+CAPA) = (8+4). AF_08/2025</t>
  </si>
  <si>
    <t>LAJE PRÉ-MOLDADA UNIDIRECIONAL COM VÃOS MENORES OU IGUAIS A 3,0 M, BIAPOIADA, PARA PISO, ENCHIMENTO EM CERÂMICA, VIGOTA PROTENDIDA, ALTURA TOTAL DA LAJE "LT" = 16 CM (ENCHIMENTO+CAPA) = (12+4). AF_08/2025</t>
  </si>
  <si>
    <t>LAJE PRÉ-MOLDADA UNIDIRECIONAL COM VÃOS MENORES OU IGUAIS A 3,0 M, BIAPOIADA, PARA PISO, ENCHIMENTO EM CERÂMICA, VIGOTA PROTENDIDA, ALTURA TOTAL DA LAJE "LT" = 20 CM (ENCHIMENTO+CAPA) = (16+4). AF_08/2025</t>
  </si>
  <si>
    <t>LAJE PRÉ-MOLDADA UNIDIRECIONAL COM VÃOS MENORES OU IGUAIS A 3,0 M, BIAPOIADA, PARA PISO, ENCHIMENTO EM CERÂMICA, VIGOTA PROTENDIDA, ALTURA TOTAL DA LAJE "LT" = 25 CM (ENCHIMENTO+CAPA) = (20+5). AF_08/2025</t>
  </si>
  <si>
    <t>LAJE PRÉ-MOLDADA UNIDIRECIONAL COM VÃOS MENORES OU IGUAIS A 3,0 M, BIAPOIADA, PARA PISO, ENCHIMENTO EM CERÂMICA, VIGOTA PROTENDIDA, ALTURA TOTAL DA LAJE "LT" = 30 CM (ENCHIMENTO+CAPA) = (25+5). AF_08/2025</t>
  </si>
  <si>
    <t>LAJE PRÉ-MOLDADA UNIDIRECIONAL COM VÃOS MENORES OU IGUAIS A 3,0 M, BIAPOIADA, PARA PISO, ENCHIMENTO EM EPS, VIGOTA PROTENDIDA, ALTURA TOTAL DA LAJE "LT" = 12 CM (ENCHIMENTO+CAPA) = (8+4). AF_08/2025</t>
  </si>
  <si>
    <t>LAJE PRÉ-MOLDADA UNIDIRECIONAL COM VÃOS MENORES OU IGUAIS A 3,0 M, BIAPOIADA, PARA PISO, ENCHIMENTO EM EPS, VIGOTA PROTENDIDA, ALTURA TOTAL DA LAJE "LT" = 16 CM (ENCHIMENTO+CAPA) = (12+4). AF_08/2025</t>
  </si>
  <si>
    <t>LAJE PRÉ-MOLDADA UNIDIRECIONAL COM VÃOS MENORES OU IGUAIS A 3,0 M, BIAPOIADA, PARA PISO, ENCHIMENTO EM EPS, VIGOTA PROTENDIDA, ALTURA TOTAL DA LAJE "LT" = 20 CM (ENCHIMENTO+CAPA) = (16+4). AF_08/2025</t>
  </si>
  <si>
    <t>LAJE PRÉ-MOLDADA UNIDIRECIONAL COM VÃOS MENORES OU IGUAIS A 3,0 M, BIAPOIADA, PARA PISO, ENCHIMENTO EM EPS, VIGOTA PROTENDIDA, ALTURA TOTAL DA LAJE "LT" = 25 CM (ENCHIMENTO+CAPA) = (20+5). AF_08/2025</t>
  </si>
  <si>
    <t>LAJE PRÉ-MOLDADA UNIDIRECIONAL COM VÃOS MENORES OU IGUAIS A 3,0 M, BIAPOIADA, PARA PISO, ENCHIMENTO EM EPS, VIGOTA PROTENDIDA, ALTURA TOTAL DA LAJE "LT" = 30 CM (ENCHIMENTO+CAPA) = (25+5). AF_08/2025</t>
  </si>
  <si>
    <t>LAJE PRÉ-MOLDADA UNIDIRECIONAL, BIAPOIADA TIPO LAJE PAINEL TRELIÇADO MACIÇO (SEM ENCHIMENTO), PARA PISO, ALTURA TOTAL DA LAJE "LT" = 12 CM (PAINEL+CAPA) = (3+9). AF_08/2025</t>
  </si>
  <si>
    <t>LAJE PRÉ-MOLDADA UNIDIRECIONAL, BIAPOIADA TIPO LAJE PAINEL TRELIÇADO MACIÇO (SEM ENCHIMENTO), PARA PISO, ALTURA TOTAL DA LAJE "LT" = 16 CM (PAINEL+CAPA) = (3+13). AF_08/2025</t>
  </si>
  <si>
    <t>LAJE PRÉ-MOLDADA UNIDIRECIONAL, BIAPOIADA TIPO LAJE PAINEL TRELIÇADO MACIÇO (SEM ENCHIMENTO), PARA PISO, ALTURA TOTAL DA LAJE "LT" = 20 CM (PAINEL+CAPA) = (3+17). AF_08/2025</t>
  </si>
  <si>
    <t>LAJE PRÉ-MOLDADA UNIDIRECIONAL, BIAPOIADA TIPO LAJE PAINEL TRELIÇADO MACIÇO (SEM ENCHIMENTO), PARA PISO, ALTURA TOTAL DA LAJE "LT" = 25 CM (PAINEL+CAPA) = (3+22). AF_08/2025</t>
  </si>
  <si>
    <t>LAJE PRÉ-MOLDADA UNIDIRECIONAL, BIAPOIADA TIPO LAJE PAINEL TRELIÇADO MACIÇO (SEM ENCHIMENTO), PARA PISO, ALTURA TOTAL DA LAJE "LT" = 30 CM (PAINEL+CAPA) = (3+27). AF_08/2025</t>
  </si>
  <si>
    <t>LAJE PRÉ-MOLDADA UNIDIRECIONAL, BIAPOIADA TIPO LAJE PAINEL TRELIÇADO NERVURADO (COM ENCHIMENTO EM EPS), PARA PISO, ALTURA TOTAL DA LAJE "LT" = 12 CM (PAINEL+ENCHIMENTO+CAPA) = (3+5+4). AF_08/2025</t>
  </si>
  <si>
    <t>LAJE PRÉ-MOLDADA UNIDIRECIONAL, BIAPOIADA TIPO LAJE PAINEL TRELIÇADO NERVURADO (COM ENCHIMENTO EM EPS), PARA PISO, ALTURA TOTAL DA LAJE "LT" = 16 CM (PAINEL+ENCHIMENTO+CAPA) = (3+9+4). AF_08/2025</t>
  </si>
  <si>
    <t>LAJE PRÉ-MOLDADA UNIDIRECIONAL, BIAPOIADA TIPO LAJE PAINEL TRELIÇADO NERVURADO (COM ENCHIMENTO EM EPS), PARA PISO, ALTURA TOTAL DA LAJE "LT" = 20 CM (PAINEL+ENCHIMENTO+CAPA) = (3+13+4). AF_08/2025</t>
  </si>
  <si>
    <t>LAJE PRÉ-MOLDADA UNIDIRECIONAL, BIAPOIADA TIPO LAJE PAINEL TRELIÇADO NERVURADO (COM ENCHIMENTO EM EPS), PARA PISO, ALTURA TOTAL DA LAJE "LT" = 25 CM (PAINEL+ENCHIMENTO+CAPA) = (3+17+5). AF_08/2025</t>
  </si>
  <si>
    <t>LAJE PRÉ-MOLDADA UNIDIRECIONAL, BIAPOIADA TIPO LAJE PAINEL TRELIÇADO NERVURADO (COM ENCHIMENTO EM EPS), PARA PISO, ALTURA TOTAL DA LAJE "LT" = 30 CM (PAINEL+ENCHIMENTO+CAPA) = (3+22+5). AF_08/2025</t>
  </si>
  <si>
    <t>LAJE PRÉ-MOLDADA UNIDIRECIONAL, BIAPOIADA, PARA FORRO, ENCHIMENTO EM CERÂMICA, VIGOTA CONVENCIONAL, ALTURA TOTAL DA LAJE "LT" = 12 CM (ENCHIMENTO+CAPA) = (8+4). AF_08/2025</t>
  </si>
  <si>
    <t>LAJE PRÉ-MOLDADA UNIDIRECIONAL, BIAPOIADA, PARA FORRO, ENCHIMENTO EM CERÂMICA, VIGOTA TRELIÇADA, ALTURA TOTAL DA LAJE "LT" = 12 CM (ENCHIMENTO+CAPA) = (8+4). AF_08/2025</t>
  </si>
  <si>
    <t>LAJE PRÉ-MOLDADA UNIDIRECIONAL, BIAPOIADA, PARA PISO, ENCHIMENTO EM CERÂMICA, VIGOTA CONVENCIONAL, ALTURA TOTAL DA LAJE "LT" = 12 CM (ENCHIMENTO+CAPA) = (8+4). AF_08/2025</t>
  </si>
  <si>
    <t>LAJE PRÉ-MOLDADA UNIDIRECIONAL, BIAPOIADA, PARA PISO, ENCHIMENTO EM CERÂMICA, VIGOTA TRELIÇADA, ALTURA TOTAL DA LAJE "LT" = 12 CM (ENCHIMENTO+CAPA) = (8+4). AF_08/2025</t>
  </si>
  <si>
    <t>LAJE PRÉ-MOLDADA UNIDIRECIONAL, BIAPOIADA, PARA PISO, ENCHIMENTO EM CERÂMICA, VIGOTA TRELIÇADA, ALTURA TOTAL DA LAJE "LT" = 16 CM (ENCHIMENTO+CAPA) = (12+4). AF_08/2025</t>
  </si>
  <si>
    <t>LAJE PRÉ-MOLDADA UNIDIRECIONAL, BIAPOIADA, PARA PISO, ENCHIMENTO EM CERÂMICA, VIGOTA TRELIÇADA, ALTURA TOTAL DA LAJE "LT" = 20 CM (ENCHIMENTO+CAPA) = (16+4). AF_08/2025</t>
  </si>
  <si>
    <t>LAJE PRÉ-MOLDADA UNIDIRECIONAL, BIAPOIADA, PARA PISO, ENCHIMENTO EM CERÂMICA, VIGOTA TRELIÇADA, ALTURA TOTAL DA LAJE "LT" = 25 CM (ENCHIMENTO+CAPA) = (20+5). AF_08/2025</t>
  </si>
  <si>
    <t>LAJE PRÉ-MOLDADA UNIDIRECIONAL, BIAPOIADA, PARA PISO, ENCHIMENTO EM CERÂMICA, VIGOTA TRELIÇADA, ALTURA TOTAL DA LAJE "LT" = 30 CM (ENCHIMENTO+CAPA) = (25+5). AF_08/2025</t>
  </si>
  <si>
    <t>LAJE PRÉ-MOLDADA UNIDIRECIONAL, BIAPOIADA, PARA PISO, ENCHIMENTO EM EPS, VIGOTA TRELIÇADA, ALTURA TOTAL DA LAJE "LT" = 12 CM (ENCHIMENTO+CAPA) = (8+4). AF_08/2025</t>
  </si>
  <si>
    <t>LAJE PRÉ-MOLDADA UNIDIRECIONAL, BIAPOIADA, PARA PISO, ENCHIMENTO EM EPS, VIGOTA TRELIÇADA, ALTURA TOTAL DA LAJE "LT" = 16 CM (ENCHIMENTO+CAPA) = (12+4). AF_08/2025</t>
  </si>
  <si>
    <t>LAJE PRÉ-MOLDADA UNIDIRECIONAL, BIAPOIADA, PARA PISO, ENCHIMENTO EM EPS, VIGOTA TRELIÇADA, ALTURA TOTAL DA LAJE "LT" = 20 CM (ENCHIMENTO+CAPA) = (16+4). AF_08/2025</t>
  </si>
  <si>
    <t>LAJE PRÉ-MOLDADA UNIDIRECIONAL, BIAPOIADA, PARA PISO, ENCHIMENTO EM EPS, VIGOTA TRELIÇADA, ALTURA TOTAL DA LAJE "LT" = 25 CM (ENCHIMENTO+CAPA) = (20+5). AF_08/2025</t>
  </si>
  <si>
    <t>LAJE PRÉ-MOLDADA UNIDIRECIONAL, BIAPOIADA, PARA PISO, ENCHIMENTO EM EPS, VIGOTA TRELIÇADA, ALTURA TOTAL DA LAJE "LT" = 30 CM (ENCHIMENTO+CAPA) = (25+5). AF_08/2025</t>
  </si>
  <si>
    <t>LASTRO COM MATERIAL GRANULAR (AREIA MÉDIA), APLICADO EM PISOS OU LAJES SOBRE SOLO, ESPESSURA DE *10 CM*. AF_01/2024</t>
  </si>
  <si>
    <t>LASTRO COM MATERIAL GRANULAR (PEDRA BRITADA N.1 E PEDRA BRITADA N.2), APLICADO EM PISOS OU LAJES SOBRE SOLO, ESPESSURA DE *10 CM*. AF_01/2024</t>
  </si>
  <si>
    <t>LASTRO COM MATERIAL GRANULAR, APLICADO EM BLOCOS DE COROAMENTO, ESPESSURA DE *10 CM*. AF_01/2024</t>
  </si>
  <si>
    <t>LASTRO COM MATERIAL GRANULAR, APLICADO EM PISOS OU LAJES SOBRE SOLO, ESPESSURA DE *5 CM*. AF_01/2024</t>
  </si>
  <si>
    <t>LASTRO COM MATERIAL GRANULAR, APLICAÇÃO EM BLOCOS DE COROAMENTO, ESPESSURA DE *5 CM*. AF_01/2024</t>
  </si>
  <si>
    <t>LASTRO DE CONCRETO MAGRO, APLICADO EM BLOCOS DE COROAMENTO OU SAPATAS, ESPESSURA DE 3 CM. AF_01/2024</t>
  </si>
  <si>
    <t>LASTRO DE CONCRETO MAGRO, APLICADO EM BLOCOS DE COROAMENTO OU SAPATAS, ESPESSURA DE 5 CM. AF_01/2024</t>
  </si>
  <si>
    <t>LASTRO DE CONCRETO MAGRO, APLICADO EM BLOCOS DE COROAMENTO OU SAPATAS. AF_01/2024</t>
  </si>
  <si>
    <t>LASTRO DE CONCRETO MAGRO, APLICADO EM PISOS, LAJES SOBRE SOLO OU RADIERS, ESPESSURA DE 3 CM. AF_01/2024</t>
  </si>
  <si>
    <t>LASTRO DE CONCRETO MAGRO, APLICADO EM PISOS, LAJES SOBRE SOLO OU RADIERS, ESPESSURA DE 5 CM. AF_01/2024</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</si>
  <si>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</si>
  <si>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</si>
  <si>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</si>
  <si>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</si>
  <si>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</si>
  <si>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CAP, PVC OCRE, JUNTA ELÁSTICA, DN 150 MM, PARA COLETOR PREDIAL DE ESGOTO. AF_06/2022</t>
  </si>
  <si>
    <t>COLAR DE TOMADA, FERRO FUNDIDO, COM PARAFUSOS, DN 50 MM X 3/4", PARA LIGAÇÃO PREDIAL DE ÁGUA. AF_06/2022</t>
  </si>
  <si>
    <t>COLAR DE TOMADA, POLIPROPILENO, COM PARAFUSOS, 63 MM X 1/2", PARA LIGAÇÃO PREDIAL DE ÁGUA. AF_06/2022</t>
  </si>
  <si>
    <t>COLAR DE TOMADA, POLIPROPILENO, COM PARAFUSOS, 63 MM X 3/4", PARA LIGAÇÃO PREDIAL DE ÁGUA. AF_06/2022</t>
  </si>
  <si>
    <t>COLAR DE TOMADA, PVC, COM TRAVAS, DE 110 MM X 1/2" OU 110 MM X 3/4", PARA LIGAÇÃO PREDIAL DE ÁGUA. AF_06/2022</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</si>
  <si>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</si>
  <si>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</si>
  <si>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</si>
  <si>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TOMADA EM FERRO FUNDIDO, COM PARAFUSOS, SAIDA COM ROSCA, DN 75 MM X 3/4", PARA LIGACAO PREDIAL DE AGUA. AF_06/2022</t>
  </si>
  <si>
    <t>COTOVELO/JOELHO 90°, POLIPROPILENO, PARA TUBOS EM PEAD, 20 X 20 MM, PARA LIGAÇÃO PREDIAL DE ÁGUA. AF_06/2022</t>
  </si>
  <si>
    <t>COTOVELO/JOELHO 90°, POLIPROPILENO, PARA TUBOS EM PEAD, 32 X 32 MM,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</si>
  <si>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</si>
  <si>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</si>
  <si>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</si>
  <si>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CURVA LONGA, 45 GRAUS, PVC OCRE, JUNTA ELÁSTICA, DN 100 MM, PARA COLETOR PREDIAL DE ESGOTO. AF_06/2022</t>
  </si>
  <si>
    <t>CURVA LONGA, 45 GRAUS, PVC OCRE, JUNTA ELÁSTICA, DN 150 MM, PARA COLETOR PREDIAL DE ESGOTO. AF_06/2022</t>
  </si>
  <si>
    <t>CURVA LONGA, 90 GRAUS, PVC OCRE, JUNTA ELÁSTICA, DN 100 MM, PARA COLETOR PREDIAL DE ESGOTO. AF_06/2022</t>
  </si>
  <si>
    <t>CURVA LONGA, 90 GRAUS, PVC OCRE, JUNTA ELÁSTICA, DN 150 MM, PARA COLETOR PREDIAL DE ESGOTO. AF_06/2022</t>
  </si>
  <si>
    <t>LUVA, PVC, ROSCÁVEL, 1", PARA LIGAÇÃO PREDIAL DE ÁGUA. AF_06/2022</t>
  </si>
  <si>
    <t>LUVA, PVC, ROSCÁVEL, 1/2", PARA LIGAÇÃO PREDIAL DE ÁGUA. AF_06/2022</t>
  </si>
  <si>
    <t>PLUG, PVC OCRE, JUNTA ELÁSTICA, DN 100 MM, PARA COLETOR PREDIAL DE ESGOTO. AF_06/2022</t>
  </si>
  <si>
    <t>PLUG, PVC OCRE, JUNTA ELÁSTICA, DN 150 MM, PARA COLETOR PREDIAL DE ESGOTO. AF_06/2022</t>
  </si>
  <si>
    <t>REGISTRO ESFERA, LATÃO NIQUELADO, COM ROSCA, 3/4", PARA LIGAÇÃO PREDIAL DE ÁGUA. AF_06/2022</t>
  </si>
  <si>
    <t>REGISTRO ESFERA, PVC, COM ROSCA, 1/2", PARA LIGAÇÃO PREDIAL DE ÁGUA. AF_06/2022</t>
  </si>
  <si>
    <t>REGISTRO ESFERA, PVC, DE PASSEIO, PARA POLIETILENO, 20 MM, PARA LIGAÇÃO PREDIAL DE ÁGUA. AF_06/2022</t>
  </si>
  <si>
    <t>SELIM, PVC OCRE, COM TRAVA, DN 125 X 100 MM OU 150 X 100 MM, PARA COLETOR PREDIAL DE ESGOTO. AF_06/2022</t>
  </si>
  <si>
    <t>TUBO, PEAD, PE-80, DE = 32 MM X 3,0 MM, PARA LIGAÇÃO PREDIAL DE ÁGUA. AF_06/2022</t>
  </si>
  <si>
    <t>TUBO, PVC OCRE, JUNTA ELÁSTICA, DN 100 MM, PARA COLETOR PREDIAL DE ESGOTO. AF_06/2022</t>
  </si>
  <si>
    <t>TUBO, PVC OCRE, JUNTA ELÁSTICA, DN 150 MM, PARA COLETOR PREDIAL DE ESGOTO. AF_06/2022</t>
  </si>
  <si>
    <t>TÊ DE REDUÇÃO, PVC OCRE, JUNTA ELÁSTICA, DN 150 X 100 MM, PARA COLETOR PREDIAL DE ESGOTO. AF_06/2022</t>
  </si>
  <si>
    <t>TÊ DE REDUÇÃO, PVC OCRE, JUNTA ELÁSTICA, DN 300 X 100 MM, PARA COLETOR PREDIAL DE ESGOTO. AF_06/2022</t>
  </si>
  <si>
    <t>TÊ DE REDUÇÃO, PVC OCRE, JUNTA ELÁSTICA, DN 300 X 150 MM, PARA COLETOR PREDIAL DE ESGOTO. AF_06/2022</t>
  </si>
  <si>
    <t>TÊ DE SERVIÇO INTEGRADO, POLIPROPILENO, PARA TUBOS EM PEAD, 63 MM X 20 MM, PARA LIGAÇÃO PREDIAL DE ÁGUA. AF_06/2022</t>
  </si>
  <si>
    <t>TÊ DE SERVIÇO INTEGRADO, POLIPROPILENO, PARA TUBOS EM PEAD, 63 MM X 32 MM, PARA LIGAÇÃO PREDIAL DE ÁGUA. AF_06/2022</t>
  </si>
  <si>
    <t>TÊ DE SERVIÇO INTEGRADO, POLIPROPILENO, PARA TUBOS EM PEAD, 90 MM X 20 MM, PARA LIGAÇÃO PREDIAL DE ÁGUA. AF_06/2022</t>
  </si>
  <si>
    <t>TÊ DE SERVIÇO INTEGRADO, POLIPROPILENO, PARA TUBOS EM PEAD, 90 MM X 32 MM, PARA LIGAÇÃO PREDIAL DE ÁGUA. AF_06/2022</t>
  </si>
  <si>
    <t>TÊ, PVC OCRE, JUNTA ELÁSTICA, DN 200 MM, PARA COLETOR PREDIAL DE ESGOTO. AF_06/2022</t>
  </si>
  <si>
    <t>UNIÃO, POLIPROPILENO, PARA TUBOS EM PEAD, 20 MM, PARA LIGAÇÃO PREDIAL DE ÁGUA. AF_06/2022</t>
  </si>
  <si>
    <t>UNIÃO, POLIPROPILENO, PARA TUBOS EM PEAD, 32 MM, PARA LIGAÇÃO PREDIAL DE ÁGUA. AF_06/2022</t>
  </si>
  <si>
    <t>AJUDANTE DE ARMADOR COM ENCARGOS COMPLEMENTARES</t>
  </si>
  <si>
    <t>AJUDANTE DE CARPINTEIRO COM ENCARGOS COMPLEMENTARES</t>
  </si>
  <si>
    <t>AJUDANTE DE ELETRICISTA COM ENCARGOS COMPLEMENTARES</t>
  </si>
  <si>
    <t>AJUDANTE DE ESTRUTURA METÁLICA COM ENCARGOS COMPLEMENTARES</t>
  </si>
  <si>
    <t>AJUDANTE DE ESTRUTURAS METÁLICAS COM ENCARGOS COMPLEMENTARES</t>
  </si>
  <si>
    <t>AJUDANTE DE OPERAÇÃO EM GERAL COM ENCARGOS COMPLEMENTARES</t>
  </si>
  <si>
    <t>AJUDANTE DE PEDREIRO COM ENCARGOS COMPLEMENTARES</t>
  </si>
  <si>
    <t>AJUDANTE DE PINTOR COM ENCARGOS COMPLEMENTARES</t>
  </si>
  <si>
    <t>AJUDANTE DE SERRALHEIRO COM ENCARGOS COMPLEMENTARES</t>
  </si>
  <si>
    <t>AJUDANTE ESPECIALIZADO COM ENCARGOS COMPLEMENTARES</t>
  </si>
  <si>
    <t>ALMOXARIFE COM ENCARGOS COMPLEMENTARES</t>
  </si>
  <si>
    <t>APONTADOR OU APROPRIADOR COM ENCARGOS COMPLEMENTARES</t>
  </si>
  <si>
    <t>ARMADOR COM ENCARGOS COMPLEMENTARES</t>
  </si>
  <si>
    <t>ARQUITETO DE OBRA JUNIOR COM ENCARGOS COMPLEMENTARES</t>
  </si>
  <si>
    <t>ARQUITETO DE OBRA PLENO COM ENCARGOS COMPLEMENTARES</t>
  </si>
  <si>
    <t>ARQUITETO DE OBRA SENIOR COM ENCARGOS COMPLEMENTARES</t>
  </si>
  <si>
    <t>ARQUITETO JUNIOR COM ENCARGOS COMPLEMENTARES</t>
  </si>
  <si>
    <t>ARQUITETO PLENO COM ENCARGOS COMPLEMENTARES</t>
  </si>
  <si>
    <t>ARQUITETO SENIOR COM ENCARGOS COMPLEMENTARES</t>
  </si>
  <si>
    <t>ASSENTADOR DE MANILHAS COM ENCARGOS COMPLEMENTARES</t>
  </si>
  <si>
    <t>ASSENTADOR DE TUBOS COM ENCARGOS COMPLEMENTARES</t>
  </si>
  <si>
    <t>AUXILIAR DE AZULEJISTA COM ENCARGOS COMPLEMENTARES</t>
  </si>
  <si>
    <t>AUXILIAR DE ELETRICISTA COM ENCARGOS COMPLEMENTARES</t>
  </si>
  <si>
    <t>AUXILIAR DE ENCANADOR OU BOMBEIRO HIDRÁULICO COM ENCARGOS COMPLEMENTARES</t>
  </si>
  <si>
    <t>AUXILIAR DE ESCRITORIO COM ENCARGOS COMPLEMENTARES</t>
  </si>
  <si>
    <t>AUXILIAR DE LABORATORISTA DE SOLOS E DE CONCRETO COM ENCARGOS COMPLEMENTARES</t>
  </si>
  <si>
    <t>AUXILIAR DE LABORATÓRIO COM ENCARGOS COMPLEMENTARES</t>
  </si>
  <si>
    <t>AUXILIAR DE MECÂNICO COM ENCARGOS COMPLEMENTARES</t>
  </si>
  <si>
    <t>AUXILIAR DE PEDREIRO COM ENCARGOS COMPLEMENTARES</t>
  </si>
  <si>
    <t>AUXILIAR DE SERRALHEIRO COM ENCARGOS COMPLEMENTARES</t>
  </si>
  <si>
    <t>AUXILIAR DE SERVIÇOS GERAIS COM ENCARGOS COMPLEMENTARES</t>
  </si>
  <si>
    <t>AUXILIAR DE TOPÓGRAFO COM ENCARGOS COMPLEMENTARES</t>
  </si>
  <si>
    <t>AUXILIAR TÉCNICO / ASSISTENTE DE ENGENHARIA COM ENCARGOS COMPLEMENTARES</t>
  </si>
  <si>
    <t>AUXILIAR TÉCNICO DE ENGENHARIA COM ENCARGOS COMPLEMENTARES</t>
  </si>
  <si>
    <t>AZULEJISTA OU LADRILHEIRO COM ENCARGOS COMPLEMENTARES</t>
  </si>
  <si>
    <t>BLASTER, DINAMITADOR OU CABO DE FOGO COM ENCARGOS COMPLEMENTARES</t>
  </si>
  <si>
    <t>BLASTER, DINAMITADOR OU CABO DE FORÇA COM ENCARGOS COMPLEMENTARES</t>
  </si>
  <si>
    <t>CALCETEIRO COM ENCARGOS COMPLEMENTARES</t>
  </si>
  <si>
    <t>CARPINTEIRO AUXILIAR COM ENCARGOS COMPLEMENTARES</t>
  </si>
  <si>
    <t>CARPINTEIRO DE ESQUADRIAS COM ENCARGOS COMPLEMENTARES</t>
  </si>
  <si>
    <t>CARPINTEIRO DE FORMAS COM ENCARGOS COMPLEMENTARES</t>
  </si>
  <si>
    <t>CAVOUQUEIRO OU OPERADOR DE PERFURATRIZ COM ENCARGOS COMPLEMENTARES</t>
  </si>
  <si>
    <t>CAVOUQUEIRO OU OPERADOR PERFURATRIZ/ROMPEDOR COM ENCARGOS COMPLEMENTARES</t>
  </si>
  <si>
    <t>CURSO DE CAPACITAÇÃO PARA AJUDANTE DE ARMADOR (ENCARGOS COMPLEMENTARES) - HORISTA</t>
  </si>
  <si>
    <t>CURSO DE CAPACITAÇÃO PARA AJUDANTE DE ARMADOR (ENCARGOS COMPLEMENTARES) - MENSALISTA</t>
  </si>
  <si>
    <t>CURSO DE CAPACITAÇÃO PARA AJUDANTE DE CARPINTEIRO (ENCARGOS COMPLEMENTARES) - HORISTA</t>
  </si>
  <si>
    <t>CURSO DE CAPACITAÇÃO PARA AJUDANTE DE ELETRICISTA (ENCARGOS COMPLEMENTARES) - MENSALISTA</t>
  </si>
  <si>
    <t>CURSO DE CAPACITAÇÃO PARA AJUDANTE DE ESTRUTURA METÁLICA (ENCARGOS COMPLEMENTARES) - HORISTA</t>
  </si>
  <si>
    <t>CURSO DE CAPACITAÇÃO PARA AJUDANTE DE ESTRUTURAS METÁLICAS(ENCARGOS COMPLEMENTARES) - MENSALISTA</t>
  </si>
  <si>
    <t>CURSO DE CAPACITAÇÃO PARA AJUDANTE DE OPERAÇÃO EM GERAL (ENCARGOS COMPLEMENTARES) - HORISTA</t>
  </si>
  <si>
    <t>CURSO DE CAPACITAÇÃO PARA AJUDANTE DE OPERAÇÃO EM GERAL (ENCARGOS COMPLEMENTARES) - MENSALISTA</t>
  </si>
  <si>
    <t>CURSO DE CAPACITAÇÃO PARA AJUDANTE DE PEDREIRO (ENCARGOS COMPLEMENTARES) - HORISTA</t>
  </si>
  <si>
    <t>CURSO DE CAPACITAÇÃO PARA AJUDANTE DE PINTOR (ENCARGOS COMPLEMENTARES) - HORISTA</t>
  </si>
  <si>
    <t>CURSO DE CAPACITAÇÃO PARA AJUDANTE DE PINTOR (ENCARGOS COMPLEMENTARES) - MENSALISTA</t>
  </si>
  <si>
    <t>CURSO DE CAPACITAÇÃO PARA AJUDANTE DE SERRALHEIRO (ENCARGOS COMPLEMENTARES) - MENSALISTA</t>
  </si>
  <si>
    <t>CURSO DE CAPACITAÇÃO PARA AJUDANTE ESPECIALIZADO (ENCARGOS COMPLEMENTARES) - HORISTA</t>
  </si>
  <si>
    <t>CURSO DE CAPACITAÇÃO PARA AJUDANTE ESPECIALIZADO (ENCARGOS COMPLEMENTARES) - MENSALISTA</t>
  </si>
  <si>
    <t>CURSO DE CAPACITAÇÃO PARA ALMOXARIFE (ENCARGOS COMPLEMENTARES) - HORISTA</t>
  </si>
  <si>
    <t>CURSO DE CAPACITAÇÃO PARA ALMOXARIFE (ENCARGOS COMPLEMENTARES) - MENSALISTA</t>
  </si>
  <si>
    <t>CURSO DE CAPACITAÇÃO PARA APONTADOR OU APROPRIADOR (ENCARGOS COMPLEMENTARES) - HORISTA</t>
  </si>
  <si>
    <t>CURSO DE CAPACITAÇÃO PARA APONTADOR OU APROPRIADOR (ENCARGOS COMPLEMENTARES) - MENSALISTA</t>
  </si>
  <si>
    <t>CURSO DE CAPACITAÇÃO PARA ARMADOR (ENCARGOS COMPLEMENTARES) - HORISTA</t>
  </si>
  <si>
    <t>CURSO DE CAPACITAÇÃO PARA ARMADOR (ENCARGOS COMPLEMENTARES) - MENSALISTA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</si>
  <si>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</si>
  <si>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</si>
  <si>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</si>
  <si>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</si>
  <si>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</si>
  <si>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</si>
  <si>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ASSENTADOR DE MANILHA (ENCARGOS COMPLEMENTARES) - MENSALISTA</t>
  </si>
  <si>
    <t>CURSO DE CAPACITAÇÃO PARA ASSENTADOR DE TUBOS (ENCARGOS COMPLEMENTARES) - HORISTA</t>
  </si>
  <si>
    <t>CURSO DE CAPACITAÇÃO PARA AUXILIAR DE AZULEJISTA (ENCARGOS COMPLEMENTARES) - HORISTA</t>
  </si>
  <si>
    <t>CURSO DE CAPACITAÇÃO PARA AUXILIAR DE AZULEJISTA (ENCARGOS COMPLEMENTARES) - MENSALISTA</t>
  </si>
  <si>
    <t>CURSO DE CAPACITAÇÃO PARA AUXILIAR DE ELETRICISTA (ENCARGOS COMPLEMENTARES) - HORISTA</t>
  </si>
  <si>
    <t>CURSO DE CAPACITAÇÃO PARA AUXILIAR DE ENCANADOR OU BOMBEIRO HIDRÁULICO (ENCARGOS COMPLEMENTARES) - HORISTA</t>
  </si>
  <si>
    <t>CURSO DE CAPACITAÇÃO PARA AUXILIAR DE ENCANADOR OU BOMBEIRO HIDRÁULICO (ENCARGOS COMPLEMENTARES) - MENSALISTA</t>
  </si>
  <si>
    <t>CURSO DE CAPACITAÇÃO PARA AUXILIAR DE ESCRITÓRIO (ENCARGOS COMPLEMENTARES) - HORISTA</t>
  </si>
  <si>
    <t>CURSO DE CAPACITAÇÃO PARA AUXILIAR DE ESCRITÓRIO (ENCARGOS COMPLEMENTARES) - MENSALISTA</t>
  </si>
  <si>
    <t>CURSO DE CAPACITAÇÃO PARA AUXILIAR DE LABORATORIO (ENCARGOS COMPLEMENTARES) - MENSALISTA</t>
  </si>
  <si>
    <t>CURSO DE CAPACITAÇÃO PARA AUXILIAR DE LABORATÓRIO (ENCARGOS COMPLEMENTARES) - HORISTA</t>
  </si>
  <si>
    <t>CURSO DE CAPACITAÇÃO PARA AUXILIAR DE MECANICO (ENCARGOS COMPLEMENTARES) - MENSALISTA</t>
  </si>
  <si>
    <t>CURSO DE CAPACITAÇÃO PARA AUXILIAR DE MECÂNICO (ENCARGOS COMPLEMENTARES) - HORISTA</t>
  </si>
  <si>
    <t>CURSO DE CAPACITAÇÃO PARA AUXILIAR DE PEDREIRO (ENCARGOS COMPLEMENTARES) - MENSALISTA</t>
  </si>
  <si>
    <t>CURSO DE CAPACITAÇÃO PARA AUXILIAR DE SERRALHEIRO (ENCARGOS COMPLEMENTARES) - HORISTA</t>
  </si>
  <si>
    <t>CURSO DE CAPACITAÇÃO PARA AUXILIAR DE SERVIÇOS GERAIS (ENCARGOS COMPLEMENTARES) - HORISTA</t>
  </si>
  <si>
    <t>CURSO DE CAPACITAÇÃO PARA AUXILIAR DE SERVIÇOS GERAIS (ENCARGOS COMPLEMENTARES) - MENSALISTA</t>
  </si>
  <si>
    <t>CURSO DE CAPACITAÇÃO PARA AUXILIAR DE TOPÓGRAFO (ENCARGOS COMPLEMENTARES) - HORISTA</t>
  </si>
  <si>
    <t>CURSO DE CAPACITAÇÃO PARA AUXILIAR DE TOPÓGRAFO (ENCARGOS COMPLEMENTARES) - MENSALISTA</t>
  </si>
  <si>
    <t>CURSO DE CAPACITAÇÃO PARA AUXILIAR TÉCNICO DE ENGENHARIA (ENCARGOS COMPLEMENTARES) - HORISTA</t>
  </si>
  <si>
    <t>CURSO DE CAPACITAÇÃO PARA AUXILIAR TÉCNICO DE ENGENHARIA (ENCARGOS COMPLEMENTARES) - MENSALISTA</t>
  </si>
  <si>
    <t>CURSO DE CAPACITAÇÃO PARA AZULEJISTA OU LADRILHEIRO (ENCARGOS COMPLEMENTARES) - HORISTA</t>
  </si>
  <si>
    <t>CURSO DE CAPACITAÇÃO PARA AZULEJISTA OU LADRILHEIRO (ENCARGOS COMPLEMENTARES) - MENSALISTA</t>
  </si>
  <si>
    <t>CURSO DE CAPACITAÇÃO PARA BLASTER, DINAMITADOR OU CABO DE FOGO (ENCARGOS COMPLEMENTARES) - HORISTA</t>
  </si>
  <si>
    <t>CURSO DE CAPACITAÇÃO PARA BLASTER, DINAMITADOR OU CABO DE FORÇA (ENCARGOS COMPLEMENTARES) - MENSALISTA</t>
  </si>
  <si>
    <t>CURSO DE CAPACITAÇÃO PARA CALCETEIRO (ENCARGOS COMPLEMENTARES) - HORISTA</t>
  </si>
  <si>
    <t>CURSO DE CAPACITAÇÃO PARA CALCETEIRO (ENCARGOS COMPLEMENTARES) - MENSALISTA</t>
  </si>
  <si>
    <t>CURSO DE CAPACITAÇÃO PARA CARPINTEIRO AUXILIAR (ENCARGOS COMPLEMENTARES) - MENSALISTA</t>
  </si>
  <si>
    <t>CURSO DE CAPACITAÇÃO PARA CARPINTEIRO DE ESQUADRIA (ENCARGOS COMPLEMENTARES) - HORISTA</t>
  </si>
  <si>
    <t>CURSO DE CAPACITAÇÃO PARA CARPINTEIRO DE ESQUADRIAS (ENCARGOS COMPLEMENTARES) - MENSALISTA</t>
  </si>
  <si>
    <t>CURSO DE CAPACITAÇÃO PARA CARPINTEIRO DE FORMAS (ENCARGOS COMPLEMENTARES) - MENSALISTA</t>
  </si>
  <si>
    <t>CURSO DE CAPACITAÇÃO PARA CARPINTEIRO DE FÔRMAS (ENCARGOS COMPLEMENTARES) - HORISTA</t>
  </si>
  <si>
    <t>CURSO DE CAPACITAÇÃO PARA CAVOUQUEIRO OU OPERADOR DE PERFURATRIZ (ENCARGOS COMPLEMENTARES) - MENSALISTA</t>
  </si>
  <si>
    <t>CURSO DE CAPACITAÇÃO PARA CAVOUQUEIRO OU OPERADOR PERFURATRIZ/ROMPEDOR (ENCARGOS COMPLEMENTARES) - HORISTA</t>
  </si>
  <si>
    <t>CURSO DE CAPACITAÇÃO PARA DESENHISTA PROJETISTA (ENCARGOS COMPLEMENTARES) - HORISTA</t>
  </si>
  <si>
    <t>CURSO DE CAPACITAÇÃO PARA DESENHISTA PROJETISTA (ENCARGOS COMPLEMENTARES) - MENSALISTA</t>
  </si>
  <si>
    <t>CURSO DE CAPACITAÇÃO PARA ELETRICISTA (ENCARGOS COMPLEMENTARES) - HORISTA</t>
  </si>
  <si>
    <t>CURSO DE CAPACITAÇÃO PARA ELETRICISTA (ENCARGOS COMPLEMENTARES) - MENSALISTA</t>
  </si>
  <si>
    <t>CURSO DE CAPACITAÇÃO PARA ELETROTÉCNICO (ENCARGOS COMPLEMENTARES) - HORISTA</t>
  </si>
  <si>
    <t>CURSO DE CAPACITAÇÃO PARA ELETROTÉCNICO (ENCARGOS COMPLEMENTARES) - MENSALISTA</t>
  </si>
  <si>
    <t>CURSO DE CAPACITAÇÃO PARA ENCANADOR OU BOMBEIRO HIDRÁULICO (ENCARGOS COMPLEMENTARES) - HORISTA</t>
  </si>
  <si>
    <t>CURSO DE CAPACITAÇÃO PARA ENCANADOR OU BOMBEIRO HIDRÁULICO (ENCARGOS COMPLEMENTARES) - MENSALISTA</t>
  </si>
  <si>
    <t>CURSO DE CAPACITAÇÃO PARA ENCARREGADO GERAL (ENCARGOS COMPLEMENTARES) - HORISTA</t>
  </si>
  <si>
    <t>CURSO DE CAPACITAÇÃO PARA ENCARREGADO GERAL DE OBRAS (ENCARGOS COMPLEMENTARES) - MENSALISTA</t>
  </si>
  <si>
    <t>CURSO DE CAPACITAÇÃO PARA ENGENHEIRO CIVIL DE OBRA JÚNIOR (ENCARGOS COMPLEMENTARES) - HORISTA</t>
  </si>
  <si>
    <t>CURSO DE CAPACITAÇÃO PARA ENGENHEIRO CIVIL DE OBRA JÚNIOR (ENCARGOS COMPLEMENTARES) - MENSALISTA</t>
  </si>
  <si>
    <t>CURSO DE CAPACITAÇÃO PARA ENGENHEIRO CIVIL DE OBRA PLENO (ENCARGOS COMPLEMENTARES) - HORISTA</t>
  </si>
  <si>
    <t>CURSO DE CAPACITAÇÃO PARA ENGENHEIRO CIVIL DE OBRA PLENO (ENCARGOS COMPLEMENTARES) - MENSALISTA</t>
  </si>
  <si>
    <t>CURSO DE CAPACITAÇÃO PARA ENGENHEIRO CIVIL DE OBRA SÊNIOR (ENCARGOS COMPLEMENTARES) - HORISTA</t>
  </si>
  <si>
    <t>CURSO DE CAPACITAÇÃO PARA ENGENHEIRO CIVIL DE OBRA SÊNIOR (ENCARGOS COMPLEMENTARES) - MENSALISTA</t>
  </si>
  <si>
    <t>CURSO DE CAPACITAÇÃO PARA GESSEIRO (ENCARGOS COMPLEMENTARES) - HORISTA</t>
  </si>
  <si>
    <t>CURSO DE CAPACITAÇÃO PARA GESSEIRO (ENCARGOS COMPLEMENTARES) - MENSALISTA</t>
  </si>
  <si>
    <t>CURSO DE CAPACITAÇÃO PARA IMPERMEABILIZADOR (ENCARGOS COMPLEMENTARES) - HORISTA</t>
  </si>
  <si>
    <t>CURSO DE CAPACITAÇÃO PARA IMPERMEABILIZADOR (ENCARGOS COMPLEMENTARES) - MENSALISTA</t>
  </si>
  <si>
    <t>CURSO DE CAPACITAÇÃO PARA INSTALADOR DE PISO ELEVADO (ENCARGOS COMPLEMENTARES) - HORISTA</t>
  </si>
  <si>
    <t>CURSO DE CAPACITAÇÃO PARA INSTALADOR DE TUBULAÇÕES (ENCARGOS COMPLEMENTARES) - MENSALISTA</t>
  </si>
  <si>
    <t>CURSO DE CAPACITAÇÃO PARA JARDINEIRO (ENCARGOS COMPLEMENTARES) - HORISTA</t>
  </si>
  <si>
    <t>CURSO DE CAPACITAÇÃO PARA JARDINEIRO (ENCARGOS COMPLEMENTARES) - MENSALISTA</t>
  </si>
  <si>
    <t>CURSO DE CAPACITAÇÃO PARA MARCENEIRO (ENCARGOS COMPLEMENTARES) - HORISTA</t>
  </si>
  <si>
    <t>CURSO DE CAPACITAÇÃO PARA MARCENEIRO (ENCARGOS COMPLEMENTARES) - MENSALISTA</t>
  </si>
  <si>
    <t>CURSO DE CAPACITAÇÃO PARA MARMORISTA / GRANITEIRO (ENCARGOS COMPLEMENTARES) - MENSALISTA</t>
  </si>
  <si>
    <t>CURSO DE CAPACITAÇÃO PARA MARMORISTA/GRANITEIRO (ENCARGOS COMPLEMENTARES) - HORISTA</t>
  </si>
  <si>
    <t>CURSO DE CAPACITAÇÃO PARA MAÇARIQUEIRO (ENCARGOS COMPLEMENTARES) - HORISTA</t>
  </si>
  <si>
    <t>CURSO DE CAPACITAÇÃO PARA MAÇARIQUEIRO (ENCARGOS COMPLEMENTARES) - MENSALISTA</t>
  </si>
  <si>
    <t>CURSO DE CAPACITAÇÃO PARA MECÂNICO DE EQUIPAMENTOS PESADOS (ENCARGOS COMPLEMENTARES) - HORISTA</t>
  </si>
  <si>
    <t>CURSO DE CAPACITAÇÃO PARA MECÂNICO DE EQUIPAMENTOS PESADOS (ENCARGOS COMPLEMENTARES) - MENSALISTA</t>
  </si>
  <si>
    <t>CURSO DE CAPACITAÇÃO PARA MECÂNICO DE REFRIGERAÇÃO (ENCARGOS COMPLEMENTARES) - HORISTA</t>
  </si>
  <si>
    <t>CURSO DE CAPACITAÇÃO PARA MECÂNICO DE REFRIGERAÇÃO (ENCARGOS COMPLEMENTARES) - MENSALISTA</t>
  </si>
  <si>
    <t>CURSO DE CAPACITAÇÃO PARA MESTRE DE OBRAS (ENCARGOS COMPLEMENTARES) - HORISTA</t>
  </si>
  <si>
    <t>CURSO DE CAPACITAÇÃO PARA MESTRE DE OBRAS (ENCARGOS COMPLEMENTARES) - MENSALISTA</t>
  </si>
  <si>
    <t>CURSO DE CAPACITAÇÃO PARA MONTADOR DE ELETROELETRONICOS (ENCARGOS COMPLEMENTARES) - HORISTA</t>
  </si>
  <si>
    <t>CURSO DE CAPACITAÇÃO PARA MONTADOR DE ELETROELETRONICOS(ENCARGOS COMPLEMENTARES) - MENSALISTA</t>
  </si>
  <si>
    <t>CURSO DE CAPACITAÇÃO PARA MONTADOR DE ESTRUTURA METÁLICA (ENCARGOS COMPLEMENTARES) - HORISTA</t>
  </si>
  <si>
    <t>CURSO DE CAPACITAÇÃO PARA MONTADOR DE ESTRUTURAS METALICAS (ENCARGOS COMPLEMENTARES) - MENSALISTA</t>
  </si>
  <si>
    <t>CURSO DE CAPACITAÇÃO PARA MONTADOR DE FÔRMAS DO SISTEMA DE PAREDES DE CONCRETO (ENCARGOS COMPLEMENTARES) - HORISTA</t>
  </si>
  <si>
    <t>CURSO DE CAPACITAÇÃO PARA MONTADOR DE MAQUINAS (ENCARGOS COMPLEMENTARES) - MENSALISTA</t>
  </si>
  <si>
    <t>CURSO DE CAPACITAÇÃO PARA MONTADOR DE TUBO AÇO/EQUIPAMENTOS (ENCARGOS COMPLEMENTARES) - HORISTA</t>
  </si>
  <si>
    <t>CURSO DE CAPACITAÇÃO PARA MONTADOR ELETROMECÂNICO (ENCARGOS COMPLEMENTARES) - HORISTA</t>
  </si>
  <si>
    <t>CURSO DE CAPACITAÇÃO PARA MOTORISTA DE BASCULANTE (ENCARGOS COMPLEMENTARES) - HORISTA</t>
  </si>
  <si>
    <t>CURSO DE CAPACITAÇÃO PARA MOTORISTA DE CAMINHAO-BASCULANTE (ENCARGOS COMPLEMENTARES) - MENSALISTA</t>
  </si>
  <si>
    <t>CURSO DE CAPACITAÇÃO PARA MOTORISTA DE CAMINHAO-CARRETA (ENCARGOS COMPLEMENTARES) - MENSALISTA</t>
  </si>
  <si>
    <t>CURSO DE CAPACITAÇÃO PARA MOTORISTA DE CAMINHÃO (ENCARGOS COMPLEMENTARES) - HORISTA</t>
  </si>
  <si>
    <t>CURSO DE CAPACITAÇÃO PARA MOTORISTA DE CAMINHÃO (ENCARGOS COMPLEMENTARES) - MENSALISTA</t>
  </si>
  <si>
    <t>CURSO DE CAPACITAÇÃO PARA MOTORISTA DE CAMINHÃO E CARRETA (ENCARGOS COMPLEMENTARES) - HORISTA</t>
  </si>
  <si>
    <t>CURSO DE CAPACITAÇÃO PARA MOTORISTA DE CARRO DE PASSEIO (ENCARGOS COMPLEMENTARES) - MENSALISTA</t>
  </si>
  <si>
    <t>CURSO DE CAPACITAÇÃO PARA MOTORISTA DE VEÍCULO LEVE (ENCARGOS COMPLEMENTARES) - HORISTA</t>
  </si>
  <si>
    <t>CURSO DE CAPACITAÇÃO PARA MOTORISTA OPERADOR DE CAMINHAO COM MUNCK (ENCARGOS COMPLEMENTARES) - MENSALISTA</t>
  </si>
  <si>
    <t>CURSO DE CAPACITAÇÃO PARA MOTORISTA OPERADOR DE MUNCK (ENCARGOS COMPLEMENTARES) - HORISTA</t>
  </si>
  <si>
    <t>CURSO DE CAPACITAÇÃO PARA NIVELADOR (ENCARGOS COMPLEMENTARES) - HORISTA</t>
  </si>
  <si>
    <t>CURSO DE CAPACITAÇÃO PARA NIVELADOR (ENCARGOS COMPLEMENTARES) - MENSALISTA</t>
  </si>
  <si>
    <t>CURSO DE CAPACITAÇÃO PARA OPERADOR DE BATE-ESTACAS (ENCARGOS COMPLEMENTARES) - MENSALISTA</t>
  </si>
  <si>
    <t>CURSO DE CAPACITAÇÃO PARA OPERADOR DE BETONEIRA (CAMINHÃO) (ENCARGOS COMPLEMENTARES) - HORISTA</t>
  </si>
  <si>
    <t>CURSO DE CAPACITAÇÃO PARA OPERADOR DE BETONEIRA (ENCARGOS COMPLEMENTARES) - MENSALISTA</t>
  </si>
  <si>
    <t>CURSO DE CAPACITAÇÃO PARA OPERADOR DE BETONEIRA ESTACIONARIA / MISTURADOR (ENCARGOS COMPLEMENTARES) - MENSALISTA</t>
  </si>
  <si>
    <t>CURSO DE CAPACITAÇÃO PARA OPERADOR DE BETONEIRA ESTACIONÁRIA/MISTURADOR (ENCARGOS COMPLEMENTARES) - HORISTA</t>
  </si>
  <si>
    <t>CURSO DE CAPACITAÇÃO PARA OPERADOR DE COMPRESSOR DE AR OU COMPRESSORISTA (ENCARGOS COMPLEMENTARES) - MENSALISTA</t>
  </si>
  <si>
    <t>CURSO DE CAPACITAÇÃO PARA OPERADOR DE COMPRESSOR OU COMPRESSORISTA (ENCARGOS COMPLEMENTARES) - HORISTA</t>
  </si>
  <si>
    <t>CURSO DE CAPACITAÇÃO PARA OPERADOR DE DEMARCADORA DE FAIXAS (ENCARGOS COMPLEMENTARES) - HORISTA</t>
  </si>
  <si>
    <t>CURSO DE CAPACITAÇÃO PARA OPERADOR DE DEMARCADORA DE FAIXAS DE TRAFEGO (ENCARGOS COMPLEMENTARES) - MENSALISTA</t>
  </si>
  <si>
    <t>CURSO DE CAPACITAÇÃO PARA OPERADOR DE ESCAVADEIRA (ENCARGOS COMPLEMENTARES) - HORISTA</t>
  </si>
  <si>
    <t>CURSO DE CAPACITAÇÃO PARA OPERADOR DE ESCAVADEIRA (ENCARGOS COMPLEMENTARES) - MENSALISTA</t>
  </si>
  <si>
    <t>CURSO DE CAPACITAÇÃO PARA OPERADOR DE GUINCHO (ENCARGOS COMPLEMENTARES) - HORISTA</t>
  </si>
  <si>
    <t>CURSO DE CAPACITAÇÃO PARA OPERADOR DE GUINCHO OU GUINCHEIRO (ENCARGOS COMPLEMENTARES) - MENSALISTA</t>
  </si>
  <si>
    <t>CURSO DE CAPACITAÇÃO PARA OPERADOR DE GUINDASTE (ENCARGOS COMPLEMENTARES) - HORISTA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</si>
  <si>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</si>
  <si>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</si>
  <si>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</si>
  <si>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HORISTA</t>
  </si>
  <si>
    <t>CURSO DE CAPACITAÇÃO PARA OPERADOR DE MARTELETE OU MARTELETEIRO (ENCARGOS COMPLEMENTARES) - MENSALISTA</t>
  </si>
  <si>
    <t>CURSO DE CAPACITAÇÃO PARA OPERADOR DE MOTO SCRAPER (ENCARGOS COMPLEMENTARES) - MENSALISTA</t>
  </si>
  <si>
    <t>CURSO DE CAPACITAÇÃO PARA OPERADOR DE MOTO-ESCREIPER (ENCARGOS COMPLEMENTARES) - HORISTA</t>
  </si>
  <si>
    <t>CURSO DE CAPACITAÇÃO PARA OPERADOR DE MOTONIVELADORA (ENCARGOS COMPLEMENTARES) - HORISTA</t>
  </si>
  <si>
    <t>CURSO DE CAPACITAÇÃO PARA OPERADOR DE MOTONIVELADORA (ENCARGOS COMPLEMENTARES) - MENSALISTA</t>
  </si>
  <si>
    <t>CURSO DE CAPACITAÇÃO PARA OPERADOR DE MÁQUINAS E EQUIPAMENTOS (ENCARGOS COMPLEMENTARES) - HORISTA</t>
  </si>
  <si>
    <t>CURSO DE CAPACITAÇÃO PARA OPERADOR DE PA CARREGADEIRA (ENCARGOS COMPLEMENTARES) - MENSALISTA</t>
  </si>
  <si>
    <t>CURSO DE CAPACITAÇÃO PARA OPERADOR DE PAVIMENTADORA (ENCARGOS COMPLEMENTARES) - HORISTA</t>
  </si>
  <si>
    <t>CURSO DE CAPACITAÇÃO PARA OPERADOR DE PAVIMENTADORA / MESA VIBROACABADORA (ENCARGOS COMPLEMENTARES) - MENSALISTA</t>
  </si>
  <si>
    <t>CURSO DE CAPACITAÇÃO PARA OPERADOR DE PÁ CARREGADEIRA (ENCARGOS COMPLEMENTARES) - HORISTA</t>
  </si>
  <si>
    <t>CURSO DE CAPACITAÇÃO PARA OPERADOR DE ROLO COMPACTADOR (ENCARGOS COMPLEMENTARES) - HORISTA</t>
  </si>
  <si>
    <t>CURSO DE CAPACITAÇÃO PARA OPERADOR DE ROLO COMPACTADOR (ENCARGOS COMPLEMENTARES) - MENSALISTA</t>
  </si>
  <si>
    <t>CURSO DE CAPACITAÇÃO PARA OPERADOR DE USINA DE ASFALTO, DE SOLOS OU DE CONCRETO (ENCARGOS COMPLEMENTARES) - HORISTA</t>
  </si>
  <si>
    <t>CURSO DE CAPACITAÇÃO PARA OPERADOR DE USINA DE ASFALTO, DE SOLOS OU DE CONCRETO (ENCARGOS COMPLEMENTARES) - MENSALISTA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</si>
  <si>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</si>
  <si>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</si>
  <si>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</si>
  <si>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PASTILHEIRO (ENCARGOS COMPLEMENTARES) - MENSALISTA</t>
  </si>
  <si>
    <t>CURSO DE CAPACITAÇÃO PARA PEDREIRO (ENCARGOS COMPLEMENTARES) - HORISTA</t>
  </si>
  <si>
    <t>CURSO DE CAPACITAÇÃO PARA PEDREIRO (ENCARGOS COMPLEMENTARES) - MENSALISTA</t>
  </si>
  <si>
    <t>CURSO DE CAPACITAÇÃO PARA PINTOR (ENCARGOS COMPLEMENTARES) - HORISTA</t>
  </si>
  <si>
    <t>CURSO DE CAPACITAÇÃO PARA PINTOR (ENCARGOS COMPLEMENTARES) - MENSALISTA</t>
  </si>
  <si>
    <t>CURSO DE CAPACITAÇÃO PARA PINTOR DE LETREIROS (ENCARGOS COMPLEMENTARES) - HORISTA</t>
  </si>
  <si>
    <t>CURSO DE CAPACITAÇÃO PARA PINTOR DE LETREIROS (ENCARGOS COMPLEMENTARES) - MENSALISTA</t>
  </si>
  <si>
    <t>CURSO DE CAPACITAÇÃO PARA PINTOR PARA TINTA EPOXI (ENCARGOS COMPLEMENTARES) - MENSALISTA</t>
  </si>
  <si>
    <t>CURSO DE CAPACITAÇÃO PARA PINTOR PARA TINTA EPÓXI (ENCARGOS COMPLEMENTARES) - HORISTA</t>
  </si>
  <si>
    <t>CURSO DE CAPACITAÇÃO PARA POCEIRO (ENCARGOS COMPLEMENTARES) - HORISTA</t>
  </si>
  <si>
    <t>CURSO DE CAPACITAÇÃO PARA POCEIRO / ESCAVADOR DE VALAS E TUBULOES (ENCARGOS COMPLEMENTARES) - MENSALISTA</t>
  </si>
  <si>
    <t>CURSO DE CAPACITAÇÃO PARA RASTELEIRO (ENCARGOS COMPLEMENTARES) - HORISTA</t>
  </si>
  <si>
    <t>CURSO DE CAPACITAÇÃO PARA SERRALHEIRO (ENCARGOS COMPLEMENTARES) - HORISTA</t>
  </si>
  <si>
    <t>CURSO DE CAPACITAÇÃO PARA SERRALHEIRO (ENCARGOS COMPLEMENTARES) - MENSALISTA</t>
  </si>
  <si>
    <t>CURSO DE CAPACITAÇÃO PARA SERVENTE (ENCARGOS COMPLEMENTARES) - HORISTA</t>
  </si>
  <si>
    <t>CURSO DE CAPACITAÇÃO PARA SERVENTE DE OBRAS (ENCARGOS COMPLEMENTARES) - MENSALISTA</t>
  </si>
  <si>
    <t>CURSO DE CAPACITAÇÃO PARA SOLDADOR (ENCARGOS COMPLEMENTARES) - HORISTA</t>
  </si>
  <si>
    <t>CURSO DE CAPACITAÇÃO PARA SOLDADOR (ENCARGOS COMPLEMENTARES) - MENSALISTA</t>
  </si>
  <si>
    <t>CURSO DE CAPACITAÇÃO PARA SOLDADOR A (PARA SOLDA A SER TESTADA COM RAIOS X) (ENCARGOS COMPLEMENTARES) - HORISTA</t>
  </si>
  <si>
    <t>CURSO DE CAPACITAÇÃO PARA SOLDADOR ELETRICO (ENCARGOS COMPLEMENTARES) - MENSALISTA</t>
  </si>
  <si>
    <t>CURSO DE CAPACITAÇÃO PARA TECNICO DE EDIFICACOES (ENCARGOS COMPLEMENTARES) - HORISTA</t>
  </si>
  <si>
    <t>CURSO DE CAPACITAÇÃO PARA TECNICO DE EDIFICACOES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</si>
  <si>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</si>
  <si>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</si>
  <si>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TELHADISTA (ENCARGOS COMPLEMENTARES) - HORISTA</t>
  </si>
  <si>
    <t>CURSO DE CAPACITAÇÃO PARA TELHADOR (ENCARGOS COMPLEMENTARES) - MENSALISTA</t>
  </si>
  <si>
    <t>CURSO DE CAPACITAÇÃO PARA TOPÓGRAFO (ENCARGOS COMPLEMENTARES) - HORISTA</t>
  </si>
  <si>
    <t>CURSO DE CAPACITAÇÃO PARA TOPÓGRAFO (ENCARGOS COMPLEMENTARES) - MENSALISTA</t>
  </si>
  <si>
    <t>CURSO DE CAPACITAÇÃO PARA TRATORISTA (ENCARGOS COMPLEMENTARES) - HORISTA</t>
  </si>
  <si>
    <t>CURSO DE CAPACITAÇÃO PARA TÉCNICO DE LABORATÓRIO (ENCARGOS COMPLEMENTARES) - HORISTA</t>
  </si>
  <si>
    <t>CURSO DE CAPACITAÇÃO PARA TÉCNICO DE SONDAGEM (ENCARGOS COMPLEMENTARES) - HORISTA</t>
  </si>
  <si>
    <t>CURSO DE CAPACITAÇÃO PARA TÉCNICO EM SEGURANÇA DO TRABALHO (ENCARGOS COMPLEMENTARES) - HORISTA</t>
  </si>
  <si>
    <t>CURSO DE CAPACITAÇÃO PARA TÉCNICO EM SEGURANÇA DO TRABALHO (ENCARGOS COMPLEMENTARES) - MENSALISTA</t>
  </si>
  <si>
    <t>CURSO DE CAPACITAÇÃO PARA VIDRACEIRO (ENCARGOS COMPLEMENTARES) - HORISTA</t>
  </si>
  <si>
    <t>CURSO DE CAPACITAÇÃO PARA VIDRACEIRO (ENCARGOS COMPLEMENTARES) - MENSALISTA</t>
  </si>
  <si>
    <t>CURSO DE CAPACITAÇÃO PARA VIGIA DIURNO (ENCARGOS COMPLEMENTARES) - HORISTA</t>
  </si>
  <si>
    <t>CURSO DE CAPACITAÇÃO PARA VIGIA DIURNO (ENCARGOS COMPLEMENTARES) - MENSALISTA</t>
  </si>
  <si>
    <t>DESENHISTA PROJETISTA COM ENCARGOS COMPLEMENTARES</t>
  </si>
  <si>
    <t>ELETRICISTA COM ENCARGOS COMPLEMENTARES</t>
  </si>
  <si>
    <t>ELETROTÉCNICO COM ENCARGOS COMPLEMENTARES</t>
  </si>
  <si>
    <t>ENCANADOR OU BOMBEIRO HIDRÁULICO COM ENCARGOS COMPLEMENTARES</t>
  </si>
  <si>
    <t>ENCARREGADO GERAL COM ENCARGOS COMPLEMENTARES</t>
  </si>
  <si>
    <t>ENCARREGADO GERAL DE OBRAS COM ENCARGOS COMPLEMENTARES</t>
  </si>
  <si>
    <t>ENGENHEIRO CIVIL DE OBRA JUNIOR COM ENCARGOS COMPLEMENTARES</t>
  </si>
  <si>
    <t>ENGENHEIRO CIVIL DE OBRA PLENO COM ENCARGOS COMPLEMENTARES</t>
  </si>
  <si>
    <t>ENGENHEIRO CIVIL DE OBRA SENIOR COM ENCARGOS COMPLEMENTARES</t>
  </si>
  <si>
    <t>GESSEIRO COM ENCARGOS COMPLEMENTARES</t>
  </si>
  <si>
    <t>IMPERMEABILIZADOR COM ENCARGOS COMPLEMENTARES</t>
  </si>
  <si>
    <t>INSTALADOR DE PISO ELEVADO COM ENCARGOS COMPLEMENTARES</t>
  </si>
  <si>
    <t>INSTALADOR DE TUBULAÇÕES COM ENCARGOS COMPLEMENTARES</t>
  </si>
  <si>
    <t>JARDINEIRO COM ENCARGOS COMPLEMENTARES</t>
  </si>
  <si>
    <t>MACARIQUEIRO COM ENCARGOS COMPLEMENTARES</t>
  </si>
  <si>
    <t>MARCENEIRO COM ENCARGOS COMPLEMENTARES</t>
  </si>
  <si>
    <t>MARMORISTA / GRANITEIRO COM ENCARGOS COMPLEMENTARES</t>
  </si>
  <si>
    <t>MARMORISTA/GRANITEIRO COM ENCARGOS COMPLEMENTARES</t>
  </si>
  <si>
    <t>MAÇARIQUEIRO COM ENCARGOS COMPLEMENTARES</t>
  </si>
  <si>
    <t>MECÂNICO DE EQUIPAMENTOS PESADOS COM ENCARGOS COMPLEMENTARES</t>
  </si>
  <si>
    <t>MECÂNICO DE REFRIGERAÇÃO COM ENCARGOS COMPLEMENTARES</t>
  </si>
  <si>
    <t>MECÃNICO DE EQUIPAMENTOS PESADOS COM ENCARGOS COMPLEMENTARES</t>
  </si>
  <si>
    <t>MESTRE DE OBRAS COM ENCARGOS COMPLEMENTARES</t>
  </si>
  <si>
    <t>MONTADOR (TUBO AÇO/EQUIPAMENTOS) COM ENCARGOS COMPLEMENTARES</t>
  </si>
  <si>
    <t>MONTADOR DE ELETROELETRÔNICOS COM ENCARGOS COMPLEMENTARES</t>
  </si>
  <si>
    <t>MONTADOR DE ESTRUTURAS METÁLICAS COM ENCARGOS COMPLEMENTARES</t>
  </si>
  <si>
    <t>MONTADOR DE FÔRMAS DO SISTEMA DE PAREDES DE CONCRETO COM ENCARGOS COMPLEMENTARES</t>
  </si>
  <si>
    <t>MONTADOR DE MÁQUINAS COM ENCARGOS COMPLEMENTARES</t>
  </si>
  <si>
    <t>MONTADOR ELETROMECÂNICO COM ENCARGOS COMPLEMENTARES</t>
  </si>
  <si>
    <t>MOTORISTA DE BASCULANTE COM ENCARGOS COMPLEMENTARES</t>
  </si>
  <si>
    <t>MOTORISTA DE CAMINHAO COM ENCARGOS COMPLEMENTARES</t>
  </si>
  <si>
    <t>MOTORISTA DE CAMINHÃO BASCULANTE COM ENCARGOS COMPLEMENTARES</t>
  </si>
  <si>
    <t>MOTORISTA DE CAMINHÃO CARRETA COM ENCARGOS COMPLEMENTARES</t>
  </si>
  <si>
    <t>MOTORISTA DE CAMINHÃO COM ENCARGOS COMPLEMENTARES</t>
  </si>
  <si>
    <t>MOTORISTA DE CAMINHÃO E CARRETA COM ENCARGOS COMPLEMENTARES</t>
  </si>
  <si>
    <t>MOTORISTA DE CARRO DE PASSEIO COM ENCARGOS COMPLEMENTARES</t>
  </si>
  <si>
    <t>MOTORISTA DE VEÍCULO LEVE COM ENCARGOS COMPLEMENTARES</t>
  </si>
  <si>
    <t>MOTORISTA OPERADOR DE CAMINHÃO COM MUNCK COM ENCARGOS COMPLEMENTARES</t>
  </si>
  <si>
    <t>MOTORISTA OPERADOR DE MUNCK COM ENCARGOS COMPLEMENTARES</t>
  </si>
  <si>
    <t>NIVELADOR COM ENCARGOS COMPLEMENTARES</t>
  </si>
  <si>
    <t>OPERADOR DE BATE-ESTACA COM ENCARGOS COMPLEMENTARES</t>
  </si>
  <si>
    <t>OPERADOR DE BETONEIRA (CAMINHÃO) COM ENCARGOS COMPLEMENTARES</t>
  </si>
  <si>
    <t>OPERADOR DE BETONEIRA ESTACIONÁRIA COM ENCARGOS COMPLEMENTARES</t>
  </si>
  <si>
    <t>OPERADOR DE BETONEIRA ESTACIONÁRIA/MISTURADOR COM ENCARGOS COMPLEMENTARES</t>
  </si>
  <si>
    <t>OPERADOR DE COMPRESSOR DE AR OU COMPRESSORISTA COM ENCARGOS COMPLEMENTARES</t>
  </si>
  <si>
    <t>OPERADOR DE COMPRESSOR OU COMPRESSORISTA COM ENCARGOS COMPLEMENTARES</t>
  </si>
  <si>
    <t>OPERADOR DE DEMARCADORA DE FAIXAS COM ENCARGOS COMPLEMENTARES</t>
  </si>
  <si>
    <t>OPERADOR DE DEMARCADORA DE FAIXAS DE TRÁFEGO COM ENCARGOS COMPLEMENTARES</t>
  </si>
  <si>
    <t>OPERADOR DE ESCAVADEIRA COM ENCARGOS COMPLEMENTARES</t>
  </si>
  <si>
    <t>OPERADOR DE GUINCHO COM ENCARGOS COMPLEMENTARES</t>
  </si>
  <si>
    <t>OPERADOR DE GUINCHO OU GUINCHEIRO COM ENCARGOS COMPLEMENTARES</t>
  </si>
  <si>
    <t>OPERADOR DE GUINDASTE COM ENCARGOS COMPLEMENTARES</t>
  </si>
  <si>
    <t>OPERADOR DE JATO ABRASIVO OU JATISTA COM ENCARGOS COMPLEMENTARES</t>
  </si>
  <si>
    <t>OPERADOR DE MARTELETE OU MARTELETEIRO COM ENCARGOS COMPLEMENTARES</t>
  </si>
  <si>
    <t>OPERADOR DE MOTO SCRAPER COM ENCARGOS COMPLEMENTARES</t>
  </si>
  <si>
    <t>OPERADOR DE MOTO-ESCREIPER COM ENCARGOS COMPLEMENTARES</t>
  </si>
  <si>
    <t>OPERADOR DE MOTONIVELADORA COM ENCARGOS COMPLEMENTARES</t>
  </si>
  <si>
    <t>OPERADOR DE MÁQUINAS E EQUIPAMENTOS COM ENCARGOS COMPLEMENTARES</t>
  </si>
  <si>
    <t>OPERADOR DE MÁQUINAS E TRATORES DIVERSOS COM ENCARGOS COMPLEMENTARES</t>
  </si>
  <si>
    <t>OPERADOR DE PAVIMENTADORA / MESA VIBROACABADORA COM ENCARGOS COMPLEMENTARES</t>
  </si>
  <si>
    <t>OPERADOR DE PAVIMENTADORA COM ENCARGOS COMPLEMENTARES</t>
  </si>
  <si>
    <t>OPERADOR DE PÁ CARREGADEIRA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</si>
  <si>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</si>
  <si>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</si>
  <si>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</si>
  <si>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</si>
  <si>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</si>
  <si>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PEDREIRO COM ENCARGOS COMPLEMENTARES</t>
  </si>
  <si>
    <t>PINTOR COM ENCARGOS COMPLEMENTARES</t>
  </si>
  <si>
    <t>PINTOR DE LETREIROS COM ENCARGOS COMPLEMENTARES</t>
  </si>
  <si>
    <t>PINTOR PARA TINTA EPÓXI COM ENCARGOS COMPLEMENTARES</t>
  </si>
  <si>
    <t>POCEIRO / ESCAVADOR DE VALAS COM ENCARGOS COMPLEMENTARES</t>
  </si>
  <si>
    <t>POCEIRO COM ENCARGOS COMPLEMENTARES</t>
  </si>
  <si>
    <t>RASTELEIRO COM ENCARGOS COMPLEMENTARES</t>
  </si>
  <si>
    <t>SERRALHEIRO COM ENCARGOS COMPLEMENTARES</t>
  </si>
  <si>
    <t>SERVENTE COM ENCARGOS COMPLEMENTARES</t>
  </si>
  <si>
    <t>SERVENTE DE OBRAS COM ENCARGOS COMPLEMENTARES</t>
  </si>
  <si>
    <t>SOLDADOR A (PARA SOLDA A SER TESTADA COM RAIOS "X") COM ENCARGOS COMPLEMENTARES</t>
  </si>
  <si>
    <t>SOLDADOR COM ENCARGOS COMPLEMENTARES</t>
  </si>
  <si>
    <t>SOLDADOR ELÉTRICO COM ENCARGOS COMPLEMENTARES</t>
  </si>
  <si>
    <t>TECNICO DE EDIFICACOES COM ENCARGOS COMPLEMENTARES</t>
  </si>
  <si>
    <t>TELHADISTA COM ENCARGOS COMPLEMENTARES</t>
  </si>
  <si>
    <t>TELHADOR COM ENCARGOS COMPLEMENTARES</t>
  </si>
  <si>
    <t>TOPOGRAFO COM ENCARGOS COMPLEMENTARES</t>
  </si>
  <si>
    <t>TRATORISTA COM ENCARGOS COMPLEMENTARES</t>
  </si>
  <si>
    <t>TÉCNICO DE LABORATÓRIO COM ENCARGOS COMPLEMENTARES</t>
  </si>
  <si>
    <t>TÉCNICO DE LABORATÓRIO E CAMPO DE CONSTRUÇÃO COM ENCARGOS COMPLEMENTARES</t>
  </si>
  <si>
    <t>TÉCNICO EM SEGURANÇA DO TRABALHO COM ENCARGOS COMPLEMENTARES</t>
  </si>
  <si>
    <t>TÉCNICO EM SONDAGEM COM ENCARGOS COMPLEMENTARES</t>
  </si>
  <si>
    <t>VIDRACEIRO COM ENCARGOS COMPLEMENTARES</t>
  </si>
  <si>
    <t>VIGIA DIURNO COM ENCARGOS COMPLEMENTARES</t>
  </si>
  <si>
    <t>EXECUÇÃO DE LINHAS DE REFERÊNCIA EM GABARITO OU CAVALETE. AF_03/2024</t>
  </si>
  <si>
    <t>LOCAÇÃO COM CAVALETE COM ALTURA DE 0,50 M - 2 UTILIZAÇÕES. AF_03/2024</t>
  </si>
  <si>
    <t>LOCAÇÃO COM CAVALETE COM ALTURA DE 1,00 M - 2 UTILIZAÇÕES. AF_03/2024</t>
  </si>
  <si>
    <t>LOCAÇÃO COM USO EXCLUSIVO DE EQUIPAMENTO TOPOGRÁFICO. AF_03/2024</t>
  </si>
  <si>
    <t>LOCAÇÃO CONVENCIONAL DE OBRA, UTILIZANDO GABARITO DE TÁBUAS CORRIDAS PONTALETADAS A CADA 1,50M - 2 UTILIZAÇÕES. AF_03/2024</t>
  </si>
  <si>
    <t>LOCAÇÃO CONVENCIONAL DE OBRA, UTILIZANDO GABARITO DE TÁBUAS CORRIDAS PONTALETADAS A CADA 2,00M - 2 UTILIZAÇÕES. AF_03/2024</t>
  </si>
  <si>
    <t>LOCAÇÃO DE PAVIMENTAÇÃO. AF_03/2024</t>
  </si>
  <si>
    <t>LOCAÇÃO DE PONTO PARA REFERÊNCIA TOPOGRÁFICA. AF_03/2024</t>
  </si>
  <si>
    <t>LOCAÇÃO DE PRAÇAS EM PONTALETEAMENTO. AF_03/2024</t>
  </si>
  <si>
    <t>LOCAÇÃO DE REDE DE ÁGUA OU ESGOTO. AF_03/2024</t>
  </si>
  <si>
    <t>MARCAÇÃO DE PONTOS EM GABARITO OU CAVALETE, COM USO DE ESTAÇÃO TOTAL. AF_03/2024</t>
  </si>
  <si>
    <t>MARCAÇÃO DE PONTOS EM GABARITO OU CAVALETE. AF_03/2024</t>
  </si>
  <si>
    <t>ABRAÇADEIRA DE FIXAÇÃO DE BRAÇOS DE LUMINÁRIAS DE 2" - FORNECIMENTO E INSTALAÇÃO. AF_02/2025</t>
  </si>
  <si>
    <t>ABRAÇADEIRA DE FIXAÇÃO DE BRAÇOS DE LUMINÁRIAS DE 3" - FORNECIMENTO E INSTALAÇÃO. AF_02/2025</t>
  </si>
  <si>
    <t>ABRAÇADEIRA DE FIXAÇÃO DE BRAÇOS DE LUMINÁRIAS DE 4" - FORNECIMENTO E INSTALAÇÃO. AF_02/2025</t>
  </si>
  <si>
    <t>BRAÇO PARA ILUMINAÇÃO PÚBLICA, EM TUBO DE AÇO GALVANIZADO, COMPRIMENTO DE 1,20 M, PARA FIXAÇÃO EM POSTE DE CONCRETO - FORNECIMENTO E INSTALAÇÃO. AF_02/2025</t>
  </si>
  <si>
    <t>BRAÇO PARA ILUMINAÇÃO PÚBLICA, EM TUBO DE AÇO GALVANIZADO, COMPRIMENTO DE 1,20 M, PARA FIXAÇÃO EM POSTE METÁLICO - FORNECIMENTO E INSTALAÇÃO. AF_02/2025</t>
  </si>
  <si>
    <t>BRAÇO PARA ILUMINAÇÃO PÚBLICA, EM TUBO DE AÇO GALVANIZADO, COMPRIMENTO DE 1,50 M, PARA FIXAÇÃO EM POSTE DE CONCRETO - FORNECIMENTO E INSTALAÇÃO. AF_02/2025_PS</t>
  </si>
  <si>
    <t>BRAÇO PARA ILUMINAÇÃO PÚBLICA, EM TUBO DE AÇO GALVANIZADO, COMPRIMENTO DE 1,50 M, PARA FIXAÇÃO EM POSTE METÁLICO - FORNECIMENTO E INSTALAÇÃO. AF_02/2025_PS</t>
  </si>
  <si>
    <t>BRAÇO PARA ILUMINAÇÃO PÚBLICA, EM TUBO DE AÇO GALVANIZADO, COMPRIMENTO DE 3,50 M, PARA FIXAÇÃO EM POSTE DE CONCRETO - FORNECIMENTO E INSTALAÇÃO. AF_02/2025</t>
  </si>
  <si>
    <t>BRAÇO PARA ILUMINAÇÃO PÚBLICA, EM TUBO DE AÇO GALVANIZADO, COMPRIMENTO DE 3,50 M, PARA FIXAÇÃO EM POSTE METÁLICO - FORNECIMENTO E INSTALAÇÃO. AF_02/2025</t>
  </si>
  <si>
    <t>LUMINÁRIA DE LED PARA ILUMINAÇÃO PÚBLICA, 1000 W - FORNECIMENTO E INSTALAÇÃO. AF_02/2025</t>
  </si>
  <si>
    <t>LUMINÁRIA DE LED PARA ILUMINAÇÃO PÚBLICA, DE 138 W ATÉ 180 W - FORNECIMENTO E INSTALAÇÃO. AF_02/2025_PS</t>
  </si>
  <si>
    <t>LUMINÁRIA DE LED PARA ILUMINAÇÃO PÚBLICA, DE 181 W ATÉ 239 W - FORNECIMENTO E INSTALAÇÃO. AF_02/2025_PS</t>
  </si>
  <si>
    <t>LUMINÁRIA DE LED PARA ILUMINAÇÃO PÚBLICA, DE 240 W ATÉ 350 W - FORNECIMENTO E INSTALAÇÃO. AF_02/2025_PS</t>
  </si>
  <si>
    <t>LUMINÁRIA DE LED PARA ILUMINAÇÃO PÚBLICA, DE 33 W ATÉ 50 W - FORNECIMENTO E INSTALAÇÃO. AF_02/2025_PS</t>
  </si>
  <si>
    <t>LUMINÁRIA DE LED PARA ILUMINAÇÃO PÚBLICA, DE 51 W ATÉ 67 W - FORNECIMENTO E INSTALAÇÃO. AF_02/2025_PS</t>
  </si>
  <si>
    <t>LUMINÁRIA DE LED PARA ILUMINAÇÃO PÚBLICA, DE 68 W ATÉ 97 W - FORNECIMENTO E INSTALAÇÃO. AF_02/2025_PS</t>
  </si>
  <si>
    <t>LUMINÁRIA DE LED PARA ILUMINAÇÃO PÚBLICA, DE 98 W ATÉ 137 W - FORNECIMENTO E INSTALAÇÃO. AF_02/2025_PS</t>
  </si>
  <si>
    <t>LUMINÁRIA REFLETOR LED PARA ILUMINAÇÃO PÚBLICA, 1000 W - FORNECIMENTO E INSTALAÇÃO. AF_02/2025</t>
  </si>
  <si>
    <t>LUMINÁRIA REFLETOR LED PARA ILUMINAÇÃO PÚBLICA, 200 W - FORNECIMENTO E INSTALAÇÃO. AF_02/2025</t>
  </si>
  <si>
    <t>LUMINÁRIA REFLETOR LED PARA ILUMINAÇÃO PÚBLICA, 50 W - FORNECIMENTO E INSTALAÇÃO. AF_02/2025</t>
  </si>
  <si>
    <t>LUMINÁRIA REFLETOR LED PARA ILUMINAÇÃO PÚBLICA, 600 W - FORNECIMENTO E INSTALAÇÃO. AF_02/2025</t>
  </si>
  <si>
    <t>RELÉ FOTOELÉTRICO PARA COMANDO DE ILUMINAÇÃO EXTERNA 1000 W - FORNECIMENTO E INSTALAÇÃO. AF_02/2025</t>
  </si>
  <si>
    <t>SUBSTITUIÇÃO DE LUMINÁRIA DE VAPOR DE MERCÚRIO/VAPOR DE SÓDIO POR LUMINÁRIA DE LED PARA ILUMINAÇÃO PÚBLICA (NÃO INCLUI FORNECIMENTO). AF_02/2025_PS</t>
  </si>
  <si>
    <t>SUBSTITUIÇÃO DE LUMINÁRIA REFLETOR LED PARA ILUMINAÇÃO PÚBLICA (NÃO INCLUI FORNECIMENTO). AF_02/2025</t>
  </si>
  <si>
    <t>SUBSTITUIÇÃO DE LÂMPADA PARA ILUMINAÇÃO PÚBLICA (NÃO INCLUI FORNECIMENTO). AF_02/2025_PS</t>
  </si>
  <si>
    <t>SUBSTITUIÇÃO DE REATOR PARA ILUMINAÇÃO PÚBLICA (NÃO INCLUI FORNECIMENTO). AF_02/2025_PS</t>
  </si>
  <si>
    <t>SUBSTITUIÇÃO DE RELÉ FOTOELÉTRICO PARA COMANDO DE ILUMINAÇÃO EXTERNA 1000 W - FORNECIMENTO E INSTALAÇÃO. AF_02/2025_PS</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</si>
  <si>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</si>
  <si>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</si>
  <si>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</si>
  <si>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</si>
  <si>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</si>
  <si>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</si>
  <si>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</si>
  <si>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</si>
  <si>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</si>
  <si>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</si>
  <si>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</si>
  <si>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</si>
  <si>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</si>
  <si>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</si>
  <si>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</si>
  <si>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</si>
  <si>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INDUSTRIALIZADA, PREPARO MECÂNICO E APLICAÇÃO COM EQUIPAMENTO DE MISTURA E PROJEÇÃO DE 1,5 M3/H DE ARGAMASSA NAS PAREDES INTERNAS DA SACADA, ESPESSURA 35 MM, SEM USO DE TELA METÁLICA.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</si>
  <si>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</si>
  <si>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</si>
  <si>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</si>
  <si>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</si>
  <si>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</si>
  <si>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</si>
  <si>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</si>
  <si>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</si>
  <si>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</si>
  <si>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EMBOÇO OU MASSA ÚNICA EM ARGAMASSA TRAÇO 1:2:8, PREPARO MANUAL, APLICADA MANUALMENTE EM PANOS CEGOS DE FACHADA (SEM PRESENÇA DE VÃOS), ESPESSURA DE 25 MM. AF_09/2022</t>
  </si>
  <si>
    <t>EMBOÇO OU MASSA ÚNICA EM ARGAMASSA TRAÇO 1:2:8, PREPARO MANUAL, APLICADA MANUALMENTE EM PANOS CEGOS DE FACHADA (SEM PRESENÇA DE VÃOS), ESPESSURA DE 35 MM. AF_08/2022</t>
  </si>
  <si>
    <t>EMBOÇO OU MASSA ÚNICA EM ARGAMASSA TRAÇO 1:2:8, PREPARO MANUAL, APLICADA MANUALMENTE EM PANOS CEGOS DE FACHADA (SEM PRESENÇA DE VÃOS), ESPESSURA DE 45 MM. AF_08/2022</t>
  </si>
  <si>
    <t>EMBOÇO OU MASSA ÚNICA EM ARGAMASSA TRAÇO 1:2:8, PREPARO MANUAL, APLICADA MANUALMENTE EM PANOS CEGOS DE FACHADA (SEM PRESENÇA DE VÃOS), ESPESSURA MAIOR OU IGUAL A 50 MM. AF_08/2022</t>
  </si>
  <si>
    <t>EMBOÇO OU MASSA ÚNICA EM ARGAMASSA TRAÇO 1:2:8, PREPARO MANUAL, APLICADA MANUALMENTE EM PANOS DE FACHADA COM PRESENÇA DE VÃOS, ESPESSURA DE 25 MM, ACESSO POR ANDAIME. AF_08/2022</t>
  </si>
  <si>
    <t>EMBOÇO OU MASSA ÚNICA EM ARGAMASSA TRAÇO 1:2:8, PREPARO MANUAL, APLICADA MANUALMENTE EM PANOS DE FACHADA COM PRESENÇA DE VÃOS, ESPESSURA DE 25 MM. AF_08/2022</t>
  </si>
  <si>
    <t>EMBOÇO OU MASSA ÚNICA EM ARGAMASSA TRAÇO 1:2:8, PREPARO MANUAL, APLICADA MANUALMENTE EM PANOS DE FACHADA COM PRESENÇA DE VÃOS, ESPESSURA DE 35 MM, ACESSO POR ANDAIME. AF_08/2022</t>
  </si>
  <si>
    <t>EMBOÇO OU MASSA ÚNICA EM ARGAMASSA TRAÇO 1:2:8, PREPARO MANUAL, APLICADA MANUALMENTE EM PANOS DE FACHADA COM PRESENÇA DE VÃOS, ESPESSURA DE 35 MM. AF_08/2022</t>
  </si>
  <si>
    <t>EMBOÇO OU MASSA ÚNICA EM ARGAMASSA TRAÇO 1:2:8, PREPARO MANUAL, APLICADA MANUALMENTE EM PANOS DE FACHADA COM PRESENÇA DE VÃOS, ESPESSURA DE 45 MM, ACESSO POR ANDAIME. AF_08/2022</t>
  </si>
  <si>
    <t>EMBOÇO OU MASSA ÚNICA EM ARGAMASSA TRAÇO 1:2:8, PREPARO MANUAL, APLICADA MANUALMENTE EM PANOS DE FACHADA COM PRESENÇA DE VÃOS, ESPESSURA DE 45 MM. AF_08/2022</t>
  </si>
  <si>
    <t>EMBOÇO OU MASSA ÚNICA EM ARGAMASSA TRAÇO 1:2:8, PREPARO MANUAL, APLICADA MANUALMENTE EM PANOS DE FACHADA COM PRESENÇA DE VÃOS, ESPESSURA DE 50 MM, ACESSO POR ANDAIME. AF_08/2022</t>
  </si>
  <si>
    <t>EMBOÇO OU MASSA ÚNICA EM ARGAMASSA TRAÇO 1:2:8, PREPARO MANUAL, APLICADA MANUALMENTE EM PANOS DE FACHADA SEM PRESENÇA DE VÃOS, ESPESSURA DE 25 MM, ACESSO POR ANDAIME. AF_08/2022</t>
  </si>
  <si>
    <t>EMBOÇO OU MASSA ÚNICA EM ARGAMASSA TRAÇO 1:2:8, PREPARO MANUAL, APLICADA MANUALMENTE EM PANOS DE FACHADA SEM PRESENÇA DE VÃOS, ESPESSURA DE 35 MM, ACESSO POR ANDAIME. AF_08/2022</t>
  </si>
  <si>
    <t>EMBOÇO OU MASSA ÚNICA EM ARGAMASSA TRAÇO 1:2:8, PREPARO MANUAL, APLICADA MANUALMENTE EM PANOS DE FACHADA SEM PRESENÇA DE VÃOS, ESPESSURA DE 45 MM, ACESSO POR ANDAIME. AF_08/2022</t>
  </si>
  <si>
    <t>EMBOÇO OU MASSA ÚNICA EM ARGAMASSA TRAÇO 1:2:8, PREPARO MANUAL, APLICADA MANUALMENTE EM PANOS DE FACHADA SEM PRESENÇA DE VÃOS, ESPESSURA DE 50 MM, ACESSO POR ANDAIME. AF_08/2022</t>
  </si>
  <si>
    <t>EMBOÇO OU MASSA ÚNICA EM ARGAMASSA TRAÇO 1:2:8, PREPARO MANUAL, APLICADA MANUALMENTE EM SUPERFÍCIES EXTERNAS DA SACADA, ESPESSURA DE 25 MM, ACESSO POR ANDAIME, SEM USO DE TELA METÁLICA. AF_08/2022</t>
  </si>
  <si>
    <t>EMBOÇO OU MASSA ÚNICA EM ARGAMASSA TRAÇO 1:2:8, PREPARO MANUAL,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</si>
  <si>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35 MM, ACESSO POR ANDAIME, SEM USO DE TELA METÁLICA. AF_08/2022</t>
  </si>
  <si>
    <t>EMBOÇO OU MASSA ÚNICA EM ARGAMASSA TRAÇO 1:2:8, PREPARO MANUAL,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</si>
  <si>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45 MM, ACESSO POR ANDAIME, SEM USO DE TELA METÁLICA. AF_08/2022</t>
  </si>
  <si>
    <t>EMBOÇO OU MASSA ÚNICA EM ARGAMASSA TRAÇO 1:2:8, PREPARO MANUAL,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</si>
  <si>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50 MM, ACESSO POR ANDAIME, SEM USO DE TELA METÁLICA. AF_08/2022</t>
  </si>
  <si>
    <t>EMBOÇO OU MASSA ÚNICA EM ARGAMASSA TRAÇO 1:2:8, PREPARO MANUAL, APLICADA MANUALMENTE EM SUPERFÍCIES EXTERNAS DA SACADA, ESPESSURA MAIOR OU IGUAL A 50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</si>
  <si>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</si>
  <si>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</si>
  <si>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</si>
  <si>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</si>
  <si>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</si>
  <si>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</si>
  <si>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</si>
  <si>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</si>
  <si>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</si>
  <si>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</si>
  <si>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</si>
  <si>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</si>
  <si>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</si>
  <si>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</si>
  <si>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</si>
  <si>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</si>
  <si>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</si>
  <si>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</si>
  <si>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</si>
  <si>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</si>
  <si>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</si>
  <si>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</si>
  <si>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</si>
  <si>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</si>
  <si>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</si>
  <si>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</si>
  <si>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</si>
  <si>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</si>
  <si>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</si>
  <si>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</si>
  <si>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</si>
  <si>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</si>
  <si>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</si>
  <si>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</si>
  <si>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</si>
  <si>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</si>
  <si>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</si>
  <si>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</si>
  <si>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EMBOÇO OU MASSA ÚNICA EM ARGAMASSA TRAÇO 1:2:8, PREPARO MECÂNICO COM BETONEIRA 400 L, APLICADA MANUALMENTE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</si>
  <si>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</si>
  <si>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</si>
  <si>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</si>
  <si>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MECÂNICO COM BETONEIRA 400 L, APLICADA MANUALMENTE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</si>
  <si>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</si>
  <si>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</si>
  <si>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</si>
  <si>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</si>
  <si>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</si>
  <si>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</si>
  <si>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</si>
  <si>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</si>
  <si>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</si>
  <si>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</si>
  <si>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MECÂNICO COM BETONEIRA 400 L, APLICADA MANUALMENTE NAS PAREDES INTERNAS DA SACADA, ESPESSURA DE 35 MM, SEM USO DE TELA METÁLICA DE REFORÇO CONTRA FISSURAÇÃO. AF_08/2022</t>
  </si>
  <si>
    <t>EMBOÇO, EM ARGAMASSA INDUSTRIALIZADA, PREPARO MECÂNICO, APLICADO COM EQUIPAMENTO DE MISTURA E PROJEÇÃO DE ARGAMASSA EM PAREDES INTERNAS, E = 10MM, COM TALISCAS. AF_03/2024</t>
  </si>
  <si>
    <t>EMBOÇO, EM ARGAMASSA INDUSTRIALIZADA, PREPARO MECÂNICO, APLICADO COM EQUIPAMENTO DE MISTURA E PROJEÇÃO DE ARGAMASSA EM PAREDES INTERNAS, E = 17,5MM, COM TALISCAS. AF_03/2024</t>
  </si>
  <si>
    <t>EMBOÇO, EM ARGAMASSA TRAÇO 1:2:8, PREPARO MANUAL,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</si>
  <si>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</si>
  <si>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</si>
  <si>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17,5MM, COM TALISCAS. AF_03/2024</t>
  </si>
  <si>
    <t>EMBOÇO, EM ARGAMASSA TRAÇO 1:2:8, PREPARO MANUAL,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</si>
  <si>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17,5MM, COM TALISCAS. AF_03/2024</t>
  </si>
  <si>
    <t>EMBOÇO, EM ARGAMASSA TRAÇO 1:2:8, PREPARO MANUAL, APLICADO MANUALMENTE EM PAREDES INTERNAS DE AMBIENTES COM ÁREA ENTRE 5M² E 10M², E = 10MM, COM TALISCAS. AF_03/2024</t>
  </si>
  <si>
    <t>EMBOÇO, EM ARGAMASSA TRAÇO 1:2:8, PREPARO MANUAL, APLICADO MANUALMENTE EM PAREDES INTERNAS DE AMBIENTES COM ÁREA ENTRE 5M² E 10M², E = 17,5MM, COM TALISCAS. AF_03/2024</t>
  </si>
  <si>
    <t>EMBOÇO, EM ARGAMASSA TRAÇO 1:2:8, PREPARO MANUAL, APLICADO MANUALMENTE EM PAREDES INTERNAS DE AMBIENTES COM ÁREA MAIOR QUE 10M², E = 10MM, COM TALISCAS. AF_03/2024</t>
  </si>
  <si>
    <t>EMBOÇO, EM ARGAMASSA TRAÇO 1:2:8, PREPARO MANUAL, APLICADO MANUALMENTE EM PAREDES INTERNAS DE AMBIENTES COM ÁREA MAIOR QUE 10M², E = 17,5MM, COM TALISCAS. AF_03/2024</t>
  </si>
  <si>
    <t>EMBOÇO, EM ARGAMASSA TRAÇO 1:2:8, PREPARO MANUAL, APLICADO MANUALMENTE EM PAREDES INTERNAS DE AMBIENTES COM ÁREA MENOR QUE 5M², E = 17,5MM, COM TALISCAS. AF_03/2024</t>
  </si>
  <si>
    <t>EMBOÇO, EM ARGAMASSA TRAÇO 1:2:8, PREPARO MANUAL, APLICADO MANUALMENTE EM PAREDES INTERNAS, PARA AMBIENTES COM ÁREA MENOR QUE 5M², E = 10MM, COM TALISCAS. AF_03/2024</t>
  </si>
  <si>
    <t>EMBOÇO, EM ARGAMASSA TRAÇO 1:2:8, PREPARO MECÂNICO, APLICADO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</si>
  <si>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17,5MM, COM TALISCAS. AF_03/2024</t>
  </si>
  <si>
    <t>EMBOÇO, EM ARGAMASSA TRAÇO 1:2:8, PREPARO MECÂNICO, APLICADO MANUALMENTE EM PAREDES INTERNAS DE AMBIENTES COM PÉ-DIREITO DUPLO E ÁREA MAIOR QUE 10M², E = 10MM, COM TALISCAS. AF_03/2024</t>
  </si>
  <si>
    <t>EMBOÇO, EM ARGAMASSA TRAÇO 1:2:8, PREPARO MECÂNICO,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</si>
  <si>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</si>
  <si>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MECÂNICO, APLICADO MANUALMENTE EM PAREDES INTERNAS DE AMBIENTES COM PÉ-DIREITO DUPLO E ÁREA MENOR QUE 5M², E = 17,5MM, COM TALISCAS. AF_03/2024</t>
  </si>
  <si>
    <t>EMBOÇO, EM ARGAMASSA TRAÇO 1:2:8, PREPARO MECÂNICO, APLICADO MANUALMENTE EM PAREDES INTERNAS DE AMBIENTES COM ÁREA ENTRE 5M² E 10M², E = 10MM, COM TALISCAS. AF_03/2024</t>
  </si>
  <si>
    <t>EMBOÇO, EM ARGAMASSA TRAÇO 1:2:8, PREPARO MECÂNICO, APLICADO MANUALMENTE EM PAREDES INTERNAS DE AMBIENTES COM ÁREA ENTRE 5M² E 10M², E = 17,5MM, COM TALISCAS. AF_03/2024</t>
  </si>
  <si>
    <t>EMBOÇO, EM ARGAMASSA TRAÇO 1:2:8, PREPARO MECÂNICO, APLICADO MANUALMENTE EM PAREDES INTERNAS DE AMBIENTES COM ÁREA MAIOR QUE 10M², E = 10MM, COM TALISCAS. AF_03/2024</t>
  </si>
  <si>
    <t>EMBOÇO, EM ARGAMASSA TRAÇO 1:2:8, PREPARO MECÂNICO, APLICADO MANUALMENTE EM PAREDES INTERNAS DE AMBIENTES COM ÁREA MAIOR QUE 10M², E = 17,5MM, COM TALISCAS. AF_03/2024</t>
  </si>
  <si>
    <t>EMBOÇO, EM ARGAMASSA TRAÇO 1:2:8, PREPARO MECÂNICO, APLICADO MANUALMENTE EM PAREDES INTERNAS DE AMBIENTES COM ÁREA MENOR QUE 5M², E =17,5MM, COM TALISCAS. AF_03/2024</t>
  </si>
  <si>
    <t>EMBOÇO, EM ARGAMASSA TRAÇO 1:2:8, PREPARO MECÂNICO, APLICADO MANUALMENTE EM PAREDES INTERNAS, PARA AMBIENTES COM ÁREA MENOR QUE 5M², E = 10MM, COM TALISCAS. AF_03/2024</t>
  </si>
  <si>
    <t>MASSA ÚNICA, EM ARGAMASSA INDUSTRIALIZADA, PREPARO MECÂNICO, APLICADA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</si>
  <si>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</si>
  <si>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MASSA ÚNICA, EM ARGAMASSA INDUSTRIALIZADA, PREPARO MECÂNICO, APLICADA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</si>
  <si>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</si>
  <si>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MASSA ÚNICA, EM ARGAMASSA TRAÇO 1:2:8 PREPARO MANUAL, APLICADA MANUALMENTE EM PAREDES INTERNAS DE AMBIENTES COM ÁREA MAIOR QUE 10M², E = 10MM,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</si>
  <si>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</si>
  <si>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</si>
  <si>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17,5MM, COM TALISCAS. AF_03/2024</t>
  </si>
  <si>
    <t>MASSA ÚNICA, EM ARGAMASSA TRAÇO 1:2:8, PREPARO MANUAL, APLICADA MANUALMENTE EM PAREDES INTERNAS DE AMBIENTES COM PÉ-DIREITO DUPLO E ÁREA MAIOR QUE 10M², E = 17,5MM, COM TALISCAS. AF_03/2024</t>
  </si>
  <si>
    <t>MASSA ÚNICA, EM ARGAMASSA TRAÇO 1:2:8, PREPARO MANUAL, APLICADA MANUALMENTE EM PAREDES INTERNAS DE AMBIENTES COM PÉ-DIREITO DUPLO ÁREA MAIOR QUE 10M², E = 10MM, COM TALISCAS. AF_03/2024</t>
  </si>
  <si>
    <t>MASSA ÚNICA, EM ARGAMASSA TRAÇO 1:2:8, PREPARO MANUAL, APLICADA MANUALMENTE EM PAREDES INTERNAS DE AMBIENTES COM ÁREA ENTRE 5M² E 10M², E = 10MM, COM TALISCAS. AF_03/2024</t>
  </si>
  <si>
    <t>MASSA ÚNICA, EM ARGAMASSA TRAÇO 1:2:8, PREPARO MANUAL, APLICADA MANUALMENTE EM PAREDES INTERNAS DE AMBIENTES COM ÁREA ENTRE 5M² E 10M², E = 17,5MM, COM TALISCAS. AF_03/2024</t>
  </si>
  <si>
    <t>MASSA ÚNICA, EM ARGAMASSA TRAÇO 1:2:8, PREPARO MANUAL, APLICADA MANUALMENTE EM PAREDES INTERNAS DE AMBIENTES COM ÁREA MAIOR QUE 10M², E = 17,5MM, COM TALISCAS. AF_03/2024</t>
  </si>
  <si>
    <t>MASSA ÚNICA, EM ARGAMASSA TRAÇO 1:2:8, PREPARO MECÂNICO, APLICADA MANUALMENTE EM PAREDES INTERNAS DE AMBIENTES COM PÉ-DIREITO DUPLO E ÁREA ENTRE 5M² E 10M², E = 10MM, COM TALISCAS. AF_03/2024</t>
  </si>
  <si>
    <t>MASSA ÚNICA, EM ARGAMASSA TRAÇO 1:2:8, PREPARO MECÂNICO, APLICADA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</si>
  <si>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</si>
  <si>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MECÂNICO, APLICADA MANUALMENTE EM PAREDES INTERNAS DE AMBIENTES COM PÉ-DIREITO DUPLO ÁREA MAIOR QUE 10M², E = 10MM, COM TALISCAS. AF_03/2024</t>
  </si>
  <si>
    <t>MASSA ÚNICA, EM ARGAMASSA TRAÇO 1:2:8, PREPARO MECÂNICO, APLICADA MANUALMENTE EM PAREDES INTERNAS DE AMBIENTES COM ÁREA ENTRE 5M² E 10M², E = 10MM, COM TALISCAS. AF_03/2024</t>
  </si>
  <si>
    <t>MASSA ÚNICA, EM ARGAMASSA TRAÇO 1:2:8, PREPARO MECÂNICO, APLICADA MANUALMENTE EM PAREDES INTERNAS DE AMBIENTES COM ÁREA ENTRE 5M² E 10M², E = 17,5MM, COM TALISCAS. AF_03/2024</t>
  </si>
  <si>
    <t>MASSA ÚNICA, EM ARGAMASSA TRAÇO 1:2:8, PREPARO MECÂNICO, APLICADA MANUALMENTE EM PAREDES INTERNAS DE AMBIENTES COM ÁREA MAIOR QUE 10M², E = 17,5MM, COM TALISCAS. AF_03/2024</t>
  </si>
  <si>
    <t>MASSA ÚNICA, EM ARGAMASSA TRAÇO 1:2:8, PREPARO MECÂNICO, APLICADA MANUALMENTE EM TETO DE AMBIENTES COM PAREDES EM PÉ-DIREITO DUPLO,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</si>
  <si>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</si>
  <si>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E = 10MM, COM TALISCAS. AF_03/2024</t>
  </si>
  <si>
    <t>MASSA ÚNICA, EM ARGAMASSA TRAÇO 1:2:8, PREPARO MECÂNICO, APLICADA MANUALMENTE EM TETO, E = 17,5MM, COM TALISCAS. AF_03/2024</t>
  </si>
  <si>
    <t>INSTALAÇÃO DE BALIZADOR METÁLICO COM LED, EM ALUMÍNIO COM DIFUSOR EM POLICARBONATO E DIMENSÕES 6,2 CM X30 CM, COM PINTURA ELETROSTÁTICA, SOBRE PISO DE CONCRETO EXISTENTE. AF_11/2021</t>
  </si>
  <si>
    <t>INSTALAÇÃO DE BALIZADOR METÁLICO, MODELO OLEGÁRIO, EM TUBO DE AÇO GALVANIZADO ESPESSURA 3" E DIMENSÕES 9 CM X 78,5 CM, COM PINTURA ELETROSTÁTICA, SOBRE PISO DE CONCRETO EXISTENTE. AF_11/2021</t>
  </si>
  <si>
    <t>INSTALAÇÃO DE BALIZADOR METÁLICO, MODELO OLEGÁRIO, EM TUBO DE AÇO GALVANIZADO ESPESSURA 3" E DIMENSÕES 9 CM X 78,5 CM, COM PINTURA ELETROSTÁTICA, SOBRE SOLO. AF_11/2021</t>
  </si>
  <si>
    <t>INSTALAÇÃO DE BALIZADOR PRÉ-FABRICADO DE CONCRETO, DIMENSÕES 30 CM X 60 CM, SOBRE PISO DE CONCRETO EXISTENTE. AF_11/2021</t>
  </si>
  <si>
    <t>INSTALAÇÃO DE BALIZADOR PRÉ-FABRICADO DE CONCRETO, DIMENSÕES 30 CM X 60 CM, SOBRE SOLO. AF_11/2021</t>
  </si>
  <si>
    <t>INSTALAÇÃO DE BANCO CIRCULAR PRÉ-FABRICADO DE CONCRETO, DIMENSÕES 60 CM X 40 CM. AF_11/2021</t>
  </si>
  <si>
    <t>INSTALAÇÃO DE BANCO METÁLICO COM ENCOSTO, 1,60 M DE COMPRIMENTO, EM TUBO DE AÇO CARBONO COM PINTURA ELETROSTÁTICA, SOBRE PISO DE CONCRETO EXISTENTE. AF_11/2021</t>
  </si>
  <si>
    <t>INSTALAÇÃO DE BANCO METÁLICO SEM ENCOSTO, EM TUBOS E CHAPAS DE AÇO CARBONO, PINTURA POR PROCESSO ELETROSTÁTICO, DIMENSÕES 49 CM X 157 CM X 34 CM, SOBRE PISO DE CONCRETO EXISTENTE. AF_11/2021</t>
  </si>
  <si>
    <t>INSTALAÇÃO DE BANCO PRÉ-FABRICADO DE CONCRETO COM ENCOSTO, DIMENSÕES 180 CM X 64 CM X 89 CM, SOBRE PISO DE CONCRETO EXISTENTE. AF_11/2021</t>
  </si>
  <si>
    <t>INSTALAÇÃO DE BANCO PRÉ-FABRICADO DE CONCRETO COM ENCOSTO, DIMENSÕES 180 CM X 64 CM X 89 CM, SOBRE SOLO. AF_11/2021</t>
  </si>
  <si>
    <t>INSTALAÇÃO DE BANCO PRÉ-FABRICADO DE CONCRETO SEM ENCOSTO, DIMENSÕES 115 CM X 50 CM X 45 CM, SOBRE PISO DE CONCRETO EXISTENTE. AF_11/2021</t>
  </si>
  <si>
    <t>INSTALAÇÃO DE BANCO PRÉ-FABRICADO DE CONCRETO SEM ENCOSTO, DIMENSÕES 115 CM X 50 CM X 45 CM, SOBRE SOLO. AF_11/2021</t>
  </si>
  <si>
    <t>INSTALAÇÃO DE BICICLETÁRIO MODELO U INVERTIDO, DIMENSÕES 110 CM X 78 CM EM TUBO CIRCULAR DE AÇO Ø 2'' COM PINTURA ELETROSTÁTICA, FIXADO COM CONCRETO, SOBRE SOLO. AF_11/2021</t>
  </si>
  <si>
    <t>INSTALAÇÃO DE BICICLETÁRIO MODELO U INVERTIDO, DIMENSÕES 82 CM X 78 CM EM TUBO CIRCULAR DE AÇO Ø 2'' COM PINTURA ELETROSTÁTICA, FIXADO COM CHUMBADOR MECÂNICO, SOBRE PISO DE CONCRETO EXISTENTE. AF_11/2021</t>
  </si>
  <si>
    <t>INSTALAÇÃO DE BICICLETÁRIO MODELO U INVERTIDO, DIMENSÕES 82 CM X 78 CM EM TUBO CIRCULAR DE AÇO Ø 2'' COM PINTURA ELETROSTÁTICA, FIXADO COM CONCRETO, SOBRE PISO DE CONCRETO EXISTENTE. AF_11/2021</t>
  </si>
  <si>
    <t>INSTALAÇÃO DE CONJUNTO COM MESA E QUATRO BANCOS PRÉ-FABRICADO DE CONCRETO, DIMENSÕES 90 CM X 95 CM (MESA) E 20 CM X 60 CM (BANCO), SOBRE PISO DE CONCRETO EXISTENTE. AF_11/2021</t>
  </si>
  <si>
    <t>INSTALAÇÃO DE CONJUNTO COM MESA E QUATRO BANCOS PRÉ-FABRICADO DE CONCRETO, DIMENSÕES 90 CM X 95 CM (MESA) E 20 CM X 60 CM (BANCO), SOBRE SOLO. AF_11/2021</t>
  </si>
  <si>
    <t>INSTALAÇÃO DE FLOREIRA CIRCULAR PRÉ-FABRICADO DE CONCRETO, DIMENSÕES 60 CM X 40 CM.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</si>
  <si>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</si>
  <si>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</si>
  <si>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LIXEIRA PRÉ-FABRICADA DE CONCRETO, VOLUME MÍNIMO DE 120 L.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</si>
  <si>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</si>
  <si>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</si>
  <si>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REVESTIMENTO DECORATIVO MONOCAMADA EXECUTADO COM EQUIPAMENTO DE PROJEÇÃO EM FACHADA DE UM EDIFÍCIO DE ALVENARIA ESTRUTURAL E ACABAMENTO CHAPISCADO/FLOCADO. AF_03/2024</t>
  </si>
  <si>
    <t>REVESTIMENTO DECORATIVO MONOCAMADA EXECUTADO COM EQUIPAMENTO DE PROJEÇÃO EM FACHADA DE UM EDIFÍCIO DE ALVENARIA ESTRUTURAL E ACABAMENTO RASPADO. AF_03/2024</t>
  </si>
  <si>
    <t>REVESTIMENTO DECORATIVO MONOCAMADA EXECUTADO COM EQUIPAMENTO DE PROJEÇÃO EM FACHADA DE UM EDIFÍCIO DE ALVENARIA ESTRUTURAL E ACABAMENTO TRAVERTINO.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</si>
  <si>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</si>
  <si>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</si>
  <si>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ESTRUTURA CONVENCIONAL E ACABAMENTO TRAVERTINO. AF_03/2024</t>
  </si>
  <si>
    <t>REVESTIMENTO DECORATIVO MONOCAMADA EXECUTADO MANUALMENTE EM FACHADA DE UM EDIFÍCIO DE ALVENARIA ESTRUTURAL E ACABAMENTO CHAPISCADO/FLOCADO. AF_03/2024</t>
  </si>
  <si>
    <t>REVESTIMENTO DECORATIVO MONOCAMADA EXECUTADO MANUALMENTE EM FACHADA DE UM EDIFÍCIO DE ALVENARIA ESTRUTURAL E ACABAMENTO RASPADO. AF_03/2024</t>
  </si>
  <si>
    <t>REVESTIMENTO DECORATIVO MONOCAMADA EXECUTADO MANUALMENTE EM FACHADA DE UM EDIFÍCIO DE ALVENARIA ESTRUTURAL E ACABAMENTO TRAVERTINO. AF_03/2024</t>
  </si>
  <si>
    <t>REVESTIMENTO DECORATIVO MONOCAMADA EXECUTADO MANUALMENTE EM FACHADA DE UM EDIFÍCIO DE ESTRUTURA CONVENCIONAL E ACABAMENTO CHAPISCADO/FLOCADO. AF_03/2024</t>
  </si>
  <si>
    <t>REVESTIMENTO DECORATIVO MONOCAMADA EXECUTADO MANUALMENTE EM FACHADA DE UM EDIFÍCIO DE ESTRUTURA CONVENCIONAL E ACABAMENTO RASPADO. AF_03/2024</t>
  </si>
  <si>
    <t>REVESTIMENTO DECORATIVO MONOCAMADA EXECUTADO MANUALMENTE EM FACHADA DE UM EDIFÍCIO DE ESTRUTURA CONVENCIONAL E ACABAMENTO TRAVERTINO. AF_03/2024</t>
  </si>
  <si>
    <t>ASCENSÃO DE GRUA ASCENSIONAL. AF_03/2024</t>
  </si>
  <si>
    <t>ASCENSÃO DE MINI GRUA. AF_03/2024</t>
  </si>
  <si>
    <t>ASCENSÃO E DESCIDA DE ELEVADOR DE CREMALHEIRA. AF_03/2024</t>
  </si>
  <si>
    <t>ASCENSÃO E DESCIDA DE GRUA FIXA. AF_03/2024</t>
  </si>
  <si>
    <t>MONTAGEM E DESMONTAGEM DE GRUA ASCENSIONAL, UTILIZAÇÃO DE GUINDASTE AUTOPROPELIDO 90T. AF_03/2024</t>
  </si>
  <si>
    <t>MONTAGEM E DESMONTAGEM DE GRUA ASCENSIONAL, UTILIZAÇÃO DE GUINDASTE DERRICK. AF_03/2024</t>
  </si>
  <si>
    <t>MONTAGEM E DESMONTAGEM DE MINI GRUA. AF_03/2024</t>
  </si>
  <si>
    <t>MONTAGEM E DESMONTAGEM DE TRECHO INICIAL DE ELEVADOR DE CREMALHEIRA, CABINE DUPLA - EXCLUSO FUNDAÇÕES. AF_03/2024</t>
  </si>
  <si>
    <t>MONTAGEM E DESMONTAGEM DE TRECHO INICIAL DE ELEVADOR DE CREMALHEIRA, CABINE SIMPLES - EXCLUSO FUNDAÇÕES. AF_03/2024</t>
  </si>
  <si>
    <t>MONTAGEM E DESMONTAGEM DO TRECHO INICIAL DE GRUA FIXA (ALTURA LIVRE) - EXCLUSO FUNDAÇÕES. AF_03/2024</t>
  </si>
  <si>
    <t>APLICAÇÃO DE CALCÁRIO PARA CORREÇÃO DO PH DO SOLO. AF_07/2024</t>
  </si>
  <si>
    <t>PLANTIO DE ARBUSTO OU CERCA VIVA. AF_07/2024</t>
  </si>
  <si>
    <t>PLANTIO DE ESPÉCIE VEGETAL, TIPO COMIGO-NINGUÉM-PODE OU EQUIVALENTE, COM ALTURA DE MUDA MAIOR QUE 0,50 M E MENOR OU IGUAL A 1,00 M. AF_07/2024</t>
  </si>
  <si>
    <t>PLANTIO DE ESPÉCIE VEGETAL, TIPO COMIGO-NINGUÉM-PODE OU EQUIVALENTE, COM ALTURA DE MUDA MAIOR QUE 1,00 M. AF_07/2024</t>
  </si>
  <si>
    <t>PLANTIO DE ESPÉCIE VEGETAL, TIPO COMIGO-NINGUÉM-PODE OU EQUIVALENTE, COM ALTURA DE MUDA MENOR OU IGUAL A 0,50 M. AF_07/2024</t>
  </si>
  <si>
    <t>PLANTIO DE FORRAÇÃO. AF_07/2024</t>
  </si>
  <si>
    <t>PLANTIO DE GRAMA EM PAVIMENTO CONCREGRAMA. AF_07/2024</t>
  </si>
  <si>
    <t>PLANTIO DE GRAMA ESMERALDA OU SÃO CARLOS OU CURITIBANA, EM PLACAS. AF_07/2024</t>
  </si>
  <si>
    <t>PLANTIO DE PALMEIRA COM ALTURA DE MUDA MAIOR QUE 2,00 M E MENOR OU IGUAL A 4,00 M. AF_07/2024</t>
  </si>
  <si>
    <t>PLANTIO DE PALMEIRA COM ALTURA DE MUDA MAIOR QUE 4,00 M . AF_07/2024</t>
  </si>
  <si>
    <t>PLANTIO DE PALMEIRA COM ALTURA DE MUDA MENOR OU IGUAL A 2,00 M . AF_07/2024</t>
  </si>
  <si>
    <t>PLANTIO DE ÁRVORE FRUTÍFERA COM ALTURA DE MUDA MAIOR QUE 2,00 M E MENOR OU IGUAL A 4,00 M. AF_07/2024</t>
  </si>
  <si>
    <t>PLANTIO DE ÁRVORE FRUTÍFERA COM ALTURA DE MUDA MAIOR QUE 4,00 M. AF_07/2024</t>
  </si>
  <si>
    <t>PLANTIO DE ÁRVORE FRUTÍFERA COM ALTURA DE MUDA MENOR OU IGUAL A 2,00 M. AF_07/2024</t>
  </si>
  <si>
    <t>PLANTIO DE ÁRVORE ORNAMENTAL COM ALTURA DE MUDA MAIOR QUE 2,00 M E MENOR OU IGUAL A 4,00 M . AF_07/2024</t>
  </si>
  <si>
    <t>PLANTIO DE ÁRVORE ORNAMENTAL COM ALTURA DE MUDA MAIOR QUE 4,00 M. AF_07/2024</t>
  </si>
  <si>
    <t>PLANTIO DE ÁRVORE ORNAMENTAL COM ALTURA DE MUDA MENOR OU IGUAL A 2,00 M . AF_07/2024</t>
  </si>
  <si>
    <t>REVOLVIMENTO E LIMPEZA MANUAL DE SOLO. AF_07/2024</t>
  </si>
  <si>
    <t>ARMAÇÃO DO SISTEMA DE PAREDES DE CONCRETO, EXECUTADA COMO ARMADURA NEGATIVA DE LAJES, TELA L-159. AF_12/2024</t>
  </si>
  <si>
    <t>ARMAÇÃO DO SISTEMA DE PAREDES DE CONCRETO, EXECUTADA COMO ARMADURA NEGATIVA DE LAJES, TELA L-196. AF_12/2024</t>
  </si>
  <si>
    <t>ARMAÇÃO DO SISTEMA DE PAREDES DE CONCRETO, EXECUTADA COMO ARMADURA NEGATIVA DE LAJES, TELA T-138. AF_12/2024</t>
  </si>
  <si>
    <t>ARMAÇÃO DO SISTEMA DE PAREDES DE CONCRETO, EXECUTADA COMO ARMADURA NEGATIVA DE LAJES, TELA T-159. AF_12/2024</t>
  </si>
  <si>
    <t>ARMAÇÃO DO SISTEMA DE PAREDES DE CONCRETO, EXECUTADA COMO ARMADURA NEGATIVA DE LAJES, TELA T-196. AF_12/2024</t>
  </si>
  <si>
    <t>ARMAÇÃO DO SISTEMA DE PAREDES DE CONCRETO, EXECUTADA COMO ARMADURA POSITIVA DE LAJES, TELA Q-113. AF_12/2024</t>
  </si>
  <si>
    <t>ARMAÇÃO DO SISTEMA DE PAREDES DE CONCRETO, EXECUTADA COMO ARMADURA POSITIVA DE LAJES, TELA Q-138. AF_12/2024</t>
  </si>
  <si>
    <t>ARMAÇÃO DO SISTEMA DE PAREDES DE CONCRETO, EXECUTADA COMO ARMADURA POSITIVA DE LAJES, TELA Q-159. AF_12/2024</t>
  </si>
  <si>
    <t>ARMAÇÃO DO SISTEMA DE PAREDES DE CONCRETO, EXECUTADA COMO ARMADURA POSITIVA DE LAJES, TELA Q-196. AF_12/2024</t>
  </si>
  <si>
    <t>ARMAÇÃO DO SISTEMA DE PAREDES DE CONCRETO, EXECUTADA COMO REFORÇO, VERGALHÃO DE 10,0 MM DE DIÂMETRO. AF_12/2024</t>
  </si>
  <si>
    <t>ARMAÇÃO DO SISTEMA DE PAREDES DE CONCRETO, EXECUTADA COMO REFORÇO, VERGALHÃO DE 12,5 MM DE DIÂMETRO. AF_12/2024</t>
  </si>
  <si>
    <t>ARMAÇÃO DO SISTEMA DE PAREDES DE CONCRETO, EXECUTADA COMO REFORÇO, VERGALHÃO DE 5,0 MM DE DIÂMETRO. AF_12/2024</t>
  </si>
  <si>
    <t>ARMAÇÃO DO SISTEMA DE PAREDES DE CONCRETO, EXECUTADA COMO REFORÇO, VERGALHÃO DE 6,3 MM DE DIÂMETRO. AF_12/2024</t>
  </si>
  <si>
    <t>ARMAÇÃO DO SISTEMA DE PAREDES DE CONCRETO, EXECUTADA COMO REFORÇO, VERGALHÃO DE 8,0 MM DE DIÂMETRO. AF_12/2024</t>
  </si>
  <si>
    <t>ARMAÇÃO DO SISTEMA DE PAREDES DE CONCRETO, EXECUTADA EM PAREDES DE EDIFICAÇÕES MULTIFAMILIARES, TELA Q-138. AF_12/2024_PS</t>
  </si>
  <si>
    <t>ARMAÇÃO DO SISTEMA DE PAREDES DE CONCRETO, EXECUTADA EM PAREDES DE EDIFICAÇÕES MULTIFAMILIARES, TELA Q-283. AF_12/2024_PS</t>
  </si>
  <si>
    <t>ARMAÇÃO DO SISTEMA DE PAREDES DE CONCRETO, EXECUTADA EM PAREDES DE EDIFICAÇÕES UNIFAMILIARES OU MULTIFAMILIARES, TELA Q-92. AF_12/2024_PS</t>
  </si>
  <si>
    <t>ARMAÇÃO DO SISTEMA DE PAREDES DE CONCRETO, EXECUTADA EM PAREDES DE EDIFICAÇÕES UNIFAMILIARES, TELA Q-61. AF_12/2024_PS</t>
  </si>
  <si>
    <t>ARMAÇÃO DO SISTEMA DE PAREDES DE CONCRETO, EXECUTADA EM PAREDES DE EDIFICAÇÕES UNIFAMILIARES, TELA Q-75. AF_12/2024</t>
  </si>
  <si>
    <t>ARMAÇÃO DO SISTEMA DE PAREDES DE CONCRETO, EXECUTADA EM PLATIBANDAS, TELA Q-92. AF_12/2024_PS</t>
  </si>
  <si>
    <t>CONCRETAGEM DE EDIFICAÇÕES (PAREDES E LAJES) FEITAS COM SISTEMA DE FÔRMAS MANUSEÁVEIS, COM CONCRETO USINADO AUTOADENSÁVEL FCK 25 MPA - LANÇAMENTO E ACABAMENTO. AF_09/2024</t>
  </si>
  <si>
    <t>CONCRETAGEM DE EDIFICAÇÕES (PAREDES E LAJES) FEITAS COM SISTEMA DE FÔRMAS MANUSEÁVEIS, COM CONCRETO USINADO AUTOADENSÁVEL REFORÇADO COM FIBRAS DE POLIPROPILENO, FCK 25 MPA - LANÇAMENTO E ACABAMENTO. AF_09/2024</t>
  </si>
  <si>
    <t>CONCRETAGEM DE EDIFICAÇÕES (PAREDES E LAJES)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</si>
  <si>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REFORÇADO COM FIBRAS DE POLIPROPILENO, FCK 25 MPA - LANÇAMENTO E ACABAMENTO. AF_09/2024</t>
  </si>
  <si>
    <t>CONCRETAGEM DE ESCADAS EM EDIFICAÇÕES MULTIFAMILIARES FEITAS COM SISTEMA DE FÔRMAS MANUSEÁVEIS COM CONCRETO USINADO AUTOADENSÁVEL, FCK 25 MPA - LANÇAMENTO E ACABAMENTO. AF_09/2024</t>
  </si>
  <si>
    <t>CONCRETAGEM DE ESCADAS EM EDIFICAÇÕES MULTIFAMILIARES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</si>
  <si>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</si>
  <si>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LAJES EM EDIFICAÇÕES UNIFAMILIARES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</si>
  <si>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</si>
  <si>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</si>
  <si>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MULTIFAMILIARES FEITAS COM SISTEMA DE FÔRMAS MANUSEÁVEIS, COM CONCRETO USINADO AUTOADENSÁVEL FCK 25 MPA - LANÇAMENTO E ACABAMENTO. AF_09/2024</t>
  </si>
  <si>
    <t>CONCRETAGEM DE PLATIBANDA EM EDIFICAÇÕES MULTIFAMILIARES FEITAS COM SISTEMA DE FÔRMAS MANUSEÁVEIS, COM CONCRETO USINADO AUTOADENSÁVEL REFORÇADO COM FIBRAS DE POLIPROPILENO, FCK 25 MPA - LANÇAMENTO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</si>
  <si>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</si>
  <si>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UNIFAMILIARES FEITAS COM SISTEMA DE FÔRMAS MANUSEÁVEIS, COM CONCRETO USINADO AUTOADENSÁVEL FCK 25 MPA - LANÇAMENTO E ACABAMENTO. AF_09/2024</t>
  </si>
  <si>
    <t>CONCRETAGEM DE PLATIBANDA EM EDIFICAÇÕES UNIFAMILIARES FEITAS COM SISTEMA DE FÔRMAS MANUSEÁVEIS, COM CONCRETO USINADO AUTOADENSÁVEL REFORÇADO COM FIBRAS DE POLIPROPILENO, FCK 25 MPA - LANÇAMENTO E ACABAMENTO. AF_09/2024</t>
  </si>
  <si>
    <t>CONCRETAGEM DE PLATIBANDA EM EDIFICAÇÕES UNIFAMILIARES FEITAS COM SISTEMA DE FÔRMAS MANUSEÁVEIS, COM CONCRETO USINADO BOMBEÁVEL FCK 25 MPA - LANÇAMENTO, ADENSAMENTO E ACABAMENTO. AF_09/2024</t>
  </si>
  <si>
    <t>ESTUCAMENTO DE DENSIDADE ALTA DE PANOS DE FACHADA DO SISTEMA DE PAREDES DE CONCRETO EM EDIFICAÇÕES DE MÚLTIPLOS PAVIMENTOS, PAVIMENTO TÉRREO, UTILIZAÇÃO DE ARGAMASSA COLANTE. AF_12/2024</t>
  </si>
  <si>
    <t>ESTUCAMENTO DE DENSIDADE ALTA DE PANOS DE FACHADA DO SISTEMA DE PAREDES DE CONCRETO EM EDIFICAÇÕES DE MÚLTIPLOS PAVIMENTOS, PAVIMENTO TÉRREO, UTILIZAÇÃO DE ARGAMASSA POLIMÉRICA. AF_12/2024</t>
  </si>
  <si>
    <t>ESTUCAMENTO DE DENSIDADE ALTA DE PANOS DE FACHADA DO SISTEMA DE PAREDES DE CONCRETO EM EDIFICAÇÕES DE MÚLTIPLOS PAVIMENTOS, PAVIMENTO TÉRREO, UTILIZAÇÃO DE ARGAMASSA TRAÇO 1:0,5:4,5 (CIM:CAL:AREIA). AF_12/2024</t>
  </si>
  <si>
    <t>ESTUCAMENTO DE DENSIDADE ALTA DE PANOS DE FACHADA DO SISTEMA DE PAREDES DE CONCRETO EM EDIFICAÇÕES DE MÚLTIPLOS PAVIMENTOS, PAVIMENTOS SUPERIORES, UTILIZAÇÃO DE ARGAMASSA COLANTE. AF_12/2024</t>
  </si>
  <si>
    <t>ESTUCAMENTO DE DENSIDADE ALTA DE PANOS DE FACHADA DO SISTEMA DE PAREDES DE CONCRETO EM EDIFICAÇÕES DE MÚLTIPLOS PAVIMENTOS, PAVIMENTOS SUPERIORES, UTILIZAÇÃO DE ARGAMASSA POLIMÉRICA. AF_12/2024</t>
  </si>
  <si>
    <t>ESTUCAMENTO DE DENSIDADE ALTA DE PANOS DE FACHADA DO SISTEMA DE PAREDES DE CONCRETO EM EDIFICAÇÕES DE MÚLTIPLOS PAVIMENTOS, PAVIMENTOS SUPERIORES, UTILIZAÇÃO DE ARGAMASSA TRAÇO 1:0,5:4,5 (CIM:CAL:AREIA). AF_12/2024</t>
  </si>
  <si>
    <t>ESTUCAMENTO DE DENSIDADE ALTA DE PANOS DE FACHADA DO SISTEMA DE PAREDES DE CONCRETO EM UNIDADES HABITACIONAIS DE DOIS PAVIMENTOS (SOBRADO), ACESSO COM ANDAIME FACHADEIRO, UTILIZAÇÃO DE ARGAMASSA COLANTE. AF_12/2024</t>
  </si>
  <si>
    <t>ESTUCAMENTO DE DENSIDADE ALTA DE PANOS DE FACHADA DO SISTEMA DE PAREDES DE CONCRETO EM UNIDADES HABITACIONAIS DE DOIS PAVIMENTOS (SOBRADO), ACESSO COM ANDAIME FACHADEIRO, UTILIZAÇÃO DE ARGAMASSA POLIMÉRICA. AF_12/2024</t>
  </si>
  <si>
    <t>ESTUCAMENTO DE DENSIDADE ALTA DE PANOS DE FACHADA DO SISTEMA DE PAREDES DE CONCRETO EM UNIDADES HABITACIONAIS DE DOIS PAVIMENTOS (SOBRADO), ACESSO COM ANDAIME FACHADEIRO, UTILIZAÇÃO DE ARGAMASSA TRAÇO 1:0,5:4,5 (CIM:CAL:AREIA). AF_12/2024</t>
  </si>
  <si>
    <t>ESTUCAMENTO DE DENSIDADE ALTA DE PANOS DE FACHADA DO SISTEMA DE PAREDES DE CONCRETO EM UNIDADES HABITACIONAIS DE PAVIMENTO ÚNICO, UTILIZAÇÃO DE ARGAMASSA COLANTE. AF_12/2024</t>
  </si>
  <si>
    <t>ESTUCAMENTO DE DENSIDADE ALTA DE PANOS DE FACHADA DO SISTEMA DE PAREDES DE CONCRETO EM UNIDADES HABITACIONAIS DE PAVIMENTO ÚNICO, UTILIZAÇÃO DE ARGAMASSA POLIMÉRICA. AF_12/2024</t>
  </si>
  <si>
    <t>ESTUCAMENTO DE DENSIDADE ALTA DE PANOS DE FACHADA DO SISTEMA DE PAREDES DE CONCRETO EM UNIDADES HABITACIONAIS DE PAVIMENTO ÚNICO, UTILIZAÇÃO DE ARGAMASSA TRAÇO 1:0,5:4,5 (CIM:CAL:AREIA). AF_12/2024</t>
  </si>
  <si>
    <t>ESTUCAMENTO DE DENSIDADE ALTA NAS FACES INTERNAS DE PAREDES DO SISTEMA DE PAREDES DE CONCRETO, EM AMBIENTES COM ÁREA ENTRE 5 M² E 10 M², UTILIZAÇÃO DE ARGAMASSA COLANTE. AF_12/2024</t>
  </si>
  <si>
    <t>ESTUCAMENTO DE DENSIDADE ALTA NAS FACES INTERNAS DE PAREDES DO SISTEMA DE PAREDES DE CONCRETO, EM AMBIENTES COM ÁREA ENTRE 5 M² E 10 M², UTILIZAÇÃO DE ARGAMASSA POLIMÉRICA. AF_12/2024</t>
  </si>
  <si>
    <t>ESTUCAMENTO DE DENSIDADE ALTA NAS FACES INTERNAS DE PAREDES DO SISTEMA DE PAREDES DE CONCRETO, EM AMBIENTES COM ÁREA ENTRE 5 M² E 10 M², UTILIZAÇÃO DE ARGAMASSA TRAÇO 1:1:6 (CIM:CAL:AREIA). AF_12/2024</t>
  </si>
  <si>
    <t>ESTUCAMENTO DE DENSIDADE ALTA NAS FACES INTERNAS DE PAREDES DO SISTEMA DE PAREDES DE CONCRETO, EM AMBIENTES COM ÁREA MAIOR OU IGUAL A 10 M², UTILIZAÇÃO DE ARGAMASSA COLANTE. AF_12/2024</t>
  </si>
  <si>
    <t>ESTUCAMENTO DE DENSIDADE ALTA NAS FACES INTERNAS DE PAREDES DO SISTEMA DE PAREDES DE CONCRETO, EM AMBIENTES COM ÁREA MAIOR OU IGUAL A 10 M², UTILIZAÇÃO DE ARGAMASSA POLIMÉRICA. AF_12/2024</t>
  </si>
  <si>
    <t>ESTUCAMENTO DE DENSIDADE ALTA NAS FACES INTERNAS DE PAREDES DO SISTEMA DE PAREDES DE CONCRETO, EM AMBIENTES COM ÁREA MAIOR OU IGUAL A 10 M², UTILIZAÇÃO DE ARGAMASSA TRAÇO 1:1:6 (CIM:CAL:AREIA). AF_12/2024</t>
  </si>
  <si>
    <t>ESTUCAMENTO DE DENSIDADE ALTA NAS FACES INTERNAS DE PAREDES DO SISTEMA DE PAREDES DE CONCRETO, EM AMBIENTES COM ÁREA MENOR OU IGUAL A 5 M², UTILIZAÇÃO DE ARGAMASSA COLANTE. AF_12/2024</t>
  </si>
  <si>
    <t>ESTUCAMENTO DE DENSIDADE ALTA NAS FACES INTERNAS DE PAREDES DO SISTEMA DE PAREDES DE CONCRETO, EM AMBIENTES COM ÁREA MENOR OU IGUAL A 5 M², UTILIZAÇÃO DE ARGAMASSA POLIMÉRICA. AF_12/2024</t>
  </si>
  <si>
    <t>ESTUCAMENTO DE DENSIDADE ALTA NAS FACES INTERNAS DE PAREDES DO SISTEMA DE PAREDES DE CONCRETO, EM AMBIENTES COM ÁREA MENOR OU IGUAL A 5 M², UTILIZAÇÃO DE ARGAMASSA TRAÇO 1:1:6 (CIM:CAL:AREIA). AF_12/2024</t>
  </si>
  <si>
    <t>ESTUCAMENTO DE DENSIDADE BAIXA DE PANOS DE FACHADA DO SISTEMA DE PAREDES DE CONCRETO EM EDIFICAÇÕES DE MÚLTIPLOS PAVIMENTOS, PAVIMENTO TÉRREO, UTILIZAÇÃO DE ARGAMASSA COLANTE. AF_12/2024</t>
  </si>
  <si>
    <t>ESTUCAMENTO DE DENSIDADE BAIXA DE PANOS DE FACHADA DO SISTEMA DE PAREDES DE CONCRETO EM EDIFICAÇÕES DE MÚLTIPLOS PAVIMENTOS, PAVIMENTOS SUPERIORES, UTILIZAÇÃO DE ARGAMASSA COLANTE. AF_12/2024</t>
  </si>
  <si>
    <t>ESTUCAMENTO DE DENSIDADE BAIXA DE PANOS DE FACHADA DO SISTEMA DE PAREDES DE CONCRETO EM UNIDADES HABITACIONAIS DE DOIS PAVIMENTOS (SOBRADO), ACESSO COM ANDAIME FACHADEIRO, UTILIZAÇÃO DE ARGAMASSA COLANTE. AF_12/2024</t>
  </si>
  <si>
    <t>ESTUCAMENTO DE DENSIDADE BAIXA DE PANOS DE FACHADA DO SISTEMA DE PAREDES DE CONCRETO EM UNIDADES HABITACIONAIS DE PAVIMENTO ÚNICO, UTILIZAÇÃO DE ARGAMASSA COLANTE. AF_12/2024</t>
  </si>
  <si>
    <t>ESTUCAMENTO DE DENSIDADE BAIXA NAS FACES INTERNAS DE PAREDES DO SISTEMA DE PAREDES DE CONCRETO, EM AMBIENTES COM ÁREA ENTRE 5 M² E 10 M², UTILIZAÇÃO DE ARGAMASSA COLANTE. AF_12/2024</t>
  </si>
  <si>
    <t>ESTUCAMENTO DE DENSIDADE BAIXA NAS FACES INTERNAS DE PAREDES DO SISTEMA DE PAREDES DE CONCRETO, EM AMBIENTES COM ÁREA MAIOR OU IGUAL A 10 M², UTILIZAÇÃO DE ARGAMASSA COLANTE. AF_12/2024</t>
  </si>
  <si>
    <t>ESTUCAMENTO DE DENSIDADE BAIXA NAS FACES INTERNAS DE PAREDES DO SISTEMA DE PAREDES DE CONCRETO, EM AMBIENTES COM ÁREA MENOR OU IGUAL A 5 M², UTILIZAÇÃO DE ARGAMASSA COLANTE. AF_12/2024</t>
  </si>
  <si>
    <t>ESTUCAMENTO PARA QUALQUER REVESTIMENTO, EM TETO DO SISTEMA DE PAREDES DE CONCRETO, EM AMBIENTES COM ÁREA ENTRE 5 M² E 10 M², UTILIZAÇÃO DE ARGAMASSA COLANTE. AF_12/2024</t>
  </si>
  <si>
    <t>ESTUCAMENTO PARA QUALQUER REVESTIMENTO, EM TETO DO SISTEMA DE PAREDES DE CONCRETO, EM AMBIENTES COM ÁREA MAIOR OU IGUAL A 10 M², UTILIZAÇÃO DE ARGAMASSA COLANTE. AF_12/2024</t>
  </si>
  <si>
    <t>ESTUCAMENTO PARA QUALQUER REVESTIMENTO, EM TETO DO SISTEMA DE PAREDES DE CONCRETO, EM AMBIENTES COM ÁREA MENOR OU IGUAL A 5 M², UTILIZAÇÃO DE ARGAMASSA COLANTE. AF_12/2024</t>
  </si>
  <si>
    <t>FÔRMAS MANUSEÁVEIS DA ALUMÍNIO PARA PAREDES DE CONCRETO MOLDADAS IN LOCO, EM PLATIBANDA. AF_11/2024</t>
  </si>
  <si>
    <t>FÔRMAS MANUSEÁVEIS DE ALUMÍNIO PARA PAREDES DE CONCRETO MOLDADAS IN LOCO, DE EDIFICAÇÕES DE MÚLTIPLOS PAVIMENTOS, EM LAJES. AF_11/2024</t>
  </si>
  <si>
    <t>FÔRMAS MANUSEÁVEIS DE ALUMÍNIO PARA PAREDES DE CONCRETO MOLDADAS IN LOCO, DE EDIFICAÇÕES DE MÚLTIPLOS PAVIMENTOS, EM PAREDES. AF_11/2024</t>
  </si>
  <si>
    <t>FÔRMAS MANUSEÁVEIS DE ALUMÍNIO PARA PAREDES DE CONCRETO MOLDADAS IN LOCO, DE EDIFICAÇÕES UNIFAMILIARES, EM LAJES. AF_11/2024</t>
  </si>
  <si>
    <t>FÔRMAS MANUSEÁVEIS DE ALUMÍNIO PARA PAREDES DE CONCRETO MOLDADAS IN LOCO, DE EDIFICAÇÕES UNIFAMILIARES, EM PAREDES. AF_11/2024</t>
  </si>
  <si>
    <t>FÔRMAS MANUSEÁVEIS DE PLÁSTICO ESTRUTURADO EM AÇO PARA PAREDES DE CONCRETO MOLDADAS IN LOCO, DE EDIFICAÇÕES DE MÚLTIPLOS PAVIMENTOS, EM LAJES. AF_11/2024</t>
  </si>
  <si>
    <t>FÔRMAS MANUSEÁVEIS DE PLÁSTICO ESTRUTURADO EM AÇO PARA PAREDES DE CONCRETO MOLDADAS IN LOCO, DE EDIFICAÇÕES DE MÚLTIPLOS PAVIMENTOS, EM PLATIBANDA. AF_11/2024</t>
  </si>
  <si>
    <t>FÔRMAS MANUSEÁVEIS DE PLÁSTICO ESTRUTURADO EM AÇO PARA PAREDES DE CONCRETO MOLDADAS IN LOCO, DE EDIFICAÇÕES MÚLTIPLOS PAVIMENTOS, EM PAREDES. AF_11/2024</t>
  </si>
  <si>
    <t>FÔRMAS MANUSEÁVEIS DE PLÁSTICO ESTRUTURADO EM AÇO PARA PAREDES DE CONCRETO MOLDADAS IN LOCO, DE EDIFICAÇÕES UNIFAMILIARES, EM LAJES. AF_11/2024</t>
  </si>
  <si>
    <t>FÔRMAS MANUSEÁVEIS DE PLÁSTICO ESTRUTURADO EM AÇO PARA PAREDES DE CONCRETO MOLDADAS IN LOCO, DE EDIFICAÇÕES UNIFAMILIARES, EM PAREDES. AF_11/2024</t>
  </si>
  <si>
    <t>INSTALAÇÃO DE ISOLAMENTO COM LÃ DE PET EM PAREDE DRYWALL. AF_07/2023</t>
  </si>
  <si>
    <t>INSTALAÇÃO DE ISOLAMENTO COM LÃ DE VIDRO EM PAREDE DRYWALL. AF_07/2023</t>
  </si>
  <si>
    <t>INSTALAÇÃO DE REFORÇO DE MADEIRA EM PAREDE DRYWALL. AF_07/2023</t>
  </si>
  <si>
    <t>INSTALAÇÃO DE REFORÇO METÁLICO EM PAREDE DRYWALL. AF_07/2023</t>
  </si>
  <si>
    <t>PAREDE COM SISTEMA EM CHAPAS DE GESSO PARA DRYWALL, USO INTERNO COM DUAS FACES DUPLAS E ESTRUTURA METÁLICA COM GUIAS DUPLAS, SEM VÃOS. AF_07/2023_PS</t>
  </si>
  <si>
    <t>PAREDE COM SISTEMA EM CHAPAS DE GESSO PARA DRYWALL, USO INTERNO COM UMA FACE SIMPLES E OUTRA FACE DUPLA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</si>
  <si>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</si>
  <si>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</si>
  <si>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</si>
  <si>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</si>
  <si>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SIMPLES,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</si>
  <si>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</si>
  <si>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</si>
  <si>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</si>
  <si>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</si>
  <si>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</si>
  <si>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</si>
  <si>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</si>
  <si>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PAREDE COM SISTEMA EM CHAPAS DE GESSO PARA DRYWALL, USO INTERNO, COM UMA FACE SIMPLES E ESTRUTURA METÁLICA COM GUIAS SIMPLES PARA PAREDES COM ÁREA LÍQUIDA MENOR QUE 6 M2, COM VÃOS. AF_07/2023_PS</t>
  </si>
  <si>
    <t>PAREDE COM SISTEMA EM CHAPAS DE GESSO PARA DRYWALL, USO INTERNO, COM UMA FACE SIMPLES E ESTRUTURA METÁLICA COM GUIAS SIMPLES, SEM VÃOS. AF_07/2023_PS</t>
  </si>
  <si>
    <t>PAREDE COM SISTEMA EM CHAPAS DE GESSO PARA DRYWALL, USO INTERNO, COM UMA FACE SIMPLES E OUTRA FACE DUPLA E ESTRUTURA METÁLICA COM GUIAS DUPLAS PARA PAREDES COM ÁREA LÍQUIDA MAIOR OU IGUAL A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</si>
  <si>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</si>
  <si>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</si>
  <si>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</si>
  <si>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SIMPLES, SEM VÃOS. AF_07/2023_PS</t>
  </si>
  <si>
    <t>INSTALAÇÃO DE ALONGADOR COM TRÊS ALTURAS, EM TUBO DE AÇO CARBONO - EQUIPAMENTO DE GINASTICA PARA ACADEMIA AO AR LIVRE / ACADEMIA DA TERCEIRA IDADE - ATI, INSTALADO SOBRE SOLO. AF_10/2021</t>
  </si>
  <si>
    <t>INSTALAÇÃO DE ALONGADOR COM TRÊS ALTURAS, EM TUBO DE AÇO CARBONO - EQUIPAMENTO DE GINÁSTICA PARA ACADEMIA AO AR LIVRE / ACADEMIA DA TERCEIRA IDADE - ATI, INSTALADO SOBRE PISO DE CONCRETO EXISTENTE. AF_10/2021</t>
  </si>
  <si>
    <t>INSTALAÇÃO DE BALANÇO DE 2 LUGARES COM ESTRUTURA DE MADEIRA TRATADA, INSTALADO SOBRE PISO DE CONCRETO EXISTENTE. AF_10/2021</t>
  </si>
  <si>
    <t>INSTALAÇÃO DE BALANÇO DE 2 LUGARES COM ESTRUTURA DE MADEIRA TRATADA, INSTALADO SOBRE SOLO. AF_10/2021</t>
  </si>
  <si>
    <t>INSTALAÇÃO DE BALANÇO DE 2 LUGARES COM ESTRUTURA METÁLICA EM TUBOS DE AÇO CARBONO, INSTALADO SOBRE PISO DE CONCRETO EXISTENTE. AF_10/2021</t>
  </si>
  <si>
    <t>INSTALAÇÃO DE BALANÇO DE 2 LUGARES COM ESTRUTURA METÁLICA EM TUBOS DE AÇO CARBONO, INSTALADO SOBRE SOLO. AF_10/2021</t>
  </si>
  <si>
    <t>INSTALAÇÃO DE CASINHA DE MADEIRA TRATADA COM RAMPA ESCALADA, ESCORREGADOR E ESCADA MARINHEIRO, INSTALADO SOBRE PISO DE CONCRETO EXISTENTE. AF_10/2021</t>
  </si>
  <si>
    <t>INSTALAÇÃO DE CASINHA DE MADEIRA TRATADA COM RAMPA ESCALADA, ESCORREGADOR E ESCADA MARINHEIRO, INSTALADO SOBRE SOLO. AF_10/2021</t>
  </si>
  <si>
    <t>INSTALAÇÃO DE ESCORREGADOR DE MADEIRA TRATADA, INSTALADO SOBRE PISO DE CONCRETO EXISTENTE. AF_10/2021</t>
  </si>
  <si>
    <t>INSTALAÇÃO DE ESCORREGADOR DE MADEIRA TRATADA, INSTALADO SOBRE SOLO. AF_10/2021</t>
  </si>
  <si>
    <t>INSTALAÇÃO DE ESCORREGADOR METÁLICO EM TUBOS E CHAPAS DE AÇO CARBONO, INSTALADO SOBRE PISO DE CONCRETO EXISTENTE. AF_10/2021</t>
  </si>
  <si>
    <t>INSTALAÇÃO DE ESCORREGADOR METÁLICO EM TUBOS E CHAPAS DE AÇO CARBONO, INSTALADO SOBRE SOLO. AF_10/2021</t>
  </si>
  <si>
    <t>INSTALAÇÃO DE ESQUI TRIPLO, EM TUBO DE AÇO CARBONO - EQUIPAMENTO DE GINÁSTICA PARA ACADEMIA AO AR LIVRE / ACADEMIA DA TERCEIRA IDADE - ATI, INSTALADO SOBRE PISO DE CONCRETO EXISTENTE. AF_10/2021</t>
  </si>
  <si>
    <t>INSTALAÇÃO DE GAIOLA LABIRINTO METÁLICA EM TUBOS DE AÇO CARBONO, INSTALADA SOBRE PISO DE CONCRETO EXISTENTE. AF_10/2021</t>
  </si>
  <si>
    <t>INSTALAÇÃO DE GAIOLA LABIRINTO METÁLICA EM TUBOS DE AÇO CARBONO, INSTALADO SOBRE SOLO. AF_10/2021</t>
  </si>
  <si>
    <t>INSTALAÇÃO DE GANGORRA SIMPLES DE MADEIRA TRATADA, INSTALADA SOBRE PISO DE CONCRETO EXISTENTE. AF_10/2021</t>
  </si>
  <si>
    <t>INSTALAÇÃO DE GANGORRA SIMPLES DE MADEIRA TRATADA, INSTALADA SOBRE SOLO. AF_10/2021</t>
  </si>
  <si>
    <t>INSTALAÇÃO DE GANGORRA SIMPLES METÁLICA EM TUBOS DE AÇO CARBONO, INSTALADA SOBRE PISO DE CONCRETO EXISTENTE. AF_10/2021</t>
  </si>
  <si>
    <t>INSTALAÇÃO DE GANGORRA SIMPLES METÁLICA EM TUBOS DE AÇO CARBONO, INSTALADA SOBRE SOLO. AF_10/2021</t>
  </si>
  <si>
    <t>INSTALAÇÃO DE GIRA-GIRA METÁLICO EM TUBOS DE AÇO CARBONO, INSTALADO SOBRE PISO DE CONCRETO EXISTENTE. AF_10/2021</t>
  </si>
  <si>
    <t>INSTALAÇÃO DE GIRA-GIRA METÁLICO EM TUBOS DE AÇO CARBONO, INSTALADO SOBRE SOLO. AF_10/2021</t>
  </si>
  <si>
    <t>INSTALAÇÃO DE MULTIEXERCITADOR COM SEIS FUNÇÕES,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</si>
  <si>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</si>
  <si>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</si>
  <si>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</si>
  <si>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</si>
  <si>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</si>
  <si>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SOLO. AF_10/2021</t>
  </si>
  <si>
    <t>INSTALAÇÃO DE ROTAÇÃO VERTICAL DUPLO, EM TUBO DE ACO CARBONO - EQUIPAMENTO DE GINASTICA PARA ACADEMIA AO AR LIVRE / ACADEMIA DA TERCEIRA IDADE - ATI, INSTALADO SOBRE PISO DE CONCRETO EXISTENTE. AF_10/2021</t>
  </si>
  <si>
    <t>INSTALAÇÃO DE ROTAÇÃO VERTICAL DUPLO, EM TUBO DE AÇO CARBONO - EQUIPAMENTO DE GINÁSTICA PARA ACADEMIA AO AR LIVRE / ACADEMIA DA TERCEIRA IDADE - ATI, INSTALADO SOBRE SOLO.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</si>
  <si>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</si>
  <si>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</si>
  <si>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</si>
  <si>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</si>
  <si>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SOLO. AF_10/2021</t>
  </si>
  <si>
    <t>EXECUÇÃO DE PASSEIO (CALÇADA) COM CONCRETO MOLDADO IN LOCO, FEITO EM OBRA, ACABAMENTO ESTAMPADO, ESPESSURA 6 CM, ARMADO. AF_08/2022</t>
  </si>
  <si>
    <t>EXECUÇÃO DE PASSEIO (CALÇADA) COM CONCRETO MOLDADO IN LOCO, FEITO EM OBRA, ACABAMENTO ESTAMPADO, ESPESSURA 6 CM, NÃO ARMADO. AF_08/2022</t>
  </si>
  <si>
    <t>EXECUÇÃO DE PASSEIO (CALÇADA) COM CONCRETO MOLDADO IN LOCO, FEITO EM OBRA, ACABAMENTO ESTAMPADO, ESPESSURA 8 CM, ARMADO. AF_08/2022</t>
  </si>
  <si>
    <t>EXECUÇÃO DE PASSEIO (CALÇADA) COM CONCRETO MOLDADO IN LOCO, FEITO EM OBRA, ACABAMENTO ESTAMPADO, ESPESSURA 8 CM, NÃO ARMADO. AF_08/2022</t>
  </si>
  <si>
    <t>EXECUÇÃO DE PASSEIO (CALÇADA) COM CONCRETO MOLDADO IN LOCO, USINADO, ACABAMENTO ESTAMPADO, ESPESSURA 6 CM, ARMADO. AF_08/2022</t>
  </si>
  <si>
    <t>EXECUÇÃO DE PASSEIO (CALÇADA) COM CONCRETO MOLDADO IN LOCO, USINADO, ACABAMENTO ESTAMPADO, ESPESSURA 6 CM, NÃO ARMADO. AF_08/2022</t>
  </si>
  <si>
    <t>EXECUÇÃO DE PASSEIO (CALÇADA) COM CONCRETO MOLDADO IN LOCO, USINADO, ACABAMENTO ESTAMPADO, ESPESSURA 8 CM, ARMADO. AF_08/2022</t>
  </si>
  <si>
    <t>EXECUÇÃO DE PASSEIO (CALÇADA) COM CONCRETO MOLDADO IN LOCO, USINADO, ACABAMENTO ESTAMPADO, ESPESSURA 8 CM, NÃO ARMADO. AF_08/2022</t>
  </si>
  <si>
    <t>EXECUÇÃO DE PASSEIO (CALÇADA) COM PLACAS DE CONCRETO PRÉ-FABRICADAS, ASSENTADAS COM ARGAMASSA, PLACAS DE 100 X 100 CM, NÃO ARMADO. AF_08/2022</t>
  </si>
  <si>
    <t>EXECUÇÃO DE PASSEIO (CALÇADA) COM PLACAS DE CONCRETO PRÉ-FABRICADAS, ASSENTADAS COM ARGAMASSA, PLACAS DE 40 X 40 CM, NÃO ARMADO. AF_08/2022</t>
  </si>
  <si>
    <t>EXECUÇÃO DE PASSEIO (CALÇADA) OU PISO DE CONCRETO COM CONCRETO MOLDADO IN LOCO, FEITO EM OBRA,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</si>
  <si>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</si>
  <si>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FEITO EM OBRA, ACABAMENTO CONVENCIONAL, NÃO ARMADO. AF_08/2022</t>
  </si>
  <si>
    <t>EXECUÇÃO DE PASSEIO (CALÇADA) OU PISO DE CONCRETO COM CONCRETO MOLDADO IN LOCO, USINADO C25, ACABAMENTO CONVENCIONAL, NÃO ARMADO. AF_03/2023</t>
  </si>
  <si>
    <t>EXECUÇÃO DE PASSEIO (CALÇADA) OU PISO DE CONCRETO COM CONCRETO MOLDADO IN LOCO, USINADO, ACABAMENTO CONVENCIONAL, ESPESSURA 6 CM, ARMADO. AF_08/2022</t>
  </si>
  <si>
    <t>EXECUÇÃO DE PASSEIO (CALÇADA) OU PISO DE CONCRETO COM CONCRETO MOLDADO IN LOCO, USINADO, ACABAMENTO CONVENCIONAL, ESPESSURA 8 CM, ARMADO. AF_08/2022</t>
  </si>
  <si>
    <t>EXECUÇÃO DE PAVIMENTO EM PARALELEPÍPEDOS, REJUNTAMENTO COM ARGAMASSA TRAÇO 1:3 (CIMENTO E AREIA). AF_05/2020</t>
  </si>
  <si>
    <t>EXECUÇÃO DE PAVIMENTO EM PARALELEPÍPEDOS, REJUNTAMENTO COM PEDRISCO E EMULSÃO ASFÁLTICA. AF_05/2020</t>
  </si>
  <si>
    <t>EXECUÇÃO DE PAVIMENTO EM PARALELEPÍPEDOS, REJUNTAMENTO COM PÓ DE PEDRA. AF_05/2020</t>
  </si>
  <si>
    <t>EXECUÇÃO DE PAVIMENTO EM PEDRAS POLIÉDRICAS, REJUNTAMENTO COM ARGAMASSA TRAÇO 1:3 (CIMENTO E AREIA). AF_05/2020</t>
  </si>
  <si>
    <t>EXECUÇÃO DE PAVIMENTO EM PEDRAS POLIÉDRICAS, REJUNTAMENTO COM PEDRISCO E EMULSÃO ASFÁLTICA. AF_05/2020</t>
  </si>
  <si>
    <t>EXECUÇÃO DE PAVIMENTO EM PEDRAS POLIÉDRICAS, REJUNTAMENTO COM PÓ DE PEDRA. AF_05/2020</t>
  </si>
  <si>
    <t>EXECUÇÃO DE PASSEIO COM PLACAS DE CONCRETO PERMEÁVEL (DRENANTE), PRÉ-FABRICADAS, DE 40 X 40 CM, ESPESSURA 6 CM. AF_10/2022</t>
  </si>
  <si>
    <t>EXECUÇÃO DE PASSEIO EM PISO INTERTRAVADO, COM BLOCO 16 FACES DE 22 X 11 CM, ESPESSURA 6 CM. AF_10/2022</t>
  </si>
  <si>
    <t>EXECUÇÃO DE PASSEIO EM PISO INTERTRAVADO, COM BLOCO DE CONCRETO PERMEÁVEL (DRENANTE) 16 FACES DE 22 X 11 CM, ESPESSURA 6 CM. AF_10/2022</t>
  </si>
  <si>
    <t>EXECUÇÃO DE PASSEIO EM PISO INTERTRAVADO, COM BLOCO DE CONCRETO PERMEÁVEL RETANGULAR DE 20 X 10 CM, ESPESSURA 6 CM. AF_10/2022</t>
  </si>
  <si>
    <t>EXECUÇÃO DE PASSEIO EM PISO INTERTRAVADO, COM BLOCO PODOTÁTIL (ALERTA OU DIRECIONAL) QUADRADO DE 20 X 20 CM, ESPESSURA 6 CM. AF_10/2022</t>
  </si>
  <si>
    <t>EXECUÇÃO DE PASSEIO EM PISO INTERTRAVADO, COM BLOCO PODOTÁTIL (ALERTA OU DIRECIONAL) RETANGULAR DE 20 X 10 CM, ESPESSURA 6 CM. AF_10/2022</t>
  </si>
  <si>
    <t>EXECUÇÃO DE PASSEIO EM PISO INTERTRAVADO, COM BLOCO RAQUETE 22 X 13,5 CM, ESPESSURA 6 CM. AF_10/2022</t>
  </si>
  <si>
    <t>EXECUÇÃO DE PASSEIO EM PISO INTERTRAVADO, COM BLOCO RETANGULAR COLORIDO DE 20 X 10 CM, ESPESSURA 6 CM. AF_10/2022</t>
  </si>
  <si>
    <t>EXECUÇÃO DE PASSEIO EM PISO INTERTRAVADO, COM BLOCO RETANGULAR COR NATURAL DE 20 X 10 CM, ESPESSURA 6 CM. AF_10/2022</t>
  </si>
  <si>
    <t>EXECUÇÃO DE PAVIMENTO COM PLACAS DE CONCRETO PERMEÁVEL (DRENANTE), PRÉ-FABRICADAS, DE 40 X 40 CM, ESPESSURA 6 CM. AF_10/2022</t>
  </si>
  <si>
    <t>EXECUÇÃO DE PAVIMENTO COM PLACAS DE CONCRETO PERMEÁVEL (DRENANTE), PRÉ-FABRICADAS, DE 40 X 40 CM, ESPESSURA 8 CM. AF_10/2022</t>
  </si>
  <si>
    <t>EXECUÇÃO DE PAVIMENTO EM PISO INTERTRAVADO, COM BLOCO 16 FACES DE 22 X 11 CM, ESPESSURA 10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</si>
  <si>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</si>
  <si>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</si>
  <si>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DE CONCRETO PERMEÁVEL (DRENANTE) 16 FACES DE 22 X 11 CM, ESPESSURA 6 CM. AF_10/2022</t>
  </si>
  <si>
    <t>EXECUÇÃO DE PAVIMENTO EM PISO INTERTRAVADO, COM BLOCO DE CONCRETO PERMEÁVEL (DRENANTE) 16 FACES DE 22 X 11 CM, ESPESSURA 8 CM. AF_10/2022</t>
  </si>
  <si>
    <t>EXECUÇÃO DE PAVIMENTO EM PISO INTERTRAVADO, COM BLOCO DE CONCRETO PERMEÁVEL (DRENANTE) RETANGULAR DE 20 X 10 CM, ESPESSURA 6 CM. AF_10/2022</t>
  </si>
  <si>
    <t>EXECUÇÃO DE PAVIMENTO EM PISO INTERTRAVADO, COM BLOCO DE CONCRETO PERMEÁVEL (DRENANTE) RETANGULAR DE 20 X 10 CM, ESPESSURA 8 CM. AF_10/2022</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</si>
  <si>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</si>
  <si>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</si>
  <si>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PODOTÁTIL (ALERTA OU DIRECIONAL) QUADRADO DE 20 X 20 CM, ESPESSURA 6 CM. AF_10/2022</t>
  </si>
  <si>
    <t>EXECUÇÃO DE PAVIMENTO EM PISO INTERTRAVADO, COM BLOCO PODOTÁTIL (ALERTA OU DIRECIONAL) RETANGULAR DE 20 X 10 CM, ESPESSURA 6 CM. AF_10/2022</t>
  </si>
  <si>
    <t>EXECUÇÃO DE PAVIMENTO EM PISO INTERTRAVADO, COM BLOCO RAQUETE 22 X 13,5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</si>
  <si>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</si>
  <si>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</si>
  <si>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</si>
  <si>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</si>
  <si>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</si>
  <si>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PAVIMENTO EM PISO INTERTRAVADO, COM BLOCO SEXTAVADO DE 25 X 25 CM, ESPESSURA 10 CM. AF_10/2022</t>
  </si>
  <si>
    <t>EXECUÇÃO DE PAVIMENTO EM PISO INTERTRAVADO, COM BLOCO SEXTAVADO DE 25 X 25 CM, ESPESSURA 6 CM. AF_10/2022</t>
  </si>
  <si>
    <t>EXECUÇÃO DE PAVIMENTO EM PISO INTERTRAVADO, COM BLOCO SEXTAVADO DE 25 X 25 CM, ESPESSURA 8 CM. AF_10/2022</t>
  </si>
  <si>
    <t>APLICAÇÃO DE GRAXA EM BARRAS DE TRANSFERÊNCIA PARA EXECUÇÃO DE PAVIMENTO DE CONCRETO. AF_04/2022</t>
  </si>
  <si>
    <t>APLICAÇÃO DE LONA PLÁSTICA PARA EXECUÇÃO DE PAVIMENTOS DE CONCRETO. AF_04/2022</t>
  </si>
  <si>
    <t>BARRAS DE LIGAÇÃO, AÇO CA-50 DE 10 MM, PARA EXECUÇÃO DE PAVIMENTO DE CONCRETO - FORNECIMENTO E INSTALAÇÃO. AF_04/2022</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</si>
  <si>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</si>
  <si>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</si>
  <si>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</si>
  <si>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</si>
  <si>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EXECUÇÃO DE JUNTAS DE CONTRAÇÃO PARA PAVIMENTOS DE CONCRETO. AF_04/2022</t>
  </si>
  <si>
    <t>EXECUÇÃO DE PAVIMENTO DE CONCRETO ARMADO (PCA), FCK = 30 MPA, ESPESSURA DE 15,0 CM. AF_04/2022</t>
  </si>
  <si>
    <t>EXECUÇÃO DE PAVIMENTO DE CONCRETO ARMADO (PCA), FCK = 30 MPA, ESPESSURA DE 17,5 CM. AF_04/2022</t>
  </si>
  <si>
    <t>EXECUÇÃO DE PAVIMENTO DE CONCRETO SIMPLES (PCS), FCK = 35 MPA, ESPESSURA DE 15,0 CM. AF_04/2022</t>
  </si>
  <si>
    <t>EXECUÇÃO DE PAVIMENTO DE CONCRETO SIMPLES (PCS), FCK = 35 MPA, ESPESSURA DE 16,0 CM. AF_04/2022</t>
  </si>
  <si>
    <t>EXECUÇÃO DE PAVIMENTO DE CONCRETO SIMPLES (PCS), FCK = 35 MPA, ESPESSURA DE 17,5 CM. AF_04/2022</t>
  </si>
  <si>
    <t>EXECUÇÃO DE PAVIMENTO DE CONCRETO SIMPLES (PCS), FCK = 35 MPA, ESPESSURA DE 25,0 CM. AF_04/2022</t>
  </si>
  <si>
    <t>EXECUÇÃO DE PAVIMENTO DE CONCRETO SIMPLES (PCS), FCK = 40 MPA, ESPESSURA DE 15,0 CM. AF_04/2022</t>
  </si>
  <si>
    <t>EXECUÇÃO DE PAVIMENTO DE CONCRETO SIMPLES (PCS), FCK = 40 MPA, ESPESSURA DE 16,0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</si>
  <si>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</si>
  <si>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</si>
  <si>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</si>
  <si>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</si>
  <si>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</si>
  <si>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</si>
  <si>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</si>
  <si>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</si>
  <si>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</si>
  <si>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</si>
  <si>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</si>
  <si>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EXECUÇÃO DE PISO INDUSTRIAL REFORÇADO COM FIBRAS, FCK = 30 MPA, ESPESSURA DE 12,0 CM. AF_04/2022</t>
  </si>
  <si>
    <t>EXECUÇÃO DE PISO INDUSTRIAL REFORÇADO COM FIBRAS, FCK = 30 MPA, ESPESSURA DE 14,0 CM. AF_04/2022</t>
  </si>
  <si>
    <t>EXECUÇÃO DE PISO INDUSTRIAL REFORÇADO COM FIBRAS, FCK = 30 MPA, ESPESSURA DE 16,0 CM. AF_04/2022</t>
  </si>
  <si>
    <t>EXECUÇÃO DE PISO INDUSTRIAL REFORÇADO COM FIBRAS, FCK = 30 MPA, ESPESSURA DE 18,0 CM. AF_04/2022</t>
  </si>
  <si>
    <t>EXECUÇÃO DE PISO INDUSTRIAL REFORÇADO COM FIBRAS, FCK = 30 MPA, ESPESSURA DE 20,0 CM. AF_04/2022</t>
  </si>
  <si>
    <t>EXECUÇÃO PAVIMENTO DE CONCRETO SIMPLES (PCS), FCK = 35 MPA, ESPESSURA DE 20,0 CM. AF_04/2022</t>
  </si>
  <si>
    <t>EXECUÇÃO PAVIMENTO DE CONCRETO SIMPLES (PCS), FCK = 35 MPA, ESPESSURA DE 22,5 CM. AF_04/2022</t>
  </si>
  <si>
    <t>EXECUÇÃO PAVIMENTO DE CONCRETO SIMPLES (PCS), FCK = 35 MPA, ESPESSURA DE 27,5 CM. AF_04/2022</t>
  </si>
  <si>
    <t>CHAPIM (RUFO CAPA) EM AÇO GALVANIZADO, CORTE 33. AF_11/2020</t>
  </si>
  <si>
    <t>CHAPIM SOBRE MUROS LINEARES, EM CONCRETO PRÉ-MOLDADO, COMPRIMENTO DE ATÉ 6 M, ASSENTADO COM ARGAMASSA 1:6 COM ADITIVO. AF_11/2020</t>
  </si>
  <si>
    <t>CHAPIM SOBRE MUROS LINEARES, EM CONCRETO PRÉ-MOLDADO, COMPRIMENTO MAIOR QUE 6 M, ASSENTADO COM ARGAMASSA 1:6 COM ADITIVO. AF_11/2020</t>
  </si>
  <si>
    <t>CHAPIM SOBRE MUROS LINEARES, EM GRANITO OU MÁRMORE, L = 25 CM, ASSENTADO COM ARGAMASSA 1:6 COM ADITIVO. AF_11/2020</t>
  </si>
  <si>
    <t>CHAPIM SOBRE MUROS NÃO LINEARES, EM CONCRETO PRÉ-MOLDADO, COMPRIMENTO DE ATÉ 6 M, ASSENTADO COM ARGAMASSA 1:6 COM ADITIVO. AF_11/2020</t>
  </si>
  <si>
    <t>CHAPIM SOBRE MUROS NÃO LINEARES, EM CONCRETO PRÉ-MOLDADO, COMPRIMENTO MAIOR QUE 6 M, ASSENTADO COM ARGAMASSA 1:6 COM ADITIVO. AF_11/2020</t>
  </si>
  <si>
    <t>PEITORIL LINEAR EM CONCRETO PRÉ-MOLDADO, COMPRIMENTO DE ATÉ 2 M, ASSENTADO COM ARGAMASSA 1:6 COM ADITIVO. AF_11/2020</t>
  </si>
  <si>
    <t>PEITORIL LINEAR EM CONCRETO PRÉ-MOLDADO, COMPRIMENTO MAIOR QUE 2 M, ASSENTADO COM ARGAMASSA 1:6 COM ADITIVO. AF_11/2020</t>
  </si>
  <si>
    <t>PEITORIL LINEAR EM GRANITO OU MÁRMORE, L = 15CM, ASSENTADO COM ARGAMASSA 1:6 COM ADITIVO. AF_11/2020</t>
  </si>
  <si>
    <t>FACHADA CORTINA EM VIDRO NO SISTEMA STICK, CONSIDERANDO MODULAÇÃO DE 1,25 X 3,20 M, COM ABERTURA, ACABAMENTO ANODIZADO OU PINTADO - FORNECIMENTO E INSTALAÇÃO. AF_06/2022</t>
  </si>
  <si>
    <t>FACHADA CORTINA EM VIDRO NO SISTEMA STICK, CONSIDERANDO MODULAÇÃO DE 1,25 X 3,20 M, SEM ABERTURA, ACABAMENTO ANODIZADO OU PINTADO - FORNECIMENTO E INSTALAÇÃO. AF_06/2022</t>
  </si>
  <si>
    <t>FACHADA CORTINA EM VIDRO NO SISTEMA UNITIZADO, CONSIDERANDO MODULAÇÃO DE 1,25 X 3,20 M, COM ABERTURA, ACABAMENTO ANODIZADO OU PINTADO - FORNECIMENTO E INSTALAÇÃO. AF_06/2022</t>
  </si>
  <si>
    <t>FACHADA CORTINA EM VIDRO NO SISTEMA UNITIZADO, CONSIDERANDO MODULAÇÃO DE 1,25 X 3,20 M, SEM ABERTURA, ACABAMENTO ANODIZADO OU PINTADO - FORNECIMENTO E INSTALAÇÃO. AF_06/2022</t>
  </si>
  <si>
    <t>FACHADA EM VIDRO NO SISTEMA SPIDER GLASS, CONSIDERANDO MÓDULOS DE 2,00 X 2,50 M, FIXADO EM ESTRUTURA METÁLICA FORNECIMENTO E INSTALAÇÃO. AF_06/2022</t>
  </si>
  <si>
    <t>PERFURAÇÃO HORIZONTAL DIRECIONAL E INSTALAÇÃO DE TUBULAÇÃO PEAD 110 MM, EM SOLO DE 1ª CATEGORIA. AF_01/2022</t>
  </si>
  <si>
    <t>PERFURAÇÃO HORIZONTAL DIRECIONAL E INSTALAÇÃO DE TUBULAÇÃO PEAD 110 MM, EM SOLO DE 2ª CATEGORIA. AF_01/2022</t>
  </si>
  <si>
    <t>PERFURAÇÃO HORIZONTAL DIRECIONAL E INSTALAÇÃO DE TUBULAÇÃO PEAD 110 MM, EM SOLO MOLE. AF_01/2022</t>
  </si>
  <si>
    <t>PERFURAÇÃO HORIZONTAL DIRECIONAL E INSTALAÇÃO DE TUBULAÇÃO PEAD 160 MM, EM SOLO DE 1ª CATEGORIA. AF_01/2022</t>
  </si>
  <si>
    <t>PERFURAÇÃO HORIZONTAL DIRECIONAL E INSTALAÇÃO DE TUBULAÇÃO PEAD 160 MM, EM SOLO DE 2ª CATEGORIA. AF_01/2022</t>
  </si>
  <si>
    <t>PERFURAÇÃO HORIZONTAL DIRECIONAL E INSTALAÇÃO DE TUBULAÇÃO PEAD 160 MM, EM SOLO MOLE. AF_01/2022</t>
  </si>
  <si>
    <t>PERFURAÇÃO HORIZONTAL DIRECIONAL E INSTALAÇÃO DE TUBULAÇÃO PEAD 180 MM, EM SOLO DE 1ª CATEGORIA. AF_01/2022</t>
  </si>
  <si>
    <t>PERFURAÇÃO HORIZONTAL DIRECIONAL E INSTALAÇÃO DE TUBULAÇÃO PEAD 180 MM, EM SOLO DE 2ª CATEGORIA. AF_01/2022</t>
  </si>
  <si>
    <t>PERFURAÇÃO HORIZONTAL DIRECIONAL E INSTALAÇÃO DE TUBULAÇÃO PEAD 180 MM, EM SOLO MOLE. AF_01/2022</t>
  </si>
  <si>
    <t>PERFURAÇÃO HORIZONTAL DIRECIONAL E INSTALAÇÃO DE TUBULAÇÃO PEAD 20 MM, EM SOLO DE 1ª CATEGORIA. AF_01/2022</t>
  </si>
  <si>
    <t>PERFURAÇÃO HORIZONTAL DIRECIONAL E INSTALAÇÃO DE TUBULAÇÃO PEAD 20 MM, EM SOLO DE 2ª CATEGORIA. AF_01/2022</t>
  </si>
  <si>
    <t>PERFURAÇÃO HORIZONTAL DIRECIONAL E INSTALAÇÃO DE TUBULAÇÃO PEAD 20 MM, EM SOLO MOLE. AF_01/2022</t>
  </si>
  <si>
    <t>PERFURAÇÃO HORIZONTAL DIRECIONAL E INSTALAÇÃO DE TUBULAÇÃO PEAD 200 MM, EM SOLO DE 1ª CATEGORIA. AF_01/2022</t>
  </si>
  <si>
    <t>PERFURAÇÃO HORIZONTAL DIRECIONAL E INSTALAÇÃO DE TUBULAÇÃO PEAD 200 MM, EM SOLO DE 2ª CATEGORIA. AF_01/2022</t>
  </si>
  <si>
    <t>PERFURAÇÃO HORIZONTAL DIRECIONAL E INSTALAÇÃO DE TUBULAÇÃO PEAD 200 MM, EM SOLO MOLE. AF_01/2022</t>
  </si>
  <si>
    <t>PERFURAÇÃO HORIZONTAL DIRECIONAL E INSTALAÇÃO DE TUBULAÇÃO PEAD 225 MM, EM SOLO DE 1ª CATEGORIA. AF_01/2022</t>
  </si>
  <si>
    <t>PERFURAÇÃO HORIZONTAL DIRECIONAL E INSTALAÇÃO DE TUBULAÇÃO PEAD 225 MM, EM SOLO DE 2ª CATEGORIA. AF_01/2022</t>
  </si>
  <si>
    <t>PERFURAÇÃO HORIZONTAL DIRECIONAL E INSTALAÇÃO DE TUBULAÇÃO PEAD 225 MM, EM SOLO MOLE. AF_01/2022</t>
  </si>
  <si>
    <t>PERFURAÇÃO HORIZONTAL DIRECIONAL E INSTALAÇÃO DE TUBULAÇÃO PEAD 250 MM, EM SOLO DE 1ª CATEGORIA. AF_01/2022</t>
  </si>
  <si>
    <t>PERFURAÇÃO HORIZONTAL DIRECIONAL E INSTALAÇÃO DE TUBULAÇÃO PEAD 250 MM, EM SOLO DE 2ª CATEGORIA. AF_01/2022</t>
  </si>
  <si>
    <t>PERFURAÇÃO HORIZONTAL DIRECIONAL E INSTALAÇÃO DE TUBULAÇÃO PEAD 250 MM, EM SOLO MOLE. AF_01/2022</t>
  </si>
  <si>
    <t>PERFURAÇÃO HORIZONTAL DIRECIONAL E INSTALAÇÃO DE TUBULAÇÃO PEAD 280 MM, EM SOLO DE 1ª CATEGORIA. AF_01/2022</t>
  </si>
  <si>
    <t>PERFURAÇÃO HORIZONTAL DIRECIONAL E INSTALAÇÃO DE TUBULAÇÃO PEAD 280 MM, EM SOLO DE 2ª CATEGORIA. AF_01/2022</t>
  </si>
  <si>
    <t>PERFURAÇÃO HORIZONTAL DIRECIONAL E INSTALAÇÃO DE TUBULAÇÃO PEAD 280 MM, EM SOLO MOLE. AF_01/2022</t>
  </si>
  <si>
    <t>PERFURAÇÃO HORIZONTAL DIRECIONAL E INSTALAÇÃO DE TUBULAÇÃO PEAD 315 MM, EM SOLO DE 1ª CATEGORIA. AF_01/2022</t>
  </si>
  <si>
    <t>PERFURAÇÃO HORIZONTAL DIRECIONAL E INSTALAÇÃO DE TUBULAÇÃO PEAD 315 MM, EM SOLO DE 2ª CATEGORIA. AF_01/2022</t>
  </si>
  <si>
    <t>PERFURAÇÃO HORIZONTAL DIRECIONAL E INSTALAÇÃO DE TUBULAÇÃO PEAD 315 MM, EM SOLO MOLE. AF_01/2022</t>
  </si>
  <si>
    <t>PERFURAÇÃO HORIZONTAL DIRECIONAL E INSTALAÇÃO DE TUBULAÇÃO PEAD 32 MM, EM SOLO DE 1ª CATEGORIA. AF_01/2022</t>
  </si>
  <si>
    <t>PERFURAÇÃO HORIZONTAL DIRECIONAL E INSTALAÇÃO DE TUBULAÇÃO PEAD 32 MM, EM SOLO DE 2ª CATEGORIA. AF_01/2022</t>
  </si>
  <si>
    <t>PERFURAÇÃO HORIZONTAL DIRECIONAL E INSTALAÇÃO DE TUBULAÇÃO PEAD 32 MM, EM SOLO MOLE. AF_01/2022</t>
  </si>
  <si>
    <t>PERFURAÇÃO HORIZONTAL DIRECIONAL E INSTALAÇÃO DE TUBULAÇÃO PEAD 355 MM, EM SOLO DE 1ª CATEGORIA. AF_01/2022</t>
  </si>
  <si>
    <t>PERFURAÇÃO HORIZONTAL DIRECIONAL E INSTALAÇÃO DE TUBULAÇÃO PEAD 355 MM, EM SOLO DE 2ª CATEGORIA. AF_01/2022</t>
  </si>
  <si>
    <t>PERFURAÇÃO HORIZONTAL DIRECIONAL E INSTALAÇÃO DE TUBULAÇÃO PEAD 355 MM, EM SOLO MOLE. AF_01/2022</t>
  </si>
  <si>
    <t>PERFURAÇÃO HORIZONTAL DIRECIONAL E INSTALAÇÃO DE TUBULAÇÃO PEAD 400 MM, EM SOLO DE 1ª CATEGORIA. AF_01/2022</t>
  </si>
  <si>
    <t>PERFURAÇÃO HORIZONTAL DIRECIONAL E INSTALAÇÃO DE TUBULAÇÃO PEAD 400 MM, EM SOLO DE 2ª CATEGORIA. AF_01/2022</t>
  </si>
  <si>
    <t>PERFURAÇÃO HORIZONTAL DIRECIONAL E INSTALAÇÃO DE TUBULAÇÃO PEAD 400 MM, EM SOLO MOLE. AF_01/2022</t>
  </si>
  <si>
    <t>PERFURAÇÃO HORIZONTAL DIRECIONAL E INSTALAÇÃO DE TUBULAÇÃO PEAD 450 MM, EM SOLO DE 1ª CATEGORIA. AF_01/2022</t>
  </si>
  <si>
    <t>PERFURAÇÃO HORIZONTAL DIRECIONAL E INSTALAÇÃO DE TUBULAÇÃO PEAD 450 MM, EM SOLO DE 2ª CATEGORIA. AF_01/2022</t>
  </si>
  <si>
    <t>PERFURAÇÃO HORIZONTAL DIRECIONAL E INSTALAÇÃO DE TUBULAÇÃO PEAD 450 MM, EM SOLO MOLE. AF_01/2022</t>
  </si>
  <si>
    <t>PERFURAÇÃO HORIZONTAL DIRECIONAL E INSTALAÇÃO DE TUBULAÇÃO PEAD 50 MM, EM SOLO DE 1ª CATEGORIA. AF_01/2022</t>
  </si>
  <si>
    <t>PERFURAÇÃO HORIZONTAL DIRECIONAL E INSTALAÇÃO DE TUBULAÇÃO PEAD 50 MM, EM SOLO DE 2ª CATEGORIA. AF_01/2022</t>
  </si>
  <si>
    <t>PERFURAÇÃO HORIZONTAL DIRECIONAL E INSTALAÇÃO DE TUBULAÇÃO PEAD 50 MM, EM SOLO MOLE. AF_01/2022</t>
  </si>
  <si>
    <t>PERFURAÇÃO HORIZONTAL DIRECIONAL E INSTALAÇÃO DE TUBULAÇÃO PEAD 500 MM, EM SOLO DE 1ª CATEGORIA. AF_01/2022</t>
  </si>
  <si>
    <t>PERFURAÇÃO HORIZONTAL DIRECIONAL E INSTALAÇÃO DE TUBULAÇÃO PEAD 500 MM, EM SOLO DE 2ª CATEGORIA. AF_01/2022</t>
  </si>
  <si>
    <t>PERFURAÇÃO HORIZONTAL DIRECIONAL E INSTALAÇÃO DE TUBULAÇÃO PEAD 500 MM, EM SOLO MOLE. AF_01/2022</t>
  </si>
  <si>
    <t>PERFURAÇÃO HORIZONTAL DIRECIONAL E INSTALAÇÃO DE TUBULAÇÃO PEAD 560 MM, EM SOLO DE 1ª CATEGORIA. AF_01/2022</t>
  </si>
  <si>
    <t>PERFURAÇÃO HORIZONTAL DIRECIONAL E INSTALAÇÃO DE TUBULAÇÃO PEAD 560 MM, EM SOLO DE 2ª CATEGORIA. AF_01/2022</t>
  </si>
  <si>
    <t>PERFURAÇÃO HORIZONTAL DIRECIONAL E INSTALAÇÃO DE TUBULAÇÃO PEAD 560 MM, EM SOLO MOLE. AF_01/2022</t>
  </si>
  <si>
    <t>PERFURAÇÃO HORIZONTAL DIRECIONAL E INSTALAÇÃO DE TUBULAÇÃO PEAD 63 MM, EM SOLO DE 1ª CATEGORIA. AF_01/2022</t>
  </si>
  <si>
    <t>PERFURAÇÃO HORIZONTAL DIRECIONAL E INSTALAÇÃO DE TUBULAÇÃO PEAD 63 MM, EM SOLO DE 2ª CATEGORIA. AF_01/2022</t>
  </si>
  <si>
    <t>PERFURAÇÃO HORIZONTAL DIRECIONAL E INSTALAÇÃO DE TUBULAÇÃO PEAD 63 MM, EM SOLO MOLE. AF_01/2022</t>
  </si>
  <si>
    <t>PERFURAÇÃO HORIZONTAL DIRECIONAL E INSTALAÇÃO DE TUBULAÇÃO PEAD 630 MM, EM SOLO DE 1ª CATEGORIA. AF_01/2022</t>
  </si>
  <si>
    <t>PERFURAÇÃO HORIZONTAL DIRECIONAL E INSTALAÇÃO DE TUBULAÇÃO PEAD 630 MM, EM SOLO DE 2ª CATEGORIA. AF_01/2022</t>
  </si>
  <si>
    <t>PERFURAÇÃO HORIZONTAL DIRECIONAL E INSTALAÇÃO DE TUBULAÇÃO PEAD 630 MM, EM SOLO MOLE. AF_01/2022</t>
  </si>
  <si>
    <t>PERFURAÇÃO HORIZONTAL DIRECIONAL E INSTALAÇÃO DE TUBULAÇÃO PEAD 710 MM, EM SOLO DE 1ª CATEGORIA. AF_01/2022</t>
  </si>
  <si>
    <t>PERFURAÇÃO HORIZONTAL DIRECIONAL E INSTALAÇÃO DE TUBULAÇÃO PEAD 710 MM, EM SOLO DE 2ª CATEGORIA. AF_01/2022</t>
  </si>
  <si>
    <t>PERFURAÇÃO HORIZONTAL DIRECIONAL E INSTALAÇÃO DE TUBULAÇÃO PEAD 710 MM, EM SOLO MOLE. AF_01/2022</t>
  </si>
  <si>
    <t>PERFURAÇÃO HORIZONTAL DIRECIONAL E INSTALAÇÃO DE TUBULAÇÃO PEAD 75 MM, EM SOLO DE 1ª CATEGORIA. AF_01/2022</t>
  </si>
  <si>
    <t>PERFURAÇÃO HORIZONTAL DIRECIONAL E INSTALAÇÃO DE TUBULAÇÃO PEAD 75 MM, EM SOLO DE 2ª CATEGORIA. AF_01/2022</t>
  </si>
  <si>
    <t>PERFURAÇÃO HORIZONTAL DIRECIONAL E INSTALAÇÃO DE TUBULAÇÃO PEAD 75 MM, EM SOLO MOLE. AF_01/2022</t>
  </si>
  <si>
    <t>PERFURAÇÃO HORIZONTAL DIRECIONAL E INSTALAÇÃO DE TUBULAÇÃO PEAD 800 MM, EM SOLO DE 1ª CATEGORIA. AF_01/2022</t>
  </si>
  <si>
    <t>PERFURAÇÃO HORIZONTAL DIRECIONAL E INSTALAÇÃO DE TUBULAÇÃO PEAD 800 MM, EM SOLO DE 2ª CATEGORIA. AF_01/2022</t>
  </si>
  <si>
    <t>PERFURAÇÃO HORIZONTAL DIRECIONAL E INSTALAÇÃO DE TUBULAÇÃO PEAD 800 MM, EM SOLO MOLE. AF_01/2022</t>
  </si>
  <si>
    <t>PERFURAÇÃO HORIZONTAL DIRECIONAL E INSTALAÇÃO DE TUBULAÇÃO PEAD 90 MM, EM SOLO DE 1ª CATEGORIA. AF_01/2022</t>
  </si>
  <si>
    <t>PERFURAÇÃO HORIZONTAL DIRECIONAL E INSTALAÇÃO DE TUBULAÇÃO PEAD 90 MM, EM SOLO DE 2ª CATEGORIA. AF_01/2022</t>
  </si>
  <si>
    <t>PERFURAÇÃO HORIZONTAL DIRECIONAL E INSTALAÇÃO DE TUBULAÇÃO PEAD 90 MM, EM SOLO MOLE. AF_01/2022</t>
  </si>
  <si>
    <t>APLICAÇÃO MANUAL DE FUNDO SELADOR ACRÍLICO EM PANOS CEGOS DE FACHADA (SEM PRESENÇA DE VÃOS) DE EDIFÍCIOS DE MÚLTIPLOS PAVIMENTOS. AF_03/2024</t>
  </si>
  <si>
    <t>APLICAÇÃO MANUAL DE FUNDO SELADOR ACRÍLICO EM PANOS COM PRESENÇA DE VÃOS DE EDIFÍCIOS DE MÚLTIPLOS PAVIMENTOS. AF_03/2024</t>
  </si>
  <si>
    <t>APLICAÇÃO MANUAL DE FUNDO SELADOR ACRÍLICO EM PAREDES EXTERNAS DE CASAS.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</si>
  <si>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</si>
  <si>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</si>
  <si>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MASSA ACRÍLICA EM PANOS DE FACHADA COM PRESENÇA DE VÃOS, DE EDIFÍCIOS DE MÚLTIPLOS PAVIMENTOS,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</si>
  <si>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</si>
  <si>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DUAS DEMÃOS. AF_03/2024</t>
  </si>
  <si>
    <t>APLICAÇÃO MANUAL DE MASSA ACRÍLICA EM PANOS DE FACHADA SEM PRESENÇA DE VÃOS, DE EDIFÍCIOS DE MÚLTIPLOS PAVIMENTOS, UMA DEMÃO. AF_03/2024</t>
  </si>
  <si>
    <t>APLICAÇÃO MANUAL DE MASSA ACRÍLICA EM PAREDES EXTERNAS DE CASAS, DUAS DEMÃOS. AF_03/2024</t>
  </si>
  <si>
    <t>APLICAÇÃO MANUAL DE MASSA ACRÍLICA EM PAREDES EXTERNAS DE CASAS, UMA DEMÃO. AF_03/2024</t>
  </si>
  <si>
    <t>APLICAÇÃO MANUAL DE MASSA ACRÍLICA EM SUPERFÍCIES EXTERNAS DE SACADA DE EDIFÍCIOS DE MÚLTIPLOS PAVIMENTOS, DUAS DEMÃOS. AF_03/2024</t>
  </si>
  <si>
    <t>APLICAÇÃO MANUAL DE MASSA ACRÍLICA EM SUPERFÍCIES EXTERNAS DE SACADA DE EDIFÍCIOS DE MÚLTIPLOS PAVIMENTOS, UMA DEMÃO. AF_03/2024</t>
  </si>
  <si>
    <t>APLICAÇÃO MANUAL DE MASSA ACRÍLICA EM SUPERFÍCIES INTERNAS DE SACADA DE EDIFÍCIOS DE MÚLTIPLOS PAVIMENTOS, DUAS DEMÃOS. AF_03/2024</t>
  </si>
  <si>
    <t>APLICAÇÃO MANUAL DE MASSA ACRÍLICA EM SUPERFÍCIES INTERNAS DE SACADA DE EDIFÍCIOS DE MÚLTIPLOS PAVIMENTOS, UMA DEMÃO. AF_03/2024</t>
  </si>
  <si>
    <t>APLICAÇÃO MANUAL DE PINTURA COM TINTA TEXTURIZADA ACRÍLICA EM MOLDURAS DE EPS. AF_03/2024</t>
  </si>
  <si>
    <t>APLICAÇÃO MANUAL DE PINTURA COM TINTA TEXTURIZADA ACRÍLICA EM PANOS CEGOS DE FACHADA (SEM PRESENÇA DE VÃOS) DE EDIFÍCIOS DE MÚLTIPLOS PAVIMENTOS, DUAS CORES. AF_03/2024</t>
  </si>
  <si>
    <t>APLICAÇÃO MANUAL DE PINTURA COM TINTA TEXTURIZADA ACRÍLICA EM PANOS CEGOS DE FACHADA (SEM PRESENÇA DE VÃOS) DE EDIFÍCIOS DE MÚLTIPLOS PAVIMENTOS, UMA COR. AF_03/2024</t>
  </si>
  <si>
    <t>APLICAÇÃO MANUAL DE PINTURA COM TINTA TEXTURIZADA ACRÍLICA EM PANOS COM PRESENÇA DE VÃOS DE EDIFÍCIOS DE MÚLTIPLOS PAVIMENTOS, DUAS CORES. AF_03/2024</t>
  </si>
  <si>
    <t>APLICAÇÃO MANUAL DE PINTURA COM TINTA TEXTURIZADA ACRÍLICA EM PANOS COM PRESENÇA DE VÃOS DE EDIFÍCIOS DE MÚLTIPLOS PAVIMENTOS, UMA COR. AF_03/2024</t>
  </si>
  <si>
    <t>APLICAÇÃO MANUAL DE PINTURA COM TINTA TEXTURIZADA ACRÍLICA EM PAREDES EXTERNAS DE CASAS, DUAS CORES. AF_03/2024</t>
  </si>
  <si>
    <t>APLICAÇÃO MANUAL DE PINTURA COM TINTA TEXTURIZADA ACRÍLICA EM PAREDES EXTERNAS DE CASAS, UMA COR. AF_03/2024</t>
  </si>
  <si>
    <t>APLICAÇÃO MANUAL DE PINTURA COM TINTA TEXTURIZADA ACRÍLICA EM SUPERFÍCIES EXTERNAS DE SACADA DE EDIFÍCIOS DE MÚLTIPLOS PAVIMENTOS, DUAS CORES.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</si>
  <si>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</si>
  <si>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DUAS CORES. AF_03/2024</t>
  </si>
  <si>
    <t>APLICAÇÃO MANUAL DE PINTURA COM TINTA TEXTURIZADA ACRÍLICA EM SUPERFÍCIES INTERNAS DA SACADA DE EDIFÍCIOS DE MÚLTIPLOS PAVIMENTOS, UMA COR. AF_03/2024</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</si>
  <si>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</si>
  <si>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</si>
  <si>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PAREDE EXTERNAS DE CASAS,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</si>
  <si>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</si>
  <si>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</si>
  <si>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EMASSAMENTO COM MASSA LÁTEX, APLICAÇÃO EM PAREDE, DUAS DEMÃOS, LIXAMENTO MANUAL. AF_04/2023</t>
  </si>
  <si>
    <t>EMASSAMENTO COM MASSA LÁTEX, APLICAÇÃO EM PAREDE, DUAS DEMÃOS, LIXAMENTO MECANIZADO. AF_04/2023</t>
  </si>
  <si>
    <t>EMASSAMENTO COM MASSA LÁTEX, APLICAÇÃO EM PAREDE, UMA DEMÃO, LIXAMENTO MANUAL. AF_04/2023</t>
  </si>
  <si>
    <t>EMASSAMENTO COM MASSA LÁTEX, APLICAÇÃO EM PAREDE, UMA DEMÃO, LIXAMENTO MECANIZADO. AF_04/2023</t>
  </si>
  <si>
    <t>EMASSAMENTO COM MASSA LÁTEX, APLICAÇÃO EM TETO, DUAS DEMÃOS, LIXAMENTO MANUAL. AF_04/2023</t>
  </si>
  <si>
    <t>EMASSAMENTO COM MASSA LÁTEX, APLICAÇÃO EM TETO, DUAS DEMÃOS, LIXAMENTO MECANIZADO. AF_04/2023</t>
  </si>
  <si>
    <t>EMASSAMENTO COM MASSA LÁTEX, APLICAÇÃO EM TETO, UMA DEMÃO, LIXAMENTO MANUAL. AF_04/2023</t>
  </si>
  <si>
    <t>EMASSAMENTO COM MASSA LÁTEX, APLICAÇÃO EM TETO, UMA DEMÃO, LIXAMENTO MECANIZADO. AF_04/2023</t>
  </si>
  <si>
    <t>FUNDO SELADOR ACRÍLICO, APLICAÇÃO MANUAL EM PAREDE, UMA DEMÃO. AF_04/2023</t>
  </si>
  <si>
    <t>FUNDO SELADOR ACRÍLICO, APLICAÇÃO MANUAL EM TETO, UMA DEMÃO. AF_04/2023</t>
  </si>
  <si>
    <t>FUNDO SELADOR ACRÍLICO, APLICAÇÃO MECÂNICA EM PAREDE, UMA DEMÃO. AF_04/2023</t>
  </si>
  <si>
    <t>FUNDO SELADOR ACRÍLICO, APLICAÇÃO MECÂNICA EM TETO, UMA DEMÃO. AF_04/2023</t>
  </si>
  <si>
    <t>PINTURA LÁTEX ACRÍLICA ECONÔMICA, APLICAÇÃO MANUAL EM PAREDES, DUAS DEMÃOS. AF_04/2023</t>
  </si>
  <si>
    <t>PINTURA LÁTEX ACRÍLICA ECONÔMICA, APLICAÇÃO MANUAL EM TETO, DUAS DEMÃOS. AF_04/2023</t>
  </si>
  <si>
    <t>PINTURA LÁTEX ACRÍLICA ECONÔMICA, APLICAÇÃO MECÂNICA EM PAREDES, DUAS DEMÃOS. AF_04/2023</t>
  </si>
  <si>
    <t>PINTURA LÁTEX ACRÍLICA ECONÔMICA, APLICAÇÃO MECÂNICA EM TETO, DUAS DEMÃOS. AF_04/2023</t>
  </si>
  <si>
    <t>PINTURA LÁTEX ACRÍLICA PREMIUM, APLICAÇÃO MANUAL EM PAREDES, DUAS DEMÃOS. AF_04/2023</t>
  </si>
  <si>
    <t>PINTURA LÁTEX ACRÍLICA PREMIUM, APLICAÇÃO MANUAL EM TETO, DUAS DEMÃOS. AF_04/2023</t>
  </si>
  <si>
    <t>PINTURA LÁTEX ACRÍLICA STANDARD, APLICAÇÃO MANUAL EM PAREDES, DUAS DEMÃOS. AF_04/2023</t>
  </si>
  <si>
    <t>PINTURA LÁTEX ACRÍLICA STANDARD, APLICAÇÃO MANUAL EM TETO, DUAS DEMÃOS. AF_04/2023</t>
  </si>
  <si>
    <t>TEXTURA ACRÍLICA, APLICAÇÃO MANUAL EM PAREDE, UMA DEMÃO. AF_04/2023</t>
  </si>
  <si>
    <t>TEXTURA ACRÍLICA, APLICAÇÃO MANUAL EM TETO, UMA DEMÃO. AF_04/2023</t>
  </si>
  <si>
    <t>APLICAÇÃO MASSA ACRÍLICA PARA MADEIRA, PARA PINTURA COM TINTA DE ACABAMENTO (PIGMENTADA). AF_01/2021</t>
  </si>
  <si>
    <t>APLICAÇÃO MASSA ALQUÍDICA PARA MADEIRA, PARA PINTURA COM TINTA DE ACABAMENTO (PIGMENTADA). AF_01/2021</t>
  </si>
  <si>
    <t>APLICAÇÃO MASSA EPÓXI PARA MADEIRA, PARA PINTURA COM TINTA PU DE ACABAMENTO (PIGMENTADA). AF_01/2021</t>
  </si>
  <si>
    <t>LIXAMENTO DE MADEIRA PARA APLICAÇÃO DE FUNDO OU PINTURA. AF_01/2021</t>
  </si>
  <si>
    <t>LIXAMENTO DE MASSA PARA MADEIRA. AF_01/2021</t>
  </si>
  <si>
    <t>PINTURA FUNDO NIVELADOR ACRÍLICO BRANCO EM MADEIRA. AF_01/2021</t>
  </si>
  <si>
    <t>PINTURA FUNDO NIVELADOR ALQUÍDICO BRANCO EM MADEIRA. AF_01/2021</t>
  </si>
  <si>
    <t>PINTURA FUNDO NIVELADOR ALQUÍDICO INCOLOR EM MADEIRA. AF_01/2021</t>
  </si>
  <si>
    <t>PINTURA FUNDO NIVELADOR POLIURETÂNICO BRANCO EM MADEIRA. AF_01/2021</t>
  </si>
  <si>
    <t>PINTURA FUNDO NIVELADOR POLIURETÂNICO INCOLOR EM MADEIRA. AF_01/2021</t>
  </si>
  <si>
    <t>PINTURA IMUNIZANTE PARA MADEIRA, 1 DEMÃO. AF_01/2021</t>
  </si>
  <si>
    <t>PINTURA IMUNIZANTE PARA MADEIRA, 2 DEMÃOS. AF_01/2021</t>
  </si>
  <si>
    <t>PINTURA TINTA DE ACABAMENTO (PIGMENTADA) A ÓLEO EM MADEIRA, 1 DEMÃO. AF_01/2021</t>
  </si>
  <si>
    <t>PINTURA TINTA DE ACABAMENTO (PIGMENTADA) A ÓLEO EM MADEIRA, 2 DEMÃOS. AF_01/2021</t>
  </si>
  <si>
    <t>PINTURA TINTA DE ACABAMENTO (PIGMENTADA) A ÓLEO EM MADEIRA, 3 DEMÃOS. AF_01/2021</t>
  </si>
  <si>
    <t>PINTURA TINTA DE ACABAMENTO (PIGMENTADA) ESMALTE BASE ÁGUA EM MADEIRA, 1 DEMÃO. AF_01/2021</t>
  </si>
  <si>
    <t>PINTURA TINTA DE ACABAMENTO (PIGMENTADA) ESMALTE BASE ÁGUA EM MADEIRA, 2 DEMÃOS. AF_01/2021</t>
  </si>
  <si>
    <t>PINTURA TINTA DE ACABAMENTO (PIGMENTADA) ESMALTE BASE ÁGUA EM MADEIRA, 3 DEMÃOS. AF_01/2021</t>
  </si>
  <si>
    <t>PINTURA TINTA DE ACABAMENTO (PIGMENTADA) ESMALTE SINTÉTICO ACETINADO EM MADEIRA, 1 DEMÃO. AF_01/2021</t>
  </si>
  <si>
    <t>PINTURA TINTA DE ACABAMENTO (PIGMENTADA) ESMALTE SINTÉTICO ACETINADO EM MADEIRA, 2 DEMÃOS. AF_01/2021</t>
  </si>
  <si>
    <t>PINTURA TINTA DE ACABAMENTO (PIGMENTADA) ESMALTE SINTÉTICO ACETINADO EM MADEIRA, 3 DEMÃOS. AF_01/2021</t>
  </si>
  <si>
    <t>PINTURA TINTA DE ACABAMENTO (PIGMENTADA) ESMALTE SINTÉTICO BRILHANTE EM MADEIRA, 1 DEMÃO. AF_01/2021</t>
  </si>
  <si>
    <t>PINTURA TINTA DE ACABAMENTO (PIGMENTADA) ESMALTE SINTÉTICO BRILHANTE EM MADEIRA, 2 DEMÃOS. AF_01/2021</t>
  </si>
  <si>
    <t>PINTURA TINTA DE ACABAMENTO (PIGMENTADA) ESMALTE SINTÉTICO BRILHANTE EM MADEIRA, 3 DEMÃOS. AF_01/2021</t>
  </si>
  <si>
    <t>PINTURA TINTA DE ACABAMENTO (PIGMENTADA) ESMALTE SINTÉTICO FOSCO EM MADEIRA, 1 DEMÃO. AF_01/2021</t>
  </si>
  <si>
    <t>PINTURA TINTA DE ACABAMENTO (PIGMENTADA) ESMALTE SINTÉTICO FOSCO EM MADEIRA, 2 DEMÃOS. AF_01/2021</t>
  </si>
  <si>
    <t>PINTURA TINTA DE ACABAMENTO (PIGMENTADA) ESMALTE SINTÉTICO FOSCO EM MADEIRA, 3 DEMÃOS. AF_01/2021</t>
  </si>
  <si>
    <t>PINTURA TINTA DE ACABAMENTO (PIGMENTADA) POLIURETÂNICA EM MADEIRA, 1 DEMÃO. AF_01/2021</t>
  </si>
  <si>
    <t>PINTURA TINTA DE ACABAMENTO (PIGMENTADA) POLIURETÂNICA EM MADEIRA, 2 DEMÃOS. AF_01/2021</t>
  </si>
  <si>
    <t>PINTURA TINTA DE ACABAMENTO (PIGMENTADA) POLIURETÂNICA EM MADEIRA, 3 DEMÃOS. AF_01/2021</t>
  </si>
  <si>
    <t>PINTURA VERNIZ (INCOLOR) ALQUÍDICO EM MADEIRA, USO INTERNO E EXTERNO, 1 DEMÃO. AF_01/2021</t>
  </si>
  <si>
    <t>PINTURA VERNIZ (INCOLOR) ALQUÍDICO EM MADEIRA, USO INTERNO E EXTERNO, 2 DEMÃOS. AF_01/2021</t>
  </si>
  <si>
    <t>PINTURA VERNIZ (INCOLOR) ALQUÍDICO EM MADEIRA, USO INTERNO E EXTERNO, 3 DEMÃOS. AF_01/2021</t>
  </si>
  <si>
    <t>PINTURA VERNIZ (INCOLOR) ALQUÍDICO EM MADEIRA, USO INTERNO, 1 DEMÃO. AF_01/2021</t>
  </si>
  <si>
    <t>PINTURA VERNIZ (INCOLOR) ALQUÍDICO EM MADEIRA, USO INTERNO, 2 DEMÃOS. AF_01/2021</t>
  </si>
  <si>
    <t>PINTURA VERNIZ (INCOLOR) ALQUÍDICO EM MADEIRA, USO INTERNO, 3 DEMÃOS. AF_01/2021</t>
  </si>
  <si>
    <t>PINTURA VERNIZ (INCOLOR) POLIURETÂNICO (RESINA ALQUÍDICA MODIFICADA) EM MADEIRA, 1 DEMÃO. AF_01/2021</t>
  </si>
  <si>
    <t>PINTURA VERNIZ (INCOLOR) POLIURETÂNICO (RESINA ALQUÍDICA MODIFICADA) EM MADEIRA, 2 DEMÃOS. AF_01/2021</t>
  </si>
  <si>
    <t>PINTURA VERNIZ (INCOLOR) POLIURETÂNICO (RESINA ALQUÍDICA MODIFICADA) EM MADEIRA, 3 DEMÃOS. AF_01/2021</t>
  </si>
  <si>
    <t>PINTURA VERNIZ (INCOLOR) POLIURETÂNICO (RESINA POLIURETÂNICA) EM MADEIRA, 1 DEMÃO. AF_01/2021</t>
  </si>
  <si>
    <t>PINTURA VERNIZ (INCOLOR) POLIURETÂNICO (RESINA POLIURETÂNICA) EM MADEIRA, 2 DEMÃOS. AF_01/2021</t>
  </si>
  <si>
    <t>PINTURA VERNIZ (INCOLOR) POLIURETÂNICO (RESINA POLIURETÂNICA) EM MADEIRA, 3 DEMÃOS. AF_01/2021</t>
  </si>
  <si>
    <t>COLOCAÇÃO DE FITA PROTETORA PARA PINTURA. AF_01/2020</t>
  </si>
  <si>
    <t>JATEAMENTO ABRASIVO COM GRANALHA DE AÇO EM PERFIL METÁLICO EM FÁBRICA. AF_01/2020</t>
  </si>
  <si>
    <t>LIXAMENTO MANUAL EM SUPERFÍCIES METÁLICAS EM OBRA. AF_01/2020</t>
  </si>
  <si>
    <t>PINTURA COM TINTA ACRÍLICA DE ACABAMENTO APLICADA A ROLO OU PINCEL SOBRE SUPERFÍCIES METÁLICAS (EXCETO PERFIL) EXECUTADO EM OBRA (02 DEMÃOS). AF_01/2020</t>
  </si>
  <si>
    <t>PINTURA COM TINTA ACRÍLICA DE ACABAMENTO APLICADA A ROLO OU PINCEL SOBRE SUPERFÍCIES METÁLICAS (EXCETO PERFIL) EXECUTADO EM OBRA (POR DEMÃO). AF_01/2020</t>
  </si>
  <si>
    <t>PINTURA COM TINTA ACRÍLICA DE FUNDO APLICADA A ROLO OU PINCEL SOBRE SUPERFÍCIES METÁLICAS (EXCETO PERFIL) EXECUTADO EM OBRA (POR DEMÃO). AF_01/2020</t>
  </si>
  <si>
    <t>PINTURA COM TINTA ALQUÍDICA DE ACABAMENTO (ESMALTE SINTÉTICO ACETINADO) APLICADA A ROLO OU PINCEL SOBRE PERFIL METÁLICO EXECUTADO EM FÁBRICA (POR DEMÃO). AF_01/2020</t>
  </si>
  <si>
    <t>PINTURA COM TINTA ALQUÍDICA DE ACABAMENTO (ESMALTE SINTÉTICO ACETINADO) APLICADA A ROLO OU PINCEL SOBRE SUPERFÍCIES METÁLICAS (EXCETO PERFIL) EXECUTADO EM OBRA (02 DEMÃOS). AF_01/2020</t>
  </si>
  <si>
    <t>PINTURA COM TINTA ALQUÍDICA DE ACABAMENTO (ESMALTE SINTÉTICO ACETINADO) APLICADA A ROLO OU PINCEL SOBRE SUPERFÍCIES METÁLICAS (EXCETO PERFIL) EXECUTADO EM OBRA (POR DEMÃO). AF_01/2020</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</si>
  <si>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</si>
  <si>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(02 DEMÃOS). AF_01/2020</t>
  </si>
  <si>
    <t>PINTURA COM TINTA ALQUÍDICA DE ACABAMENTO (ESMALTE SINTÉTICO BRILHANTE) APLICADA A ROLO OU PINCEL SOBRE SUPERFÍCIES METÁLICAS (EXCETO PERFIL) EXECUTADO EM OBRA (POR DEMÃO). AF_01/2020</t>
  </si>
  <si>
    <t>PINTURA COM TINTA ALQUÍDICA DE ACABAMENTO (ESMALTE SINTÉTICO FOSCO) APLICADA A ROLO OU PINCEL SOBRE PERFIL METÁLICO EXECUTADO EM FÁBRICA (POR DEMÃO). AF_01/2020</t>
  </si>
  <si>
    <t>PINTURA COM TINTA ALQUÍDICA DE ACABAMENTO (ESMALTE SINTÉTICO FOSCO) APLICADA A ROLO OU PINCEL SOBRE SUPERFÍCIES METÁLICAS (EXCETO PERFIL) EXECUTADO EM OBRA (02 DEMÃOS). AF_01/2020</t>
  </si>
  <si>
    <t>PINTURA COM TINTA ALQUÍDICA DE ACABAMENTO (ESMALTE SINTÉTICO FOSCO) APLICADA A ROLO OU PINCEL SOBRE SUPERFÍCIES METÁLICAS (EXCETO PERFIL) EXECUTADO EM OBRA (POR DEMÃO). AF_01/2020</t>
  </si>
  <si>
    <t>PINTURA COM TINTA ALQUÍDICA DE FUNDO (TIPO ZARCÃO) APLICADA A ROLO OU PINCEL SOBRE PERFIL METÁLICO EXECUTADO EM FÁBRICA (POR DEMÃO). AF_01/2020</t>
  </si>
  <si>
    <t>PINTURA COM TINTA ALQUÍDICA DE FUNDO (TIPO ZARCÃO) APLICADA A ROLO OU PINCEL SOBRE SUPERFÍCIES METÁLICAS (EXCETO PERFIL) EXECUTADO EM OBRA (POR DEMÃO). AF_01/2020</t>
  </si>
  <si>
    <t>PINTURA COM TINTA ALQUÍDICA DE FUNDO E ACABAMENTO (ESMALTE SINTÉTICO GRAFITE) APLICADA A ROLO OU PINCEL SOBRE PERFIL METÁLICO EXECUTADO EM FÁBRICA (POR DEMÃO). AF_01/2020</t>
  </si>
  <si>
    <t>PINTURA COM TINTA ALQUÍDICA DE FUNDO E ACABAMENTO (ESMALTE SINTÉTICO GRAFITE) APLICADA A ROLO OU PINCEL SOBRE SUPERFÍCIES METÁLICAS (EXCETO PERFIL) EXECUTADO EM OBRA (POR DEMÃO). AF_01/2020</t>
  </si>
  <si>
    <t>PINTURA COM TINTA EPOXÍDICA DE ACABAMENTO APLICADA A ROLO OU PINCEL SOBRE PERFIL METÁLICO EXECUTADO EM FÁBRICA (02 DEMÃOS). AF_01/2020</t>
  </si>
  <si>
    <t>PINTURA COM TINTA EPOXÍDICA DE ACABAMENTO APLICADA A ROLO OU PINCEL SOBRE PERFIL METÁLICO EXECUTADO EM FÁBRICA (POR DEMÃO). AF_01/2020</t>
  </si>
  <si>
    <t>PINTURA COM TINTA EPOXÍDICA DE FUNDO APLICADA A ROLO OU PINCEL SOBRE PERFIL METÁLICO EXECUTADO EM FÁBRICA (POR DEMÃO). AF_01/2020</t>
  </si>
  <si>
    <t>PINTURA COM TINTA EPOXÍDICA DE FUNDO E ACABAMENTO APLICADA A ROLO OU PINCEL SOBRE PERFIL METÁLICO EXECUTADO EM FÁBRICA (POR DEMÃO). AF_01/2020</t>
  </si>
  <si>
    <t>PINTURA COM TINTA EPOXÍDICA DE FUNDO E ACABAMENTO PULVERIZADA SOBRE PERFIL METÁLICO EXECUTADO EM FÁBRICA (POR DEMÃO). AF_01/2020</t>
  </si>
  <si>
    <t>PINTURA COM TINTA POLIURETÂNICA DE ACABAMENTO APLICADA A ROLO OU PINCEL SOBRE PERFIL METÁLICO EXECUTADO EM FÁBRICA (02 DEMÃOS). AF_01/2020</t>
  </si>
  <si>
    <t>PINTURA COM TINTA POLIURETÂNICA DE ACABAMENTO APLICADA A ROLO OU PINCEL SOBRE PERFIL METÁLICO EXECUTADO EM FÁBRICA (POR DEMÃO). AF_01/2020</t>
  </si>
  <si>
    <t>PINTURA COM TINTA POLIURETÂNICA DE ACABAMENTO PULVERIZADA SOBRE PERFIL METÁLICO EXECUTADO EM FÁBRICA (02 DEMÃOS). AF_01/2020</t>
  </si>
  <si>
    <t>PINTURA COM TINTA POLIURETÂNICA DE ACABAMENTO PULVERIZADA SOBRE PERFIL METÁLICO EXECUTADO EM FÁBRICA (POR DEMÃO). AF_01/2020</t>
  </si>
  <si>
    <t>ENCERAMENTO DE PISO EM MADEIRA. AF_05/2021</t>
  </si>
  <si>
    <t>PINTURA DE DEMARCAÇÃO DE QUADRA POLIESPORTIVA COM BORRACHA CLORADA, E = 5 CM, APLICAÇÃO MANUAL. AF_05/2021</t>
  </si>
  <si>
    <t>PINTURA DE DEMARCAÇÃO DE QUADRA POLIESPORTIVA COM TINTA ACRÍLICA, E = 5 CM, APLICAÇÃO MANUAL. AF_05/2021</t>
  </si>
  <si>
    <t>PINTURA DE DEMARCAÇÃO DE QUADRA POLIESPORTIVA COM TINTA EPÓXI, E = 5 CM, APLICAÇÃO MANUAL. AF_05/2021</t>
  </si>
  <si>
    <t>PINTURA DE DEMARCAÇÃO DE VAGA COM TINTA ACRÍLICA, E = 10 CM, APLICAÇÃO MANUAL. AF_05/2021</t>
  </si>
  <si>
    <t>PINTURA DE DEMARCAÇÃO DE VAGA COM TINTA ACRÍLICA, E = 10 CM, APLICAÇÃO MECÂNICA COM DEMARCADORA A TRAÇÃO MANUAL. AF_05/2021</t>
  </si>
  <si>
    <t>PINTURA DE DEMARCAÇÃO DE VAGA COM TINTA EPÓXI, E = 10 CM, APLICAÇÃO MANUAL. AF_05/2021</t>
  </si>
  <si>
    <t>PINTURA DE EIXO VIÁRIO COM TINTA RETRORREFLETIVA A BASE DE RESINA ACRÍLICA COM MICROESFERAS DE VIDRO, E = 10 CM, APLICAÇÃO MECÂNICA COM DEMARCADORA A TRAÇÃO MANUAL. AF_05/2021</t>
  </si>
  <si>
    <t>PINTURA DE EIXO VIÁRIO SOBRE ASFALTO COM TINTA RETRORREFLETIVA A BASE DE RESINA ACRÍLICA COM MICROESFERAS DE VIDRO, E = 10 CM, APLICAÇÃO MECÂNICA COM DEMARCADORA AUTOPROPELIDA. AF_05/2021</t>
  </si>
  <si>
    <t>PINTURA DE FAIXA DE PEDESTRE OU ZEBRADA COM TINTA ACRÍLICA, E = 30 CM, APLICAÇÃO MANUAL. AF_05/2021</t>
  </si>
  <si>
    <t>PINTURA DE FAIXA DE PEDESTRE OU ZEBRADA COM TINTA ACRÍLICA, E = 30 CM, APLICAÇÃO MECÂNICA COM DEMARCADORA A TRAÇÃO MANUAL. AF_05/2021</t>
  </si>
  <si>
    <t>PINTURA DE FAIXA DE PEDESTRE OU ZEBRADA COM TINTA EPÓXI, E = 30 CM, APLICAÇÃO MANUAL. AF_05/2021</t>
  </si>
  <si>
    <t>PINTURA DE FAIXA DE PEDESTRE OU ZEBRADA COM TINTA RETRORREFLETIVA A BASE DE RESINA ACRÍLICA COM MICROESFERAS DE VIDRO, E = 30 CM, APLICAÇÃO MECÂNICA COM DEMARCADORA A TRAÇÃO MANUAL. AF_05/2021</t>
  </si>
  <si>
    <t>PINTURA DE FAIXA DE PEDESTRE OU ZEBRADA TINTA RETRORREFLETIVA A BASE DE RESINA ACRÍLICA COM MICROESFERAS DE VIDRO, E = 30 CM, APLICAÇÃO MANUAL. AF_05/2021</t>
  </si>
  <si>
    <t>PINTURA DE MEIO-FIO COM TINTA BRANCA A BASE DE CAL (CAIAÇÃO). AF_05/2021</t>
  </si>
  <si>
    <t>PINTURA DE NÚMEROS E LETRAS PARA SINALIZAÇÃO HORIZONTAL, ALTURA 100 MM, APLICADOR SPRAY E MOLDE PLÁSTICO. AF_05/2021</t>
  </si>
  <si>
    <t>PINTURA DE PISO COM TINTA ACRÍLICA, APLICAÇÃO MANUAL, 2 DEMÃOS, INCLUSO FUNDO PREPARADOR. AF_05/2021</t>
  </si>
  <si>
    <t>PINTURA DE PISO COM TINTA ACRÍLICA, APLICAÇÃO MANUAL, 3 DEMÃOS, INCLUSO FUNDO PREPARADOR. AF_05/2021</t>
  </si>
  <si>
    <t>PINTURA DE PISO COM TINTA ACRÍLICA, APLICAÇÃO MECÂNICA, 2 DEMÃOS, INCLUSO FUNDO PREPARADOR. AF_05/2021</t>
  </si>
  <si>
    <t>PINTURA DE PISO COM TINTA EPÓXI, APLICAÇÃO MANUAL, 2 DEMÃOS, INCLUSO PRIMER EPÓXI. AF_05/2021</t>
  </si>
  <si>
    <t>PINTURA DE PISO COM TINTA EPÓXI, APLICAÇÃO MECÂNICA, 2 DEMÃOS. AF_05/2021</t>
  </si>
  <si>
    <t>PINTURA DE PISO DE PEDRAS DECORATIVAS COM VERNIZ DE POLIURETANO FOSCO, APLICAÇÃO MANUAL, 3 DEMÃOS. AF_05/2021</t>
  </si>
  <si>
    <t>PINTURA DE RODAPÉ COM TINTA EPÓXI, APLICAÇÃO MANUAL, 2 DEMÃOS, INCLUSÃO PRIMER EPÓXI. AF_05/2021</t>
  </si>
  <si>
    <t>PINTURA DE RODAPÉ EM PEDRA DECORATIVA COM VERNIZ DE POLIURETANO, APLICAÇÃO MANUAL, 3 DEMÃOS. AF_05/2021</t>
  </si>
  <si>
    <t>PINTURA DE SINALIZAÇÃO VERTICAL DE SEGURANÇA, FAIXAS AMARELA E PRETA, APLICAÇÃO MANUAL, 2 DEMÃOS. AF_05/2021</t>
  </si>
  <si>
    <t>PINTURA DE SÍMBOLO "BICICLETA" COM TINTA ACRÍLICA, UTILIZAÇÃO DE MOLDE PLÁSTICO E APLICAÇÃO MECÂNICA, 150X60 CM. AF_05/2021</t>
  </si>
  <si>
    <t>PINTURA DE SÍMBOLO "DEFICIENTE FÍSICO" COM TINTA ACRÍLICA, UTILIZAÇÃO DE MOLDE PLÁSTICO E APLICAÇÃO MECÂNICA, 120X120 CM. AF_05/2021</t>
  </si>
  <si>
    <t>PINTURA DE SÍMBOLO "GESTANTE" COM TINTA ACRÍLICA, UTILIZAÇÃO DE MOLDE PLÁSTICO E APLICAÇÃO MECÂNICA, 120X120 CM. AF_05/2021</t>
  </si>
  <si>
    <t>PINTURA DE SÍMBOLO "IDOSO" COM TINTA ACRÍLICA, UTILIZAÇÃO DE MOLDE PLÁSTICO E APLICAÇÃO MECÂNICA, 120X120 CM. AF_05/2021</t>
  </si>
  <si>
    <t>PINTURA DE SÍMBOLO "PEDESTRE" COM TINTA ACRÍLICA, UTILIZAÇÃO DE MOLDE PLÁSTICO E APLICAÇÃO MECÂNICA, 130X90 CM. AF_05/2021</t>
  </si>
  <si>
    <t>PINTURA DE SÍMBOLOS E TEXTOS COM TINTA ACRÍLICA, DEMARCAÇÃO COM FITA ADESIVA E APLICAÇÃO COM ROLO. AF_05/2021</t>
  </si>
  <si>
    <t>PINTURA HIDROFUGANTE COM SILICONE, APLICAÇÃO MANUAL, 2 DEMÃOS. AF_05/2021</t>
  </si>
  <si>
    <t>PREPARO DO PISO CIMENTADO PARA PINTURA - LIXAMENTO E LIMPEZA. AF_05/2021</t>
  </si>
  <si>
    <t>ASSENTAMENTO DE POSTE DE CONCRETO COM COMPRIMENTO NOMINAL DE 10 M, CARGA NOMINAL DE 1000 DAN, ENGASTAMENTO BASE CONCRETADA COM 1 M DE CONCRETO E 0,6 M DE SOLO (NÃO INCLUI FORNECIMENTO). AF_04/2025</t>
  </si>
  <si>
    <t>ASSENTAMENTO DE POSTE DE CONCRETO COM COMPRIMENTO NOMINAL DE 10 M, CARGA NOMINAL DE 300 DAN, ENGASTAMENTO BASE CONCRETADA COM 1 M DE CONCRETO E 0,6 M DE SOLO (NÃO INCLUI FORNECIMENTO). AF_04/2025</t>
  </si>
  <si>
    <t>ASSENTAMENTO DE POSTE DE CONCRETO COM COMPRIMENTO NOMINAL DE 10 M, CARGA NOMINAL DE 600 DAN, ENGASTAMENTO BASE CONCRETADA COM 1 M DE CONCRETO E 0,6 M DE SOLO (NÃO INCLUI FORNECIMENTO). AF_04/2025</t>
  </si>
  <si>
    <t>ASSENTAMENTO DE POSTE DE CONCRETO COM COMPRIMENTO NOMINAL DE 10 M, CARGA NOMINAL MAIOR QUE 1000 DAN, ENGASTAMENTO SIMPLES COM 1,6 M DE SOLO (NÃO INCLUI FORNECIMENTO). AF_04/2025</t>
  </si>
  <si>
    <t>ASSENTAMENTO DE POSTE DE CONCRETO COM COMPRIMENTO NOMINAL DE 10 M, CARGA NOMINAL MENOR OU IGUAL A 1000 DAN, ENGASTAMENTO SIMPLES COM 1,6 M DE SOLO (NÃO INCLUI FORNECIMENTO). AF_04/2025</t>
  </si>
  <si>
    <t>ASSENTAMENTO DE POSTE DE CONCRETO COM COMPRIMENTO NOMINAL DE 10,5 M, CARGA NOMINAL DE 1000 DAN, ENGASTAMENTO BASE CONCRETADA COM 1 M DE CONCRETO E 0,65 M DE SOLO (NÃO INCLUI FORNECIMENTO). AF_04/2025</t>
  </si>
  <si>
    <t>ASSENTAMENTO DE POSTE DE CONCRETO COM COMPRIMENTO NOMINAL DE 10,5 M, CARGA NOMINAL DE 300 DAN, ENGASTAMENTO BASE CONCRETADA COM 1 M DE CONCRETO E 0,65 M DE SOLO (NÃO INCLUI FORNECIMENTO). AF_04/2025</t>
  </si>
  <si>
    <t>ASSENTAMENTO DE POSTE DE CONCRETO COM COMPRIMENTO NOMINAL DE 10,5 M, CARGA NOMINAL DE 600 DAN, ENGASTAMENTO BASE CONCRETADA COM 1 M DE CONCRETO E 0,65 M DE SOLO (NÃO INCLUI FORNECIMENTO). AF_04/2025</t>
  </si>
  <si>
    <t>ASSENTAMENTO DE POSTE DE CONCRETO COM COMPRIMENTO NOMINAL DE 10,5 M, CARGA NOMINAL MAIOR QUE 1000 DAN, ENGASTAMENTO SIMPLES COM 1,65 M DE SOLO (NÃO INCLUI FORNECIMENTO). AF_04/2025</t>
  </si>
  <si>
    <t>ASSENTAMENTO DE POSTE DE CONCRETO COM COMPRIMENTO NOMINAL DE 10,5 M, CARGA NOMINAL MENOR OU IGUAL A 1000 DAN, ENGASTAMENTO SIMPLES COM 1,65 M DE SOLO (NÃO INCLUI FORNECIMENTO). AF_04/2025</t>
  </si>
  <si>
    <t>ASSENTAMENTO DE POSTE DE CONCRETO COM COMPRIMENTO NOMINAL DE 11 M, CARGA NOMINAL DE 1000 DAN, ENGASTAMENTO BASE CONCRETADA COM 1 M DE CONCRETO E 0,7 M DE SOLO (NÃO INCLUI FORNECIMENTO). AF_04/2025</t>
  </si>
  <si>
    <t>ASSENTAMENTO DE POSTE DE CONCRETO COM COMPRIMENTO NOMINAL DE 11 M, CARGA NOMINAL DE 300 DAN, ENGASTAMENTO BASE CONCRETADA COM 1 M DE CONCRETO E 0,7 M DE SOLO (NÃO INCLUI FORNECIMENTO). AF_04/2025</t>
  </si>
  <si>
    <t>ASSENTAMENTO DE POSTE DE CONCRETO COM COMPRIMENTO NOMINAL DE 11 M, CARGA NOMINAL DE 400 DAN, ENGASTAMENTO BASE CONCRETADA COM 1 M DE CONCRETO E 0,7 M DE SOLO (NÃO INCLUI FORNECIMENTO). AF_04/2025</t>
  </si>
  <si>
    <t>ASSENTAMENTO DE POSTE DE CONCRETO COM COMPRIMENTO NOMINAL DE 11 M, CARGA NOMINAL DE 600 DAN, ENGASTAMENTO BASE CONCRETADA COM 1 M DE CONCRETO E 0,7 M DE SOLO (NÃO INCLUI FORNECIMENTO). AF_04/2025</t>
  </si>
  <si>
    <t>ASSENTAMENTO DE POSTE DE CONCRETO COM COMPRIMENTO NOMINAL DE 11 M, CARGA NOMINAL MAIOR QUE 1000 DAN, ENGASTAMENTO SIMPLES COM 1,7 M DE SOLO (NÃO INCLUI FORNECIMENTO). AF_04/2025</t>
  </si>
  <si>
    <t>ASSENTAMENTO DE POSTE DE CONCRETO COM COMPRIMENTO NOMINAL DE 11 M, CARGA NOMINAL MENOR OU IGUAL A 1000 DAN, ENGASTAMENTO SIMPLES COM 1,7 M DE SOLO (NÃO INCLUI FORNECIMENTO). AF_04/2025</t>
  </si>
  <si>
    <t>ASSENTAMENTO DE POSTE DE CONCRETO COM COMPRIMENTO NOMINAL DE 12 M, CARGA NOMINAL DE 1000 DAN, ENGASTAMENTO BASE CONCRETADA COM 1 M DE CONCRETO E 0,8 M DE SOLO (NÃO INCLUI FORNECIMENTO). AF_04/2025</t>
  </si>
  <si>
    <t>ASSENTAMENTO DE POSTE DE CONCRETO COM COMPRIMENTO NOMINAL DE 12 M, CARGA NOMINAL DE 400 DAN, ENGASTAMENTO BASE CONCRETADA COM 1 M DE CONCRETO E 0,8 M DE SOLO (NÃO INCLUI FORNECIMENTO). AF_04/2025</t>
  </si>
  <si>
    <t>ASSENTAMENTO DE POSTE DE CONCRETO COM COMPRIMENTO NOMINAL DE 12 M, CARGA NOMINAL DE 600 DAN, ENGASTAMENTO BASE CONCRETADA COM 1 M DE CONCRETO E 0,8 M DE SOLO (NÃO INCLUI FORNECIMENTO). AF_04/2025</t>
  </si>
  <si>
    <t>ASSENTAMENTO DE POSTE DE CONCRETO COM COMPRIMENTO NOMINAL DE 12 M, CARGA NOMINAL MAIOR QUE 1000 DAN, ENGASTAMENTO SIMPLES COM 1,8 M DE SOLO (NÃO INCLUI FORNECIMENTO). AF_04/2025</t>
  </si>
  <si>
    <t>ASSENTAMENTO DE POSTE DE CONCRETO COM COMPRIMENTO NOMINAL DE 12 M, CARGA NOMINAL MENOR OU IGUAL A 1000 DAN, ENGASTAMENTO SIMPLES COM 1,8 M DE SOLO (NÃO INCLUI FORNECIMENTO). AF_04/2025</t>
  </si>
  <si>
    <t>ASSENTAMENTO DE POSTE DE CONCRETO COM COMPRIMENTO NOMINAL DE 13 M, CARGA NOMINAL DE 1000 DAN, ENGASTAMENTO BASE CONCRETADA COM 1 M DE CONCRETO E 0,9 M DE SOLO - SOMENTE INSTALAÇÃO, SEM FORNECIMENTO. AF_04/2025</t>
  </si>
  <si>
    <t>ASSENTAMENTO DE POSTE DE CONCRETO COM COMPRIMENTO NOMINAL DE 13 M, CARGA NOMINAL DE 600 DAN, ENGASTAMENTO BASE CONCRETADA COM 1 M DE CONCRETO E 0,9 M DE SOLO (NÃO INCLUI FORNECIMENTO). AF_04/2025</t>
  </si>
  <si>
    <t>ASSENTAMENTO DE POSTE DE CONCRETO COM COMPRIMENTO NOMINAL DE 13 M, CARGA NOMINAL MAIOR QUE 1000 DAN, ENGASTAMENTO SIMPLES COM 1,9 M DE SOLO (NÃO INCLUI FORNECIMENTO). AF_04/2025</t>
  </si>
  <si>
    <t>ASSENTAMENTO DE POSTE DE CONCRETO COM COMPRIMENTO NOMINAL DE 13 M, CARGA NOMINAL MENOR OU IGUAL A 1000 DAN, ENGASTAMENTO SIMPLES COM 1,9 M DE SOLO (NÃO INCLUI FORNECIMENTO). AF_04/2025</t>
  </si>
  <si>
    <t>ASSENTAMENTO DE POSTE DE CONCRETO COM COMPRIMENTO NOMINAL DE 13,5 M, CARGA NOMINAL MAIOR QUE 1000 DAN, ENGASTAMENTO SIMPLES COM 1,95 M DE SOLO (NÃO INCLUI FORNECIMENTO). AF_04/2025</t>
  </si>
  <si>
    <t>ASSENTAMENTO DE POSTE DE CONCRETO COM COMPRIMENTO NOMINAL DE 13,5 M, CARGA NOMINAL MENOR OU IGUAL A 1000 DAN, ENGASTAMENTO SIMPLES COM 1,95 M DE SOLO (NÃO INCLUI FORNECIMENTO). AF_04/2025</t>
  </si>
  <si>
    <t>ASSENTAMENTO DE POSTE DE CONCRETO COM COMPRIMENTO NOMINAL DE 14 M, CARGA NOMINAL MAIOR QUE 1000 DAN, ENGASTAMENTO SIMPLES COM 2 M DE SOLO (NÃO INCLUI FORNECIMENTO). AF_04/2025</t>
  </si>
  <si>
    <t>ASSENTAMENTO DE POSTE DE CONCRETO COM COMPRIMENTO NOMINAL DE 14 M, CARGA NOMINAL MENOR OU IGUAL A 1000 DAN, ENGASTAMENTO SIMPLES COM 2 M DE SOLO (NÃO INCLUI FORNECIMENTO). AF_04/2025</t>
  </si>
  <si>
    <t>ASSENTAMENTO DE POSTE DE CONCRETO COM COMPRIMENTO NOMINAL DE 15 M, CARGA NOMINAL MAIOR QUE 1000 DAN, ENGASTAMENTO SIMPLES COM 2,1 M DE SOLO (NÃO INCLUI FORNECIMENTO). AF_04/2025</t>
  </si>
  <si>
    <t>ASSENTAMENTO DE POSTE DE CONCRETO COM COMPRIMENTO NOMINAL DE 15 M, CARGA NOMINAL MENOR OU IGUAL A 1000 DAN, ENGASTAMENTO SIMPLES COM 2,1 M DE SOLO (NÃO INCLUI FORNECIMENTO). AF_04/2025</t>
  </si>
  <si>
    <t>ASSENTAMENTO DE POSTE DE CONCRETO COM COMPRIMENTO NOMINAL DE 18 M, CARGA NOMINAL MAIOR QUE 1000 DAN, ENGASTAMENTO SIMPLES COM 2,4 M DE SOLO (NÃO INCLUI FORNECIMENTO). AF_04/2025</t>
  </si>
  <si>
    <t>ASSENTAMENTO DE POSTE DE CONCRETO COM COMPRIMENTO NOMINAL DE 18 M, CARGA NOMINAL MENOR OU IGUAL A 1000 DAN, ENGASTAMENTO SIMPLES COM 2,4 M DE SOLO (NÃO INCLUI FORNECIMENTO). AF_04/2025</t>
  </si>
  <si>
    <t>ASSENTAMENTO DE POSTE DE CONCRETO COM COMPRIMENTO NOMINAL DE 20 M, CARGA NOMINAL MAIOR QUE 1000, ENGASTAMENTO SIMPLES COM 2,6 M DE SOLO (NÃO INCLUI FORNECIMENTO). AF_04/2025</t>
  </si>
  <si>
    <t>ASSENTAMENTO DE POSTE DE CONCRETO COM COMPRIMENTO NOMINAL DE 20 M, CARGA NOMINAL MENOR OU IGUAL A 1000 DAN, ENGASTAMENTO SIMPLES COM 2,6 M DE SOLO (NÃO INCLUI FORNECIMENTO). AF_04/2025</t>
  </si>
  <si>
    <t>ASSENTAMENTO DE POSTE DE CONCRETO COM COMPRIMENTO NOMINAL DE 9 M, CARGA NOMINAL DE 1000 DAN, ENGASTAMENTO BASE CONCRETADA COM 1 M DE CONCRETO E 0,5 M DE SOLO (NÃO INCLUI FORNECIMENTO). AF_04/2025</t>
  </si>
  <si>
    <t>ASSENTAMENTO DE POSTE DE CONCRETO COM COMPRIMENTO NOMINAL DE 9 M, CARGA NOMINAL DE 150 DAN, ENGASTAMENTO BASE CONCRETADA COM 1 M DE CONCRETO E 0,5 M DE SOLO (NÃO INCLUI FORNECIMENTO). AF_04/2025</t>
  </si>
  <si>
    <t>ASSENTAMENTO DE POSTE DE CONCRETO COM COMPRIMENTO NOMINAL DE 9 M, CARGA NOMINAL DE 300 DAN, ENGASTAMENTO BASE CONCRETADA COM 1 M DE CONCRETO E 0,5 M DE SOLO (NÃO INCLUI FORNECIMENTO). AF_04/2025</t>
  </si>
  <si>
    <t>ASSENTAMENTO DE POSTE DE CONCRETO COM COMPRIMENTO NOMINAL DE 9 M, CARGA NOMINAL DE 400 DAN, ENGASTAMENTO BASE CONCRETADA COM 1 M DE CONCRETO E 0,5 M DE SOLO (NÃO INCLUI FORNECIMENTO). AF_04/2025</t>
  </si>
  <si>
    <t>ASSENTAMENTO DE POSTE DE CONCRETO COM COMPRIMENTO NOMINAL DE 9 M, CARGA NOMINAL DE 600 DAN, ENGASTAMENTO BASE CONCRETADA COM 1 M DE CONCRETO E 0,5 M DE SOLO (NÃO INCLUI FORNECIMENTO). AF_04/2025</t>
  </si>
  <si>
    <t>ASSENTAMENTO DE POSTE DE CONCRETO COM COMPRIMENTO NOMINAL DE 9 M, CARGA NOMINAL MENOR OU IGUAL A 1000 DAN, ENGASTAMENTO SIMPLES COM 1,5 M DE SOLO (NÃO INCLUI FORNECIMENTO). AF_04/2025</t>
  </si>
  <si>
    <t>CORDOALHA DE ACO 7,9 (5/16) 7*2,64MM ZINCAGEM TIPO A E 13% DE IACS - FORNECIMENTO E INSTALAÇÃO. AF_04/2025</t>
  </si>
  <si>
    <t>CORDOALHA DE ACO 7,9 (5/16) 7*2,64MM ZINCAGEM TIPO B E 13% DE IACS - FORNECIMENTO E INSTALAÇÃO. AF_04/2025</t>
  </si>
  <si>
    <t>CORDOALHA DE ACO 9,5 (3/8) 7*3,05MM ZINCAGEM TIPO A E 13% DE IACS - FORNECIMENTO E INSTALAÇÃO. AF_04/2025</t>
  </si>
  <si>
    <t>CORDOALHA DE ACO 9,5(3/8) 7*3,05MM ZINCAGEM TIPO B E 13% DE IACS - FORNECIMENTO E INSTALAÇÃO. AF_04/2025</t>
  </si>
  <si>
    <t>ESTRUTURA DE ESTAIAMENTO PARA POSTES DE CONCRETO ANCORA CONCRETO - FORNECIMENTO E INSTALAÇÃO. AF_04/2025</t>
  </si>
  <si>
    <t>ESTRUTURA DE ESTAIAMENTO PARA POSTES DE CONCRETO CRUZETA A POSTE M3 E B3 - FORNECIMENTO E INSTALAÇÃO. AF_04/2025</t>
  </si>
  <si>
    <t>ESTRUTURA DE ESTAIAMENTO PARA POSTES DE CONCRETO CRUZETA A POSTE N3 - FORNECIMENTO E INSTALAÇÃO. AF_04/2025</t>
  </si>
  <si>
    <t>ESTRUTURA DE ESTAIAMENTO PARA POSTES DE CONCRETO HTE - FORNECIMENTO E INSTALAÇÃO. AF_04/2025</t>
  </si>
  <si>
    <t>ESTRUTURA DE ESTAIAMENTO PARA POSTES DE CONCRETO POSTE A POSTE - FORNECIMENTO E INSTALAÇÃO. AF_04/2025</t>
  </si>
  <si>
    <t>POSTE DE AÇO CÔNICO CONTÍNUO CURVO DUPLO, ENGASTAMENTO SIMPLES COM 1 M DE SOLO, H=6M - FORNECIMENTO E INSTALAÇÃO. AF_04/2025</t>
  </si>
  <si>
    <t>POSTE DE AÇO CÔNICO CONTÍNUO CURVO DUPLO, ENGASTAMENTO SIMPLES COM 1 M DE SOLO, H=7M - FORNECIMENTO E INSTALAÇÃO. AF_04/2025</t>
  </si>
  <si>
    <t>POSTE DE AÇO CÔNICO CONTÍNUO CURVO DUPLO, ENGASTAMENTO SIMPLES COM 1 M DE SOLO, H=8M - FORNECIMENTO E INSTALAÇÃO. AF_04/2025</t>
  </si>
  <si>
    <t>POSTE DE AÇO CÔNICO CONTÍNUO CURVO DUPLO, ENGASTAMENTO SIMPLES COM 1 M DE SOLO, H=9M - FORNECIMENTO E INSTALAÇÃO. AF_04/2025</t>
  </si>
  <si>
    <t>POSTE DE AÇO CÔNICO CONTÍNUO CURVO DUPLO, FLANGEADO, H=6M - FORNECIMENTO E INSTALAÇÃO. AF_04/2025</t>
  </si>
  <si>
    <t>POSTE DE AÇO CÔNICO CONTÍNUO CURVO DUPLO, FLANGEADO, H=7M - FORNECIMENTO E INSTALAÇÃO. AF_04/2025</t>
  </si>
  <si>
    <t>POSTE DE AÇO CÔNICO CONTÍNUO CURVO DUPLO, FLANGEADO, H=8M - FORNECIMENTO E INSTALAÇÃO. AF_04/2025</t>
  </si>
  <si>
    <t>POSTE DE AÇO CÔNICO CONTÍNUO CURVO DUPLO, FLANGEADO, H=9M - FORNECIMENTO E INSTALAÇÃO. AF_04/2025</t>
  </si>
  <si>
    <t>POSTE DE AÇO CÔNICO CONTÍNUO CURVO SIMPLES, ENGASTAMENTO SIMPLES COM 0,5 M DE SOLO, H=5M - FORNECIMENTO E INSTALAÇÃO. AF_04/2025</t>
  </si>
  <si>
    <t>POSTE DE AÇO CÔNICO CONTÍNUO CURVO SIMPLES, ENGASTAMENTO SIMPLES COM 1 M DE SOLO, H=6M - FORNECIMENTO E INSTALAÇÃO. AF_04/2025</t>
  </si>
  <si>
    <t>POSTE DE AÇO CÔNICO CONTÍNUO CURVO SIMPLES, ENGASTAMENTO SIMPLES COM 1 M DE SOLO, H=7M - FORNECIMENTO E INSTALAÇÃO. AF_04/2025</t>
  </si>
  <si>
    <t>POSTE DE AÇO CÔNICO CONTÍNUO CURVO SIMPLES, ENGASTAMENTO SIMPLES COM 1 M DE SOLO, H=8M - FORNECIMENTO E INSTALAÇÃO. AF_04/2025</t>
  </si>
  <si>
    <t>POSTE DE AÇO CÔNICO CONTÍNUO CURVO SIMPLES, ENGASTAMENTO SIMPLES COM 1 M DE SOLO, H=9M - FORNECIMENTO E INSTALAÇÃO. AF_04/2025</t>
  </si>
  <si>
    <t>POSTE DE AÇO CÔNICO CONTÍNUO CURVO SIMPLES, FLANGEADO, H=5M - FORNECIMENTO E INSTALAÇÃO. AF_04/2025</t>
  </si>
  <si>
    <t>POSTE DE AÇO CÔNICO CONTÍNUO CURVO SIMPLES, FLANGEADO, H=6M - FORNECIMENTO E INSTALAÇÃO. AF_04/2025</t>
  </si>
  <si>
    <t>POSTE DE AÇO CÔNICO CONTÍNUO CURVO SIMPLES, FLANGEADO, H=7M - FORNECIMENTO E INSTALAÇÃO. AF_04/2025</t>
  </si>
  <si>
    <t>POSTE DE AÇO CÔNICO CONTÍNUO CURVO SIMPLES, FLANGEADO, H=8M - FORNECIMENTO E INSTALAÇÃO. AF_04/2025</t>
  </si>
  <si>
    <t>POSTE DE AÇO CÔNICO CONTÍNUO CURVO SIMPLES, FLANGEADO, H=9M - FORNECIMENTO E INSTALAÇÃO. AF_04/2025</t>
  </si>
  <si>
    <t>POSTE DE AÇO CÔNICO CONTÍNUO RETO, ENGASTAMENTO SIMPLES COM 0,5 M DE SOLO, H=5M - FORNECIMENTO E INSTALAÇÃO. AF_04/2025</t>
  </si>
  <si>
    <t>POSTE DE AÇO CÔNICO CONTÍNUO RETO, ENGASTAMENTO SIMPLES COM 1 M DE SOLO, H=6M - FORNECIMENTO E INSTALAÇÃO. AF_04/2025</t>
  </si>
  <si>
    <t>POSTE DE AÇO CÔNICO CONTÍNUO RETO, ENGASTAMENTO SIMPLES COM 1 M DE SOLO, H=7M - FORNECIMENTO E INSTALAÇÃO. AF_04/2025</t>
  </si>
  <si>
    <t>POSTE DE AÇO CÔNICO CONTÍNUO RETO, ENGASTAMENTO SIMPLES COM 1 M DE SOLO, H=8M - FORNECIMENTO E INSTALAÇÃO. AF_04/2025</t>
  </si>
  <si>
    <t>POSTE DE AÇO CÔNICO CONTÍNUO RETO, ENGASTAMENTO SIMPLES COM 1 M DE SOLO, H=9M - FORNECIMENTO E INSTALAÇÃO. AF_04/2025</t>
  </si>
  <si>
    <t>POSTE DE AÇO CÔNICO CONTÍNUO RETO, FLANGEADO, H=5M - FORNECIMENTO E INSTALAÇÃO. AF_04/2025</t>
  </si>
  <si>
    <t>POSTE DE AÇO CÔNICO CONTÍNUO RETO, FLANGEADO, H=6M - FORNECIMENTO E INSTALAÇÃO. AF_04/2025</t>
  </si>
  <si>
    <t>POSTE DE AÇO CÔNICO CONTÍNUO RETO, FLANGEADO, H=7M - FORNECIMENTO E INSTALAÇÃO. AF_04/2025</t>
  </si>
  <si>
    <t>POSTE DE AÇO CÔNICO CONTÍNUO RETO, FLANGEADO, H=8M - FORNECIMENTO E INSTALAÇÃO. AF_04/2025</t>
  </si>
  <si>
    <t>POSTE DE AÇO CÔNICO CONTÍNUO RETO, FLANGEADO, H=9M - FORNECIMENTO E INSTALAÇÃO. AF_04/2025</t>
  </si>
  <si>
    <t>POSTE DECORATIVO PARA JARDIM EM AÇO TUBULAR, H = *2,5* M, SEM LUMINÁRIA - FORNECIMENTO E INSTALAÇÃO. AF_04/2025</t>
  </si>
  <si>
    <t>ACRÉSCIMO PARA POÇO DE VISITA CIRCULAR PARA DRENAGEM, EM ALVENARIA COM TIJOLOS CERÂMICOS MACIÇOS, DIÂMETRO INTERNO = 0,8 M. AF_12/2020</t>
  </si>
  <si>
    <t>ACRÉSCIMO PARA POÇO DE VISITA CIRCULAR PARA DRENAGEM, EM ALVENARIA COM TIJOLOS CERÂMICOS MACIÇOS, DIÂMETRO INTERNO = 1 M. AF_12/2020</t>
  </si>
  <si>
    <t>ACRÉSCIMO PARA POÇO DE VISITA CIRCULAR PARA DRENAGEM, EM ALVENARIA COM TIJOLOS CERÂMICOS MACIÇOS, DIÂMETRO INTERNO = 1,2 M. AF_12/2020</t>
  </si>
  <si>
    <t>ACRÉSCIMO PARA POÇO DE VISITA CIRCULAR PARA DRENAGEM, EM ALVENARIA COM TIJOLOS CERÂMICOS MACIÇOS, DIÂMETRO INTERNO = 1,5 M. AF_12/2020</t>
  </si>
  <si>
    <t>ACRÉSCIMO PARA POÇO DE VISITA CIRCULAR PARA DRENAGEM, EM CONCRETO PRÉ-MOLDADO, DIÂMETRO INTERNO = 0,8 M. AF_12/2020</t>
  </si>
  <si>
    <t>ACRÉSCIMO PARA POÇO DE VISITA CIRCULAR PARA DRENAGEM, EM CONCRETO PRÉ-MOLDADO, DIÂMETRO INTERNO = 1 M. AF_12/2020</t>
  </si>
  <si>
    <t>ACRÉSCIMO PARA POÇO DE VISITA CIRCULAR PARA DRENAGEM, EM CONCRETO PRÉ-MOLDADO, DIÂMETRO INTERNO = 1,2 M. AF_12/2020</t>
  </si>
  <si>
    <t>ACRÉSCIMO PARA POÇO DE VISITA CIRCULAR PARA DRENAGEM, EM CONCRETO PRÉ-MOLDADO, DIÂMETRO INTERNO = 1,5 M. AF_12/2020</t>
  </si>
  <si>
    <t>ACRÉSCIMO PARA POÇO DE VISITA CIRCULAR PARA ESGOTO, EM ALVENARIA COM TIJOLOS CERÂMICOS MACIÇOS, DIÂMETRO INTERNO = 0,8 M. AF_12/2020</t>
  </si>
  <si>
    <t>ACRÉSCIMO PARA POÇO DE VISITA CIRCULAR PARA ESGOTO, EM ALVENARIA COM TIJOLOS CERÂMICOS MACIÇOS, DIÂMETRO INTERNO = 1 M. AF_12/2020</t>
  </si>
  <si>
    <t>ACRÉSCIMO PARA POÇO DE VISITA CIRCULAR PARA ESGOTO, EM ALVENARIA COM TIJOLOS CERÂMICOS MACIÇOS, DIÂMETRO INTERNO = 1,2 M. AF_12/2020</t>
  </si>
  <si>
    <t>ACRÉSCIMO PARA POÇO DE VISITA CIRCULAR PARA ESGOTO, EM ALVENARIA COM TIJOLOS CERÂMICOS MACIÇOS, DIÂMETRO INTERNO = 1,5 M. AF_12/2020</t>
  </si>
  <si>
    <t>ACRÉSCIMO PARA POÇO DE VISITA CIRCULAR PARA ESGOTO, EM CONCRETO PRÉ-MOLDADO, DIÂMETRO INTERNO = 0,8 M. AF_12/2020</t>
  </si>
  <si>
    <t>ACRÉSCIMO PARA POÇO DE VISITA CIRCULAR PARA ESGOTO, EM CONCRETO PRÉ-MOLDADO, DIÂMETRO INTERNO = 1 M. AF_12/2020</t>
  </si>
  <si>
    <t>ACRÉSCIMO PARA POÇO DE VISITA CIRCULAR PARA ESGOTO, EM CONCRETO PRÉ-MOLDADO, DIÂMETRO INTERNO = 1,2 M. AF_12/2020</t>
  </si>
  <si>
    <t>ACRÉSCIMO PARA POÇO DE VISITA CIRCULAR PARA ESGOTO, EM CONCRETO PRÉ-MOLDADO, DIÂMETRO INTERNO = 1,5 M. AF_12/2020</t>
  </si>
  <si>
    <t>ACRÉSCIMO PARA POÇO DE VISITA RETANGULAR PARA DRENAGEM, EM ALVENARIA COM BLOCOS DE CONCRETO, DIMENSÕES INTERNAS = 1,5X1,5 M. AF_12/2020</t>
  </si>
  <si>
    <t>ACRÉSCIMO PARA POÇO DE VISITA RETANGULAR PARA DRENAGEM, EM ALVENARIA COM BLOCOS DE CONCRETO, DIMENSÕES INTERNAS = 1,5X2 M. AF_12/2020</t>
  </si>
  <si>
    <t>ACRÉSCIMO PARA POÇO DE VISITA RETANGULAR PARA DRENAGEM, EM ALVENARIA COM BLOCOS DE CONCRETO, DIMENSÕES INTERNAS = 1,5X2,5 M. AF_12/2020</t>
  </si>
  <si>
    <t>ACRÉSCIMO PARA POÇO DE VISITA RETANGULAR PARA DRENAGEM, EM ALVENARIA COM BLOCOS DE CONCRETO, DIMENSÕES INTERNAS = 1,5X3 M. AF_12/2020</t>
  </si>
  <si>
    <t>ACRÉSCIMO PARA POÇO DE VISITA RETANGULAR PARA DRENAGEM, EM ALVENARIA COM BLOCOS DE CONCRETO, DIMENSÕES INTERNAS = 1,5X3,5 M. AF_12/2020</t>
  </si>
  <si>
    <t>ACRÉSCIMO PARA POÇO DE VISITA RETANGULAR PARA DRENAGEM, EM ALVENARIA COM BLOCOS DE CONCRETO, DIMENSÕES INTERNAS = 1,5X4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</si>
  <si>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</si>
  <si>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</si>
  <si>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</si>
  <si>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</si>
  <si>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1X3 M. AF_12/2020</t>
  </si>
  <si>
    <t>ACRÉSCIMO PARA POÇO DE VISITA RETANGULAR PARA DRENAGEM, EM ALVENARIA COM BLOCOS DE CONCRETO, DIMENSÕES INTERNAS = 1X3,5 M. AF_12/2020</t>
  </si>
  <si>
    <t>ACRÉSCIMO PARA POÇO DE VISITA RETANGULAR PARA DRENAGEM, EM ALVENARIA COM BLOCOS DE CONCRETO, DIMENSÕES INTERNAS = 1X4 M. AF_12/2020</t>
  </si>
  <si>
    <t>ACRÉSCIMO PARA POÇO DE VISITA RETANGULAR PARA DRENAGEM, EM ALVENARIA COM BLOCOS DE CONCRETO, DIMENSÕES INTERNAS = 2,5X2,5 M. AF_12/2020</t>
  </si>
  <si>
    <t>ACRÉSCIMO PARA POÇO DE VISITA RETANGULAR PARA DRENAGEM, EM ALVENARIA COM BLOCOS DE CONCRETO, DIMENSÕES INTERNAS = 2,5X3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</si>
  <si>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</si>
  <si>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</si>
  <si>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2X2 M. AF_12/2020</t>
  </si>
  <si>
    <t>ACRÉSCIMO PARA POÇO DE VISITA RETANGULAR PARA DRENAGEM, EM ALVENARIA COM BLOCOS DE CONCRETO, DIMENSÕES INTERNAS = 2X2,5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</si>
  <si>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</si>
  <si>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</si>
  <si>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</si>
  <si>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</si>
  <si>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</si>
  <si>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</si>
  <si>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</si>
  <si>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3X4 M. AF_12/2020</t>
  </si>
  <si>
    <t>ACRÉSCIMO PARA POÇO DE VISITA RETANGULAR PARA DRENAGEM, EM ALVENARIA COM BLOCOS DE CONCRETO, DIMENSÕES INTERNAS = 4X4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</si>
  <si>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</si>
  <si>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</si>
  <si>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</si>
  <si>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</si>
  <si>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</si>
  <si>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</si>
  <si>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</si>
  <si>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</si>
  <si>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</si>
  <si>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</si>
  <si>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</si>
  <si>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</si>
  <si>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</si>
  <si>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</si>
  <si>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</si>
  <si>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</si>
  <si>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</si>
  <si>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</si>
  <si>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</si>
  <si>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</si>
  <si>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</si>
  <si>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</si>
  <si>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</si>
  <si>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</si>
  <si>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</si>
  <si>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</si>
  <si>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</si>
  <si>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4X4 M. AF_12/2020</t>
  </si>
  <si>
    <t>BASE PARA POCO DE VISITA RETANGULAR PARA ESGOTO E DRENAGEM, EM CONCRETO ESTRUTURAL, DIMENSÕES INTERNAS DE 90X150 M, PROFUNDIDADE DE 1,25 M, EXCLUINDO TAMPÃO. AF_12/2020</t>
  </si>
  <si>
    <t>BASE PARA POÇO DE VISITA CIRCULAR PARA DRENAGEM, EM ALVENARIA COM TIJOLOS CERÂMICOS MACIÇOS, DIÂMETRO INTERNO = 0,80 M, PROFUNDIDADE = 1,40 M, EXCLUINDO TAMPÃO. AF_12/2020</t>
  </si>
  <si>
    <t>BASE PARA POÇO DE VISITA CIRCULAR PARA DRENAGEM, EM ALVENARIA COM TIJOLOS CERÂMICOS MACIÇOS, DIÂMETRO INTERNO = 1,0 M, PROFUNDIDADE = 1,40 M, EXCLUINDO TAMPÃO. AF_12/2020</t>
  </si>
  <si>
    <t>BASE PARA POÇO DE VISITA CIRCULAR PARA DRENAGEM, EM ALVENARIA COM TIJOLOS CERÂMICOS MACIÇOS, DIÂMETRO INTERNO = 1,2 M, PROFUNDIDADE = 1,40 M, EXCLUINDO TAMPÃO. AF_12/2020</t>
  </si>
  <si>
    <t>BASE PARA POÇO DE VISITA CIRCULAR PARA DRENAGEM, EM ALVENARIA COM TIJOLOS CERÂMICOS MACIÇOS, DIÂMETRO INTERNO = 1,50 M, PROFUNDIDADE = 1,40 M, EXCLUINDO TAMPÃO. AF_12/2020</t>
  </si>
  <si>
    <t>BASE PARA POÇO DE VISITA CIRCULAR PARA DRENAGEM, EM CONCRETO PRÉ-MOLDADO, DIÂMETRO INTERNO = 0,80 M, PROFUNDIDADE = 1,35 M, EXCLUINDO TAMPÃO. AF_12/2020</t>
  </si>
  <si>
    <t>BASE PARA POÇO DE VISITA CIRCULAR PARA DRENAGEM, EM CONCRETO PRÉ-MOLDADO, DIÂMETRO INTERNO = 1,0 M, PROFUNDIDADE = 1,35 M, EXCLUINDO TAMPÃO. AF_05/2018</t>
  </si>
  <si>
    <t>BASE PARA POÇO DE VISITA CIRCULAR PARA DRENAGEM, EM CONCRETO PRÉ-MOLDADO, DIÂMETRO INTERNO = 1,20 M, PROFUNDIDADE = 1,60 M, EXCLUINDO TAMPÃO. AF_05/2021</t>
  </si>
  <si>
    <t>BASE PARA POÇO DE VISITA CIRCULAR PARA DRENAGEM, EM CONCRETO PRÉ-MOLDADO, DIÂMETRO INTERNO = 1,50 M, PROFUNDIDADE = 1,35 M, EXCLUINDO TAMPÃO. AF_12/2020</t>
  </si>
  <si>
    <t>BASE PARA POÇO DE VISITA CIRCULAR PARA ESGOTO, EM ALVENARIA COM TIJOLOS CERÂMICOS MACIÇOS, DIÂMETRO INTERNO = 0,80 M, PROFUNDIDADE = 1,40 M, EXCLUINDO TAMPÃO. AF_12/2020</t>
  </si>
  <si>
    <t>BASE PARA POÇO DE VISITA CIRCULAR PARA ESGOTO, EM ALVENARIA COM TIJOLOS CERÂMICOS MACIÇOS, DIÂMETRO INTERNO = 1,0 M, PROFUNDIDADE = 1,40 M, EXCLUINDO TAMPÃO. AF_12/2020</t>
  </si>
  <si>
    <t>BASE PARA POÇO DE VISITA CIRCULAR PARA ESGOTO, EM ALVENARIA COM TIJOLOS CERÂMICOS MACIÇOS, DIÂMETRO INTERNO = 1,20 M, PROFUNDIDADE = 1,40 M, EXCLUINDO TAMPÃO. AF_12/2020</t>
  </si>
  <si>
    <t>BASE PARA POÇO DE VISITA CIRCULAR PARA ESGOTO, EM ALVENARIA COM TIJOLOS CERÂMICOS MACIÇOS, DIÂMETRO INTERNO = 1,50 M, PROFUNDIDADE = 1,40 M, EXCLUINDO TAMPÃO. AF_12/2020</t>
  </si>
  <si>
    <t>BASE PARA POÇO DE VISITA CIRCULAR PARA ESGOTO, EM CONCRETO PRÉ-MOLDADO, DIÂMETRO INTERNO = 0,80 M, PROFUNDIDADE = 1,35 M, EXCLUINDO TAMPÃO. AF_12/2020</t>
  </si>
  <si>
    <t>BASE PARA POÇO DE VISITA CIRCULAR PARA ESGOTO, EM CONCRETO PRÉ-MOLDADO, DIÂMETRO INTERNO = 1,0 M, PROFUNDIDADE = 1,35 M, EXCLUINDO TAMPÃO. AF_12/2020</t>
  </si>
  <si>
    <t>BASE PARA POÇO DE VISITA CIRCULAR PARA ESGOTO, EM CONCRETO PRÉ-MOLDADO, DIÂMETRO INTERNO = 1,20 M, PROFUNDIDADE = 1,60 M, EXCLUINDO TAMPÃO. AF_12/2020</t>
  </si>
  <si>
    <t>BASE PARA POÇO DE VISITA CIRCULAR PARA ESGOTO, EM CONCRETO PRÉ-MOLDADO, DIÂMETRO INTERNO = 1,50 M, PROFUNDIDADE = 1,35 M, EXCLUINDO TAMPÃO. AF_12/2020</t>
  </si>
  <si>
    <t>BASE PARA POÇO DE VISITA RETANGULAR PARA DRENAGEM, EM ALVENARIA COM BLOCOS DE CONCRETO, DIMENSÕES INTERNAS = 1,5X1,5 M, PROFUNDIDADE = 1,40 M, EXCLUINDO TAMPÃO. AF_12/2020</t>
  </si>
  <si>
    <t>BASE PARA POÇO DE VISITA RETANGULAR PARA DRENAGEM, EM ALVENARIA COM BLOCOS DE CONCRETO, DIMENSÕES INTERNAS = 1,5X2 M, PROFUNDIDADE = 1,40 M, EXCLUINDO TAMPÃO. AF_12/2020</t>
  </si>
  <si>
    <t>BASE PARA POÇO DE VISITA RETANGULAR PARA DRENAGEM, EM ALVENARIA COM BLOCOS DE CONCRETO, DIMENSÕES INTERNAS = 1,5X2,5 M, PROFUNDIDADE = 1,40 M, EXCLUINDO TAMPÃO. AF_12/2020</t>
  </si>
  <si>
    <t>BASE PARA POÇO DE VISITA RETANGULAR PARA DRENAGEM, EM ALVENARIA COM BLOCOS DE CONCRETO, DIMENSÕES INTERNAS = 1,5X3 M, PROFUNDIDADE = 1,40 M, EXCLUINDO TAMPÃO. AF_12/2020</t>
  </si>
  <si>
    <t>BASE PARA POÇO DE VISITA RETANGULAR PARA DRENAGEM, EM ALVENARIA COM BLOCOS DE CONCRETO, DIMENSÕES INTERNAS = 1,5X3,5 M, PROFUNDIDADE = 1,40 M, EXCLUINDO TAMPÃO. AF_12/2020</t>
  </si>
  <si>
    <t>BASE PARA POÇO DE VISITA RETANGULAR PARA DRENAGEM, EM ALVENARIA COM BLOCOS DE CONCRETO, DIMENSÕES INTERNAS = 1,5X4 M, PROFUNDIDADE = 1,40 M, EXCLUINDO TAMPÃO. AF_12/2020</t>
  </si>
  <si>
    <t>BASE PARA POÇO DE VISITA RETANGULAR PARA DRENAGEM, EM ALVENARIA COM BLOCOS DE CONCRETO, DIMENSÕES INTERNAS = 1X1 M, PROFUNDIDADE = 1,40 M, EXCLUINDO TAMPÃO. AF_12/2020</t>
  </si>
  <si>
    <t>BASE PARA POÇO DE VISITA RETANGULAR PARA DRENAGEM, EM ALVENARIA COM BLOCOS DE CONCRETO, DIMENSÕES INTERNAS = 1X1,5 M, PROFUNDIDADE = 1,40 M, EXCLUINDO TAMPÃO. AF_12/2020</t>
  </si>
  <si>
    <t>BASE PARA POÇO DE VISITA RETANGULAR PARA DRENAGEM, EM ALVENARIA COM BLOCOS DE CONCRETO, DIMENSÕES INTERNAS = 1X2 M, PROFUNDIDADE = 1,40 M, EXCLUINDO TAMPÃO. AF_12/2020</t>
  </si>
  <si>
    <t>BASE PARA POÇO DE VISITA RETANGULAR PARA DRENAGEM, EM ALVENARIA COM BLOCOS DE CONCRETO, DIMENSÕES INTERNAS = 1X2,5 M, PROFUNDIDADE = 1,40 M, EXCLUINDO TAMPÃO. AF_12/2020</t>
  </si>
  <si>
    <t>BASE PARA POÇO DE VISITA RETANGULAR PARA DRENAGEM, EM ALVENARIA COM BLOCOS DE CONCRETO, DIMENSÕES INTERNAS = 1X3 M, PROFUNDIDADE = 1,40 M, EXCLUINDO TAMPÃO. AF_12/2020</t>
  </si>
  <si>
    <t>BASE PARA POÇO DE VISITA RETANGULAR PARA DRENAGEM, EM ALVENARIA COM BLOCOS DE CONCRETO, DIMENSÕES INTERNAS = 1X3,5 M, PROFUNDIDADE = 1,40 M, EXCLUINDO TAMPÃO. AF_12/2020</t>
  </si>
  <si>
    <t>BASE PARA POÇO DE VISITA RETANGULAR PARA DRENAGEM, EM ALVENARIA COM BLOCOS DE CONCRETO, DIMENSÕES INTERNAS = 1X4 M, PROFUNDIDADE = 1,40 M, EXCLUINDO TAMPÃO. AF_12/2020</t>
  </si>
  <si>
    <t>BASE PARA POÇO DE VISITA RETANGULAR PARA DRENAGEM, EM ALVENARIA COM BLOCOS DE CONCRETO, DIMENSÕES INTERNAS = 2,5X2,5 M, PROFUNDIDADE = 1,40 M, EXCLUINDO TAMPÃO. AF_12/2020</t>
  </si>
  <si>
    <t>BASE PARA POÇO DE VISITA RETANGULAR PARA DRENAGEM, EM ALVENARIA COM BLOCOS DE CONCRETO, DIMENSÕES INTERNAS = 2,5X3 M, PROFUNDIDADE = 1,40 M, EXCLUINDO TAMPÃO. AF_12/2020</t>
  </si>
  <si>
    <t>BASE PARA POÇO DE VISITA RETANGULAR PARA DRENAGEM, EM ALVENARIA COM BLOCOS DE CONCRETO, DIMENSÕES INTERNAS = 2,5X3,5 M, PROFUNDIDADE = 1,40 M, EXCLUINDO TAMPÃO. AF_12/2020</t>
  </si>
  <si>
    <t>BASE PARA POÇO DE VISITA RETANGULAR PARA DRENAGEM, EM ALVENARIA COM BLOCOS DE CONCRETO, DIMENSÕES INTERNAS = 2,5X4 M, PROFUNDIDADE = 1,40 M, EXCLUINDO TAMPÃO. AF_12/2020</t>
  </si>
  <si>
    <t>BASE PARA POÇO DE VISITA RETANGULAR PARA DRENAGEM, EM ALVENARIA COM BLOCOS DE CONCRETO, DIMENSÕES INTERNAS = 2X2 M, PROFUNDIDADE = 1,40 M, EXCLUINDO TAMPÃO. AF_12/2020</t>
  </si>
  <si>
    <t>BASE PARA POÇO DE VISITA RETANGULAR PARA DRENAGEM, EM ALVENARIA COM BLOCOS DE CONCRETO, DIMENSÕES INTERNAS = 2X2,5 M, PROFUNDIDADE = 1,40 M, EXCLUINDO TAMPÃO. AF_12/2020</t>
  </si>
  <si>
    <t>BASE PARA POÇO DE VISITA RETANGULAR PARA DRENAGEM, EM ALVENARIA COM BLOCOS DE CONCRETO, DIMENSÕES INTERNAS = 2X3 M, PROFUNDIDADE = 1,40 M, EXCLUINDO TAMPÃO. AF_12/2020</t>
  </si>
  <si>
    <t>BASE PARA POÇO DE VISITA RETANGULAR PARA DRENAGEM, EM ALVENARIA COM BLOCOS DE CONCRETO, DIMENSÕES INTERNAS = 2X3,5 M, PROFUNDIDADE = 1,40 M, EXCLUINDO TAMPÃO. AF_12/2020</t>
  </si>
  <si>
    <t>BASE PARA POÇO DE VISITA RETANGULAR PARA DRENAGEM, EM ALVENARIA COM BLOCOS DE CONCRETO, DIMENSÕES INTERNAS = 2X4 M, PROFUNDIDADE = 1,40 M, EXCLUINDO TAMPÃO. AF_12/2020</t>
  </si>
  <si>
    <t>BASE PARA POÇO DE VISITA RETANGULAR PARA DRENAGEM, EM ALVENARIA COM BLOCOS DE CONCRETO, DIMENSÕES INTERNAS = 3,5X3,5 M, PROFUNDIDADE = 1,40 M, EXCLUINDO TAMPÃO. AF_12/2020</t>
  </si>
  <si>
    <t>BASE PARA POÇO DE VISITA RETANGULAR PARA DRENAGEM, EM ALVENARIA COM BLOCOS DE CONCRETO, DIMENSÕES INTERNAS = 3,5X4 M, PROFUNDIDADE = 1,40 M, EXCLUINDO TAMPÃO. AF_12/2020</t>
  </si>
  <si>
    <t>BASE PARA POÇO DE VISITA RETANGULAR PARA DRENAGEM, EM ALVENARIA COM BLOCOS DE CONCRETO, DIMENSÕES INTERNAS = 3X3 M, PROFUNDIDADE = 1,40 M, EXCLUINDO TAMPÃO. AF_12/2020</t>
  </si>
  <si>
    <t>BASE PARA POÇO DE VISITA RETANGULAR PARA DRENAGEM, EM ALVENARIA COM BLOCOS DE CONCRETO, DIMENSÕES INTERNAS = 3X3,5 M, PROFUNDIDADE = 1,40 M, EXCLUINDO TAMPÃO. AF_12/2020</t>
  </si>
  <si>
    <t>BASE PARA POÇO DE VISITA RETANGULAR PARA DRENAGEM, EM ALVENARIA COM BLOCOS DE CONCRETO, DIMENSÕES INTERNAS = 3X4 M, PROFUNDIDADE = 1,40 M, EXCLUINDO TAMPÃO. AF_12/2020</t>
  </si>
  <si>
    <t>BASE PARA POÇO DE VISITA RETANGULAR PARA DRENAGEM, EM ALVENARIA COM BLOCOS DE CONCRETO, DIMENSÕES INTERNAS = 4X4 M, PROFUNDIDADE = 1,40 M, EXCLUINDO TAMPÃO. AF_12/2020</t>
  </si>
  <si>
    <t>BASE PARA POÇO DE VISITA RETANGULAR PARA ESGOTO, EM ALVENARIA COM BLOCOS DE CONCRETO, DIMENSÕES INTERNAS = 1,5X1,5 M, PROFUNDIDADE = 1,45 M, EXCLUINDO TAMPÃO . AF_12/2020</t>
  </si>
  <si>
    <t>BASE PARA POÇO DE VISITA RETANGULAR PARA ESGOTO, EM ALVENARIA COM BLOCOS DE CONCRETO, DIMENSÕES INTERNAS = 1,5X2 M, PROFUNDIDADE = 1,40 M, EXCLUINDO TAMPÃO. AF_12/2020</t>
  </si>
  <si>
    <t>BASE PARA POÇO DE VISITA RETANGULAR PARA ESGOTO, EM ALVENARIA COM BLOCOS DE CONCRETO, DIMENSÕES INTERNAS = 1,5X2,5 M, PROFUNDIDADE = 1,40 M, EXCLUINDO TAMPÃO. AF_12/2020</t>
  </si>
  <si>
    <t>BASE PARA POÇO DE VISITA RETANGULAR PARA ESGOTO, EM ALVENARIA COM BLOCOS DE CONCRETO, DIMENSÕES INTERNAS = 1,5X3 M, PROFUNDIDADE = 1,40 M, EXCLUINDO TAMPÃO. AF_12/2020</t>
  </si>
  <si>
    <t>BASE PARA POÇO DE VISITA RETANGULAR PARA ESGOTO, EM ALVENARIA COM BLOCOS DE CONCRETO, DIMENSÕES INTERNAS = 1,5X3,5 M, PROFUNDIDADE = 1,40 M, EXCLUINDO TAMPÃO. AF_12/2020</t>
  </si>
  <si>
    <t>BASE PARA POÇO DE VISITA RETANGULAR PARA ESGOTO, EM ALVENARIA COM BLOCOS DE CONCRETO, DIMENSÕES INTERNAS = 1,5X4 M, PROFUNDIDADE = 1,40 M, EXCLUINDO TAMPÃO. AF_12/2020</t>
  </si>
  <si>
    <t>BASE PARA POÇO DE VISITA RETANGULAR PARA ESGOTO, EM ALVENARIA COM BLOCOS DE CONCRETO, DIMENSÕES INTERNAS = 1X1 M, PROFUNDIDADE = 1,40 M, EXCLUINDO TAMPÃO. AF_12/2020</t>
  </si>
  <si>
    <t>BASE PARA POÇO DE VISITA RETANGULAR PARA ESGOTO, EM ALVENARIA COM BLOCOS DE CONCRETO, DIMENSÕES INTERNAS = 1X1,5 M, PROFUNDIDADE = 1,40 M, EXCLUINDO TAMPÃO. AF_12/2020</t>
  </si>
  <si>
    <t>BASE PARA POÇO DE VISITA RETANGULAR PARA ESGOTO, EM ALVENARIA COM BLOCOS DE CONCRETO, DIMENSÕES INTERNAS = 1X2 M, PROFUNDIDADE = 1,40 M, EXCLUINDO TAMPÃO. AF_12/2020</t>
  </si>
  <si>
    <t>BASE PARA POÇO DE VISITA RETANGULAR PARA ESGOTO, EM ALVENARIA COM BLOCOS DE CONCRETO, DIMENSÕES INTERNAS = 1X2,5 M, PROFUNDIDADE = 1,40 M, EXCLUINDO TAMPÃO. AF_12/2020</t>
  </si>
  <si>
    <t>BASE PARA POÇO DE VISITA RETANGULAR PARA ESGOTO, EM ALVENARIA COM BLOCOS DE CONCRETO, DIMENSÕES INTERNAS = 1X3 M, PROFUNDIDADE = 1,40 M, EXCLUINDO TAMPÃO. AF_12/2020</t>
  </si>
  <si>
    <t>BASE PARA POÇO DE VISITA RETANGULAR PARA ESGOTO, EM ALVENARIA COM BLOCOS DE CONCRETO, DIMENSÕES INTERNAS = 1X3,5 M, PROFUNDIDADE = 1,40 M, EXCLUINDO TAMPÃO. AF_12/2020</t>
  </si>
  <si>
    <t>BASE PARA POÇO DE VISITA RETANGULAR PARA ESGOTO, EM ALVENARIA COM BLOCOS DE CONCRETO, DIMENSÕES INTERNAS = 1X4 M, PROFUNDIDADE = 1,40 M, EXCLUINDO TAMPÃO. AF_12/2020</t>
  </si>
  <si>
    <t>BASE PARA POÇO DE VISITA RETANGULAR PARA ESGOTO, EM ALVENARIA COM BLOCOS DE CONCRETO, DIMENSÕES INTERNAS = 2,5X2,5 M, PROFUNDIDADE = 1,40 M, EXCLUINDO TAMPÃO. AF_12/2020</t>
  </si>
  <si>
    <t>BASE PARA POÇO DE VISITA RETANGULAR PARA ESGOTO, EM ALVENARIA COM BLOCOS DE CONCRETO, DIMENSÕES INTERNAS = 2,5X3 M, PROFUNDIDADE = 1,40 M, EXCLUINDO TAMPÃO. AF_12/2020</t>
  </si>
  <si>
    <t>BASE PARA POÇO DE VISITA RETANGULAR PARA ESGOTO, EM ALVENARIA COM BLOCOS DE CONCRETO, DIMENSÕES INTERNAS = 2,5X3,5 M, PROFUNDIDADE = 1,40 M, EXCLUINDO TAMPÃO. AF_12/2020</t>
  </si>
  <si>
    <t>BASE PARA POÇO DE VISITA RETANGULAR PARA ESGOTO, EM ALVENARIA COM BLOCOS DE CONCRETO, DIMENSÕES INTERNAS = 2,5X4 M, PROFUNDIDADE = 1,40 M, EXCLUINDO TAMPÃO. AF_12/2020</t>
  </si>
  <si>
    <t>BASE PARA POÇO DE VISITA RETANGULAR PARA ESGOTO, EM ALVENARIA COM BLOCOS DE CONCRETO, DIMENSÕES INTERNAS = 2X2 M, PROFUNDIDADE = 1,40 M, EXCLUINDO TAMPÃO. AF_12/2020</t>
  </si>
  <si>
    <t>BASE PARA POÇO DE VISITA RETANGULAR PARA ESGOTO, EM ALVENARIA COM BLOCOS DE CONCRETO, DIMENSÕES INTERNAS = 2X2,5 M, PROFUNDIDADE = 1,40 M, EXCLUINDO TAMPÃO. AF_12/2020</t>
  </si>
  <si>
    <t>BASE PARA POÇO DE VISITA RETANGULAR PARA ESGOTO, EM ALVENARIA COM BLOCOS DE CONCRETO, DIMENSÕES INTERNAS = 2X3 M, PROFUNDIDADE = 1,40 M, EXCLUINDO TAMPÃO. AF_12/2020</t>
  </si>
  <si>
    <t>BASE PARA POÇO DE VISITA RETANGULAR PARA ESGOTO, EM ALVENARIA COM BLOCOS DE CONCRETO, DIMENSÕES INTERNAS = 2X3,5 M, PROFUNDIDADE = 1,40 M, EXCLUINDO TAMPÃO. AF_12/2020</t>
  </si>
  <si>
    <t>BASE PARA POÇO DE VISITA RETANGULAR PARA ESGOTO, EM ALVENARIA COM BLOCOS DE CONCRETO, DIMENSÕES INTERNAS = 2X4 M, PROFUNDIDADE = 1,40 M, EXCLUINDO TAMPÃO. AF_12/2020</t>
  </si>
  <si>
    <t>BASE PARA POÇO DE VISITA RETANGULAR PARA ESGOTO, EM ALVENARIA COM BLOCOS DE CONCRETO, DIMENSÕES INTERNAS = 3,5X3,5 M, PROFUNDIDADE = 1,40 M, EXCLUINDO TAMPÃO. AF_12/2020</t>
  </si>
  <si>
    <t>BASE PARA POÇO DE VISITA RETANGULAR PARA ESGOTO, EM ALVENARIA COM BLOCOS DE CONCRETO, DIMENSÕES INTERNAS = 3,5X4 M, PROFUNDIDADE = 1,40 M, EXCLUINDO TAMPÃO. AF_12/2020</t>
  </si>
  <si>
    <t>BASE PARA POÇO DE VISITA RETANGULAR PARA ESGOTO, EM ALVENARIA COM BLOCOS DE CONCRETO, DIMENSÕES INTERNAS = 3X3 M, PROFUNDIDADE = 1,40 M, EXCLUINDO TAMPÃO. AF_12/2020</t>
  </si>
  <si>
    <t>BASE PARA POÇO DE VISITA RETANGULAR PARA ESGOTO, EM ALVENARIA COM BLOCOS DE CONCRETO, DIMENSÕES INTERNAS = 3X3,5 M, PROFUNDIDADE = 1,40 M, EXCLUINDO TAMPÃO. AF_12/2020</t>
  </si>
  <si>
    <t>BASE PARA POÇO DE VISITA RETANGULAR PARA ESGOTO, EM ALVENARIA COM BLOCOS DE CONCRETO, DIMENSÕES INTERNAS = 3X4 M, PROFUNDIDADE = 1,40 M, EXCLUINDO TAMPÃO. AF_12/2020</t>
  </si>
  <si>
    <t>BASE PARA POÇO DE VISITA RETANGULAR PARA ESGOTO, EM ALVENARIA COM BLOCOS DE CONCRETO, DIMENSÕES INTERNAS = 4X4 M, PROFUNDIDADE = 1,45 M, EXCLUINDO TAMPÃO. AF_12/2020</t>
  </si>
  <si>
    <t>CAIXA COM GRELHA DUPLA RETANGULAR, EM ALVENARIA COM BLOCOS DE CONCRETO, DIMENSÕES INTERNAS: 0,5X2,2X1 M. AF_12/2020</t>
  </si>
  <si>
    <t>CAIXA COM GRELHA DUPLA RETANGULAR, EM ALVENARIA COM TIJOLOS CERÂMICOS MACIÇOS, DIMENSÕES INTERNAS: 0,5X2,2X1 M. AF_12/2020</t>
  </si>
  <si>
    <t>CAIXA COM GRELHA DUPLA RETANGULAR, EM CONCRETO PRÉ-MOLDADO, DIMENSÕES INTERNAS: 0,5X2,2X1,0 M. AF_12/2020</t>
  </si>
  <si>
    <t>CAIXA COM GRELHA SIMPLES RETANGULAR, EM ALVENARIA COM BLOCOS DE CONCRETO, DIMENSÕES INTERNAS: 0,5X1X1 M. AF_12/2020</t>
  </si>
  <si>
    <t>CAIXA COM GRELHA SIMPLES RETANGULAR, EM ALVENARIA COM TIJOLOS CERÂMICOS MACIÇOS, DIMENSÕES INTERNAS: 0,5X1X1 M. AF_12/2020</t>
  </si>
  <si>
    <t>CAIXA COM GRELHA SIMPLES RETANGULAR, EM CONCRETO PRÉ-MOLDADO, DIMENSÕES INTERNAS: 0,6X1,0X1,0 M. AF_12/2020</t>
  </si>
  <si>
    <t>CAIXA PARA BOCA DE LOBO COMBINADA COM GRELHA RETANGULAR, EM ALVENARIA COM BLOCOS DE CONCRETO, DIMENSÕES INTERNAS: 1,3X1X1,2 M. AF_12/2020</t>
  </si>
  <si>
    <t>CAIXA PARA BOCA DE LOBO DUPLA COMBINADA COM GRELHA RETANGULAR, EM ALVENARIA COM BLOCOS DE CONCRETO, DIMENSÕES INTERNAS: 1,3X2,2X1,2 M. AF_12/2020</t>
  </si>
  <si>
    <t>CAIXA PARA BOCA DE LOBO DUPLA RETANGULAR, EM ALVENARIA COM BLOCOS DE CONCRETO, DIMENSÕES INTERNAS: 0,6X2,2X1,2 M. AF_12/2020</t>
  </si>
  <si>
    <t>CAIXA PARA BOCA DE LOBO DUPLA RETANGULAR, EM CONCRETO PRÉ-MOLDADO, DIMENSÕES INTERNAS: 0,6X2,2X1,2 M. AF_12/2020</t>
  </si>
  <si>
    <t>CAIXA PARA BOCA DE LOBO SIMPLES RETANGULAR, EM ALVENARIA COM BLOCOS DE CONCRETO, DIMENSÕES INTERNAS: 0,6X1X1,2 M. AF_12/2020</t>
  </si>
  <si>
    <t>CAIXA PARA BOCA DE LOBO SIMPLES RETANGULAR, EM CONCRETO PRÉ-MOLDADO, DIMENSÕES INTERNAS: 0,6X1,0X1,2 M. AF_12/2020</t>
  </si>
  <si>
    <t>CHAMINÉ CIRCULAR PARA POÇO DE VISITA PARA DRENAGEM, EM ALVENARIA COM TIJOLOS CERÂMICOS MACIÇOS, DIÂMETRO INTERNO = 0,6 M. AF_12/2020</t>
  </si>
  <si>
    <t>CHAMINÉ CIRCULAR PARA POÇO DE VISITA PARA DRENAGEM, EM CONCRETO PRÉ-MOLDADO, DIÂMETRO INTERNO = 0,6 M. AF_12/2020</t>
  </si>
  <si>
    <t>CHAMINÉ CIRCULAR PARA POÇO DE VISITA PARA ESGOTO, EM ALVENARIA COM TIJOLOS CERÂMICOS MACIÇOS, DIÂMETRO INTERNO = 0,6 M. AF_12/2020</t>
  </si>
  <si>
    <t>CHAMINÉ CIRCULAR PARA POÇO DE VISITA PARA ESGOTO, EM CONCRETO PRÉ-MOLDADO, DIÂMETRO INTERNO = 0,6 M. AF_12/2020</t>
  </si>
  <si>
    <t>POÇO DE INSPEÇÃO CIRCULAR PARA DRENAGEM, EM ALVENARIA COM TIJOLOS CERÂMICOS MACIÇOS, DIÂMETRO INTERNO = 0,60 M, PROFUNDIDADE = 0,95 M, EXCLUINDO TAMPÃO. AF_12/2020</t>
  </si>
  <si>
    <t>POÇO DE INSPEÇÃO CIRCULAR PARA DRENAGEM, EM ALVENARIA COM TIJOLOS CERÂMICOS MACIÇOS, DIÂMETRO INTERNO = 0,60 M, PROFUNDIDADE = 1,45 M, EXCLUINDO TAMPÃO. AF_12/2020</t>
  </si>
  <si>
    <t>POÇO DE INSPEÇÃO CIRCULAR PARA DRENAGEM, EM CONCRETO PRÉ-MOLDADO, DIÂMETRO INTERNO = 0,60 M, PROFUNDIDADE = 0,90 M, EXCLUINDO TAMPÃO. AF_12/2020</t>
  </si>
  <si>
    <t>POÇO DE INSPEÇÃO CIRCULAR PARA DRENAGEM, EM CONCRETO PRÉ-MOLDADO, DIÂMETRO INTERNO = 0,60 M, PROFUNDIDADE = 1,40 M, EXCLUINDO TAMPÃO. AF_12/2020</t>
  </si>
  <si>
    <t>POÇO DE INSPEÇÃO CIRCULAR PARA ESGOTO, EM ALVENARIA COM TIJOLOS CERÂMICOS MACIÇOS, DIÂMETRO INTERNO = 0,60 M, PROFUNDIDADE = 0,95 M, EXCLUINDO TAMPÃO. AF_12/2020</t>
  </si>
  <si>
    <t>POÇO DE INSPEÇÃO CIRCULAR PARA ESGOTO, EM ALVENARIA COM TIJOLOS CERÂMICOS MACIÇOS, DIÂMETRO INTERNO = 0,60 M, PROFUNDIDADE = 1,45 M, EXCLUINDO TAMPÃO. AF_12/2020</t>
  </si>
  <si>
    <t>POÇO DE INSPEÇÃO CIRCULAR PARA ESGOTO, EM CONCRETO PRÉ-MOLDADO, DIÂMETRO INTERNO = 0,60 M, PROFUNDIDADE = 0,90 M, EXCLUINDO TAMPÃO. AF_12/2020</t>
  </si>
  <si>
    <t>POÇO DE INSPEÇÃO CIRCULAR PARA ESGOTO, EM CONCRETO PRÉ-MOLDADO, DIÂMETRO INTERNO = 0,60 M, PROFUNDIDADE = 1,40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</si>
  <si>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</si>
  <si>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</si>
  <si>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CONCRETO CICLÓPICO FCK = 15MPA, 30% PEDRA DE MÃO EM VOLUME REAL, INCLUSIVE LANÇAMENTO. AF_05/2021</t>
  </si>
  <si>
    <t>CONCRETO FCK = 15MPA, TRAÇO 1:3,4:3,4 (EM MASSA SECA DE CIMENTO/ AREIA MÉDIA/ SEIXO ROLADO) - PREPARO MANUAL. AF_05/2021</t>
  </si>
  <si>
    <t>CONCRETO FCK = 15MPA, TRAÇO 1:3,4:3,4 (EM MASSA SECA DE CIMENTO/ AREIA MÉDIA/ SEIXO ROLADO) - PREPARO MECÂNICO COM BETONEIRA 400 L. AF_05/2021</t>
  </si>
  <si>
    <t>CONCRETO FCK = 15MPA, TRAÇO 1:3,4:3,4 (EM MASSA SECA DE CIMENTO/ AREIA MÉDIA/ SEIXO ROLADO) - PREPARO MECÂNICO COM BETONEIRA 600 L. AF_05/2021</t>
  </si>
  <si>
    <t>CONCRETO FCK = 15MPA, TRAÇO 1:3,4:3,5 (EM MASSA SECA DE CIMENTO/ AREIA MÉDIA/ BRITA 1) - PREPARO MANUAL. AF_05/2021</t>
  </si>
  <si>
    <t>CONCRETO FCK = 15MPA, TRAÇO 1:3,4:3,5 (EM MASSA SECA DE CIMENTO/ AREIA MÉDIA/ BRITA 1) - PREPARO MECÂNICO COM BETONEIRA 400 L. AF_05/2021</t>
  </si>
  <si>
    <t>CONCRETO FCK = 15MPA, TRAÇO 1:3,4:3,5 (EM MASSA SECA DE CIMENTO/ AREIA MÉDIA/ BRITA 1) - PREPARO MECÂNICO COM BETONEIRA 600 L. AF_05/2021</t>
  </si>
  <si>
    <t>CONCRETO FCK = 20MPA, TRAÇO 1:2,6:2,9 (EM MASSA SECA DE CIMENTO/ AREIA MÉDIA/ SEIXO ROLADO) - PREPARO MECÂNICO COM BETONEIRA 400 L. AF_05/2021</t>
  </si>
  <si>
    <t>CONCRETO FCK = 20MPA, TRAÇO 1:2,6:2,9 (EM MASSA SECA DE CIMENTO/ AREIA MÉDIA/ SEIXO ROLADO) - PREPARO MECÂNICO COM BETONEIRA 600 L. AF_05/2021</t>
  </si>
  <si>
    <t>CONCRETO FCK = 20MPA, TRAÇO 1:2,7:3 (EM MASSA SECA DE CIMENTO/ AREIA MÉDIA/ BRITA 1) - PREPARO MECÂNICO COM BETONEIRA 400 L. AF_05/2021</t>
  </si>
  <si>
    <t>CONCRETO FCK = 20MPA, TRAÇO 1:2,7:3 (EM MASSA SECA DE CIMENTO/ AREIA MÉDIA/ BRITA 1) - PREPARO MECÂNICO COM BETONEIRA 600 L. AF_05/2021</t>
  </si>
  <si>
    <t>CONCRETO FCK = 25MPA, TRAÇO 1:2,2:2,5 (EM MASSA SECA DE CIMENTO/ AREIA MÉDIA/ SEIXO ROLADO) - PREPARO MECÂNICO COM BETONEIRA 400 L. AF_05/2021</t>
  </si>
  <si>
    <t>CONCRETO FCK = 25MPA, TRAÇO 1:2,2:2,5 (EM MASSA SECA DE CIMENTO/ AREIA MÉDIA/ SEIXO ROLADO) - PREPARO MECÂNICO COM BETONEIRA 600 L. AF_05/2021</t>
  </si>
  <si>
    <t>CONCRETO FCK = 25MPA, TRAÇO 1:2,3:2,7 (EM MASSA SECA DE CIMENTO/ AREIA MÉDIA/ BRITA 1) - PREPARO MECÂNICO COM BETONEIRA 400 L. AF_05/2021</t>
  </si>
  <si>
    <t>CONCRETO FCK = 25MPA, TRAÇO 1:2,3:2,7 (EM MASSA SECA DE CIMENTO/ AREIA MÉDIA/ BRITA 1) - PREPARO MECÂNICO COM BETONEIRA 600 L. AF_05/2021</t>
  </si>
  <si>
    <t>CONCRETO FCK = 30MPA, TRAÇO 1:1,9:2,3 (EM MASSA SECA DE CIMENTO/ AREIA MÉDIA/ SEIXO ROLADO) - PREPARO MECÂNICO COM BETONEIRA 400 L. AF_05/2021</t>
  </si>
  <si>
    <t>CONCRETO FCK = 30MPA, TRAÇO 1:1,9:2,3 (EM MASSA SECA DE CIMENTO/ AREIA MÉDIA/ SEIXO ROLADO) - PREPARO MECÂNICO COM BETONEIRA 600 L. AF_05/2021</t>
  </si>
  <si>
    <t>CONCRETO FCK = 30MPA, TRAÇO 1:2,1:2,5 (EM MASSA SECA DE CIMENTO/ AREIA MÉDIA/ BRITA 1) - PREPARO MECÂNICO COM BETONEIRA 400 L. AF_05/2021</t>
  </si>
  <si>
    <t>CONCRETO FCK = 30MPA, TRAÇO 1:2,1:2,5 (EM MASSA SECA DE CIMENTO/ AREIA MÉDIA/ BRITA 1) - PREPARO MECÂNICO COM BETONEIRA 600 L. AF_05/2021</t>
  </si>
  <si>
    <t>CONCRETO FCK = 40MPA, TRAÇO 1:1,4:1,8 (EM MASSA SECA DE CIMENTO/ AREIA MÉDIA/ SEIXO ROLADO) - PREPARO MECÂNICO COM BETONEIRA 400 L. AF_05/2021</t>
  </si>
  <si>
    <t>CONCRETO FCK = 40MPA, TRAÇO 1:1,4:1,8 (EM MASSA SECA DE CIMENTO/ AREIA MÉDIA/ SEIXO ROLADO) - PREPARO MECÂNICO COM BETONEIRA 600 L. AF_05/2021</t>
  </si>
  <si>
    <t>CONCRETO FCK = 40MPA, TRAÇO 1:1,6:1,9 (EM MASSA SECA DE CIMENTO/ AREIA MÉDIA/ BRITA 1) - PREPARO MECÂNICO COM BETONEIRA 400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</si>
  <si>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</si>
  <si>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</si>
  <si>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MAGRO PARA LASTRO, TRAÇO 1:4,5:4,5 (EM MASSA SECA DE CIMENTO/ AREIA MÉDIA/ BRITA 1) - PREPARO MECÂNICO COM BETONEIRA 400 L. AF_05/2021</t>
  </si>
  <si>
    <t>CONCRETO MAGRO PARA LASTRO, TRAÇO 1:4,5:4,5 (EM MASSA SECA DE CIMENTO/ AREIA MÉDIA/ BRITA 1) - PREPARO MECÂNICO COM BETONEIRA 600 L. AF_05/2021</t>
  </si>
  <si>
    <t>CONCRETO MAGRO PARA LASTRO, TRAÇO 1:4,5:4,5 (EM MASSA SECA DE CIMENTO/ AREIA MÉDIA/ SEIXO ROLADO) - PREPARO MANUAL. AF_05/2021</t>
  </si>
  <si>
    <t>CONCRETO MAGRO PARA LASTRO, TRAÇO 1:4,5:4,5 (EM MASSA SECA DE CIMENTO/ AREIA MÉDIA/ SEIXO ROLADO) - PREPARO MECÂNICO COM BETONEIRA 400 L. AF_05/2021</t>
  </si>
  <si>
    <t>CONCRETO MAGRO PARA LASTRO, TRAÇO 1:4,5:4,5 (EM MASSA SECA DE CIMENTO/ AREIA MÉDIA/ SEIXO ROLADO) - PREPARO MECÂNICO COM BETONEIRA 600 L. AF_05/2021</t>
  </si>
  <si>
    <t>ARGAMASSA DE ASSENTAMENTO DE ALVENARIA DE VEDAÇÃO E REVESTIMENTO INTERNO, TRAÇO EM VOLUME SECO 1:1:3:3,8 (CIMENTO:CAL:AREIA NATURAL MÉDIA:AREIA RECICLADA), COM USO DE AGREGADO RECICLADO MISTO (ARM) - PREPARO MANUAL. AF_11/2023</t>
  </si>
  <si>
    <t>ARGAMASSA DE ASSENTAMENTO DE ALVENARIA DE VEDAÇÃO E REVESTIMENTO INTERNO, TRAÇO EM VOLUME SECO 1:1:3:3,8 (CIMENTO:CAL:AREIAS NATURAL MÉDIA: RECICLADA), COM USO DE AGREGADO RECICLADO CIMENTÍCIO OU DE CONCRETO (ARCI/ARCO) - PREPARO MANUAL. AF_11/2023</t>
  </si>
  <si>
    <t>ARGAMASSA PARA ALVENARIA DE VEDAÇÃO E REVESTIMENTO INTERNO, TRAÇO EM VOLUME SECO 1:1:3:3,8 (CIMENTO:CAL:AREIA MÉDIA:AREIA RECICLADA), COM AGREGADO RECICLADO CIMENTÍCIO OU DE CONCRETO - PREPARO MECÂNICO COM MISTURADOR HORIZONTAL DE 600 KG. AF_11/2023</t>
  </si>
  <si>
    <t>ARGAMASSA PARA ALVENARIA DE VEDAÇÃO E REVESTIMENTO INTERNO, TRAÇO EM VOLUME SECO 1:1:3:3,8 (CIMENTO:CAL:AREIA MÉDIA:AREIA RECICLADA), COM USO DE AGREGADO RECICLADO MISTO - PREPARO MECÂNICO COM MISTURADOR HORIZONTAL DE 600 KG. AF_11/2023</t>
  </si>
  <si>
    <t>ARGAMASSA PARA CONTRAPISO, TRAÇO EM VOLUME SECO 1:2:2,5 (CIMENTO:AREIA NATURAL MÉDIA:AREIA RECICLADA), COM USO DE AGREGADO RECICLADO CIMENTÍCIO OU DE CONCRETO (ARCI/ARCO) - PREPARO MANUAL. AF_11/2023</t>
  </si>
  <si>
    <t>ARGAMASSA PARA CONTRAPISO, TRAÇO EM VOLUME SECO 1:2:2,5 (CIMENTO:AREIA NATURAL MÉDIA:AREIA RECICLADA), COM USO DE AGREGADO RECICLADO CIMENTÍCIO OU DE CONCRETO (ARCI/ARCO) - PREPARO MECÂNICO COM MISTURADOR DE EIXO HORIZONTAL DE 600 KG. AF_11/2023</t>
  </si>
  <si>
    <t>ARGAMASSA PARA CONTRAPISO, TRAÇO EM VOLUME SECO 1:2:2,5 (CIMENTO:AREIA NATURAL MÉDIA:AREIA RECICLADA), COM USO DE AGREGADO RECICLADO MISTO (ARM) - PREPARO MANUAL. AF_11/2023</t>
  </si>
  <si>
    <t>ARGAMASSA PARA CONTRAPISO, TRAÇO EM VOLUME SECO 1:2:2,5 (CIMENTO:AREIA NATURAL MÉDIA:AREIA RECICLADA), COM USO DE AGREGADO RECICLADO MISTO (ARM) - PREPARO MECÂNICO COM MISTURADOR DE EIXO HORIZONTAL DE 600 KG. AF_11/2023</t>
  </si>
  <si>
    <t>CONCRETO MAGRO PARA LASTRO, TRAÇO EM MASSA SECA 1:3,4:3,5 (CIMENTO:AREIA RECICLADA:BRITA 1 RECICLADA), COM USO DE AGREGADO RECICLADO CIMENTÍCIO OU DE CONCRETO (ARCI/ARCO) - PREPARO MANUAL. AF_11/2023</t>
  </si>
  <si>
    <t>CONCRETO MAGRO PARA LASTRO, TRAÇO EM MASSA SECA 1:3,4:3,5 (CIMENTO:AREIA RECICLADA:BRITA 1 RECICLADA), COM USO DE AGREGADO RECICLADO CIMENTÍCIO OU DE CONCRETO (ARCI/ARCO) - PREPARO MECÂNICO COM BETONEIRA 600 L. AF_11/2023</t>
  </si>
  <si>
    <t>CONCRETO MAGRO PARA LASTRO, TRAÇO EM MASSA SECA 1:3,4:3,5 (CIMENTO:AREIA RECICLADA:BRITA 1 RECICLADA), COM USO DE AGREGADO RECICLADO MISTO (ARM) - PREPARO MANUAL. AF_11/2023</t>
  </si>
  <si>
    <t>CONCRETO MAGRO PARA LASTRO, TRAÇO EM MASSA SECA 1:3,4:3,5 (CIMENTO:AREIA RECICLADA:BRITA 1 RECICLADA), COM USO DE AGREGADO RECICLADO MISTO (ARM) - PREPARO MECÂNICO COM BETONEIRA 600 L. AF_11/2023</t>
  </si>
  <si>
    <t>ASSENTO COM ENCOSTO PARA ARQUIBANCADA - FORNECIMENTO E INSTALAÇÃO. AF_03/2022</t>
  </si>
  <si>
    <t>ASSENTO SEM ENCOSTO PARA ARQUIBANCADA - FORNECIMENTO E INSTALAÇÃO. AF_03/2022</t>
  </si>
  <si>
    <t>PAR DE ESTRUTURAS PARA TABELA DE BASQUETE EM TRELIÇA METÁLICA AÉREA, EXCETO TABELA, ARO E REDE - FORNECIMENTO E INSTALAÇÃO. AF_03/2022</t>
  </si>
  <si>
    <t>PAR DE ESTRUTURAS PARA TABELA DE BASQUETE EM TRELIÇA METÁLICA FIXADA NO PISO, EXCETO TABELA, ARO E REDE - FORNECIMENTO E INSTALAÇÃO. AF_03/2022</t>
  </si>
  <si>
    <t>PAR DE ESTRUTURAS PARA TABELA DE BASQUETE METÁLICA TUBULAR CHUMBADA COM CONCRETO NO PISO, EXCETO TABELA, ARO E REDE - FORNECIMENTO E INSTALAÇÃO. AF_03/2022</t>
  </si>
  <si>
    <t>PAR DE POSTES E REDE DE VÔLEI - FORNECIMENTO E INSTALAÇÃO. AF_03/2022</t>
  </si>
  <si>
    <t>PAR DE TABELAS DE BASQUETE DE ACRÍLICO, COM AROS E REDES - FORNECIMENTO E INSTALAÇÃO. AF_03/2022</t>
  </si>
  <si>
    <t>PAR DE TABELAS DE BASQUETE DE COMPENSADO NAVAL, COM AROS E REDES - FORNECIMENTO E INSTALAÇÃO. AF_03/2022</t>
  </si>
  <si>
    <t>PAR DE TABELAS DE BASQUETE DE VIDRO TEMPERADO, COM AROS E REDES - FORNECIMENTO E INSTALAÇÃO. AF_03/2022</t>
  </si>
  <si>
    <t>PAR DE TRAVES E REDES DE FUTSAL - FORNECIMENTO E INSTALAÇÃO. AF_03/2022</t>
  </si>
  <si>
    <t>PISO ASFÁLTICO PARA QUADRA POLIESPORTIVA - FORNECIMENTO E INSTALAÇÃO. AF_03/2022</t>
  </si>
  <si>
    <t>PISO DE GRAMA SINTÉTICA PARA QUADRA POLIESPORTIVA - FORNECIMENTO E INSTALAÇÃO. AF_03/2022</t>
  </si>
  <si>
    <t>PISO DE MADEIRA COM AMORTECEDORES DE BORRACHA PARA QUADRA POLIESPORTIVA - FORNECIMENTO E INSTALAÇÃO. AF_03/2022</t>
  </si>
  <si>
    <t>PISO DE POLIURETANO PARA QUADRA POLIESPORTIVA - FORNECIMENTO E INSTALAÇÃO. AF_03/2022</t>
  </si>
  <si>
    <t>PISO MODULAR DE POLIPROPILENO PARA QUADRA POLIESPORTIVA - FORNECIMENTO E INSTALAÇÃO. AF_03/2022</t>
  </si>
  <si>
    <t>PISO MODULAR INTERNO DE POLIPROPILENO PARA QUADRA POLIESPORTIVA - FORNECIMENTO E INSTALAÇÃO. AF_03/2022</t>
  </si>
  <si>
    <t>REDE DE PROTEÇÃO HORIZONTAL PARA QUADRA POLIESPORTIVA - FORNECIMENTO E INSTALAÇÃO. AF_03/2022</t>
  </si>
  <si>
    <t>REDE DE PROTEÇÃO VERTICAL PARA QUADRA POLIESPORTIVA - FORNECIMENTO E INSTALAÇÃO. AF_03/2022</t>
  </si>
  <si>
    <t>CHUMBAMENTO LINEAR EM ALVENARIA PARA ELETRODUTOS COM DIÂMETROS MENORES OU IGUAIS A 40 MM. AF_09/2023</t>
  </si>
  <si>
    <t>CHUMBAMENTO LINEAR EM ALVENARIA PARA RAMAIS/DISTRIBUIÇÃO DE INSTALAÇÕES HIDRÁULICAS COM DIÂMETROS MAIORES QUE 40 MM E MENORES OU IGUAIS A 75 MM. AF_09/2023</t>
  </si>
  <si>
    <t>CHUMBAMENTO LINEAR EM ALVENARIA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</si>
  <si>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</si>
  <si>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</si>
  <si>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CHUMBAMENTO LINEAR EM CONTRAPISO PARA RAMAIS/DISTRIBUIÇÃO DE INSTALAÇÕES HIDRÁULICAS COM DIÂMETROS MENORES OU IGUAIS A 40 MM. AF_09/2023</t>
  </si>
  <si>
    <t>CHUMBAMENTO PONTUAL DE ABERTURA EM LAJE COM PASSAGEM DE 1 TUBO COM DIÂMETRO DE 50 MM. AF_09/2023</t>
  </si>
  <si>
    <t>CHUMBAMENTO PONTUAL DE ABERTURA EM LAJE COM PASSAGEM DE 5 TUBOS COM DIÂMETROS DE 50 MM. AF_09/2023</t>
  </si>
  <si>
    <t>CHUMBAMENTO PONTUAL EM PASSAGEM DE TUBO COM DIÂMETRO MAIOR QUE 75 MM E MENORES OU IGUAIS A 150 MM. AF_09/2023</t>
  </si>
  <si>
    <t>CHUMBAMENTO PONTUAL EM PASSAGEM DE TUBO COM DIÂMETRO MENOR OU IGUAL A 40 MM. AF_09/2023</t>
  </si>
  <si>
    <t>CHUMBAMENTO PONTUAL EM PASSAGEM DE TUBO COM DIÂMETROS ENTRE 40 MM E 75 MM. AF_09/2023</t>
  </si>
  <si>
    <t>FIXAÇÃO DE DUTOS FLEXÍVEIS CIRCULARES, DIÂMETRO 109 MM OU 4", COM ABRAÇADEIRA METÁLICA FLEXÍVEL FIXADA DIRETAMENTE NA LAJE, SOMENTE MÃO DE OBRA. AF_09/2023</t>
  </si>
  <si>
    <t>FIXAÇÃO DE DUTOS FLEXÍVEIS CIRCULARES, DIÂMETRO 109 MM OU 4", COM ABRAÇADEIRA METÁLICA FLEXÍVEL FIXADA DIRETAMENTE NA LAJE. AF_09/2023</t>
  </si>
  <si>
    <t>FIXAÇÃO DE ELETRODUTOS, DIÂMETROS MENORES OU IGUAIS A 40 MM, COM ABRAÇADEIRA METÁLICA RÍGIDA TIPO D COM PARAFUSO DE FIXAÇÃO 1 1/4", FIXADA DIRETAMENTE NA LAJE OU PAREDE. AF_09/2023</t>
  </si>
  <si>
    <t>FIXAÇÃO DE TUBOS HORIZONTAIS DE PEX OU MULTICAMADAS, DIÂMETROS IGUAIS OU INFERIORES A 40 MM, COM ABRAÇADEIRA PLÁSTICA FIXADA EM LAJE. AF_09/2023_PE</t>
  </si>
  <si>
    <t>FIXAÇÃO DE TUBOS HORIZONTAIS DE PPR DIÂMETROS MENORES OU IGUAIS A 40 MM COM ABRAÇADEIRA METÁLICA RÍGIDA TIPO U PERFIL 1 1/4", FIXADA EM PERFILADO EM LAJE. AF_09/2023_PS</t>
  </si>
  <si>
    <t>FIXAÇÃO DE TUBOS HORIZONTAIS DE PPR DIÂMETROS MENORES OU IGUAIS A 40 MM, COM ABRAÇADEIRA METÁLICA RÍGIDA TIPO D COM PARAFUSO DE FIXAÇÃO 1 1/4", FIXADA DIRETAMENTE NA LAJE OU PAREDE. AF_09/2023</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</si>
  <si>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</si>
  <si>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</si>
  <si>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</si>
  <si>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FLEXÍVEL 18 MM, FIXADA DIRETAMENTE NA LAJE. AF_09/2023</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</si>
  <si>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</si>
  <si>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</si>
  <si>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</si>
  <si>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</si>
  <si>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</si>
  <si>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</si>
  <si>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</si>
  <si>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</si>
  <si>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VERTICAIS DE PVC ÁGUA, PVC ESGOTO, PVC ÁGUA PLUVIAL, CPVC, PPR, COBRE OU AÇO, DIÂMETROS MENORES OU IGUAIS A 40 MM, COM ABRAÇADEIRA METÁLICA RÍGIDA TIPO U PERFIL 1 1/4", FIXADA EM PERFILADO EM PAREDE. AF_09/2023_PS</t>
  </si>
  <si>
    <t>FURO MANUAL EM ALVENARIA, PARA INSTALAÇÕES ELÉTRICAS, DIÂMETROS MAIORES QUE 40 MM E MENORES OU IGUAIS A 75 MM. AF_09/2023</t>
  </si>
  <si>
    <t>FURO MANUAL EM ALVENARIA, PARA INSTALAÇÕES ELÉTRICAS, DIÂMETROS MAIORES QUE 75 MM E MENORES OU IGUAIS A 100 MM. AF_09/2023</t>
  </si>
  <si>
    <t>FURO MANUAL EM ALVENARIA, PARA INSTALAÇÕES ELÉTRICAS,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</si>
  <si>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</si>
  <si>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</si>
  <si>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MANUAL EM ALVENARIA, PARA INSTALAÇÕES HIDRÁULICAS,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</si>
  <si>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</si>
  <si>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</si>
  <si>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ALVENARIA, PARA INSTALAÇÕES ELÉTRICAS,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</si>
  <si>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</si>
  <si>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</si>
  <si>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ALVENARIA, PARA INSTALAÇÕES HIDRÁULICAS,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</si>
  <si>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</si>
  <si>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</si>
  <si>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FURO MECANIZADO EM CONCRETO, COM MARTELO DEMOLIDOR, PARA INSTALAÇÕES ELÉTRICAS,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</si>
  <si>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</si>
  <si>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</si>
  <si>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FURO MECANIZADO EM CONCRETO, COM MARTELO DEMOLIDOR, PARA INSTALAÇÕES HIDRÁULICAS,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</si>
  <si>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</si>
  <si>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</si>
  <si>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FURO MECANIZADO EM CONCRETO, COM PERFURATRIZ, PARA INSTALAÇÕES ELÉTRICAS,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</si>
  <si>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</si>
  <si>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</si>
  <si>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FURO MECANIZADO EM CONCRETO, COM PERFURATRIZ, PARA INSTALAÇÕES HIDRÁULICAS, DIÂMETROS MENORES OU IGUAIS A 40 MM. AF_09/2023</t>
  </si>
  <si>
    <t>PASSANTE TIPO PEÇA EM FÔRMA DE MADEIRA, FIXADO EM LAJE, PARA PASSAGEM DE NO MÁXIMO 5 TUBOS DE 50 MM DE DIÂMETRO.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</si>
  <si>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</si>
  <si>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</si>
  <si>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100 MM, FIXADO EM LAJE, PARA PASSAGEM DE TUBULAÇÕES COM NO MÁXIMO 75 MM DE DIÂMETRO. AF_09/2023</t>
  </si>
  <si>
    <t>PASSANTE TIPO TUBO COM DIÂMETRO DE 150 MM, FIXADO EM LAJE, PARA PASSAGEM DE TUBULAÇÕES COM NO MÁXIMO 100 MM DE DIÂMETRO. AF_09/2023</t>
  </si>
  <si>
    <t>PASSANTE TIPO TUBO COM DIÂMETRO DE 40 MM, FIXADO EM LAJE, PARA PASSAGEM DE TUBULAÇÕES COM NO MÁXIMO 32 MM DE DIÂMETRO. AF_09/2023</t>
  </si>
  <si>
    <t>PASSANTE TIPO TUBO COM DIÂMETRO DE 50 MM, FIXADO EM LAJE, PARA PASSAGEM DE TUBULAÇÕES COM NO MÁXIMO 40 MM DE DIÂMETRO. AF_09/2023</t>
  </si>
  <si>
    <t>PASSANTE TIPO TUBO COM DIÂMETRO DE 75 MM, FIXADO EM LAJE, PARA PASSAGEM DE TUBULAÇÕES COM NO MÁXIMO 50 MM DE DIÂMETRO. AF_09/2023</t>
  </si>
  <si>
    <t>QUEBRA EM ALVENARIA PARA INSTALAÇÃO DE ABRIGO PARA MANGUEIRAS (90X60 CM). AF_09/2023</t>
  </si>
  <si>
    <t>QUEBRA EM ALVENARIA PARA INSTALAÇÃO DE CAIXA DE TOMADA (4X4 OU 4X2). AF_09/2023</t>
  </si>
  <si>
    <t>QUEBRA EM ALVENARIA PARA INSTALAÇÃO DE QUADRO DISTRIBUIÇÃO GRANDE (76X40 CM). AF_09/2023</t>
  </si>
  <si>
    <t>QUEBRA EM ALVENARIA PARA INSTALAÇÃO DE QUADRO DISTRIBUIÇÃO PEQUENO (19X25 CM). AF_09/2023</t>
  </si>
  <si>
    <t>RASGO LINEAR MANUAL EM ALVENARIA, PARA ELETRODUTOS, DIÂMETROS MENORES OU IGUAIS A 40 MM. AF_09/2023</t>
  </si>
  <si>
    <t>RASGO LINEAR MANUAL EM ALVENARIA, PARA RAMAIS/ DISTRIBUIÇÃO DE INSTALAÇÕES HIDRÁULICAS, DIÂMETROS MAIORES QUE 40 MM E MENORES OU IGUAIS A 75 MM. AF_09/2023</t>
  </si>
  <si>
    <t>RASGO LINEAR MANUAL EM ALVENARIA, PARA RAMAIS/ DISTRIBUIÇÃO DE INSTALAÇÕES HIDRÁULICAS, DIÂMETROS MENORES OU IGUAIS A 40 MM. AF_09/2023</t>
  </si>
  <si>
    <t>RASGO LINEAR MECANIZADO EM ALVENARIA, PARA ELETRODUTOS, DIÂMETROS MENORES OU IGUAIS A 40 MM. AF_09/2023</t>
  </si>
  <si>
    <t>RASGO LINEAR MECANIZADO EM ALVENARIA, PARA RAMAIS/ DISTRIBUIÇÃO DE INSTALAÇÕES HIDRÁULICAS, DIÂMETROS MAIORES QUE 40 MM E MENORES OU IGUAIS A 75 MM. AF_09/2023</t>
  </si>
  <si>
    <t>RASGO LINEAR MECANIZADO EM ALVENARIA,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</si>
  <si>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</si>
  <si>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</si>
  <si>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RASGO LINEAR MECANIZADO EM CONCRETO, PARA RAMAIS/ DISTRIBUIÇÃO DE INSTALAÇÕES HIDRÁULICAS, DIÂMETROS MENORES OU IGUAIS A 40 MM. AF_09/2023</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</si>
  <si>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</si>
  <si>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</si>
  <si>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MECANIZADO EM CONTRAPISO, PARA RAMAIS/ DISTRIBUIÇÃO DE INSTALAÇÕES HIDRÁULICAS, DIÂMETROS MENORES OU IGUAIS A 40 MM. AF_09/2023_PS</t>
  </si>
  <si>
    <t>SUPORTE PARA 2 ELETRODUTOS, ESPAÇADO A CADA 80 CM, EM PERFILADO COM COMPRIMENTO DE 25 CM FIXADO EM LAJE, POR METRO DE ELETRODUTO FIXADO. AF_09/2023</t>
  </si>
  <si>
    <t>SUPORTE PARA 2 TUBOS HORIZONTAIS, ESPAÇADO A CADA 56 CM, EM PERFILADO COM COMPRIMENTO DE 25 CM FIXADO EM LAJE, POR METRO DE TUBULAÇÃO FIXADA. AF_09/2023</t>
  </si>
  <si>
    <t>SUPORTE PARA 2 TUBOS VERTICAIS, ESPAÇADO A CADA 150 CM, EM PERFILADO COM COMPRIMENTO DE 25 CM FIXADO EM PAREDE, POR METRO DE TUBULAÇÃO FIXADA. AF_09/2023</t>
  </si>
  <si>
    <t>SUPORTE PARA 4 ELETRODUTOS, ESPAÇADO A CADA 80 CM, EM PERFILADO COM COMPRIMENTO DE 42 CM FIXADO EM LAJE, POR METRO DE ELETRODUTO FIXADO. AF_09/2023</t>
  </si>
  <si>
    <t>SUPORTE PARA 4 TUBOS HORIZONTAIS, ESPAÇADO A CADA 56 CM, EM PERFILADO COM COMPRIMENTO DE 42 CM FIXADO EM LAJE, POR METRO DE TUBULAÇÃO FIXADA. AF_09/2023</t>
  </si>
  <si>
    <t>SUPORTE PARA 4 TUBOS VERTICAIS, ESPAÇADO A CADA 150 CM, EM PERFILADO COM COMPRIMENTO DE 42 CM FIXADO EM PAREDE, POR METRO DE TUBULAÇÃO FIXADA. AF_09/2023</t>
  </si>
  <si>
    <t>SUPORTE PARA DUTO EM CHAPA GALVANIZADA BITOLA 24, EM PERFILADO COM COMPRIMENTO DE 55 CM FIXADO EM LAJE, POR METRO DE DUTO FIXADO. AF_09/2023</t>
  </si>
  <si>
    <t>SUPORTE PARA DUTO EM CHAPA GALVANIZADA BITOLA 26, EM PERFILADO COM COMPRIMENTO DE 35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</si>
  <si>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</si>
  <si>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</si>
  <si>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EXECUÇÃO DE IMPRIMAÇÃO IMPERMEABILIZANTE COM ASFALTO DILUÍDO CM-30, PARA O FECHAMENTO DE VALAS. AF_05/2021</t>
  </si>
  <si>
    <t>EXECUÇÃO DE PINTURA DE LIGAÇÃO COM EMULSÃO ASFÁLTICA RR-2C, PARA O FECHAMENTO DE VALAS. AF_12/2020</t>
  </si>
  <si>
    <t>EXECUÇÃO DE TAPA BURACO COM APLICAÇÃO DE CONCRETO ASFÁLTICO (AQUISIÇÃO EM USINA) E PINTURA DE LIGAÇÃO. AF_12/2020</t>
  </si>
  <si>
    <t>EXECUÇÃO DE TAPA BURACO COM APLICAÇÃO DE CONCRETO ASFÁLTICO (USINAGEM PRÓPRIA) E PINTURA DE LIGAÇÃO. AF_12/2020</t>
  </si>
  <si>
    <t>EXECUÇÃO DE TAPA BURACO COM APLICAÇÃO DE PRÉ MISTURADO A FRIO (AQUISIÇÃO EM USINA) E PINTURA DE LIGAÇÃO. AF_12/2020</t>
  </si>
  <si>
    <t>EXECUÇÃO DE TAPA BURACO COM APLICAÇÃO DE PRÉ MISTURADO A FRIO (USINAGEM PRÓPRIA) E PINTURA DE LIGAÇÃO. AF_12/2020</t>
  </si>
  <si>
    <t>REASSENTAMENTO DE BLOCOS 16 FACES PARA PISO INTERTRAVADO, ESPESSURA DE 10 CM, EM VIA/ESTACIONAMENTO, COM REAPROVEITAMENTO DOS BLOCOS 16 FACES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</si>
  <si>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</si>
  <si>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</si>
  <si>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</si>
  <si>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</si>
  <si>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PISOGRAMA PARA PISO INTERTRAVADO, COM REAPROVEITAMENTO DOS BLOCOS PISOGRAMA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</si>
  <si>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</si>
  <si>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</si>
  <si>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</si>
  <si>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</si>
  <si>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</si>
  <si>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</si>
  <si>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</si>
  <si>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</si>
  <si>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</si>
  <si>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PARALELEPÍPEDOS, REJUNTAMENTO COM ARGAMASSA, COM REAPROVEITAMENTO DOS PARALELEPÍPEDOS - INCLUSO RETIRADA E COLOCAÇÃO DO MATERIAL. AF_12/2020</t>
  </si>
  <si>
    <t>REASSENTAMENTO DE PARALELEPÍPEDOS, REJUNTAMENTO COM PEDRISCO E EMULSÃO ASFÁLTICA, COM REAPROVEITAMENTO DOS PARALELEPÍPEDOS - INCLUSO RETIRADA E COLOCAÇÃO DO MATERIAL. AF_12/2020</t>
  </si>
  <si>
    <t>REASSENTAMENTO DE PARALELEPÍPEDOS, REJUNTAMENTO COM PÓ DE PEDRA, COM REAPROVEITAMENTO DOS PARALELEPÍPEDOS - INCLUSO RETIRADA E COLOCAÇÃO DO MATERIAL. AF_12/2020</t>
  </si>
  <si>
    <t>REASSENTAMENTO DE PEDRAS POLIÉDRICAS, REJUNTAMENTO COM ARGAMASSA, COM REAPROVEITAMENTO DAS PEDRAS POLIÉDRICAS - INCLUSO RETIRADA E COLOCAÇÃO DO MATERIAL. AF_12/2020</t>
  </si>
  <si>
    <t>REASSENTAMENTO DE PEDRAS POLIÉDRICAS, REJUNTAMENTO COM PEDRISCO E EMULSÃO ASFÁLTICA, COM REAPROVEITAMENTO DAS PEDRAS POLIÉDRICAS - INCLUSO RETIRADA E COLOCAÇÃO DO MATERIAL. AF_12/2020</t>
  </si>
  <si>
    <t>REASSENTAMENTO DE PEDRAS POLIÉDRICAS, REJUNTAMENTO COM PÓ DE PEDRA, COM REAPROVEITAMENTO DAS PEDRAS POLIÉDRICAS - INCLUSO RETIRADA E COLOCAÇÃO DO MATERIAL. AF_12/2020</t>
  </si>
  <si>
    <t>RECOMPOSIÇÃO DE BASE E OU SUB-BASE PARA FECHAMENTO DE VALAS DE BRITA GRADUADA SIMPLES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</si>
  <si>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</si>
  <si>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</si>
  <si>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</si>
  <si>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</si>
  <si>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</si>
  <si>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</si>
  <si>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</si>
  <si>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</si>
  <si>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</si>
  <si>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</si>
  <si>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</si>
  <si>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</si>
  <si>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SOLOS DE COMPORTAMENTO LATERÍTICO (ARENOSO) - INCLUSO RETIRADA E COLOCAÇÃO DO MATERIAL. AF_12/2020</t>
  </si>
  <si>
    <t>RECOMPOSIÇÃO DE BASE E OU SUB-BASE PARA REMENDO PROFUNDO DE BRITA GRADUADA SIMPLES - INCLUSO RETIRADA E COLOCAÇÃO DO MATERIAL. AF_12/2020</t>
  </si>
  <si>
    <t>RECOMPOSIÇÃO DE BASE E OU SUB-BASE PARA REMENDO PROFUNDO DE SOLO BRITA (40/60)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</si>
  <si>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</si>
  <si>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</si>
  <si>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</si>
  <si>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</si>
  <si>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</si>
  <si>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</si>
  <si>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</si>
  <si>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</si>
  <si>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</si>
  <si>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</si>
  <si>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</si>
  <si>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SOLOS DE COMPORTAMENTO LATERÍTICO (ARENOSO)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</si>
  <si>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</si>
  <si>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PARALELEPÍPEDOS, REJUNTAMENTO COM PEDRISCO E EMULSÃO ASFÁLTICA, COM REAPROVEITAMENTO DOS PARALELEPÍPEDOS,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</si>
  <si>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</si>
  <si>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</si>
  <si>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PEDRAS POLIÉDRICAS, REJUNTAMENTO COM PEDRISCO E EMULSÃO ASFÁLTICA COM REAPROVEITAMENTO DAS PEDRAS POLIÉDRICAS,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</si>
  <si>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</si>
  <si>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PAVIMENTO EM PISO INTERTRAVADO, COM REAPROVEITAMENTO DOS BLOCOS INTERTRAVADOS, PARA FECHAMENTO DE VALAS - INCLUSO RETIRADA E COLOCAÇÃO DO MATERIAL. AF_12/2020</t>
  </si>
  <si>
    <t>RECOMPOSIÇÃO DE PAVIMENTOS EM PEDRA POLIÉDRICA, REJUNTAMENTO COM PÓ DE PEDRA, COM REAPROVEITAMENTO DAS PEDRAS POLIÉDRICAS PARA O FECHAMENTO DE VALAS - INCLUSO RETIRADA E COLOCAÇÃO DO MATERIAL. AF_12/2020</t>
  </si>
  <si>
    <t>RECOMPOSIÇÃO DE REVESTIMENTO EM CONCRETO ASFÁLTICO (AQUISIÇÃO EM USINA), PARA O FECHAMENTO DE VALAS - INCLUSO DEMOLIÇÃO DO PAVIMENTO. AF_12/2020</t>
  </si>
  <si>
    <t>RECOMPOSIÇÃO DE REVESTIMENTO EM CONCRETO ASFÁLTICO (USINAGEM PRÓPRIA), PARA O FECHAMENTO DE VALAS - INCLUSO DEMOLIÇÃO DO PAVIMENTO. AF_12/2020</t>
  </si>
  <si>
    <t>RECOMPOSIÇÃO DE REVESTIMENTO EM PRÉ MISTURADO A FRIO (AQUISIÇÃO EM USINA), PARA FECHAMENTO DE VALAS - INCLUSO DEMOLIÇÃO DO PAVIMENTO. AF_12/2020</t>
  </si>
  <si>
    <t>RECOMPOSIÇÃO DE REVESTIMENTO EM PRÉ MISTURADO A FRIO (USINAGEM PRÓPRIA), PARA FECHAMENTO DE VALAS - INCLUSO DEMOLIÇÃO DO PAVIMENTO. AF_12/2020</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</si>
  <si>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</si>
  <si>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</si>
  <si>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</si>
  <si>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</si>
  <si>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25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</si>
  <si>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</si>
  <si>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</si>
  <si>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</si>
  <si>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</si>
  <si>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</si>
  <si>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CONCRETAGEM COMO PROTEÇÃO MECÂNICA ADICIONAL NO REATERRO PARA REDE ENTERRADA DE DISTRIBUIÇÃO DE ENERGIA ELÉTRICA - FORNECIMENTO E INSTALAÇÃO. AF_12/2021</t>
  </si>
  <si>
    <t>CURVA 90 GRAUS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</si>
  <si>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</si>
  <si>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</si>
  <si>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</si>
  <si>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</si>
  <si>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ELETRODUTO FLEXÍVEL CORRUGADO, PEAD, DN 100 (4"), PARA REDE ENTERRADA DE DISTRIBUIÇÃO DE ENERGIA ELÉTRICA - FORNECIMENTO E INSTALAÇÃO. AF_12/2021</t>
  </si>
  <si>
    <t>ELETRODUTO FLEXÍVEL CORRUGADO, PEAD, DN 125 (5"), PARA REDE ENTERRADA DE DISTRIBUIÇÃO DE ENERGIA ELÉTRICA - FORNECIMENTO E INSTALAÇÃO. AF_12/2021</t>
  </si>
  <si>
    <t>ELETRODUTO FLEXÍVEL CORRUGADO, PEAD, DN 150 (6"), PARA REDE ENTERRADA DE DISTRIBUIÇÃO DE ENERGIA ELÉTRICA - FORNECIMENTO E INSTALAÇÃO. AF_12/2021</t>
  </si>
  <si>
    <t>ELETRODUTO FLEXÍVEL CORRUGADO, PEAD, DN 175 (7"), PARA REDE ENTERRADA DE DISTRIBUIÇÃO DE ENERGIA ELÉTRICA - FORNECIMENTO E INSTALAÇÃO. AF_12/2021</t>
  </si>
  <si>
    <t>ELETRODUTO FLEXÍVEL CORRUGADO, PEAD, DN 200 (8"),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</si>
  <si>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</si>
  <si>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</si>
  <si>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</si>
  <si>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RÍGIDO ROSCÁVEL, PVC, DN 110 MM (4"), PARA REDE ENTERRADA DE DISTRIBUIÇÃO DE ENERGIA ELÉTRICA - FORNECIMENTO E INSTALAÇÃO. AF_12/2021</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</si>
  <si>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</si>
  <si>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</si>
  <si>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</si>
  <si>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</si>
  <si>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FITA DE SINALIZAÇÃO SUBTERRÂNEA PARA REDE ENTERRADA DE DISTRIBUIÇÃO DE ENERGIA ELÉTRICA - FORNECIMENTO E INSTALAÇÃO. AF_12/2021</t>
  </si>
  <si>
    <t>LUVA PARA ELETRODUTO, PVC, ROSCÁVEL, DN 110 MM (4"), PARA REDE ENTERRADA DE DISTRIBUIÇÃO DE ENERGIA ELÉTRICA - FORNECIMENTO E INSTALAÇÃO. AF_12/2021</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</si>
  <si>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</si>
  <si>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</si>
  <si>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</si>
  <si>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</si>
  <si>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PLACA DE CONCRETO PRÉ-MOLDADO COMO PROTEÇÃO MECÂNICA ADICIONAL NO REATERRO PARA REDE ENTERRADA DE DISTRIBUIÇÃO DE ENERGIA ELÉTRICA - FORNECIMENTO E INSTALAÇÃO. AF_12/2021</t>
  </si>
  <si>
    <t>BASTIDOR PARA BLOCO M10 - FORNECIMENTO E INSTALAÇÃO. AF_08/2025</t>
  </si>
  <si>
    <t>BLOCO DE ENGATE RÁPIDO PARA BASTIDOR TIPO M10 - FORNECIMENTO E INSTALAÇÃO. AF_08/2025</t>
  </si>
  <si>
    <t>CABO COAXIAL RG11 95% - FORNECIMENTO E INSTALAÇÃO. AF_08/2025</t>
  </si>
  <si>
    <t>CABO COAXIAL RG59 95% - FORNECIMENTO E INSTALAÇÃO. AF_08/2025</t>
  </si>
  <si>
    <t>CABO COAXIAL RG6 95% - FORNECIMENTO E INSTALAÇÃO. AF_08/2025</t>
  </si>
  <si>
    <t>CABO ELETRÔNICO CATEGORIA 5E, INSTALADO EM EDIFICAÇÃO INSTITUCIONAL - FORNECIMENTO E INSTALAÇÃO. AF_08/2025</t>
  </si>
  <si>
    <t>CABO ELETRÔNICO CATEGORIA 5E, INSTALADO EM EDIFICAÇÃO RESIDENCIAL - FORNECIMENTO E INSTALAÇÃO. AF_08/2025</t>
  </si>
  <si>
    <t>CABO ELETRÔNICO CATEGORIA 6, INSTALADO EM EDIFICAÇÃO INSTITUCIONAL - FORNECIMENTO E INSTALAÇÃO. AF_08/2025</t>
  </si>
  <si>
    <t>CABO ELETRÔNICO CATEGORIA 6, INSTALADO EM EDIFICAÇÃO RESIDENCIAL - FORNECIMENTO E INSTALAÇÃO. AF_08/2025</t>
  </si>
  <si>
    <t>CABO ELETRÔNICO CATEGORIA 6A, INSTALADO EM EDIFICAÇÃO INSTITUCIONAL - FORNECIMENTO E INSTALAÇÃO. AF_08/2025</t>
  </si>
  <si>
    <t>CABO ELETRÔNICO CATEGORIA 6A, INSTALADO EM EDIFICAÇÃO RESIDENCIAL - FORNECIMENTO E INSTALAÇÃO. AF_08/2025</t>
  </si>
  <si>
    <t>CABO TELEFÔNICO CCI-50 1 PAR, INSTALADO EM ENTRADA DE EDIFICAÇÃO - FORNECIMENTO E INSTALAÇÃO. AF_08/2025</t>
  </si>
  <si>
    <t>CABO TELEFÔNICO CCI-50 1 PAR, SEM BLINDAGEM, INSTALADO EM DISTRIBUIÇÃO DE EDIFICAÇÃO INSTITUCIONAL - FORNECIMENTO E INSTALAÇÃO. AF_08/2025</t>
  </si>
  <si>
    <t>CABO TELEFÔNICO CCI-50 1 PAR, SEM BLINDAGEM, INSTALADO EM DISTRIBUIÇÃO DE EDIFICAÇÃO RESIDENCIAL - FORNECIMENTO E INSTALAÇÃO. AF_08/2025</t>
  </si>
  <si>
    <t>CABO TELEFÔNICO CCI-50 2 PARES, SEM BLINDAGEM, INSTALADO EM DISTRIBUIÇÃO DE EDIFICAÇÃO INSTITUCIONAL - FORNECIMENTO E INSTALAÇÃO. AF_08/2025</t>
  </si>
  <si>
    <t>CABO TELEFÔNICO CCI-50 2 PARES, SEM BLINDAGEM, INSTALADO EM DISTRIBUIÇÃO DE EDIFICAÇÃO RESIDENCIAL - FORNECIMENTO E INSTALAÇÃO. AF_08/2025</t>
  </si>
  <si>
    <t>CABO TELEFÔNICO CCI-50 2 PARES, SEM BLINDAGEM, INSTALADO EM ENTRADA DE EDIFICAÇÃO - FORNECIMENTO E INSTALAÇÃO. AF_08/2025</t>
  </si>
  <si>
    <t>CABO TELEFÔNICO CCI-50 3 PARES, SEM BLINDAGEM, INSTALADO EM DISTRIBUIÇÃO DE EDIFICAÇÃO INSTITUCIONAL - FORNECIMENTO E INSTALAÇÃO. AF_08/2025</t>
  </si>
  <si>
    <t>CABO TELEFÔNICO CCI-50 3 PARES, SEM BLINDAGEM, INSTALADO EM DISTRIBUIÇÃO DE EDIFICAÇÃO RESIDENCIAL - FORNECIMENTO E INSTALAÇÃO. AF_08/2025</t>
  </si>
  <si>
    <t>CABO TELEFÔNICO CCI-50 3 PARES, SEM BLINDAGEM, INSTALADO EM ENTRADA DE EDIFICAÇÃO - FORNECIMENTO E INSTALAÇÃO. AF_08/2025</t>
  </si>
  <si>
    <t>CABO TELEFÔNICO CCI-50 4 PARES, SEM BLINDAGEM, INSTALADO EM DISTRIBUIÇÃO DE EDIFICAÇÃO INSTITUCIONAL - FORNECIMENTO E INSTALAÇÃO. AF_08/2025</t>
  </si>
  <si>
    <t>CABO TELEFÔNICO CCI-50 4 PARES, SEM BLINDAGEM, INSTALADO EM DISTRIBUIÇÃO DE EDIFICAÇÃO RESIDENCIAL - FORNECIMENTO E INSTALAÇÃO. AF_08/2025</t>
  </si>
  <si>
    <t>CABO TELEFÔNICO CCI-50 4 PARES, SEM BLINDAGEM, INSTALADO EM ENTRADA DE EDIFICAÇÃO - FORNECIMENTO E INSTALAÇÃO. AF_08/2025</t>
  </si>
  <si>
    <t>CABO TELEFÔNICO CCI-50 4 PARES, SEM BLINDAGEM, INSTALADO EM PRUMADA - FORNECIMENTO E INSTALAÇÃO. AF_08/2025</t>
  </si>
  <si>
    <t>CABO TELEFÔNICO CCI-50 5 PARES, SEM BLINDAGEM, INSTALADO EM DISTRIBUIÇÃO DE EDIFICAÇÃO INSTITUCIONAL - FORNECIMENTO E INSTALAÇÃO. AF_08/2025</t>
  </si>
  <si>
    <t>CABO TELEFÔNICO CCI-50 5 PARES, SEM BLINDAGEM, INSTALADO EM DISTRIBUIÇÃO DE EDIFICAÇÃO RESIDENCIAL - FORNECIMENTO E INSTALAÇÃO. AF_08/2025</t>
  </si>
  <si>
    <t>CABO TELEFÔNICO CCI-50 5 PARES, SEM BLINDAGEM, INSTALADO EM ENTRADA DE EDIFICAÇÃO - FORNECIMENTO E INSTALAÇÃO. AF_08/2025</t>
  </si>
  <si>
    <t>CABO TELEFÔNICO CCI-50 5 PARES, SEM BLINDAGEM, INSTALADO EM PRUMADA - FORNECIMENTO E INSTALAÇÃO. AF_08/2025</t>
  </si>
  <si>
    <t>CABO TELEFÔNICO CCI-50 6 PARES, SEM BLINDAGEM, INSTALADO EM DISTRIBUIÇÃO DE EDIFICAÇÃO INSTITUCIONAL - FORNECIMENTO E INSTALAÇÃO. AF_08/2025</t>
  </si>
  <si>
    <t>CABO TELEFÔNICO CCI-50 6 PARES, SEM BLINDAGEM, INSTALADO EM DISTRIBUIÇÃO DE EDIFICAÇÃO RESIDENCIAL - FORNECIMENTO E INSTALAÇÃO. AF_08/2025</t>
  </si>
  <si>
    <t>CABO TELEFÔNICO CCI-50 6 PARES, SEM BLINDAGEM, INSTALADO EM ENTRADA DE EDIFICAÇÃO - FORNECIMENTO E INSTALAÇÃO. AF_08/2025</t>
  </si>
  <si>
    <t>CABO TELEFÔNICO CCI-50 6 PARES, SEM BLINDAGEM, INSTALADO EM PRUMADA - FORNECIMENTO E INSTALAÇÃO. AF_08/2025</t>
  </si>
  <si>
    <t>CABO TELEFÔNICO CI-50 10 PARES INSTALADO EM DISTRIBUIÇÃO DE EDIFICAÇÃO INSTITUCIONAL - FORNECIMENTO E INSTALAÇÃO. AF_08/2025</t>
  </si>
  <si>
    <t>CABO TELEFÔNICO CI-50 10 PARES INSTALADO EM DISTRIBUIÇÃO DE EDIFICAÇÃO RESIDENCIAL - FORNECIMENTO E INSTALAÇÃO. AF_08/2025</t>
  </si>
  <si>
    <t>CABO TELEFÔNICO CI-50 10 PARES INSTALADO EM ENTRADA DE EDIFICAÇÃO - FORNECIMENTO E INSTALAÇÃO. AF_08/2025</t>
  </si>
  <si>
    <t>CABO TELEFÔNICO CI-50 10 PARES INSTALADO EM PRUMADA - FORNECIMENTO E INSTALAÇÃO. AF_08/2025</t>
  </si>
  <si>
    <t>CABO TELEFÔNICO CI-50 20 PARES INSTALADO EM ENTRADA DE EDIFICAÇÃO - FORNECIMENTO E INSTALAÇÃO. AF_08/2025</t>
  </si>
  <si>
    <t>CABO TELEFÔNICO CI-50 20 PARES INSTALADO EM PRUMADA - FORNECIMENTO E INSTALAÇÃO. AF_08/2025</t>
  </si>
  <si>
    <t>CABO TELEFÔNICO CI-50 200 PARES INSTALADO EM ENTRADA DE EDIFICAÇÃO - FORNECIMENTO E INSTALAÇÃO. AF_08/2025</t>
  </si>
  <si>
    <t>CABO TELEFÔNICO CI-50 30 PARES INSTALADO EM ENTRADA DE EDIFICAÇÃO - FORNECIMENTO E INSTALAÇÃO. AF_08/2025</t>
  </si>
  <si>
    <t>CABO TELEFÔNICO CI-50 30 PARES INSTALADO EM PRUMADA - FORNECIMENTO E INSTALAÇÃO. AF_08/2025</t>
  </si>
  <si>
    <t>CABO TELEFÔNICO CI-50 50 PARES INSTALADO EM ENTRADA DE EDIFICAÇÃO - FORNECIMENTO E INSTALAÇÃO. AF_08/2025</t>
  </si>
  <si>
    <t>CABO TELEFÔNICO CI-50 50 PARES INSTALADO EM PRUMADA - FORNECIMENTO E INSTALAÇÃO. AF_08/2025</t>
  </si>
  <si>
    <t>CABO TELEFÔNICO CI-50 75 PARES INSTALADO EM ENTRADA DE EDIFICAÇÃO - FORNECIMENTO E INSTALAÇÃO. AF_08/2025</t>
  </si>
  <si>
    <t>CABO TELEFÔNICO CTP-APL-50 10 PARES INSTALADO EM ENTRADA DE EDIFICAÇÃO - FORNECIMENTO E INSTALAÇÃO. AF_08/2025</t>
  </si>
  <si>
    <t>CABO TELEFÔNICO CTP-APL-50 20 PARES INSTALADO EM ENTRADA DE EDIFICAÇÃO - FORNECIMENTO E INSTALAÇÃO. AF_08/2025</t>
  </si>
  <si>
    <t>CABO TELEFÔNICO CTP-APL-50 30 PARES INSTALADO EM ENTRADA DE EDIFICAÇÃO - FORNECIMENTO E INSTALAÇÃO. AF_08/2025</t>
  </si>
  <si>
    <t>CAIXA DE PASSAGEM PARA TELEFONE 15X15X10CM (SOBREPOR) - FORNECIMENTO E INSTALAÇÃO. AF_08/2025</t>
  </si>
  <si>
    <t>CAIXA DE PASSAGEM PARA TELEFONE 20X20X10CM (SOBREPOR) - FORNECIMENTO E INSTALAÇÃO. AF_08/2025</t>
  </si>
  <si>
    <t>CAIXA DE PASSAGEM PARA TELEFONE 80X80X15CM (SOBREPOR) - FORNECIMENTO E INSTALAÇÃO. AF_08/2025</t>
  </si>
  <si>
    <t>CAIXA DE PISO DUPLA PARA 2 TOMADAS RJ45 E 2 TOMADAS ELÉTRICAS - FORNECIMENTO E INSTALAÇÃO. AF_08/2025</t>
  </si>
  <si>
    <t>INTERFONE COLETIVO COM 16 MONOFONES, BIVOLT(INCLUI TAG'S) - FORNECIMENTO E INSTALAÇÃO. AF_08/2025</t>
  </si>
  <si>
    <t>INTERFONE COLETIVO COM 16 MONOFONES, BIVOLT(NÃO INCLUI TAG'S) - FORNECIMENTO E INSTALAÇÃO. AF_08/2025</t>
  </si>
  <si>
    <t>PATCH PANEL 24 PORTAS, CATEGORIA 5E - FORNECIMENTO E INSTALAÇÃO. AF_08/2025</t>
  </si>
  <si>
    <t>PATCH PANEL 24 PORTAS, CATEGORIA 6 - FORNECIMENTO E INSTALAÇÃO. AF_08/2025</t>
  </si>
  <si>
    <t>PATCH PANEL 48 PORTAS, CATEGORIA 5E - FORNECIMENTO E INSTALAÇÃO. AF_08/2025</t>
  </si>
  <si>
    <t>PATCH PANEL 48 PORTAS, CATEGORIA 6 - FORNECIMENTO E INSTALAÇÃO. AF_08/2025</t>
  </si>
  <si>
    <t>PORTEIRO ELETRÔNICO/INTERFONE DE SOBREPOR, COM MONOFONE, BIVOLT - FORNECIMENTO E INSTALAÇÃO. AF_08/2025</t>
  </si>
  <si>
    <t>QUADRO DE DISTRIBUICÃO PARA TELEFONE N.3, 40X40X12CM EM CHAPA METÁLICA, DE EMBUTIR, SEM ACESSÓRIOS, PADRÃO TELEBRAS - FORNECIMENTO E INSTALAÇÃO. AF_08/2025</t>
  </si>
  <si>
    <t>QUADRO DE DISTRIBUICÃO PARA TELEFONE N.4, 60X60X12CM EM CHAPA METÁLICA, DE EMBUTIR, SEM ACESSÓRIOS, PADRÃO TELEBRAS - FORNECIMENTO E INSTALAÇÃO. AF_08/2025</t>
  </si>
  <si>
    <t>QUADRO DE DISTRIBUIÇÃO PARA TELEFONE N.2, 20X20X12CM EM CHAPA METÁLICA, DE EMBUTIR, SEM ACESSÓRIOS, PADRÃO TELEBRAS - FORNECIMENTO E INSTALAÇÃO. AF_08/2025</t>
  </si>
  <si>
    <t>QUADRO DE DISTRIBUIÇÃO PARA TELEFONE N.5, 80X80X12CM EM CHAPA METÁLICA, DE EMBUTIR, SEM ACESSÓRIOS, PADRÃO TELEBRAS - FORNECIMENTO E INSTALAÇÃO. AF_08/2025</t>
  </si>
  <si>
    <t>RACK ABERTO EM COLUNA 44U PARA SERVIDOR - FORNECIMENTO E INSTALAÇÃO. AF_08/2025</t>
  </si>
  <si>
    <t>RACK DE PAREDE FECHADO DE 12 U EM CHAPA DE AÇO, 19", *570*MM - FORNECIMENTO E INSTALAÇÃO. AF_08/2025</t>
  </si>
  <si>
    <t>RACK DE PISO FECHADO DE 20U EM CHAPA DE AÇO, 19", *670*MM - FORNECIMENTO E INSTALAÇÃO. AF_08/2025</t>
  </si>
  <si>
    <t>RACK DE PISO FECHADO DE 24 U EM CHAPA DE AÇO, 19", *570*MM - FORNECIMENTO E INSTALAÇÃO. AF_08/2025</t>
  </si>
  <si>
    <t>RACK DE PISO FECHADO DE 36 U EM CHAPA DE AÇO, 19", *570*MM - FORNECIMENTO E INSTALAÇÃO. AF_08/2025</t>
  </si>
  <si>
    <t>RACK FECHADO 44U PARA SERVIDOR - FORNECIMENTO E INSTALAÇÃO. AF_08/2025</t>
  </si>
  <si>
    <t>TOMADA DE REDE RJ45 - FORNECIMENTO E INSTALAÇÃO. AF_08/2025</t>
  </si>
  <si>
    <t>TOMADA PARA TELEFONE RJ11 - FORNECIMENTO E INSTALAÇÃO. AF_08/2025</t>
  </si>
  <si>
    <t>TOMADA RJ45 CAT 6E (COMPLETA) - FORNECIMENTO E INSTALAÇÃO. AF_08/2025</t>
  </si>
  <si>
    <t>TOMADA RJ45 CAT 6E (MÓDULO) - FORNECIMENTO E INSTALAÇÃO. AF_08/2025</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</si>
  <si>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</si>
  <si>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</si>
  <si>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</si>
  <si>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</si>
  <si>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</si>
  <si>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</si>
  <si>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</si>
  <si>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</si>
  <si>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</si>
  <si>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</si>
  <si>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</si>
  <si>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</si>
  <si>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</si>
  <si>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</si>
  <si>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</si>
  <si>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</si>
  <si>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</si>
  <si>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</si>
  <si>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</si>
  <si>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</si>
  <si>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</si>
  <si>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</si>
  <si>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</si>
  <si>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</si>
  <si>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</si>
  <si>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</si>
  <si>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</si>
  <si>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</si>
  <si>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COTOVELO 45 GRAUS, EM PEAD LISO PARA REDE DE ÁGUA OU ESGOTO, DIÂMETRO DE 200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</si>
  <si>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</si>
  <si>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</si>
  <si>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</si>
  <si>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</si>
  <si>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POLIETILENO DE ALTA DENSIDADE (PEAD) PARA REDE DE ÁGUA OU ESGOTO, DIÂMETRO DE 200 MM, JUNTA SOLDADA POR ELETROFUSÃO (NÃO INCLUI A EXECUÇÃO DE SOLDA). AF_12/2021</t>
  </si>
  <si>
    <t>EXECUÇÃO DE JUNTA SOLDADA POR ELETROFUSÃO, DE TUBO OU CONEXÃO EM PEAD LISO PARA REDE DE ÁGUA OU ESGOTO, DIÂMETRO DE 1000 MM (NÃO INCLUI O FORNECIMENTO DE TUBO E CONEXÃO). AF_12/2021</t>
  </si>
  <si>
    <t>EXECUÇÃO DE JUNTA SOLDADA POR ELETROFUSÃO, DE TUBO OU CONEXÃO EM PEAD LISO PARA REDE DE ÁGUA OU ESGOTO, DIÂMETRO DE 110 MM (NÃO INCLUI O FORNECIMENTO DE TUBO E CONEXÃO). AF_12/2021</t>
  </si>
  <si>
    <t>EXECUÇÃO DE JUNTA SOLDADA POR ELETROFUSÃO, DE TUBO OU CONEXÃO EM PEAD LISO PARA REDE DE ÁGUA OU ESGOTO, DIÂMETRO DE 1200 MM (NÃO INCLUI O FORNECIMENTO DE TUBO E CONEXÃO). AF_12/2021</t>
  </si>
  <si>
    <t>EXECUÇÃO DE JUNTA SOLDADA POR ELETROFUSÃO, DE TUBO OU CONEXÃO EM PEAD LISO PARA REDE DE ÁGUA OU ESGOTO, DIÂMETRO DE 1400 MM (NÃO INCLUI O FORNECIMENTO DE TUBO E CONEXÃO). AF_12/2021</t>
  </si>
  <si>
    <t>EXECUÇÃO DE JUNTA SOLDADA POR ELETROFUSÃO, DE TUBO OU CONEXÃO EM PEAD LISO PARA REDE DE ÁGUA OU ESGOTO, DIÂMETRO DE 160 MM (NÃO INCLUI O FORNECIMENTO DE TUBO E CONEXÃO). AF_12/2021</t>
  </si>
  <si>
    <t>EXECUÇÃO DE JUNTA SOLDADA POR ELETROFUSÃO, DE TUBO OU CONEXÃO EM PEAD LISO PARA REDE DE ÁGUA OU ESGOTO, DIÂMETRO DE 1600 MM (NÃO INCLUI O FORNECIMENTO DE TUBO E CONEXÃO). AF_12/2021</t>
  </si>
  <si>
    <t>EXECUÇÃO DE JUNTA SOLDADA POR ELETROFUSÃO, DE TUBO OU CONEXÃO EM PEAD LISO PARA REDE DE ÁGUA OU ESGOTO, DIÂMETRO DE 180 MM (NÃO INCLUI O FORNECIMENTO DE TUBO E CONEXÃO). AF_12/2021</t>
  </si>
  <si>
    <t>EXECUÇÃO DE JUNTA SOLDADA POR ELETROFUSÃO, DE TUBO OU CONEXÃO EM PEAD LISO PARA REDE DE ÁGUA OU ESGOTO, DIÂMETRO DE 20 MM (NÃO INCLUI O FORNECIMENTO DE TUBO E CONEXÃO). AF_12/2021</t>
  </si>
  <si>
    <t>EXECUÇÃO DE JUNTA SOLDADA POR ELETROFUSÃO, DE TUBO OU CONEXÃO EM PEAD LISO PARA REDE DE ÁGUA OU ESGOTO, DIÂMETRO DE 200 MM (NÃO INCLUI O FORNECIMENTO DE TUBO E CONEXÃO). AF_12/2021</t>
  </si>
  <si>
    <t>EXECUÇÃO DE JUNTA SOLDADA POR ELETROFUSÃO, DE TUBO OU CONEXÃO EM PEAD LISO PARA REDE DE ÁGUA OU ESGOTO, DIÂMETRO DE 225 MM (NÃO INCLUI O FORNECIMENTO DE TUBO E CONEXÃO). AF_12/2021</t>
  </si>
  <si>
    <t>EXECUÇÃO DE JUNTA SOLDADA POR ELETROFUSÃO, DE TUBO OU CONEXÃO EM PEAD LISO PARA REDE DE ÁGUA OU ESGOTO, DIÂMETRO DE 250 MM (NÃO INCLUI O FORNECIMENTO DE TUBO E CONEXÃO). AF_12/2021</t>
  </si>
  <si>
    <t>EXECUÇÃO DE JUNTA SOLDADA POR ELETROFUSÃO, DE TUBO OU CONEXÃO EM PEAD LISO PARA REDE DE ÁGUA OU ESGOTO, DIÂMETRO DE 280 MM (NÃO INCLUI O FORNECIMENTO DE TUBO E CONEXÃO). AF_12/2021</t>
  </si>
  <si>
    <t>EXECUÇÃO DE JUNTA SOLDADA POR ELETROFUSÃO, DE TUBO OU CONEXÃO EM PEAD LISO PARA REDE DE ÁGUA OU ESGOTO, DIÂMETRO DE 315 MM (NÃO INCLUI O FORNECIMENTO DE TUBO E CONEXÃO). AF_12/2021</t>
  </si>
  <si>
    <t>EXECUÇÃO DE JUNTA SOLDADA POR ELETROFUSÃO, DE TUBO OU CONEXÃO EM PEAD LISO PARA REDE DE ÁGUA OU ESGOTO, DIÂMETRO DE 32 MM (NÃO INCLUI O FORNECIMENTO DE TUBO E CONEXÃO). AF_12/2021</t>
  </si>
  <si>
    <t>EXECUÇÃO DE JUNTA SOLDADA POR ELETROFUSÃO, DE TUBO OU CONEXÃO EM PEAD LISO PARA REDE DE ÁGUA OU ESGOTO, DIÂMETRO DE 355 MM (NÃO INCLUI O FORNECIMENTO DE TUBO E CONEXÃO). AF_12/2021</t>
  </si>
  <si>
    <t>EXECUÇÃO DE JUNTA SOLDADA POR ELETROFUSÃO, DE TUBO OU CONEXÃO EM PEAD LISO PARA REDE DE ÁGUA OU ESGOTO, DIÂMETRO DE 400 MM (NÃO INCLUI O FORNECIMENTO DE TUBO E CONEXÃO). AF_12/2021</t>
  </si>
  <si>
    <t>EXECUÇÃO DE JUNTA SOLDADA POR ELETROFUSÃO, DE TUBO OU CONEXÃO EM PEAD LISO PARA REDE DE ÁGUA OU ESGOTO, DIÂMETRO DE 450 MM (NÃO INCLUI O FORNECIMENTO DE TUBO E CONEXÃO). AF_12/2021</t>
  </si>
  <si>
    <t>EXECUÇÃO DE JUNTA SOLDADA POR ELETROFUSÃO, DE TUBO OU CONEXÃO EM PEAD LISO PARA REDE DE ÁGUA OU ESGOTO, DIÂMETRO DE 500 MM (NÃO INCLUI O FORNECIMENTO DE TUBO E CONEXÃO). AF_12/2021</t>
  </si>
  <si>
    <t>EXECUÇÃO DE JUNTA SOLDADA POR ELETROFUSÃO, DE TUBO OU CONEXÃO EM PEAD LISO PARA REDE DE ÁGUA OU ESGOTO, DIÂMETRO DE 560 MM (NÃO INCLUI O FORNECIMENTO DE TUBO E CONEXÃO). AF_12/2021</t>
  </si>
  <si>
    <t>EXECUÇÃO DE JUNTA SOLDADA POR ELETROFUSÃO, DE TUBO OU CONEXÃO EM PEAD LISO PARA REDE DE ÁGUA OU ESGOTO, DIÂMETRO DE 63 MM (NÃO INCLUI O FORNECIMENTO DE TUBO E CONEXÃO). AF_12/2021</t>
  </si>
  <si>
    <t>EXECUÇÃO DE JUNTA SOLDADA POR ELETROFUSÃO, DE TUBO OU CONEXÃO EM PEAD LISO PARA REDE DE ÁGUA OU ESGOTO, DIÂMETRO DE 630 MM (NÃO INCLUI O FORNECIMENTO DE TUBO E CONEXÃO). AF_12/2021</t>
  </si>
  <si>
    <t>EXECUÇÃO DE JUNTA SOLDADA POR ELETROFUSÃO, DE TUBO OU CONEXÃO EM PEAD LISO PARA REDE DE ÁGUA OU ESGOTO, DIÂMETRO DE 710 MM (NÃO INCLUI O FORNECIMENTO DE TUBO E CONEXÃO). AF_12/2021</t>
  </si>
  <si>
    <t>EXECUÇÃO DE JUNTA SOLDADA POR ELETROFUSÃO, DE TUBO OU CONEXÃO EM PEAD LISO PARA REDE DE ÁGUA OU ESGOTO, DIÂMETRO DE 800 MM (NÃO INCLUI O FORNECIMENTO DE TUBO E CONEXÃO). AF_12/2021</t>
  </si>
  <si>
    <t>EXECUÇÃO DE JUNTA SOLDADA POR ELETROFUSÃO, DE TUBO OU CONEXÃO EM PEAD LISO PARA REDE DE ÁGUA OU ESGOTO, DIÂMETRO DE 90 MM (NÃO INCLUI O FORNECIMENTO DE TUBO E CONEXÃO). AF_12/2021</t>
  </si>
  <si>
    <t>EXECUÇÃO DE JUNTA SOLDADA POR ELETROFUSÃO, DE TUBO OU CONEXÃO EM PEAD LISO PARA REDE DE ÁGUA OU ESGOTO, DIÂMETRO DE 900 MM (NÃO INCLUI O FORNECIMENTO DE TUBO E CONEXÃO). AF_12/2021</t>
  </si>
  <si>
    <t>EXECUÇÃO DE JUNTA SOLDADA POR TERMOFUSÃO, DE TUBO OU CONEXÃO EM PEAD LISO PARA REDE DE ÁGUA OU ESGOTO, DIÂMETRO DE 1000 MM (NÃO INCLUI O FORNECIMENTO DE TUBO E CONEXÃO). AF_12/2021</t>
  </si>
  <si>
    <t>EXECUÇÃO DE JUNTA SOLDADA POR TERMOFUSÃO, DE TUBO OU CONEXÃO EM PEAD LISO PARA REDE DE ÁGUA OU ESGOTO, DIÂMETRO DE 1200 MM (NÃO INCLUI O FORNECIMENTO DE TUBO E CONEXÃO). AF_12/2021</t>
  </si>
  <si>
    <t>EXECUÇÃO DE JUNTA SOLDADA POR TERMOFUSÃO, DE TUBO OU CONEXÃO EM PEAD LISO PARA REDE DE ÁGUA OU ESGOTO, DIÂMETRO DE 160 MM (NÃO INCLUI O FORNECIMENTO DE TUBO E CONEXÃO). AF_12/2021</t>
  </si>
  <si>
    <t>EXECUÇÃO DE JUNTA SOLDADA POR TERMOFUSÃO, DE TUBO OU CONEXÃO EM PEAD LISO PARA REDE DE ÁGUA OU ESGOTO, DIÂMETRO DE 180 MM (NÃO INCLUI O FORNECIMENTO DE TUBO E CONEXÃO). AF_12/2021</t>
  </si>
  <si>
    <t>EXECUÇÃO DE JUNTA SOLDADA POR TERMOFUSÃO, DE TUBO OU CONEXÃO EM PEAD LISO PARA REDE DE ÁGUA OU ESGOTO, DIÂMETRO DE 200 MM (NÃO INCLUI O FORNECIMENTO DE TUBO E CONEXÃO). AF_12/2021</t>
  </si>
  <si>
    <t>EXECUÇÃO DE JUNTA SOLDADA POR TERMOFUSÃO, DE TUBO OU CONEXÃO EM PEAD LISO PARA REDE DE ÁGUA OU ESGOTO, DIÂMETRO DE 225 MM (NÃO INCLUI O FORNECIMENTO DE TUBO E CONEXÃO). AF_12/2021</t>
  </si>
  <si>
    <t>EXECUÇÃO DE JUNTA SOLDADA POR TERMOFUSÃO, DE TUBO OU CONEXÃO EM PEAD LISO PARA REDE DE ÁGUA OU ESGOTO, DIÂMETRO DE 250 MM (NÃO INCLUI O FORNECIMENTO DE TUBO E CONEXÃO). AF_12/2021</t>
  </si>
  <si>
    <t>EXECUÇÃO DE JUNTA SOLDADA POR TERMOFUSÃO, DE TUBO OU CONEXÃO EM PEAD LISO PARA REDE DE ÁGUA OU ESGOTO, DIÂMETRO DE 280 MM (NÃO INCLUI O FORNECIMENTO DE TUBO E CONEXÃO). AF_12/2021</t>
  </si>
  <si>
    <t>EXECUÇÃO DE JUNTA SOLDADA POR TERMOFUSÃO, DE TUBO OU CONEXÃO EM PEAD LISO PARA REDE DE ÁGUA OU ESGOTO, DIÂMETRO DE 315 MM (NÃO INCLUI O FORNECIMENTO DE TUBO E CONEXÃO). AF_12/2021</t>
  </si>
  <si>
    <t>EXECUÇÃO DE JUNTA SOLDADA POR TERMOFUSÃO, DE TUBO OU CONEXÃO EM PEAD LISO PARA REDE DE ÁGUA OU ESGOTO, DIÂMETRO DE 355 MM (NÃO INCLUI O FORNECIMENTO DE TUBO E CONEXÃO). AF_12/2021</t>
  </si>
  <si>
    <t>EXECUÇÃO DE JUNTA SOLDADA POR TERMOFUSÃO, DE TUBO OU CONEXÃO EM PEAD LISO PARA REDE DE ÁGUA OU ESGOTO, DIÂMETRO DE 400 MM (NÃO INCLUI O FORNECIMENTO DE TUBO E CONEXÃO). AF_12/2021</t>
  </si>
  <si>
    <t>EXECUÇÃO DE JUNTA SOLDADA POR TERMOFUSÃO, DE TUBO OU CONEXÃO EM PEAD LISO PARA REDE DE ÁGUA OU ESGOTO, DIÂMETRO DE 450 MM (NÃO INCLUI O FORNECIMENTO DE TUBO E CONEXÃO). AF_12/2021</t>
  </si>
  <si>
    <t>EXECUÇÃO DE JUNTA SOLDADA POR TERMOFUSÃO, DE TUBO OU CONEXÃO EM PEAD LISO PARA REDE DE ÁGUA OU ESGOTO, DIÂMETRO DE 500 MM (NÃO INCLUI O FORNECIMENTO DE TUBO E CONEXÃO). AF_12/2021</t>
  </si>
  <si>
    <t>EXECUÇÃO DE JUNTA SOLDADA POR TERMOFUSÃO, DE TUBO OU CONEXÃO EM PEAD LISO PARA REDE DE ÁGUA OU ESGOTO, DIÂMETRO DE 560 MM (NÃO INCLUI O FORNECIMENTO DE TUBO E CONEXÃO). AF_12/2021</t>
  </si>
  <si>
    <t>EXECUÇÃO DE JUNTA SOLDADA POR TERMOFUSÃO, DE TUBO OU CONEXÃO EM PEAD LISO PARA REDE DE ÁGUA OU ESGOTO, DIÂMETRO DE 630 MM (NÃO INCLUI O FORNECIMENTO DE TUBO E CONEXÃO). AF_12/2021</t>
  </si>
  <si>
    <t>EXECUÇÃO DE JUNTA SOLDADA POR TERMOFUSÃO, DE TUBO OU CONEXÃO EM PEAD LISO PARA REDE DE ÁGUA OU ESGOTO, DIÂMETRO DE 710 MM (NÃO INCLUI O FORNECIMENTO DE TUBO E CONEXÃO). AF_12/2021</t>
  </si>
  <si>
    <t>EXECUÇÃO DE JUNTA SOLDADA POR TERMOFUSÃO, DE TUBO OU CONEXÃO EM PEAD LISO PARA REDE DE ÁGUA OU ESGOTO, DIÂMETRO DE 800 MM (NÃO INCLUI O FORNECIMENTO DE TUBO E CONEXÃO). AF_12/2021</t>
  </si>
  <si>
    <t>EXECUÇÃO DE JUNTA SOLDADA POR TERMOFUSÃO, DE TUBO OU CONEXÃO EM PEAD LISO PARA REDE DE ÁGUA OU ESGOTO, DIÂMETRO DE 900 MM (NÃO INCLUI O FORNECIMENTO DE TUBO E CONEXÃO). AF_12/2021</t>
  </si>
  <si>
    <t>LUVA, EM PEAD LISO PARA REDE DE ÁGUA OU ESGOTO, DIÂMETRO DE 200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</si>
  <si>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</si>
  <si>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400 MM, JUNTA SOLDADA POR ELETROFUSÃO (NÃO INCLUI A EXECUÇÃO DE SOLDA). AF_12/2021</t>
  </si>
  <si>
    <t>TUBO PEAD LISO PARA REDE DE ÁGUA OU ESGOTO, DIÂMETRO DE 1000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</si>
  <si>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</si>
  <si>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1200 MM, JUNTA SOLDADA (NÃO INCLUI A EXECUÇÃO DE SOLDA) - FORNECIMENTO E ASSENTAMENTO. AF_12/2021</t>
  </si>
  <si>
    <t>TUBO PEAD LISO PARA REDE DE ÁGUA OU ESGOTO, DIÂMETRO DE 1400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</si>
  <si>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</si>
  <si>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1600 MM, JUNTA SOLDADA (NÃO INCLUI A EXECUÇÃO DE SOLDA) - FORNECIMENTO E ASSENTAMENTO. AF_12/2021</t>
  </si>
  <si>
    <t>TUBO PEAD LISO PARA REDE DE ÁGUA OU ESGOTO, DIÂMETRO DE 180 MM, JUNTA SOLDADA (NÃO INCLUI A EXECUÇÃO DE SOLDA) - FORNECIMENTO E ASSENTAMENTO. AF_12/2021</t>
  </si>
  <si>
    <t>TUBO PEAD LISO PARA REDE DE ÁGUA OU ESGOTO, DIÂMETRO DE 20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</si>
  <si>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</si>
  <si>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225 MM, JUNTA SOLDADA (NÃO INCLUI A EXECUÇÃO DE SOLDA) - FORNECIMENTO E ASSENTAMENTO. AF_12/2021</t>
  </si>
  <si>
    <t>TUBO PEAD LISO PARA REDE DE ÁGUA OU ESGOTO, DIÂMETRO DE 250 MM, JUNTA SOLDADA (NÃO INCLUI A EXECUÇÃO DE SOLDA) - FORNECIMENTO E ASSENTAMENTO. AF_12/2021</t>
  </si>
  <si>
    <t>TUBO PEAD LISO PARA REDE DE ÁGUA OU ESGOTO, DIÂMETRO DE 280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</si>
  <si>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</si>
  <si>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</si>
  <si>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355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</si>
  <si>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</si>
  <si>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450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</si>
  <si>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</si>
  <si>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560 MM, JUNTA SOLDADA (NÃO INCLUI A EXECUÇÃO DE SOLDA) - FORNECIMENTO E ASSENTAMENTO. AF_12/2021</t>
  </si>
  <si>
    <t>TUBO PEAD LISO PARA REDE DE ÁGUA OU ESGOTO, DIÂMETRO DE 63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</si>
  <si>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</si>
  <si>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710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</si>
  <si>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</si>
  <si>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 MM, JUNTA SOLDADA (NÃO INCLUI A EXECUÇÃO DE SOLDA) - FORNECIMENTO E ASSENTAMENTO. AF_12/2021</t>
  </si>
  <si>
    <t>TUBO PEAD LISO PARA REDE DE ÁGUA OU ESGOTO, DIÂMETRO DE 900 MM, JUNTA SOLDADA (NÃO INCLUI A EXECUÇÃO DE SOLDA) - FORNECIMENTO E ASSENTAMENTO.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</si>
  <si>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</si>
  <si>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</si>
  <si>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</si>
  <si>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</si>
  <si>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</si>
  <si>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REMOÇÃO DE ENTULHO CLASSE A (ALVENARIA, CONCRETO, ARGAMASSAS E CERÂMICOS) POR DUTO DE ENTULHO E ACONDICIONAMENTO FINAL EM CAÇAMBA ESTACIONÁRIA. EXCLUSO FRETE. AF_09/2025</t>
  </si>
  <si>
    <t>REMOÇÃO DE ENTULHO CLASSE B (BALDES VAZIOS NÃO CONTAMINADOS DE 29 LITROS) TRANSPORTADAS POR CREMALHEIRA. ACONDICIONAMENTO FINAL EM BAIAS. EXCLUSO FRETE. AF_09/2025</t>
  </si>
  <si>
    <t>REMOÇÃO DE ENTULHO CLASSE B (FRAGMENTOS DE MADEIRA) TRANSPORTADOS POR CREMALHEIRA. ACONDICIONAMENTO FINAL CAÇAMBA ESTACIONÁRIA. EXCLUSO FRETE. AF_09/2025</t>
  </si>
  <si>
    <t>REMOÇÃO DE ENTULHO CLASSE B (FRAGMENTOS DE MADEIRA) TRANSPORTADOS POR GRUA. ACONDICIONAMENTO FINAL CAÇAMBA ESTACIONÁRIA. EXCLUSO FRETE. AF_09/2025</t>
  </si>
  <si>
    <t>REMOÇÃO DE ENTULHO CLASSE B (FRAGMENTOS E RESÍDUOS DE GESSO) TRANSPORTADOS POR CREMALHEIRA. ACONDICIONAMENTO FINAL CAÇAMBA ESTACIONÁRIA. EXCLUSO FRETE. AF_09/2025</t>
  </si>
  <si>
    <t>REMOÇÃO DE ENTULHO CLASSE B (LATAS OU BALDES VAZIOS NÃO CONTAMINADOS DE 18 LITROS) TRANSPORTADAS POR CREMALHEIRA. ACONDICIONAMENTO FINAL EM BAIAS. EXCLUSO FRETE. AF_09/2025</t>
  </si>
  <si>
    <t>REMOÇÃO DE ENTULHO CLASSE B (PEÇAS MAIORES DE GESSO ACARTONADO) TRANSPORTADOS POR CREMALHEIRA. ACONDICIONAMENTO FINAL CAÇAMBA ESTACIONÁRIA. EXCLUSO FRETE. AF_09/2025</t>
  </si>
  <si>
    <t>REMOÇÃO DE ENTULHO CLASSE B (PEÇAS MAIORES DE MADEIRA) TRANSPORTADOS POR CREMALHEIRA. ACONDICIONAMENTO FINAL EM CAIXA ROLL ON/ ROLL OFF. EXCLUSO FRETE. AF_09/2025</t>
  </si>
  <si>
    <t>REMOÇÃO DE ENTULHO CLASSE B (PEÇAS MAIORES DE MADEIRA) TRANSPORTADOS POR GRUA. ACONDICIONAMENTO FINAL EM CAIXA ROLL ON/ ROLL OFF. EXCLUSO FRETE. AF_09/2025</t>
  </si>
  <si>
    <t>REMOÇÃO DE ENTULHO CLASSE B (PLASTICO/ PAPEL/ METAL) ARMAZENADO INICIALMENTE EM BOMBONAS E ACONDICIONAMENTO FINAL EM ABRIGOS COBERTOS. EXCLUSO FRETE. AF_09/2025</t>
  </si>
  <si>
    <t>REVESTIMENTO CERÂMICO PARA PAREDES EXTERNAS EM PASTILHAS DE PORCELANA 2,5 X 2,5 CM (PLACAS DE 30 X 30 CM), ALINHADAS A PRUMO, APLICADO EM SUPERFÍCIES INTERNAS DE SACADA. AF_02/2023</t>
  </si>
  <si>
    <t>REVESTIMENTO CERÂMICO PARA PAREDES EXTERNAS EM PASTILHAS DE PORCELANA 2,5 X 2,5 CM (PLACAS DE 30 X 30 CM), ALINHADAS A PRUMO. AF_02/2023</t>
  </si>
  <si>
    <t>REVESTIMENTO CERÂMICO PARA PAREDES EXTERNAS EM PASTILHAS DE PORCELANA 5 X 5 CM (PLACAS DE 30 X 30 CM), ALINHADAS A PRUMO, APLICADO EM SUPERFÍCIES INTERNAS DE SACADA. AF_02/2023</t>
  </si>
  <si>
    <t>REVESTIMENTO CERÂMICO PARA PAREDES EXTERNAS EM PASTILHAS DE PORCELANA 5 X 5 CM (PLACAS DE 30 X 30 CM), ALINHADAS A PRUMO. AF_02/2023</t>
  </si>
  <si>
    <t>REVESTIMENTO CERÂMICO PARA PAREDES EXTERNAS, COM PLACAS TIPO GRÊS OU SEMIGRÊS, FORMATO MENOR OU IGUAL A 200 CM2, ALINHADAS A PRUMO, APLICADO EM SUPERFÍCIES INTERNAS DE SACADA. AF_02/2023</t>
  </si>
  <si>
    <t>REVESTIMENTO CERÂMICO PARA PAREDES EXTERNAS, COM PLACAS TIPO GRÊS OU SEMIGRÊS, FORMATO MENOR OU IGUAL A 200 CM2, ALINHADAS A PRUMO. AF_02/2023</t>
  </si>
  <si>
    <t>REVESTIMENTO CERÂMICO PARA PAREDES EXTERNAS, COM PLACAS TIPO GRÊS OU SEMIGRÊS, FORMATO MENOR OU IGUAL A 200 CM2, DISPOSTAS EM AMARRAÇÃO, APLICADO EM SUPERFÍCIES INTERNAS DE SACADA. AF_02/2023</t>
  </si>
  <si>
    <t>REVESTIMENTO CERÂMICO PARA PAREDES EXTERNAS, COM PLACAS TIPO GRÊS OU SEMIGRÊS, FORMATO MENOR OU IGUAL A 200 CM2, DISPOSTAS EM AMARRAÇÃO. AF_02/2023</t>
  </si>
  <si>
    <t>REVESTIMENTO CERÂMICO PARA PAREDES INTERNAS COM PLACAS TIPO ESMALTADA DE DIMENSÕES 20X20 CM APLICADAS A MEIA ALTURA DAS PAREDES. AF_02/2023_PE</t>
  </si>
  <si>
    <t>REVESTIMENTO CERÂMICO PARA PAREDES INTERNAS COM PLACAS TIPO ESMALTADA DE DIMENSÕES 20X20 CM APLICADAS EM DIAGONAL,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</si>
  <si>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</si>
  <si>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</si>
  <si>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</si>
  <si>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</si>
  <si>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33X45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</si>
  <si>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</si>
  <si>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60X60 CM APLICADAS A MEIA ALTURA DAS PAREDES. AF_02/2023_PE</t>
  </si>
  <si>
    <t>REVESTIMENTO CERÂMICO PARA PAREDES INTERNAS COM PLACAS TIPO ESMALTADA DE DIMENSÕES 60X60 CM APLICADAS NA ALTURA INTEIRA DAS PAREDES. AF_02/2023_PE</t>
  </si>
  <si>
    <t>REVESTIMENTO CERÂMICO PARA PAREDES INTERNAS COM PLACAS TIPO PASTILHA DE DIMENSÕES 2,5 X 2,5 CM (PLACAS DE 30 X 30 CM) CM APLICADAS A MEIA ALTURA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</si>
  <si>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</si>
  <si>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</si>
  <si>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5 X 5 CM (PLACAS DE 30 X 30 CM) CM APLICADAS NA ALTURA INTEIRA DAS PAREDES. AF_02/2023</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</si>
  <si>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</si>
  <si>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</si>
  <si>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35X35 CM APLICADA EM AMBIENTES DE ÁREA MENOR QUE 5 M2.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</si>
  <si>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</si>
  <si>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</si>
  <si>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</si>
  <si>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</si>
  <si>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</si>
  <si>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</si>
  <si>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</si>
  <si>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</si>
  <si>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</si>
  <si>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</si>
  <si>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</si>
  <si>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</si>
  <si>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</si>
  <si>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</si>
  <si>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ESMALTADA DE DIMENSÕES 80X80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</si>
  <si>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</si>
  <si>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</si>
  <si>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PORCELANATO DE DIMENSÕES 60X60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</si>
  <si>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</si>
  <si>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</si>
  <si>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REVESTIMENTO CERÂMICO PARA PISO COM PLACAS TIPO PORCELANATO DE DIMENSÕES 80X80 CM APLICADA EM AMBIENTES DE ÁREA MENOR QUE 5 M². AF_02/2023_PE</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</si>
  <si>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</si>
  <si>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</si>
  <si>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</si>
  <si>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RODAPÉ CERÂMICO DE 7CM DE ALTURA COM PLACAS TIPO ESMALTADA DE DIMENSÕES 80X80CM. AF_02/2023</t>
  </si>
  <si>
    <t>FORNECIMENTO E INSTALAÇÃO DE BALIZADOR SOBRE ASFALTO. AF_03/2022</t>
  </si>
  <si>
    <t>FORNECIMENTO E INSTALAÇÃO DE BARREIRA DE CONCRETO PERFIL NEW JERSEY DUPLA - 1070 MM. AF_03/2022</t>
  </si>
  <si>
    <t>FORNECIMENTO E INSTALAÇÃO DE BARREIRA DE CONCRETO PERFIL NEW JERSEY DUPLA - 810 MM. AF_03/2022</t>
  </si>
  <si>
    <t>FORNECIMENTO E INSTALAÇÃO DE BARREIRA DE CONCRETO PERFIL NEW JERSEY SIMPLES - 1070 MM. AF_03/2022</t>
  </si>
  <si>
    <t>FORNECIMENTO E INSTALAÇÃO DE BARREIRA DE CONCRETO PERFIL NEW JERSEY SIMPLES - 810 MM. AF_03/2022</t>
  </si>
  <si>
    <t>FORNECIMENTO E INSTALAÇÃO DE BARREIRA DE CONCRETO PERFIL TIPO F DUPLA - 1070 MM. AF_03/2022</t>
  </si>
  <si>
    <t>FORNECIMENTO E INSTALAÇÃO DE BARREIRA DE CONCRETO PERFIL TIPO F DUPLA - 810 MM. AF_03/2022</t>
  </si>
  <si>
    <t>FORNECIMENTO E INSTALAÇÃO DE BARREIRA DE CONCRETO PERFIL TIPO F SIMPLES - 1070 MM. AF_03/2022</t>
  </si>
  <si>
    <t>FORNECIMENTO E INSTALAÇÃO DE BARREIRA DE CONCRETO PERFIL TIPO F SIMPLES - 810 MM. AF_03/2022</t>
  </si>
  <si>
    <t>FORNECIMENTO E INSTALAÇÃO DE BATE RODAS SOBRE ASFALTO. AF_03/2022</t>
  </si>
  <si>
    <t>FORNECIMENTO E INSTALAÇÃO DE CALOTA SOBRE ASFALTO. AF_03/2022</t>
  </si>
  <si>
    <t>FORNECIMENTO E INSTALAÇÃO DE DEFENSA METÁLICA MALEÁVEL DUPLA, SOBRE SOLO. AF_03/2022</t>
  </si>
  <si>
    <t>FORNECIMENTO E INSTALAÇÃO DE DEFENSA METÁLICA MALEÁVEL SIMPLES, SOBRE SOLO. AF_03/2022</t>
  </si>
  <si>
    <t>FORNECIMENTO E INSTALAÇÃO DE DEFENSA METÁLICA SEMI MALEÁVEL DUPLA, SOBRE SOLO. AF_03/2022</t>
  </si>
  <si>
    <t>FORNECIMENTO E INSTALAÇÃO DE DEFENSA METÁLICA SEMI MALEÁVEL SIMPLES (ANCORAGEM), SOBRE SOLO. AF_03/2022</t>
  </si>
  <si>
    <t>FORNECIMENTO E INSTALAÇÃO DE DEFENSA METÁLICA SEMI MALEÁVEL SIMPLES, SOBRE SOLO. AF_03/2022</t>
  </si>
  <si>
    <t>FORNECIMENTO E INSTALAÇÃO DE DEFENSA METÁLICA SEMI-MALEAVEL DUPLA (ANCORAGEM), SOBRE SOLO. AF_03/2022</t>
  </si>
  <si>
    <t>FORNECIMENTO E INSTALAÇÃO DE DEFENSA METÁLICA TRIPLA ONDA DUPLA, SOBRE SOLO. AF_03/2022</t>
  </si>
  <si>
    <t>FORNECIMENTO E INSTALAÇÃO DE DEFENSA METÁLICA TRIPLA ONDA SIMPLES, SOBRE SOLO. AF_03/2022</t>
  </si>
  <si>
    <t>FORNECIMENTO E INSTALAÇÃO DE LOMBADA SOBRE ASFALTO. AF_03/2022</t>
  </si>
  <si>
    <t>FORNECIMENTO E INSTALAÇÃO DE PRISMA SOBRE ASFALTO. AF_03/2022</t>
  </si>
  <si>
    <t>FORNECIMENTO E INSTALAÇÃO DE SEGREGADOR SOBRE ASFALTO. AF_03/2022</t>
  </si>
  <si>
    <t>FORNECIMENTO E INSTALAÇÃO DE TACHA SOBRE ASFALTO. AF_03/2022</t>
  </si>
  <si>
    <t>FORNECIMENTO E INSTALAÇÃO DE TACHÃO SOBRE ASFALTO. AF_03/2022</t>
  </si>
  <si>
    <t>FORNECIMENTO E INSTALAÇÃO DE TERMINAL DE ANCORAGEM DE DEFENSA METÁLICA, EM BARREIRA DE CONCRETO. AF_03/2022</t>
  </si>
  <si>
    <t>FORNECIMENTO E INSTALAÇÃO DE PLACA DE SINALIZAÇÃO EM CHAPA DE ALUMÍNIO EM SUPORTE DE CONCRETO. AF_03/2022</t>
  </si>
  <si>
    <t>FORNECIMENTO E INSTALAÇÃO DE PLACA DE SINALIZAÇÃO EM CHAPA DE ALUMÍNIO EM SUPORTE DE MADEIRA. AF_03/2022</t>
  </si>
  <si>
    <t>FORNECIMENTO E INSTALAÇÃO DE PLACA DE SINALIZAÇÃO EM CHAPA DE ALUMÍNIO EM SUPORTE METÁLICO. AF_03/2022</t>
  </si>
  <si>
    <t>FORNECIMENTO E INSTALAÇÃO DE PLACA DE SINALIZAÇÃO EM CHAPA DE AÇO EM SUPORTE DE CONCRETO. AF_03/2022</t>
  </si>
  <si>
    <t>FORNECIMENTO E INSTALAÇÃO DE PLACA DE SINALIZAÇÃO EM CHAPA DE AÇO EM SUPORTE DE MADEIRA. AF_03/2022</t>
  </si>
  <si>
    <t>FORNECIMENTO E INSTALAÇÃO DE PLACA DE SINALIZAÇÃO EM CHAPA DE AÇO EM SUPORTE METÁLICO. AF_03/2022</t>
  </si>
  <si>
    <t>FORNECIMENTO E INSTALAÇÃO DE PLACA DE SINALIZAÇÃO EM PÓRTICO E SEMI-PÓRTICO. AF_03/2022</t>
  </si>
  <si>
    <t>FORNECIMENTO E INSTALAÇÃO DE PÓRTICO METÁLICO COM VÃO DE 10,3 M. AF_03/2022</t>
  </si>
  <si>
    <t>FORNECIMENTO E INSTALAÇÃO DE PÓRTICO METÁLICO COM VÃO DE 11,4 M. AF_03/2022</t>
  </si>
  <si>
    <t>FORNECIMENTO E INSTALAÇÃO DE PÓRTICO METÁLICO COM VÃO DE 12,5 M. AF_03/2022</t>
  </si>
  <si>
    <t>FORNECIMENTO E INSTALAÇÃO DE PÓRTICO METÁLICO COM VÃO DE 13,6 M. AF_03/2022</t>
  </si>
  <si>
    <t>FORNECIMENTO E INSTALAÇÃO DE PÓRTICO METÁLICO COM VÃO DE 14,8 M. AF_03/2022</t>
  </si>
  <si>
    <t>FORNECIMENTO E INSTALAÇÃO DE PÓRTICO METÁLICO COM VÃO DE 15,9 M. AF_03/2022</t>
  </si>
  <si>
    <t>FORNECIMENTO E INSTALAÇÃO DE PÓRTICO METÁLICO COM VÃO DE 17 M. AF_03/2022</t>
  </si>
  <si>
    <t>FORNECIMENTO E INSTALAÇÃO DE PÓRTICO METÁLICO COM VÃO DE 18,1 M. AF_03/2022</t>
  </si>
  <si>
    <t>FORNECIMENTO E INSTALAÇÃO DE PÓRTICO METÁLICO COM VÃO DE 19,2 M. AF_03/2022</t>
  </si>
  <si>
    <t>FORNECIMENTO E INSTALAÇÃO DE PÓRTICO METÁLICO COM VÃO DE 20,3 M. AF_03/2022</t>
  </si>
  <si>
    <t>FORNECIMENTO E INSTALAÇÃO DE PÓRTICO METÁLICO COM VÃO DE 21,5 M. AF_03/2022</t>
  </si>
  <si>
    <t>FORNECIMENTO E INSTALAÇÃO DE PÓRTICO METÁLICO COM VÃO DE 22,6 M. AF_03/2022</t>
  </si>
  <si>
    <t>FORNECIMENTO E INSTALAÇÃO DE PÓRTICO METÁLICO COM VÃO DE 23,7 M. AF_03/2022</t>
  </si>
  <si>
    <t>FORNECIMENTO E INSTALAÇÃO DE PÓRTICO METÁLICO COM VÃO DE 24,8 M. AF_03/2022</t>
  </si>
  <si>
    <t>FORNECIMENTO E INSTALAÇÃO DE PÓRTICO METÁLICO COM VÃO DE 26 M. AF_03/2022</t>
  </si>
  <si>
    <t>FORNECIMENTO E INSTALAÇÃO DE PÓRTICO METÁLICO COM VÃO DE 27,1 M. AF_03/2022</t>
  </si>
  <si>
    <t>FORNECIMENTO E INSTALAÇÃO DE PÓRTICO METÁLICO COM VÃO DE 9,2 M. AF_03/2022</t>
  </si>
  <si>
    <t>FORNECIMENTO E INSTALAÇÃO DE SEMI PÓRTICO DUPLO METÁLICO COM VÃO DE 2,7 M. AF_03/2022</t>
  </si>
  <si>
    <t>FORNECIMENTO E INSTALAÇÃO DE SEMI PÓRTICO DUPLO METÁLICO COM VÃO DE 3,8 M. AF_03/2022</t>
  </si>
  <si>
    <t>FORNECIMENTO E INSTALAÇÃO DE SEMI PÓRTICO DUPLO METÁLICO COM VÃO DE 4,9 M. AF_03/2022</t>
  </si>
  <si>
    <t>FORNECIMENTO E INSTALAÇÃO DE SEMI PÓRTICO DUPLO METÁLICO COM VÃO DE 6 M. AF_03/2022</t>
  </si>
  <si>
    <t>FORNECIMENTO E INSTALAÇÃO DE SEMI PÓRTICO DUPLO METÁLICO COM VÃO DE 7,2 M. AF_03/2022</t>
  </si>
  <si>
    <t>FORNECIMENTO E INSTALAÇÃO DE SEMI PÓRTICO DUPLO METÁLICO COM VÃO DE 8,3 M. AF_03/2022</t>
  </si>
  <si>
    <t>FORNECIMENTO E INSTALAÇÃO DE SEMI PÓRTICO METÁLICO COM VÃO DE 2,7 M. AF_03/2022</t>
  </si>
  <si>
    <t>FORNECIMENTO E INSTALAÇÃO DE SEMI PÓRTICO METÁLICO COM VÃO DE 3,8 M. AF_03/2022</t>
  </si>
  <si>
    <t>FORNECIMENTO E INSTALAÇÃO DE SEMI PÓRTICO METÁLICO COM VÃO DE 4,9 M. AF_03/2022</t>
  </si>
  <si>
    <t>FORNECIMENTO E INSTALAÇÃO DE SEMI PÓRTICO METÁLICO COM VÃO DE 6 M. AF_03/2022</t>
  </si>
  <si>
    <t>FORNECIMENTO E INSTALAÇÃO DE SEMI PÓRTICO METÁLICO COM VÃO DE 7,2 M. AF_03/2022</t>
  </si>
  <si>
    <t>FORNECIMENTO E INSTALAÇÃO DE SEMI PÓRTICO METÁLICO COM VÃO DE 8,3 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</si>
  <si>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</si>
  <si>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</si>
  <si>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FORNECIMENTO E INSTALAÇÃO DE SUPORTE DE MADEIRA PARA PLACAS DE SINALIZAÇÃO, EM SOLO, COM H= DE 2,0 M E SEÇÃO DE 7,5 X 7,5 CM. AF_03/2022</t>
  </si>
  <si>
    <t>FORNECIMENTO E INSTALAÇÃO DE SUPORTE DE MADEIRA PARA PLACAS DE SINALIZAÇÃO, EM SOLO, COM H= DE 2,5 M E SEÇÃO DE 7,5 X 7,5 CM. AF_03/2022</t>
  </si>
  <si>
    <t>FORNECIMENTO E INSTALAÇÃO DE SUPORTE METÁLICO GALVANIZADO PARA PLACAS DE SINALIZAÇÃO EM SOLO, COM H= DE 2,5 M E DIÂMETRO DE 2''. AF_03/2022</t>
  </si>
  <si>
    <t>FORNECIMENTO E INSTALAÇÃO DE SUPORTE METÁLICO GALVANIZADO PARA PLACAS DE SINALIZAÇÃO, EM BASE DE CONCRETO, COM H= DE 2,0 M E DIÂMETRO DE 2''. AF_03/2022</t>
  </si>
  <si>
    <t>FORNECIMENTO E INSTALAÇÃO DE SUPORTE METÁLICO GALVANIZADO PARA PLACAS DE SINALIZAÇÃO, EM BASE DE CONCRETO, COM H= DE 2,5 M E DIÂMETRO DE 2''. AF_03/2022</t>
  </si>
  <si>
    <t>FORNECIMENTO E INSTALAÇÃO DE SUPORTE METÁLICO GALVANIZADO PARA PLACAS DE SINALIZAÇÃO, EM SOLO, COM H= DE 2,0 M E DIÂMETRO DE 2''. AF_03/2022</t>
  </si>
  <si>
    <t>BASE METÁLICA PARA MASTRO 1 ½" PARA SPDA - FORNECIMENTO E INSTALAÇÃO. AF_08/2023</t>
  </si>
  <si>
    <t>CAPTOR TIPO FRANKLIN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</si>
  <si>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</si>
  <si>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</si>
  <si>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</si>
  <si>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</si>
  <si>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</si>
  <si>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</si>
  <si>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</si>
  <si>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CONECTOR SPLIT-BOLT, PARA SPDA, PARA CABOS DE 16 A 70 MM2 - FORNECIMENTO E INSTALAÇÃO. AF_08/2023</t>
  </si>
  <si>
    <t>CONJUNTO DE ESTAIAMENTO PARA MASTRO DE SPDA (COMPRIMENTO DOS ESTAIS = 12 M) - FORNECIMENTO E INSTALAÇÃO. AF_08/2023</t>
  </si>
  <si>
    <t>CONJUNTO DE ESTAIAMENTO PARA MASTRO DE SPDA (COMPRIMENTO DOS ESTAIS = 2 M) - FORNECIMENTO E INSTALAÇÃO. AF_08/2023</t>
  </si>
  <si>
    <t>CONJUNTO DE ESTAIAMENTO PARA MASTRO DE SPDA (COMPRIMENTO DOS ESTAIS = 4 M) - FORNECIMENTO E INSTALAÇÃO. AF_08/2023</t>
  </si>
  <si>
    <t>CONJUNTO DE ESTAIAMENTO PARA MASTRO DE SPDA (COMPRIMENTO DOS ESTAIS = 8 M) - FORNECIMENTO E INSTALAÇÃO. AF_08/2023</t>
  </si>
  <si>
    <t>CONJUNTO PARA-RAIOS TIPO FRANKLIN PARA SPDA (INCLUSO BASE METÁLICA, MASTRO COM 6 M, CAPTOR FRANKLIN E CONJUNTO DE ESTAIAMENTO COM 3 ESTAIS FLEXÍVEIS DE 4 M) - FORNECIMENTO E INSTALAÇÃO. AF_08/2023</t>
  </si>
  <si>
    <t>CORDOALHA DE COBRE NU 35 MM², NÃO ENTERRADA, COM ISOLADOR - FORNECIMENTO E INSTALAÇÃO. AF_08/2023</t>
  </si>
  <si>
    <t>CORDOALHA DE COBRE NU 35 MM², NÃO ENTERRADA, COM PRESILHA - FORNECIMENTO E INSTALAÇÃO. AF_08/2023</t>
  </si>
  <si>
    <t>CORDOALHA DE COBRE NU 50 MM², ENTERRADA - FORNECIMENTO E INSTALAÇÃO. AF_08/2023</t>
  </si>
  <si>
    <t>CORDOALHA DE COBRE NU 50 MM², NÃO ENTERRADA, COM ISOLADOR - FORNECIMENTO E INSTALAÇÃO. AF_08/2023</t>
  </si>
  <si>
    <t>CORDOALHA DE COBRE NU 50 MM², NÃO ENTERRADA, COM PRESILHA - FORNECIMENTO E INSTALAÇÃO. AF_08/2023</t>
  </si>
  <si>
    <t>CORDOALHA DE COBRE NU 70 MM², ENTERRADA - FORNECIMENTO E INSTALAÇÃO. AF_08/2023</t>
  </si>
  <si>
    <t>CORDOALHA DE COBRE NU 70 MM², NÃO ENTERRADA, COM ISOLADOR - FORNECIMENTO E INSTALAÇÃO. AF_08/2023</t>
  </si>
  <si>
    <t>CORDOALHA DE COBRE NU 70 MM², NÃO ENTERRADA, COM PRESILHA - FORNECIMENTO E INSTALAÇÃO. AF_08/2023</t>
  </si>
  <si>
    <t>CORDOALHA DE COBRE NU 95 MM², ENTERRADA - FORNECIMENTO E INSTALAÇÃO. AF_08/2023</t>
  </si>
  <si>
    <t>CORDOALHA DE COBRE NU 95 MM², NÃO ENTERRADA, COM ISOLADOR - FORNECIMENTO E INSTALAÇÃO. AF_08/2023</t>
  </si>
  <si>
    <t>ELETRODUTO PVC RÍGIDO, DIÂMETRO 40MM, COM 3 METROS, PARA SPDA - FORNECIMENTO E INSTALAÇÃO. AF_08/2023</t>
  </si>
  <si>
    <t>FITA DE ALUMÍNIO 70 MM² PARA SPDA - FORNECIMENTO E INSTALAÇÃO. AF_08/2023</t>
  </si>
  <si>
    <t>HASTE DE ATERRAMENTO, DIÂMETRO 3/4", COM 3 METROS - FORNECIMENTO E INSTALAÇÃO. AF_08/2023</t>
  </si>
  <si>
    <t>HASTE DE ATERRAMENTO, DIÂMETRO 5/8", COM 3 METROS - FORNECIMENTO E INSTALAÇÃO. AF_08/2023</t>
  </si>
  <si>
    <t>MASTRO 1 ½", COM 3 METROS, PARA SPDA - FORNECIMENTO E INSTALAÇÃO. AF_08/2023</t>
  </si>
  <si>
    <t>MINI CAPTOR PARA SPDA - FORNECIMENTO E INSTALAÇÃO. AF_08/2023</t>
  </si>
  <si>
    <t>PRESILHA PARA FIXAÇÃO DE CORDOALHA NÃO ENTERRADA PARA SPDA - FORNECIMENTO E INSTALAÇÃO. AF_08/2023</t>
  </si>
  <si>
    <t>SOLDA EXOTÉRMICA PARA SPDA - FORNECIMENTO E INSTALAÇÃO. AF_08/2023</t>
  </si>
  <si>
    <t>SUPORTE ISOLADOR 2 DESCIDAS PARA FIXAÇÃO DA CORDOALHA DE COBRE EM MASTRO 1 1/2" DE SPDA - FORNECIMENTO E INSTALAÇÃO. AF_08/2023</t>
  </si>
  <si>
    <t>SUPORTE ISOLADOR PARA FIXAÇÃO DA CORDOALHA DE COBRE EM ALVENARIA OU CONCRETO - FORNECIMENTO E INSTALAÇÃO. AF_08/2023</t>
  </si>
  <si>
    <t>INSTALAÇÃO E FORNECIMENTO DE PAINEL FIXO NA PAREDE COM TOMADAS E SAÍDAS PARA GASES MEDICINAIS. AF_11/2023</t>
  </si>
  <si>
    <t>INSTALAÇÃO E FORNECIMENTO DE PAINEL SUSPENSO COM TOMADAS E SAÍDAS PARA GASES MEDICINAIS. AF_11/2023</t>
  </si>
  <si>
    <t>INSTALAÇÃO E FORNECIMENTO DE POSTO PAREDE, INTERNO OU EXTERNO, PARA REDE DE GASES HOSPITALARES, COM VÁLVULA DE IMPACTO P/ESTANQUEIDADE, PRESSÃO MÁX. TRAB. 8,0 KGF/CM2, CONEXÕES, COM CANOPLA PLÁSTICA COM INDICAÇÃO DO TIPO DE GÁS, COMPLETO. AF_11/2023</t>
  </si>
  <si>
    <t>INSTALAÇÃO E FORNECIMENTO DE RÉGUA DE INALOTERAPIA DE PAREDE PARA REDE DE GÁS COMPRIMIDO, COM 3 PONTOS DE CONSUMO DE GASES IDENTIFICADOS, EM PERFIL DE ALUMÍNIO, APROX. 40 CM, INCLUI VÁLVULA DE IMPACTO E CONEXÕES EM LATÃO, COMPLETO. AF_11/2023</t>
  </si>
  <si>
    <t>INSTALAÇÃO E FORNECIMENTO DE RÉGUA DE INALOTERAPIA DE PAREDE PARA REDE DE GÁS OXIGÊNIO, COM 3 PONTOS DE CONSUMO DE GASES IDENTIFICADOS, EM PERFIL DE ALUMÍNIO ANODIZ., APROX. 40 CM, INCLUI VÁLVULA DE IMPACTO E CONEXÕES EM LATÃO, COMPLETO. AF_11/2023</t>
  </si>
  <si>
    <t>CAIXA DE EMBUTIR EM AÇO GALVANIZADO PARA ABRIGO DE HIDRÔMETRO - FORNECIMENTO E INSTALAÇÃO (EXCLUSIVE HIDRÔMETRO). AF_03/2024</t>
  </si>
  <si>
    <t>CAIXA DE EMBUTIR EM POLICARBONATO PARA ABRIGO DE HIDRÔMETRO - FORNECIMENTO E INSTALAÇÃO (EXCLUSIVE HIDRÔMETRO). AF_03/2024</t>
  </si>
  <si>
    <t>CAIXA DE EMBUTIR EM POLIPROPILENO PARA ABRIGO DE HIDRÔMETRO - FORNECIMENTO E INSTALAÇÃO (EXCLUSIVE HIDRÔMETRO). AF_03/2024</t>
  </si>
  <si>
    <t>CAIXA DE SOBREPOR EM AÇO GALVANIZADO PARA ABRIGO DE HIDRÔMETRO - FORNECIMENTO E INSTALAÇÃO (EXCLUSIVE HIDRÔMETRO). AF_03/2024</t>
  </si>
  <si>
    <t>CAIXA EM CONCRETO PRÉ-MOLDADO PARA ABRIGO DE HIDRÔMETRO COM DN 20 MM - FORNECIMENTO E INSTALAÇÃO. AF_03/2024</t>
  </si>
  <si>
    <t>CAIXA EM CONCRETO PRÉ-MOLDADO PARA ABRIGO DE HIDRÔMETRO COM DN 25 MM - FORNECIMENTO E INSTALAÇÃO (EXCLUSIVE HIDRÔMETRO). AF_03/2024</t>
  </si>
  <si>
    <t>HIDRÔMETRO DN 1 1/2", 20 M³/H - FORNECIMENTO E INSTALAÇÃO. AF_03/2024</t>
  </si>
  <si>
    <t>HIDRÔMETRO DN 1", 10 M³/H - FORNECIMENTO E INSTALAÇÃO. AF_03/2024</t>
  </si>
  <si>
    <t>HIDRÔMETRO DN 1", 7 M³/H - FORNECIMENTO E INSTALAÇÃO. AF_03/2024</t>
  </si>
  <si>
    <t>HIDRÔMETRO DN 1/2", 1,5 M3/H - FORNECIMENTO E INSTALAÇÃO. AF_03/2024</t>
  </si>
  <si>
    <t>HIDRÔMETRO DN 1/2", 3,0 M3/H - FORNECIMENTO E INSTALAÇÃO. AF_03/2024</t>
  </si>
  <si>
    <t>HIDRÔMETRO DN 2", 30 M³/H - FORNECIMENTO E INSTALAÇÃO. AF_03/2024</t>
  </si>
  <si>
    <t>HIDRÔMETRO DN 3/4", 5,0 M3/H - FORNECIMENTO E INSTALAÇÃO.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</si>
  <si>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</si>
  <si>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</si>
  <si>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</si>
  <si>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</si>
  <si>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</si>
  <si>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</si>
  <si>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</si>
  <si>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</si>
  <si>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</si>
  <si>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</si>
  <si>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</si>
  <si>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</si>
  <si>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</si>
  <si>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</si>
  <si>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</si>
  <si>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</si>
  <si>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</si>
  <si>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</si>
  <si>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</si>
  <si>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</si>
  <si>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</si>
  <si>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</si>
  <si>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</si>
  <si>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</si>
  <si>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KIT CAVALETE PARA MEDIÇÃO DE ÁGUA - ENTRADA INDIVIDUALIZADA, EM PVC 25 MM (3/4"), PARA 1 MEDIDOR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</si>
  <si>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</si>
  <si>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</si>
  <si>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</si>
  <si>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</si>
  <si>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</si>
  <si>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</si>
  <si>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</si>
  <si>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</si>
  <si>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</si>
  <si>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</si>
  <si>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</si>
  <si>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</si>
  <si>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</si>
  <si>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SOLDA DE TOPO EM CHAPA/PERFIL/TUBO DE AÇO CHANFRADO, ESPESSURA=1/2''. AF_06/2018</t>
  </si>
  <si>
    <t>SOLDA DE TOPO EM CHAPA/PERFIL/TUBO DE AÇO CHANFRADO, ESPESSURA=1/4''. AF_06/2018</t>
  </si>
  <si>
    <t>SOLDA DE TOPO EM CHAPA/PERFIL/TUBO DE AÇO CHANFRADO, ESPESSURA=3/4''. AF_06/2018</t>
  </si>
  <si>
    <t>SOLDA DE TOPO EM CHAPA/PERFIL/TUBO DE AÇO CHANFRADO, ESPESSURA=3/8''. AF_06/2018</t>
  </si>
  <si>
    <t>SOLDA DE TOPO EM CHAPA/PERFIL/TUBO DE AÇO CHANFRADO, ESPESSURA=5/16''. AF_06/2018</t>
  </si>
  <si>
    <t>SOLDA DE TOPO EM CHAPA/PERFIL/TUBO DE AÇO CHANFRADO, ESPESSURA=5/8''. AF_06/2018</t>
  </si>
  <si>
    <t>CORTE RASO E RECORTE DE ÁRVORE COM DIÂMETRO DE TRONCO MAIOR OU IGUAL A 0,40 M E MENOR QUE 0,60 M. AF_03/2024</t>
  </si>
  <si>
    <t>CORTE RASO E RECORTE DE ÁRVORE COM DIÂMETRO DE TRONCO MAIOR OU IGUAL A 0,60 M. AF_03/2024</t>
  </si>
  <si>
    <t>LIMPEZA MANUAL DE VEGETAÇÃO EM TERRENO COM ENXADA.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</si>
  <si>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</si>
  <si>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</si>
  <si>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</si>
  <si>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PODA EM ALTURA DE ÁRVORE COM DIÂMETRO DE TRONCO MENOR QUE 0,20 M. AF_03/2024</t>
  </si>
  <si>
    <t>REMOÇÃO DE RAÍZES REMANESCENTES DE TRONCO DE ÁRVORE COM DIÂMETRO MAIOR OU IGUAL A 0,40 M E MENOR QUE 0,60 M. AF_03/2024</t>
  </si>
  <si>
    <t>REMOÇÃO DE RAÍZES REMANESCENTES DE TRONCO DE ÁRVORE COM DIÂMETRO MAIOR OU IGUAL A 0,60 M. AF_03/2024</t>
  </si>
  <si>
    <t>SUPORTE PARA TRANSFORMADOR EM POSTE DE CONCRETO CIRCULAR - FORNECIMENTO E INSTALAÇÃO. AF_12/2020</t>
  </si>
  <si>
    <t>SUPORTE PARA TRANSFORMADOR EM POSTE DE CONCRETO DUPLO T - FORNECIMENTO E INSTALAÇÃO. AF_12/2020</t>
  </si>
  <si>
    <t>TRANSFORMADOR DE DISTRIBUIÇÃO, 1000 KVA, TRIFÁSICO, 60 HZ, CLASSE 15 KV, IMERSO EM ÓLEO MINERAL, INSTALAÇÃO EM SOLO (NÃO INCLUSO ABRIGO) - FORNECIMENTO E INSTALAÇÃO. AF_02/2022</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</si>
  <si>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</si>
  <si>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</si>
  <si>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</si>
  <si>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</si>
  <si>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</si>
  <si>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</si>
  <si>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500KVA, TRIFÁSICO, 60 HZ, CLASSE 15 KV, IMERSO EM ÓLEO MINERAL, INSTALAÇÃO EM SOLO (NÃO INCLUSO ABRIGO) - FORNECIMENTO E INSTALAÇÃO. AF_02/2022</t>
  </si>
  <si>
    <t>TRANSFORMADOR DE DISTRIBUIÇÃO, 75 KVA, TRIFÁSICO, 60 HZ, CLASSE 15 KV, IMERSO EM ÓLEO MINERAL, INSTALAÇÃO EM POSTE (NÃO INCLUSO SUPORTE) - FORNECIMENTO E INSTALAÇÃO. AF_12/2020</t>
  </si>
  <si>
    <t>TRANSFORMADOR DE DISTRIBUIÇÃO, 750 KVA, TRIFÁSICO, 60 HZ, CLASSE 15 KV, IMERSO EM ÓLEO MINERAL, INSTALAÇÃO EM SOLO (NÃO INCLUSO ABRIGO) - FORNECIMENTO E INSTALAÇÃO. AF_02/2022</t>
  </si>
  <si>
    <t>CARGA E DESCARGA COM CARRINHO PLATAFORMA, DE BANCADA DE MÁRMORE OU GRANITO PARA COZINHA/LAVATÓRIO OU MÁRMORE SINTÉTICO COM CUBA INTEGRADA, EM BALSA DE 1000 TONELADAS. AF_05/2024</t>
  </si>
  <si>
    <t>CARGA E DESCARGA COM CARRINHO PLATAFORMA, DE BANCADA DE MÁRMORE OU GRANITO PARA COZINHA/LAVATÓRIO OU MÁRMORE SINTÉTICO COM CUBA INTEGRADA, EM BALSA DE 1500 TONELADAS. AF_05/2024</t>
  </si>
  <si>
    <t>CARGA E DESCARGA COM CARRINHO PLATAFORMA, DE BANCADA DE MÁRMORE OU GRANITO PARA COZINHA/LAVATÓRIO OU MÁRMORE SINTÉTICO COM CUBA INTEGRADA, EM BALSA DE 2000 TONELADAS. AF_05/2024</t>
  </si>
  <si>
    <t>CARGA E DESCARGA COM CARRINHO PLATAFORMA, DE BANCADA DE MÁRMORE OU GRANITO PARA COZINHA/LAVATÓRIO OU MÁRMORE SINTÉTICO COM CUBA INTEGRADA, EM BALSA DE 600 TONELADAS. AF_05/2024</t>
  </si>
  <si>
    <t>CARGA E DESCARGA COM MANIPULADOR TELESCÓPICO, DE PÁLETE DE BACIA SANITÁRIA, CAIXA ACOPLADA, TANQUE OU PIA, EM BALSA DE 1000 TONELADAS. AF_05/2024</t>
  </si>
  <si>
    <t>CARGA E DESCARGA COM MANIPULADOR TELESCÓPICO, DE PÁLETE DE BACIA SANITÁRIA, CAIXA ACOPLADA, TANQUE OU PIA, EM BALSA DE 1500 TONELADAS. AF_05/2024</t>
  </si>
  <si>
    <t>CARGA E DESCARGA COM MANIPULADOR TELESCÓPICO, DE PÁLETE DE BACIA SANITÁRIA, CAIXA ACOPLADA, TANQUE OU PIA, EM BALSA DE 2000 TONELADAS. AF_05/2024</t>
  </si>
  <si>
    <t>CARGA E DESCARGA COM MANIPULADOR TELESCÓPICO, DE PÁLETE DE BACIA SANITÁRIA, CAIXA ACOPLADA, TANQUE OU PIA, EM BALSA DE 600 TONELADAS. AF_05/2024</t>
  </si>
  <si>
    <t>CARGA E DESCARGA COM MANIPULADOR TELESCÓPICO, DE PÁLETE DE BLOCOS VAZADOS DE CONCRETO OU CERÂMICO, EM BALSA DE 1000 TONELADAS. AF_05/2024</t>
  </si>
  <si>
    <t>CARGA E DESCARGA COM MANIPULADOR TELESCÓPICO, DE PÁLETE DE BLOCOS VAZADOS DE CONCRETO OU CERÂMICO, EM BALSA DE 1500 TONELADAS. AF_05/2024</t>
  </si>
  <si>
    <t>CARGA E DESCARGA COM MANIPULADOR TELESCÓPICO, DE PÁLETE DE BLOCOS VAZADOS DE CONCRETO OU CERÂMICO, EM BALSA DE 2000 TONELADAS. AF_05/2024</t>
  </si>
  <si>
    <t>CARGA E DESCARGA COM MANIPULADOR TELESCÓPICO, DE PÁLETE DE BLOCOS VAZADOS DE CONCRETO OU CERÂMICO, EM BALSA DE 600 TONELADAS. AF_05/2024</t>
  </si>
  <si>
    <t>CARGA E DESCARGA COM MANIPULADOR TELESCÓPICO, DE PÁLETE DE CAIXAS COM REVESTIMENTO CERÂMICO, EM BALSA DE 1000 TONELADAS. AF_05/2024</t>
  </si>
  <si>
    <t>CARGA E DESCARGA COM MANIPULADOR TELESCÓPICO, DE PÁLETE DE CAIXAS COM REVESTIMENTO CERÂMICO, EM BALSA DE 1500 TONELADAS. AF_05/2024</t>
  </si>
  <si>
    <t>CARGA E DESCARGA COM MANIPULADOR TELESCÓPICO, DE PÁLETE DE CAIXAS COM REVESTIMENTO CERÂMICO, EM BALSA DE 2000 TONELADAS. AF_05/2024</t>
  </si>
  <si>
    <t>CARGA E DESCARGA COM MANIPULADOR TELESCÓPICO, DE PÁLETE DE CAIXAS COM REVESTIMENTO CERÂMICO, EM BALSA DE 600 TONELADAS. AF_05/2024</t>
  </si>
  <si>
    <t>CARGA E DESCARGA COM MANIPULADOR TELESCÓPICO, DE PÁLETE DE LATAS 18 LITROS, EM BALSA DE 1000 TONELADAS. AF_05/2024</t>
  </si>
  <si>
    <t>CARGA E DESCARGA COM MANIPULADOR TELESCÓPICO, DE PÁLETE DE LATAS 18 LITROS, EM BALSA DE 1500 TONELADAS. AF_05/2024</t>
  </si>
  <si>
    <t>CARGA E DESCARGA COM MANIPULADOR TELESCÓPICO, DE PÁLETE DE LATAS 18 LITROS, EM BALSA DE 2000 TONELADAS. AF_05/2024</t>
  </si>
  <si>
    <t>CARGA E DESCARGA COM MANIPULADOR TELESCÓPICO, DE PÁLETE DE LATAS 18 LITROS, EM BALSA DE 600 TONELADAS. AF_05/2024</t>
  </si>
  <si>
    <t>CARGA E DESCARGA COM MANIPULADOR TELESCÓPICO, DE PÁLETE DE SACOS, EM BALSA DE 1000 TONELADAS. AF_05/2024</t>
  </si>
  <si>
    <t>CARGA E DESCARGA COM MANIPULADOR TELESCÓPICO, DE PÁLETE DE SACOS, EM BALSA DE 1500 TONELADAS. AF_05/2024</t>
  </si>
  <si>
    <t>CARGA E DESCARGA COM MANIPULADOR TELESCÓPICO, DE PÁLETE DE SACOS, EM BALSA DE 2000 TONELADAS. AF_05/2024</t>
  </si>
  <si>
    <t>CARGA E DESCARGA COM MANIPULADOR TELESCÓPICO, DE PÁLETE DE SACOS, EM BALSA DE 600 TONELADAS. AF_05/2024</t>
  </si>
  <si>
    <t>CARGA E DESCARGA COM MANIPULADOR TELESCÓPICO, DE PÁLETE DE TELHA DE CONCRETO OU CERÂMICA, EM BALSA DE 1000 TONELADAS. AF_05/2024</t>
  </si>
  <si>
    <t>CARGA E DESCARGA COM MANIPULADOR TELESCÓPICO, DE PÁLETE DE TELHA DE CONCRETO OU CERÂMICA, EM BALSA DE 1500 TONELADAS. AF_05/2024</t>
  </si>
  <si>
    <t>CARGA E DESCARGA COM MANIPULADOR TELESCÓPICO, DE PÁLETE DE TELHA DE CONCRETO OU CERÂMICA, EM BALSA DE 2000 TONELADAS. AF_05/2024</t>
  </si>
  <si>
    <t>CARGA E DESCARGA COM MANIPULADOR TELESCÓPICO, DE PÁLETE DE TELHA DE CONCRETO OU CERÂMICA, EM BALSA DE 600 TONELADAS. AF_05/2024</t>
  </si>
  <si>
    <t>CARGA E DESCARGA COM MANIPULADOR TELESCÓPICO, DE TELHAS TERMOACÚSTICAS, FIBROCIMENTO, AÇO ZINCADO, FIBROCIMENTO ESTRUTURAL, CANALETE 90 OU KALHETÃO, EM BALSA DE 1000 TONELADAS. AF_05/2024</t>
  </si>
  <si>
    <t>CARGA E DESCARGA COM MANIPULADOR TELESCÓPICO, DE TELHAS TERMOACÚSTICAS, FIBROCIMENTO, AÇO ZINCADO, FIBROCIMENTO ESTRUTURAL, CANALETE 90 OU KALHETÃO, EM BALSA DE 1500 TONELADAS. AF_05/2024</t>
  </si>
  <si>
    <t>CARGA E DESCARGA COM MANIPULADOR TELESCÓPICO, DE TELHAS TERMOACÚSTICAS, FIBROCIMENTO, AÇO ZINCADO, FIBROCIMENTO ESTRUTURAL, CANALETE 90 OU KALHETÃO, EM BALSA DE 2000 TONELADAS. AF_05/2024</t>
  </si>
  <si>
    <t>CARGA E DESCARGA COM MANIPULADOR TELESCÓPICO, DE TELHAS TERMOACÚSTICAS, FIBROCIMENTO, AÇO ZINCADO, FIBROCIMENTO ESTRUTURAL, CANALETE 90 OU KALHETÃO, EM BALSA DE 600 TONELADAS. AF_05/2024</t>
  </si>
  <si>
    <t>CARGA E DESCARGA DE BETONEIRA, COM CAMINHÃO CARROCERIA COM GUINDAUTO (MUNCK) 11,7 TM, EM BALSA DE 1000 TONELADAS. AF_05/2024</t>
  </si>
  <si>
    <t>CARGA E DESCARGA DE BETONEIRA, COM CAMINHÃO CARROCERIA COM GUINDAUTO (MUNCK) 11,7 TM, EM BALSA DE 1500 TONELADAS. AF_05/2024</t>
  </si>
  <si>
    <t>CARGA E DESCARGA DE BETONEIRA, COM CAMINHÃO CARROCERIA COM GUINDAUTO (MUNCK) 11,7 TM, EM BALSA DE 2000 TONELADAS. AF_05/2024</t>
  </si>
  <si>
    <t>CARGA E DESCARGA DE BETONEIRA, COM CAMINHÃO CARROCERIA COM GUINDAUTO (MUNCK) 11,7 TM, EM BALSA DE 600 TONELADAS. AF_05/2024</t>
  </si>
  <si>
    <t>CARGA E DESCARGA DE CAMINHÃO DE 10 M³, EM BALSA DE 1000 TONELADAS. AF_05/2024</t>
  </si>
  <si>
    <t>CARGA E DESCARGA DE CAMINHÃO DE 10 M³, EM BALSA DE 1500 TONELADAS. AF_05/2024</t>
  </si>
  <si>
    <t>CARGA E DESCARGA DE CAMINHÃO DE 10 M³, EM BALSA DE 2000 TONELADAS. AF_05/2024</t>
  </si>
  <si>
    <t>CARGA E DESCARGA DE CAMINHÃO DE 10 M³, EM BALSA DE 600 TONELADAS. AF_05/2024</t>
  </si>
  <si>
    <t>CARGA E DESCARGA DE CAMINHÃO DE 14 M³, EM BALSA DE 1000 TONELADAS. AF_05/2024</t>
  </si>
  <si>
    <t>CARGA E DESCARGA DE CAMINHÃO DE 14 M³, EM BALSA DE 1500 TONELADAS. AF_05/2024</t>
  </si>
  <si>
    <t>CARGA E DESCARGA DE CAMINHÃO DE 14 M³, EM BALSA DE 2000 TONELADAS. AF_05/2024</t>
  </si>
  <si>
    <t>CARGA E DESCARGA DE CAMINHÃO DE 14 M³, EM BALSA DE 600 TONELADAS. AF_05/2024</t>
  </si>
  <si>
    <t>CARGA E DESCARGA DE CAMINHÃO DE 6 M³, EM BALSA DE 1000 TONELADAS. AF_05/2024</t>
  </si>
  <si>
    <t>CARGA E DESCARGA DE CAMINHÃO DE 6 M³, EM BALSA DE 1500 TONELADAS. AF_05/2024</t>
  </si>
  <si>
    <t>CARGA E DESCARGA DE CAMINHÃO DE 6 M³, EM BALSA DE 2000 TONELADAS. AF_05/2024</t>
  </si>
  <si>
    <t>CARGA E DESCARGA DE CAMINHÃO DE 6 M³, EM BALSA DE 600 TONELADAS. AF_05/2024</t>
  </si>
  <si>
    <t>CARGA E DESCARGA DE PERFIL METÁLICO E VERGALHÕES DE AÇO E VERGALHÕES DE AÇO, COM CAMINHÃO CARROCERIA COM GUINDAUTO (MUNCK) 11,7 TM, EM BALSA DE 1500 TONELADAS. AF_05/2024</t>
  </si>
  <si>
    <t>CARGA E DESCARGA DE PERFIL METÁLICO E VERGALHÕES DE AÇO, COM CAMINHÃO CARROCERIA COM GUINDAUTO (MUNCK) 11,7 TM, EM BALSA DE 1000 TONELADAS. AF_05/2024</t>
  </si>
  <si>
    <t>CARGA E DESCARGA DE PERFIL METÁLICO E VERGALHÕES DE AÇO, COM CAMINHÃO CARROCERIA COM GUINDAUTO (MUNCK) 11,7 TM, EM BALSA DE 2000 TONELADAS. AF_05/2024</t>
  </si>
  <si>
    <t>CARGA E DESCARGA DE PERFIL METÁLICO E VERGALHÕES DE AÇO, COM CAMINHÃO CARROCERIA COM GUINDAUTO (MUNCK) 11,7 TM, EM BALSA DE 600 TONELADAS. AF_05/2024</t>
  </si>
  <si>
    <t>CARGA E DESCARGA DE POSTES DE CONCRETO, COM CAMINHÃO CARROCERIA COM GUINDAUTO (MUNCK) 11,7 TM, EM BALSA DE 1000 TONELADAS. AF_05/2024</t>
  </si>
  <si>
    <t>CARGA E DESCARGA DE POSTES DE CONCRETO, COM CAMINHÃO CARROCERIA COM GUINDAUTO (MUNCK) 11,7 TM, EM BALSA DE 1500 TONELADAS. AF_05/2024</t>
  </si>
  <si>
    <t>CARGA E DESCARGA DE POSTES DE CONCRETO, COM CAMINHÃO CARROCERIA COM GUINDAUTO (MUNCK) 11,7 TM, EM BALSA DE 2000 TONELADAS. AF_05/2024</t>
  </si>
  <si>
    <t>CARGA E DESCARGA DE POSTES DE CONCRETO, COM CAMINHÃO CARROCERIA COM GUINDAUTO (MUNCK) 11,7 TM, EM BALSA DE 600 TONELADAS. AF_05/2024</t>
  </si>
  <si>
    <t>CARGA E DESCARGA DE RETROESCAVADEIRA, EM BALSA DE 1000 TONELADAS. AF_05/2024</t>
  </si>
  <si>
    <t>CARGA E DESCARGA DE RETROESCAVADEIRA, EM BALSA DE 1500 TONELADAS. AF_05/2024</t>
  </si>
  <si>
    <t>CARGA E DESCARGA DE RETROESCAVADEIRA, EM BALSA DE 2000 TONELADAS. AF_05/2024</t>
  </si>
  <si>
    <t>CARGA E DESCARGA DE RETROESCAVADEIRA, EM BALSA DE 600 TONELADAS. AF_05/2024</t>
  </si>
  <si>
    <t>CARGA E DESCARGA DE SOLOS E MATERIAIS GRANULARES, COM CAMINHÃO DE 10 M³ E ESCAVADEIRA HIDRÁULICA, EM BALSA DE 1000 TONELADAS. AF_05/2024</t>
  </si>
  <si>
    <t>CARGA E DESCARGA DE SOLOS E MATERIAIS GRANULARES, COM CAMINHÃO DE 10 M³ E ESCAVADEIRA HIDRÁULICA, EM BALSA DE 1500 TONELADAS. AF_05/2024</t>
  </si>
  <si>
    <t>CARGA E DESCARGA DE SOLOS E MATERIAIS GRANULARES, COM CAMINHÃO DE 10 M³ E ESCAVADEIRA HIDRÁULICA, EM BALSA DE 2000 TONELADAS. AF_05/2024</t>
  </si>
  <si>
    <t>CARGA E DESCARGA DE SOLOS E MATERIAIS GRANULARES, COM CAMINHÃO DE 10 M³ E ESCAVADEIRA HIDRÁULICA, EM BALSA DE 600 TONELADAS. AF_05/2024</t>
  </si>
  <si>
    <t>CARGA E DESCARGA DE SOLOS E MATERIAIS GRANULARES, COM CAMINHÃO DE 14 M³ E ESCAVADEIRA HIDRÁULICA, EM BALSA DE 1000 TONELADAS. AF_05/2024</t>
  </si>
  <si>
    <t>CARGA E DESCARGA DE SOLOS E MATERIAIS GRANULARES, COM CAMINHÃO DE 14 M³ E ESCAVADEIRA HIDRÁULICA, EM BALSA DE 1500 TONELADAS. AF_05/2024</t>
  </si>
  <si>
    <t>CARGA E DESCARGA DE SOLOS E MATERIAIS GRANULARES, COM CAMINHÃO DE 14 M³ E ESCAVADEIRA HIDRÁULICA, EM BALSA DE 2000 TONELADAS. AF_05/2024</t>
  </si>
  <si>
    <t>CARGA E DESCARGA DE SOLOS E MATERIAIS GRANULARES, COM CAMINHÃO DE 14 M³ E ESCAVADEIRA HIDRÁULICA, EM BALSA DE 600 TONELADAS. AF_05/2024</t>
  </si>
  <si>
    <t>CARGA E DESCARGA DE SOLOS E MATERIAIS GRANULARES, COM CAMINHÃO DE 6 M³ E ESCAVADEIRA HIDRÁULICA, EM BALSA DE 1000 TONELADAS. AF_05/2024</t>
  </si>
  <si>
    <t>CARGA E DESCARGA DE SOLOS E MATERIAIS GRANULARES, COM CAMINHÃO DE 6 M³ E ESCAVADEIRA HIDRÁULICA, EM BALSA DE 1500 TONELADAS. AF_05/2024</t>
  </si>
  <si>
    <t>CARGA E DESCARGA DE SOLOS E MATERIAIS GRANULARES, COM CAMINHÃO DE 6 M³ E ESCAVADEIRA HIDRÁULICA, EM BALSA DE 2000 TONELADAS. AF_05/2024</t>
  </si>
  <si>
    <t>CARGA E DESCARGA DE SOLOS E MATERIAIS GRANULARES, COM CAMINHÃO DE 6 M³ E ESCAVADEIRA HIDRÁULICA, EM BALSA DE 600 TONELADAS. AF_05/2024</t>
  </si>
  <si>
    <t>CARGA E DESCARGA DE TELA DE AÇO, COM CAMINHÃO CARROCERIA COM GUINDAUTO (MUNCK) 11,7 TM, EM BALSA DE 1000 TONELADAS. AF_05/2024</t>
  </si>
  <si>
    <t>CARGA E DESCARGA DE TELA DE AÇO, COM CAMINHÃO CARROCERIA COM GUINDAUTO (MUNCK) 11,7 TM, EM BALSA DE 1500 TONELADAS. AF_05/2024</t>
  </si>
  <si>
    <t>CARGA E DESCARGA DE TELA DE AÇO, COM CAMINHÃO CARROCERIA COM GUINDAUTO (MUNCK) 11,7 TM, EM BALSA DE 2000 TONELADAS. AF_05/2024</t>
  </si>
  <si>
    <t>CARGA E DESCARGA DE TELA DE AÇO, COM CAMINHÃO CARROCERIA COM GUINDAUTO (MUNCK) 11,7 TM, EM BALSA DE 600 TONELADAS. AF_05/2024</t>
  </si>
  <si>
    <t>CARGA E DESCARGA DE TUBOS DE CONCRETO, COM CAMINHÃO CARROCERIA COM GUINDAUTO (MUNCK) 11,7 TM, EM BALSA DE 1000 TONELADAS. AF_05/2024</t>
  </si>
  <si>
    <t>CARGA E DESCARGA DE TUBOS DE CONCRETO, COM CAMINHÃO CARROCERIA COM GUINDAUTO (MUNCK) 11,7 TM, EM BALSA DE 1500 TONELADAS. AF_05/2024</t>
  </si>
  <si>
    <t>CARGA E DESCARGA DE TUBOS DE CONCRETO, COM CAMINHÃO CARROCERIA COM GUINDAUTO (MUNCK) 11,7 TM, EM BALSA DE 2000 TONELADAS. AF_05/2024</t>
  </si>
  <si>
    <t>CARGA E DESCARGA DE TUBOS DE CONCRETO, COM CAMINHÃO CARROCERIA COM GUINDAUTO (MUNCK) 11,7 TM, EM BALSA DE 600 TONELADAS. AF_05/2024</t>
  </si>
  <si>
    <t>CARGA E DESCARGA DE TUBOS METÁLICOS, COM CAMINHÃO CARROCERIA COM GUINDAUTO (MUNCK) 11,7 TM, EM BALSA DE 1000 TONELADAS. AF_05/2024</t>
  </si>
  <si>
    <t>CARGA E DESCARGA DE TUBOS METÁLICOS, COM CAMINHÃO CARROCERIA COM GUINDAUTO (MUNCK) 11,7 TM, EM BALSA DE 1500 TONELADAS. AF_05/2024</t>
  </si>
  <si>
    <t>CARGA E DESCARGA DE TUBOS METÁLICOS, COM CAMINHÃO CARROCERIA COM GUINDAUTO (MUNCK) 11,7 TM, EM BALSA DE 2000 TONELADAS. AF_05/2024</t>
  </si>
  <si>
    <t>CARGA E DESCARGA DE TUBOS METÁLICOS, COM CAMINHÃO CARROCERIA COM GUINDAUTO (MUNCK) 11,7 TM, EM BALSA DE 600 TONELADAS. AF_05/2024</t>
  </si>
  <si>
    <t>CARGA E DESCARGA DE TUBOS PLÁSTICOS, COM CAMINHÃO CARROCERIA COM GUINDAUTO (MUNCK) 11,7 TM, EM BALSA DE 1000 TONELADAS. AF_05/2024</t>
  </si>
  <si>
    <t>CARGA E DESCARGA DE TUBOS PLÁSTICOS, COM CAMINHÃO CARROCERIA COM GUINDAUTO (MUNCK) 11,7 TM, EM BALSA DE 1500 TONELADAS. AF_05/2024</t>
  </si>
  <si>
    <t>CARGA E DESCARGA DE TUBOS PLÁSTICOS, COM CAMINHÃO CARROCERIA COM GUINDAUTO (MUNCK) 11,7 TM, EM BALSA DE 2000 TONELADAS. AF_05/2024</t>
  </si>
  <si>
    <t>CARGA E DESCARGA DE TUBOS PLÁSTICOS, COM CAMINHÃO CARROCERIA COM GUINDAUTO (MUNCK) 11,7 TM, EM BALSA DE 600 TONELADAS. AF_05/2024</t>
  </si>
  <si>
    <t>CARGA E DESCARGA MANUAL, DE JANELA, KIT PORTA-PRONTA OU PORTA DE MADEIRA, PORTA DE AÇO E PORTA DE ALUMÍNIO, EM BALSA DE 1000 TONELADAS. AF_05/2024</t>
  </si>
  <si>
    <t>CARGA E DESCARGA MANUAL, DE JANELA, KIT PORTA-PRONTA OU PORTA DE MADEIRA, PORTA DE AÇO E PORTA DE ALUMÍNIO, EM BALSA DE 1500 TONELADAS. AF_05/2024</t>
  </si>
  <si>
    <t>CARGA E DESCARGA MANUAL, DE JANELA, KIT PORTA-PRONTA OU PORTA DE MADEIRA, PORTA DE AÇO E PORTA DE ALUMÍNIO, EM BALSA DE 2000 TONELADAS. AF_05/2024</t>
  </si>
  <si>
    <t>CARGA E DESCARGA MANUAL, DE JANELA, KIT PORTA-PRONTA OU PORTA DE MADEIRA, PORTA DE AÇO E PORTA DE ALUMÍNIO, EM BALSA DE 600 TONELADAS. AF_05/2024</t>
  </si>
  <si>
    <t>CARGA E DESCARGA MANUAL, DE PEÇAS DE MADEIRA (CAIBROS, TÁBUAS, RIPAS, VIGAS E COMPENSADOS), EM BALSA DE 1000 TONELADAS. AF_05/2024</t>
  </si>
  <si>
    <t>CARGA E DESCARGA MANUAL, DE PEÇAS DE MADEIRA (CAIBROS, TÁBUAS, RIPAS, VIGAS E COMPENSADOS), EM BALSA DE 1500 TONELADAS. AF_05/2024</t>
  </si>
  <si>
    <t>CARGA E DESCARGA MANUAL, DE PEÇAS DE MADEIRA (CAIBROS, TÁBUAS, RIPAS, VIGAS E COMPENSADOS), EM BALSA DE 2000 TONELADAS. AF_05/2024</t>
  </si>
  <si>
    <t>CARGA E DESCARGA MANUAL, DE PEÇAS DE MADEIRA (CAIBROS, TÁBUAS, RIPAS, VIGAS E COMPENSADOS), EM BALSA DE 600 TONELADAS. AF_05/2024</t>
  </si>
  <si>
    <t>CARGA E DESCARGA MANUAL, DE VIDRO, EM BALSA DE 1000 TONELADAS. AF_05/2024</t>
  </si>
  <si>
    <t>CARGA E DESCARGA MANUAL, DE VIDRO, EM BALSA DE 1500 TONELADAS. AF_05/2024</t>
  </si>
  <si>
    <t>CARGA E DESCARGA MANUAL, DE VIDRO, EM BALSA DE 2000 TONELADAS. AF_05/2024</t>
  </si>
  <si>
    <t>CARGA E DESCARGA MANUAL, DE VIDRO, EM BALSA DE 600 TONELADAS. AF_05/2024</t>
  </si>
  <si>
    <t>TRANSPORTE FLUVIAL COM CONJUNTO EMPURRADOR DE 250 HP E BALSA DE 200 A 600 TONELADAS, EM VIA NAVEGÁVEL NO SENTIDO A JUSANTE (DESCENDO O RIO). AF_05/2024</t>
  </si>
  <si>
    <t>TXKM</t>
  </si>
  <si>
    <t>TRANSPORTE FLUVIAL COM CONJUNTO EMPURRADOR DE 250 HP E BALSA DE 200 A 600 TONELADAS, EM VIA NAVEGÁVEL NO SENTIDO A MONTANTE (SUBINDO O RIO). AF_05/2024</t>
  </si>
  <si>
    <t>TRANSPORTE FLUVIAL COM CONJUNTO EMPURRADOR DE 315 HP E BALSA 600 A 1000 TONELADAS, EM VIA NAVEGÁVEL NO SENTIDO A JUSANTE (DESCENDO O RIO). AF_05/2024</t>
  </si>
  <si>
    <t>TRANSPORTE FLUVIAL COM CONJUNTO EMPURRADOR DE 315 HP E BALSA 600 A 1000 TONELADAS, EM VIA NAVEGÁVEL NO SENTIDO A MONTANTE (SUBINDO O RIO). AF_05/2024</t>
  </si>
  <si>
    <t>TRANSPORTE FLUVIAL COM CONJUNTO EMPURRADOR DE 475 HP E BALSA DE 1.000 A 1.500 TONELADAS, EM VIA NAVEGÁVEL NO SENTIDO A JUSANTE (DESCENDO O RIO). AF_05/2024</t>
  </si>
  <si>
    <t>TRANSPORTE FLUVIAL COM CONJUNTO EMPURRADOR DE 475 HP E BALSA DE 1.000 A 1.500 TONELADAS, EM VIA NAVEGÁVEL NO SENTIDO A MONTANTE (SUBINDO O RIO). AF_05/2024</t>
  </si>
  <si>
    <t>TRANSPORTE FLUVIAL COM CONJUNTO EMPURRADOR DE 600 HP E BALSA DE 1.500 A 2.000 TONELADAS, EM VIA NAVEGÁVEL NO SENTIDO A JUSANTE (DESCENDO O RIO). AF_05/2024</t>
  </si>
  <si>
    <t>TRANSPORTE FLUVIAL COM CONJUNTO EMPURRADOR DE 600 HP E BALSA DE 1.500 A 2.000 TONELADAS, EM VIA NAVEGÁVEL NO SENTIDO A MONTANTE (SUBINDO O RIO). AF_05/2024</t>
  </si>
  <si>
    <t>M3XKM</t>
  </si>
  <si>
    <t>UNXKM</t>
  </si>
  <si>
    <t>M2XKM</t>
  </si>
  <si>
    <t>KGXKM</t>
  </si>
  <si>
    <t>MXKM</t>
  </si>
  <si>
    <t>LXKM</t>
  </si>
  <si>
    <t>L</t>
  </si>
  <si>
    <t>ASSENTAMENTO DE CONEXÃO COM 1 ACESSO, FERRO FUNDIDO PARA REDE DE ÁGUA, DN 100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</si>
  <si>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</si>
  <si>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</si>
  <si>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</si>
  <si>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</si>
  <si>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</si>
  <si>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</si>
  <si>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</si>
  <si>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</si>
  <si>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</si>
  <si>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</si>
  <si>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</si>
  <si>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</si>
  <si>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</si>
  <si>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</si>
  <si>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</si>
  <si>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</si>
  <si>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</si>
  <si>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</si>
  <si>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</si>
  <si>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</si>
  <si>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</si>
  <si>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</si>
  <si>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</si>
  <si>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</si>
  <si>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</si>
  <si>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</si>
  <si>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</si>
  <si>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</si>
  <si>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</si>
  <si>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</si>
  <si>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</si>
  <si>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</si>
  <si>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</si>
  <si>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</si>
  <si>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</si>
  <si>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</si>
  <si>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</si>
  <si>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</si>
  <si>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</si>
  <si>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</si>
  <si>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</si>
  <si>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</si>
  <si>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</si>
  <si>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</si>
  <si>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</si>
  <si>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</si>
  <si>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</si>
  <si>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TUBO DE FERRO FUNDIDO PARA REDE DE ÁGUA, DN 100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</si>
  <si>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</si>
  <si>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</si>
  <si>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</si>
  <si>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</si>
  <si>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</si>
  <si>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</si>
  <si>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</si>
  <si>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</si>
  <si>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</si>
  <si>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</si>
  <si>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</si>
  <si>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</si>
  <si>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</si>
  <si>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</si>
  <si>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</si>
  <si>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ALARGAMENTO DE BASE DE TUBULÃO A CÉU ABERTO, ESCAVAÇÃO MANUAL, CONCRETO FEITO EM OBRA E LANÇADO COM JERICA. AF_05/2020</t>
  </si>
  <si>
    <t>ALARGAMENTO DE BASE DE TUBULÃO A CÉU ABERTO, ESCAVAÇÃO MANUAL, CONCRETO USINADO E LANÇADO COM BOMBA OU DIRETAMENTE DO CAMINHÃO (EXCLUSIVE BOMBEAMENTO). AF_05/2020</t>
  </si>
  <si>
    <t>TUBULÃO A CÉU ABERTO, DIÂMETRO DO FUSTE DE 100CM, ESCAVAÇÃO MANUAL, SEM ALARGAMENTO DE BASE, CONCRETO FEITO EM OBRA E LANÇADO COM JERICA. AF_05/2020</t>
  </si>
  <si>
    <t>TUBULÃO A CÉU ABERTO, DIÂMETRO DO FUSTE DE 100CM, ESCAVAÇÃO MANUAL, SEM ALARGAMENTO DE BASE, CONCRETO USINADO E LANÇADO COM BOMBA OU DIRETAMENTE DO CAMINHÃO (EXCLUSIVE BOMBEAMENTO). AF_05/2020</t>
  </si>
  <si>
    <t>TUBULÃO A CÉU ABERTO, DIÂMETRO DO FUSTE DE 100CM, ESCAVAÇÃO MECÂNICA, SEM ALARGAMENTO DE BASE, CONCRETO FEITO EM OBRA E LANÇADO COM JERICA (EXCLUSIVE MOBILIZAÇÃO E DESMOBILIZAÇÃO). AF_05/2020</t>
  </si>
  <si>
    <t>TUBULÃO A CÉU ABERTO, DIÂMETRO DO FUSTE DE 100CM, ESCAVAÇÃO MECÂNICA, SEM ALARGAMENTO DE BASE, CONCRETO USINADO E LANÇADO COM BOMBA OU DIRETAMENTE DO CAMINHÃO (EXCLUSIVE BOMBEAMENTO, MOBILIZAÇÃO E DESMOBILIZAÇÃO). AF_05/2020</t>
  </si>
  <si>
    <t>TUBULÃO A CÉU ABERTO, DIÂMETRO DO FUSTE DE 120CM, ESCAVAÇÃO MANUAL, SEM ALARGAMENTO DE BASE, CONCRETO FEITO EM OBRA E LANÇADO COM JERICA. AF_05/2020</t>
  </si>
  <si>
    <t>TUBULÃO A CÉU ABERTO, DIÂMETRO DO FUSTE DE 120CM, ESCAVAÇÃO MANUAL, SEM ALARGAMENTO DE BASE, CONCRETO USINADO E LANÇADO COM BOMBA OU DIRETAMENTE DO CAMINHÃO (EXCLUSIVE BOMBEAMENTO). AF_05/2020</t>
  </si>
  <si>
    <t>TUBULÃO A CÉU ABERTO, DIÂMETRO DO FUSTE DE 120CM, ESCAVAÇÃO MECÂNICA, SEM ALARGAMENTO DE BASE, CONCRETO FEITO EM OBRA E LANÇADO COM JERICA (EXCLUSIVE MOBILIZAÇÃO E DESMOBILIZAÇÃO). AF_05/2020</t>
  </si>
  <si>
    <t>TUBULÃO A CÉU ABERTO, DIÂMETRO DO FUSTE DE 120CM, ESCAVAÇÃO MECÂNICA, SEM ALARGAMENTO DE BASE, CONCRETO USINADO E LANÇADO COM BOMBA OU DIRETAMENTE DO CAMINHÃO (EXCLUSIVE BOMBEAMENTO, MOBILIZAÇÃO E DESMOBILIZAÇÃO). AF_05/2020</t>
  </si>
  <si>
    <t>TUBULÃO A CÉU ABERTO, DIÂMETRO DO FUSTE DE 70CM, ESCAVAÇÃO MANUAL, SEM ALARGAMENTO DE BASE, CONCRETO FEITO EM OBRA E LANÇADO COM JERICA. AF_05/2020</t>
  </si>
  <si>
    <t>TUBULÃO A CÉU ABERTO, DIÂMETRO DO FUSTE DE 70CM, ESCAVAÇÃO MANUAL, SEM ALARGAMENTO DE BASE, CONCRETO USINADO E LANÇADO COM BOMBA OU DIRETAMENTE DO CAMINHÃO (EXCLUSIVE BOMBEAMENTO). AF_05/2020</t>
  </si>
  <si>
    <t>TUBULÃO A CÉU ABERTO, DIÂMETRO DO FUSTE DE 70CM, ESCAVAÇÃO MECÂNICA, SEM ALARGAMENTO DE BASE, CONCRETO FEITO EM OBRA E LANÇADO COM JERICA. AF_05/2020</t>
  </si>
  <si>
    <t>TUBULÃO A CÉU ABERTO, DIÂMETRO DO FUSTE DE 70CM, ESCAVAÇÃO MECÂNICA, SEM ALARGAMENTO DE BASE, CONCRETO USINADO E LANÇADO COM BOMBA OU DIRETAMENTE DO CAMINHÃO (EXCLUSIVE BOMBEAMENTO, MOBILIZAÇÃO E DESMOBILIZAÇÃO). AF_05/2020</t>
  </si>
  <si>
    <t>TUBULÃO A CÉU ABERTO, DIÂMETRO DO FUSTE DE 80CM, ESCAVAÇÃO MANUAL, SEM ALARGAMENTO DE BASE, CONCRETO FEITO EM OBRA E LANÇADO COM JERICA. AF_05/2020</t>
  </si>
  <si>
    <t>TUBULÃO A CÉU ABERTO, DIÂMETRO DO FUSTE DE 80CM, ESCAVAÇÃO MANUAL, SEM ALARGAMENTO DE BASE, CONCRETO USINADO E LANÇADO COM BOMBA OU DIRETAMENTE DO CAMINHÃO (EXCLUSIVE BOMBEAMENTO). AF_05/2020</t>
  </si>
  <si>
    <t>TUBULÃO A CÉU ABERTO, DIÂMETRO DO FUSTE DE 80CM, ESCAVAÇÃO MECÂNICA, SEM ALARGAMENTO DE BASE, CONCRETO FEITO EM OBRA E LANÇADO COM JERICA (EXCLUSIVE MOBILIZAÇÃO E DESMOBILIZAÇÃO). AF_05/2020</t>
  </si>
  <si>
    <t>TUBULÃO A CÉU ABERTO, DIÂMETRO DO FUSTE DE 80CM, ESCAVAÇÃO MECÂNICA, SEM ALARGAMENTO DE BASE, CONCRETO USINADO E LANÇADO COM BOMBA OU DIRETAMENTE DO CAMINHÃO (EXCLUSIVE BOMBEAMENTO, MOBILIZAÇÃO E DESMOBILIZAÇÃO). AF_05/2020</t>
  </si>
  <si>
    <t>USINAGEM DE BRITA GRADUADA SIMPLES. AF_09/2025</t>
  </si>
  <si>
    <t>USINAGEM DE BRITA GRADUADA TRATADA COM CIMENTO. AF_09/2025</t>
  </si>
  <si>
    <t>USINAGEM DE CONCRETO ASFÁLTICO COM CAP 50/70 PARA CAMADA DE ROLAMENTO, PADRÃO DNIT FAIXA C, EM USINA DE ASFALTO GRAVIMÉTRICA DE 150 TON/H. AF_09/2025</t>
  </si>
  <si>
    <t>USINAGEM DE CONCRETO ASFÁLTICO COM CAP 50/70, PARA CAMADA DE BINDER, PADRÃO DNIT FAIXA B, EM USINA DE ASFALTO CONTÍNUA DE 140 TON/H. AF_09/2025</t>
  </si>
  <si>
    <t>USINAGEM DE CONCRETO ASFÁLTICO COM CAP 50/70, PARA CAMADA DE BINDER, PADRÃO DNIT FAIXA B, EM USINA DE ASFALTO CONTÍNUA DE 80 TON/H. AF_09/2025</t>
  </si>
  <si>
    <t>USINAGEM DE CONCRETO ASFÁLTICO COM CAP 50/70, PARA CAMADA DE BINDER, PADRÃO DNIT FAIXA B, EM USINA DE ASFALTO GRAVIMÉTRICA DE 150 TON/H. AF_09/2025</t>
  </si>
  <si>
    <t>USINAGEM DE CONCRETO ASFÁLTICO COM CAP 50/70, PARA CAMADA DE ROLAMENTO, PADRÃO DNIT FAIXA C, EM USINA DE ASFALTO CONTÍNUA DE 140 TON/H. AF_09/2025</t>
  </si>
  <si>
    <t>USINAGEM DE CONCRETO ASFÁLTICO COM CAP 50/70, PARA CAMADA DE ROLAMENTO, PADRÃO DNIT FAIXA C, EM USINA DE ASFALTO CONTÍNUA DE 80 TON/H. AF_09/2025</t>
  </si>
  <si>
    <t>USINAGEM DE CONCRETO PARA COMPACTAÇÃO COM ROLO. AF_09/2025</t>
  </si>
  <si>
    <t>USINAGEM DE MICRORREVESTIMENTO, PADRÃO DNIT FAIXA 2. AF_09/2025</t>
  </si>
  <si>
    <t>USINAGEM DE MICRORREVESTIMENTO, PADRÃO DNIT FAIXA 3. AF_09/2025</t>
  </si>
  <si>
    <t>USINAGEM DE PRÉ MISTURADO A FRIO, PARA CAMADA DE BINDER, PADRÃO DNIT FAIXA B. AF_09/2025</t>
  </si>
  <si>
    <t>USINAGEM DE PRÉ MISTURADO A FRIO, PARA CAMADA DE ROLAMENTO, PADRÃO DNIT FAIXA C. AF_09/2025</t>
  </si>
  <si>
    <t>USINAGEM DE SOLO BRITA 40%-60% COM 4% DE CIMENTO, UTILIZANDO BRITA COMERCIAL. AF_09/2025</t>
  </si>
  <si>
    <t>USINAGEM DE SOLO BRITA 40%-60% COM 6% DE CIMENTO, UTILIZANDO BRITA COMERCIAL. AF_09/2025</t>
  </si>
  <si>
    <t>USINAGEM DE SOLO BRITA 40%-60% COM 8% DE CIMENTO, UTILIZANDO BRITA COMERCIAL. AF_09/2025</t>
  </si>
  <si>
    <t>USINAGEM DE SOLO BRITA 40%-60%, UTILIZANDO BRITA COMERCIAL. AF_09/2025</t>
  </si>
  <si>
    <t>USINAGEM DE SOLO BRITA 50%-50% COM 4% DE CIMENTO, UTILIZANDO BRITA COMERCIAL. AF_09/2025</t>
  </si>
  <si>
    <t>USINAGEM DE SOLO BRITA 50%-50% COM 6% DE CIMENTO, UTILIZANDO BRITA COMERCIAL. AF_09/2025</t>
  </si>
  <si>
    <t>USINAGEM DE SOLO BRITA 50%-50% COM 8% DE CIMENTO, UTILIZANDO BRITA COMERCIAL. AF_09/2025</t>
  </si>
  <si>
    <t>USINAGEM DE SOLO BRITA 50%-50%, UTILIZANDO BRITA COMERCIAL. AF_09/2025</t>
  </si>
  <si>
    <t>USINAGEM DE SOLO JAZIDA MELHORADO COM CIMENTO 2%. AF_09/2025</t>
  </si>
  <si>
    <t>USINAGEM DE SOLO JAZIDA MELHORADO COM CIMENTO 3%. AF_09/2025</t>
  </si>
  <si>
    <t>USINAGEM DE SOLO JAZIDA MELHORADO COM CIMENTO 4%. AF_09/2025</t>
  </si>
  <si>
    <t>USINAGEM DE SOLO JAZIDA MELHORADO COM CIMENTO 6%. AF_09/2025</t>
  </si>
  <si>
    <t>USINAGEM DE SOLO  JAZIDA MELHORADO COM CIMENTO 8%. AF_09/2025</t>
  </si>
  <si>
    <t>CINTA DE AMARRAÇÃO DE ALVENARIA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</si>
  <si>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</si>
  <si>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*20* CM. AF_03/2024</t>
  </si>
  <si>
    <t>CONTRAVERGA MOLDADA IN LOCO COM UTILIZAÇÃO DE BLOCOS CANALETA, ESPESSURA DE *10* CM. AF_03/2024</t>
  </si>
  <si>
    <t>CONTRAVERGA MOLDADA IN LOCO COM UTILIZAÇÃO DE BLOCOS CANALETA, ESPESSURA DE *15* CM. AF_03/2024</t>
  </si>
  <si>
    <t>CONTRAVERGA MOLDADA IN LOCO COM UTILIZAÇÃO DE BLOCOS CANALETA, ESPESSURA DE *20* CM. AF_03/2024</t>
  </si>
  <si>
    <t>CONTRAVERGA MOLDADA IN LOCO EM CONCRETO, ESPESSURA DE *10* CM. AF_03/2024</t>
  </si>
  <si>
    <t>CONTRAVERGA MOLDADA IN LOCO EM CONCRETO, ESPESSURA DE *15* CM. AF_03/2024</t>
  </si>
  <si>
    <t>CONTRAVERGA MOLDADA IN LOCO EM CONCRETO, ESPESSURA DE *20* CM. AF_03/2024</t>
  </si>
  <si>
    <t>CONTRAVERGA PRÉ-FABRICADA, ESPESSURA DE *10* CM. AF_03/2024</t>
  </si>
  <si>
    <t>CONTRAVERGA PRÉ-FABRICADA, ESPESSURA DE *15* CM. AF_03/2024</t>
  </si>
  <si>
    <t>CONTRAVERGA PRÉ-FABRICADA, ESPESSURA DE *20* CM. AF_03/2024</t>
  </si>
  <si>
    <t>CONTRAVERGA PRÉ-MOLDADA, ESPESSURA DE *10* CM. AF_03/2024</t>
  </si>
  <si>
    <t>CONTRAVERGA PRÉ-MOLDADA, ESPESSURA DE *15* CM. AF_03/2024</t>
  </si>
  <si>
    <t>CONTRAVERGA PRÉ-MOLDADA, ESPESSURA DE *20* CM. AF_03/2024</t>
  </si>
  <si>
    <t>FIXAÇÃO (ENCUNHAMENTO) DE ALVENARIA DE VEDAÇÃO COM ARGAMASSA APLICADA COM BISNAGA. AF_03/2024</t>
  </si>
  <si>
    <t>FIXAÇÃO (ENCUNHAMENTO) DE ALVENARIA DE VEDAÇÃO COM ESPUMA DE POLIURETANO EXPANSIVA. AF_03/2024</t>
  </si>
  <si>
    <t>FIXAÇÃO (ENCUNHAMENTO) DE ALVENARIA DE VEDAÇÃO COM TIJOLO MACIÇO. AF_03/2024</t>
  </si>
  <si>
    <t>VERGA MOLDADA IN LOCO COM UTILIZAÇÃO DE BLOCOS CANALETA, ESPESSURA DE *10* CM. AF_03/2024</t>
  </si>
  <si>
    <t>VERGA MOLDADA IN LOCO COM UTILIZAÇÃO DE BLOCOS CANALETA, ESPESSURA DE *15* CM. AF_03/2024</t>
  </si>
  <si>
    <t>VERGA MOLDADA IN LOCO COM UTILIZAÇÃO DE BLOCOS CANALETA, ESPESSURA DE *20* CM. AF_03/2024</t>
  </si>
  <si>
    <t>VERGA MOLDADA IN LOCO EM CONCRETO, ESPESSURA DE *10* CM. AF_03/2024</t>
  </si>
  <si>
    <t>VERGA MOLDADA IN LOCO EM CONCRETO, ESPESSURA DE *15* CM. AF_03/2024</t>
  </si>
  <si>
    <t>VERGA MOLDADA IN LOCO EM CONCRETO, ESPESSURA DE *20* CM. AF_03/2024</t>
  </si>
  <si>
    <t>VERGA PRÉ-FABRICADA COM ATÉ 1,5 M DE VÃO, ESPESSURA DE *10* CM. AF_03/2024</t>
  </si>
  <si>
    <t>VERGA PRÉ-FABRICADA COM ATÉ 1,5 M DE VÃO, ESPESSURA DE *15* CM. AF_03/2024</t>
  </si>
  <si>
    <t>VERGA PRÉ-FABRICADA COM ATÉ 1,5 M DE VÃO, ESPESSURA DE *20* CM. AF_03/2024</t>
  </si>
  <si>
    <t>VERGA PRÉ-MOLDADA COM ATÉ 1,5 M DE VÃO, ESPESSURA DE *10* CM. AF_03/2024</t>
  </si>
  <si>
    <t>VERGA PRÉ-MOLDADA COM ATÉ 1,5 M DE VÃO, ESPESSURA DE *15* CM. AF_03/2024</t>
  </si>
  <si>
    <t>VERGA PRÉ-MOLDADA COM ATÉ 1,5 M DE VÃO, ESPESSURA DE *20* CM. AF_03/2024</t>
  </si>
  <si>
    <t>MISTURADOR MONOCOMANDO PARA CHUVEIRO, BASE BRUTA E ACABAMENTO CROMADO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</si>
  <si>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</si>
  <si>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</si>
  <si>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</si>
  <si>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</si>
  <si>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ESFERA, PVC, ROSCÁVEL, COM VOLANTE, 1 1/2" - FORNECIMENTO E INSTALAÇÃO. AF_08/2021</t>
  </si>
  <si>
    <t>REGISTRO DE ESFERA, PVC, ROSCÁVEL, COM VOLANTE, 1 1/4" - FORNECIMENTO E INSTALAÇÃO. AF_08/2021</t>
  </si>
  <si>
    <t>REGISTRO DE ESFERA, PVC, ROSCÁVEL, COM VOLANTE, 1" - FORNECIMENTO E INSTALAÇÃO. AF_08/2021</t>
  </si>
  <si>
    <t>REGISTRO DE ESFERA, PVC, ROSCÁVEL, COM VOLANTE, 1/2" - FORNECIMENTO E INSTALAÇÃO. AF_08/2021</t>
  </si>
  <si>
    <t>REGISTRO DE ESFERA, PVC, ROSCÁVEL, COM VOLANTE, 2" - FORNECIMENTO E INSTALAÇÃO. AF_08/2021</t>
  </si>
  <si>
    <t>REGISTRO DE ESFERA, PVC, ROSCÁVEL, COM VOLANTE, 3/4" - FORNECIMENTO E INSTALAÇÃO. AF_08/2021</t>
  </si>
  <si>
    <t>REGISTRO DE ESFERA, PVC, SOLDÁVEL, COM VOLANTE, DN 20 MM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</si>
  <si>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</si>
  <si>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</si>
  <si>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</si>
  <si>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</si>
  <si>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</si>
  <si>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GAVETA BRUTO, LATÃO, ROSCÁVEL, 1 1/2" - FORNECIMENTO E INSTALAÇÃO. AF_08/2021</t>
  </si>
  <si>
    <t>REGISTRO DE GAVETA BRUTO, LATÃO, ROSCÁVEL, 1 1/2", COM ACABAMENTO E CANOPLA CROMADOS - FORNECIMENTO E INSTALAÇÃO. AF_08/2021</t>
  </si>
  <si>
    <t>REGISTRO DE GAVETA BRUTO, LATÃO, ROSCÁVEL, 1 1/4" - FORNECIMENTO E INSTALAÇÃO. AF_08/2021</t>
  </si>
  <si>
    <t>REGISTRO DE GAVETA BRUTO, LATÃO, ROSCÁVEL, 1 1/4", COM ACABAMENTO E CANOPLA CROMADOS - FORNECIMENTO E INSTALAÇÃO. AF_08/2021</t>
  </si>
  <si>
    <t>REGISTRO DE GAVETA BRUTO, LATÃO, ROSCÁVEL, 1" - FORNECIMENTO E INSTALAÇÃO. AF_08/2021</t>
  </si>
  <si>
    <t>REGISTRO DE GAVETA BRUTO, LATÃO, ROSCÁVEL, 1", COM ACABAMENTO E CANOPLA CROMADOS - FORNECIMENTO E INSTALAÇÃO. AF_08/2021</t>
  </si>
  <si>
    <t>REGISTRO DE GAVETA BRUTO, LATÃO, ROSCÁVEL, 1/2" - FORNECIMENTO E INSTALAÇÃO. AF_08/2021</t>
  </si>
  <si>
    <t>REGISTRO DE GAVETA BRUTO, LATÃO, ROSCÁVEL, 1/2", COM ACABAMENTO E CANOPLA CROMADOS - FORNECIMENTO E INSTALAÇÃO. AF_08/2021</t>
  </si>
  <si>
    <t>REGISTRO DE GAVETA BRUTO, LATÃO, ROSCÁVEL, 2 1/2" - FORNECIMENTO E INSTALAÇÃO. AF_08/2021</t>
  </si>
  <si>
    <t>REGISTRO DE GAVETA BRUTO, LATÃO, ROSCÁVEL, 2" - FORNECIMENTO E INSTALAÇÃO. AF_08/2021</t>
  </si>
  <si>
    <t>REGISTRO DE GAVETA BRUTO, LATÃO, ROSCÁVEL, 3" - FORNECIMENTO E INSTALAÇÃO. AF_08/2021</t>
  </si>
  <si>
    <t>REGISTRO DE GAVETA BRUTO, LATÃO, ROSCÁVEL, 3/4" - FORNECIMENTO E INSTALAÇÃO. AF_08/2021</t>
  </si>
  <si>
    <t>REGISTRO DE GAVETA BRUTO, LATÃO, ROSCÁVEL, 3/4", COM ACABAMENTO E CANOPLA CROMADOS - FORNECIMENTO E INSTALAÇÃO. AF_08/2021</t>
  </si>
  <si>
    <t>REGISTRO DE GAVETA BRUTO, LATÃO, ROSCÁVEL, 4" - FORNECIMENTO E INSTALAÇÃO. AF_08/2021</t>
  </si>
  <si>
    <t>REGISTRO DE PRESSÃO BRUTO, LATÃO, ROSCÁVEL, 1/2"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</si>
  <si>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</si>
  <si>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</si>
  <si>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PRESSÃO BRUTO, LATÃO, ROSCÁVEL, 3/4'' - FORNECIMENTO E INSTALAÇÃO. AF_08/2021</t>
  </si>
  <si>
    <t>REGISTRO DE PRESSÃO, PVC, ROSCÁVEL, VOLANTE SIMPLES, 1/2" - FORNECIMENTO E INSTALAÇÃO. AF_08/2021</t>
  </si>
  <si>
    <t>REGISTRO DE PRESSÃO, PVC, ROSCÁVEL, VOLANTE SIMPLES, 3/4" - FORNECIMENTO E INSTALAÇÃO. AF_08/2021</t>
  </si>
  <si>
    <t>REGISTRO DE PRESSÃO, PVC, SOLDÁVEL, VOLANTE SIMPLES, DN 20 MM - FORNECIMENTO E INSTALAÇÃO. AF_08/2021</t>
  </si>
  <si>
    <t>REGISTRO DE PRESSÃO, PVC, SOLDÁVEL, VOLANTE SIMPLES, DN 25 MM - FORNECIMENTO E INSTALAÇÃO. AF_08/2021</t>
  </si>
  <si>
    <t>REGISTRO OU REGULADOR DE GÁS DE COZINHA - FORNECIMENTO E INSTALAÇÃO. AF_08/2021</t>
  </si>
  <si>
    <t>REGISTRO OU VÁLVULA GLOBO ANGULAR EM LATÃO, PARA HIDRANTES EM INSTALAÇÃO PREDIAL DE INCÊNDIO, 45 GRAUS, 2 1/2" - FORNECIMENTO E INSTALAÇÃO. AF_08/2021</t>
  </si>
  <si>
    <t>SUBSTITUIÇÃO DE REGISTRO OU VÁLVULA, ROSCÁVEL, DN 20 MM. AF_08/2021</t>
  </si>
  <si>
    <t>SUBSTITUIÇÃO DE REGISTRO OU VÁLVULA, ROSCÁVEL, DN 25 MM. AF_08/2021</t>
  </si>
  <si>
    <t>SUBSTITUIÇÃO DE REGISTRO OU VÁLVULA, ROSCÁVEL, DN 32 MM. AF_08/2021</t>
  </si>
  <si>
    <t>TORNEIRA DE BOIA PARA CAIXA D'ÁGUA, ROSCÁVEL, 1 1/2" - FORNECIMENTO E INSTALAÇÃO. AF_08/2021</t>
  </si>
  <si>
    <t>TORNEIRA DE BOIA PARA CAIXA D'ÁGUA, ROSCÁVEL, 1 1/4" - FORNECIMENTO E INSTALAÇÃO. AF_08/2021</t>
  </si>
  <si>
    <t>TORNEIRA DE BOIA PARA CAIXA D'ÁGUA, ROSCÁVEL, 1" - FORNECIMENTO E INSTALAÇÃO. AF_08/2021</t>
  </si>
  <si>
    <t>TORNEIRA DE BOIA PARA CAIXA D'ÁGUA, ROSCÁVEL, 1/2" - FORNECIMENTO E INSTALAÇÃO. AF_08/2021</t>
  </si>
  <si>
    <t>TORNEIRA DE BOIA PARA CAIXA D'ÁGUA, ROSCÁVEL, 2" - FORNECIMENTO E INSTALAÇÃO. AF_08/2021</t>
  </si>
  <si>
    <t>TORNEIRA DE BOIA PARA CAIXA D'ÁGUA, ROSCÁVEL, 3/4" - FORNECIMENTO E INSTALAÇÃO. AF_08/2021</t>
  </si>
  <si>
    <t>VÁLVULA DE DESCARGA METÁLICA, BASE 1 1/2", ACABAMENTO METALICO CROMADO - FORNECIMENTO E INSTALAÇÃO. AF_08/2021</t>
  </si>
  <si>
    <t>VÁLVULA DE DESCARGA METÁLICA, BASE 1 1/4", ACABAMENTO METALICO CROMADO - FORNECIMENTO E INSTALAÇÃO. AF_08/2021</t>
  </si>
  <si>
    <t>VÁLVULA DE ESFERA BRUTA, BRONZE, ROSCÁVEL, 1 1/2'' - FORNECIMENTO E INSTALAÇÃO. AF_08/2021</t>
  </si>
  <si>
    <t>VÁLVULA DE ESFERA BRUTA, BRONZE, ROSCÁVEL, 1 1/4'' - FORNECIMENTO E INSTALAÇÃO. AF_08/2021</t>
  </si>
  <si>
    <t>VÁLVULA DE ESFERA BRUTA, BRONZE, ROSCÁVEL, 1'' - FORNECIMENTO E INSTALAÇÃO. AF_08/2021</t>
  </si>
  <si>
    <t>VÁLVULA DE ESFERA BRUTA, BRONZE, ROSCÁVEL, 1/2" - FORNECIMENTO E INSTALAÇÃO. AF_08/2021</t>
  </si>
  <si>
    <t>VÁLVULA DE ESFERA BRUTA, BRONZE, ROSCÁVEL, 2'' - FORNECIMENTO E INSTALAÇÃO. AF_08/2021</t>
  </si>
  <si>
    <t>VÁLVULA DE ESFERA BRUTA, BRONZE, ROSCÁVEL, 3/4'' - FORNECIMENTO E INSTALAÇÃO. AF_08/2021</t>
  </si>
  <si>
    <t>VÁLVULA DE RETENÇÃO HORIZONTAL, DE BRONZE, ROSCÁVEL, 1 1/2" - FORNECIMENTO E INSTALAÇÃO. AF_08/2021</t>
  </si>
  <si>
    <t>VÁLVULA DE RETENÇÃO HORIZONTAL, DE BRONZE, ROSCÁVEL, 1 1/4" - FORNECIMENTO E INSTALAÇÃO. AF_08/2021</t>
  </si>
  <si>
    <t>VÁLVULA DE RETENÇÃO HORIZONTAL, DE BRONZE, ROSCÁVEL, 1" - FORNECIMENTO E INSTALAÇÃO. AF_08/2021</t>
  </si>
  <si>
    <t>VÁLVULA DE RETENÇÃO HORIZONTAL, DE BRONZE, ROSCÁVEL, 1/2" - FORNECIMENTO E INSTALAÇÃO. AF_08/2021</t>
  </si>
  <si>
    <t>VÁLVULA DE RETENÇÃO HORIZONTAL, DE BRONZE, ROSCÁVEL, 2 1/2" - FORNECIMENTO E INSTALAÇÃO. AF_08/2021</t>
  </si>
  <si>
    <t>VÁLVULA DE RETENÇÃO HORIZONTAL, DE BRONZE, ROSCÁVEL, 2" - FORNECIMENTO E INSTALAÇÃO. AF_08/2021</t>
  </si>
  <si>
    <t>VÁLVULA DE RETENÇÃO HORIZONTAL, DE BRONZE, ROSCÁVEL, 3" - FORNECIMENTO E INSTALAÇÃO. AF_08/2021</t>
  </si>
  <si>
    <t>VÁLVULA DE RETENÇÃO HORIZONTAL, DE BRONZE, ROSCÁVEL, 3/4" - FORNECIMENTO E INSTALAÇÃO. AF_08/2021</t>
  </si>
  <si>
    <t>VÁLVULA DE RETENÇÃO HORIZONTAL, DE BRONZE, ROSCÁVEL, 4" - FORNECIMENTO E INSTALAÇÃO. AF_08/2021</t>
  </si>
  <si>
    <t>VÁLVULA DE RETENÇÃO VERTICAL, DE BRONZE, ROSCÁVEL, 1 1/2" - FORNECIMENTO E INSTALAÇÃO. AF_08/2021</t>
  </si>
  <si>
    <t>VÁLVULA DE RETENÇÃO VERTICAL, DE BRONZE, ROSCÁVEL, 1 1/4" - FORNECIMENTO E INSTALAÇÃO. AF_08/2021</t>
  </si>
  <si>
    <t>VÁLVULA DE RETENÇÃO VERTICAL, DE BRONZE, ROSCÁVEL, 1" - FORNECIMENTO E INSTALAÇÃO. AF_08/2021</t>
  </si>
  <si>
    <t>VÁLVULA DE RETENÇÃO VERTICAL, DE BRONZE, ROSCÁVEL, 1/2" - FORNECIMENTO E INSTALAÇÃO. AF_08/2021</t>
  </si>
  <si>
    <t>VÁLVULA DE RETENÇÃO VERTICAL, DE BRONZE, ROSCÁVEL, 2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</si>
  <si>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</si>
  <si>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</si>
  <si>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3/4" - FORNECIMENTO E INSTALAÇÃO. AF_08/2021</t>
  </si>
  <si>
    <t>VÁLVULA DE RETENÇÃO VERTICAL, DE BRONZE, ROSCÁVEL, 4" - FORNECIMENTO E INSTALAÇÃO. AF_08/2021</t>
  </si>
  <si>
    <t>VÁLVULA DE RETENÇÃO, DE BRONZE, PÉ COM CRIVOS, ROSCÁVEL, 1 1/2" - FORNECIMENTO E INSTALAÇÃO. AF_08/2021</t>
  </si>
  <si>
    <t>VÁLVULA DE RETENÇÃO, DE BRONZE, PÉ COM CRIVOS, ROSCÁVEL, 1 1/4" - FORNECIMENTO E INSTALAÇÃO. AF_08/2021</t>
  </si>
  <si>
    <t>VÁLVULA DE RETENÇÃO, DE BRONZE, PÉ COM CRIVOS, ROSCÁVEL, 1" - FORNECIMENTO E INSTALAÇÃO. AF_08/2021</t>
  </si>
  <si>
    <t>VÁLVULA DE RETENÇÃO, DE BRONZE, PÉ COM CRIVOS, ROSCÁVEL, 2 1/2" - FORNECIMENTO E INSTALAÇÃO. AF_08/2021</t>
  </si>
  <si>
    <t>VÁLVULA DE RETENÇÃO, DE BRONZE, PÉ COM CRIVOS, ROSCÁVEL, 2" - FORNECIMENTO E INSTALAÇÃO. AF_08/2021</t>
  </si>
  <si>
    <t>VÁLVULA DE RETENÇÃO, DE BRONZE, PÉ COM CRIVOS, ROSCÁVEL, 3" - FORNECIMENTO E INSTALAÇÃO. AF_08/2021</t>
  </si>
  <si>
    <t>VÁLVULA DE RETENÇÃO, DE BRONZE, PÉ COM CRIVOS, ROSCÁVEL, 3/4" - FORNECIMENTO E INSTALAÇÃO. AF_08/2021</t>
  </si>
  <si>
    <t>VÁLVULA DE RETENÇÃO, DE BRONZE, PÉ COM CRIVOS, ROSCÁVEL, 4" - FORNECIMENTO E INSTALAÇÃO. AF_08/2021</t>
  </si>
  <si>
    <t>VÁLVULA DE SEGURANÇA À TEMPERATURA, 1/2" - FORNECIMENTO E INSTALAÇÃO. AF_08/2021</t>
  </si>
  <si>
    <t>VÁLVULA ESFERA PARA GÁS, 1" - FORNECIMENTO E INSTALAÇÃO. AF_08/2021</t>
  </si>
  <si>
    <t>VÁLVULA ESFERA PARA GÁS, 1/2" - FORNECIMENTO E INSTALAÇÃO. AF_08/2021</t>
  </si>
  <si>
    <t>VÁLVULA ESFERA PARA GÁS, 3/4" - FORNECIMENTO E INSTALAÇÃO. AF_08/2021</t>
  </si>
  <si>
    <t>VÁLVULA ESTABILIZADORA DE VAZÃO/ AUTOFLOW, 1" - FORNECIMENTO E INSTALAÇÃO. AF_08/2021</t>
  </si>
  <si>
    <t>VÁLVULA ESTABILIZADORA DE VAZÃO/ AUTOFLOW, 3/4" - FORNECIMENTO E INSTALAÇÃO. AF_08/2021</t>
  </si>
  <si>
    <t>VÁLVULA REDUTORA DE PRESSÃO PARA SISTEMAS PREDIAIS, 1 1/2" - FORNECIMENTO E INSTALAÇÃO. AF_08/2021</t>
  </si>
  <si>
    <t>VÁLVULA REDUTORA DE PRESSÃO PARA SISTEMAS PREDIAIS, 1 1/4" - FORNECIMENTO E INSTALAÇÃO. AF_08/2021</t>
  </si>
  <si>
    <t>VÁLVULA REDUTORA DE PRESSÃO PARA SISTEMAS PREDIAIS, 1" - FORNECIMENTO E INSTALAÇÃO. AF_08/2021</t>
  </si>
  <si>
    <t>VÁLVULA REDUTORA DE PRESSÃO PARA SISTEMAS PREDIAIS, 1/2" - FORNECIMENTO E INSTALAÇÃO. AF_08/2021</t>
  </si>
  <si>
    <t>VÁLVULA REDUTORA DE PRESSÃO PARA SISTEMAS PREDIAIS, 2 1/2" - FORNECIMENTO E INSTALAÇÃO. AF_08/2021</t>
  </si>
  <si>
    <t>VÁLVULA REDUTORA DE PRESSÃO PARA SISTEMAS PREDIAIS, 2" - FORNECIMENTO E INSTALAÇÃO. AF_08/2021</t>
  </si>
  <si>
    <t>VÁLVULA REDUTORA DE PRESSÃO PARA SISTEMAS PREDIAIS, 3/4" - FORNECIMENTO E INSTALAÇÃO. AF_08/2021</t>
  </si>
  <si>
    <t>VÁLVULA VENTOSA ELIMINADORA DE AR, PARA SISTEMAS PREDIAIS, 1/2" - FORNECIMENTO E INSTALAÇÃO. AF_08/2021</t>
  </si>
  <si>
    <t>VÁLVULA VENTOSA ELIMINADORA DE AR, PARA SISTEMAS PREDIAIS, 3/4" - FORNECIMENTO E INSTALAÇÃO. AF_08/2021</t>
  </si>
  <si>
    <t>JUNTA DE DESMONTAGEM TRAVADA AXIALMENTE DE FERRO FUNDIDO PARA REDE DE ÁGUA OU ESGOTO, DN 100 MM. AF_12/2021</t>
  </si>
  <si>
    <t>JUNTA DE DESMONTAGEM TRAVADA AXIALMENTE DE FERRO FUNDIDO PARA REDE DE ÁGUA OU ESGOTO, DN 150 MM. AF_12/2021</t>
  </si>
  <si>
    <t>JUNTA DE DESMONTAGEM TRAVADA AXIALMENTE DE FERRO FUNDIDO PARA REDE DE ÁGUA OU ESGOTO, DN 200 MM. AF_12/2021</t>
  </si>
  <si>
    <t>JUNTA DE DESMONTAGEM TRAVADA AXIALMENTE DE FERRO FUNDIDO PARA REDE DE ÁGUA OU ESGOTO, DN 250 MM. AF_12/2021</t>
  </si>
  <si>
    <t>JUNTA DE DESMONTAGEM TRAVADA AXIALMENTE DE FERRO FUNDIDO PARA REDE DE ÁGUA OU ESGOTO, DN 300 MM. AF_12/2021</t>
  </si>
  <si>
    <t>JUNTA DE DESMONTAGEM TRAVADA AXIALMENTE DE FERRO FUNDIDO PARA REDE DE ÁGUA OU ESGOTO, DN 350 MM. AF_12/2021</t>
  </si>
  <si>
    <t>JUNTA DE DESMONTAGEM TRAVADA AXIALMENTE DE FERRO FUNDIDO PARA REDE DE ÁGUA OU ESGOTO, DN 400 MM. AF_12/2021</t>
  </si>
  <si>
    <t>JUNTA DE DESMONTAGEM TRAVADA AXIALMENTE DE FERRO FUNDIDO PARA REDE DE ÁGUA OU ESGOTO, DN 500 MM. AF_12/2021</t>
  </si>
  <si>
    <t>JUNTA DE DESMONTAGEM TRAVADA AXIALMENTE DE FERRO FUNDIDO PARA REDE DE ÁGUA OU ESGOTO, DN 600 MM. AF_12/2021</t>
  </si>
  <si>
    <t>JUNTA DE DESMONTAGEM TRAVADA AXIALMENTE DE FERRO FUNDIDO PARA REDE DE ÁGUA OU ESGOTO, DN 80 MM. AF_12/2021</t>
  </si>
  <si>
    <t>JUNTA MECÂNICA (LUVA DE CORRER COM BOLSA JUNTA MECÂNICA) DE FERRO FUNDIDO PARA REDE DE ÁGUA OU ESGOTO, DN 100 MM. AF_12/2021</t>
  </si>
  <si>
    <t>JUNTA MECÂNICA (LUVA DE CORRER COM BOLSA JUNTA MECÂNICA) DE FERRO FUNDIDO PARA REDE DE ÁGUA OU ESGOTO, DN 1000 MM. AF_12/2021</t>
  </si>
  <si>
    <t>JUNTA MECÂNICA (LUVA DE CORRER COM BOLSA JUNTA MECÂNICA) DE FERRO FUNDIDO PARA REDE DE ÁGUA OU ESGOTO, DN 1200 MM. AF_12/2021</t>
  </si>
  <si>
    <t>JUNTA MECÂNICA (LUVA DE CORRER COM BOLSA JUNTA MECÂNICA) DE FERRO FUNDIDO PARA REDE DE ÁGUA OU ESGOTO, DN 150 MM. AF_12/2021</t>
  </si>
  <si>
    <t>JUNTA MECÂNICA (LUVA DE CORRER COM BOLSA JUNTA MECÂNICA) DE FERRO FUNDIDO PARA REDE DE ÁGUA OU ESGOTO, DN 200 MM. AF_12/2021</t>
  </si>
  <si>
    <t>JUNTA MECÂNICA (LUVA DE CORRER COM BOLSA JUNTA MECÂNICA) DE FERRO FUNDIDO PARA REDE DE ÁGUA OU ESGOTO, DN 250 MM. AF_12/2021</t>
  </si>
  <si>
    <t>JUNTA MECÂNICA (LUVA DE CORRER COM BOLSA JUNTA MECÂNICA) DE FERRO FUNDIDO PARA REDE DE ÁGUA OU ESGOTO, DN 300 MM. AF_12/2021</t>
  </si>
  <si>
    <t>JUNTA MECÂNICA (LUVA DE CORRER COM BOLSA JUNTA MECÂNICA) DE FERRO FUNDIDO PARA REDE DE ÁGUA OU ESGOTO, DN 350 MM. AF_12/2021</t>
  </si>
  <si>
    <t>JUNTA MECÂNICA (LUVA DE CORRER COM BOLSA JUNTA MECÂNICA) DE FERRO FUNDIDO PARA REDE DE ÁGUA OU ESGOTO, DN 400 MM. AF_12/2021</t>
  </si>
  <si>
    <t>JUNTA MECÂNICA (LUVA DE CORRER COM BOLSA JUNTA MECÂNICA) DE FERRO FUNDIDO PARA REDE DE ÁGUA OU ESGOTO, DN 500 MM. AF_12/2021</t>
  </si>
  <si>
    <t>JUNTA MECÂNICA (LUVA DE CORRER COM BOLSA JUNTA MECÂNICA) DE FERRO FUNDIDO PARA REDE DE ÁGUA OU ESGOTO, DN 600 MM. AF_12/2021</t>
  </si>
  <si>
    <t>JUNTA MECÂNICA (LUVA DE CORRER COM BOLSA JUNTA MECÂNICA) DE FERRO FUNDIDO PARA REDE DE ÁGUA OU ESGOTO, DN 700 MM. AF_12/2021</t>
  </si>
  <si>
    <t>JUNTA MECÂNICA (LUVA DE CORRER COM BOLSA JUNTA MECÂNICA) DE FERRO FUNDIDO PARA REDE DE ÁGUA OU ESGOTO, DN 80 MM. AF_12/2021</t>
  </si>
  <si>
    <t>JUNTA MECÂNICA (LUVA DE CORRER COM BOLSA JUNTA MECÂNICA) DE FERRO FUNDIDO PARA REDE DE ÁGUA OU ESGOTO, DN 800 MM. AF_12/2021</t>
  </si>
  <si>
    <t>JUNTA MECÂNICA (LUVA DE CORRER COM BOLSA JUNTA MECÂNICA) DE FERRO FUNDIDO PARA REDE DE ÁGUA OU ESGOTO, DN 900 MM. AF_12/2021</t>
  </si>
  <si>
    <t>MEDIDOR DE VAZÃO ELETROMAGNÉTICO DE AÇO CARBONO PARA REDE DE ÁGUA OU ESGOTO, DN 100 MM, JUNTA FLANGEADA. AF_12/2021</t>
  </si>
  <si>
    <t>MEDIDOR DE VAZÃO ELETROMAGNÉTICO DE AÇO CARBONO PARA REDE DE ÁGUA OU ESGOTO, DN 200 MM, JUNTA FLANGEADA. AF_12/2021</t>
  </si>
  <si>
    <t>MEDIDOR DE VAZÃO ELETROMAGNÉTICO DE AÇO CARBONO PARA REDE DE ÁGUA OU ESGOTO, DN 300 MM, JUNTA FLANGEADA. AF_12/2021</t>
  </si>
  <si>
    <t>MEDIDOR DE VAZÃO ELETROMAGNÉTICO DE AÇO CARBONO PARA REDE DE ÁGUA OU ESGOTO, DN 400 MM, JUNTA FLANGEADA. AF_12/2021</t>
  </si>
  <si>
    <t>MEDIDOR DE VAZÃO ELETROMAGNÉTICO DE AÇO CARBONO PARA REDE DE ÁGUA OU ESGOTO, DN 500 MM, JUNTA FLANGEADA. AF_12/2021</t>
  </si>
  <si>
    <t>REGISTRO DE GAVETA DE FERRO FUNDIDO PARA REDE DE ÁGUA OU ESGOTO, DN 100 MM, JUNTA FLANGEADA. AF_12/2021</t>
  </si>
  <si>
    <t>REGISTRO DE GAVETA DE FERRO FUNDIDO PARA REDE DE ÁGUA OU ESGOTO, DN 150 MM, JUNTA FLANGEADA. AF_01/2021</t>
  </si>
  <si>
    <t>REGISTRO DE GAVETA DE FERRO FUNDIDO PARA REDE DE ÁGUA OU ESGOTO, DN 200 MM, JUNTA FLANGEADA. AF_12/2021</t>
  </si>
  <si>
    <t>REGISTRO DE GAVETA DE FERRO FUNDIDO PARA REDE DE ÁGUA OU ESGOTO, DN 250 MM, JUNTA FLANGEADA. AF_12/2021</t>
  </si>
  <si>
    <t>REGISTRO DE GAVETA DE FERRO FUNDIDO PARA REDE DE ÁGUA OU ESGOTO, DN 300 MM, JUNTA FLANGEADA. AF_12/2021</t>
  </si>
  <si>
    <t>REGISTRO DE GAVETA DE FERRO FUNDIDO PARA REDE DE ÁGUA OU ESGOTO, DN 350 MM, JUNTA FLANGEADA. AF_12/2021</t>
  </si>
  <si>
    <t>REGISTRO DE GAVETA DE FERRO FUNDIDO PARA REDE DE ÁGUA OU ESGOTO, DN 400 MM, JUNTA FLANGEADA. AF_12/2021</t>
  </si>
  <si>
    <t>REGISTRO DE GAVETA DE FERRO FUNDIDO PARA REDE DE ÁGUA OU ESGOTO, DN 50 MM, JUNTA FLANGEADA. AF_12/2021</t>
  </si>
  <si>
    <t>REGISTRO DE GAVETA DE FERRO FUNDIDO PARA REDE DE ÁGUA OU ESGOTO, DN 500 MM, JUNTA FLANGEADA. AF_12/2021</t>
  </si>
  <si>
    <t>REGISTRO DE GAVETA DE FERRO FUNDIDO PARA REDE DE ÁGUA OU ESGOTO, DN 80 MM, JUNTA FLANGEADA. AF_12/2021</t>
  </si>
  <si>
    <t>VÁLVULA DE RETENÇÃO DE FERRO FUNDIDO PARA REDE DE ÁGUA OU ESGOTO, COM FLANGES, DN 200 MM, JUNTA FLANGEADA. AF_12/2021</t>
  </si>
  <si>
    <t>VÁLVULA DE RETENÇÃO DE FERRO FUNDIDO PARA REDE DE ÁGUA OU ESGOTO, DN 100 MM, JUNTA FLANGEADA. AF_12/2021</t>
  </si>
  <si>
    <t>VÁLVULA DE RETENÇÃO DE FERRO FUNDIDO PARA REDE DE ÁGUA OU ESGOTO, DN 150 MM, JUNTA FLANGEADA. AF_12/2021</t>
  </si>
  <si>
    <t>VÁLVULA DE RETENÇÃO DE FERRO FUNDIDO PARA REDE DE ÁGUA OU ESGOTO, DN 250 MM, JUNTA FLANGEADA. AF_12/2021</t>
  </si>
  <si>
    <t>VÁLVULA DE RETENÇÃO DE FERRO FUNDIDO PARA REDE DE ÁGUA OU ESGOTO, DN 300 MM, JUNTA FLANGEADA. AF_12/2021</t>
  </si>
  <si>
    <t>VÁLVULA DE RETENÇÃO DE FERRO FUNDIDO PARA REDE DE ÁGUA OU ESGOTO, DN 350 MM, JUNTA FLANGEADA. AF_12/2021</t>
  </si>
  <si>
    <t>VÁLVULA DE RETENÇÃO DE FERRO FUNDIDO PARA REDE DE ÁGUA OU ESGOTO, DN 400 MM, JUNTA FLANGEADA. AF_12/2021</t>
  </si>
  <si>
    <t>VÁLVULA DE RETENÇÃO DE FERRO FUNDIDO PARA REDE DE ÁGUA OU ESGOTO, DN 50 MM, JUNTA FLANGEADA. AF_12/2021</t>
  </si>
  <si>
    <t>VÁLVULA DE RETENÇÃO DE FERRO FUNDIDO PARA REDE DE ÁGUA OU ESGOTO, DN 500 MM, JUNTA FLANGEADA. AF_12/2021</t>
  </si>
  <si>
    <t>VÁLVULA DE RETENÇÃO DE FERRO FUNDIDO PARA REDE DE ÁGUA OU ESGOTO, DN 80 MM, JUNTA FLANGEADA. AF_12/2021</t>
  </si>
  <si>
    <t>VÁLVULA REDUTORA DE PRESSÃO DE FERRO FUNDIDO PARA REDE DE ÁGUA, DN 100 MM, JUNTA FLANGEADA. AF_12/2021</t>
  </si>
  <si>
    <t>VÁLVULA REDUTORA DE PRESSÃO DE FERRO FUNDIDO PARA REDE DE ÁGUA, DN 150 MM, JUNTA FLANGEADA. AF_12/2021</t>
  </si>
  <si>
    <t>VÁLVULA REDUTORA DE PRESSÃO DE FERRO FUNDIDO PARA REDE DE ÁGUA, DN 200 MM, JUNTA FLANGEADA. AF_12/2021</t>
  </si>
  <si>
    <t>VÁLVULA REDUTORA DE PRESSÃO DE FERRO FUNDIDO PARA REDE DE ÁGUA, DN 250 MM, JUNTA FLANGEADA. AF_12/2021</t>
  </si>
  <si>
    <t>VÁLVULA REDUTORA DE PRESSÃO DE FERRO FUNDIDO PARA REDE DE ÁGUA, DN 300 MM, JUNTA FLANGEADA. AF_12/2021</t>
  </si>
  <si>
    <t>VÁLVULA REDUTORA DE PRESSÃO DE FERRO FUNDIDO PARA REDE DE ÁGUA, DN 350 MM, JUNTA FLANGEADA. AF_12/2021</t>
  </si>
  <si>
    <t>VÁLVULA REDUTORA DE PRESSÃO DE FERRO FUNDIDO PARA REDE DE ÁGUA, DN 400 MM, JUNTA FLANGEADA. AF_12/2021</t>
  </si>
  <si>
    <t>VÁLVULA REDUTORA DE PRESSÃO DE FERRO FUNDIDO PARA REDE DE ÁGUA, DN 50 MM, JUNTA FLANGEADA. AF_12/2021</t>
  </si>
  <si>
    <t>VÁLVULA REDUTORA DE PRESSÃO DE FERRO FUNDIDO PARA REDE DE ÁGUA, DN 500 MM, JUNTA FLANGEADA. AF_12/2021</t>
  </si>
  <si>
    <t>VÁLVULA REDUTORA DE PRESSÃO DE FERRO FUNDIDO PARA REDE DE ÁGUA, DN 80 MM, JUNTA FLANGEADA. AF_12/2021</t>
  </si>
  <si>
    <t>RELATÓRIO DE PREÇOS DE INSUMOS - ENGARGOS SOCIAIS SEM DESONERAÇÃO</t>
  </si>
  <si>
    <t>SP</t>
  </si>
  <si>
    <t>SAO PAULO</t>
  </si>
  <si>
    <t>Origem de preço:</t>
  </si>
  <si>
    <t>C = COLETADO</t>
  </si>
  <si>
    <t>CR = COEFICIENTE DE REPRESENTATIVIDADE</t>
  </si>
  <si>
    <t>Preço em branco para determinado estado significa que não houve coleta mínima de preços no mês de referência</t>
  </si>
  <si>
    <t>Preços Medianos (R$):</t>
  </si>
  <si>
    <t>Classificação</t>
  </si>
  <si>
    <t>Código do
Insumo</t>
  </si>
  <si>
    <t>Descrição do Insumo</t>
  </si>
  <si>
    <t>Origem de
Preço</t>
  </si>
  <si>
    <t>considerado</t>
  </si>
  <si>
    <t>ABERTURA PARA ENCAIXE DE CUBA OU LAVATORIO EM BANCADA DE MARMORE/ GRANITO OU OUTRO TIPO DE PEDRA NATURAL</t>
  </si>
  <si>
    <t>CR</t>
  </si>
  <si>
    <t>ABRACADEIRA DE LATAO PARA FIXACAO DE CABO PARA-RAIO, DIMENSOES 32 X 24 X 24 MM</t>
  </si>
  <si>
    <t>ABRACADEIRA DE NYLON PARA AMARRACAO DE CABOS, COMPRIMENTO DE *230* X *7,6* MM</t>
  </si>
  <si>
    <t>ABRACADEIRA DE NYLON PARA AMARRACAO DE CABOS, COMPRIMENTO DE 100 X 2,5 MM</t>
  </si>
  <si>
    <t>ABRACADEIRA DE NYLON PARA AMARRACAO DE CABOS, COMPRIMENTO DE 150 X *3,6* MM</t>
  </si>
  <si>
    <t>ABRACADEIRA DE NYLON PARA AMARRACAO DE CABOS, COMPRIMENTO DE 200 X *4,6* MM</t>
  </si>
  <si>
    <t>C</t>
  </si>
  <si>
    <t>ABRACADEIRA DE NYLON PARA AMARRACAO DE CABOS, COMPRIMENTO DE 390 X *4,6* MM</t>
  </si>
  <si>
    <t>ABRACADEIRA EM ACO PARA AMARRACAO DE ELETRODUTOS, TIPO D, COM 1 1/2" E CUNHA DE FIXACAO</t>
  </si>
  <si>
    <t>ABRACADEIRA EM ACO PARA AMARRACAO DE ELETRODUTOS, TIPO D, COM 1 1/2" E PARAFUSO DE FIXACAO</t>
  </si>
  <si>
    <t>ABRACADEIRA EM ACO PARA AMARRACAO DE ELETRODUTOS, TIPO D, COM 1 1/4" E CUNHA DE FIXACAO</t>
  </si>
  <si>
    <t>ABRACADEIRA EM ACO PARA AMARRACAO DE ELETRODUTOS, TIPO D, COM 1 1/4" E PARAFUSO DE FIXACAO</t>
  </si>
  <si>
    <t>ABRACADEIRA EM ACO PARA AMARRACAO DE ELETRODUTOS, TIPO D, COM 1" E CUNHA DE FIXACAO</t>
  </si>
  <si>
    <t>ABRACADEIRA EM ACO PARA AMARRACAO DE ELETRODUTOS, TIPO D, COM 1" E PARAFUSO DE FIXACAO</t>
  </si>
  <si>
    <t>ABRACADEIRA EM ACO PARA AMARRACAO DE ELETRODUTOS, TIPO D, COM 1/2" E CUNHA DE FIXACAO</t>
  </si>
  <si>
    <t>ABRACADEIRA EM ACO PARA AMARRACAO DE ELETRODUTOS, TIPO D, COM 1/2" E PARAFUSO DE FIXACAO</t>
  </si>
  <si>
    <t>ABRACADEIRA EM ACO PARA AMARRACAO DE ELETRODUTOS, TIPO D, COM 2 1/2" E CUNHA DE FIXACAO</t>
  </si>
  <si>
    <t>ABRACADEIRA EM ACO PARA AMARRACAO DE ELETRODUTOS, TIPO D, COM 2 1/2" E PARAFUSO DE FIXACAO</t>
  </si>
  <si>
    <t>ABRACADEIRA EM ACO PARA AMARRACAO DE ELETRODUTOS, TIPO D, COM 2" E CUNHA DE FIXACAO</t>
  </si>
  <si>
    <t>ABRACADEIRA EM ACO PARA AMARRACAO DE ELETRODUTOS, TIPO D, COM 2" E PARAFUSO DE FIXACAO</t>
  </si>
  <si>
    <t>ABRACADEIRA EM ACO PARA AMARRACAO DE ELETRODUTOS, TIPO D, COM 3 1/2" E CUNHA DE FIXACAO</t>
  </si>
  <si>
    <t>ABRACADEIRA EM ACO PARA AMARRACAO DE ELETRODUTOS, TIPO D, COM 3" E CUNHA DE FIXACAO</t>
  </si>
  <si>
    <t>ABRACADEIRA EM ACO PARA AMARRACAO DE ELETRODUTOS, TIPO D, COM 3" E PARAFUSO DE FIXACAO</t>
  </si>
  <si>
    <t>ABRACADEIRA EM ACO PARA AMARRACAO DE ELETRODUTOS, TIPO D, COM 3/4" E CUNHA DE FIXACAO</t>
  </si>
  <si>
    <t>ABRACADEIRA EM ACO PARA AMARRACAO DE ELETRODUTOS, TIPO D, COM 3/4" E PARAFUSO DE FIXACAO</t>
  </si>
  <si>
    <t>ABRACADEIRA EM ACO PARA AMARRACAO DE ELETRODUTOS, TIPO D, COM 3/8" E PARAFUSO DE FIXACAO</t>
  </si>
  <si>
    <t>ABRACADEIRA EM ACO PARA AMARRACAO DE ELETRODUTOS, TIPO D, COM 4" E CUNHA DE FIXACAO</t>
  </si>
  <si>
    <t>ABRACADEIRA EM ACO PARA AMARRACAO DE ELETRODUTOS, TIPO D, COM 4" E PARAFUSO DE FIXACAO</t>
  </si>
  <si>
    <t>ABRACADEIRA EM ACO PARA AMARRACAO DE ELETRODUTOS, TIPO ECONOMICA (GOTA), COM 8"</t>
  </si>
  <si>
    <t>ABRACADEIRA EM ACO PARA AMARRACAO DE ELETRODUTOS, TIPO U SIMPLES, COM 1 1/2"</t>
  </si>
  <si>
    <t>ABRACADEIRA EM ACO PARA AMARRACAO DE ELETRODUTOS, TIPO U SIMPLES, COM 1 1/4"</t>
  </si>
  <si>
    <t>ABRACADEIRA EM ACO PARA AMARRACAO DE ELETRODUTOS, TIPO U SIMPLES, COM 1"</t>
  </si>
  <si>
    <t>ABRACADEIRA EM ACO PARA AMARRACAO DE ELETRODUTOS, TIPO U SIMPLES, COM 1/2"</t>
  </si>
  <si>
    <t>ABRACADEIRA EM ACO PARA AMARRACAO DE ELETRODUTOS, TIPO U SIMPLES, COM 2 1/2"</t>
  </si>
  <si>
    <t>ABRACADEIRA EM ACO PARA AMARRACAO DE ELETRODUTOS, TIPO U SIMPLES, COM 2"</t>
  </si>
  <si>
    <t>ABRACADEIRA EM ACO PARA AMARRACAO DE ELETRODUTOS, TIPO U SIMPLES, COM 3"</t>
  </si>
  <si>
    <t>ABRACADEIRA EM ACO PARA AMARRACAO DE ELETRODUTOS, TIPO U SIMPLES, COM 3/4"</t>
  </si>
  <si>
    <t>ABRACADEIRA EM ACO PARA AMARRACAO DE ELETRODUTOS, TIPO U SIMPLES, COM 3/8"</t>
  </si>
  <si>
    <t>ABRACADEIRA EM ACO PARA AMARRACAO DE ELETRODUTOS, TIPO U SIMPLES, COM 4"</t>
  </si>
  <si>
    <t>ABRACADEIRA PVC, PARA CALHA PLUVIAL, DIAMETRO ENTRE *80 E 100* MM, PARA DRENAGEM PLUVIAL PREDIAL</t>
  </si>
  <si>
    <t>ABRACADEIRA, GALVANIZADA/ZINCADA, ROSCA SEM FIM, PARAFUSO INOX, LARGURA FITA *12,6 A *14 MM, D = 2" A 2 1/2"</t>
  </si>
  <si>
    <t>ABRACADEIRA, GALVANIZADA/ZINCADA, ROSCA SEM FIM, PARAFUSO INOX, LARGURA FITA *12,6 A *14 MM, D = 3" A 3 3/4"</t>
  </si>
  <si>
    <t>ABRACADEIRA, GALVANIZADA/ZINCADA, ROSCA SEM FIM, PARAFUSO INOX, LARGURA FITA *12,6 A *14 MM, D = 4" A 4 3/4"</t>
  </si>
  <si>
    <t>ACABAMENTO DE METAL CROMADO PARA REGISTRO PEQUENO, DE PAREDE, 1/2" OU 3/4"</t>
  </si>
  <si>
    <t>ACABAMENTO SIMPLES/CONVENCIONAL PARA FORRO PVC, TIPO "U" OU "C", COR BRANCA, COMPRIMENTO 6 M</t>
  </si>
  <si>
    <t>ACESSORIO DE LIGACAO NAO ELETRICO PARA CARGAS EXPLOSIVAS, TUBO DE 6 M</t>
  </si>
  <si>
    <t>ACESSORIO INICIADOR NAO ELETRICO, TUBO DE 6 M, TEMPO DE RETARDO DE *160* MS</t>
  </si>
  <si>
    <t>ACETILENO - RECARGA DE GAS PARA CILINDRO (NAO INCLUI TROCA/MANUTENCAO DO CILINDRO)</t>
  </si>
  <si>
    <t>ACIDO CLORIDRICO / ACIDO MURIATICO, DILUICAO 10% A 12% PARA USO EM LIMPEZA</t>
  </si>
  <si>
    <t>ACO CA-25, 10,0 MM, OU 12,5 MM, OU 16,0 MM, OU 20,0 MM, OU 25,0 MM, VERGALHAO</t>
  </si>
  <si>
    <t>ACO CA-25, 16,0 MM, BARRA DE TRANSFERENCIA</t>
  </si>
  <si>
    <t>ACO CA-25, 20,0 MM, BARRA DE TRANSFERENCIA</t>
  </si>
  <si>
    <t>ACO CA-25, 25,0 MM, BARRA DE TRANSFERENCIA</t>
  </si>
  <si>
    <t>ACO CA-25, 32,0 MM, BARRA DE TRANSFERENCIA</t>
  </si>
  <si>
    <t>ACO CA-25, 32,0 MM, VERGALHAO</t>
  </si>
  <si>
    <t>ACO CA-25, 6,3 MM OU 8,0 MM, VERGALHAO</t>
  </si>
  <si>
    <t>ACO CA-50, 10,0 MM, OU 12,5 MM, OU 16,0 MM, OU 20,0 MM, DOBRADO E CORTADO</t>
  </si>
  <si>
    <t>ACO CA-50, 10,0 MM, VERGALHAO</t>
  </si>
  <si>
    <t>ACO CA-50, 12,5 MM OU 16,0 MM, VERGALHAO</t>
  </si>
  <si>
    <t>ACO CA-50, 20,0 MM OU 25,0 MM, VERGALHAO</t>
  </si>
  <si>
    <t>ACO CA-50, 32,0 MM, VERGALHAO</t>
  </si>
  <si>
    <t>ACO CA-50, 6,3 MM, DOBRADO E CORTADO</t>
  </si>
  <si>
    <t>ACO CA-50, 6,3 MM, VERGALHAO</t>
  </si>
  <si>
    <t>ACO CA-50, 8,0 MM, VERGALHAO</t>
  </si>
  <si>
    <t>ACO CA-60, 4,2 MM OU 5,0 MM, DOBRADO E CORTADO</t>
  </si>
  <si>
    <t>ACO CA-60, 4,2 MM, OU 5,0 MM, OU 6,0 MM, OU 7,0 MM, VERGALHAO</t>
  </si>
  <si>
    <t>ACO CA-60, 6,0 MM OU 7,0 MM, DOBRADO E CORTADO</t>
  </si>
  <si>
    <t>ACO CA-60, 8,0 MM OU 9,5 MM, VERGALHAO</t>
  </si>
  <si>
    <t>ACOPLAMENTO RIGIDO EM FERRO FUNDIDO PARA SISTEMA DE TUBULACAO RANHURADA, DN 50 MM (2")</t>
  </si>
  <si>
    <t>ACOPLAMENTO RIGIDO EM FERRO FUNDIDO PARA SISTEMA DE TUBULACAO RANHURADA, DN 65 MM (2 1/2")</t>
  </si>
  <si>
    <t>ACOPLAMENTO RIGIDO EM FERRO FUNDIDO PARA SISTEMA DE TUBULACAO RANHURADA, DN 80 MM (3")</t>
  </si>
  <si>
    <t>ADAPTADOR CPVC, ROSCAVEL, COM FLANGES E ANEL DE VEDACAO, 15 MM, CAIXA D'AGUA PARA AGUA QUENTE</t>
  </si>
  <si>
    <t>ADAPTADOR CPVC, ROSCAVEL, COM FLANGES E ANEL DE VEDACAO, 22 MM, CAIXA D'AGUA PARA AGUA QUENTE</t>
  </si>
  <si>
    <t>ADAPTADOR CPVC, ROSCAVEL, COM FLANGES E ANEL DE VEDACAO, 28 MM, CAIXA D'AGUA PARA AGUA QUENTE</t>
  </si>
  <si>
    <t>ADAPTADOR CPVC, ROSCAVEL, COM FLANGES E ANEL DE VEDACAO, 35 MM, CAIXA D'AGUA PARA AGUA QUENTE</t>
  </si>
  <si>
    <t>ADAPTADOR CPVC, ROSCAVEL, COM FLANGES E ANEL DE VEDACAO, 42 MM, CAIXA D'AGUA PARA AGUA QUENTE</t>
  </si>
  <si>
    <t>ADAPTADOR CPVC, ROSCAVEL, COM FLANGES E ANEL DE VEDACAO, 54 MM, CAIXA D'AGUA PARA AGUA QUENTE</t>
  </si>
  <si>
    <t>ADAPTADOR CPVC, SOLDAVEL, 15 MM, PARA AGUA QUENTE</t>
  </si>
  <si>
    <t>ADAPTADOR CPVC, SOLDAVEL, 22 MM, PARA AGUA QUENTE</t>
  </si>
  <si>
    <t>ADAPTADOR DE COMPRESSAO EM POLIPROPILENO (PP), PARA TUBO EM PEAD, 20 MM X 1/2", PARA LIGACAO PREDIAL DE AGUA (NTS 179)</t>
  </si>
  <si>
    <t>ADAPTADOR DE COMPRESSAO EM POLIPROPILENO (PP), PARA TUBO EM PEAD, 20 MM X 3/4", PARA LIGACAO PREDIAL DE AGUA (NTS 179)</t>
  </si>
  <si>
    <t>ADAPTADOR DE COMPRESSAO EM POLIPROPILENO (PP), PARA TUBO EM PEAD, 32 MM X 1", PARA LIGACAO PREDIAL DE AGUA (NTS 179)</t>
  </si>
  <si>
    <t>ADAPTADOR EM LATAO, ENGATE RAPIDO 2 1/2" X ROSCA INTERNA 5 FIOS 2 1/2", PARA INSTALACAO PREDIAL DE COMBATE A INCENDIO</t>
  </si>
  <si>
    <t>ADAPTADOR EM LATAO, ENGATE RAPIDO1 1/2" X ROSCA INTERNA 5 FIOS 2 1/2", PARA INSTALACAO PREDIAL DE COMBATE A INCENDIO</t>
  </si>
  <si>
    <t>ADAPTADOR PVC PBA, BOLSA/ROSCA, JE, DN 100 / DE 110 MM</t>
  </si>
  <si>
    <t>ADAPTADOR PVC PBA, BOLSA/ROSCA, JE, DN 50 / DE 60 MM</t>
  </si>
  <si>
    <t>ADAPTADOR PVC PBA, BOLSA/ROSCA, JE, DN 75 / DE 85 MM</t>
  </si>
  <si>
    <t>ADAPTADOR PVC PBA, PONTA/ROSCA, JE, DN 50 / DE 60 MM</t>
  </si>
  <si>
    <t>ADAPTADOR PVC PBA, PONTA/ROSCA, JE, DN 75 / DE 85 MM</t>
  </si>
  <si>
    <t>ADAPTADOR PVC SOLDAVEL CURTO COM BOLSA E ROSCA, 110 MM X 4", PARA AGUA FRIA</t>
  </si>
  <si>
    <t>ADAPTADOR PVC SOLDAVEL CURTO COM BOLSA E ROSCA, 20 MM X 1/2", PARA AGUA FRIA</t>
  </si>
  <si>
    <t>ADAPTADOR PVC SOLDAVEL CURTO COM BOLSA E ROSCA, 25 MM X 3/4", PARA AGUA FRIA</t>
  </si>
  <si>
    <t>ADAPTADOR PVC SOLDAVEL CURTO COM BOLSA E ROSCA, 32 MM X 1", PARA AGUA FRIA</t>
  </si>
  <si>
    <t>ADAPTADOR PVC SOLDAVEL CURTO COM BOLSA E ROSCA, 40 MM X 1 1/2", PARA AGUA FRIA</t>
  </si>
  <si>
    <t>ADAPTADOR PVC SOLDAVEL CURTO COM BOLSA E ROSCA, 40 MM X 1 1/4", PARA AGUA FRIA</t>
  </si>
  <si>
    <t>ADAPTADOR PVC SOLDAVEL CURTO COM BOLSA E ROSCA, 50 MM X 1 1/4", PARA AGUA FRIA</t>
  </si>
  <si>
    <t>ADAPTADOR PVC SOLDAVEL CURTO COM BOLSA E ROSCA, 50 MM X1 1/2", PARA AGUA FRIA</t>
  </si>
  <si>
    <t>ADAPTADOR PVC SOLDAVEL CURTO COM BOLSA E ROSCA, 60 MM X 2", PARA AGUA FRIA</t>
  </si>
  <si>
    <t>ADAPTADOR PVC SOLDAVEL CURTO COM BOLSA E ROSCA, 75 MM X 2 1/2", PARA AGUA FRIA</t>
  </si>
  <si>
    <t>ADAPTADOR PVC SOLDAVEL CURTO COM BOLSA E ROSCA, 85 MM X 3", PARA AGUA FRIA</t>
  </si>
  <si>
    <t>ADAPTADOR PVC SOLDAVEL, COM FLANGE E ANEL DE VEDACAO, 20 MM X 1/2", PARA CAIXA D'AGUA</t>
  </si>
  <si>
    <t>ADAPTADOR PVC SOLDAVEL, COM FLANGE E ANEL DE VEDACAO, 25 MM X 3/4", PARA CAIXA D'AGUA</t>
  </si>
  <si>
    <t>ADAPTADOR PVC SOLDAVEL, COM FLANGE E ANEL DE VEDACAO, 32 MM X 1", PARA CAIXA D'AGUA</t>
  </si>
  <si>
    <t>ADAPTADOR PVC SOLDAVEL, COM FLANGE E ANEL DE VEDACAO, 40 MM X 1 1/4", PARA CAIXA D'AGUA</t>
  </si>
  <si>
    <t>ADAPTADOR PVC SOLDAVEL, COM FLANGE E ANEL DE VEDACAO, 50 MM X 1 1/2", PARA CAIXA D'AGUA</t>
  </si>
  <si>
    <t>ADAPTADOR PVC, COM REGISTRO, PARA PEAD, 20 MM X 3/4", PARA LIGACAO PREDIAL DE AGUA</t>
  </si>
  <si>
    <t>ADAPTADOR PVC, ROSCAVEL, COM FLANGES E ANEL DE VEDACAO, 1 1/2", PARA CAIXA D'AGUA</t>
  </si>
  <si>
    <t>ADAPTADOR PVC, ROSCAVEL, COM FLANGES E ANEL DE VEDACAO, 1", PARA CAIXA D'AGUA</t>
  </si>
  <si>
    <t>ADAPTADOR PVC, ROSCAVEL, COM FLANGES E ANEL DE VEDACAO, 1/2", PARA CAIXA D'AGUA</t>
  </si>
  <si>
    <t>ADAPTADOR PVC, ROSCAVEL, COM FLANGES E ANEL DE VEDACAO, 3/4", PARA CAIXA D'AGUA</t>
  </si>
  <si>
    <t>ADAPTADOR PVC, SOLDAVEL, COM FLANGES E ANEL DE VEDACAO, 60 MM X 2", PARA CAIXA D'AGUA</t>
  </si>
  <si>
    <t>ADAPTADOR PVC, SOLDAVEL, COM FLANGES LIVRES, 110 MM X 4", PARA CAIXA D'AGUA</t>
  </si>
  <si>
    <t>ADAPTADOR PVC, SOLDAVEL, COM FLANGES LIVRES, 75 MM X 2 1/2", PARA CAIXA D'AGUA</t>
  </si>
  <si>
    <t>ADAPTADOR PVC, SOLDAVEL, COM FLANGES LIVRES, 85 MM X 3", PARA CAIXA D'AGUA</t>
  </si>
  <si>
    <t>ADAPTADOR PVC, SOLDAVEL, LONGO, COM FLANGE LIVRE, 110 MM X 4", PARA CAIXA D'AGUA</t>
  </si>
  <si>
    <t>ADAPTADOR PVC, SOLDAVEL, LONGO, COM FLANGE LIVRE, 32 MM X 1", PARA CAIXA D'AGUA</t>
  </si>
  <si>
    <t>ADAPTADOR PVC, SOLDAVEL, LONGO, COM FLANGE LIVRE, 75 MM X 2 1/2", PARA CAIXA D'AGUA</t>
  </si>
  <si>
    <t>ADAPTADOR PVC, SOLDAVEL, LONGO, COM FLANGE LIVRE, 85 MM X 3", PARA CAIXA D'AGUA</t>
  </si>
  <si>
    <t>ADESIVO / COLA DE CONTATO LIQUIDO, A BASE DE RESINAS, PARA COLAGEM DE ESPUMA PARA ISOLAMENTO TERMICO FLEXIVEL</t>
  </si>
  <si>
    <t>ADESIVO / COLA PARA EPS (ISOPOR) E OUTROS MATERIAIS</t>
  </si>
  <si>
    <t>ADESIVO ACRILICO DE BASE AQUOSA / COLA DE CONTATO</t>
  </si>
  <si>
    <t>ADESIVO ESTRUTURAL A BASE DE RESINA EPOXI PARA INJECAO EM TRINCAS, BICOMPONENTE, BAIXA VISCOSIDADE</t>
  </si>
  <si>
    <t>ADESIVO ESTRUTURAL A BASE DE RESINA EPOXI, BICOMPONENTE, FLUIDO</t>
  </si>
  <si>
    <t>ADESIVO ESTRUTURAL A BASE DE RESINA EPOXI, BICOMPONENTE, PASTOSO (TIXOTROPICO)</t>
  </si>
  <si>
    <t>ADESIVO PARA TUBOS CPVC, *75* G</t>
  </si>
  <si>
    <t>ADESIVO PLASTICO PARA PVC, BISNAGA COM 75 GR</t>
  </si>
  <si>
    <t>ADESIVO PLASTICO PARA PVC, FRASCO COM *850* GR</t>
  </si>
  <si>
    <t>ADESIVO PLASTICO PARA PVC, FRASCO COM 175 GR</t>
  </si>
  <si>
    <t>ADITIVO ACELERADOR DE PEGA E ENDURECIMENTO PARA ARGAMASSAS E CONCRETOS, LIQUIDO E ISENTO DE CLORETOS</t>
  </si>
  <si>
    <t>ADITIVO ADESIVO LIQUIDO PARA ARGAMASSAS DE REVESTIMENTOS CIMENTICIOS</t>
  </si>
  <si>
    <t>ADITIVO IMPERMEABILIZANTE CRISTALIZANTE PARA CONCRETO</t>
  </si>
  <si>
    <t>ADITIVO IMPERMEABILIZANTE DE PEGA NORMAL PARA ARGAMASSAS E CONCRETOS SEM ARMACAO, LIQUIDO E ISENTO DE CLORETOS</t>
  </si>
  <si>
    <t>ADITIVO IMPERMEABILIZANTE DE PEGA ULTRARRAPIDA, LIQUIDO E ISENTO DE CLORETOS</t>
  </si>
  <si>
    <t>ADITIVO LIQUIDO INCORPORADOR DE AR PARA CONCRETO E ARGAMASSA, LIQUIDO E ISENTO DE CLORETOS</t>
  </si>
  <si>
    <t>ADITIVO PLASTIFICANTE E ESTABILIZADOR PARA ARGAMASSAS DE ASSENTAMENTO E REBOCO, LIQUIDO E ISENTO DE CLORETOS</t>
  </si>
  <si>
    <t>ADITIVO PLASTIFICANTE RETARDADOR DE PEGA E REDUTOR DE AGUA PARA CONCRETO, LIQUIDO E ISENTO DE CLORETOS</t>
  </si>
  <si>
    <t>ADITIVO SUPERPLASTIFICANTE DE PEGA NORMAL PARA CONCRETO, LIQUIDO E ISENTO DE CLORETOS</t>
  </si>
  <si>
    <t>ADUELA/ GALERIA PRE-MOLDADA DE CONCRETO ARMADO, SECAO QUADRADA INTERNA DE 1,50 X 1,50 M (L X A), MISULA DE 20 X 20 CM, C = 1,00 M, ESPESSURA MIN = 15 CM, TB-45 E FCK DO CONCRETO = 30 MPA</t>
  </si>
  <si>
    <t>ADUELA/ GALERIA PRE-MOLDADA DE CONCRETO ARMADO, SECAO RETANGULAR INTERNA DE 2,00 X 2,00 M (L X A), MISULA DE 20 X 20 CM, C = 1,00 M, ESPESSURA MIN = 15 CM, TB-45 E FCK DO CONCRETO = 30 MPA</t>
  </si>
  <si>
    <t>ADUELA/ GALERIA PRE-MOLDADA DE CONCRETO ARMADO, SECAO RETANGULAR INTERNA DE 2,50 X 2,50 M (L X A), MISULA DE 20 X 20 CM, C = 1,00 M, ESPESSURA MIN = 15 CM, TB-45 E FCK DO CONCRETO = 30 MPA</t>
  </si>
  <si>
    <t>ADUELA/ GALERIA PRE-MOLDADA DE CONCRETO ARMADO, SECAO RETANGULAR INTERNA DE 3,00 X 3,00 M (L X A), MISULA DE 20 X 20 CM, C = 1.00 M, ESPESSURA MIN = 20 CM, TB-45 E FCK DO CONCRETO = 30 MPA</t>
  </si>
  <si>
    <t>AFASTADOR PARA TELHA DE FIBROCIMENTO CANALETE 90 OU KALHETAO</t>
  </si>
  <si>
    <t>AGENTE DE CURA, PROTETOR DA EVAPORACAO DA AGUA DE HIDRATACAO DO CONCRETO</t>
  </si>
  <si>
    <t>AGREGADO RECICLADO, TIPO RACHAO RECICLADO CINZA, CLASSE A</t>
  </si>
  <si>
    <t>AJUDANTE DE ARMADOR (HORISTA)</t>
  </si>
  <si>
    <t>AJUDANTE DE ARMADOR (MENSALISTA)</t>
  </si>
  <si>
    <t>AJUDANTE DE ELETRICISTA (HORISTA)</t>
  </si>
  <si>
    <t>AJUDANTE DE ELETRICISTA (MENSALISTA)</t>
  </si>
  <si>
    <t>AJUDANTE DE ESTRUTURAS METALICAS (HORISTA)</t>
  </si>
  <si>
    <t>AJUDANTE DE ESTRUTURAS METALICAS (MENSALISTA)</t>
  </si>
  <si>
    <t>AJUDANTE DE OPERACAO EM GERAL (HORISTA)</t>
  </si>
  <si>
    <t>AJUDANTE DE OPERACAO EM GERAL (MENSALISTA)</t>
  </si>
  <si>
    <t>AJUDANTE DE PINTOR (HORISTA)</t>
  </si>
  <si>
    <t>AJUDANTE DE PINTOR (MENSALISTA)</t>
  </si>
  <si>
    <t>AJUDANTE DE SERRALHEIRO (HORISTA)</t>
  </si>
  <si>
    <t>AJUDANTE DE SERRALHEIRO (MENSALISTA)</t>
  </si>
  <si>
    <t>AJUDANTE ESPECIALIZADO (HORISTA)</t>
  </si>
  <si>
    <t>AJUDANTE ESPECIALIZADO (MENSALISTA)</t>
  </si>
  <si>
    <t>ALCA PREFORMADA DE CONTRA POSTE, EM ACO GALVANIZADO, PARA CABO 3/16", COMPRIMENTO *860* MM</t>
  </si>
  <si>
    <t>ALCA PREFORMADA DE DISTRIBUICAO, EM ACO GALVANIZADO, PARA CABO DE ALUMINIO DIAMETRO 16 A 25 MM</t>
  </si>
  <si>
    <t>ALCA PREFORMADA DE DISTRIBUICAO, EM ACO GALVANIZADO, PARA CONDUTORES DE ALUMINIO AWG 1/0 (CAA 6/1 OU CA 7 FIOS)</t>
  </si>
  <si>
    <t>ALCA PREFORMADA DE DISTRIBUICAO, EM ACO GALVANIZADO, PARA CONDUTORES DE ALUMINIO AWG 2 (CAA 6/1 OU CA 7 FIOS)</t>
  </si>
  <si>
    <t>ALCA PREFORMADA DE SERVICO, EM ACO GALVANIZADO, PARA CONDUTORES DE ALUMINIO AWG 4 (CAA 6/1)</t>
  </si>
  <si>
    <t>ALCA PREFORMADA DE SERVICO, EM ACO GALVANIZADO, PARA CONDUTORES DE ALUMINIO AWG 6 (CAA 6/1)</t>
  </si>
  <si>
    <t>ALICATE AMPERIMETRO, TENSAO AC/DC, CAPACIDADE MAXIMA 1000 A</t>
  </si>
  <si>
    <t>ALICATE BICO LONGO (MEIA CANA) 6", COM ISOLAMENTO ATE 1000 V</t>
  </si>
  <si>
    <t>ALICATE DE CORTE DIAGONAL 6" COM ISOLAMENTO</t>
  </si>
  <si>
    <t>ALICATE DE CRIMPAR RJ11, RJ12 E RJ45, COM CATRACA</t>
  </si>
  <si>
    <t>ALICATE DE PRESSAO 11" PARA SOLDA, TIPO C</t>
  </si>
  <si>
    <t>ALICATE DE PRESSAO 11" PARA SOLDA, TIPO U</t>
  </si>
  <si>
    <t>ALICATE DE PRESSAO PARA SOLDA DE CHAPA 18"</t>
  </si>
  <si>
    <t>ALICATE DESENCAPADOR AUTOMATICO 8"</t>
  </si>
  <si>
    <t>ALICATE PARA ANEIS DE PISTAO, CAPACIDADE *50* A 100 MM</t>
  </si>
  <si>
    <t>ALICATE PROFISSIONAL 8", UNIVERSAL, COM ISOLAMENTO ATE 1000 V</t>
  </si>
  <si>
    <t>ALIMENTACAO - HORISTA (COLETADO CAIXA - ENCARGOS COMPLEMENTARES)</t>
  </si>
  <si>
    <t>ALIMENTACAO - MENSALISTA (COLETADO CAIXA - ENCARGOS COMPLEMENTARES)</t>
  </si>
  <si>
    <t>ALISADORA DE CONCRETO COM MOTOR A GASOLINA DE 5,5 HP, PESO COM MOTOR DE 78 KG, 4 PAS</t>
  </si>
  <si>
    <t>ALMOXARIFE (HORISTA)</t>
  </si>
  <si>
    <t>ALMOXARIFE (MENSALISTA)</t>
  </si>
  <si>
    <t>ALONGADOR COM TRES ALTURAS, EM TUBO DE ACO CARBONO, PINTURA NO PROCESSO ELETROSTATICO - EQUIPAMENTO DE GINASTICA PARA ACADEMIA AO AR LIVRE / ACADEMIA DA TERCEIRA IDADE - ATI</t>
  </si>
  <si>
    <t>ANEL BORRACHA PARA TUBO ESGOTO PREDIAL, DN 100 MM (NBR 5688)</t>
  </si>
  <si>
    <t>ANEL BORRACHA PARA TUBO ESGOTO PREDIAL, DN 50 MM (NBR 5688)</t>
  </si>
  <si>
    <t>ANEL BORRACHA PARA TUBO ESGOTO PREDIAL, DN 75 MM (NBR 5688)</t>
  </si>
  <si>
    <t>ANEL BORRACHA, DN 100 MM, PARA TUBO SERIE REFORCADA ESGOTO PREDIAL</t>
  </si>
  <si>
    <t>ANEL BORRACHA, DN 150 MM, PARA TUBO SERIE REFORCADA ESGOTO PREDIAL</t>
  </si>
  <si>
    <t>ANEL BORRACHA, DN 50 MM, PARA TUBO SERIE REFORCADA ESGOTO PREDIAL</t>
  </si>
  <si>
    <t>ANEL BORRACHA, DN 75 MM, PARA TUBO SERIE REFORCADA ESGOTO PREDIAL</t>
  </si>
  <si>
    <t>ANEL BORRACHA, PARA TUBO PVC DEFOFO, DN 100 MM (NBR 7665)</t>
  </si>
  <si>
    <t>ANEL BORRACHA, PARA TUBO PVC DEFOFO, DN 150 MM (NBR 7665)</t>
  </si>
  <si>
    <t>ANEL BORRACHA, PARA TUBO PVC DEFOFO, DN 200 MM (NBR 7665)</t>
  </si>
  <si>
    <t>ANEL BORRACHA, PARA TUBO PVC, REDE COLETOR ESGOTO, DN 100 MM (NBR 7362)</t>
  </si>
  <si>
    <t>ANEL BORRACHA, PARA TUBO PVC, REDE COLETOR ESGOTO, DN 150 MM (NBR 7362)</t>
  </si>
  <si>
    <t>ANEL BORRACHA, PARA TUBO PVC, REDE COLETOR ESGOTO, DN 200 MM (NBR 7362)</t>
  </si>
  <si>
    <t>ANEL BORRACHA, PARA TUBO PVC, REDE COLETOR ESGOTO, DN 250 MM (NBR 7362)</t>
  </si>
  <si>
    <t>ANEL BORRACHA, PARA TUBO PVC, REDE COLETOR ESGOTO, DN 350 MM (NBR 7362)</t>
  </si>
  <si>
    <t>ANEL BORRACHA, PARA TUBO PVC, REDE COLETOR ESGOTO, DN 400 MM (NBR 7362)</t>
  </si>
  <si>
    <t>ANEL BORRACHA, PARA TUBO, PVC REDE COLETOR ESGOTO, DN 300 MM (NBR 7362)</t>
  </si>
  <si>
    <t>ANEL BORRACHA, PARA TUBO/CONEXAO PVC PBA, DN 100 MM, PARA REDE AGUA</t>
  </si>
  <si>
    <t>ANEL BORRACHA, PARA TUBO/CONEXAO PVC PBA, DN 50 MM, PARA REDE AGUA</t>
  </si>
  <si>
    <t>ANEL BORRACHA, PARA TUBO/CONEXAO PVC PBA, DN 60 MM, PARA REDE AGUA</t>
  </si>
  <si>
    <t>ANEL BORRACHA, PARA TUBO/CONEXAO PVC PBA, DN 75 MM, PARA REDE AGUA</t>
  </si>
  <si>
    <t>ANEL DE BORRACHA PARA VEDACAO DE DUTO PEAD CORRUGADO PARA ELETRICA, DN 1 1/2" (NBR 15715)</t>
  </si>
  <si>
    <t>ANEL DE BORRACHA PARA VEDACAO DE DUTO PEAD CORRUGADO PARA ELETRICA, DN 1 1/4" (NBR 15715)</t>
  </si>
  <si>
    <t>ANEL DE BORRACHA PARA VEDACAO DE DUTO PEAD CORRUGADO PARA ELETRICA, DN 2" (NBR 15715)</t>
  </si>
  <si>
    <t>ANEL DE BORRACHA PARA VEDACAO DE DUTO PEAD CORRUGADO PARA ELETRICA, DN 3" (NBR 15715)</t>
  </si>
  <si>
    <t>ANEL DE BORRACHA PARA VEDACAO DE DUTO PEAD CORRUGADO PARA ELETRICA, DN 4" (NBR 15715)</t>
  </si>
  <si>
    <t>ANEL DE CONCRETO ARMADO COM FUNDO, PARA FOSSA E POCO 1,50 X *0,50* M</t>
  </si>
  <si>
    <t>ANEL DE CONCRETO ARMADO COM FUNDO, PARA FOSSA E POCO 2,00 X *0,50* M</t>
  </si>
  <si>
    <t>ANEL DE CONCRETO ARMADO COM FUNDO, PARA FOSSA E POCO 2,50 X *0,50* M</t>
  </si>
  <si>
    <t>ANEL DE CONCRETO ARMADO, COM FUROS/DRENO PARA SUMIDOURO, D = 0,80 M, H = 0,50 M</t>
  </si>
  <si>
    <t>ANEL DE CONCRETO ARMADO, COM FUROS/DRENO PARA SUMIDOURO, D = 1,00 M, H = 0,50M</t>
  </si>
  <si>
    <t>ANEL DE CONCRETO ARMADO, COM FUROS/DRENO PARA SUMIDOURO, D = 1,50 M, H = 0,50 M</t>
  </si>
  <si>
    <t>ANEL DE DISTRIBUICAO EM ACO GALVANIZADO PARA FIO FE-160</t>
  </si>
  <si>
    <t>ANEL DE EXPANSAO EM COBRE, ENGATE RAPIDO 1 1/2", PARA EMPATACAO MANGUEIRA DE COMBATE A INCENDIO PREDIAL</t>
  </si>
  <si>
    <t>ANEL DE EXPANSAO EM COBRE, ENGATE RAPIDO 2 1/2", PARA EMPATACAO MANGUEIRA DE COMBATE A INCENDIO PREDIAL</t>
  </si>
  <si>
    <t>ANEL DE VEDACAO, PVC FLEXIVEL, 100 MM, PARA SAIDA DE BACIA / VASO SANITARIO</t>
  </si>
  <si>
    <t>ANEL DE VEDACAO/JUNTA ELASTICA, H = *16* MM, PARA TUBO DE CONCRETO, DN 300 MM</t>
  </si>
  <si>
    <t>ANEL DE VEDACAO/JUNTA ELASTICA, H = *16* MM, PARA TUBO DE CONCRETO, DN 400 MM</t>
  </si>
  <si>
    <t>ANEL DE VEDACAO/JUNTA ELASTICA, H = *16* MM, PARA TUBO DE CONCRETO, DN 500 MM</t>
  </si>
  <si>
    <t>ANEL DE VEDACAO/JUNTA ELASTICA, H = *16* MM, PARA TUBO DE CONCRETO, DN 600 MM</t>
  </si>
  <si>
    <t>ANEL DE VEDACAO/JUNTA ELASTICA, H = *18* MM, PARA TUBO DE CONCRETO, DN 700 MM</t>
  </si>
  <si>
    <t>ANEL DE VEDACAO/JUNTA ELASTICA, H = *19* MM, PARA TUBO DE CONCRETO, DN 800 MM</t>
  </si>
  <si>
    <t>ANEL DE VEDACAO/JUNTA ELASTICA, H = *19* MM, PARA TUBO DE CONCRETO, DN 900 MM</t>
  </si>
  <si>
    <t>ANEL DE VEDACAO/JUNTA ELASTICA, H = *21* MM, PARA TUBO DE CONCRETO, DN 1000 MM</t>
  </si>
  <si>
    <t>ANEL EM CONCRETO ARMADO, LISO, PARA FOSSAS SEPTICAS E SUMIDOUROS, COM FUNDO, DIAMETRO INTERNO DE 1,20 M E ALTURA DE 0,50 M</t>
  </si>
  <si>
    <t>ANEL EM CONCRETO ARMADO, LISO, PARA FOSSAS SEPTICAS E SUMIDOUROS, COM FUNDO, DIAMETRO INTERNO DE 3,00 M E ALTURA DE 0,50 M</t>
  </si>
  <si>
    <t>ANEL EM CONCRETO ARMADO, LISO, PARA FOSSAS SEPTICAS E SUMIDOUROS, SEM FUNDO, DIAMETRO INTERNO DE 2,00 M E ALTURA DE 0,50 M</t>
  </si>
  <si>
    <t>ANEL EM CONCRETO ARMADO, LISO, PARA FOSSAS SEPTICAS E SUMIDOUROS, SEM FUNDO, DIAMETRO INTERNO DE 2,50 M E ALTURA DE 0,50 M</t>
  </si>
  <si>
    <t>ANEL EM CONCRETO ARMADO, LISO, PARA FOSSAS SEPTICAS E SUMIDOUROS, SEM FUNDO, DIAMETRO INTERNO DE 3,00 M E ALTURA DE 0,50 M</t>
  </si>
  <si>
    <t>ANEL EM CONCRETO ARMADO, LISO, PARA POCOS DE INSPECAO, COM FUNDO, DIAMETRO INTERNO DE 0,60 M E ALTURA DE 0,50 M</t>
  </si>
  <si>
    <t>ANEL EM CONCRETO ARMADO, LISO, PARA POCOS DE INSPECAO, SEM FUNDO, DIAMETRO INTERNO DE 0,60 M E ALTURA DE 0,20 M</t>
  </si>
  <si>
    <t>ANEL EM CONCRETO ARMADO, LISO, PARA POCOS DE INSPECAO, SEM FUNDO, DIAMETRO INTERNO DE 0,60 M E ALTURA DE 0,50 M</t>
  </si>
  <si>
    <t>ANEL EM CONCRETO ARMADO, LISO, PARA POCOS DE VISITA, POCOS DE INSPECAO, FOSSAS SEPTICAS E SUMIDOUROS, COM FUNDO, DIAMETRO INTERNO DE 1,20 M E ALTURA DE 0,75 M</t>
  </si>
  <si>
    <t>ANEL EM CONCRETO ARMADO, LISO, PARA POCOS DE VISITA, POCOS DE INSPECAO, FOSSAS SEPTICAS E SUMIDOUROS, SEM FUNDO, DIAMETRO INTERNO DE 1,20 M E ALTURA DE 0,50 M</t>
  </si>
  <si>
    <t>ANEL EM CONCRETO ARMADO, LISO, PARA POCOS DE VISITAS, POCOS DE INSPECAO, FOSSAS SEPTICAS E SUMIDOUROS, COM FUNDO, DIAMETRO INTERNO DE 0,80 M E ALTURA DE 0,50 M</t>
  </si>
  <si>
    <t>ANEL EM CONCRETO ARMADO, LISO, PARA POCOS DE VISITAS, POCOS DE INSPECAO, FOSSAS SEPTICAS E SUMIDOUROS, COM FUNDO, DIAMETRO INTERNO DE 1,00 M E ALTURA DE 0,50 M</t>
  </si>
  <si>
    <t>ANEL EM CONCRETO ARMADO, LISO, PARA POCOS DE VISITAS, POCOS DE INSPECAO, FOSSAS SEPTICAS E SUMIDOUROS, SEM FUNDO, DIAMETRO INTERNO DE 0,80 M E ALTURA DE 0,50 M</t>
  </si>
  <si>
    <t>ANEL EM CONCRETO ARMADO, LISO, PARA POCOS DE VISITAS, POCOS DE INSPECAO, FOSSAS SEPTICAS E SUMIDOUROS, SEM FUNDO, DIAMETRO INTERNO DE 1,00 M E ALTURA DE 0,50 M</t>
  </si>
  <si>
    <t>ANEL EM CONCRETO ARMADO, LISO, PARA, POCOS DE VISITA, POCOS DE INSPECAO, FOSSAS SEPTICAS E SUMIDOUROS, COM FUNDO, DIAMETRO INTERNO DE 1,50 M E ALTURA DE 1,00 M</t>
  </si>
  <si>
    <t>ANEL EM CONCRETO ARMADO, LISO, PARA, POCOS DE VISITA, POCOS DE INSPECAO, FOSSAS SEPTICAS E SUMIDOUROS, SEM FUNDO, DIAMETRO INTERNO DE 1,50 M E ALTURA DE 0,50 M</t>
  </si>
  <si>
    <t>ANEL EM CONCRETO ARMADO, PERFURADO, PARA FOSSAS SEPTICAS E SUMIDOUROS, SEM FUNDO, DIAMETRO INTERNO DE 1,20 M E ALTURA DE 0,50 M</t>
  </si>
  <si>
    <t>ANEL EM CONCRETO ARMADO, PERFURADO, PARA FOSSAS SEPTICAS E SUMIDOUROS, SEM FUNDO, DIAMETRO INTERNO DE 2,00 M E ALTURA DE 0,50 M</t>
  </si>
  <si>
    <t>ANEL EM CONCRETO ARMADO, PERFURADO, PARA FOSSAS SEPTICAS E SUMIDOUROS, SEM FUNDO, DIAMETRO INTERNO DE 2,50 M E ALTURA DE 0,50 M</t>
  </si>
  <si>
    <t>ANEL EM CONCRETO ARMADO, PERFURADO, PARA FOSSAS SEPTICAS E SUMIDOUROS, SEM FUNDO, DIAMETRO INTERNO DE 3,00 M E ALTURA DE 0,50 M</t>
  </si>
  <si>
    <t>APARELHO CORTE OXI-ACETILENO PARA SOLDA E CORTE CONTENDO MACARICO SOLDA, BICO DE CORTE, CILINDROS, REGULADORES, MANGUEIRAS E CARRINHO</t>
  </si>
  <si>
    <t>APARELHO SINALIZADOR LUMINOSO COM LED, PARA SAIDA GARAGEM, COM 2 LENTES EM POLICARBONATO, BIVOLT (INCLUI SUPORTE DE FIXACAO)</t>
  </si>
  <si>
    <t>APOIO DO PORTA DENTE PARA FRESADORA DE ASFALTO</t>
  </si>
  <si>
    <t>APONTADOR OU APROPRIADOR DE MAO DE OBRA (HORISTA)</t>
  </si>
  <si>
    <t>APONTADOR OU APROPRIADOR DE MAO DE OBRA (MENSALISTA)</t>
  </si>
  <si>
    <t>AQUECEDOR SOLAR COM RESERVATORIO TERMICO DE 1000 L E *5* PLACAS COLETORAS DE *2,0* M2 (NAO INCLUI ACESSORIOS) (SEM INSTALACAO)</t>
  </si>
  <si>
    <t>AQUECEDOR SOLAR COM RESERVATORIO TERMICO DE 400 L E *2* PLACAS COLETORAS DE *2,0* M2 (NAO INCLUI ACESSORIOS) (SEM INSTALACAO)</t>
  </si>
  <si>
    <t>AQUECEDOR SOLAR COM RESERVATORIO TERMICO DE 600 L E *3* PLACAS COLETORAS DE *2,0* M2 (NAO INCLUI ACESSORIOS) (SEM INSTALACAO)</t>
  </si>
  <si>
    <t>AQUECEDOR SOLAR COM RESERVATORIO TERMICO DE 800 L E *4* PLACAS COLETORAS DE *2,0* M2 (NAO INCLUI ACESSORIOS) (SEM INSTALACAO)</t>
  </si>
  <si>
    <t>AQUECEDOR SOLAR DE INSTALACAO EXTERNA, KIT COMPACTO, CONJUNTO COM RESERVATORIO TERMICO DE 200 L, PLACA COLETORA DE *2,0* M2 E INCLUSO ACESSORIOS (RESIDENCIAS ATE 120,00 M2 E DE 4 A 5 BANHOS POR DIA) (SEM INSTALACAO)</t>
  </si>
  <si>
    <t>AR-CONDICIONADO FRIO SPLITAO MODULAR 10 TR</t>
  </si>
  <si>
    <t>AR-CONDICIONADO FRIO SPLITAO MODULAR 15 TR</t>
  </si>
  <si>
    <t>AR-CONDICIONADO FRIO SPLITAO MODULAR 20 TR</t>
  </si>
  <si>
    <t>AR-CONDICIONADO SPLIT INVERTER, PISO TETO, 24000 BTU/H, QUENTE/FRIO, 60HZ, CLASSIFICACAO ENERGETICA A - SELO PROCEL, GAS HFC, CONTROLE S/FIO</t>
  </si>
  <si>
    <t>ARAME DE ACO OVALADO 15 X 17 (45,7 KG, 700 KGF), ROLO 1000 M</t>
  </si>
  <si>
    <t>ARAME DE AMARRACAO PARA GABIAO GALVANIZADO, DIAMETRO 2,2 MM</t>
  </si>
  <si>
    <t>ARAME FARPADO GALVANIZADO, 14 BWG (2,11 MM), CLASSE 250</t>
  </si>
  <si>
    <t>ARAME FARPADO GALVANIZADO, 16 BWG (1,65 MM), CLASSE 250</t>
  </si>
  <si>
    <t>ARAME GALVANIZADO 12 BWG, D = 2,76 MM (0,048 KG/M) OU 14 BWG, D = 2,11 MM (0,026 KG/M)</t>
  </si>
  <si>
    <t>ARAME GALVANIZADO 16 BWG, D = 1,65MM (0,0166 KG/M)</t>
  </si>
  <si>
    <t>ARAME GALVANIZADO 18 BWG, D = 1,24MM (0,009 KG/M)</t>
  </si>
  <si>
    <t>ARAME GALVANIZADO 6 BWG, D = 5,16 MM (0,157 KG/M), OU 8 BWG, D = 4,19 MM (0,101 KG/M), OU 10 BWG, D = 3,40 MM (0,0713 KG/M)</t>
  </si>
  <si>
    <t>ARAME PROTEGIDO COM POLIMERO PARA GABIAO, DIAMETRO 2,2 MM</t>
  </si>
  <si>
    <t>ARAME RECOZIDO 16 BWG, D = 1,65 MM (0,016 KG/M) OU 18 BWG, D = 1,25 MM (0,01 KG/M)</t>
  </si>
  <si>
    <t>ARCO DE SERRA REGULAVEL PARA LAMINAS DE 8" A 12"</t>
  </si>
  <si>
    <t>AREIA FINA - POSTO JAZIDA/FORNECEDOR (RETIRADO NA JAZIDA, SEM TRANSPORTE)</t>
  </si>
  <si>
    <t>AREIA GROSSA - POSTO JAZIDA/FORNECEDOR (RETIRADO NA JAZIDA, SEM TRANSPORTE)</t>
  </si>
  <si>
    <t>AREIA MEDIA - POSTO JAZIDA/FORNECEDOR (RETIRADO NA JAZIDA, SEM TRANSPORTE)</t>
  </si>
  <si>
    <t>AREIA PARA ATERRO - POSTO JAZIDA/FORNECEDOR (RETIRADO NA JAZIDA, SEM TRANSPORTE)</t>
  </si>
  <si>
    <t>AREIA PARA LEITO FILTRANTE (0,42 A 1,68 MM) - POSTO JAZIDA/FORNECEDOR (RETIRADO NA JAZIDA, SEM TRANSPORTE)</t>
  </si>
  <si>
    <t>ARGAMASSA COLANTE AC I PARA CERAMICAS</t>
  </si>
  <si>
    <t>ARGAMASSA COLANTE AC II</t>
  </si>
  <si>
    <t>ARGAMASSA COLANTE TIPO AC III</t>
  </si>
  <si>
    <t>ARGAMASSA COLANTE TIPO AC III E</t>
  </si>
  <si>
    <t>ARGAMASSA INDUSTRIALIZADA MULTIUSO, PARA REVESTIMENTO INTERNO E EXTERNO E ASSENTAMENTO DE BLOCOS DIVERSOS</t>
  </si>
  <si>
    <t>ARGAMASSA INDUSTRIALIZADA PARA CHAPISCO COLANTE</t>
  </si>
  <si>
    <t>ARGAMASSA INDUSTRIALIZADA PARA CHAPISCO ROLADO</t>
  </si>
  <si>
    <t>ARGAMASSA PARA REVESTIMENTO DECORATIVO MONOCAMADA</t>
  </si>
  <si>
    <t>ARGAMASSA PISO SOBRE PISO</t>
  </si>
  <si>
    <t>ARGAMASSA POLIMERICA DE REPARO ESTRUTURAL, BICOMPONENTE</t>
  </si>
  <si>
    <t>ARGAMASSA POLIMERICA IMPERMEABILIZANTE SEMIFLEXIVEL, BICOMPONENTE, A BASE DE CIMENTO E ADITIVOS</t>
  </si>
  <si>
    <t>ARGAMASSA PRONTA PARA CONTRAPISO</t>
  </si>
  <si>
    <t>ARGAMASSA USINADA AUTOADENSAVEL E AUTONIVELANTE PARA CONTRAPISO, COM BOMBEAMENTO (DISPONIBILIZACAO DE BOMBA), SEM O LANCAMENTO</t>
  </si>
  <si>
    <t>ARGILA EXPANDIDA, GRANULOMETRIA 2215</t>
  </si>
  <si>
    <t>ARGILA OU BARRO PARA ATERRO/REATERRO (COM TRANSPORTE ATE 10 KM)</t>
  </si>
  <si>
    <t>ARGILA OU BARRO PARA ATERRO/REATERRO (RETIRADO NA JAZIDA, SEM TRANSPORTE)</t>
  </si>
  <si>
    <t>ARGILA, ARGILA VERMELHA OU ARGILA ARENOSA (RETIRADA NA JAZIDA, SEM TRANSPORTE)</t>
  </si>
  <si>
    <t>ARMACAO VERTICAL COM HASTE E CONTRA-PINO, EM CHAPA DE ACO GALVANIZADO 3/16", COM 1 ESTRIBO E 1 ISOLADOR</t>
  </si>
  <si>
    <t>ARMACAO VERTICAL COM HASTE E CONTRA-PINO, EM CHAPA DE ACO GALVANIZADO 3/16", COM 1 ESTRIBO, SEM ISOLADOR</t>
  </si>
  <si>
    <t>ARMACAO VERTICAL COM HASTE E CONTRA-PINO, EM CHAPA DE ACO GALVANIZADO 3/16", COM 2 ESTRIBOS, E 2 ISOLADORES</t>
  </si>
  <si>
    <t>ARMACAO VERTICAL COM HASTE E CONTRA-PINO, EM CHAPA DE ACO GALVANIZADO 3/16", COM 2 ESTRIBOS, SEM ISOLADOR</t>
  </si>
  <si>
    <t>ARMACAO VERTICAL COM HASTE E CONTRA-PINO, EM CHAPA DE ACO GALVANIZADO 3/16", COM 3 ESTRIBOS E 3 ISOLADORES</t>
  </si>
  <si>
    <t>ARMACAO VERTICAL COM HASTE E CONTRA-PINO, EM CHAPA DE ACO GALVANIZADO 3/16", COM 3 ESTRIBOS, SEM ISOLADOR</t>
  </si>
  <si>
    <t>ARMACAO VERTICAL COM HASTE E CONTRA-PINO, EM CHAPA DE ACO GALVANIZADO 3/16", COM 4 ESTRIBOS E 4 ISOLADORES</t>
  </si>
  <si>
    <t>ARMACAO VERTICAL COM HASTE E CONTRA-PINO, EM CHAPA DE ACO GALVANIZADO 3/16", COM 4 ESTRIBOS, SEM ISOLADOR</t>
  </si>
  <si>
    <t>ARMADOR (HORISTA)</t>
  </si>
  <si>
    <t>ARMADOR (MENSALISTA)</t>
  </si>
  <si>
    <t>ARQUITETO JUNIOR (HORISTA)</t>
  </si>
  <si>
    <t>ARQUITETO JUNIOR (MENSALISTA)</t>
  </si>
  <si>
    <t>ARQUITETO PLENO (HORISTA)</t>
  </si>
  <si>
    <t>ARQUITETO PLENO (MENSALISTA)</t>
  </si>
  <si>
    <t>ARQUITETO SENIOR (HORISTA)</t>
  </si>
  <si>
    <t>ARQUITETO SENIOR (MENSALISTA)</t>
  </si>
  <si>
    <t>ARRUELA EM ALUMINIO, COM ROSCA, DE 1 1/2", PARA ELETRODUTO</t>
  </si>
  <si>
    <t>ARRUELA EM ALUMINIO, COM ROSCA, DE 1 1/4", PARA ELETRODUTO</t>
  </si>
  <si>
    <t>ARRUELA EM ALUMINIO, COM ROSCA, DE 1", PARA ELETRODUTO</t>
  </si>
  <si>
    <t>ARRUELA EM ALUMINIO, COM ROSCA, DE 1/2", PARA ELETRODUTO</t>
  </si>
  <si>
    <t>ARRUELA EM ALUMINIO, COM ROSCA, DE 2 1/2", PARA ELETRODUTO</t>
  </si>
  <si>
    <t>ARRUELA EM ALUMINIO, COM ROSCA, DE 2", PARA ELETRODUTO</t>
  </si>
  <si>
    <t>ARRUELA EM ALUMINIO, COM ROSCA, DE 3", PARA ELETRODUTO</t>
  </si>
  <si>
    <t>ARRUELA EM ALUMINIO, COM ROSCA, DE 3/4", PARA ELETRODUTO</t>
  </si>
  <si>
    <t>ARRUELA EM ALUMINIO, COM ROSCA, DE 3/8", PARA ELETRODUTO</t>
  </si>
  <si>
    <t>ARRUELA EM ALUMINIO, COM ROSCA, DE 4", PARA ELETRODUTO</t>
  </si>
  <si>
    <t>ARRUELA LISA, REDONDA, DE LATAO POLIDO, DIAMETRO NOMINAL 5/8", DIAMETRO EXTERNO = 34 MM, DIAMETRO DO FURO = 17 MM, ESPESSURA = *2,5* MM</t>
  </si>
  <si>
    <t>ASFALTO MODIFICADO TIPO I - NBR 9910 (ASFALTO OXIDADO PARA IMPERMEABILIZACAO, COEFICIENTE DE PENETRACAO 25-40)</t>
  </si>
  <si>
    <t>ASFALTO MODIFICADO TIPO II - NBR 9910 (ASFALTO OXIDADO PARA IMPERMEABILIZACAO, COEFICIENTE DE PENETRACAO 20-35)</t>
  </si>
  <si>
    <t>ASFALTO MODIFICADO TIPO III - NBR 9910 (ASFALTO OXIDADO PARA IMPERMEABILIZACAO, COEFICIENTE DE PENETRACAO 15-25)</t>
  </si>
  <si>
    <t>ASSENTADOR DE MANILHAS (HORISTA)</t>
  </si>
  <si>
    <t>ASSENTADOR DE MANILHAS (MENSALISTA)</t>
  </si>
  <si>
    <t>ASSENTO SANITARIO DE PLASTICO, TIPO CONVENCIONAL</t>
  </si>
  <si>
    <t>ASSENTO VASO SANITARIO INFANTIL EM PLASTICO BRANCO</t>
  </si>
  <si>
    <t>AUTOMATICO DE BOIA SUPERIOR / INFERIOR, *15* A / 250 V</t>
  </si>
  <si>
    <t>AUXILIAR DE AZULEJISTA (HORISTA)</t>
  </si>
  <si>
    <t>AUXILIAR DE AZULEJISTA (MENSALISTA)</t>
  </si>
  <si>
    <t>AUXILIAR DE ENCANADOR OU BOMBEIRO HIDRAULICO (HORISTA)</t>
  </si>
  <si>
    <t>AUXILIAR DE ENCANADOR OU BOMBEIRO HIDRAULICO (MENSALISTA)</t>
  </si>
  <si>
    <t>AUXILIAR DE ESCRITORIO (HORISTA)</t>
  </si>
  <si>
    <t>AUXILIAR DE ESCRITORIO (MENSALISTA)</t>
  </si>
  <si>
    <t>AUXILIAR DE LABORATORISTA DE SOLOS E DE CONCRETO (HORISTA)</t>
  </si>
  <si>
    <t>AUXILIAR DE LABORATORISTA DE SOLOS E DE CONCRETO (MENSALISTA)</t>
  </si>
  <si>
    <t>AUXILIAR DE MECANICO (HORISTA)</t>
  </si>
  <si>
    <t>AUXILIAR DE MECANICO (MENSALISTA)</t>
  </si>
  <si>
    <t>AUXILIAR DE PEDREIRO (HORISTA)</t>
  </si>
  <si>
    <t>AUXILIAR DE PEDREIRO (MENSALISTA)</t>
  </si>
  <si>
    <t>AUXILIAR DE SERVICOS GERAIS (HORISTA)</t>
  </si>
  <si>
    <t>AUXILIAR DE SERVICOS GERAIS (MENSALISTA)</t>
  </si>
  <si>
    <t>AUXILIAR DE TOPOGRAFO (HORISTA)</t>
  </si>
  <si>
    <t>AUXILIAR DE TOPOGRAFO (MENSALISTA)</t>
  </si>
  <si>
    <t>AUXILIAR TECNICO / ASSISTENTE DE ENGENHARIA (HORISTA)</t>
  </si>
  <si>
    <t>AUXILIAR TECNICO / ASSISTENTE DE ENGENHARIA (MENSALISTA)</t>
  </si>
  <si>
    <t>AVENTAL DE SEGURANCA DE RASPA DE COURO 1,00 X 0,60 M</t>
  </si>
  <si>
    <t>AVENTAL EM PVC, FORRADO, *0,3* MM DE ESPESSURA, *1,15 X 0,70* M (COMPRIMENTO X LARGURA), 100% IMPERMEAVEL</t>
  </si>
  <si>
    <t>AZULEJISTA OU LADRILHEIRO (HORISTA)</t>
  </si>
  <si>
    <t>AZULEJISTA OU LADRILHEIRO (MENSALISTA)</t>
  </si>
  <si>
    <t>BACIA SANITARIA (VASO) COM CAIXA ACOPLADA, SIFAO APARENTE, DE LOUCA BRANCA (SEM ASSENTO)</t>
  </si>
  <si>
    <t>BACIA SANITARIA (VASO) COM CAIXA ACOPLADA, SIFAO OCULTO / CARENADO, DE LOUCA BRANCA (SEM ASSENTO) - PADRAO ALTO</t>
  </si>
  <si>
    <t>BACIA SANITARIA (VASO) CONVENCIONAL PARA PCD, SEM FURO FRONTAL, DE LOUCA BRANCA (SEM ASSENTO)</t>
  </si>
  <si>
    <t>BACIA SANITARIA (VASO) CONVENCIONAL PARA USO ESPECIFICO (HOSPITAIS, CLINICAS), COM FURO FRONTAL, DE LOUCA BRANCA, SEM ASSENTO</t>
  </si>
  <si>
    <t>BACIA SANITARIA (VASO) CONVENCIONAL, DE LOUCA BRANCA, SIFAO APARENTE, SAIDA VERTICAL (SEM ASSENTO)</t>
  </si>
  <si>
    <t>BACIA SANITARIA (VASO) CONVENCIONAL, DE LOUCA COLORIDA, SIFAO APARENTE, SAIDA VERTICAL (SEM ASSENTO)</t>
  </si>
  <si>
    <t>BACIA SANITARIA (VASO) INFANTIL, SIFONADO, DE LOUCA BRANCA, (SEM ASSENTO)</t>
  </si>
  <si>
    <t>BALANCIM INDIVIDUAL, TIPO CADEIRA SUSPENSA SOBE E DESCE</t>
  </si>
  <si>
    <t>BALDE DE PLASTICO CAPACIDADE 12 L</t>
  </si>
  <si>
    <t>BALDE VERMELHO PARA SINALIZACAO DE VIAS</t>
  </si>
  <si>
    <t>BANCADA DE MARMORE SINTETICO COM UMA CUBA, 120 X *60* CM</t>
  </si>
  <si>
    <t>BANCADA DE MARMORE SINTETICO COM UMA CUBA, 150 X *60* CM</t>
  </si>
  <si>
    <t>BANCADA DE MARMORE SINTETICO COM UMA CUBA, 200 X *60* CM</t>
  </si>
  <si>
    <t>BANCADA/ BANCA EM GRANITO, POLIDO, TIPO ANDORINHA/ QUARTZ/ CASTELO/ CORUMBA OU OUTROS EQUIVALENTES DA REGIAO, COM CUBA INOX, FORMATO *120 X 60* CM, E= *2* CM</t>
  </si>
  <si>
    <t>BANCADA/ BANCA/ BALCAO/ TAMPO EM MARMORE BRANCO COMUM, POLIDO, LISO, ACABAMENTO RETO, E= *3* CM (SEM FUROS)</t>
  </si>
  <si>
    <t>BANCADA/BANCA/PIA DE ACO INOXIDAVEL (AISI 430) COM 1 CUBA CENTRAL, COM VALVULA, ESCORREDOR DUPLO, DE *0,55 X 1,20* M</t>
  </si>
  <si>
    <t>BANCADA/BANCA/PIA DE ACO INOXIDAVEL (AISI 430) COM 1 CUBA CENTRAL, COM VALVULA, ESCORREDOR DUPLO, DE *0,55 X 1,40* M</t>
  </si>
  <si>
    <t>BANCADA/BANCA/PIA DE ACO INOXIDAVEL (AISI 430) COM 1 CUBA CENTRAL, COM VALVULA, ESCORREDOR DUPLO, DE *0,55 X 1,80* M</t>
  </si>
  <si>
    <t>BANCADA/BANCA/PIA DE ACO INOXIDAVEL (AISI 430) COM 1 CUBA CENTRAL, COM VALVULA, LISA (SEM ESCORREDOR), DE *0,55 X 1,20* M</t>
  </si>
  <si>
    <t>BANCADA/BANCA/PIA DE ACO INOXIDAVEL (AISI 430) COM 1 CUBA CENTRAL, SEM VALVULA, ESCORREDOR DUPLO, DE *0,55 X 1,60* M</t>
  </si>
  <si>
    <t>BANCADA/BANCA/PIA DE ACO INOXIDAVEL (AISI 430) COM 2 CUBAS, COM VALVULAS, ESCORREDOR DUPLO, DE *0,55 X 2,00* M</t>
  </si>
  <si>
    <t>BANCADA/TAMPO ACO INOX (AISI 304), LARGURA 60 CM, COM RODABANCA (NAO INCLUI PES DE APOIO)</t>
  </si>
  <si>
    <t>BANCADA/TAMPO ACO INOX (AISI 304), LARGURA 70 CM, COM RODABANCA (NAO INCLUI PES DE APOIO)</t>
  </si>
  <si>
    <t>BANCADA/TAMPO LISO (SEM CUBA) EM MARMORE SINTETICO</t>
  </si>
  <si>
    <t>BANCO ARTICULADO PARA BANHO, EM ACO INOX POLIDO, 70* CM X 45* CM</t>
  </si>
  <si>
    <t>BANCO COM ENCOSTO, 1,60M* DE COMPRIMENTO, EM TUBO DE ACO CARBONO E PINTURA NO PROCESSO ELETROSTATICO - PARA ACADEMIA AO AR LIVRE / ACADEMIA DA TERCEIRA IDADE - ATI</t>
  </si>
  <si>
    <t>BANDEJA DE PINTURA PARA ROLO 23 CM</t>
  </si>
  <si>
    <t>BARRA ANTIPANICO DUPLA, CEGA EM LADO OPOSTO, COR CINZA</t>
  </si>
  <si>
    <t>PAR</t>
  </si>
  <si>
    <t>BARRA ANTIPANICO DUPLA, PARA PORTA DE VIDRO, COR CINZA</t>
  </si>
  <si>
    <t>BARRA ANTIPANICO SIMPLES, CEGA EM LADO OPOSTO, COR CINZA</t>
  </si>
  <si>
    <t>BARRA ANTIPANICO SIMPLES, COM FECHADURA LADO OPOSTO, COR CINZA</t>
  </si>
  <si>
    <t>BARRA ANTIPANICO SIMPLES, PARA PORTA DE VIDRO, COR CINZA</t>
  </si>
  <si>
    <t>BARRA DE ACO CHATA, RETANGULAR (QUALQUER BITOLA)</t>
  </si>
  <si>
    <t>BARRA DE ACO CHATO, RETANGULAR, 19,05 MM X 3,17 MM (L X E), 0,47 KG/M</t>
  </si>
  <si>
    <t>BARRA DE ACO CHATO, RETANGULAR, 25,4 MM X 4,76 MM (L X E), 0,94 KG/M</t>
  </si>
  <si>
    <t>BARRA DE ACO CHATO, RETANGULAR, 25,4 MM X 6,35 MM (L X E), 1,2265 KG/M</t>
  </si>
  <si>
    <t>BARRA DE ACO CHATO, RETANGULAR, 38,1 MM X 12,7 MM (L X E), 3,79 KG/M</t>
  </si>
  <si>
    <t>BARRA DE ACO CHATO, RETANGULAR, 38,1 MM X 6,35 MM (L X E), 1,89 KG/M</t>
  </si>
  <si>
    <t>BARRA DE ACO CHATO, RETANGULAR, 38,1 MM X 9,53 MM (L X E), 2,84 KG/M</t>
  </si>
  <si>
    <t>BARRA DE ACO CHATO, RETANGULAR, 50,8 MM X 12,7 MM (L X E), 5,06 KG/M</t>
  </si>
  <si>
    <t>BARRA DE ACO CHATO, RETANGULAR, 50,8 MM X 25,4 MM (L X E), 10,12 KG/M</t>
  </si>
  <si>
    <t>BARRA DE ACO CHATO, RETANGULAR, 50,8 MM X 6,35 MM (L X E), 2,53 KG/M</t>
  </si>
  <si>
    <t>BARRA DE ACO CHATO, RETANGULAR, 50,8 MM X 7,94 MM (L X E), 3,162 KG/M</t>
  </si>
  <si>
    <t>BARRA DE ACO CHATO, RETANGULAR, 50,8 MM X 9,53 MM (L X E), 3,79KG/M</t>
  </si>
  <si>
    <t>BARRA DE APOIO EM "L", EM ACO INOX POLIDO 70 X 70 CM, DIAMETRO MINIMO 3 CM</t>
  </si>
  <si>
    <t>BARRA DE APOIO EM "L", EM ACO INOX POLIDO 80 X 80 CM, DIAMETRO MINIMO 3 CM</t>
  </si>
  <si>
    <t>BARRA DE APOIO LATERAL ARTICULADA, COM TRAVA, EM ACO INOX POLIDO, 70 CM, DIAMETRO MINIMO 3 CM</t>
  </si>
  <si>
    <t>BARRA DE APOIO RETA, EM ACO INOX POLIDO, COMPRIMENTO 60CM, DIAMETRO MINIMO 3 CM</t>
  </si>
  <si>
    <t>BARRA DE APOIO RETA, EM ACO INOX POLIDO, COMPRIMENTO 70CM, DIAMETRO MINIMO 3 CM</t>
  </si>
  <si>
    <t>BARRA DE APOIO RETA, EM ACO INOX POLIDO, COMPRIMENTO 80CM, DIAMETRO MINIMO 3 CM</t>
  </si>
  <si>
    <t>BARRA DE APOIO RETA, EM ACO INOX POLIDO, COMPRIMENTO 90 CM, DIAMETRO MINIMO 3 CM</t>
  </si>
  <si>
    <t>BARRA DE APOIO RETA, EM ALUMINIO, COMPRIMENTO 60CM, DIAMETRO MINIMO 3 CM</t>
  </si>
  <si>
    <t>BARRA DE APOIO RETA, EM ALUMINIO, COMPRIMENTO 70CM, DIAMETRO MINIMO 3 CM</t>
  </si>
  <si>
    <t>BARRA DE APOIO RETA, EM ALUMINIO, COMPRIMENTO 80 CM, DIAMETRO MINIMO 3 CM</t>
  </si>
  <si>
    <t>BARRA DE APOIO RETA, EM ALUMINIO, COMPRIMENTO 90 CM, DIAMETRO MINIMO 3 CM</t>
  </si>
  <si>
    <t>BASE DE MISTURADOR MONOCOMANDO PARA CHUVEIRO, DE PAREDE (NAO INCLUI ACABAMENTOS)</t>
  </si>
  <si>
    <t>BASE PARA MASTRO DE PARA-RAIOS DIAMETRO NOMINAL 1 1/2"</t>
  </si>
  <si>
    <t>BASE PARA MASTRO DE PARA-RAIOS DIAMETRO NOMINAL 2"</t>
  </si>
  <si>
    <t>BASE PARA RELE COM SUPORTE METALICO</t>
  </si>
  <si>
    <t>BASTIDOR PARA BLOCO M10</t>
  </si>
  <si>
    <t>BATE-ESTACAS POR GRAVIDADE, POTENCIA160 HP, PESO DO MARTELO ATE 3 TONELADAS</t>
  </si>
  <si>
    <t>BATENTE / PORTAL / ADUELA / MARCO EM MADEIRA MACICA COM REBAIXO, E = *3* CM, L = *14* CM, PARA PORTAS DE GIRO DE *60 CM A 120* CM X *210* CM, CEDRINHO / ANGELIM COMERCIAL / TAURI / CURUPIXA / PEROBA / CUMARU OU EQUIVALENTE DA REGIAO (NAO INCLUI ALIZARES)</t>
  </si>
  <si>
    <t>JG</t>
  </si>
  <si>
    <t>BATENTE / PORTAL / ADUELA / MARCO EM MADEIRA MACICA COM REBAIXO, E = *3* CM, L = *14* CM, PARA PORTAS DE GIRO DE *60 CM A 120* CM X *210* CM, PINUS / EUCALIPTO / VIROLA OU EQUIVALENTE DA REGIAO (NAO INCLUI ALIZARES)</t>
  </si>
  <si>
    <t>BATENTE / PORTAL / ADUELA / MARCO EM MADEIRA MACICA COM REBAIXO, E = *3* CM, L = *16* CM, PARA PORTAS DE GIRO DE *60 CM A 120* CM X *210* CM, CEDRINHO / ANGELIM COMERCIAL / TAURI / CURUPIXA / PEROBA / CUMARU OU EQUIVALENTE DA REGIAO (NAO INCLUI ALIZARES)</t>
  </si>
  <si>
    <t>BATENTE / PORTAL / ADUELA / MARCO EM MADEIRA MACICA COM REBAIXO, E = *3* CM, L = *16* CM, PARA PORTAS DE GIRO DE *60 CM A 120* CM X *210* CM, PINUS / EUCALIPTO / VIROLA OU EQUIVALENTE DA REGIAO (NAO INCLUI ALIZARES)</t>
  </si>
  <si>
    <t>BATENTE/PORTAL/ADUELA/MARCO, EM MDF/PVC WOOD/POLIESTIRENO OU MADEIRA LAMINADA, L = *9,0* CM COM GUARNICAO REGULAVEL 2 FACES = *35* MM, PRIMER</t>
  </si>
  <si>
    <t>BENTONITA, ARGILA CONSTITUIDA POR MONTMORILONITA</t>
  </si>
  <si>
    <t>BETONEIRA, CAPACIDADE NOMINAL 400 L, CAPACIDADE DE MISTURA 280 L, MOTOR ELETRICO TRIFASICO 220/380 V, POTENCIA 2 CV, SEM CARREGADOR</t>
  </si>
  <si>
    <t>BETONEIRA, CAPACIDADE NOMINAL 400 L, CAPACIDADE DE MISTURA 310 L, MOTOR A DIESEL, POTENCIA 5 CV, SEM CARREGADOR</t>
  </si>
  <si>
    <t>BETONEIRA, CAPACIDADE NOMINAL 400 L, CAPACIDADE DE MISTURA 310 L, MOTOR A GASOLINA, POTENCIA 5,5 CV, SEM CARREGADOR</t>
  </si>
  <si>
    <t>BETONEIRA, CAPACIDADE NOMINAL 600 L, CAPACIDADE DE MISTURA 360 L, MOTOR ELETRICO TRIFASICO 220/380V, POTENCIA 4CV, SEM CARREGADOR</t>
  </si>
  <si>
    <t>BETONEIRA, CAPACIDADE NOMINAL 600 L, CAPACIDADE DE MISTURA 440 L, MOTOR A DIESEL, POTENCIA 10 CV, COM CARREGADOR</t>
  </si>
  <si>
    <t>BLASTER, DINAMITADOR OU CABO DE FOGO (HORISTA)</t>
  </si>
  <si>
    <t>BLASTER, DINAMITADOR OU CABO DE FOGO (MENSALISTA)</t>
  </si>
  <si>
    <t>BLOCO / TIJOLO DE VIDRO INCOLOR, CANELADO / ONDULADO, *19 X 19 X 8* CM (A X L X E)</t>
  </si>
  <si>
    <t>BLOCO / TIJOLO DE VIDRO INCOLOR, XADREZ, *20 X 20 X 10* CM (A X L X E)</t>
  </si>
  <si>
    <t>BLOCO CERAMICO / TIJOLO VAZADO PARA ALVENARIA DE VEDACAO, 4 FUROS NA HORIZONTAL DE 9 X 9 X 19 CM (L X A X C)</t>
  </si>
  <si>
    <t>BLOCO CERAMICO / TIJOLO VAZADO PARA ALVENARIA DE VEDACAO, 6 FUROS NA HORIZONTAL DE 11,5 X 19 X 29 CM (L X A X C)</t>
  </si>
  <si>
    <t>BLOCO CERAMICO / TIJOLO VAZADO PARA ALVENARIA DE VEDACAO, 6 FUROS NA HORIZONTAL DE 11,5 X 19 X 39 CM (L X A X C)</t>
  </si>
  <si>
    <t>BLOCO CERAMICO / TIJOLO VAZADO PARA ALVENARIA DE VEDACAO, 6 FUROS NA HORIZONTAL DE 9 X 14 X 19 CM (L X A X C)</t>
  </si>
  <si>
    <t>BLOCO CERAMICO / TIJOLO VAZADO PARA ALVENARIA DE VEDACAO, 6 FUROS NA HORIZONTAL DE 9 X 14 X 24 CM (L X A X C)</t>
  </si>
  <si>
    <t>BLOCO CERAMICO / TIJOLO VAZADO PARA ALVENARIA DE VEDACAO, 6 FUROS NA HORIZONTAL DE 9 X 19 X 39 CM (L X A X C)</t>
  </si>
  <si>
    <t>BLOCO CERAMICO / TIJOLO VAZADO PARA ALVENARIA DE VEDACAO, 8 FUROS NA HORIZONTAL DE 9 X 19 X 19 CM (L X A X C)</t>
  </si>
  <si>
    <t>BLOCO CERAMICO / TIJOLO VAZADO PARA ALVENARIA DE VEDACAO, 8 FUROS NA HORIZONTAL DE 9 X 19 X 29 CM (L X A X C)</t>
  </si>
  <si>
    <t>BLOCO CERAMICO / TIJOLO VAZADO PARA ALVENARIA DE VEDACAO, 9 FUROS NA HORIZONTAL DE 11,5 X 14 X 24 CM (L X A X C)</t>
  </si>
  <si>
    <t>BLOCO CERAMICO / TIJOLO VAZADO PARA ALVENARIA DE VEDACAO, 9 FUROS NA HORIZONTAL DE 14 X 19 X 29 CM (L X A X C)</t>
  </si>
  <si>
    <t>BLOCO CERAMICO / TIJOLO VAZADO PARA ALVENARIA DE VEDACAO, 9 FUROS NA HORIZONTAL DE 14 X 19 X 39 CM (L X A X C)</t>
  </si>
  <si>
    <t>BLOCO CERAMICO / TIJOLO VAZADO PARA ALVENARIA DE VEDACAO, 9 FUROS NA HORIZONTAL DE 19 X 19 X 29 CM (L X A X C)</t>
  </si>
  <si>
    <t>BLOCO CERAMICO / TIJOLO VAZADO PARA ALVENARIA DE VEDACAO, 9 FUROS NA HORIZONTAL DE 19 X 19 X 39 CM (L X A X C)</t>
  </si>
  <si>
    <t>BLOCO CERAMICO / TIJOLO VAZADO PARA ALVENARIA DE VEDACAO, FUROS NA HORIZONTAL DE 11,5 X 19 X 19 CM (L X A X C)</t>
  </si>
  <si>
    <t>BLOCO CERAMICO / TIJOLO VAZADO PARA ALVENARIA DE VEDACAO, FUROS NA VERTICAL DE 11,5 X 19 X 29 CM (L X A X C)</t>
  </si>
  <si>
    <t>BLOCO CERAMICO / TIJOLO VAZADO PARA ALVENARIA DE VEDACAO, FUROS NA VERTICAL DE 11,5 X 19 X 39 CM (L X A X C)</t>
  </si>
  <si>
    <t>BLOCO CERAMICO / TIJOLO VAZADO PARA ALVENARIA DE VEDACAO, FUROS NA VERTICAL DE 14 X 19 X 29 CM (L X A X C)</t>
  </si>
  <si>
    <t>BLOCO CERAMICO / TIJOLO VAZADO PARA ALVENARIA DE VEDACAO, FUROS NA VERTICAL DE 14 X 19 X 39 CM (L X A X C)</t>
  </si>
  <si>
    <t>BLOCO CERAMICO / TIJOLO VAZADO PARA ALVENARIA DE VEDACAO, FUROS NA VERTICAL DE 19 X 19 X 39 CM (L X A X C)</t>
  </si>
  <si>
    <t>BLOCO CERAMICO / TIJOLO VAZADO PARA ALVENARIA DE VEDACAO, FUROS NA VERTICAL DE 9 X 19 X 39 CM (L X A X C)</t>
  </si>
  <si>
    <t>BLOCO CONCRETO CELULAR AUTOCLAVADO 12,5 X 30 X 60 CM (E X A X C)</t>
  </si>
  <si>
    <t>BLOCO CONCRETO CELULAR AUTOCLAVADO 7,5 X 30 X 60 CM (E X A X C)</t>
  </si>
  <si>
    <t>BLOCO DE CONCRETO ESTRUTURAL 14 X 19 X 29 CM, FBK 14 MPA (NBR 6136)</t>
  </si>
  <si>
    <t>BLOCO DE CONCRETO ESTRUTURAL 14 X 19 X 29 CM, FBK 4,5 MPA (NBR 6136)</t>
  </si>
  <si>
    <t>BLOCO DE CONCRETO ESTRUTURAL 14 X 19 X 29 CM, FBK 8 MPA (NBR 6136)</t>
  </si>
  <si>
    <t>BLOCO DE CONCRETO ESTRUTURAL 14 X 19 X 34 CM, FBK 4,5 MPA (NBR 6136)</t>
  </si>
  <si>
    <t>BLOCO DE CONCRETO ESTRUTURAL 14 X 19 X 39 CM, FBK 14 MPA (NBR 6136)</t>
  </si>
  <si>
    <t>BLOCO DE CONCRETO ESTRUTURAL 14 X 19 X 39 CM, FBK 4,5 MPA (NBR 6136)</t>
  </si>
  <si>
    <t>BLOCO DE CONCRETO ESTRUTURAL 14 X 19 X 39 CM, FBK 8 MPA (NBR 6136)</t>
  </si>
  <si>
    <t>BLOCO DE CONCRETO ESTRUTURAL 19 X 19 X 39 CM, FBK 10 MPA (NBR 6136)</t>
  </si>
  <si>
    <t>BLOCO DE CONCRETO ESTRUTURAL 19 X 19 X 39 CM, FBK 12 MPA (NBR 6136)</t>
  </si>
  <si>
    <t>BLOCO DE CONCRETO ESTRUTURAL 19 X 19 X 39 CM, FBK 14 MPA (NBR 6136)</t>
  </si>
  <si>
    <t>BLOCO DE CONCRETO ESTRUTURAL 19 X 19 X 39 CM, FBK 16 MPA (NBR 6136)</t>
  </si>
  <si>
    <t>BLOCO DE CONCRETO ESTRUTURAL 19 X 19 X 39 CM, FBK 4,5 MPA (NBR 6136)</t>
  </si>
  <si>
    <t>BLOCO DE CONCRETO ESTRUTURAL 19 X 19 X 39 CM, FBK 8 MPA (NBR 6136)</t>
  </si>
  <si>
    <t>BLOCO DE CONCRETO ESTRUTURAL 9 X 19 X 39 CM, FBK 4,5 MPA (NBR 6136)</t>
  </si>
  <si>
    <t>BLOCO DE ENGATE RAPIDO PARA BASTIDOR TIPO M10</t>
  </si>
  <si>
    <t>BLOCO DE ESPUMA MULTIUSO *23X 13 X 8* CM</t>
  </si>
  <si>
    <t>BLOCO DE GESSO COMPACTO / MACICO, BRANCO, E = 10 CM, DIMENSOES *67 X 50* CM</t>
  </si>
  <si>
    <t>BLOCO DE GESSO VAZADO, BRANCO, E = *7* CM, DIMENSOES *67 X 50* CM</t>
  </si>
  <si>
    <t>BLOCO DE POLIETILENO ALTA DENSIDADE, *27* X *30* X *100* CM, ACOMPANHADOS PLACAS TERMINAIS E LONGARINAS, PARA FUNDO DE FILTRO</t>
  </si>
  <si>
    <t>BLOCO DE VEDACAO CONCRETO 14 X 19 X 29 CM (CLASSE C - NBR 6136)</t>
  </si>
  <si>
    <t>BLOCO DE VEDACAO CONCRETO APARENTE 9 X 19 X 39 CM (CLASSE C - NBR 6136)</t>
  </si>
  <si>
    <t>BLOCO DE VEDACAO DE CONCRETO 14 X 19 X 39 CM (CLASSE C - NBR 6136)</t>
  </si>
  <si>
    <t>BLOCO DE VEDACAO DE CONCRETO 19 X 19 X 39 CM (CLASSE C - NBR 6136)</t>
  </si>
  <si>
    <t>BLOCO DE VEDACAO DE CONCRETO APARENTE 14 X 19 X 39 CM (CLASSE C - NBR 6136)</t>
  </si>
  <si>
    <t>BLOCO DE VEDACAO DE CONCRETO APARENTE 19 X 19 X 39 CM (CLASSE C - NBR 6136)</t>
  </si>
  <si>
    <t>BLOCO DE VEDACAO DE CONCRETO CELULAR AUTOCLAVADO 10 X 30 X 60 CM (E X A X C)</t>
  </si>
  <si>
    <t>BLOCO DE VEDACAO DE CONCRETO CELULAR AUTOCLAVADO 15 X 30 X 60 CM (E X A X C)</t>
  </si>
  <si>
    <t>BLOCO DE VEDACAO DE CONCRETO CELULAR AUTOCLAVADO 20 X 30 X 60 CM (E X A X C)</t>
  </si>
  <si>
    <t>BLOCO DE VEDACAO DE CONCRETO, 9 X 19 X 39 CM (CLASSE C - NBR 6136)</t>
  </si>
  <si>
    <t>BLOCO DE VIDRO / ELEMENTO VAZADO, INCOLOR, VENEZIANA, *20 X 20 X 6* CM (A X L X E)</t>
  </si>
  <si>
    <t>BLOCO DE VIDRO / ELEMENTO VAZADO, INCOLOR, VENEZIANA, DE *20 X 10 X 8* CM (A X L X E)</t>
  </si>
  <si>
    <t>BLOCO ESTRUTURAL CERAMICO DE 14 X 19 X 29 CM (L X A X C) E 6,0 MPA</t>
  </si>
  <si>
    <t>BLOCO ESTRUTURAL CERAMICO DE 14 X 19 X 34 CM (L X A X C) E 6,0 MPA</t>
  </si>
  <si>
    <t>BLOCO ESTRUTURAL CERAMICO DE 14 X 19 X 39 CM (L X A X C) E 6,0 MPA</t>
  </si>
  <si>
    <t>BLOCO ESTRUTURAL CERAMICO DE 19 X 19 X 29 CM (L X A X C) E 6,0 MPA</t>
  </si>
  <si>
    <t>BLOCO ESTRUTURAL CERAMICO DE 19 X 19 X 39 CM (L X A X C) E 6,0 MPA</t>
  </si>
  <si>
    <t>BLOQUETE/PISO DE CONCRETO - MODELO PISOGRAMA/CONCREGRAMA 2 FUROS, DIMENSOES APROX. DE *35 X 15* CM E ESPESSURA DE 7 CM (+/- 1 CM), COR NATURAL</t>
  </si>
  <si>
    <t>BLOQUETE/PISO DE CONCRETO - MODELO PISOGRAMA/CONCREGRAMA/PAVI-GRADE/GRAMEIRO, DIMENSOES APROXIMADAS DE *60 X 45* CM E ESPESSURA DE 8 CM (+/- 1 CM), COR NATURAL</t>
  </si>
  <si>
    <t>BLOQUETE/PISO INTERTRAVADO DE CONCRETO - MODELO ONDA/16 FACES/RETANGULAR/TIJOLINHO/PAVER/HOLANDES/PARALELEPIPEDO, *20 X 10* CM, E = 10 CM, RESISTENCIA DE 35 MPA, COR NATURAL</t>
  </si>
  <si>
    <t>BLOQUETE/PISO INTERTRAVADO DE CONCRETO - MODELO ONDA/16 FACES/RETANGULAR/TIJOLINHO/PAVER/HOLANDES/PARALELEPIPEDO, *20 X 10* CM, E = 10 CM, RESISTENCIA DE 50 MPA, COR NATURAL</t>
  </si>
  <si>
    <t>BLOQUETE/PISO INTERTRAVADO DE CONCRETO - MODELO ONDA/16 FACES/RETANGULAR/TIJOLINHO/PAVER/HOLANDES/PARALELEPIPEDO, *20 X 10* CM, E = 6 CM, RESISTENCIA DE 35 MPA, COLORIDO</t>
  </si>
  <si>
    <t>BLOQUETE/PISO INTERTRAVADO DE CONCRETO - MODELO ONDA/16 FACES/RETANGULAR/TIJOLINHO/PAVER/HOLANDES/PARALELEPIPEDO, *20 X 10* CM, E = 6 CM, RESISTENCIA DE 35 MPA, COR NATURAL</t>
  </si>
  <si>
    <t>BLOQUETE/PISO INTERTRAVADO DE CONCRETO - MODELO ONDA/16 FACES/RETANGULAR/TIJOLINHO/PAVER/HOLANDES/PARALELEPIPEDO, *20 X 10* CM, E = 8 CM, RESISTENCIA DE 35 MPA, COLORIDO</t>
  </si>
  <si>
    <t>BLOQUETE/PISO INTERTRAVADO DE CONCRETO - MODELO ONDA/16 FACES/RETANGULAR/TIJOLINHO/PAVER/HOLANDES/PARALELEPIPEDO, *20 X 10* CM, E = 8 CM, RESISTENCIA DE 35 MPA, COR NATURAL</t>
  </si>
  <si>
    <t>BLOQUETE/PISO INTERTRAVADO DE CONCRETO - MODELO RAQUETE, *22 X 13,5* CM, E = 6 CM, RESISTENCIA DE 35 MPA, COR NATURAL</t>
  </si>
  <si>
    <t>BLOQUETE/PISO INTERTRAVADO DE CONCRETO - MODELO SEXTAVADO / HEXAGONAL, *25 X 25* CM, E = 10 CM, RESISTENCIA DE 35 MPA, COR NATURAL</t>
  </si>
  <si>
    <t>BLOQUETE/PISO INTERTRAVADO DE CONCRETO - MODELO SEXTAVADO / HEXAGONAL, *25 X 25* CM, E = 6 CM, RESISTENCIA DE 35 MPA, COR NATURAL</t>
  </si>
  <si>
    <t>BLOQUETE/PISO INTERTRAVADO DE CONCRETO - MODELO SEXTAVADO / HEXAGONAL, *25 X 25* CM, E = 8 CM, RESISTENCIA DE 35 MPA, COR NATURAL</t>
  </si>
  <si>
    <t>BOCAL PVC, PARA CALHA PLUVIAL, DIAMETRO DA SAIDA ENTRE *75 E 120* MM, PARA DRENAGEM PLUVIAL PREDIAL</t>
  </si>
  <si>
    <t>BOLSA DE LIGACAO EM PVC FLEXIVEL PARA VASO SANITARIO 40 MM (1 1/2")</t>
  </si>
  <si>
    <t>BOLSA DE LONA PARA FERRAMENTAS *50 X 35 X 25* CM</t>
  </si>
  <si>
    <t>BOMBA CENTRIFUGA COM MOTOR ELETRICO MONOFASICO, POTENCIA 0,33 HP, BOCAIS 1" X 3/4", DIAMETRO DO ROTOR 99 MM, HM/Q = 4 MCA / 8,5 M3/H A 18 MCA / 0,90 M3/H</t>
  </si>
  <si>
    <t>BOMBA CENTRIFUGA MONOESTAGIO COM MOTOR ELETRICO MONOFASICO, POTENCIA 15 HP, DIAMETRO DO ROTOR *173* MM, HM/Q = *30* MCA / *90* M3/H A *45* MCA / *55* M3/H</t>
  </si>
  <si>
    <t>BOMBA CENTRIFUGA MOTOR ELETRICO MONOFASICO 0,49 HP BOCAIS 1" X 3/4", DIAMETRO DO ROTOR 110 MM, HM/Q: 6 M / 8,3 M3/H A 20 M / 1,2 M3/H</t>
  </si>
  <si>
    <t>BOMBA CENTRIFUGA MOTOR ELETRICO TRIFASICO 0,99HP DIAMETRO DE SUCCAO X ELEVACAO 1" X 1", DIAMETRO DO ROTOR 145 MM, HM/Q: 14 M / 8,4 M3/H A 40 M / 0,60 M3/H</t>
  </si>
  <si>
    <t>BOMBA CENTRIFUGA MOTOR ELETRICO TRIFASICO 1,48HP DIAMETRO DE SUCCAO X ELEVACAO 1" X 1", 4 ESTAGIOS, DIAMETRO DOS ROTORES 3 X 107 MM + 1 X 100 MM, HM/Q: 10 M / 5,3 M3/H A 70 M / 1,8 M3/H</t>
  </si>
  <si>
    <t>BOMBA CENTRIFUGA MOTOR ELETRICO TRIFASICO 2,96HP, DIAMETRO DE SUCCAO X ELEVACAO 1 1/2" X 1 1/4", DIAMETRO DO ROTOR 148 MM, HM/Q: 34 M / 14,80 M3/H A 40 M / 8,60 M3/H</t>
  </si>
  <si>
    <t>BOMBA CENTRIFUGA MOTOR ELETRICO TRIFASICO 9,86 DIAMETRO DE SUCCAO X ELEVACAO 1" X 1", 4 ESTAGIOS, DIAMETRO DOS ROTORES 4 X 146 MM, HM/Q: 85 M / 14,9 M3/H A 140 M / 4,2 M3/H</t>
  </si>
  <si>
    <t>BOMBA CENTRIFUGA, MOTOR ELETRICO TRIFASICO 1,48HP DIAMETRO DE SUCCAO X ELEVACAO 1 1/2" X 1", DIAMETRO DO ROTOR 117 MM, HM/Q: 10 M / 21,9 M3/H A 24 M / 6,1 M3/H</t>
  </si>
  <si>
    <t>BOMBA DE PROJECAO DE CONCRETO SECO, POTENCIA 10 CV, VAZAO 3 M3/H</t>
  </si>
  <si>
    <t>BOMBA DE PROJECAO DE CONCRETO SECO, POTENCIA 10 CV, VAZAO 6 M3/H</t>
  </si>
  <si>
    <t>BOMBA SUBMERSIVEL, ELETRICA, TRIFASICA, POTENCIA 0,99 HP, DIAMETRO ROTOR 98 MM SEMIABERTO, BOCAL DE SAIDA DIAMETRO 2 POLEGADAS, HM/Q = 2 M / 28,90 M3/H A 14 M / 7 M3/H</t>
  </si>
  <si>
    <t>BOMBA SUBMERSIVEL, ELETRICA, TRIFASICA, POTENCIA 2,96 HP, DIAMETRO DO ROTOR 144 MM SEMIABERTO, BOCAL DE SAIDA DIAMETRO DE DUAS POLEGADAS, HM/Q = 2 M / 38,8 M3/H A 28 M / 5 M3/H</t>
  </si>
  <si>
    <t>BOMBA SUBMERSIVEL, ELETRICA, TRIFASICA, POTENCIA 3,75 HP, DIAMETRO DO ROTOR 90 MM SEMIABERTO, BOCAL DE SAIDA DIAMETRO DE 2 POLEGADAS, HM/Q = 5 M / 61,2 M3/H A 25,5 M / 3,6 M3/H</t>
  </si>
  <si>
    <t>BOMBA TRIPLEX, PARA INJECAO DE CALDA DE CIMENTO, VAZAO MAXIMA DE *100* LITROS/MINUTO, PRESSAO MAXIMA DE *70* BAR, POTENCIA DE 15 CV</t>
  </si>
  <si>
    <t>BORBOLETA PARA JANELA TIPO GUILHOTINA, EM ZAMAC CROMADO</t>
  </si>
  <si>
    <t>BOTA DE PVC PRETA, CANO MEDIO, SEM FORRO</t>
  </si>
  <si>
    <t>BOTA DE SEGURANCA COM BIQUEIRA DE ACO E COLARINHO ACOLCHOADO</t>
  </si>
  <si>
    <t>BRACO / CANO PARA CHUVEIRO ELETRICO, EM ALUMINIO, 30 CM X 1/2"</t>
  </si>
  <si>
    <t>BRACO OU HASTE COM CANOPLA PLASTICA, 1/2", PARA CHUVEIRO SIMPLES</t>
  </si>
  <si>
    <t>BRACO OU HASTE RETA COM CANOPLA PLASTICA, 1/2", PARA CHUVEIRO ELETRICO</t>
  </si>
  <si>
    <t>BRACO P/ LUMINARIA PUBLICA 1 X 1,50M ROMAGNOLE OU EQUIV</t>
  </si>
  <si>
    <t>BROCHA RETANGULAR, *15 X 5* CM</t>
  </si>
  <si>
    <t>BUCHA DE NYLON SEM ABA S10</t>
  </si>
  <si>
    <t>BUCHA DE NYLON SEM ABA S10, COM PARAFUSO DE 6,10 X 65 MM EM ACO ZINCADO COM ROSCA SOBERBA, CABECA CHATA E FENDA PHILLIPS</t>
  </si>
  <si>
    <t>BUCHA DE NYLON SEM ABA S12, COM PARAFUSO DE 5/16" X 80 MM EM ACO ZINCADO COM ROSCA SOBERBA E CABECA SEXTAVADA</t>
  </si>
  <si>
    <t>BUCHA DE NYLON SEM ABA S4</t>
  </si>
  <si>
    <t>BUCHA DE NYLON SEM ABA S5</t>
  </si>
  <si>
    <t>BUCHA DE NYLON SEM ABA S6</t>
  </si>
  <si>
    <t>BUCHA DE NYLON SEM ABA S6, COM PARAFUSO DE 4,20 X 40 MM EM ACO ZINCADO COM ROSCA SOBERBA, CABECA CHATA E FENDA PHILLIPS</t>
  </si>
  <si>
    <t>BUCHA DE NYLON SEM ABA S8</t>
  </si>
  <si>
    <t>BUCHA DE NYLON SEM ABA S8, COM PARAFUSO DE 4,80 X 50 MM EM ACO ZINCADO COM ROSCA SOBERBA, CABECA CHATA E FENDA PHILLIPS</t>
  </si>
  <si>
    <t>BUCHA DE NYLON, DIAMETRO DO FURO 8 MM, COMPRIMENTO 40 MM, COM PARAFUSO DE ROSCA SOBERBA, CABECA CHATA, FENDA SIMPLES, 4,8 X 50 MM</t>
  </si>
  <si>
    <t>BUCHA DE REDUCAO CPVC, SOLDAVEL, 54 X 28 MM, PARA AGUA QUENTE</t>
  </si>
  <si>
    <t>BUCHA DE REDUCAO DE COBRE SEM ANEL DE SOLDA, PONTA X BOLSA, 22 X 15 MM</t>
  </si>
  <si>
    <t>BUCHA DE REDUCAO DE COBRE SEM ANEL DE SOLDA, PONTA X BOLSA, 28 X 22 MM</t>
  </si>
  <si>
    <t>BUCHA DE REDUCAO DE COBRE SEM ANEL DE SOLDA, PONTA X BOLSA, 35 X 28 MM</t>
  </si>
  <si>
    <t>BUCHA DE REDUCAO DE COBRE SEM ANEL DE SOLDA, PONTA X BOLSA, 42 X 35 MM</t>
  </si>
  <si>
    <t>BUCHA DE REDUCAO DE COBRE SEM ANEL DE SOLDA, PONTA X BOLSA, 54 X 42 MM</t>
  </si>
  <si>
    <t>BUCHA DE REDUCAO DE COBRE SEM ANEL DE SOLDA, PONTA X BOLSA, 66 X 54 MM</t>
  </si>
  <si>
    <t>BUCHA DE REDUCAO DE FERRO GALVANIZADO, COM ROSCA BSP, DE 1 1/2" X 1 1/4"</t>
  </si>
  <si>
    <t>BUCHA DE REDUCAO DE FERRO GALVANIZADO, COM ROSCA BSP, DE 1 1/2" X 1"</t>
  </si>
  <si>
    <t>BUCHA DE REDUCAO DE FERRO GALVANIZADO, COM ROSCA BSP, DE 1 1/2" X 1/2"</t>
  </si>
  <si>
    <t>BUCHA DE REDUCAO DE FERRO GALVANIZADO, COM ROSCA BSP, DE 1 1/2" X 3/4"</t>
  </si>
  <si>
    <t>BUCHA DE REDUCAO DE FERRO GALVANIZADO, COM ROSCA BSP, DE 1 1/4" X 1"</t>
  </si>
  <si>
    <t>BUCHA DE REDUCAO DE FERRO GALVANIZADO, COM ROSCA BSP, DE 1 1/4" X 1/2"</t>
  </si>
  <si>
    <t>BUCHA DE REDUCAO DE FERRO GALVANIZADO, COM ROSCA BSP, DE 1 1/4" X 3/4"</t>
  </si>
  <si>
    <t>BUCHA DE REDUCAO DE FERRO GALVANIZADO, COM ROSCA BSP, DE 1" X 1/2"</t>
  </si>
  <si>
    <t>BUCHA DE REDUCAO DE FERRO GALVANIZADO, COM ROSCA BSP, DE 1" X 3/4"</t>
  </si>
  <si>
    <t>BUCHA DE REDUCAO DE FERRO GALVANIZADO, COM ROSCA BSP, DE 1/2" X 1/4"</t>
  </si>
  <si>
    <t>BUCHA DE REDUCAO DE FERRO GALVANIZADO, COM ROSCA BSP, DE 1/2" X 3/8"</t>
  </si>
  <si>
    <t>BUCHA DE REDUCAO DE FERRO GALVANIZADO, COM ROSCA BSP, DE 2 1/2" X 1 1/2"</t>
  </si>
  <si>
    <t>BUCHA DE REDUCAO DE FERRO GALVANIZADO, COM ROSCA BSP, DE 2 1/2" X 1 1/4"</t>
  </si>
  <si>
    <t>BUCHA DE REDUCAO DE FERRO GALVANIZADO, COM ROSCA BSP, DE 2 1/2" X 1"</t>
  </si>
  <si>
    <t>BUCHA DE REDUCAO DE FERRO GALVANIZADO, COM ROSCA BSP, DE 2 1/2" X 2"</t>
  </si>
  <si>
    <t>BUCHA DE REDUCAO DE FERRO GALVANIZADO, COM ROSCA BSP, DE 2" X 1 1/2"</t>
  </si>
  <si>
    <t>BUCHA DE REDUCAO DE FERRO GALVANIZADO, COM ROSCA BSP, DE 2" X 1 1/4"</t>
  </si>
  <si>
    <t>BUCHA DE REDUCAO DE FERRO GALVANIZADO, COM ROSCA BSP, DE 2" X 1"</t>
  </si>
  <si>
    <t>BUCHA DE REDUCAO DE FERRO GALVANIZADO, COM ROSCA BSP, DE 3" X 1 1/2"</t>
  </si>
  <si>
    <t>BUCHA DE REDUCAO DE FERRO GALVANIZADO, COM ROSCA BSP, DE 3" X 1 1/4"</t>
  </si>
  <si>
    <t>BUCHA DE REDUCAO DE FERRO GALVANIZADO, COM ROSCA BSP, DE 3" X 2 1/2"</t>
  </si>
  <si>
    <t>BUCHA DE REDUCAO DE FERRO GALVANIZADO, COM ROSCA BSP, DE 3" X 2"</t>
  </si>
  <si>
    <t>BUCHA DE REDUCAO DE FERRO GALVANIZADO, COM ROSCA BSP, DE 3/4" X 1/2"</t>
  </si>
  <si>
    <t>BUCHA DE REDUCAO DE FERRO GALVANIZADO, COM ROSCA BSP, DE 4" X 2 1/2"</t>
  </si>
  <si>
    <t>BUCHA DE REDUCAO DE FERRO GALVANIZADO, COM ROSCA BSP, DE 4" X 2"</t>
  </si>
  <si>
    <t>BUCHA DE REDUCAO DE FERRO GALVANIZADO, COM ROSCA BSP, DE 4" X 3"</t>
  </si>
  <si>
    <t>BUCHA DE REDUCAO DE FERRO GALVANIZADO, COM ROSCA BSP, DE 5" X 4"</t>
  </si>
  <si>
    <t>BUCHA DE REDUCAO DE FERRO GALVANIZADO, COM ROSCA BSP, DE 6" X 4"</t>
  </si>
  <si>
    <t>BUCHA DE REDUCAO DE FERRO GALVANIZADO, COM ROSCA BSP, DE 6" X 5"</t>
  </si>
  <si>
    <t>BUCHA DE REDUCAO DE PVC, SOLDAVEL, CURTA, COM 25 X 20 MM, PARA AGUA FRIA PREDIAL</t>
  </si>
  <si>
    <t>BUCHA DE REDUCAO DE PVC, SOLDAVEL, CURTA, COM 32 X 25 MM, PARA AGUA FRIA PREDIAL</t>
  </si>
  <si>
    <t>BUCHA DE REDUCAO DE PVC, SOLDAVEL, CURTA, COM 40 X 32 MM, PARA AGUA FRIA PREDIAL</t>
  </si>
  <si>
    <t>BUCHA DE REDUCAO DE PVC, SOLDAVEL, CURTA, COM 50 X 40 MM, PARA AGUA FRIA PREDIAL</t>
  </si>
  <si>
    <t>BUCHA DE REDUCAO DE PVC, SOLDAVEL, CURTA, COM 60 X 50 MM, PARA AGUA FRIA PREDIAL</t>
  </si>
  <si>
    <t>BUCHA DE REDUCAO DE PVC, SOLDAVEL, LONGA, 50 X 40 MM, PARA ESGOTO PREDIAL</t>
  </si>
  <si>
    <t>BUCHA DE REDUCAO DE PVC, SOLDAVEL, LONGA, COM 32 X 20 MM, PARA AGUA FRIA PREDIAL</t>
  </si>
  <si>
    <t>BUCHA DE REDUCAO DE PVC, SOLDAVEL, LONGA, COM 40 X 25 MM, PARA AGUA FRIA PREDIAL</t>
  </si>
  <si>
    <t>BUCHA DE REDUCAO DE PVC, SOLDAVEL, LONGA, COM 50 X 25 MM, PARA AGUA FRIA PREDIAL</t>
  </si>
  <si>
    <t>BUCHA DE REDUCAO DE PVC, SOLDAVEL, LONGA, COM 50 X 32 MM, PARA AGUA FRIA PREDIAL</t>
  </si>
  <si>
    <t>BUCHA DE REDUCAO DE PVC, SOLDAVEL, LONGA, COM 60 X 25 MM, PARA AGUA FRIA PREDIAL</t>
  </si>
  <si>
    <t>BUCHA DE REDUCAO DE PVC, SOLDAVEL, LONGA, COM 60 X 32 MM, PARA AGUA FRIA PREDIAL</t>
  </si>
  <si>
    <t>BUCHA DE REDUCAO DE PVC, SOLDAVEL, LONGA, COM 60 X 50 MM, PARA AGUA FRIA PREDIAL</t>
  </si>
  <si>
    <t>BUCHA DE REDUCAO DE PVC, SOLDAVEL, LONGA, COM 75 X 50 MM, PARA AGUA FRIA PREDIAL</t>
  </si>
  <si>
    <t>BUCHA DE REDUCAO EM ALUMINIO, COM ROSCA, DE 1 1/2" X 1 1/4", PARA ELETRODUTO</t>
  </si>
  <si>
    <t>BUCHA DE REDUCAO EM ALUMINIO, COM ROSCA, DE 1 1/2" X 1", PARA ELETRODUTO</t>
  </si>
  <si>
    <t>BUCHA DE REDUCAO EM ALUMINIO, COM ROSCA, DE 1 1/2" X 3/4", PARA ELETRODUTO</t>
  </si>
  <si>
    <t>BUCHA DE REDUCAO EM ALUMINIO, COM ROSCA, DE 1 1/4" X 1", PARA ELETRODUTO</t>
  </si>
  <si>
    <t>BUCHA DE REDUCAO EM ALUMINIO, COM ROSCA, DE 1 1/4" X 1/2", PARA ELETRODUTO</t>
  </si>
  <si>
    <t>BUCHA DE REDUCAO EM ALUMINIO, COM ROSCA, DE 1 1/4" X 3/4", PARA ELETRODUTO</t>
  </si>
  <si>
    <t>BUCHA DE REDUCAO EM ALUMINIO, COM ROSCA, DE 1" X 1/2", PARA ELETRODUTO</t>
  </si>
  <si>
    <t>BUCHA DE REDUCAO EM ALUMINIO, COM ROSCA, DE 1" X 3/4", PARA ELETRODUTO</t>
  </si>
  <si>
    <t>BUCHA DE REDUCAO EM ALUMINIO, COM ROSCA, DE 2 1/2" X 1 1/2", PARA ELETRODUTO</t>
  </si>
  <si>
    <t>BUCHA DE REDUCAO EM ALUMINIO, COM ROSCA, DE 2 1/2" X 1 1/4", PARA ELETRODUTO</t>
  </si>
  <si>
    <t>BUCHA DE REDUCAO EM ALUMINIO, COM ROSCA, DE 2 1/2" X 1", PARA ELETRODUTO</t>
  </si>
  <si>
    <t>BUCHA DE REDUCAO EM ALUMINIO, COM ROSCA, DE 2 1/2" X 2", PARA ELETRODUTO</t>
  </si>
  <si>
    <t>BUCHA DE REDUCAO EM ALUMINIO, COM ROSCA, DE 2" X 1 1/2", PARA ELETRODUTO</t>
  </si>
  <si>
    <t>BUCHA DE REDUCAO EM ALUMINIO, COM ROSCA, DE 2" X 1 1/4", PARA ELETRODUTO</t>
  </si>
  <si>
    <t>BUCHA DE REDUCAO EM ALUMINIO, COM ROSCA, DE 2" X 1", PARA ELETRODUTO</t>
  </si>
  <si>
    <t>BUCHA DE REDUCAO EM ALUMINIO, COM ROSCA, DE 2" X 3/4", PARA ELETRODUTO</t>
  </si>
  <si>
    <t>BUCHA DE REDUCAO EM ALUMINIO, COM ROSCA, DE 3" X 1 1/2", PARA ELETRODUTO</t>
  </si>
  <si>
    <t>BUCHA DE REDUCAO EM ALUMINIO, COM ROSCA, DE 3" X 1 1/4", PARA ELETRODUTO</t>
  </si>
  <si>
    <t>BUCHA DE REDUCAO EM ALUMINIO, COM ROSCA, DE 3" X 2 1/2", PARA ELETRODUTO</t>
  </si>
  <si>
    <t>BUCHA DE REDUCAO EM ALUMINIO, COM ROSCA, DE 3" X 2", PARA ELETRODUTO</t>
  </si>
  <si>
    <t>BUCHA DE REDUCAO EM ALUMINIO, COM ROSCA, DE 3/4" X 1/2", PARA ELETRODUTO</t>
  </si>
  <si>
    <t>BUCHA DE REDUCAO EM ALUMINIO, COM ROSCA, DE 4" X 2 1/2", PARA ELETRODUTO</t>
  </si>
  <si>
    <t>BUCHA DE REDUCAO EM ALUMINIO, COM ROSCA, DE 4" X 2", PARA ELETRODUTO</t>
  </si>
  <si>
    <t>BUCHA DE REDUCAO EM ALUMINIO, COM ROSCA, DE 4" X 3", PARA ELETRODUTO</t>
  </si>
  <si>
    <t>BUCHA DE REDUCAO PVC ROSCAVEL 3/4" X 1/2"</t>
  </si>
  <si>
    <t>BUCHA DE REDUCAO PVC, ROSCAVEL 1 1/2" X 1"</t>
  </si>
  <si>
    <t>BUCHA DE REDUCAO PVC, ROSCAVEL, 1 1/2" X 3/4"</t>
  </si>
  <si>
    <t>BUCHA DE REDUCAO PVC, ROSCAVEL, 1" X 1/2"</t>
  </si>
  <si>
    <t>BUCHA DE REDUCAO PVC, ROSCAVEL, 1" X 3/4"</t>
  </si>
  <si>
    <t>BUCHA DE REDUCAO, CPVC, SOLDAVEL, 22 X 15 MM, PARA AGUA QUENTE</t>
  </si>
  <si>
    <t>BUCHA DE REDUCAO, CPVC, SOLDAVEL, 28 X 22 MM, PARA AGUA QUENTE</t>
  </si>
  <si>
    <t>BUCHA DE REDUCAO, CPVC, SOLDAVEL, 35 X 28 MM, PARA AGUA QUENTE</t>
  </si>
  <si>
    <t>BUCHA DE REDUCAO, CPVC, SOLDAVEL, 42 X 22 MM, PARA AGUA QUENTE</t>
  </si>
  <si>
    <t>BUCHA DE REDUCAO, CPVC, SOLDAVEL, 54 X 35 MM, PARA AGUA QUENTE</t>
  </si>
  <si>
    <t>BUCHA DE REDUCAO, PPR, DN 25 X 20 MM, PARA AGUA QUENTE PREDIAL</t>
  </si>
  <si>
    <t>BUCHA DE REDUCAO, PPR, DN 32 X 25 MM, PARA AGUA QUENTE E FRIA PREDIAL</t>
  </si>
  <si>
    <t>BUCHA DE REDUCAO, PPR, DN 40 X 25 MM, PARA AGUA QUENTE E FRIA PREDIAL</t>
  </si>
  <si>
    <t>BUCHA DE REDUCAO, PPR, DN 50 X 25 MM, PARA AGUA QUENTE E FRIA PREDIAL</t>
  </si>
  <si>
    <t>BUCHA DE REDUCAO, PPR, DN 50 X 32 MM, PARA AGUA QUENTE E FRIA PREDIAL</t>
  </si>
  <si>
    <t>BUCHA DE REDUCAO, PVC, LONGA, SERIE R, DN 50 X 40 MM, PARA ESGOTO PREDIAL</t>
  </si>
  <si>
    <t>BUCHA EM ALUMINIO, COM ROSCA, DE 1 1/2", PARA ELETRODUTO</t>
  </si>
  <si>
    <t>BUCHA EM ALUMINIO, COM ROSCA, DE 1 1/4", PARA ELETRODUTO</t>
  </si>
  <si>
    <t>BUCHA EM ALUMINIO, COM ROSCA, DE 1", PARA ELETRODUTO</t>
  </si>
  <si>
    <t>BUCHA EM ALUMINIO, COM ROSCA, DE 1/2", PARA ELETRODUTO</t>
  </si>
  <si>
    <t>BUCHA EM ALUMINIO, COM ROSCA, DE 2 1/2", PARA ELETRODUTO</t>
  </si>
  <si>
    <t>BUCHA EM ALUMINIO, COM ROSCA, DE 2", PARA ELETRODUTO</t>
  </si>
  <si>
    <t>BUCHA EM ALUMINIO, COM ROSCA, DE 3", PARA ELETRODUTO</t>
  </si>
  <si>
    <t>BUCHA EM ALUMINIO, COM ROSCA, DE 3/4", PARA ELETRODUTO</t>
  </si>
  <si>
    <t>BUCHA EM ALUMINIO, COM ROSCA, DE 3/8", PARA ELETRODUTO</t>
  </si>
  <si>
    <t>BUCHA EM ALUMINIO, COM ROSCA, DE 4", PARA ELETRODUTO</t>
  </si>
  <si>
    <t>CABECEIRA DIREITA OU ESQUERDA, PVC, PARA CALHA PLUVIAL, DIAMETRO ENTRE *119 E 170* MM, PARA DRENAGEM PLUVIAL PREDIAL</t>
  </si>
  <si>
    <t>CABECOTE PARA ENTRADA DE LINHA DE ALIMENTACAO PARA ELETRODUTO, EM LIGA DE ALUMINIO COM ACABAMENTO ANTI CORROSIVO, COM FIXACAO POR ENCAIXE LISO DE 360 GRAUS, DE 1 1/2"</t>
  </si>
  <si>
    <t>CABECOTE PARA ENTRADA DE LINHA DE ALIMENTACAO PARA ELETRODUTO, EM LIGA DE ALUMINIO COM ACABAMENTO ANTI CORROSIVO, COM FIXACAO POR ENCAIXE LISO DE 360 GRAUS, DE 1 1/4"</t>
  </si>
  <si>
    <t>CABECOTE PARA ENTRADA DE LINHA DE ALIMENTACAO PARA ELETRODUTO, EM LIGA DE ALUMINIO COM ACABAMENTO ANTI CORROSIVO, COM FIXACAO POR ENCAIXE LISO DE 360 GRAUS, DE 1"</t>
  </si>
  <si>
    <t>CABECOTE PARA ENTRADA DE LINHA DE ALIMENTACAO PARA ELETRODUTO, EM LIGA DE ALUMINIO COM ACABAMENTO ANTI CORROSIVO, COM FIXACAO POR ENCAIXE LISO DE 360 GRAUS, DE 1/2"</t>
  </si>
  <si>
    <t>CABECOTE PARA ENTRADA DE LINHA DE ALIMENTACAO PARA ELETRODUTO, EM LIGA DE ALUMINIO COM ACABAMENTO ANTI CORROSIVO, COM FIXACAO POR ENCAIXE LISO DE 360 GRAUS, DE 2 1/2"</t>
  </si>
  <si>
    <t>CABECOTE PARA ENTRADA DE LINHA DE ALIMENTACAO PARA ELETRODUTO, EM LIGA DE ALUMINIO COM ACABAMENTO ANTI CORROSIVO, COM FIXACAO POR ENCAIXE LISO DE 360 GRAUS, DE 2"</t>
  </si>
  <si>
    <t>CABECOTE PARA ENTRADA DE LINHA DE ALIMENTACAO PARA ELETRODUTO, EM LIGA DE ALUMINIO COM ACABAMENTO ANTI CORROSIVO, COM FIXACAO POR ENCAIXE LISO DE 360 GRAUS, DE 3 1/2"</t>
  </si>
  <si>
    <t>CABECOTE PARA ENTRADA DE LINHA DE ALIMENTACAO PARA ELETRODUTO, EM LIGA DE ALUMINIO COM ACABAMENTO ANTI CORROSIVO, COM FIXACAO POR ENCAIXE LISO DE 360 GRAUS, DE 3"</t>
  </si>
  <si>
    <t>CABECOTE PARA ENTRADA DE LINHA DE ALIMENTACAO PARA ELETRODUTO, EM LIGA DE ALUMINIO COM ACABAMENTO ANTI CORROSIVO, COM FIXACAO POR ENCAIXE LISO DE 360 GRAUS, DE 3/4"</t>
  </si>
  <si>
    <t>CABECOTE PARA ENTRADA DE LINHA DE ALIMENTACAO PARA ELETRODUTO, EM LIGA DE ALUMINIO COM ACABAMENTO ANTI CORROSIVO, COM FIXACAO POR ENCAIXE LISO DE 360 GRAUS, DE 4"</t>
  </si>
  <si>
    <t>CABIDE/GANCHO DE BANHEIRO SIMPLES EM METAL CROMADO</t>
  </si>
  <si>
    <t>CABO COAXIAL RG11 95% DE MALHA</t>
  </si>
  <si>
    <t>CABO COAXIAL RG59 95% DE MALHA</t>
  </si>
  <si>
    <t>CABO COAXIAL RG6 95% DE MALHA</t>
  </si>
  <si>
    <t>CABO DE ACO GALVANIZADO, DIAMETRO 12,7 MM (1/2"), COM ALMA DE ACO CABO INDEPENDENTE 6 X 25 F</t>
  </si>
  <si>
    <t>CABO DE ACO GALVANIZADO, DIAMETRO 12,7 MM (1/2"), COM ALMA DE FIBRA 6 X 25 F</t>
  </si>
  <si>
    <t>CABO DE ACO GALVANIZADO, DIAMETRO 9,53 MM (3/8"), COM ALMA DE FIBRA 6 X 25 F</t>
  </si>
  <si>
    <t>CABO DE ALUMINIO NU COM ALMA DE ACO, BITOLA 1/0 AWG</t>
  </si>
  <si>
    <t>CABO DE ALUMINIO NU COM ALMA DE ACO, BITOLA 2 AWG</t>
  </si>
  <si>
    <t>CABO DE ALUMINIO NU COM ALMA DE ACO, BITOLA 2/0 AWG</t>
  </si>
  <si>
    <t>CABO DE ALUMINIO NU COM ALMA DE ACO, BITOLA 4 AWG</t>
  </si>
  <si>
    <t>CABO DE ALUMINIO NU SEM ALMA DE ACO, BITOLA 1/0 AWG</t>
  </si>
  <si>
    <t>CABO DE ALUMINIO NU SEM ALMA DE ACO, BITOLA 2 AWG</t>
  </si>
  <si>
    <t>CABO DE ALUMINIO NU SEM ALMA DE ACO, BITOLA 2/0 AWG</t>
  </si>
  <si>
    <t>CABO DE ALUMINIO NU SEM ALMA DE ACO, BITOLA 4 AWG</t>
  </si>
  <si>
    <t>CABO DE COBRE FLEXIVEL NAO HALOGENADO, SEM EMISSAO DE FUMACA, 750V, SECAO NOMINAL 120 MM</t>
  </si>
  <si>
    <t>CABO DE COBRE FLEXIVEL NAO HALOGENADO, SEM EMISSAO DE FUMACA, 750V, SECAO NOMINAL 2,5 MM</t>
  </si>
  <si>
    <t>CABO DE COBRE FLEXIVEL NAO HALOGENADO, SEM EMISSAO DE FUMACA, 750V, SECAO NOMINAL 240 MM</t>
  </si>
  <si>
    <t>CABO DE COBRE FLEXIVEL NAO HALOGENADO, SEM EMISSAO DE FUMACA, 750V, SECAO NOMINAL 50 MM</t>
  </si>
  <si>
    <t>CABO DE COBRE FLEXIVEL NAO HALOGENADO, SEM EMISSAO DE FUMACA, 750V, SECAO NOMINAL 6,0 MM</t>
  </si>
  <si>
    <t>CABO DE COBRE NU 10 MM2 MEIO-DURO</t>
  </si>
  <si>
    <t>CABO DE COBRE NU 120 MM2 MEIO-DURO</t>
  </si>
  <si>
    <t>CABO DE COBRE NU 150 MM2 MEIO-DURO</t>
  </si>
  <si>
    <t>CABO DE COBRE NU 16 MM2 MEIO-DURO</t>
  </si>
  <si>
    <t>CABO DE COBRE NU 185 MM2 MEIO-DURO</t>
  </si>
  <si>
    <t>CABO DE COBRE NU 25 MM2 MEIO-DURO</t>
  </si>
  <si>
    <t>CABO DE COBRE NU 35 MM2 MEIO-DURO</t>
  </si>
  <si>
    <t>CABO DE COBRE NU 50 MM2 MEIO-DURO</t>
  </si>
  <si>
    <t>CABO DE COBRE NU 70 MM2 MEIO-DURO</t>
  </si>
  <si>
    <t>CABO DE COBRE NU 95 MM2 MEIO-DURO</t>
  </si>
  <si>
    <t>CABO DE COBRE, FLEXIVEL, CLASSE 4 OU 5, ISOLACAO EM PVC/A, ANTICHAMA BWF-B, 1 CONDUTOR, 450/750 V, SECAO NOMINAL 0,5 MM2</t>
  </si>
  <si>
    <t>CABO DE COBRE, FLEXIVEL, CLASSE 4 OU 5, ISOLACAO EM PVC/A, ANTICHAMA BWF-B, 1 CONDUTOR, 450/750 V, SECAO NOMINAL 0,75 MM2</t>
  </si>
  <si>
    <t>CABO DE COBRE, FLEXIVEL, CLASSE 4 OU 5, ISOLACAO EM PVC/A, ANTICHAMA BWF-B, 1 CONDUTOR, 450/750 V, SECAO NOMINAL 1,0 MM2</t>
  </si>
  <si>
    <t>CABO DE COBRE, FLEXIVEL, CLASSE 4 OU 5, ISOLACAO EM PVC/A, ANTICHAMA BWF-B, 1 CONDUTOR, 450/750 V, SECAO NOMINAL 1,5 MM2</t>
  </si>
  <si>
    <t>CABO DE COBRE, FLEXIVEL, CLASSE 4 OU 5, ISOLACAO EM PVC/A, ANTICHAMA BWF-B, 1 CONDUTOR, 450/750 V, SECAO NOMINAL 10 MM2</t>
  </si>
  <si>
    <t>CABO DE COBRE, FLEXIVEL, CLASSE 4 OU 5, ISOLACAO EM PVC/A, ANTICHAMA BWF-B, 1 CONDUTOR, 450/750 V, SECAO NOMINAL 120 MM2</t>
  </si>
  <si>
    <t>CABO DE COBRE, FLEXIVEL, CLASSE 4 OU 5, ISOLACAO EM PVC/A, ANTICHAMA BWF-B, 1 CONDUTOR, 450/750 V, SECAO NOMINAL 150 MM2</t>
  </si>
  <si>
    <t>CABO DE COBRE, FLEXIVEL, CLASSE 4 OU 5, ISOLACAO EM PVC/A, ANTICHAMA BWF-B, 1 CONDUTOR, 450/750 V, SECAO NOMINAL 16 MM2</t>
  </si>
  <si>
    <t>CABO DE COBRE, FLEXIVEL, CLASSE 4 OU 5, ISOLACAO EM PVC/A, ANTICHAMA BWF-B, 1 CONDUTOR, 450/750 V, SECAO NOMINAL 185 MM2</t>
  </si>
  <si>
    <t>CABO DE COBRE, FLEXIVEL, CLASSE 4 OU 5, ISOLACAO EM PVC/A, ANTICHAMA BWF-B, 1 CONDUTOR, 450/750 V, SECAO NOMINAL 2,5 MM2</t>
  </si>
  <si>
    <t>CABO DE COBRE, FLEXIVEL, CLASSE 4 OU 5, ISOLACAO EM PVC/A, ANTICHAMA BWF-B, 1 CONDUTOR, 450/750 V, SECAO NOMINAL 240 MM2</t>
  </si>
  <si>
    <t>CABO DE COBRE, FLEXIVEL, CLASSE 4 OU 5, ISOLACAO EM PVC/A, ANTICHAMA BWF-B, 1 CONDUTOR, 450/750 V, SECAO NOMINAL 25 MM2</t>
  </si>
  <si>
    <t>CABO DE COBRE, FLEXIVEL, CLASSE 4 OU 5, ISOLACAO EM PVC/A, ANTICHAMA BWF-B, 1 CONDUTOR, 450/750 V, SECAO NOMINAL 35 MM2</t>
  </si>
  <si>
    <t>CABO DE COBRE, FLEXIVEL, CLASSE 4 OU 5, ISOLACAO EM PVC/A, ANTICHAMA BWF-B, 1 CONDUTOR, 450/750 V, SECAO NOMINAL 4 MM2</t>
  </si>
  <si>
    <t>CABO DE COBRE, FLEXIVEL, CLASSE 4 OU 5, ISOLACAO EM PVC/A, ANTICHAMA BWF-B, 1 CONDUTOR, 450/750 V, SECAO NOMINAL 50 MM2</t>
  </si>
  <si>
    <t>CABO DE COBRE, FLEXIVEL, CLASSE 4 OU 5, ISOLACAO EM PVC/A, ANTICHAMA BWF-B, 1 CONDUTOR, 450/750 V, SECAO NOMINAL 6 MM2</t>
  </si>
  <si>
    <t>CABO DE COBRE, FLEXIVEL, CLASSE 4 OU 5, ISOLACAO EM PVC/A, ANTICHAMA BWF-B, 1 CONDUTOR, 450/750 V, SECAO NOMINAL 70 MM2</t>
  </si>
  <si>
    <t>CABO DE COBRE, FLEXIVEL, CLASSE 4 OU 5, ISOLACAO EM PVC/A, ANTICHAMA BWF-B, 1 CONDUTOR, 450/750 V, SECAO NOMINAL 95 MM2</t>
  </si>
  <si>
    <t>CABO DE COBRE, FLEXIVEL, CLASSE 4 OU 5, ISOLACAO EM PVC/A, ANTICHAMA BWF-B, COBERTURA PVC-ST1, ANTICHAMA BWF-B, 1 CONDUTOR, 0,6/1 KV, SECAO NOMINAL 1,5 MM2</t>
  </si>
  <si>
    <t>CABO DE COBRE, FLEXIVEL, CLASSE 4 OU 5, ISOLACAO EM PVC/A, ANTICHAMA BWF-B, COBERTURA PVC-ST1, ANTICHAMA BWF-B, 1 CONDUTOR, 0,6/1 KV, SECAO NOMINAL 10 MM2</t>
  </si>
  <si>
    <t>CABO DE COBRE, FLEXIVEL, CLASSE 4 OU 5, ISOLACAO EM PVC/A, ANTICHAMA BWF-B, COBERTURA PVC-ST1, ANTICHAMA BWF-B, 1 CONDUTOR, 0,6/1 KV, SECAO NOMINAL 120 MM2</t>
  </si>
  <si>
    <t>CABO DE COBRE, FLEXIVEL, CLASSE 4 OU 5, ISOLACAO EM PVC/A, ANTICHAMA BWF-B, COBERTURA PVC-ST1, ANTICHAMA BWF-B, 1 CONDUTOR, 0,6/1 KV, SECAO NOMINAL 150 MM2</t>
  </si>
  <si>
    <t>CABO DE COBRE, FLEXIVEL, CLASSE 4 OU 5, ISOLACAO EM PVC/A, ANTICHAMA BWF-B, COBERTURA PVC-ST1, ANTICHAMA BWF-B, 1 CONDUTOR, 0,6/1 KV, SECAO NOMINAL 16 MM2</t>
  </si>
  <si>
    <t>CABO DE COBRE, FLEXIVEL, CLASSE 4 OU 5, ISOLACAO EM PVC/A, ANTICHAMA BWF-B, COBERTURA PVC-ST1, ANTICHAMA BWF-B, 1 CONDUTOR, 0,6/1 KV, SECAO NOMINAL 185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</si>
  <si>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</si>
  <si>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240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</si>
  <si>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</si>
  <si>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300 MM2</t>
  </si>
  <si>
    <t>CABO DE COBRE, FLEXIVEL, CLASSE 4 OU 5, ISOLACAO EM PVC/A, ANTICHAMA BWF-B, COBERTURA PVC-ST1, ANTICHAMA BWF-B, 1 CONDUTOR, 0,6/1 KV, SECAO NOMINAL 35 MM2</t>
  </si>
  <si>
    <t>CABO DE COBRE, FLEXIVEL, CLASSE 4 OU 5, ISOLACAO EM PVC/A, ANTICHAMA BWF-B, COBERTURA PVC-ST1, ANTICHAMA BWF-B, 1 CONDUTOR, 0,6/1 KV, SECAO NOMINAL 4 MM2</t>
  </si>
  <si>
    <t>CABO DE COBRE, FLEXIVEL, CLASSE 4 OU 5, ISOLACAO EM PVC/A, ANTICHAMA BWF-B, COBERTURA PVC-ST1, ANTICHAMA BWF-B, 1 CONDUTOR, 0,6/1 KV, SECAO NOMINAL 400 MM2</t>
  </si>
  <si>
    <t>CABO DE COBRE, FLEXIVEL, CLASSE 4 OU 5, ISOLACAO EM PVC/A, ANTICHAMA BWF-B, COBERTURA PVC-ST1, ANTICHAMA BWF-B, 1 CONDUTOR, 0,6/1 KV, SECAO NOMINAL 50 MM2</t>
  </si>
  <si>
    <t>CABO DE COBRE, FLEXIVEL, CLASSE 4 OU 5, ISOLACAO EM PVC/A, ANTICHAMA BWF-B, COBERTURA PVC-ST1, ANTICHAMA BWF-B, 1 CONDUTOR, 0,6/1 KV, SECAO NOMINAL 500 MM2</t>
  </si>
  <si>
    <t>CABO DE COBRE, FLEXIVEL, CLASSE 4 OU 5, ISOLACAO EM PVC/A, ANTICHAMA BWF-B, COBERTURA PVC-ST1, ANTICHAMA BWF-B, 1 CONDUTOR, 0,6/1 KV, SECAO NOMINAL 6 MM2</t>
  </si>
  <si>
    <t>CABO DE COBRE, FLEXIVEL, CLASSE 4 OU 5, ISOLACAO EM PVC/A, ANTICHAMA BWF-B, COBERTURA PVC-ST1, ANTICHAMA BWF-B, 1 CONDUTOR, 0,6/1 KV, SECAO NOMINAL 70 MM2</t>
  </si>
  <si>
    <t>CABO DE COBRE, FLEXIVEL, CLASSE 4 OU 5, ISOLACAO EM PVC/A, ANTICHAMA BWF-B, COBERTURA PVC-ST1, ANTICHAMA BWF-B, 1 CONDUTOR, 0,6/1 KV, SECAO NOMINAL 95 MM2</t>
  </si>
  <si>
    <t>CABO DE COBRE, RIGIDO, CLASSE 2, ISOLACAO EM PVC, ANTI-CHAMA BWF-B, 1 CONDUTOR, 450/750 V, DIAMETRO 120 MM2</t>
  </si>
  <si>
    <t>CABO DE COBRE, RIGIDO, CLASSE 2, ISOLACAO EM PVC/A, ANTICHAMA BWF-B, 1 CONDUTOR, 450/750 V, SECAO NOMINAL 150 MM2</t>
  </si>
  <si>
    <t>CABO DE COBRE, RIGIDO, CLASSE 2, ISOLACAO EM PVC/A, ANTICHAMA BWF-B, 1 CONDUTOR, 450/750 V, SECAO NOMINAL 16 MM2</t>
  </si>
  <si>
    <t>CABO DE COBRE, RIGIDO, CLASSE 2, ISOLACAO EM PVC/A, ANTICHAMA BWF-B, 1 CONDUTOR, 450/750 V, SECAO NOMINAL 185 MM2</t>
  </si>
  <si>
    <t>CABO DE COBRE, RIGIDO, CLASSE 2, ISOLACAO EM PVC/A, ANTICHAMA BWF-B, 1 CONDUTOR, 450/750 V, SECAO NOMINAL 240 MM2</t>
  </si>
  <si>
    <t>CABO DE COBRE, RIGIDO, CLASSE 2, ISOLACAO EM PVC/A, ANTICHAMA BWF-B, 1 CONDUTOR, 450/750 V, SECAO NOMINAL 25 MM2</t>
  </si>
  <si>
    <t>CABO DE COBRE, RIGIDO, CLASSE 2, ISOLACAO EM PVC/A, ANTICHAMA BWF-B, 1 CONDUTOR, 450/750 V, SECAO NOMINAL 35 MM2</t>
  </si>
  <si>
    <t>CABO DE COBRE, RIGIDO, CLASSE 2, ISOLACAO EM PVC/A, ANTICHAMA BWF-B, 1 CONDUTOR, 450/750 V, SECAO NOMINAL 50 MM2</t>
  </si>
  <si>
    <t>CABO DE COBRE, RIGIDO, CLASSE 2, ISOLACAO EM PVC/A, ANTICHAMA BWF-B, 1 CONDUTOR, 450/750 V, SECAO NOMINAL 6 MM2</t>
  </si>
  <si>
    <t>CABO DE COBRE, RIGIDO, CLASSE 2, ISOLACAO EM PVC/A, ANTICHAMA BWF-B, 1 CONDUTOR, 450/750 V, SECAO NOMINAL 70 MM2</t>
  </si>
  <si>
    <t>CABO DE COBRE, RIGIDO, CLASSE 2, ISOLACAO EM PVC/A, ANTICHAMA BWF-B, 1 CONDUTOR, 450/750 V, SECAO NOMINAL 95 MM2</t>
  </si>
  <si>
    <t>CABO DE REDE, PAR TRANCADO U/UTP, 4 PARES, CATEGORIA 5E (CAT 5E), ISOLAMENTO PVC (CM)</t>
  </si>
  <si>
    <t>CABO DE REDE, PAR TRANCADO U/UTP, 4 PARES, CATEGORIA 5E (CAT 5E), ISOLAMENTO PVC (CMX)</t>
  </si>
  <si>
    <t>CABO DE REDE, PAR TRANCADO U/UTP, 4 PARES, CATEGORIA 6 (CAT 6), ISOLAMENTO PVC (CM)</t>
  </si>
  <si>
    <t>CABO ELETRONICO CATEGORIA 6A U/UTP 23AWG X 4P</t>
  </si>
  <si>
    <t>CABO FLEXIVEL PVC 750 V, 2 CONDUTORES DE 1,5 MM2</t>
  </si>
  <si>
    <t>CABO FLEXIVEL PVC 750 V, 2 CONDUTORES DE 4,0 MM2</t>
  </si>
  <si>
    <t>CABO FLEXIVEL PVC 750 V, 2 CONDUTORES DE 6,0 MM2</t>
  </si>
  <si>
    <t>CABO FLEXIVEL PVC 750 V, 3 CONDUTORES DE 1,5 MM2</t>
  </si>
  <si>
    <t>CABO FLEXIVEL PVC 750 V, 3 CONDUTORES DE 4,0 MM2</t>
  </si>
  <si>
    <t>CABO FLEXIVEL PVC 750 V, 3 CONDUTORES DE 6,0 MM2</t>
  </si>
  <si>
    <t>CABO FLEXIVEL PVC 750 V, 4 CONDUTORES DE 1,5 MM2</t>
  </si>
  <si>
    <t>CABO FLEXIVEL PVC 750 V, 4 CONDUTORES DE 4,0 MM2</t>
  </si>
  <si>
    <t>CABO FLEXIVEL PVC 750 V, 4 CONDUTORES DE 6,0 MM2</t>
  </si>
  <si>
    <t>CABO MULTIPOLAR DE COBRE, FLEXIVEL, CLASSE 4 OU 5, ISOLACAO EM HEPR, COBERTURA EM PVC-ST2, ANTICHAMA BWF-B, 0,6/1 KV, 3 CONDUTORES DE 1,5 MM2</t>
  </si>
  <si>
    <t>CABO MULTIPOLAR DE COBRE, FLEXIVEL, CLASSE 4 OU 5, ISOLACAO EM HEPR, COBERTURA EM PVC-ST2, ANTICHAMA BWF-B, 0,6/1 KV, 3 CONDUTORES DE 10 MM2</t>
  </si>
  <si>
    <t>CABO MULTIPOLAR DE COBRE, FLEXIVEL, CLASSE 4 OU 5, ISOLACAO EM HEPR, COBERTURA EM PVC-ST2, ANTICHAMA BWF-B, 0,6/1 KV, 3 CONDUTORES DE 120 MM2</t>
  </si>
  <si>
    <t>CABO MULTIPOLAR DE COBRE, FLEXIVEL, CLASSE 4 OU 5, ISOLACAO EM HEPR, COBERTURA EM PVC-ST2, ANTICHAMA BWF-B, 0,6/1 KV, 3 CONDUTORES DE 16 MM2</t>
  </si>
  <si>
    <t>CABO MULTIPOLAR DE COBRE, FLEXIVEL, CLASSE 4 OU 5, ISOLACAO EM HEPR, COBERTURA EM PVC-ST2, ANTICHAMA BWF-B, 0,6/1 KV, 3 CONDUTORES DE 2,5 MM2</t>
  </si>
  <si>
    <t>CABO MULTIPOLAR DE COBRE, FLEXIVEL, CLASSE 4 OU 5, ISOLACAO EM HEPR, COBERTURA EM PVC-ST2, ANTICHAMA BWF-B, 0,6/1 KV, 3 CONDUTORES DE 25 MM2</t>
  </si>
  <si>
    <t>CABO MULTIPOLAR DE COBRE, FLEXIVEL, CLASSE 4 OU 5, ISOLACAO EM HEPR, COBERTURA EM PVC-ST2, ANTICHAMA BWF-B, 0,6/1 KV, 3 CONDUTORES DE 35 MM2</t>
  </si>
  <si>
    <t>CABO MULTIPOLAR DE COBRE, FLEXIVEL, CLASSE 4 OU 5, ISOLACAO EM HEPR, COBERTURA EM PVC-ST2, ANTICHAMA BWF-B, 0,6/1 KV, 3 CONDUTORES DE 4 MM2</t>
  </si>
  <si>
    <t>CABO MULTIPOLAR DE COBRE, FLEXIVEL, CLASSE 4 OU 5, ISOLACAO EM HEPR, COBERTURA EM PVC-ST2, ANTICHAMA BWF-B, 0,6/1 KV, 3 CONDUTORES DE 50 MM2</t>
  </si>
  <si>
    <t>CABO MULTIPOLAR DE COBRE, FLEXIVEL, CLASSE 4 OU 5, ISOLACAO EM HEPR, COBERTURA EM PVC-ST2, ANTICHAMA BWF-B, 0,6/1 KV, 3 CONDUTORES DE 6 MM2</t>
  </si>
  <si>
    <t>CABO MULTIPOLAR DE COBRE, FLEXIVEL, CLASSE 4 OU 5, ISOLACAO EM HEPR, COBERTURA EM PVC-ST2, ANTICHAMA BWF-B, 0,6/1 KV, 3 CONDUTORES DE 70 MM2</t>
  </si>
  <si>
    <t>CABO MULTIPOLAR DE COBRE, FLEXIVEL, CLASSE 4 OU 5, ISOLACAO EM HEPR, COBERTURA EM PVC-ST2, ANTICHAMA BWF-B, 0,6/1 KV, 3 CONDUTORES DE 95 MM2</t>
  </si>
  <si>
    <t>CABO TELEFONICO CCI 50, 1 PAR, USO INTERNO, SEM BLINDAGEM</t>
  </si>
  <si>
    <t>CABO TELEFONICO CCI 50, 2 PARES, USO INTERNO, SEM BLINDAGEM</t>
  </si>
  <si>
    <t>CABO TELEFONICO CCI 50, 3 PARES, USO INTERNO, SEM BLINDAGEM</t>
  </si>
  <si>
    <t>CABO TELEFONICO CCI 50, 4 PARES, USO INTERNO, SEM BLINDAGEM</t>
  </si>
  <si>
    <t>CABO TELEFONICO CCI 50, 5 PARES, USO INTERNO, SEM BLINDAGEM</t>
  </si>
  <si>
    <t>CABO TELEFONICO CCI 50, 6 PARES, USO INTERNO, SEM BLINDAGEM</t>
  </si>
  <si>
    <t>CABO TELEFONICO CI 50, 10 PARES, USO INTERNO</t>
  </si>
  <si>
    <t>CABO TELEFONICO CI 50, 20 PARES, USO INTERNO</t>
  </si>
  <si>
    <t>CABO TELEFONICO CI 50, 200 PARES, USO INTERNO</t>
  </si>
  <si>
    <t>CABO TELEFONICO CI 50, 30 PARES, USO INTERNO</t>
  </si>
  <si>
    <t>CABO TELEFONICO CI 50, 50 PARES, USO INTERNO</t>
  </si>
  <si>
    <t>CABO TELEFONICO CI 50, 75 PARES, USO INTERNO</t>
  </si>
  <si>
    <t>CABO TELEFONICO CTP - APL - 50, 10 PARES, USO EXTERNO</t>
  </si>
  <si>
    <t>CABO TELEFONICO CTP - APL - 50, 100 PARES, USO EXTERNO</t>
  </si>
  <si>
    <t>CABO TELEFONICO CTP - APL - 50, 20 PARES, USO EXTERNO</t>
  </si>
  <si>
    <t>CABO TELEFONICO CTP - APL - 50, 30 PARES, USO EXTERNO</t>
  </si>
  <si>
    <t>CACAMBA METALICA BASCULANTE COM CAPACIDADE DE 10 M3 (INCLUI MONTAGEM, NAO INCLUI CAMINHAO)</t>
  </si>
  <si>
    <t>CACAMBA METALICA BASCULANTE COM CAPACIDADE DE 6 M3 (INCLUI MONTAGEM, NAO INCLUI CAMINHAO)</t>
  </si>
  <si>
    <t>CADEADO SIMPLES, CORPO EM LATAO MACICO, COM LARGURA DE 25 MM E ALTURA DE APROX 25 MM, HASTE CEMENTADA (NAO LONGA), EM ACO TEMPERADO COM DIAMETRO DE APROX 5,0 MM, INCLUINDO 2 CHAVES</t>
  </si>
  <si>
    <t>CADEADO SIMPLES, CORPO EM LATAO MACICO, COM LARGURA DE 35 MM E ALTURA DE APROX 30 MM, HASTE CEMENTADA (NAO LONGA), EM ACO TEMPERADO COM DIAMETRO DE APROX 6,0 MM, INCLUINDO 2 CHAVES</t>
  </si>
  <si>
    <t>CADEADO SIMPLES, CORPO EM LATAO MACICO, COM LARGURA DE 50 MM E ALTURA DE APROX 40 MM, HASTE CEMENTADA EM ACO TEMPERADO COM DIAMETRO DE APROX 8,0 MM, INCLUINDO 2 CHAVES</t>
  </si>
  <si>
    <t>CADEIRA SUSPENSA MANUAL / BALANCIM INDIVIDUAL (NBR 14751)</t>
  </si>
  <si>
    <t>CAIBRO 5 X 5 CM EM PINUS, MISTA OU EQUIVALENTE DA REGIAO - BRUTA</t>
  </si>
  <si>
    <t>CAIBRO APARELHADO *6 X 8* CM, EM MACARANDUBA/MASSARANDUBA, ANGELIM OU EQUIVALENTE DA REGIAO</t>
  </si>
  <si>
    <t>CAIBRO APARELHADO *7,5 X 7,5* CM, EM MACARANDUBA/MASSARANDUBA, ANGELIM OU EQUIVALENTE DA REGIAO</t>
  </si>
  <si>
    <t>CAIBRO NAO APARELHADO *5 X 6* CM, EM MACARANDUBA/MASSARANDUBA, ANGELIM OU EQUIVALENTE DA REGIAO - BRUTA</t>
  </si>
  <si>
    <t>CAIBRO NAO APARELHADO *6 X 6* CM, EM MACARANDUBA/MASSARANDUBA, ANGELIM OU EQUIVALENTE DA REGIAO - BRUTA</t>
  </si>
  <si>
    <t>CAIBRO NAO APARELHADO, *6 X 8* CM, EM MACARANDUBA/MASSARANDUBA, ANGELIM OU EQUIVALENTE DA REGIAO - BRUTA</t>
  </si>
  <si>
    <t>CAIBRO ROLICO DE MADEIRA TRATADA, D = 4 A 7 CM, H = 3,00 M, EM EUCALIPTO OU EQUIVALENTE DA REGIAO</t>
  </si>
  <si>
    <t>CAIXA D'AGUA / RESERVATORIO EM POLIESTER REFORCADO COM FIBRA DE VIDRO, 10000 LITROS, COM TAMPA</t>
  </si>
  <si>
    <t>CAIXA D'AGUA / RESERVATORIO EM POLIESTER REFORCADO COM FIBRA DE VIDRO, 1500 LITROS, COM TAMPA</t>
  </si>
  <si>
    <t>CAIXA D'AGUA / RESERVATORIO EM POLIESTER REFORCADO COM FIBRA DE VIDRO, 15000 LITROS, COM TAMPA</t>
  </si>
  <si>
    <t>CAIXA D'AGUA / RESERVATORIO EM POLIESTER REFORCADO COM FIBRA DE VIDRO, 2000 LITROS, COM TAMPA</t>
  </si>
  <si>
    <t>CAIXA D'AGUA / RESERVATORIO EM POLIESTER REFORCADO COM FIBRA DE VIDRO, 20000 LITROS, COM TAMPA</t>
  </si>
  <si>
    <t>CAIXA D'AGUA / RESERVATORIO EM POLIESTER REFORCADO COM FIBRA DE VIDRO, 3000 LITROS, COM TAMPA</t>
  </si>
  <si>
    <t>CAIXA D'AGUA / RESERVATORIO EM POLIESTER REFORCADO COM FIBRA DE VIDRO, 500 LITROS, COM TAMPA</t>
  </si>
  <si>
    <t>CAIXA D'AGUA / RESERVATORIO EM POLIESTER REFORCADO COM FIBRA DE VIDRO, 5000 LITROS, COM TAMPA</t>
  </si>
  <si>
    <t>CAIXA D'AGUA / RESERVATORIO EM POLIESTER REFORCADO COM FIBRA DE VIDRO, 7000 LITROS, COM TAMPA</t>
  </si>
  <si>
    <t>CAIXA D'AGUA / RESERVATORIO EM POLIESTER REFORCADO COM FIBRA DE VIDRO, 750 LITROS, COM TAMPA</t>
  </si>
  <si>
    <t>CAIXA D'AGUA / RESERVATORIO EM POLIESTER REFORCADO COM FIBRA DE VIDRO,1000 LITROS, COM TAMPA</t>
  </si>
  <si>
    <t>CAIXA D'AGUA / RESERVATORIO EM POLIETILENO, 1000 LITROS, COM TAMPA</t>
  </si>
  <si>
    <t>CAIXA D'AGUA / RESERVATORIO EM POLIETILENO, 1500 LITROS, COM TAMPA</t>
  </si>
  <si>
    <t>CAIXA D'AGUA / RESERVATORIO EM POLIETILENO, 2000 LITROS, COM TAMPA</t>
  </si>
  <si>
    <t>CAIXA D'AGUA / RESERVATORIO EM POLIETILENO, 3000 LITROS, COM TAMPA</t>
  </si>
  <si>
    <t>CAIXA D'AGUA / RESERVATORIO EM POLIETILENO, 500 LITROS, COM TAMPA</t>
  </si>
  <si>
    <t>CAIXA D'AGUA / RESERVATORIO EM POLIETILENO, 750 LITROS, COM TAMPA</t>
  </si>
  <si>
    <t>CAIXA DE ATERRAMENTO EM CONCRETO PRE-MOLDADO, DIAMETRO DE 0,30 M E ALTURA DE 0,35 M, SEM FUNDO E COM TAMPA</t>
  </si>
  <si>
    <t>CAIXA DE CONCRETO ARMADO PRE-MOLDADO, COM FUNDO E SEM TAMPA, DIMENSOES DE 0,30 X 0,30 X 0,30 M</t>
  </si>
  <si>
    <t>CAIXA DE CONCRETO ARMADO PRE-MOLDADO, COM FUNDO E SEM TAMPA, DIMENSOES DE 0,40 X 0,40 X 0,40 M</t>
  </si>
  <si>
    <t>CAIXA DE CONCRETO ARMADO PRE-MOLDADO, COM FUNDO E SEM TAMPA, DIMENSOES DE 0,60 X 0,60 X 0,50 M</t>
  </si>
  <si>
    <t>CAIXA DE CONCRETO ARMADO PRE-MOLDADO, COM FUNDO E SEM TAMPA, DIMENSOES DE 0,80 X 0,80 X 0,50 M</t>
  </si>
  <si>
    <t>CAIXA DE CONCRETO ARMADO PRE-MOLDADO, COM FUNDO E SEM TAMPA, DIMENSOES DE 1,00 X 1,00 X 0,50 M</t>
  </si>
  <si>
    <t>CAIXA DE CONCRETO ARMADO PRE-MOLDADO, COM FUNDO E TAMPA, DIMENSOES DE 0,30 X 0,30 X 0,30 M</t>
  </si>
  <si>
    <t>CAIXA DE CONCRETO ARMADO PRE-MOLDADO, COM FUNDO E TAMPA, DIMENSOES DE 0,40 X 0,40 X 0,40 M</t>
  </si>
  <si>
    <t>CAIXA DE CONCRETO ARMADO PRE-MOLDADO, COM FUNDO E TAMPA, DIMENSOES DE 0,60 X 0,60 X 0,50 M</t>
  </si>
  <si>
    <t>CAIXA DE CONCRETO ARMADO PRE-MOLDADO, SEM FUNDO, QUADRADA, DIMENSOES DE 0,30 X 0,30 X 0,30 M</t>
  </si>
  <si>
    <t>CAIXA DE CONCRETO ARMADO PRE-MOLDADO, SEM FUNDO, QUADRADA, DIMENSOES DE 0,40 X 0,40 X 0,40 M</t>
  </si>
  <si>
    <t>CAIXA DE CONCRETO ARMADO PRE-MOLDADO, SEM FUNDO, QUADRADA, DIMENSOES DE 0,60 X 0,60 X 0,50 M</t>
  </si>
  <si>
    <t>CAIXA DE CONCRETO ARMADO PRE-MOLDADO, SEM FUNDO, QUADRADA, DIMENSOES DE 0,80 X 0,80 X 0,50 M</t>
  </si>
  <si>
    <t>CAIXA DE CONCRETO ARMADO PRE-MOLDADO, SEM FUNDO, QUADRADA, DIMENSOES DE 1,00 X 1,00 X 0,50 M</t>
  </si>
  <si>
    <t>CAIXA DE DERIVACAO PARA MEDIDOR DE ENERGIA, COM BARRAMENTO MONOFASICO, EM POLICARBONATO / TERMOPLASTICO - MODULO (PADRAO CONCESSIONARIA LOCAL)</t>
  </si>
  <si>
    <t>CAIXA DE DERIVACAO PARA MEDIDOR DE ENERGIA, COM BARRAMENTO POLIFASICO, EM POLICARBONATO / TERMOPLASTICO - MODULO (PADRAO CONCESSIONARIA LOCAL)</t>
  </si>
  <si>
    <t>CAIXA DE DESCARGA PLASTICA PARA BACIA / VASO SANITARIO DE EMBUTIR, COM ESPELHO ACIONADOR EM PLASTICO, CAPACIDADE 6 A 10 LITROS, (COMPLETA - ACESSORIOS INCLUSOS)</t>
  </si>
  <si>
    <t>CAIXA DE DESCARGA PLASTICA PARA BACIA / VASO SANITARIO, EXTERNA, CAPACIDADE 9 LITROS, PUXADOR FIO DE NYLON, NAO INCLUSO CANO, BOLSA, ENGATE</t>
  </si>
  <si>
    <t>CAIXA DE GORDURA CILINDRICA EM CONCRETO SIMPLES, PRE-MOLDADA, COM DIAMETRO DE 40 CM E ALTURA DE 45 CM, COM TAMPA</t>
  </si>
  <si>
    <t>CAIXA DE GORDURA EM PVC, DIAMETRO MINIMO 300 MM, DIAMETRO DE SAIDA 100 MM, CAPACIDADE APROXIMADA 18 LITROS, COM TAMPA E CESTO</t>
  </si>
  <si>
    <t>CAIXA DE INCENDIO/ABRIGO PARA MANGUEIRA, DE EMBUTIR/INTERNA, COM 75 X 45 X 17 CM, EM CHAPA DE ACO, PORTA COM VENTILACAO, VISOR COM A INSCRICAO "INCENDIO", SUPORTE/CESTA INTERNA PARA A MANGUEIRA, PINTURA ELETROSTATICA VERMELHA</t>
  </si>
  <si>
    <t>CAIXA DE INCENDIO/ABRIGO PARA MANGUEIRA, DE EMBUTIR/INTERNA, COM 90 X 60 X 17 CM, EM CHAPA DE ACO, PORTA COM VENTILACAO, VISOR COM A INSCRICAO "INCENDIO", SUPORTE/CESTA INTERNA PARA A MANGUEIRA, PINTURA ELETROSTATICA VERMELHA</t>
  </si>
  <si>
    <t>CAIXA DE INCENDIO/ABRIGO PARA MANGUEIRA, DE SOBREPOR/EXTERNA, COM 75 X 45 X 17 CM, EM CHAPA DE ACO, PORTA COM VENTILACAO, VISOR COM A INSCRICAO "INCENDIO", SUPORTE/CESTA INTERNA PARA A MANGUEIRA, PINTURA ELETROSTATICA VERMELHA</t>
  </si>
  <si>
    <t>CAIXA DE INCENDIO/ABRIGO PARA MANGUEIRA, DE SOBREPOR/EXTERNA, COM 90 X 60 X 17 CM, EM CHAPA DE ACO, PORTA COM VENTILACAO, VISOR COM A INSCRICAO "INCENDIO", SUPORTE/CESTA INTERNA PARA A MANGUEIRA, PINTURA ELETROSTATICA VERMELHA</t>
  </si>
  <si>
    <t>CAIXA DE INSPECAO PARA ATERRAMENTO E PARA RAIOS, EM POLIPROPILENO, DIAMETRO = 300 MM X ALTURA = 400 MM (INCLUIDA TAMPA SEM ESCOTILHA)</t>
  </si>
  <si>
    <t>CAIXA DE INSPECAO PARA ATERRAMENTO OU OUTRO USO, EM PVC, DN = 250 X 250 MM (INCLUIDA TAMPA EM FERRO FUNDIDO SEM ESCOTILHA)</t>
  </si>
  <si>
    <t>CAIXA DE INSPECAO PARA ATERRAMENTO OU OUTRO USO, EM PVC, DN = 300 X *300* MM (INCLUIDA TAMPA EM FERRO FUNDIDO SEM ESCOTILHA)</t>
  </si>
  <si>
    <t>CAIXA DE INSPECAO PARA ATERRAMENTO OU OUTRO USO, EM PVC, DN = 300 X 250 MM (INCLUIDA TAMPA EM FERRO FUNDIDO SEM ESCOTILHA)</t>
  </si>
  <si>
    <t>CAIXA DE INSPECAO PARA ATERRAMENTO OU OUTRO USO, EM PVC, DN = 300 X 600 MM (INCLUIDA TAMPA EM FERRO FUNDIDO SEM ESCOTILHA)</t>
  </si>
  <si>
    <t>CAIXA DE LUZ "3 X 3" EM ACO ESMALTADA</t>
  </si>
  <si>
    <t>CAIXA DE LUZ "4 X 2" EM ACO ESMALTADA</t>
  </si>
  <si>
    <t>CAIXA DE LUZ "4 X 4" EM ACO ESMALTADA</t>
  </si>
  <si>
    <t>CAIXA DE PASSAGEM / DERIVACAO / LUZ, OCTOGONAL 4 X4, EM ACO ESMALTADA, COM FUNDO MOVEL SIMPLES (FMS)</t>
  </si>
  <si>
    <t>CAIXA DE PASSAGEM ELETRICA DE PAREDE, DE EMBUTIR, EM PVC, COM TAMPA APARAFUSADA, DIMENSOES 120 X 120 X *75* MM</t>
  </si>
  <si>
    <t>CAIXA DE PASSAGEM ELETRICA DE PAREDE, DE EMBUTIR, EM PVC, COM TAMPA APARAFUSADA, DIMENSOES 150 X 150 X *75* MM</t>
  </si>
  <si>
    <t>CAIXA DE PASSAGEM ELETRICA DE PAREDE, DE EMBUTIR, EM PVC, COM TAMPA APARAFUSADA, DIMENSOES 200 X 200 X *90* MM</t>
  </si>
  <si>
    <t>CAIXA DE PASSAGEM ELETRICA DE PAREDE, DE EMBUTIR, EM TERMOPLASTICO / PVC, COM TAMPA APARAFUSADA, DIMENSOES 400 X 400 X *120* MM</t>
  </si>
  <si>
    <t>CAIXA DE PASSAGEM ELETRICA DE PAREDE, DE SOBREPOR, EM PVC, COM TAMPA APARAFUSADA, DIMENSOES 300 X 300 X *100* MM</t>
  </si>
  <si>
    <t>CAIXA DE PASSAGEM ELETRICA DE PAREDE, DE SOBREPOR, EM PVC, COM TAMPA APARAFUSADA, DIMENSOES, 400 X 400 X *120* MM</t>
  </si>
  <si>
    <t>CAIXA DE PASSAGEM ELETRICA DE PAREDE, DE SOBREPOR, EM TERMOPLASTICO / PVC, COM TAMPA APARAFUSADA, DIMENSOES 200 X 200 X *100* MM</t>
  </si>
  <si>
    <t>CAIXA DE PASSAGEM ELETRICA DE PAREDE, DE SOBREPOR, EM TERMOPLASTICO / PVC, COM TAMPA APARAFUSADA, DIMENSOES, 150 X 150 X *100* MM</t>
  </si>
  <si>
    <t>CAIXA DE PASSAGEM ELETRICA, PARA PISO, EM PVC, DIMENSOES DE 3/4" A 4"</t>
  </si>
  <si>
    <t>CAIXA DE PASSAGEM METALICA DE SOBREPOR COM TAMPA PARAFUSADA, DIMENSOES 20 X 20 X 10 CM</t>
  </si>
  <si>
    <t>CAIXA DE PASSAGEM METALICA DE SOBREPOR COM TAMPA PARAFUSADA, DIMENSOES 30 X 30 X 10 CM</t>
  </si>
  <si>
    <t>CAIXA DE PASSAGEM METALICA DE SOBREPOR COM TAMPA PARAFUSADA, DIMENSOES 40 X 40 X 15 CM</t>
  </si>
  <si>
    <t>CAIXA DE PASSAGEM METALICA DE SOBREPOR COM TAMPA PARAFUSADA, DIMENSOES 50 X 50 X 15 CM</t>
  </si>
  <si>
    <t>CAIXA DE PASSAGEM METALICA DE SOBREPOR COM TAMPA PARAFUSADA, DIMENSOES 60 X 60 X 20 CM</t>
  </si>
  <si>
    <t>CAIXA DE PASSAGEM METALICA DE SOBREPOR COM TAMPA PARAFUSADA, DIMENSOES 70 X 70 X 20 CM</t>
  </si>
  <si>
    <t>CAIXA DE PASSAGEM METALICA DE SOBREPOR COM TAMPA PARAFUSADA, DIMENSOES 80 X 80 X 20 CM</t>
  </si>
  <si>
    <t>CAIXA DE PASSAGEM METALICA, DE SOBREPOR, COM TAMPA APARAFUSADA, DIMENSOES 15 X 15 X *10* CM</t>
  </si>
  <si>
    <t>CAIXA DE PASSAGEM METALICA, DE SOBREPOR, COM TAMPA APARAFUSADA, DIMENSOES 35 X 35 X *12* CM</t>
  </si>
  <si>
    <t>CAIXA DE PASSAGEM, EM PVC, DE 4" X 2", PARA ELETRODUTO FLEXIVEL CORRUGADO</t>
  </si>
  <si>
    <t>CAIXA DE PASSAGEM, EM PVC, DE 4" X 4", PARA ELETRODUTO FLEXIVEL CORRUGADO</t>
  </si>
  <si>
    <t>CAIXA DE PASSAGEM/ LUZ / TELEFONIA, DE EMBUTIR, EM CHAPA DE ACO GALVANIZADO, DIMENSOES 120 X 120 X *12* CM (PADRAO CONCESSIONARIA LOCAL)</t>
  </si>
  <si>
    <t>CAIXA DE PASSAGEM/ LUZ / TELEFONIA, DE EMBUTIR, EM CHAPA DE ACO GALVANIZADO, DIMENSOES 150 X 150 X 15 CM (PADRAO CONCESSIONARIA LOCAL)</t>
  </si>
  <si>
    <t>CAIXA DE PASSAGEM/ LUZ / TELEFONIA, DE EMBUTIR, EM CHAPA DE ACO GALVANIZADO, DIMENSOES 20 X 20 X *12* CM (PADRAO CONCESSIONARIA LOCAL)</t>
  </si>
  <si>
    <t>CAIXA DE PASSAGEM/ LUZ / TELEFONIA, DE EMBUTIR, EM CHAPA DE ACO GALVANIZADO, DIMENSOES 200 X 200 X 20 CM (PADRAO CONCESSIONARIA LOCAL)</t>
  </si>
  <si>
    <t>CAIXA DE PASSAGEM/ LUZ / TELEFONIA, DE EMBUTIR, EM CHAPA DE ACO GALVANIZADO, DIMENSOES 40 X 40 X *12* CM (PADRAO CONCESSIONARIA LOCAL)</t>
  </si>
  <si>
    <t>CAIXA DE PASSAGEM/ LUZ / TELEFONIA, DE EMBUTIR, EM CHAPA DE ACO GALVANIZADO, DIMENSOES 60 X 60 X *12* CM (PADRAO CONCESSIONARIA LOCAL)</t>
  </si>
  <si>
    <t>CAIXA DE PASSAGEM/ LUZ / TELEFONIA, DE EMBUTIR, EM CHAPA DE ACO GALVANIZADO, DIMENSOES 80 X 80 X *12* CM (PADRAO CONCESSIONARIA LOCAL)</t>
  </si>
  <si>
    <t>CAIXA DE PASSAGEM/ LUZ / TELEFONIA, DE SOBREPOR, EM CHAPA DE ACO GALVANIZADO, DIMENSOES 80 X 80 X *12* CM (PADRAO CONCESSIONARIA LOCAL)</t>
  </si>
  <si>
    <t>CAIXA DE PROTECAO EXTERNA PARA MEDIDOR HOROSAZONAL, DE BAIXA TENSAO, COM MODULO, EM CHAPA DE ACO (PADRAO DA CONCESSIONARIA LOCAL)</t>
  </si>
  <si>
    <t>CAIXA DE PROTECAO PARA TRANSFORMADOR CORRENTE, EM CHAPA DE ACO 18 USG (PADRAO DA CONCESSIONARIA LOCAL)</t>
  </si>
  <si>
    <t>CAIXA INTERNA/EXTERNA DE MEDICAO PARA 1 MEDIDOR TRIFASICO, COM VISOR, EM CHAPA DE ACO 18 USG (PADRAO DA CONCESSIONARIA LOCAL)</t>
  </si>
  <si>
    <t>CAIXA INTERNA/EXTERNA DE MEDICAO PARA 4 MEDIDORES MONOFASICOS, COM VISOR, EM CHAPA DE ACO 18 USG (PADRAO DA CONCESSIONARIA LOCAL)</t>
  </si>
  <si>
    <t>CAIXA MODULAR PARA MEDIDOR DE ENERGIA AGRUPADA, EM POLICARBONATO / TERMOPLASTICO, COM SUPORTE PARA DISJUNTOR (PADRAO DA CONCESSIONARIA LOCAL)</t>
  </si>
  <si>
    <t>CAIXA OCTOGONAL DE FUNDO MOVEL, EM PVC, DE 3" X 3", PARA ELETRODUTO FLEXIVEL CORRUGADO</t>
  </si>
  <si>
    <t>CAIXA OCTOGONAL DE FUNDO MOVEL, EM PVC, DE 4" X 4", PARA ELETRODUTO FLEXIVEL CORRUGADO</t>
  </si>
  <si>
    <t>CAIXA PARA HIDROMETRO CONCRETO PRE MOLDADO, *0,24 M X 0,45 M X 0,30* M (L X C X A)</t>
  </si>
  <si>
    <t>CAIXA PARA MEDICAO COLETIVA TIPO L, PADRAO BIFASICO OU TRIFASICO, PARA ATE 4 MEDIDORES, SEM BARRAMENTO E COM PORTAS INFERIOR E SUPERIOR</t>
  </si>
  <si>
    <t>CAIXA PARA MEDICAO COLETIVA TIPO M, PADRAO BIFASICO OU TRIFASICO, PARA ATE 8 MEDIDORES, SEM BARRAMENTO E COM PORTAS INFERIOR E SUPERIOR</t>
  </si>
  <si>
    <t>CAIXA PARA MEDICAO COLETIVA TIPO N, PADRAO BIFASICO OU TRIFASICO, PARA ATE 12 MEDIDORES, SEM BARRAMENTO E COM PORTAS INFERIOR E SUPERIOR</t>
  </si>
  <si>
    <t>CAIXA PARA MEDIDOR MONOFASICO, EM POLICARBONATO / TERMOPLASTICO, PARA ALOJAR 1 DISJUNTOR (PADRAO DA CONCESSIONARIA LOCAL)</t>
  </si>
  <si>
    <t>CAIXA PARA MEDIDOR POLIFASICO, EM POLICARBONATO / TERMOPLASTICO, PARA ALOJAR 1 DISJUNTOR (PADRAO DA CONCESSIONARIA LOCAL)</t>
  </si>
  <si>
    <t>CAIXA PRE-MOLDADA PARA BOCA DE LOBO, EM CONCRETO ARMADO, COM FCK DE 25 MPA, COM DIMENSOES 1,10 X 0,65 X 1,00 M (COMPRIMENTO X LARGURA X ALTURA)</t>
  </si>
  <si>
    <t>CAIXA SIFONADA PVC, 100 X 100 X 50 MM, COM GRELHA REDONDA, BRANCA</t>
  </si>
  <si>
    <t>CAIXA SIFONADA PVC, 250 X 230 X 75 MM, COM TAMPA CEGA QUADRADA, BRANCA</t>
  </si>
  <si>
    <t>CAIXA SIFONADA, PVC, 150 X *185* X 75 MM, COM GRELHA QUADRADA, BRANCA</t>
  </si>
  <si>
    <t>CAIXA SIFONADA, PVC, 150 X 150 X 50 MM, COM GRELHA QUADRADA, BRANCA (NBR 5688)</t>
  </si>
  <si>
    <t>CAIXA SIFONADA, PVC, 150 X 150 X 50 MM, COM GRELHA REDONDA, BRANCA</t>
  </si>
  <si>
    <t>CAL HIDRATADA CH-I PARA ARGAMASSAS</t>
  </si>
  <si>
    <t>CAL HIDRATADA PARA PINTURA</t>
  </si>
  <si>
    <t>CAL VIRGEM COMUM PARA ARGAMASSAS (NBR 6453)</t>
  </si>
  <si>
    <t>CALCARIO DOLOMITICO A (POSTO PEDREIRA/FORNECEDOR, SEM FRETE)</t>
  </si>
  <si>
    <t>CALCETEIRO / RASTELEIRO (HORISTA)</t>
  </si>
  <si>
    <t>CALCETEIRO / RASTELEIRO (MENSALISTA)</t>
  </si>
  <si>
    <t>CALHA / PERFIL PLUVIAL DE PVC, DIAMETRO ENTRE *119 E 170* MM, COMPRIMENTO DE 3 M, PARA DRENAGEM PLUVIAL PREDIAL</t>
  </si>
  <si>
    <t>CALHA MOLDURA AMERICANA DE CHAPA DE ACO GALVANIZADA NUM 26, CORTE 33 CM</t>
  </si>
  <si>
    <t>CALHA PARA AGUA FURTADA DE CHAPA DE ACO GALVANIZADA NUM 26, CORTE 40 CM</t>
  </si>
  <si>
    <t>CALHA PARA AGUA FURTADA DE CHAPA DE ACO GALVANIZADA NUM 26, CORTE 50 CM</t>
  </si>
  <si>
    <t>CALHA PLATIBANDA DE CHAPA DE ACO GALVANIZADA NUM 26, CORTE 45 CM</t>
  </si>
  <si>
    <t>CALHA QUADRADA DE CHAPA DE ACO GALVANIZADA NUM 24, CORTE 100 CM</t>
  </si>
  <si>
    <t>CALHA QUADRADA DE CHAPA DE ACO GALVANIZADA NUM 24, CORTE 33 CM</t>
  </si>
  <si>
    <t>CALHA QUADRADA DE CHAPA DE ACO GALVANIZADA NUM 24, CORTE 50 CM</t>
  </si>
  <si>
    <t>CALHA QUADRADA DE CHAPA DE ACO GALVANIZADA NUM 26, CORTE 33 CM</t>
  </si>
  <si>
    <t>CALHA QUADRADA DE CHAPA DE ACO GALVANIZADA NUM 28, CORTE 25 CM</t>
  </si>
  <si>
    <t>CALHA/CANALETA DE CONCRETO SIMPLES, TIPO MEIA CANA, DIAMETRO DE 20 CM, PARA AGUA PLUVIAL</t>
  </si>
  <si>
    <t>CALHA/CANALETA DE CONCRETO SIMPLES, TIPO MEIA CANA, DIAMETRO DE 30 CM, PARA AGUA PLUVIAL</t>
  </si>
  <si>
    <t>CALHA/CANALETA DE CONCRETO SIMPLES, TIPO MEIA CANA, DIAMETRO DE 40 CM, PARA AGUA PLUVIAL</t>
  </si>
  <si>
    <t>CALHA/CANALETA DE CONCRETO SIMPLES, TIPO MEIA CANA, DIAMETRO DE 50 CM, PARA AGUA PLUVIAL</t>
  </si>
  <si>
    <t>CALHA/CANALETA DE CONCRETO SIMPLES, TIPO MEIA CANA, DIAMETRO DE 60 CM, PARA AGUA PLUVIAL</t>
  </si>
  <si>
    <t>CALHA/CANALETA DE CONCRETO SIMPLES, TIPO MEIA CANA, DIAMETRO DE 80 CM, PARA AGUA PLUVIAL</t>
  </si>
  <si>
    <t>CAMADA SEPARADORA DE FILME DE POLIETILENO 20 A 25 MICRA</t>
  </si>
  <si>
    <t>CAMINHAO TOCO, PESO BRUTO TOTAL 10700 KG, CARGA UTIL MAXIMA 7400 KG, DISTANCIA ENTRE EIXOS 4,00 M, POTENCIA 175 CV (INCLUI CABINE E CHASSI, NAO INCLUI CARROCERIA)</t>
  </si>
  <si>
    <t>CAMINHAO TOCO, PESO BRUTO TOTAL 13200 KG, CARGA UTIL MAXIMA 9200 KG, DISTANCIA ENTRE EIXOS 3,31 M, POTENCIA 175 CV (INCLUI CABINE E CHASSI, NAO INCLUI CARROCERIA)</t>
  </si>
  <si>
    <t>CAMINHAO TOCO, PESO BRUTO TOTAL 14300 KG, CARGA UTIL MAXIMA 9480 KG, DISTANCIA ENTRE EIXOS 4,80 M, POTENCIA 185 CV (INCLUI CABINE E CHASSI, NAO INCLUI CARROCERIA)</t>
  </si>
  <si>
    <t>CAMINHAO TOCO, PESO BRUTO TOTAL 16000 KG, CARGA UTIL MAXIMA 10830 KG, DISTANCIA ENTRE EIXOS 3,56 M, POTENCIA 226 CV (INCLUI CABINE E CHASSI, NAO INCLUI CARROCERIA)</t>
  </si>
  <si>
    <t>CAMINHAO TOCO, PESO BRUTO TOTAL 16000 KG, CARGA UTIL MAXIMA 11030 KG, DISTANCIA ENTRE EIXOS 5,41 M, POTENCIA 185 CV (INCLUI CABINE E CHASSI, NAO INCLUI CARROCERIA)</t>
  </si>
  <si>
    <t>CAMINHAO TRUCADO, PESO BRUTO TOTAL 23000 KG, CARGA UTIL MAXIMA 15285 KG, DISTANCIA ENTRE EIXOS 4,80 M, POTENCIA 326 CV (INCLUI CABINE E CHASSI, NAO INCLUI CARROCERIA)</t>
  </si>
  <si>
    <t>CAMINHAO TRUCADO, PESO BRUTO TOTAL 23000 KG, CARGA UTIL MAXIMA 15460 KG, DISTANCIA ENTRE EIXOS 4,80 M, POTENCIA 286 CV (INCLUI CABINE E CHASSI, NAO INCLUI CARROCERIA)</t>
  </si>
  <si>
    <t>CAMINHAO TRUCADO, PESO BRUTO TOTAL 23000 KG, CARGA UTIL MAXIMA 16540 KG, DISTANCIA ENTRE EIXOS 4,80 M, POTENCIA 256 CV (INCLUI CABINE E CHASSI, NAO INCLUI CARROCERIA)</t>
  </si>
  <si>
    <t>CAMINHONETE COM MOTOR A DIESEL, POTENCIA *160* CV, CABINE DUPLA, 4X4</t>
  </si>
  <si>
    <t>CAMPAINHA ALTA POTENCIA 110V / 220V, DIAMETRO 150 MM</t>
  </si>
  <si>
    <t>CAMPAINHA CIGARRA 127 V / 220 V (APENAS MODULO)</t>
  </si>
  <si>
    <t>CAMPAINHA CIGARRA 127 V / 220 V, CONJUNTO MONTADO PARA EMBUTIR 4" X 2" (PLACA + SUPORTE + MODULO)</t>
  </si>
  <si>
    <t>CANALETA DE CONCRETO 14 X 19 X 19 CM (CLASSE C - NBR 6136)</t>
  </si>
  <si>
    <t>CANALETA DE CONCRETO 19 X 19 X 19 CM (CLASSE C - NBR 6136)</t>
  </si>
  <si>
    <t>CANALETA DE CONCRETO 9 X 19 X 19 CM (CLASSE C - NBR 6136)</t>
  </si>
  <si>
    <t>CANALETA DE CONCRETO ESTRUTURAL 14 X 19 X 29 CM, FBK 14 MPA (NBR 6136)</t>
  </si>
  <si>
    <t>CANALETA DE CONCRETO ESTRUTURAL 14 X 19 X 29 CM, FBK 4,5 MPA (NBR 6136)</t>
  </si>
  <si>
    <t>CANALETA DE CONCRETO ESTRUTURAL 14 X 19 X 39 CM, FBK 14 MPA (NBR 6136)</t>
  </si>
  <si>
    <t>CANALETA DE CONCRETO ESTRUTURAL 14 X 19 X 39 CM, FBK 4,5 MPA (NBR 6136)</t>
  </si>
  <si>
    <t>CANALETA ESTRUTURAL CERAMICA DE 14 X 19 X 19 CM (L X A X C) E 6,0 MPA</t>
  </si>
  <si>
    <t>CANALETA ESTRUTURAL CERAMICA DE 14 X 19 X 29 CM (L X A X C) E 6,0 MPA</t>
  </si>
  <si>
    <t>CANALETA ESTRUTURAL CERAMICA DE 14 X 19 X 39 CM (L X A X C) E 6,0 MPA</t>
  </si>
  <si>
    <t>CANOPLA ACABAMENTO CROMADO PARA INSTALACAO DE SPRINKLER, SOB FORRO, 15 MM</t>
  </si>
  <si>
    <t>CANTONEIRA (ABAS IGUAIS) EM ACO CARBONO, 25,4 MM X 3,17 MM (L X E), 1,27KG/M</t>
  </si>
  <si>
    <t>CANTONEIRA (ABAS IGUAIS) EM ACO CARBONO, 38,1 MM X 3,17 MM (L X E), 3,48 KG/M</t>
  </si>
  <si>
    <t>CANTONEIRA (ABAS IGUAIS) EM ACO CARBONO, 50,8 MM X 9,53 MM (L X E), 6,99 KG/M</t>
  </si>
  <si>
    <t>CANTONEIRA ACO ABAS IGUAIS (QUALQUER BITOLA), ESPESSURA ENTRE 1/8" E 1/4"</t>
  </si>
  <si>
    <t>CANTONEIRA EM ALUMINIO, ABAS IGUAIS, LARGURA DE 25,40 MM (1"), ESPESSURA DE 3,17 MM (1/8") E PESO LINEAR DE APROXIMADAMENTE 0,408 KG/M</t>
  </si>
  <si>
    <t>CANTONEIRA EM ALUMINIO, ABAS IGUAIS, LARGURA DE 25,40 MM (1"), ESPESSURA DE 4,76 MM (3/16") E PESO LINEAR DE APROXIMADAMENTE 0,593 KG/M</t>
  </si>
  <si>
    <t>CANTONEIRA EM ALUMINIO, ABAS IGUAIS, LARGURA DE 31,75 MM (1 1/4"), ESPESSURA DE 4,76 MM (3/16") E PESO LINEAR DE APROXIMADAMENTE 0,755 KG/M</t>
  </si>
  <si>
    <t>CANTONEIRA EM ALUMINIO, ABAS IGUAIS, LARGURA DE 38,10 MM (1 1/2"), ESPESSURA DE 4,76 MM (3/16") E PESO LINEAR DE APROXIMADAMENTE 0,915 KG/M</t>
  </si>
  <si>
    <t>CANTONEIRA EM ALUMINIO, ABAS IGUAIS, LARGURA DE 50,80 MM (2"), ESPESSURA DE 3,17 MM (1/8") E PESO LINEAR DE APROXIMADAMENTE 0,842 KG/M</t>
  </si>
  <si>
    <t>CANTONEIRA EM ALUMINIO, ABAS IGUAIS, LARGURA DE 50,80 MM (2"), ESPESSURA DE 6,35 MM (1/4") E PESO LINEAR DE APROXIMADAMENTE 1,630 KG/M</t>
  </si>
  <si>
    <t>CAP OU TAMPAO DE FERRO GALVANIZADO, COM ROSCA BSP, DE 1 1/2"</t>
  </si>
  <si>
    <t>CAP OU TAMPAO DE FERRO GALVANIZADO, COM ROSCA BSP, DE 1 1/4"</t>
  </si>
  <si>
    <t>CAP OU TAMPAO DE FERRO GALVANIZADO, COM ROSCA BSP, DE 1"</t>
  </si>
  <si>
    <t>CAP OU TAMPAO DE FERRO GALVANIZADO, COM ROSCA BSP, DE 1/2"</t>
  </si>
  <si>
    <t>CAP OU TAMPAO DE FERRO GALVANIZADO, COM ROSCA BSP, DE 1/4"</t>
  </si>
  <si>
    <t>CAP OU TAMPAO DE FERRO GALVANIZADO, COM ROSCA BSP, DE 2 1/2"</t>
  </si>
  <si>
    <t>CAP OU TAMPAO DE FERRO GALVANIZADO, COM ROSCA BSP, DE 2"</t>
  </si>
  <si>
    <t>CAP OU TAMPAO DE FERRO GALVANIZADO, COM ROSCA BSP, DE 3"</t>
  </si>
  <si>
    <t>CAP OU TAMPAO DE FERRO GALVANIZADO, COM ROSCA BSP, DE 3/4"</t>
  </si>
  <si>
    <t>CAP OU TAMPAO DE FERRO GALVANIZADO, COM ROSCA BSP, DE 3/8"</t>
  </si>
  <si>
    <t>CAP OU TAMPAO DE FERRO GALVANIZADO, COM ROSCA BSP, DE 4"</t>
  </si>
  <si>
    <t>CAP PPR DN 20 MM, PARA AGUA QUENTE PREDIAL</t>
  </si>
  <si>
    <t>CAP PPR DN 25 MM, PARA AGUA QUENTE PREDIAL</t>
  </si>
  <si>
    <t>CAP PVC, ROSCAVEL, 1", PARA AGUA FRIA PREDIAL</t>
  </si>
  <si>
    <t>CAP PVC, ROSCAVEL, 1/2", PARA AGUA FRIA PREDIAL</t>
  </si>
  <si>
    <t>CAP PVC, ROSCAVEL, 3/4", PARA AGUA FRIA PREDIAL</t>
  </si>
  <si>
    <t>CAP PVC, SERIE R, DN 100 MM, PARA ESGOTO PREDIAL</t>
  </si>
  <si>
    <t>CAP PVC, SERIE R, DN 150 MM, PARA ESGOTO PREDIAL</t>
  </si>
  <si>
    <t>CAP PVC, SERIE R, DN 75 MM, PARA ESGOTO PREDIAL</t>
  </si>
  <si>
    <t>CAP PVC, SOLDAVEL, 20 MM, PARA AGUA FRIA PREDIAL</t>
  </si>
  <si>
    <t>CAP PVC, SOLDAVEL, 25 MM, PARA AGUA FRIA PREDIAL</t>
  </si>
  <si>
    <t>CAP PVC, SOLDAVEL, 32 MM, PARA AGUA FRIA PREDIAL</t>
  </si>
  <si>
    <t>CAP PVC, SOLDAVEL, 40 MM, PARA AGUA FRIA PREDIAL</t>
  </si>
  <si>
    <t>CAP PVC, SOLDAVEL, 50 MM, PARA AGUA FRIA PREDIAL</t>
  </si>
  <si>
    <t>CAP PVC, SOLDAVEL, 60 MM, PARA AGUA FRIA PREDIAL</t>
  </si>
  <si>
    <t>CAP PVC, SOLDAVEL, 75 MM, PARA AGUA FRIA PREDIAL</t>
  </si>
  <si>
    <t>CAP PVC, SOLDAVEL, DN 100 MM, SERIE NORMAL, PARA ESGOTO PREDIAL</t>
  </si>
  <si>
    <t>CAP PVC, SOLDAVEL, DN 50 MM, SERIE NORMAL, PARA ESGOTO PREDIAL</t>
  </si>
  <si>
    <t>CAP PVC, SOLDAVEL, DN 75 MM, SERIE NORMAL, PARA ESGOTO PREDIAL</t>
  </si>
  <si>
    <t>CAP, PVC PBA, JE, DN 100 / DE 110 MM, PARA REDE DE AGUA (NBR 10351)</t>
  </si>
  <si>
    <t>CAP, PVC PBA, JE, DN 50 / DE 60 MM, PARA REDE DE AGUA (NBR 10351)</t>
  </si>
  <si>
    <t>CAP, PVC PBA, JE, DN 75 / DE 85 MM, PARA REDE DE AGUA (NBR 10351)</t>
  </si>
  <si>
    <t>CAP, PVC, JE, OCRE, DN 150 MM (CONEXAO PARA TUBO COLETOR DE ESGOTO)</t>
  </si>
  <si>
    <t>CAP, PVC, JE, OCRE, DN 200 MM (CONEXAO PARA TUBO COLETOR DE ESGOTO)</t>
  </si>
  <si>
    <t>CAPA PARA CHUVA EM PVC COM FORRO DE POLIESTER, COM CAPUZ (AMARELA OU AZUL)</t>
  </si>
  <si>
    <t>CAPACETE DE SEGURANCA ABA FRONTAL COM SUSPENSAO DE POLIETILENO, SEM JUGULAR (CLASSE B)</t>
  </si>
  <si>
    <t>CAPACITOR TRIFASICO, POTENCIA 2,5 KVAR, TENSAO 220 V, FORNECIDO COM CAPA PROTETORA, RESISTOR INTERNO A UNIDADE CAPACITIVA</t>
  </si>
  <si>
    <t>CAPACITOR TRIFASICO, POTENCIA 5 KVAR, TENSAO 220 V, FORNECIDO COM CAPA PROTETORA, RESISTOR INTERNO A UNIDADE CAPACITIVA</t>
  </si>
  <si>
    <t>CAPIM BRAQUIARIA DECUMBENS/ BRAQUIARINHA, VC *70*% MINIMO</t>
  </si>
  <si>
    <t>CAPTOR FRANKLIN (4 PONTAS), EM LATAO CROMADO, H = 300 MM, DUAS DESCIDAS</t>
  </si>
  <si>
    <t>CAPTOR FRANKLIN (4 PONTAS), EM LATAO CROMADO, H = 300 MM, UMA DESCIDA</t>
  </si>
  <si>
    <t>CAPTOR FRANKLIN (4 PONTAS), EM LATAO CROMADO, H = 350 MM, DUAS DESCIDAS</t>
  </si>
  <si>
    <t>CAPTOR FRANKLIN (4 PONTAS), EM LATAO CROMADO, H=350 MM, UMA DESCIDA</t>
  </si>
  <si>
    <t>CARENAGEM /TAMPA, EM PLASTICO, COR BRANCA, UTILIZADO EM KIT CHASSI METALICO PARA INSTAL. HIDRAULICA DE CUBA SIMPLES SEM MAQUINA DE LAVAR ROUPA, *355* X *670* MM (L X H) (COM FUROS E DEMAIS ENCAIXES)</t>
  </si>
  <si>
    <t>CARENAGEM /TAMPA, EM PLASTICO, COR BRANCA, UTILIZADO EM KIT CHASSI METALICO PARA INSTAL. HIDRAULICA DE TANQUE COM MAQUINA DE LAVAR ROUPA, *360* X *470* MM (L X H) (COM FUROS E DEMAIS ENCAIXES)</t>
  </si>
  <si>
    <t>CARPETE DE NYLON EM MANTA PARA TRAFEGO COMERCIAL PESADO, E = 6 A 7 MM (INSTALADO)</t>
  </si>
  <si>
    <t>CARPETE DE NYLON EM MANTA PARA TRAFEGO COMERCIAL PESADO, E = 9 A 10 MM (INSTALADO)</t>
  </si>
  <si>
    <t>CARPETE DE NYLON EM PLACAS 50 X 50 CM PARA TRAFEGO COMERCIAL PESADO, E = 6,5 MM (INSTALADO)</t>
  </si>
  <si>
    <t>CARPETE DE POLIESTER EM MANTA PARA TRAFEGO COMERCIAL PESADO, E = 4 A 5 MM (INSTALADO)</t>
  </si>
  <si>
    <t>CARPETE DE POLIPROPILENO EM MANTA PARA TRAFEGO COMERCIAL MEDIO, E = 5 A 6 MM (INSTALADO)</t>
  </si>
  <si>
    <t>CARPINTEIRO AUXILIAR (HORISTA)</t>
  </si>
  <si>
    <t>CARPINTEIRO AUXILIAR (MENSALISTA)</t>
  </si>
  <si>
    <t>CARPINTEIRO DE ESQUADRIAS (HORISTA)</t>
  </si>
  <si>
    <t>CARPINTEIRO DE ESQUADRIAS (MENSALISTA)</t>
  </si>
  <si>
    <t>CARPINTEIRO DE FORMAS OU OFICIAL (MENSALISTA)</t>
  </si>
  <si>
    <t>CARPINTEIRO DE FORMAS PARA CONCRETO (HORISTA)</t>
  </si>
  <si>
    <t>CARRANCA PARA JANELA VENEZIANA DE ABRIR, EM LATAO CROMADO, SIMPLES, PARA APARAFUSAR NA PAREDE</t>
  </si>
  <si>
    <t>CARRINHO DE MAO, EM ACO, COM CAPACIDADE DE *45 A 65* L / *100* KG, PNEU COM CAMARA</t>
  </si>
  <si>
    <t>CARRINHO PLATAFORMA EM MADEIRA COM ESTRUTURA EM ACO, 1500 X 800 MM, COM CAPACIDADE DE 600 KG, 4 RODAS/PNEUS/CAMARAS</t>
  </si>
  <si>
    <t>CARROCERIA FIXA ABERTA DE MADEIRA PARA TRANSPORTE GERAL DE CARGA SECA DIMENSOES APROXIMADAS 2,25 X 4,10 X 0,50 M (INCLUI MONTAGEM, NAO INCLUI CAMINHAO)</t>
  </si>
  <si>
    <t>CARROCERIA FIXA ABERTA DE MADEIRA PARA TRANSPORTE GERAL DE CARGA SECA DIMENSOES APROXIMADAS 2,5 X 6,5 X 0,50 M (INCLUI MONTAGEM, NAO INCLUI CAMINHAO)</t>
  </si>
  <si>
    <t>CARROCERIA FIXA ABERTA DE MADEIRA PARA TRANSPORTE GERAL DE CARGA SECA DIMENSOES APROXIMADAS 2,5 X 7,00 X 0,50 M (INCLUI MONTAGEM, NAO INCLUI CAMINHAO)</t>
  </si>
  <si>
    <t>CARROCERIA FIXA ABERTA DE MADEIRA PARA TRANSPORTE GERAL DE CARGA SECA DIMENSOES APROXIMADAS 2,5 X 7,5 X 0,50 M (INCLUI MONTAGEM, NAO INCLUI CAMINHAO)</t>
  </si>
  <si>
    <t>CAVALETE DE FERRO DOBRAVEL, ALTURA 80 CM</t>
  </si>
  <si>
    <t>CAVALO MECANICO TRACAO 4X2, PESO BRUTO TOTAL 16000 KG, CAPACIDADE MAXIMA DE TRACAO *36000* KG, DISTANCIA ENTRE EIXOS *3,56* M, POTENCIA *286* CV (INCLUI CABINE E CHASSI, NAO INCLUI SEMIRREBOQUE)</t>
  </si>
  <si>
    <t>CAVALO MECANICO TRACAO 4X2, PESO BRUTO TOTAL 16000 KG, CAPACIDADE MAXIMA DE TRACAO *45000* KG, DISTANCIA ENTRE EIXOS *3,56* M, POTENCIA *330* CV (INCLUI CABINE E CHASSI, NAO INCLUI SEMIRREBOQUE)</t>
  </si>
  <si>
    <t>CAVALO MECANICO TRACAO 4X2, PESO BRUTO TOTAL 16000 KG, CAPACIDADE MAXIMA DE TRACAO *80000* KG, POTENCIA *380* CV (INCLUI CABINE E CHASSI, NAO INCLUI SEMIRREBOQUE)</t>
  </si>
  <si>
    <t>CAVALO MECANICO TRACAO 6X2, PESO BRUTO TOTAL COMBINADO 56000 KG, CAPACIDADE MAXIMA DE TRACAO *66000* KG, POTENCIA *360* CV (INCLUI CABINE E CHASSI, NAO INCLUI SEMIRREBOQUE)</t>
  </si>
  <si>
    <t>CAVOUQUEIRO OU OPERADOR DE PERFURATRIZ / ROMPEDOR (HORISTA)</t>
  </si>
  <si>
    <t>CAVOUQUEIRO OU OPERADOR DE PERFURATRIZ / ROMPEDOR (MENSALISTA)</t>
  </si>
  <si>
    <t>CENTRO DE MEDICAO AGRUPADA, EM POLICARBONATO / PVC, COM 12 MEDIDORES E PROTECAO GERAL (INCLUI BARRAMENTO, DISJUNTORES E ACESSORIOS DE FIXACAO) (PADRAO CONCESSIONARIA LOCAL)</t>
  </si>
  <si>
    <t>CENTRO DE MEDICAO AGRUPADA, EM POLICARBONATO / PVC, COM 16 MEDIDORES E PROTECAO GERAL (INCLUI BARRAMENTO, DISJUNTORES E ACESSORIOS DE FIXACAO) (PADRAO CONCESSIONARIA LOCAL)</t>
  </si>
  <si>
    <t>CENTRO DE MEDICAO AGRUPADA, EM POLICARBONATO / PVC, COM 4 MEDIDORES E PROTECAO GERAL (INCLUI BARRAMENTO, DISJUNTORES E ACESSORIOS DE FIXACAO) (PADRAO CONCESSIONARIA LOCAL)</t>
  </si>
  <si>
    <t>CENTRO DE MEDICAO AGRUPADA, EM POLICARBONATO / PVC, COM 8 MEDIDORES E PROTECAO GERAL (INCLUI BARRAMENTO, DISJUNTORES E ACESSORIOS DE FIXACAO) (PADRAO CONCESSIONARIA LOCAL)</t>
  </si>
  <si>
    <t>CERA LIQUIDA INCOLOR MULTIPISO</t>
  </si>
  <si>
    <t>CHAPA ACO INOX AISI 304 NUMERO 4 (E = 6 MM), ACABAMENTO NUMERO 1 (LAMINADO A QUENTE, FOSCO)</t>
  </si>
  <si>
    <t>CHAPA ACO INOX AISI 304 NUMERO 9 (E = 4 MM), ACABAMENTO NUMERO 1 (LAMINADO A QUENTE, FOSCO)</t>
  </si>
  <si>
    <t>CHAPA DE ACO CARBONO GALVANIZADA, PERFURADA (GRADE FUROS) E = 1,5 MM, DIAMETRO DO FURO = 9,52 MM (FUROS ALTERNADOS HORIZ.)</t>
  </si>
  <si>
    <t>CHAPA DE ACO CARBONO LAMINADO A QUENTE, QUALIDADE ESTRUTURAL, BITOLA 3/16", E =4,75 MM (37,29 KG/M2)</t>
  </si>
  <si>
    <t>CHAPA DE ACO FINA A FRIO BITOLA MSG 20, E = 0,90 MM (7,20 KG/M2)</t>
  </si>
  <si>
    <t>CHAPA DE ACO FINA A FRIO BITOLA MSG 24, E = 0,60 MM (4,80 KG/M2)</t>
  </si>
  <si>
    <t>CHAPA DE ACO FINA A FRIO BITOLA MSG 26, E = 0,45 MM (3,60 KG/M2)</t>
  </si>
  <si>
    <t>CHAPA DE ACO FINA A QUENTE BITOLA MSG 13, E = 2,25 MM (18,00 KG/M2)</t>
  </si>
  <si>
    <t>CHAPA DE ACO FINA A QUENTE BITOLA MSG 14, E = 2,00 MM (16,0 KG/M2)</t>
  </si>
  <si>
    <t>CHAPA DE ACO FINA A QUENTE BITOLA MSG 16, E = 1,50 MM (12,00 KG/M2)</t>
  </si>
  <si>
    <t>CHAPA DE ACO FINA A QUENTE BITOLA MSG 18, E = 1,20 MM (9,60 KG/M2)</t>
  </si>
  <si>
    <t>CHAPA DE ACO FINA A QUENTE BITOLA MSG 3/16", E = 4,75 MM (38,00 KG/M2)</t>
  </si>
  <si>
    <t>CHAPA DE ACO GALVANIZADA BITOLA GSG 14, E = 1,95 MM (15,60 KG/M2)</t>
  </si>
  <si>
    <t>CHAPA DE ACO GALVANIZADA BITOLA GSG 16, E = 1,55 MM (12,40 KG/M2)</t>
  </si>
  <si>
    <t>CHAPA DE ACO GALVANIZADA BITOLA GSG 18, E = 1,25 MM (10,00 KG/M2)</t>
  </si>
  <si>
    <t>CHAPA DE ACO GALVANIZADA BITOLA GSG 19, E = 1,11 MM (8,88 KG/M2)</t>
  </si>
  <si>
    <t>CHAPA DE ACO GALVANIZADA BITOLA GSG 20, E = 0,95 MM (7,60 KG/M2)</t>
  </si>
  <si>
    <t>CHAPA DE ACO GALVANIZADA BITOLA GSG 22, E = 0,80 MM (6,40 KG/M2)</t>
  </si>
  <si>
    <t>CHAPA DE ACO GALVANIZADA BITOLA GSG 24, E = 0,64 (5,12 KG/M2)</t>
  </si>
  <si>
    <t>CHAPA DE ACO GALVANIZADA BITOLA GSG 26, E = 0,50 MM (4,00 KG/M2)</t>
  </si>
  <si>
    <t>CHAPA DE ACO GALVANIZADA BITOLA GSG 30, E = 0,35 MM (2,80 KG/M2)</t>
  </si>
  <si>
    <t>CHAPA DE ACO GROSSA, ASTM A36, E = 1" (25,40 MM) 199,18 KG/M2</t>
  </si>
  <si>
    <t>CHAPA DE ACO GROSSA, ASTM A36, E = 1/2" (12,70 MM) 99,59 KG/M2</t>
  </si>
  <si>
    <t>CHAPA DE ACO GROSSA, ASTM A36, E = 1/4" (6,35 MM) 49,79 KG/M2</t>
  </si>
  <si>
    <t>CHAPA DE ACO GROSSA, ASTM A36, E = 3/4" (19,05 MM) 149,39 KG/M2</t>
  </si>
  <si>
    <t>CHAPA DE ACO GROSSA, ASTM A36, E = 3/8" (9,53 MM) 74,69 KG/M2</t>
  </si>
  <si>
    <t>CHAPA DE ACO GROSSA, ASTM A36, E = 5/8" (15,88 MM) 124,49 KG/M2</t>
  </si>
  <si>
    <t>CHAPA DE ACO GROSSA, ASTM A36, E = 7/8" (22,23 MM) 174,28 KG/M2</t>
  </si>
  <si>
    <t>CHAPA DE ACO GROSSA, SAE 1020, BITOLA 1/4", E = 6,35 MM (49,85 KG/M2)</t>
  </si>
  <si>
    <t>CHAPA DE ACO XADREZ PARA PISOS, E = 1/4" (6,30 MM) 54,53 KG/M2</t>
  </si>
  <si>
    <t>CHAPA DE MDF BRANCO LISO 1 FACE, E = 12 MM, DE *2,75 X 1,85* M</t>
  </si>
  <si>
    <t>CHAPA DE MDF BRANCO LISO 1 FACE, E = 15 MM, DE *2,75 X 1,85* M</t>
  </si>
  <si>
    <t>CHAPA DE MDF BRANCO LISO 1 FACE, E = 18 MM, DE *2,75 X 1,85* M</t>
  </si>
  <si>
    <t>CHAPA DE MDF BRANCO LISO 1 FACE, E = 25 MM, DE *2,75 X 1,85* M</t>
  </si>
  <si>
    <t>CHAPA DE MDF BRANCO LISO 1 FACE, E = 6 MM, DE *2,75 X 1,85* M</t>
  </si>
  <si>
    <t>CHAPA DE MDF BRANCO LISO 1 FACE, E = 9 MM, DE *2,75 X 1,85* M</t>
  </si>
  <si>
    <t>CHAPA DE MDF BRANCO LISO 2 FACES, E = 12 MM, DE *2,75 X 1,85* M</t>
  </si>
  <si>
    <t>CHAPA DE MDF BRANCO LISO 2 FACES, E = 15 MM, DE *2,75 X 1,85* M</t>
  </si>
  <si>
    <t>CHAPA DE MDF BRANCO LISO 2 FACES, E = 18 MM, DE *2,75 X 1,85* M</t>
  </si>
  <si>
    <t>CHAPA DE MDF BRANCO LISO 2 FACES, E = 25 MM, DE *2,75 X 1,85* M</t>
  </si>
  <si>
    <t>CHAPA DE MDF BRANCO LISO 2 FACES, E = 6 MM, DE *2,75 X 1,85* M</t>
  </si>
  <si>
    <t>CHAPA DE MDF BRANCO LISO 2 FACES, E = 9 MM, DE *2,75 X 1,85* M</t>
  </si>
  <si>
    <t>CHAPA DE MDF CRU, E = 12 MM, DE *2,75 X 1,85* M</t>
  </si>
  <si>
    <t>CHAPA DE MDF CRU, E = 15 MM, DE *2,75 X 1,85* M</t>
  </si>
  <si>
    <t>CHAPA DE MDF CRU, E = 18 MM, DE *2,75 X 1,85* M</t>
  </si>
  <si>
    <t>CHAPA DE MDF CRU, E = 20 MM, DE *2,75 X 1,85* M</t>
  </si>
  <si>
    <t>CHAPA DE MDF CRU, E = 25 MM, DE *2,75 X 1,85* M</t>
  </si>
  <si>
    <t>CHAPA DE MDF CRU, E = 6 MM, DE *2,75 X 1,85* M</t>
  </si>
  <si>
    <t>CHAPA DE MDF CRU, E = 9 MM, DE *2,75 X 1,85* M</t>
  </si>
  <si>
    <t>CHAPA EM ACO GALVANIZADO PARA STEEL DECK, COM NERVURAS TRAPEZOIDAIS, LARGURA UTIL DE 915 MM E ESPESSURA DE 0,80 MM</t>
  </si>
  <si>
    <t>CHAPA EM ACO GALVANIZADO PARA STEEL DECK, COM NERVURAS TRAPEZOIDAIS, LARGURA UTIL DE 915 MM E ESPESSURA DE 0,95 MM</t>
  </si>
  <si>
    <t>CHAPA EM ACO GALVANIZADO PARA STEEL DECK, COM NERVURAS TRAPEZOIDAIS, LARGURA UTIL DE 915 MM E ESPESSURA DE 1,25 MM</t>
  </si>
  <si>
    <t>CHAPA PARA EMENDA DE VIGA, EM ACO GROSSO, QUALIDADE ESTRUTURAL, BITOLA 3/16", E= 4,75 MM, 4 FUROS, LARGURA 45 MM, COMPRIMENTO 500 MM</t>
  </si>
  <si>
    <t>CHAPA/PAINEL DE MADEIRA COMPENSADA PLASTIFICADA (MADEIRITE PLASTIFICADO) PARA FORMA DE CONCRETO, DE 2200 X 1100 MM, E = *17* MM</t>
  </si>
  <si>
    <t>CHAPA/PAINEL DE MADEIRA COMPENSADA PLASTIFICADA (MADEIRITE PLASTIFICADO) PARA FORMA DE CONCRETO, DE 2200 X 1100 MM, E = 10 MM</t>
  </si>
  <si>
    <t>CHAPA/PAINEL DE MADEIRA COMPENSADA PLASTIFICADA (MADEIRITE PLASTIFICADO) PARA FORMA DE CONCRETO, DE 2200 X 1100 MM, E = 12 MM</t>
  </si>
  <si>
    <t>CHAPA/PAINEL DE MADEIRA COMPENSADA PLASTIFICADA (MADEIRITE PLASTIFICADO) PARA FORMA DE CONCRETO, DE 2200 X 1100 MM, E = 14 MM</t>
  </si>
  <si>
    <t>CHAPA/PAINEL DE MADEIRA COMPENSADA PLASTIFICADA (MADEIRITE PLASTIFICADO) PARA FORMA DE CONCRETO, DE 2200 X 1100 MM, E = 20 MM</t>
  </si>
  <si>
    <t>CHAPA/PAINEL DE MADEIRA COMPENSADA PLASTIFICADA (MADEIRITE PLASTIFICADO) PARA FORMA DE CONCRETO, DE 2200 X 1100 MM, E = 6 MM</t>
  </si>
  <si>
    <t>CHAPA/PAINEL DE MADEIRA COMPENSADA RESINADA (MADEIRITE RESINADO ROSA) PARA FORMA DE CONCRETO, DE 2200 X 1100 MM, E = 14 MM</t>
  </si>
  <si>
    <t>CHAPA/PAINEL DE MADEIRA COMPENSADA RESINADA (MADEIRITE RESINADO ROSA) PARA FORMA DE CONCRETO, DE 2200 X 1100 MM, E = 17 MM</t>
  </si>
  <si>
    <t>CHAPA/PAINEL DE MADEIRA COMPENSADA RESINADA (MADEIRITE RESINADO ROSA) PARA FORMA DE CONCRETO, DE 2200 X 1100 MM, E = 20 MM</t>
  </si>
  <si>
    <t>CHAPA/PAINEL DE MADEIRA COMPENSADA RESINADA (MADEIRITE RESINADO ROSA) PARA FORMA DE CONCRETO, DE 2200 X 1100 MM, E = 6 MM</t>
  </si>
  <si>
    <t>CHAPA/PAINEL DE MADEIRA COMPENSADA RESINADA (MADEIRITE RESINADO ROSA) PARA FORMA DE CONCRETO, DE 2200 X 1100 MM, E = 8 A 12 MM</t>
  </si>
  <si>
    <t>CHAVE AJUSTAVEL (INGLESA) 10"</t>
  </si>
  <si>
    <t>CHAVE AJUSTAVEL (INGLESA) 15"</t>
  </si>
  <si>
    <t>CHAVE AJUSTAVEL (INGLESA) 6"</t>
  </si>
  <si>
    <t>CHAVE DE GRIFO DE 24"</t>
  </si>
  <si>
    <t>CHAVE DUPLA PARA CONEXOES TIPO STORZ, ENGATE RAPIDO 1 1/2" X 2 1/2", EM LATAO, PARA INSTALACAO PREDIAL COMBATE A INCENDIO</t>
  </si>
  <si>
    <t>CHAVE FIXA 19 X 22 MM</t>
  </si>
  <si>
    <t>CHUMBADOR DE ACO GALVANIZADO, 1" X 600 MM, PARA POSTES DE ACO COM BASE, INCLUSO PORCA E ARRUELA</t>
  </si>
  <si>
    <t>CHUMBADOR DE ACO TIPO PARABOLT, * 5/8" X 200* MM, COM PORCA E ARRUELA</t>
  </si>
  <si>
    <t>CHUMBADOR DE ACO ZINCADO, DIAMETRO 1/2", COMPRIMENTO 75 MM</t>
  </si>
  <si>
    <t>CHUMBADOR DE ACO ZINCADO, DIAMETRO 1/4" COM PARAFUSO 1/4" X 40 MM</t>
  </si>
  <si>
    <t>CHUMBADOR DE ACO ZINCADO, DIAMETRO 5/8", COMPRIMENTO 6", COM PORCA</t>
  </si>
  <si>
    <t>CHUVEIRO COMUM EM PLASTICO BRANCO, COM CANO, 3 TEMPERATURAS, 5500 W (110/220 V)</t>
  </si>
  <si>
    <t>CHUVEIRO COMUM EM PLASTICO CROMADO, COM CANO, 4 TEMPERATURAS (110/220 V)</t>
  </si>
  <si>
    <t>CIMENTO BRANCO NAO ESTRUTURAL (CPB - NAO ESTRUTURAL)</t>
  </si>
  <si>
    <t>CIMENTO IMPERMEABILIZANTE DE PEGA ULTRARRAPIDA PARA TAMPONAMENTOS</t>
  </si>
  <si>
    <t>CIMENTO PORTLAND COMPOSTO CP II-32</t>
  </si>
  <si>
    <t>CIMENTO PORTLAND DE ALTO FORNO (AF) CP III-40</t>
  </si>
  <si>
    <t>CIMENTO PORTLAND ESTRUTURAL BRANCO CPB - 32 OU CPB - 40</t>
  </si>
  <si>
    <t>CIMENTO PORTLAND POZOLANICO CP IV-32</t>
  </si>
  <si>
    <t>CINTA CIRCULAR EM ACO GALVANIZADO DE 150 MM DE DIAMETRO PARA FIXACAO DE CAIXA MEDICAO, INCLUI PARAFUSOS E PORCAS</t>
  </si>
  <si>
    <t>CINTA CIRCULAR EM ACO GALVANIZADO DE 210 MM DE DIAMETRO PARA INSTALACAO DE TRANSFORMADOR EM POSTE DE CONCRETO</t>
  </si>
  <si>
    <t>CINTURAO DE SEGURANCA TIPO PARAQUEDISTA, FIVELA EM ACO, AJUSTE NO SUSPENSORIO, CINTURA E PERNAS</t>
  </si>
  <si>
    <t>COBRE ELETROLITICO EM BARRA OU CHAPA</t>
  </si>
  <si>
    <t>COLA BRANCA BASE PVA</t>
  </si>
  <si>
    <t>COLA PARA TUBOS E MANTAS ELASTOMERICAS, A BASE DE SOLVENTE</t>
  </si>
  <si>
    <t>COLAR DE TOMADA EM POLIPROPILENO, PP, COM PARAFUSOS, PARA PEAD, 63 X 1/2" - LIGACAO PREDIAL DE AGUA</t>
  </si>
  <si>
    <t>COLAR DE TOMADA EM POLIPROPILENO, PP, COM PARAFUSOS, PARA PEAD, 63 X 3/4" - LIGACAO PREDIAL DE AGUA</t>
  </si>
  <si>
    <t>COLAR TOMADA PVC, COM TRAVAS, SAIDA COM ROSCA, DE 110 MM X 1/2" OU 110 MM X 3/4", PARA LIGACAO PREDIAL DE AGUA</t>
  </si>
  <si>
    <t>COLAR TOMADA PVC, COM TRAVAS, SAIDA COM ROSCA, DE 32 MM X 1/2" OU 32 MM X 3/4", PARA LIGACAO PREDIAL DE AGUA</t>
  </si>
  <si>
    <t>COLAR TOMADA PVC, COM TRAVAS, SAIDA COM ROSCA, DE 40 MM X 1/2" OU 40 MM X 3/4", PARA LIGACAO PREDIAL DE AGUA</t>
  </si>
  <si>
    <t>COLAR TOMADA PVC, COM TRAVAS, SAIDA COM ROSCA, DE 50 MM X 1/2" OU 50 MM X 3/4", PARA LIGACAO PREDIAL DE AGUA</t>
  </si>
  <si>
    <t>COLAR TOMADA PVC, COM TRAVAS, SAIDA COM ROSCA, DE 60 MM X 1/2" OU 60 MM X 3/4", PARA LIGACAO PREDIAL DE AGUA</t>
  </si>
  <si>
    <t>COLAR TOMADA PVC, COM TRAVAS, SAIDA COM ROSCA, DE 75 MM X 1/2" OU 75 MM X 3/4", PARA LIGACAO PREDIAL DE AGUA</t>
  </si>
  <si>
    <t>COLAR TOMADA PVC, COM TRAVAS, SAIDA COM ROSCA, DE 85 MM X 1/2" OU 85 MM X 3/4", PARA LIGACAO PREDIAL DE AGUA</t>
  </si>
  <si>
    <t>COLAR TOMADA PVC, COM TRAVAS, SAIDA ROSCAVEL COM BUCHA DE LATAO, DE 60 MM X 1/2" OU 60 MM X 3/4", PARA LIGACAO PREDIAL DE AGUA</t>
  </si>
  <si>
    <t>COLHER DE PEDREIRO 9", EM ACO, COM CANTOS REDONDOS E CABO DE MADEIRA OU PLASTICO</t>
  </si>
  <si>
    <t>COMPACTADOR DE SOLO A PERCUSSAO (SOQUETE), A GASOLINA 4 TEMPOS, PESO 55 A 65 KG, FORCA DE IMPACTO 1.000 A 1.500 KGF, FREQ. 600 A 700 GOLPES P/ MINUTO, VELOCIDADE TRABALHO DE 10 A 15 M/MIN, POT. DE 2,00 A 3,00 HP</t>
  </si>
  <si>
    <t>COMPACTADOR DE SOLO TIPO PLACA VIBRATORIA REVERSIVEL, A GASOLINA 4 TEMPOS, PESO 125 A 150 KG, FORCA CENTRIF. 2500 A 2800 KGF, LARG. TRABALHO 400 A 450 MM, FREQ. VIBRACAO 4300 A 4500 RPM, VELOC. TRABALHO 15 A 20 M/MIN, POT. 5,5 A 6,0 HP</t>
  </si>
  <si>
    <t>COMPACTADOR DE SOLOS DE PERCURSAO (SOQUETE) COM MOTOR A GASOLINA 4 TEMPOS DE 4 HP (4 CV)</t>
  </si>
  <si>
    <t>COMPENSADO NAVAL - CHAPA/PAINEL EM MADEIRA COMPENSADA PRENSADA, DE 2200 X 1600 MM, E = 10 MM</t>
  </si>
  <si>
    <t>COMPENSADO NAVAL - CHAPA/PAINEL EM MADEIRA COMPENSADA PRENSADA, DE 2200 X 1600 MM, E = 12 MM</t>
  </si>
  <si>
    <t>COMPENSADO NAVAL - CHAPA/PAINEL EM MADEIRA COMPENSADA PRENSADA, DE 2200 X 1600 MM, E = 15 MM</t>
  </si>
  <si>
    <t>COMPENSADO NAVAL - CHAPA/PAINEL EM MADEIRA COMPENSADA PRENSADA, DE 2200 X 1600 MM, E = 18 MM</t>
  </si>
  <si>
    <t>COMPENSADO NAVAL - CHAPA/PAINEL EM MADEIRA COMPENSADA PRENSADA, DE 2200 X 1600 MM, E = 20 MM</t>
  </si>
  <si>
    <t>COMPENSADO NAVAL - CHAPA/PAINEL EM MADEIRA COMPENSADA PRENSADA, DE 2200 X 1600 MM, E = 25 MM</t>
  </si>
  <si>
    <t>COMPENSADO NAVAL - CHAPA/PAINEL EM MADEIRA COMPENSADA PRENSADA, DE 2200 X 1600 MM, E = 4 MM</t>
  </si>
  <si>
    <t>COMPENSADO NAVAL - CHAPA/PAINEL EM MADEIRA COMPENSADA PRENSADA, DE 2200 X 1600 MM, E = 6 MM</t>
  </si>
  <si>
    <t>COMPRESSOR DE AR PROFISSIONAL 10 PCM, *110* L, 140 PSI, 110/220 VOLTS, MONOFASICO</t>
  </si>
  <si>
    <t>COMPRESSOR DE AR REBOCAVEL VAZAO 400 PCM, PRESSAO EFETIVA DE TRABALHO 102 PSI, MOTOR DIESEL, POTENCIA 110 CV</t>
  </si>
  <si>
    <t>COMPRESSOR DE AR REBOCAVEL VAZAO 748 PCM, PRESSAO EFETIVA DE TRABALHO 102 PSI, MOTOR DIESEL, POTENCIA 210 CV</t>
  </si>
  <si>
    <t>COMPRESSOR DE AR REBOCAVEL, VAZAO 189 PCM, PRESSAO EFETIVA DE TRABALHO 102 PSI, MOTOR DIESEL, POTENCIA 63 CV</t>
  </si>
  <si>
    <t>COMPRESSOR DE AR REBOCAVEL, VAZAO 250 PCM, PRESSAO EFETIVA DE TRABALHO 102 PSI, MOTOR DIESEL, POTENCIA 81 CV</t>
  </si>
  <si>
    <t>COMPRESSOR DE AR REBOCAVEL, VAZAO 89 PCM, PRESSAO EFETIVA DE TRABALHO *102* PSI, MOTOR DIESEL, POTENCIA *20* CV</t>
  </si>
  <si>
    <t>CONCERTINA CLIPADA (DUPLA) EM ACO GALVANIZADO DE ALTA RESISTENCIA, COM ESPIRAL DE 300 MM, D = 2,76 MM</t>
  </si>
  <si>
    <t>CONCERTINA SIMPLES EM ACO GALVANIZADO DE ALTA RESISTENCIA, COM ESPIRAL DE 300 MM, D = 2,76 MM</t>
  </si>
  <si>
    <t>CONCRETO AUTOADENSAVEL (CAA) CLASSE DE RESISTENCIA C15, ESPALHAMENTO SF2, COM BOMBEAMENTO (DISPONIBILIZACAO DE BOMBA), SEM O LANCAMENTO (NBR 15823)</t>
  </si>
  <si>
    <t>CONCRETO AUTOADENSAVEL (CAA) CLASSE DE RESISTENCIA C20, ESPALHAMENTO SF2, COM BOMBEAMENTO (DISPONIBILIZACAO DE BOMBA), SEM O LANCAMENTO (NBR 15823)</t>
  </si>
  <si>
    <t>CONCRETO AUTOADENSAVEL (CAA) CLASSE DE RESISTENCIA C25, ESPALHAMENTO SF2, COM BOMBEAMENTO (DISPONIBILIZACAO DE BOMBA), SEM O LANCAMENTO (NBR 15823)</t>
  </si>
  <si>
    <t>CONCRETO AUTOADENSAVEL (CAA) CLASSE DE RESISTENCIA C30, ESPALHAMENTO SF2, COM BOMBEAMENTO (DISPONIBILIZACAO DE BOMBA), SEM O LANCAMENTO (NBR 15823)</t>
  </si>
  <si>
    <t>CONCRETO BETUMINOSO USINADO A QUENTE (CBUQ) PARA PAVIMENTACAO ASFALTICA, PADRAO DNIT, FAIXA C, COM CAP 30/45 - AQUISICAO POSTO USINA</t>
  </si>
  <si>
    <t>CONCRETO BETUMINOSO USINADO A QUENTE (CBUQ) PARA PAVIMENTACAO ASFALTICA, PADRAO DNIT, FAIXA C, COM CAP 50/70 - AQUISICAO POSTO USINA</t>
  </si>
  <si>
    <t>CONCRETO BETUMINOSO USINADO A QUENTE (CBUQ) PARA PAVIMENTACAO ASFALTICA, PADRAO DNIT, PARA BINDER, COM CAP 50/70 - AQUISICAO POSTO USINA</t>
  </si>
  <si>
    <t>CONCRETO USINADO BOMBEAVEL, CLASSE DE RESISTENCIA C20, BRITA 0 E 1, SLUMP = 100 +/- 20 MM, COM BOMBEAMENTO (DISPONIBILIZACAO DE BOMBA), SEM O LANCAMENTO (NBR 8953)</t>
  </si>
  <si>
    <t>CONCRETO USINADO BOMBEAVEL, CLASSE DE RESISTENCIA C20, COM BRITA 0 E 1, SLUMP = 100 +/- 20 MM, EXCLUI SERVICO DE BOMBEAMENTO (NBR 8953)</t>
  </si>
  <si>
    <t>CONCRETO USINADO BOMBEAVEL, CLASSE DE RESISTENCIA C20, COM BRITA 0 E 1, SLUMP = 130 +/- 20 MM, EXCLUI SERVICO DE BOMBEAMENTO (NBR 8953)</t>
  </si>
  <si>
    <t>CONCRETO USINADO BOMBEAVEL, CLASSE DE RESISTENCIA C20, COM BRITA 0 E 1, SLUMP = 190 +/- 20 MM, COM BOMBEAMENTO (DISPONIBILIZACAO DE BOMBA), SEM O LANCAMENTO (NBR 8953)</t>
  </si>
  <si>
    <t>CONCRETO USINADO BOMBEAVEL, CLASSE DE RESISTENCIA C20, COM BRITA 0, SLUMP = 220 +/- 20 MM, COM BOMBEAMENTO (DISPONIBILIZACAO DE BOMBA), SEM O LANCAMENTO (NBR 8953)</t>
  </si>
  <si>
    <t>CONCRETO USINADO BOMBEAVEL, CLASSE DE RESISTENCIA C25, BRITA 0 E 1, SLUMP = 100 +/- 20 MM, COM BOMBEAMENTO (DISPONIBILIZACAO DE BOMBA), SEM O LANCAMENTO (NBR 8953)</t>
  </si>
  <si>
    <t>CONCRETO USINADO BOMBEAVEL, CLASSE DE RESISTENCIA C25, COM BRITA 0 E 1, SLUMP = 100 +/- 20 MM, EXCLUI SERVICO DE BOMBEAMENTO (NBR 8953)</t>
  </si>
  <si>
    <t>CONCRETO USINADO BOMBEAVEL, CLASSE DE RESISTENCIA C25, COM BRITA 0 E 1, SLUMP = 130 +/- 20 MM, EXCLUI SERVICO DE BOMBEAMENTO (NBR 8953)</t>
  </si>
  <si>
    <t>CONCRETO USINADO BOMBEAVEL, CLASSE DE RESISTENCIA C25, COM BRITA 0 E 1, SLUMP = 190 +/- 20 MM, EXCLUI SERVICO DE BOMBEAMENTO (NBR 8953)</t>
  </si>
  <si>
    <t>CONCRETO USINADO BOMBEAVEL, CLASSE DE RESISTENCIA C30, BRITA 0 E 1, SLUMP = 100 +/- 20 MM, COM BOMBEAMENTO (DISPONIBILIZACAO DE BOMBA), SEM O LANCAMENTO (NBR 8953)</t>
  </si>
  <si>
    <t>CONCRETO USINADO BOMBEAVEL, CLASSE DE RESISTENCIA C30, COM BRITA 0 E 1, SLUMP = 100 +/- 20 MM, EXCLUI SERVICO DE BOMBEAMENTO (NBR 8953)</t>
  </si>
  <si>
    <t>CONCRETO USINADO BOMBEAVEL, CLASSE DE RESISTENCIA C30, COM BRITA 0 E 1, SLUMP = 130 +/- 20 MM, EXCLUI SERVICO DE BOMBEAMENTO (NBR 8953)</t>
  </si>
  <si>
    <t>CONCRETO USINADO BOMBEAVEL, CLASSE DE RESISTENCIA C30, COM BRITA 0 E 1, SLUMP = 190 +/- 20 MM, EXCLUI SERVICO DE BOMBEAMENTO (NBR 8953)</t>
  </si>
  <si>
    <t>CONCRETO USINADO BOMBEAVEL, CLASSE DE RESISTENCIA C30, COM BRITA 0 E 1, SLUMP = 220 +/- 30 MM, EXCLUI SERVICO DE BOMBEAMENTO (NBR 8953)</t>
  </si>
  <si>
    <t>CONCRETO USINADO BOMBEAVEL, CLASSE DE RESISTENCIA C35, BRITA 0 E 1, SLUMP = 100 +/- 20 MM, COM BOMBEAMENTO (DISPONIBILIZACAO DE BOMBA), SEM O LANCAMENTO (NBR 8953)</t>
  </si>
  <si>
    <t>CONCRETO USINADO BOMBEAVEL, CLASSE DE RESISTENCIA C35, COM BRITA 0 E 1, SLUMP = 100 +/- 20 MM, EXCLUI SERVICO DE BOMBEAMENTO (NBR 8953)</t>
  </si>
  <si>
    <t>CONCRETO USINADO BOMBEAVEL, CLASSE DE RESISTENCIA C40, BRITA 0 E 1, SLUMP = 100 +/- 20 MM, COM BOMBEAMENTO (DISPONIBILIZACAO DE BOMBA), SEM O LANCAMENTO (NBR 8953)</t>
  </si>
  <si>
    <t>CONCRETO USINADO BOMBEAVEL, CLASSE DE RESISTENCIA C40, COM BRITA 0 E 1, SLUMP = 100 +/- 20 MM, EXCLUI SERVICO DE BOMBEAMENTO (NBR 8953)</t>
  </si>
  <si>
    <t>CONCRETO USINADO BOMBEAVEL, CLASSE DE RESISTENCIA C45, BRITA 0 E 1, SLUMP = 100 +/- 20 MM, COM BOMBEAMENTO (DISPONIBILIZACAO DE BOMBA), SEM O LANCAMENTO (NBR 8953)</t>
  </si>
  <si>
    <t>CONCRETO USINADO BOMBEAVEL, CLASSE DE RESISTENCIA C50, BRITA 0 E 1, SLUMP = 100 +/- 20 MM, COM BOMBEAMENTO (DISPONIBILIZACAO DE BOMBA), SEM O LANCAMENTO (NBR 8953)</t>
  </si>
  <si>
    <t>CONCRETO USINADO BOMBEAVEL, CLASSE DE RESISTENCIA C60, COM BRITA 0 E 1, SLUMP = 100 +/- 20 MM, COM BOMBEAMENTO (DISPONIBILIZACAO DE BOMBA), SEM O LANCAMENTO (NBR 8953)</t>
  </si>
  <si>
    <t>CONCRETO USINADO CONVENCIONAL (NAO BOMBEAVEL) CLASSE DE RESISTENCIA C10, COM BRITA 1 E 2, SLUMP = 80 MM +/- 10 MM (NBR 8953)</t>
  </si>
  <si>
    <t>CONCRETO USINADO CONVENCIONAL (NAO BOMBEAVEL) CLASSE DE RESISTENCIA C15, COM BRITA 1 E 2, SLUMP = 80 MM +/- 10 MM (NBR 8953)</t>
  </si>
  <si>
    <t>CONDULETE DE ALUMINIO TIPO B, PARA ELETRODUTO ROSCAVEL DE 1", COM TAMPA CEGA</t>
  </si>
  <si>
    <t>CONDULETE DE ALUMINIO TIPO B, PARA ELETRODUTO ROSCAVEL DE 1/2", COM TAMPA CEGA</t>
  </si>
  <si>
    <t>CONDULETE DE ALUMINIO TIPO B, PARA ELETRODUTO ROSCAVEL DE 3/4", COM TAMPA CEGA</t>
  </si>
  <si>
    <t>CONDULETE DE ALUMINIO TIPO C, PARA ELETRODUTO ROSCAVEL DE 1", COM TAMPA CEGA</t>
  </si>
  <si>
    <t>CONDULETE DE ALUMINIO TIPO C, PARA ELETRODUTO ROSCAVEL DE 1/2", COM TAMPA CEGA</t>
  </si>
  <si>
    <t>CONDULETE DE ALUMINIO TIPO C, PARA ELETRODUTO ROSCAVEL DE 3/4", COM TAMPA CEGA</t>
  </si>
  <si>
    <t>CONDULETE DE ALUMINIO TIPO C, PARA ELETRODUTO ROSCAVEL DE 4", COM TAMPA CEGA</t>
  </si>
  <si>
    <t>CONDULETE DE ALUMINIO TIPO E, PARA ELETRODUTO ROSCAVEL DE 1 1/2", COM TAMPA CEGA</t>
  </si>
  <si>
    <t>CONDULETE DE ALUMINIO TIPO E, PARA ELETRODUTO ROSCAVEL DE 1 1/4", COM TAMPA CEGA</t>
  </si>
  <si>
    <t>CONDULETE DE ALUMINIO TIPO E, PARA ELETRODUTO ROSCAVEL DE 1", COM TAMPA CEGA</t>
  </si>
  <si>
    <t>CONDULETE DE ALUMINIO TIPO E, PARA ELETRODUTO ROSCAVEL DE 1/2", COM TAMPA CEGA</t>
  </si>
  <si>
    <t>CONDULETE DE ALUMINIO TIPO E, PARA ELETRODUTO ROSCAVEL DE 2", COM TAMPA CEGA</t>
  </si>
  <si>
    <t>CONDULETE DE ALUMINIO TIPO E, PARA ELETRODUTO ROSCAVEL DE 3", COM TAMPA CEGA</t>
  </si>
  <si>
    <t>CONDULETE DE ALUMINIO TIPO E, PARA ELETRODUTO ROSCAVEL DE 3/4", COM TAMPA CEGA</t>
  </si>
  <si>
    <t>CONDULETE DE ALUMINIO TIPO E, PARA ELETRODUTO ROSCAVEL DE 4", COM TAMPA CEGA</t>
  </si>
  <si>
    <t>CONDULETE DE ALUMINIO TIPO LR, PARA ELETRODUTO ROSCAVEL DE 1 1/2", COM TAMPA CEGA</t>
  </si>
  <si>
    <t>CONDULETE DE ALUMINIO TIPO LR, PARA ELETRODUTO ROSCAVEL DE 1 1/4", COM TAMPA CEGA</t>
  </si>
  <si>
    <t>CONDULETE DE ALUMINIO TIPO LR, PARA ELETRODUTO ROSCAVEL DE 1", COM TAMPA CEGA</t>
  </si>
  <si>
    <t>CONDULETE DE ALUMINIO TIPO LR, PARA ELETRODUTO ROSCAVEL DE 1/2", COM TAMPA CEGA</t>
  </si>
  <si>
    <t>CONDULETE DE ALUMINIO TIPO LR, PARA ELETRODUTO ROSCAVEL DE 2", COM TAMPA CEGA</t>
  </si>
  <si>
    <t>CONDULETE DE ALUMINIO TIPO LR, PARA ELETRODUTO ROSCAVEL DE 3", COM TAMPA CEGA</t>
  </si>
  <si>
    <t>CONDULETE DE ALUMINIO TIPO LR, PARA ELETRODUTO ROSCAVEL DE 3/4", COM TAMPA CEGA</t>
  </si>
  <si>
    <t>CONDULETE DE ALUMINIO TIPO LR, PARA ELETRODUTO ROSCAVEL DE 4", COM TAMPA CEGA</t>
  </si>
  <si>
    <t>CONDULETE DE ALUMINIO TIPO T, PARA ELETRODUTO ROSCAVEL DE 1 1/2", COM TAMPA CEGA</t>
  </si>
  <si>
    <t>CONDULETE DE ALUMINIO TIPO T, PARA ELETRODUTO ROSCAVEL DE 1 1/4", COM TAMPA CEGA</t>
  </si>
  <si>
    <t>CONDULETE DE ALUMINIO TIPO T, PARA ELETRODUTO ROSCAVEL DE 1", COM TAMPA CEGA</t>
  </si>
  <si>
    <t>CONDULETE DE ALUMINIO TIPO T, PARA ELETRODUTO ROSCAVEL DE 1/2", COM TAMPA CEGA</t>
  </si>
  <si>
    <t>CONDULETE DE ALUMINIO TIPO T, PARA ELETRODUTO ROSCAVEL DE 2", COM TAMPA CEGA</t>
  </si>
  <si>
    <t>CONDULETE DE ALUMINIO TIPO T, PARA ELETRODUTO ROSCAVEL DE 3", COM TAMPA CEGA</t>
  </si>
  <si>
    <t>CONDULETE DE ALUMINIO TIPO T, PARA ELETRODUTO ROSCAVEL DE 3/4", COM TAMPA CEGA</t>
  </si>
  <si>
    <t>CONDULETE DE ALUMINIO TIPO T, PARA ELETRODUTO ROSCAVEL DE 4", COM TAMPA CEGA</t>
  </si>
  <si>
    <t>CONDULETE DE ALUMINIO TIPO TB, PARA ELETRODUTO ROSCAVEL DE 3", COM TAMPA CEGA</t>
  </si>
  <si>
    <t>CONDULETE DE ALUMINIO TIPO X, PARA ELETRODUTO ROSCAVEL DE 1 1/2", COM TAMPA CEGA</t>
  </si>
  <si>
    <t>CONDULETE DE ALUMINIO TIPO X, PARA ELETRODUTO ROSCAVEL DE 1 1/4", COM TAMPA CEGA</t>
  </si>
  <si>
    <t>CONDULETE DE ALUMINIO TIPO X, PARA ELETRODUTO ROSCAVEL DE 1", COM TAMPA CEGA</t>
  </si>
  <si>
    <t>CONDULETE DE ALUMINIO TIPO X, PARA ELETRODUTO ROSCAVEL DE 1/2", COM TAMPA CEGA</t>
  </si>
  <si>
    <t>CONDULETE DE ALUMINIO TIPO X, PARA ELETRODUTO ROSCAVEL DE 2", COM TAMPA CEGA</t>
  </si>
  <si>
    <t>CONDULETE DE ALUMINIO TIPO X, PARA ELETRODUTO ROSCAVEL DE 3", COM TAMPA CEGA</t>
  </si>
  <si>
    <t>CONDULETE DE ALUMINIO TIPO X, PARA ELETRODUTO ROSCAVEL DE 3/4", COM TAMPA CEGA</t>
  </si>
  <si>
    <t>CONDULETE DE ALUMINIO TIPO X, PARA ELETRODUTO ROSCAVEL DE 4", COM TAMPA CEGA</t>
  </si>
  <si>
    <t>CONDULETE EM PVC, TIPO "B", SEM TAMPA, DE 1"</t>
  </si>
  <si>
    <t>CONDULETE EM PVC, TIPO "B", SEM TAMPA, DE 1/2" OU 3/4"</t>
  </si>
  <si>
    <t>CONDULETE EM PVC, TIPO "C", SEM TAMPA, DE 1"</t>
  </si>
  <si>
    <t>CONDULETE EM PVC, TIPO "C", SEM TAMPA, DE 1/2"</t>
  </si>
  <si>
    <t>CONDULETE EM PVC, TIPO "C", SEM TAMPA, DE 3/4"</t>
  </si>
  <si>
    <t>CONDULETE EM PVC, TIPO "E", SEM TAMPA, DE 1"</t>
  </si>
  <si>
    <t>CONDULETE EM PVC, TIPO "E", SEM TAMPA, DE 1/2"</t>
  </si>
  <si>
    <t>CONDULETE EM PVC, TIPO "E", SEM TAMPA, DE 3/4"</t>
  </si>
  <si>
    <t>CONDULETE EM PVC, TIPO "LB", SEM TAMPA, DE 1"</t>
  </si>
  <si>
    <t>CONDULETE EM PVC, TIPO "LB", SEM TAMPA, DE 1/2" OU 3/4"</t>
  </si>
  <si>
    <t>CONDULETE EM PVC, TIPO "LL", SEM TAMPA, DE 1"</t>
  </si>
  <si>
    <t>CONDULETE EM PVC, TIPO "LL", SEM TAMPA, DE 1/2" OU 3/4"</t>
  </si>
  <si>
    <t>CONDULETE EM PVC, TIPO "LR", SEM TAMPA, DE 1"</t>
  </si>
  <si>
    <t>CONDULETE EM PVC, TIPO "LR", SEM TAMPA, DE 1/2"</t>
  </si>
  <si>
    <t>CONDULETE EM PVC, TIPO "LR", SEM TAMPA, DE 3/4"</t>
  </si>
  <si>
    <t>CONDULETE EM PVC, TIPO "T", SEM TAMPA, DE 1"</t>
  </si>
  <si>
    <t>CONDULETE EM PVC, TIPO "T", SEM TAMPA, DE 3/4"</t>
  </si>
  <si>
    <t>CONDULETE EM PVC, TIPO "TB", SEM TAMPA, DE 1"</t>
  </si>
  <si>
    <t>CONDULETE EM PVC, TIPO "TB", SEM TAMPA, DE 1/2" OU 3/4"</t>
  </si>
  <si>
    <t>CONDULETE EM PVC, TIPO "X", SEM TAMPA, DE 1"</t>
  </si>
  <si>
    <t>CONDULETE EM PVC, TIPO "X", SEM TAMPA, DE 1/2"</t>
  </si>
  <si>
    <t>CONDULETE EM PVC, TIPO "X", SEM TAMPA, DE 3/4"</t>
  </si>
  <si>
    <t>CONDUTOR PLUVIAL, PVC, CIRCULAR, DIAMETRO ENTRE 80 E 100 MM, PARA DRENAGEM PLUVIAL PREDIAL</t>
  </si>
  <si>
    <t>CONE DE SINALIZACAO EM PVC FLEXIVEL, H = 70 / 76 CM (NBR 15071)</t>
  </si>
  <si>
    <t>CONE DE SINALIZACAO EM PVC RIGIDO COM FAIXA REFLETIVA, H = 70 / 76 CM</t>
  </si>
  <si>
    <t>CONECTOR / ADAPTADOR F/F, COM INSERTO METALICO, PPR, DN 25 MM X 1/2", PARA AGUA QUENTE E FRIA PREDIAL</t>
  </si>
  <si>
    <t>CONECTOR / ADAPTADOR F/F, COM INSERTO METALICO, PPR, DN 32 MM X 3/4", PARA AGUA QUENTE E FRIA PREDIAL</t>
  </si>
  <si>
    <t>CONECTOR / ADAPTADOR F/M, COM INSERTO METALICO, PPR, DN 25 MM X 1/2", PARA AGUA QUENTE E FRIA PREDIAL</t>
  </si>
  <si>
    <t>CONECTOR / ADAPTADOR F/M, COM INSERTO METALICO, PPR, DN 25 MM X 3/4", PARA AGUA QUENTE E FRIA PREDIAL</t>
  </si>
  <si>
    <t>CONECTOR / ADAPTADOR F/M, COM INSERTO METALICO, PPR, DN 32 MM X 1", PARA AGUA QUENTE E FRIA PREDIAL</t>
  </si>
  <si>
    <t>CONECTOR / ADAPTADOR F/M, COM INSERTO METALICO, PPR, DN 32 MM X 3/4", PARA AGUA QUENTE E FRIA PREDIAL</t>
  </si>
  <si>
    <t>CONECTOR / TOMADA FEMEA RJ 45, CATEGORIA 5 E (CAT 5E) PARA CABOS</t>
  </si>
  <si>
    <t>CONECTOR / TOMADA FEMEA RJ 45, CATEGORIA 6 (CAT 6) PARA CABOS</t>
  </si>
  <si>
    <t>CONECTOR BRONZE/LATAO SEM ANEL DE SOLDA, BOLSA X ROSCA F, 15 MM X 1/2"</t>
  </si>
  <si>
    <t>CONECTOR BRONZE/LATAO SEM ANEL DE SOLDA, BOLSA X ROSCA F, 22 MM X 1/2"</t>
  </si>
  <si>
    <t>CONECTOR BRONZE/LATAO SEM ANEL DE SOLDA, BOLSA X ROSCA F, 22 MM X 3/4"</t>
  </si>
  <si>
    <t>CONECTOR BRONZE/LATAO SEM ANEL DE SOLDA, BOLSA X ROSCA F, 28 MM X 1/2"</t>
  </si>
  <si>
    <t>CONECTOR CURVO 90 GRAUS DE ALUMINIO, BITOLA 1 1/2", PARA ADAPTAR ENTRADA DE ELETRODUTO METALICO FLEXIVEL EM QUADROS</t>
  </si>
  <si>
    <t>CONECTOR CURVO 90 GRAUS DE ALUMINIO, BITOLA 1 1/4", PARA ADAPTAR ENTRADA DE ELETRODUTO METALICO FLEXIVEL EM QUADROS</t>
  </si>
  <si>
    <t>CONECTOR CURVO 90 GRAUS DE ALUMINIO, BITOLA 1", PARA ADAPTAR ENTRADA DE ELETRODUTO METALICO FLEXIVEL EM QUADROS</t>
  </si>
  <si>
    <t>CONECTOR CURVO 90 GRAUS DE ALUMINIO, BITOLA 1/2", PARA ADAPTAR ENTRADA DE ELETRODUTO METALICO FLEXIVEL EM QUADROS</t>
  </si>
  <si>
    <t>CONECTOR CURVO 90 GRAUS DE ALUMINIO, BITOLA 2 1/2", PARA ADAPTAR ENTRADA DE ELETRODUTO METALICO FLEXIVEL EM QUADROS</t>
  </si>
  <si>
    <t>CONECTOR CURVO 90 GRAUS DE ALUMINIO, BITOLA 2", PARA ADAPTAR ENTRADA DE ELETRODUTO METALICO FLEXIVEL EM QUADROS</t>
  </si>
  <si>
    <t>CONECTOR CURVO 90 GRAUS DE ALUMINIO, BITOLA 3", PARA ADAPTAR ENTRADA DE ELETRODUTO METALICO FLEXIVEL EM QUADROS</t>
  </si>
  <si>
    <t>CONECTOR CURVO 90 GRAUS DE ALUMINIO, BITOLA 3/4", PARA ADAPTAR ENTRADA DE ELETRODUTO METALICO FLEXIVEL EM QUADROS</t>
  </si>
  <si>
    <t>CONECTOR CURVO 90 GRAUS DE ALUMINIO, BITOLA 4", PARA ADAPTAR ENTRADA DE ELETRODUTO METALICO FLEXIVEL EM QUADROS</t>
  </si>
  <si>
    <t>CONECTOR DE ALUMINIO TIPO PRENSA CABO, BITOLA 1 1/2", PARA CABOS DE DIAMETRO DE 37 A 40 MM</t>
  </si>
  <si>
    <t>CONECTOR DE ALUMINIO TIPO PRENSA CABO, BITOLA 1 1/4", PARA CABOS DE DIAMETRO DE 31 A 34 MM</t>
  </si>
  <si>
    <t>CONECTOR DE ALUMINIO TIPO PRENSA CABO, BITOLA 1", PARA CABOS DE DIAMETRO DE 22,5 A 25 MM</t>
  </si>
  <si>
    <t>CONECTOR DE ALUMINIO TIPO PRENSA CABO, BITOLA 1/2", PARA CABOS DE DIAMETRO DE 12,5 A 15 MM</t>
  </si>
  <si>
    <t>CONECTOR DE ALUMINIO TIPO PRENSA CABO, BITOLA 2", PARA CABOS DE DIAMETRO DE 47,5 A 50 MM</t>
  </si>
  <si>
    <t>CONECTOR DE ALUMINIO TIPO PRENSA CABO, BITOLA 3/4", PARA CABOS DE DIAMETRO DE 17,5 A 20 MM</t>
  </si>
  <si>
    <t>CONECTOR DE ALUMINIO TIPO PRENSA CABO, BITOLA 3/8", PARA CABOS DE DIAMETRO DE 9 A 10 MM</t>
  </si>
  <si>
    <t>CONECTOR MACHO RJ 45, CATEGORIA 5 E (CAT 5E) PARA CABOS</t>
  </si>
  <si>
    <t>CONECTOR MACHO RJ 45, CATEGORIA 6 (CAT 6) PARA CABOS</t>
  </si>
  <si>
    <t>CONECTOR METALICO TIPO PARAFUSO FENDIDO (SPLIT BOLT), COM SEPARADOR DE CABOS BIMETALICOS, PARA CABOS ATE 25 MM2</t>
  </si>
  <si>
    <t>CONECTOR METALICO TIPO PARAFUSO FENDIDO (SPLIT BOLT), COM SEPARADOR DE CABOS BIMETALICOS, PARA CABOS ATE 50 MM2</t>
  </si>
  <si>
    <t>CONECTOR METALICO TIPO PARAFUSO FENDIDO (SPLIT BOLT), COM SEPARADOR DE CABOS BIMETALICOS, PARA CABOS ATE 70 MM2</t>
  </si>
  <si>
    <t>CONECTOR METALICO TIPO PARAFUSO FENDIDO (SPLIT BOLT), PARA CABOS ATE 10 MM2</t>
  </si>
  <si>
    <t>CONECTOR METALICO TIPO PARAFUSO FENDIDO (SPLIT BOLT), PARA CABOS ATE 120 MM2</t>
  </si>
  <si>
    <t>CONECTOR METALICO TIPO PARAFUSO FENDIDO (SPLIT BOLT), PARA CABOS ATE 150 MM2</t>
  </si>
  <si>
    <t>CONECTOR METALICO TIPO PARAFUSO FENDIDO (SPLIT BOLT), PARA CABOS ATE 16 MM2</t>
  </si>
  <si>
    <t>CONECTOR METALICO TIPO PARAFUSO FENDIDO (SPLIT BOLT), PARA CABOS ATE 185 MM2</t>
  </si>
  <si>
    <t>CONECTOR METALICO TIPO PARAFUSO FENDIDO (SPLIT BOLT), PARA CABOS ATE 25 MM2</t>
  </si>
  <si>
    <t>CONECTOR METALICO TIPO PARAFUSO FENDIDO (SPLIT BOLT), PARA CABOS ATE 35 MM2</t>
  </si>
  <si>
    <t>CONECTOR METALICO TIPO PARAFUSO FENDIDO (SPLIT BOLT), PARA CABOS ATE 50 MM2</t>
  </si>
  <si>
    <t>CONECTOR METALICO TIPO PARAFUSO FENDIDO (SPLIT BOLT), PARA CABOS ATE 6 MM2</t>
  </si>
  <si>
    <t>CONECTOR METALICO TIPO PARAFUSO FENDIDO (SPLIT BOLT), PARA CABOS ATE 70 MM2</t>
  </si>
  <si>
    <t>CONECTOR METALICO TIPO PARAFUSO FENDIDO (SPLIT BOLT), PARA CABOS ATE 95 MM2</t>
  </si>
  <si>
    <t>CONECTOR RETO DE ALUMINIO PARA ELETRODUTO DE 1 1/2", PARA ADAPTAR ENTRADA DE ELETRODUTO METALICO FLEXIVEL EM QUADROS</t>
  </si>
  <si>
    <t>CONECTOR RETO DE ALUMINIO PARA ELETRODUTO DE 1 1/4", PARA ADAPTAR ENTRADA DE ELETRODUTO METALICO FLEXIVEL EM QUADROS</t>
  </si>
  <si>
    <t>CONECTOR RETO DE ALUMINIO PARA ELETRODUTO DE 1", PARA ADAPTAR ENTRADA DE ELETRODUTO METALICO FLEXIVEL EM QUADROS</t>
  </si>
  <si>
    <t>CONECTOR RETO DE ALUMINIO PARA ELETRODUTO DE 1/2", PARA ADAPTAR ENTRADA DE ELETRODUTO METALICO FLEXIVEL EM QUADROS</t>
  </si>
  <si>
    <t>CONECTOR RETO DE ALUMINIO PARA ELETRODUTO DE 2 1/2", PARA ADAPTAR ENTRADA DE ELETRODUTO METALICO FLEXIVEL EM QUADROS</t>
  </si>
  <si>
    <t>CONECTOR RETO DE ALUMINIO PARA ELETRODUTO DE 2", PARA ADAPTAR ENTRADA DE ELETRODUTO METALICO FLEXIVEL EM QUADROS</t>
  </si>
  <si>
    <t>CONECTOR RETO DE ALUMINIO PARA ELETRODUTO DE 3", PARA ADAPTAR ENTRADA DE ELETRODUTO METALICO FLEXIVEL EM QUADROS</t>
  </si>
  <si>
    <t>CONECTOR RETO DE ALUMINIO PARA ELETRODUTO DE 3/4", PARA ADAPTAR ENTRADA DE ELETRODUTO METALICO FLEXIVEL EM QUADROS</t>
  </si>
  <si>
    <t>CONECTOR RETO DE ALUMINIO PARA ELETRODUTO DE 4", PARA ADAPTAR ENTRADA DE ELETRODUTO METALICO FLEXIVEL EM QUADROS</t>
  </si>
  <si>
    <t>CONECTOR, CPVC, SOLDAVEL, 114 MM X 4", PARA AGUA QUENTE</t>
  </si>
  <si>
    <t>CONECTOR, CPVC, SOLDAVEL, 15 MM X 1/2", PARA AGUA QUENTE</t>
  </si>
  <si>
    <t>CONECTOR, CPVC, SOLDAVEL, 22 MM X 1/2", PARA AGUA QUENTE</t>
  </si>
  <si>
    <t>CONECTOR, CPVC, SOLDAVEL, 22 MM X 3/4", PARA AGUA QUENTE</t>
  </si>
  <si>
    <t>CONECTOR, CPVC, SOLDAVEL, 28 MM X 1", PARA AGUA QUENTE</t>
  </si>
  <si>
    <t>CONECTOR, CPVC, SOLDAVEL, 35 MM X 1 1/4", PARA AGUA QUENTE</t>
  </si>
  <si>
    <t>CONECTOR, CPVC, SOLDAVEL, 42 MM X 1 1/2", PARA AGUA QUENTE</t>
  </si>
  <si>
    <t>CONECTOR, CPVC, SOLDAVEL, 54 MM X 2", PARA AGUA QUENTE</t>
  </si>
  <si>
    <t>CONECTOR, CPVC, SOLDAVEL, 73 MM X 2 1/2", PARA AGUA QUENTE</t>
  </si>
  <si>
    <t>CONECTOR, CPVC, SOLDAVEL, 89 MM X 3", PARA AGUA QUENTE</t>
  </si>
  <si>
    <t>CONECTOR/ADAPTADOR FIXO, ROSCA FEMEA, EM PLASTICO, DN 16 MM X 1/2", PARA CONEXAO COM CRIMPAGEM, EM TUBO PEX PARA INST. AGUA QUENTE/FRIA</t>
  </si>
  <si>
    <t>CONECTOR/ADAPTADOR FIXO, ROSCA FEMEA, EM PLASTICO, DN 20 MM X 1/2", PARA CONEXAO COM CRIMPAGEM, EM TUBO PEX PARA INST. AGUA QUENTE/FRIA</t>
  </si>
  <si>
    <t>CONECTOR/ADAPTADOR FIXO, ROSCA FEMEA, EM PLASTICO, DN 20 MM X 3/4", PARA CONEXAO COM CRIMPAGEM, EM TUBO PEX PARA INST. AGUA QUENTE/FRIA</t>
  </si>
  <si>
    <t>CONECTOR/ADAPTADOR FIXO, ROSCA FEMEA, EM PLASTICO, DN 25 MM X 3/4", PARA CONEXAO COM CRIMPAGEM, EM TUBO PEX PARA INST. AGUA QUENTE/FRIA</t>
  </si>
  <si>
    <t>CONECTOR/ADAPTADOR FIXO, ROSCA FEMEA, METALICA, COM ANEL DESLIZANTE, DN 16 MM X 1/2", PARA TUBO PEX PARA INST. AGUA QUENTE/FRIA</t>
  </si>
  <si>
    <t>CONECTOR/ADAPTADOR FIXO, ROSCA FEMEA, METALICA, COM ANEL DESLIZANTE, DN 20 MM X 1/2", PARA TUBO PEX PARA INST. AGUA QUENTE/FRIA</t>
  </si>
  <si>
    <t>CONECTOR/ADAPTADOR FIXO, ROSCA FEMEA, METALICA, COM ANEL DESLIZANTE, DN 20 MM X 3/4", PARA TUBO PEX PARA INST. AGUA QUENTE/FRIA</t>
  </si>
  <si>
    <t>CONECTOR/ADAPTADOR FIXO, ROSCA FEMEA, METALICA, COM ANEL DESLIZANTE, DN 25 MM X 1", PARA TUBO PEX PARA INST. AGUA QUENTE/FRIA</t>
  </si>
  <si>
    <t>CONECTOR/ADAPTADOR FIXO, ROSCA FEMEA, METALICA, COM ANEL DESLIZANTE, DN 25 MM X 3/4", PARA TUBO PEX PARA INST. AGUA QUENTE/FRIA</t>
  </si>
  <si>
    <t>CONECTOR/ADAPTADOR FIXO, ROSCA FEMEA, METALICA, COM ANEL DESLIZANTE, DN 32 MM X 1", PARA TUBO PEX PARA INST. AGUA QUENTE/FRIA</t>
  </si>
  <si>
    <t>CONECTOR/ADAPTADOR MOVEL, ROSCA FEMEA, METALICA, COM ANEL DESLIZANTE, DN 16 MM X 3/4", PARA TUBO PEX PARA INST. AGUA QUENTE/FRIA</t>
  </si>
  <si>
    <t>CONJ. DE FERRAGENS PARA PORTA DE VIDRO TEMPERADO, EM ZAMAC CROMADO, CONTEMPLANDO DOBRADICA INF., DOBRADICA SUP., PIVO PARA DOBRADICA INF., PIVO PARA DOBRADICA SUP., FECHADURA CENTRAL EM ZAMC. CROMADO, CONTRA FECHADURA DE PRESSAO</t>
  </si>
  <si>
    <t>CJ</t>
  </si>
  <si>
    <t>CONJUNTO ARRUELAS DE VEDACAO 5/16" PARA TELHA FIBROCIMENTO (UMA ARRUELA METALICA E UMA ARRUELA PVC - CONICAS)</t>
  </si>
  <si>
    <t>CONJUNTO DE FERRAGENS PIVO, PARA PORTA PIVOTANTE DE ATE 100 KG, REGULAVEL COM ESFERA, CROMADO - SUPERIOR E INFERIOR - COMPLETO</t>
  </si>
  <si>
    <t>CONJUNTO DE LIGACAO AJUSTAVEL, PARA VASO / BACIA SANITARIA, EM PLASTICO BRANCO, COM TUBO, CANOPLA E ESPUDE</t>
  </si>
  <si>
    <t>CONJUNTO DE LIGACAO PARA VASO / BACIA SANITARIA, EM PLASTICO BRANCO, COM TUBO, CANOPLA E ANEL DE EXPANSAO (TUBO 1.1/2" X 20 CM)</t>
  </si>
  <si>
    <t>CONJUNTO MONTADO ESTOPIM COM ESPOLETA COMUM NUMERO 8, COM CABECA ACENDEDORA, 1,5 M</t>
  </si>
  <si>
    <t>CONJUNTO PARA FUTSAL COM PAR DE TRAVES OFICIAIS DE 3,00 X 2,00 M EM TUBO DE ACO GALVANIZADO 3" COM REQUADROS EM TUBO DE 1", PINTURA EM PRIMER COM TINTA ESMALTE SINTETICO E REDES DE POLIETILENO FIO 4 MM</t>
  </si>
  <si>
    <t>CONJUNTO PARA QUADRA DE VOLEI COM POSTES EM TUBO DE ACO GALVANIZADO 3", H = *255* CM, PINTURA EM TINTA ESMALTE SINTETICO, REDE DE NYLON COM 2 MM, MALHA 10 X 10 CM E ANTENAS OFICIAIS EM FIBRA DE VIDRO</t>
  </si>
  <si>
    <t>CONJUNTO PRE-MOLDADO COMPOSTO POR GRELHA (0,99 X 0,45 M), QUADRO (1,10 X 0,52 M) E CANTONEIRA (1,10 X 0,35 M), EM CONCRETO ARMADO, COM FCK DE 21 MPA</t>
  </si>
  <si>
    <t>CONTATOR TRIPOLAR, CORRENTE DE *110* A, TENSAO NOMINAL DE *500* V, CATEGORIA AC-2 E AC-3</t>
  </si>
  <si>
    <t>CONTATOR TRIPOLAR, CORRENTE DE *185* A, TENSAO NOMINAL DE *500* V, CATEGORIA AC-2 E AC-3</t>
  </si>
  <si>
    <t>CONTATOR TRIPOLAR, CORRENTE DE *22* A, TENSAO NOMINAL DE *500* V, CATEGORIA AC-2 E AC-3</t>
  </si>
  <si>
    <t>CONTATOR TRIPOLAR, CORRENTE DE *265* A, TENSAO NOMINAL DE *500* V, CATEGORIA AC-2 E AC-3</t>
  </si>
  <si>
    <t>CONTATOR TRIPOLAR, CORRENTE DE *38* A, TENSAO NOMINAL DE *500* V, CATEGORIA AC-2 E AC-3</t>
  </si>
  <si>
    <t>CONTATOR TRIPOLAR, CORRENTE DE *500* A, TENSAO NOMINAL DE *500* V, CATEGORIA AC-2 E AC-3</t>
  </si>
  <si>
    <t>CONTATOR TRIPOLAR, CORRENTE DE *65* A, TENSAO NOMINAL DE *500* V, CATEGORIA AC-2 E AC-3</t>
  </si>
  <si>
    <t>CONTATOR TRIPOLAR, CORRENTE DE 12 A, TENSAO NOMINAL DE *500* V, CATEGORIA AC-2 E AC-3</t>
  </si>
  <si>
    <t>CONTATOR TRIPOLAR, CORRENTE DE 25 A, TENSAO NOMINAL DE *500* V, CATEGORIA AC-2 E AC-3</t>
  </si>
  <si>
    <t>CONTATOR TRIPOLAR, CORRENTE DE 250 A, TENSAO NOMINAL DE *500* V, PARA ACIONAMENTO DE CAPACITORES</t>
  </si>
  <si>
    <t>CONTATOR TRIPOLAR, CORRENTE DE 300 A, TENSAO NOMINAL DE *500* V, CATEGORIA AC-2 E AC-3</t>
  </si>
  <si>
    <t>CONTATOR TRIPOLAR, CORRENTE DE 32 A, TENSAO NOMINAL DE *500* V, CATEGORIA AC-2 E AC-3</t>
  </si>
  <si>
    <t>CONTATOR TRIPOLAR, CORRENTE DE 400 A, TENSAO NOMINAL DE *500* V, CATEGORIA AC-2 E AC-3</t>
  </si>
  <si>
    <t>CONTATOR TRIPOLAR, CORRENTE DE 45 A, TENSAO NOMINAL DE *500* V, CATEGORIA AC-2 E AC-3</t>
  </si>
  <si>
    <t>CONTATOR TRIPOLAR, CORRENTE DE 630 A, TENSAO NOMINAL DE *500* V, CATEGORIA AC-2 E AC-3</t>
  </si>
  <si>
    <t>CONTATOR TRIPOLAR, CORRENTE DE 75 A, TENSAO NOMINAL DE *500* V, CATEGORIA AC-2 E AC-3</t>
  </si>
  <si>
    <t>CONTATOR TRIPOLAR, CORRENTE DE 9 A, TENSAO NOMINAL DE *500* V, CATEGORIA AC-2 E AC-3</t>
  </si>
  <si>
    <t>CONTATOR TRIPOLAR, CORRENTE DE 95 A, TENSAO NOMINAL DE *500* V, CATEGORIA AC-2 E AC-3</t>
  </si>
  <si>
    <t>CONTRA-PORCA SEXTAVADA, DIAMETRO NOMINAL 1 3/8", ALTURA 35 MM</t>
  </si>
  <si>
    <t>CONTRAMARCO DE ALUMINIO (PERFIL 25) PARA ESQUADRIAS, TIPO CONVENCIONAL / CADEIRINHA, 60 MM (CM-060), INCLUSO CONEXOES, GRAPAS E TRAVAMENTOS</t>
  </si>
  <si>
    <t>CORDA DE POLIAMIDA 12 MM TIPO BOMBEIRO, PARA TRABALHO EM ALTURA</t>
  </si>
  <si>
    <t>100M</t>
  </si>
  <si>
    <t>CORDAO DE COBRE, FLEXIVEL, TORCIDO, CLASSE 4 OU 5, ISOLACAO EM PVC/D, 300 V, 2 CONDUTORES DE 0,5 MM2</t>
  </si>
  <si>
    <t>CORDAO DE COBRE, FLEXIVEL, TORCIDO, CLASSE 4 OU 5, ISOLACAO EM PVC/D, 300 V, 2 CONDUTORES DE 0,75 MM2</t>
  </si>
  <si>
    <t>CORDAO DE COBRE, FLEXIVEL, TORCIDO, CLASSE 4 OU 5, ISOLACAO EM PVC/D, 300 V, 2 CONDUTORES DE 1,0 MM2</t>
  </si>
  <si>
    <t>CORDAO DE COBRE, FLEXIVEL, TORCIDO, CLASSE 4 OU 5, ISOLACAO EM PVC/D, 300 V, 2 CONDUTORES DE 1,5 MM2</t>
  </si>
  <si>
    <t>CORDAO DE COBRE, FLEXIVEL, TORCIDO, CLASSE 4 OU 5, ISOLACAO EM PVC/D, 300 V, 2 CONDUTORES DE 2,5 MM2</t>
  </si>
  <si>
    <t>CORDAO DE COBRE, FLEXIVEL, TORCIDO, CLASSE 4 OU 5, ISOLACAO EM PVC/D, 300 V, 2 CONDUTORES DE 4 MM2</t>
  </si>
  <si>
    <t>CORDEL DETONANTE, NP 05 G/M</t>
  </si>
  <si>
    <t>CORDEL DETONANTE, NP 10 G/M</t>
  </si>
  <si>
    <t>COROA PARA PERFURATRIZ T38, D = 2 1/2", 6 X 4 BOTOES BALISTICOS, FACE PLANA</t>
  </si>
  <si>
    <t>CORRENTE DE ELO CURTO COMUM, SOLDADA, GALVANIZADA, ESPESSURA DO ELO = 1/2" (12,5 MM)</t>
  </si>
  <si>
    <t>CORTA-TUBOS COM CAPACIDADE DE 6 A 42 MM</t>
  </si>
  <si>
    <t>CORTADEIRA DE PISO DE CONCRETO E ASFALTO, PARA DISCO PADRAO DE DIAMETRO 350 MM (14") OU 450 MM (18"), MOTOR A GASOLINA, POTENCIA 13 HP, SEM DISCO</t>
  </si>
  <si>
    <t>CORTADEIRA HIDRAULICA DE VERGALHAO, PARA ACO DE DIAMETRO ATE 50 MM, MOTOR ELETRICO TRIFASICO, POTENCIA DE 5,5 HP A 7,5 HP</t>
  </si>
  <si>
    <t>COTOVELO 45 GRAUS DE FERRO GALVANIZADO, COM ROSCA BSP, DE 1 1/2"</t>
  </si>
  <si>
    <t>COTOVELO 45 GRAUS DE FERRO GALVANIZADO, COM ROSCA BSP, DE 1 1/4"</t>
  </si>
  <si>
    <t>COTOVELO 45 GRAUS DE FERRO GALVANIZADO, COM ROSCA BSP, DE 1"</t>
  </si>
  <si>
    <t>COTOVELO 45 GRAUS DE FERRO GALVANIZADO, COM ROSCA BSP, DE 1/2"</t>
  </si>
  <si>
    <t>COTOVELO 45 GRAUS DE FERRO GALVANIZADO, COM ROSCA BSP, DE 2 1/2"</t>
  </si>
  <si>
    <t>COTOVELO 45 GRAUS DE FERRO GALVANIZADO, COM ROSCA BSP, DE 2"</t>
  </si>
  <si>
    <t>COTOVELO 45 GRAUS DE FERRO GALVANIZADO, COM ROSCA BSP, DE 3"</t>
  </si>
  <si>
    <t>COTOVELO 45 GRAUS DE FERRO GALVANIZADO, COM ROSCA BSP, DE 3/4"</t>
  </si>
  <si>
    <t>COTOVELO 45 GRAUS DE FERRO GALVANIZADO, COM ROSCA BSP, DE 4"</t>
  </si>
  <si>
    <t>COTOVELO 45 GRAUS, PEAD PE 100, DE 125 MM, PARA ELETROFUSAO</t>
  </si>
  <si>
    <t>COTOVELO 45 GRAUS, PEAD PE 100, DE 200 MM, PARA ELETROFUSAO</t>
  </si>
  <si>
    <t>COTOVELO 45 GRAUS, PEAD PE 100, DE 32 MM, PARA ELETROFUSAO</t>
  </si>
  <si>
    <t>COTOVELO 45 GRAUS, PEAD PE 100, DE 40 MM, PARA ELETROFUSAO</t>
  </si>
  <si>
    <t>COTOVELO 45 GRAUS, PEAD PE 100, DE 63 MM, PARA ELETROFUSAO</t>
  </si>
  <si>
    <t>COTOVELO 90 GRAUS DE FERRO GALVANIZADO, COM ROSCA BSP MACHO/FEMEA, DE 1 1/2"</t>
  </si>
  <si>
    <t>COTOVELO 90 GRAUS DE FERRO GALVANIZADO, COM ROSCA BSP MACHO/FEMEA, DE 1 1/4"</t>
  </si>
  <si>
    <t>COTOVELO 90 GRAUS DE FERRO GALVANIZADO, COM ROSCA BSP MACHO/FEMEA, DE 1"</t>
  </si>
  <si>
    <t>COTOVELO 90 GRAUS DE FERRO GALVANIZADO, COM ROSCA BSP MACHO/FEMEA, DE 1/2"</t>
  </si>
  <si>
    <t>COTOVELO 90 GRAUS DE FERRO GALVANIZADO, COM ROSCA BSP MACHO/FEMEA, DE 2 1/2"</t>
  </si>
  <si>
    <t>COTOVELO 90 GRAUS DE FERRO GALVANIZADO, COM ROSCA BSP MACHO/FEMEA, DE 2"</t>
  </si>
  <si>
    <t>COTOVELO 90 GRAUS DE FERRO GALVANIZADO, COM ROSCA BSP MACHO/FEMEA, DE 3"</t>
  </si>
  <si>
    <t>COTOVELO 90 GRAUS DE FERRO GALVANIZADO, COM ROSCA BSP MACHO/FEMEA, DE 3/4"</t>
  </si>
  <si>
    <t>COTOVELO 90 GRAUS DE FERRO GALVANIZADO, COM ROSCA BSP, DE 1 1/2"</t>
  </si>
  <si>
    <t>COTOVELO 90 GRAUS DE FERRO GALVANIZADO, COM ROSCA BSP, DE 1 1/4"</t>
  </si>
  <si>
    <t>COTOVELO 90 GRAUS DE FERRO GALVANIZADO, COM ROSCA BSP, DE 1"</t>
  </si>
  <si>
    <t>COTOVELO 90 GRAUS DE FERRO GALVANIZADO, COM ROSCA BSP, DE 1/2"</t>
  </si>
  <si>
    <t>COTOVELO 90 GRAUS DE FERRO GALVANIZADO, COM ROSCA BSP, DE 2 1/2"</t>
  </si>
  <si>
    <t>COTOVELO 90 GRAUS DE FERRO GALVANIZADO, COM ROSCA BSP, DE 2"</t>
  </si>
  <si>
    <t>COTOVELO 90 GRAUS DE FERRO GALVANIZADO, COM ROSCA BSP, DE 3"</t>
  </si>
  <si>
    <t>COTOVELO 90 GRAUS DE FERRO GALVANIZADO, COM ROSCA BSP, DE 3/4"</t>
  </si>
  <si>
    <t>COTOVELO 90 GRAUS DE FERRO GALVANIZADO, COM ROSCA BSP, DE 4"</t>
  </si>
  <si>
    <t>COTOVELO 90 GRAUS DE FERRO GALVANIZADO, COM ROSCA BSP, DE 5"</t>
  </si>
  <si>
    <t>COTOVELO 90 GRAUS DE FERRO GALVANIZADO, COM ROSCA BSP, DE 6"</t>
  </si>
  <si>
    <t>COTOVELO 90 GRAUS, PEAD PE 100, DE 125 MM, PARA ELETROFUSAO</t>
  </si>
  <si>
    <t>COTOVELO 90 GRAUS, PEAD PE 100, DE 20 MM, PARA ELETROFUSAO</t>
  </si>
  <si>
    <t>COTOVELO 90 GRAUS, PEAD PE 100, DE 200 MM, PARA ELETROFUSAO</t>
  </si>
  <si>
    <t>COTOVELO 90 GRAUS, PEAD PE 100, DE 32 MM, PARA ELETROFUSAO</t>
  </si>
  <si>
    <t>COTOVELO 90 GRAUS, PEAD PE 100, DE 63 MM, PARA ELETROFUSAO</t>
  </si>
  <si>
    <t>COTOVELO BRONZE/LATAO SEM ANEL DE SOLDA, BOLSA X ROSCA F, 15MM X 1/2"</t>
  </si>
  <si>
    <t>COTOVELO BRONZE/LATAO SEM ANEL DE SOLDA, BOLSA X ROSCA F, 22MM X 1/2"</t>
  </si>
  <si>
    <t>COTOVELO BRONZE/LATAO SEM ANEL DE SOLDA, BOLSA X ROSCA F, 22MM X 3/4"</t>
  </si>
  <si>
    <t>COTOVELO DE COBRE 90 GRAUS SEM ANEL DE SOLDA, BOLSA X BOLSA, 104 MM</t>
  </si>
  <si>
    <t>COTOVELO DE COBRE 90 GRAUS SEM ANEL DE SOLDA, BOLSA X BOLSA, 15 MM</t>
  </si>
  <si>
    <t>COTOVELO DE COBRE 90 GRAUS SEM ANEL DE SOLDA, BOLSA X BOLSA, 22 MM</t>
  </si>
  <si>
    <t>COTOVELO DE COBRE 90 GRAUS SEM ANEL DE SOLDA, BOLSA X BOLSA, 28 MM</t>
  </si>
  <si>
    <t>COTOVELO DE COBRE 90 GRAUS SEM ANEL DE SOLDA, BOLSA X BOLSA, 35 MM</t>
  </si>
  <si>
    <t>COTOVELO DE COBRE 90 GRAUS SEM ANEL DE SOLDA, BOLSA X BOLSA, 42 MM</t>
  </si>
  <si>
    <t>COTOVELO DE COBRE 90 GRAUS SEM ANEL DE SOLDA, BOLSA X BOLSA, 54 MM</t>
  </si>
  <si>
    <t>COTOVELO DE COBRE 90 GRAUS SEM ANEL DE SOLDA, BOLSA X BOLSA, 66 MM</t>
  </si>
  <si>
    <t>COTOVELO DE COBRE 90 GRAUS SEM ANEL DE SOLDA, BOLSA X BOLSA, 79 MM</t>
  </si>
  <si>
    <t>COTOVELO DE REDUCAO 90 GRAUS DE FERRO GALVANIZADO, COM ROSCA BSP, DE 1 1/2" X 1"</t>
  </si>
  <si>
    <t>COTOVELO DE REDUCAO 90 GRAUS DE FERRO GALVANIZADO, COM ROSCA BSP, DE 1 1/2" X 3/4"</t>
  </si>
  <si>
    <t>COTOVELO DE REDUCAO 90 GRAUS DE FERRO GALVANIZADO, COM ROSCA BSP, DE 1 1/4" X 1"</t>
  </si>
  <si>
    <t>COTOVELO DE REDUCAO 90 GRAUS DE FERRO GALVANIZADO, COM ROSCA BSP, DE 1" X 1/2"</t>
  </si>
  <si>
    <t>COTOVELO DE REDUCAO 90 GRAUS DE FERRO GALVANIZADO, COM ROSCA BSP, DE 1" X 3/4"</t>
  </si>
  <si>
    <t>COTOVELO DE REDUCAO 90 GRAUS DE FERRO GALVANIZADO, COM ROSCA BSP, DE 2 1/2" X 2"</t>
  </si>
  <si>
    <t>COTOVELO DE REDUCAO 90 GRAUS DE FERRO GALVANIZADO, COM ROSCA BSP, DE 2" X 1 1/2"</t>
  </si>
  <si>
    <t>COTOVELO DE REDUCAO 90 GRAUS DE FERRO GALVANIZADO, COM ROSCA BSP, DE 3/4" X 1/2"</t>
  </si>
  <si>
    <t>COTOVELO HORIZONTAL RETO 90 GRAUS PARA ELETROCALHA, EM CHAPA PERFURADA DE ACO GALVANIZADO ESPESSURA #14, 700 X 50 MM (L X A), SEM VIROLA, SEM TAMPA</t>
  </si>
  <si>
    <t>COTOVELO HORIZONTAL RETO 90 GRAUS, PARA ELETROCALHA, EM CHAPA LISA DE ACO GALVANIZADO ESPESSURA # 22, 150 X 50 MM (L X A), SEM VIROLA, SEM TAMPA</t>
  </si>
  <si>
    <t>COTOVELO HORIZONTAL RETO 90 GRAUS, PARA ELETROCALHA, EM CHAPA LISA DE ACO GALVANIZADO ESPESSURA #14, 700 X 50 MM (L X A), SEM VIROLA, SEM TAMPA</t>
  </si>
  <si>
    <t>COTOVELO HORIZONTAL RETO 90 GRAUS, PARA ELETROCALHA, EM CHAPA LISA DE ACO GALVANIZADO ESPESSURA #14, 800 X 50 MM (L X A), SEM VIROLA, SEM TAMPA</t>
  </si>
  <si>
    <t>COTOVELO HORIZONTAL RETO 90 GRAUS, PARA ELETROCALHA, EM CHAPA LISA DE ACO GALVANIZADO ESPESSURA #16, 500 X 50 MM (L X A), SEM VIROLA, SEM TAMPA</t>
  </si>
  <si>
    <t>COTOVELO HORIZONTAL RETO 90 GRAUS, PARA ELETROCALHA, EM CHAPA LISA DE ACO GALVANIZADO ESPESSURA #16, 600 X 50 MM (L X A), SEM VIROLA, SEM TAMPA</t>
  </si>
  <si>
    <t>COTOVELO HORIZONTAL RETO 90 GRAUS, PARA ELETROCALHA, EM CHAPA LISA DE ACO GALVANIZADO ESPESSURA #18, 300 X 50 MM (L X A), SEM VIROLA, SEM TAMPA</t>
  </si>
  <si>
    <t>COTOVELO HORIZONTAL RETO 90 GRAUS, PARA ELETROCALHA, EM CHAPA LISA DE ACO GALVANIZADO ESPESSURA #18, 400 X 50 MM (L X A), SEM VIROLA, SEM TAMPA</t>
  </si>
  <si>
    <t>COTOVELO HORIZONTAL RETO 90 GRAUS, PARA ELETROCALHA, EM CHAPA LISA DE ACO GALVANIZADO ESPESSURA #22, 100 X 50 MM (L X A), SEM VIROLA, SEM TAMPA</t>
  </si>
  <si>
    <t>COTOVELO HORIZONTAL RETO 90 GRAUS, PARA ELETROCALHA, EM CHAPA LISA DE ACO GALVANIZADO ESPESSURA #22, 125 X 50 MM (L X A), SEM VIROLA, SEM TAMPA</t>
  </si>
  <si>
    <t>COTOVELO HORIZONTAL RETO 90 GRAUS, PARA ELETROCALHA, EM CHAPA LISA DE ACO GALVANIZADO ESPESSURA #22, 200 X 50 MM (L X A), SEM VIROLA, SEM TAMPA</t>
  </si>
  <si>
    <t>COTOVELO HORIZONTAL RETO 90 GRAUS, PARA ELETROCALHA, EM CHAPA LISA DE ACO GALVANIZADO ESPESSURA #22, 250 X 50 MM (L X A), SEM VIROLA, SEM TAMPA</t>
  </si>
  <si>
    <t>COTOVELO HORIZONTAL RETO 90 GRAUS, PARA ELETROCALHA, EM CHAPA LISA DE ACO GALVANIZADO ESPESSURA #22, 50 X 50 MM (L X A), SEM VIROLA, SEM TAMPA</t>
  </si>
  <si>
    <t>COTOVELO HORIZONTAL RETO 90 GRAUS, PARA ELETROCALHA, EM CHAPA LISA DE ACO GALVANIZADO ESPESSURA #22, 75 X 50 MM (L X A), SEM VIROLA, SEM TAMPA</t>
  </si>
  <si>
    <t>COTOVELO HORIZONTAL RETO 90 GRAUS, PARA ELETROCALHA, EM CHAPA PERFURADA DE ACO GALVANIZADO ESPESSURA #14, 800 X 50 MM (L X A), SEM VIROLA, SEM TAMPA</t>
  </si>
  <si>
    <t>COTOVELO HORIZONTAL RETO 90 GRAUS, PARA ELETROCALHA, EM CHAPA PERFURADA DE ACO GALVANIZADO ESPESSURA #16, 500 X 50 MM (L X A), SEM VIROLA, SEM TAMPA</t>
  </si>
  <si>
    <t>COTOVELO HORIZONTAL RETO 90 GRAUS, PARA ELETROCALHA, EM CHAPA PERFURADA DE ACO GALVANIZADO ESPESSURA #16, 600 X 50 MM (L X A), SEM VIROLA, SEM TAMPA</t>
  </si>
  <si>
    <t>COTOVELO HORIZONTAL RETO 90 GRAUS, PARA ELETROCALHA, EM CHAPA PERFURADA DE ACO GALVANIZADO ESPESSURA #18, 300 X 50 MM (L X A), SEM VIROLA, SEM TAMPA</t>
  </si>
  <si>
    <t>COTOVELO HORIZONTAL RETO 90 GRAUS, PARA ELETROCALHA, EM CHAPA PERFURADA DE ACO GALVANIZADO ESPESSURA #18, 400 X 50 MM (L X A), SEM VIROLA, SEM TAMPA</t>
  </si>
  <si>
    <t>COTOVELO HORIZONTAL RETO 90 GRAUS, PARA ELETROCALHA, EM CHAPA PERFURADA DE ACO GALVANIZADO ESPESSURA #22, 125 X 50 MM (L X A), SEM VIROLA, SEM TAMPA</t>
  </si>
  <si>
    <t>COTOVELO HORIZONTAL RETO 90 GRAUS, PARA ELETROCALHA, EM CHAPA PERFURADA DE ACO GALVANIZADO ESPESSURA #22, 150 X 50 MM (L X A), SEM VIROLA, SEM TAMPA</t>
  </si>
  <si>
    <t>COTOVELO HORIZONTAL RETO 90 GRAUS, PARA ELETROCALHA, EM CHAPA PERFURADA DE ACO GALVANIZADO ESPESSURA #22, 200 X 50 MM (L X A), SEM VIROLA, SEM TAMPA</t>
  </si>
  <si>
    <t>COTOVELO HORIZONTAL RETO 90 GRAUS, PARA ELETROCALHA, EM CHAPA PERFURADA DE ACO GALVANIZADO ESPESSURA #22, 250 X 50 MM (L X A), SEM VIROLA, SEM TAMPA</t>
  </si>
  <si>
    <t>COTOVELO HORIZONTAL RETO 90 GRAUS, PARA ELETROCALHA, EM CHAPA PERFURADA DE ACO GALVANIZADO ESPESSURA #22, 50 X 50 MM (L X A), SEM VIROLA, SEM TAMPA</t>
  </si>
  <si>
    <t>COTOVELO HORIZONTAL RETO 90 GRAUS, PARA ELETROCALHA, EM CHAPA PERFURADA DE ACO GALVANIZADO ESPESSURA #22, 75 X 50 MM (L X A), SEM VIROLA, SEM TAMPA</t>
  </si>
  <si>
    <t>COTOVELO HORIZONTAL RETO, 90 GRAUS, PARA ELETROCALHA, EM CHAPA PERFURADA DE ACO GALVANIZADO ESPESSURA #22, 100 X 50 MM (L X A), SEM VIROLA, SEM TAMPA</t>
  </si>
  <si>
    <t>COTOVELO/JOELHO 90 GRAUS, EM POLIPROPILENO, PN 16, PARA TUBOS PEAD, 20 X 20 MM - LIGACAO PREDIAL DE AGUA</t>
  </si>
  <si>
    <t>COTOVELO/JOELHO 90 GRAUS, EM POLIPROPILENO, PN 16, PARA TUBOS PEAD, 32 X 32 MM - LIGACAO PREDIAL DE AGUA</t>
  </si>
  <si>
    <t>COTOVELO/JOELHO COM ADAPTADOR, 90 GRAUS, EM POLIPROPILENO, PN 16, PARA TUBOS PEAD, 20 MM X 1/2" - LIGACAO PREDIAL DE AGUA</t>
  </si>
  <si>
    <t>COTOVELO/JOELHO COM ADAPTADOR, 90 GRAUS, EM POLIPROPILENO, PN 16, PARA TUBOS PEAD, 20 MM X 3/4" - LIGACAO PREDIAL DE AGUA</t>
  </si>
  <si>
    <t>COTOVELO/JOELHO COM ADAPTADOR, 90 GRAUS, EM POLIPROPILENO, PN 16, PARA TUBOS PEAD, 32 MM X 1" - LIGACAO PREDIAL DE AGUA</t>
  </si>
  <si>
    <t>CREMONA RETANGULAR INJETADA LISA COM CHAVE, COM CASTANHA / ALCA, EM LATAO, COM ACABAMENTO CROMADO, DE SOBREPOR / EMBUTIR</t>
  </si>
  <si>
    <t>CREMONA RETANGULAR INJETADA LISA, COM CASTANHA / ALCA, EM LATAO, COM ACABAMENTO CROMADO, DE SOBREPOR / EMBUTIR</t>
  </si>
  <si>
    <t>CRUZETA DE CONCRETO LEVE, COMP. 2000 MM SECAO, 90 X 90 MM</t>
  </si>
  <si>
    <t>CRUZETA DE FERRO GALVANIZADO, COM ROSCA BSP, DE 1 1/2"</t>
  </si>
  <si>
    <t>CRUZETA DE FERRO GALVANIZADO, COM ROSCA BSP, DE 1 1/4"</t>
  </si>
  <si>
    <t>CRUZETA DE FERRO GALVANIZADO, COM ROSCA BSP, DE 1"</t>
  </si>
  <si>
    <t>CRUZETA DE FERRO GALVANIZADO, COM ROSCA BSP, DE 1/2"</t>
  </si>
  <si>
    <t>CRUZETA DE FERRO GALVANIZADO, COM ROSCA BSP, DE 2 1/2"</t>
  </si>
  <si>
    <t>CRUZETA DE FERRO GALVANIZADO, COM ROSCA BSP, DE 2"</t>
  </si>
  <si>
    <t>CRUZETA DE FERRO GALVANIZADO, COM ROSCA BSP, DE 3"</t>
  </si>
  <si>
    <t>CRUZETA DE FERRO GALVANIZADO, COM ROSCA BSP, DE 3/4"</t>
  </si>
  <si>
    <t>CRUZETA DE MADEIRA TRATADA, *90 X 115 X 2400* MM, EM EUCALIPTO OU EQUIVALENTE DA REGIAO</t>
  </si>
  <si>
    <t>CUBA ACO INOX (AISI 304) DE EMBUTIR COM VALVULA 3 1/2", DE *40 X 34 X 12* CM</t>
  </si>
  <si>
    <t>CUBA ACO INOX (AISI 304) DE EMBUTIR COM VALVULA 3 1/2", DE *46 X 30 X 12* CM</t>
  </si>
  <si>
    <t>CUBA ACO INOX (AISI 304) DE EMBUTIR COM VALVULA DE 3 1/2", DE *56 X 33 X 12* CM</t>
  </si>
  <si>
    <t>CUMEEIRA ARTICULADA (ABA INFERIOR) PARA TELHA ONDULADA DE FIBROCIMENTO E = 4 MM, ABA *330* MM, COMPRIMENTO 500 MM (SEM AMIANTO)</t>
  </si>
  <si>
    <t>CUMEEIRA NORMAL PARA TELHA ESTRUTURAL DE FIBROCIMENTO 2 ABAS, E = 6 MM, DE 1050 X 935 MM (SEM AMIANTO)</t>
  </si>
  <si>
    <t>CUMEEIRA NORMAL PARA TELHA ONDULADA DE FIBROCIMENTO, E = 6 MM, ABA 300 MM, COMPRIMENTO 1100 MM (SEM AMIANTO)</t>
  </si>
  <si>
    <t>CUMEEIRA PARA TELHA CERAMICA, COMPRIMENTO DE *41* CM, RENDIMENTO DE *3* TELHAS/M</t>
  </si>
  <si>
    <t>CUMEEIRA PARA TELHA DE CONCRETO, PARA 2 AGUAS DE TELHADO, COR CINZA, RENDIMENTO DE *3* TELHAS/M</t>
  </si>
  <si>
    <t>CUMEEIRA SHED PARA TELHA ONDULADA DE FIBROCIMENTO, E = 6 MM, ABA 280 MM, COMPRIMENTO 1100 MM (SEM AMIANTO)</t>
  </si>
  <si>
    <t>CUMEEIRA UNIVERSAL PARA TELHA ONDULADA DE FIBROCIMENTO, E = 6 MM, ABA 210 MM, COMPRIMENTO 1100 MM (SEM AMIANTO)</t>
  </si>
  <si>
    <t>CURVA 135 GRAUS PARA ELETRODUTO, EM ACO GALVANIZADO ELETROLITICO, COM ROSCA, DIAMETRO DE 100 MM (4")</t>
  </si>
  <si>
    <t>CURVA 135 GRAUS PARA ELETRODUTO, EM ACO GALVANIZADO ELETROLITICO, COM ROSCA, DIAMETRO DE 15 MM (1/2"), ESPESSURA DE 1,50 MM</t>
  </si>
  <si>
    <t>CURVA 135 GRAUS PARA ELETRODUTO, EM ACO GALVANIZADO ELETROLITICO, COM ROSCA, DIAMETRO DE 20 MM (3/4"), ESPESSURA DE 1,50 MM</t>
  </si>
  <si>
    <t>CURVA 135 GRAUS PARA ELETRODUTO, EM ACO GALVANIZADO ELETROLITICO, COM ROSCA, DIAMETRO DE 25 MM (1"), ESPESSURA DE 1,50 MM</t>
  </si>
  <si>
    <t>CURVA 135 GRAUS PARA ELETRODUTO, EM ACO GALVANIZADO ELETROLITICO, COM ROSCA, DIAMETRO DE 32 MM (1 1/4"), ESPESSURA DE 1,50 MM</t>
  </si>
  <si>
    <t>CURVA 135 GRAUS PARA ELETRODUTO, EM ACO GALVANIZADO ELETROLITICO, COM ROSCA, DIAMETRO DE 40 MM (1 1/2"), ESPESSURA DE 1,50 MM</t>
  </si>
  <si>
    <t>CURVA 135 GRAUS PARA ELETRODUTO, EM ACO GALVANIZADO ELETROLITICO, COM ROSCA, DIAMETRO DE 50 MM (2")</t>
  </si>
  <si>
    <t>CURVA 135 GRAUS PARA ELETRODUTO, EM ACO GALVANIZADO ELETROLITICO, COM ROSCA, DIAMETRO DE 65 MM (2 1/2")</t>
  </si>
  <si>
    <t>CURVA 135 GRAUS PARA ELETRODUTO, EM ACO GALVANIZADO ELETROLITICO, COM ROSCA, DIAMETRO DE 80 MM (3")</t>
  </si>
  <si>
    <t>CURVA 135 GRAUS, DE PVC RIGIDO ROSCAVEL, DE 1", PARA ELETRODUTO</t>
  </si>
  <si>
    <t>CURVA 135 GRAUS, DE PVC RIGIDO ROSCAVEL, DE 3/4", PARA ELETRODUTO</t>
  </si>
  <si>
    <t>CURVA 180 GRAUS, DE PVC RIGIDO ROSCAVEL, DE 1 1/2", PARA ELETRODUTO</t>
  </si>
  <si>
    <t>CURVA 180 GRAUS, DE PVC RIGIDO ROSCAVEL, DE 1 1/4", PARA ELETRODUTO</t>
  </si>
  <si>
    <t>CURVA 180 GRAUS, DE PVC RIGIDO ROSCAVEL, DE 1", PARA ELETRODUTO</t>
  </si>
  <si>
    <t>CURVA 180 GRAUS, DE PVC RIGIDO ROSCAVEL, DE 1/2", PARA ELETRODUTO</t>
  </si>
  <si>
    <t>CURVA 180 GRAUS, DE PVC RIGIDO ROSCAVEL, DE 2", PARA ELETRODUTO</t>
  </si>
  <si>
    <t>CURVA 180 GRAUS, DE PVC RIGIDO ROSCAVEL, DE 3/4", PARA ELETRODUTO</t>
  </si>
  <si>
    <t>CURVA 45 GRAUS DE COBRE SEM ANEL DE SOLDA, BOLSA X BOLSA, 15 MM</t>
  </si>
  <si>
    <t>CURVA 45 GRAUS DE COBRE SEM ANEL DE SOLDA, BOLSA X BOLSA, 22 MM</t>
  </si>
  <si>
    <t>CURVA 45 GRAUS DE COBRE SEM ANEL DE SOLDA, BOLSA X BOLSA, 28 MM</t>
  </si>
  <si>
    <t>CURVA 45 GRAUS DE COBRE SEM ANEL DE SOLDA, BOLSA X BOLSA, 35 MM</t>
  </si>
  <si>
    <t>CURVA 45 GRAUS DE COBRE SEM ANEL DE SOLDA, BOLSA X BOLSA, 42 MM</t>
  </si>
  <si>
    <t>CURVA 45 GRAUS DE COBRE SEM ANEL DE SOLDA, BOLSA X BOLSA, 54 MM</t>
  </si>
  <si>
    <t>CURVA 45 GRAUS DE COBRE SEM ANEL DE SOLDA, BOLSA X BOLSA, 66 MM</t>
  </si>
  <si>
    <t>CURVA 45 GRAUS DE FERRO GALVANIZADO, COM ROSCA BSP FEMEA, DE 1 1/2"</t>
  </si>
  <si>
    <t>CURVA 45 GRAUS DE FERRO GALVANIZADO, COM ROSCA BSP FEMEA, DE 1 1/4"</t>
  </si>
  <si>
    <t>CURVA 45 GRAUS DE FERRO GALVANIZADO, COM ROSCA BSP FEMEA, DE 1"</t>
  </si>
  <si>
    <t>CURVA 45 GRAUS DE FERRO GALVANIZADO, COM ROSCA BSP FEMEA, DE 1/2"</t>
  </si>
  <si>
    <t>CURVA 45 GRAUS DE FERRO GALVANIZADO, COM ROSCA BSP FEMEA, DE 2 1/2"</t>
  </si>
  <si>
    <t>CURVA 45 GRAUS DE FERRO GALVANIZADO, COM ROSCA BSP FEMEA, DE 2"</t>
  </si>
  <si>
    <t>CURVA 45 GRAUS DE FERRO GALVANIZADO, COM ROSCA BSP FEMEA, DE 3"</t>
  </si>
  <si>
    <t>CURVA 45 GRAUS DE FERRO GALVANIZADO, COM ROSCA BSP FEMEA, DE 3/4"</t>
  </si>
  <si>
    <t>CURVA 45 GRAUS DE FERRO GALVANIZADO, COM ROSCA BSP FEMEA, DE 4"</t>
  </si>
  <si>
    <t>CURVA 45 GRAUS DE FERRO GALVANIZADO, COM ROSCA BSP MACHO/FEMEA, DE 1 1/2"</t>
  </si>
  <si>
    <t>CURVA 45 GRAUS DE FERRO GALVANIZADO, COM ROSCA BSP MACHO/FEMEA, DE 1 1/4"</t>
  </si>
  <si>
    <t>CURVA 45 GRAUS DE FERRO GALVANIZADO, COM ROSCA BSP MACHO/FEMEA, DE 1"</t>
  </si>
  <si>
    <t>CURVA 45 GRAUS DE FERRO GALVANIZADO, COM ROSCA BSP MACHO/FEMEA, DE 1/2"</t>
  </si>
  <si>
    <t>CURVA 45 GRAUS DE FERRO GALVANIZADO, COM ROSCA BSP MACHO/FEMEA, DE 2 1/2"</t>
  </si>
  <si>
    <t>CURVA 45 GRAUS DE FERRO GALVANIZADO, COM ROSCA BSP MACHO/FEMEA, DE 2"</t>
  </si>
  <si>
    <t>CURVA 45 GRAUS DE FERRO GALVANIZADO, COM ROSCA BSP MACHO/FEMEA, DE 3"</t>
  </si>
  <si>
    <t>CURVA 45 GRAUS DE FERRO GALVANIZADO, COM ROSCA BSP MACHO/FEMEA, DE 3/4"</t>
  </si>
  <si>
    <t>CURVA 45 GRAUS EM ACO CARBONO, SOLDAVEL, PRESSAO 3.000 LBS, DN 1 1/2"</t>
  </si>
  <si>
    <t>CURVA 45 GRAUS EM ACO CARBONO, SOLDAVEL, PRESSAO 3.000 LBS, DN 1 1/4"</t>
  </si>
  <si>
    <t>CURVA 45 GRAUS EM ACO CARBONO, SOLDAVEL, PRESSAO 3.000 LBS, DN 1"</t>
  </si>
  <si>
    <t>CURVA 45 GRAUS EM ACO CARBONO, SOLDAVEL, PRESSAO 3.000 LBS, DN 1/2"</t>
  </si>
  <si>
    <t>CURVA 45 GRAUS EM ACO CARBONO, SOLDAVEL, PRESSAO 3.000 LBS, DN 2 1/2"</t>
  </si>
  <si>
    <t>CURVA 45 GRAUS EM ACO CARBONO, SOLDAVEL, PRESSAO 3.000 LBS, DN 2"</t>
  </si>
  <si>
    <t>CURVA 45 GRAUS EM ACO CARBONO, SOLDAVEL, PRESSAO 3.000 LBS, DN 3"</t>
  </si>
  <si>
    <t>CURVA 45 GRAUS EM ACO CARBONO, SOLDAVEL, PRESSAO 3.000 LBS, DN 3/4"</t>
  </si>
  <si>
    <t>CURVA 45 GRAUS PARA ELETRODUTO, EM ACO GALVANIZADO ELETROLITICO, COM ROSCA, DIAMETRO DE 20 MM (3/4"), ESPESSURA DE 1,50 MM</t>
  </si>
  <si>
    <t>CURVA 45 GRAUS PARA ELETRODUTO, EM ACO GALVANIZADO ELETROLITICO, COM ROSCA, DIAMETRO DE 25 MM (1"), ESPESSURA DE 1,50 MM</t>
  </si>
  <si>
    <t>CURVA 45 GRAUS PARA ELETRODUTO, EM ACO GALVANIZADO ELETROLITICO, COM ROSCA, DIAMETRO DE 40 MM (1 1/2"), ESPESSURA DE 1,50 MM</t>
  </si>
  <si>
    <t>CURVA 45 GRAUS RANHURADA EM FERRO FUNDIDO, DN 50 MM (2")</t>
  </si>
  <si>
    <t>CURVA 45 GRAUS RANHURADA EM FERRO FUNDIDO, DN 65 MM (2 1/2")</t>
  </si>
  <si>
    <t>CURVA 45 GRAUS RANHURADA EM FERRO FUNDIDO, DN 80 MM (3")</t>
  </si>
  <si>
    <t>CURVA 90 GRAUS DE BARRA CHATA EM ALUMINIO 3/4" X 1/4" X 300 MM</t>
  </si>
  <si>
    <t>CURVA 90 GRAUS DE FERRO GALVANIZADO, COM ROSCA BSP FEMEA, DE 1 1/2"</t>
  </si>
  <si>
    <t>CURVA 90 GRAUS DE FERRO GALVANIZADO, COM ROSCA BSP FEMEA, DE 1 1/4"</t>
  </si>
  <si>
    <t>CURVA 90 GRAUS DE FERRO GALVANIZADO, COM ROSCA BSP FEMEA, DE 1"</t>
  </si>
  <si>
    <t>CURVA 90 GRAUS DE FERRO GALVANIZADO, COM ROSCA BSP FEMEA, DE 1/2"</t>
  </si>
  <si>
    <t>CURVA 90 GRAUS DE FERRO GALVANIZADO, COM ROSCA BSP FEMEA, DE 2 1/2"</t>
  </si>
  <si>
    <t>CURVA 90 GRAUS DE FERRO GALVANIZADO, COM ROSCA BSP FEMEA, DE 2"</t>
  </si>
  <si>
    <t>CURVA 90 GRAUS DE FERRO GALVANIZADO, COM ROSCA BSP FEMEA, DE 3"</t>
  </si>
  <si>
    <t>CURVA 90 GRAUS DE FERRO GALVANIZADO, COM ROSCA BSP FEMEA, DE 3/4"</t>
  </si>
  <si>
    <t>CURVA 90 GRAUS DE FERRO GALVANIZADO, COM ROSCA BSP FEMEA, DE 4"</t>
  </si>
  <si>
    <t>CURVA 90 GRAUS DE FERRO GALVANIZADO, COM ROSCA BSP MACHO, DE 1 1/2"</t>
  </si>
  <si>
    <t>CURVA 90 GRAUS DE FERRO GALVANIZADO, COM ROSCA BSP MACHO, DE 1 1/4"</t>
  </si>
  <si>
    <t>CURVA 90 GRAUS DE FERRO GALVANIZADO, COM ROSCA BSP MACHO, DE 1"</t>
  </si>
  <si>
    <t>CURVA 90 GRAUS DE FERRO GALVANIZADO, COM ROSCA BSP MACHO, DE 1/2"</t>
  </si>
  <si>
    <t>CURVA 90 GRAUS DE FERRO GALVANIZADO, COM ROSCA BSP MACHO, DE 2 1/2"</t>
  </si>
  <si>
    <t>CURVA 90 GRAUS DE FERRO GALVANIZADO, COM ROSCA BSP MACHO, DE 2"</t>
  </si>
  <si>
    <t>CURVA 90 GRAUS DE FERRO GALVANIZADO, COM ROSCA BSP MACHO, DE 3"</t>
  </si>
  <si>
    <t>CURVA 90 GRAUS DE FERRO GALVANIZADO, COM ROSCA BSP MACHO, DE 3/4"</t>
  </si>
  <si>
    <t>CURVA 90 GRAUS DE FERRO GALVANIZADO, COM ROSCA BSP MACHO, DE 4"</t>
  </si>
  <si>
    <t>CURVA 90 GRAUS DE FERRO GALVANIZADO, COM ROSCA BSP MACHO, DE 6"</t>
  </si>
  <si>
    <t>CURVA 90 GRAUS DE FERRO GALVANIZADO, COM ROSCA BSP MACHO/FEMEA, DE 1 1/2"</t>
  </si>
  <si>
    <t>CURVA 90 GRAUS DE FERRO GALVANIZADO, COM ROSCA BSP MACHO/FEMEA, DE 1 1/4"</t>
  </si>
  <si>
    <t>CURVA 90 GRAUS DE FERRO GALVANIZADO, COM ROSCA BSP MACHO/FEMEA, DE 1"</t>
  </si>
  <si>
    <t>CURVA 90 GRAUS DE FERRO GALVANIZADO, COM ROSCA BSP MACHO/FEMEA, DE 1/2"</t>
  </si>
  <si>
    <t>CURVA 90 GRAUS DE FERRO GALVANIZADO, COM ROSCA BSP MACHO/FEMEA, DE 2 1/2"</t>
  </si>
  <si>
    <t>CURVA 90 GRAUS DE FERRO GALVANIZADO, COM ROSCA BSP MACHO/FEMEA, DE 2"</t>
  </si>
  <si>
    <t>CURVA 90 GRAUS DE FERRO GALVANIZADO, COM ROSCA BSP MACHO/FEMEA, DE 3"</t>
  </si>
  <si>
    <t>CURVA 90 GRAUS DE FERRO GALVANIZADO, COM ROSCA BSP MACHO/FEMEA, DE 3/4"</t>
  </si>
  <si>
    <t>CURVA 90 GRAUS DE FERRO GALVANIZADO, COM ROSCA BSP MACHO/FEMEA, DE 4"</t>
  </si>
  <si>
    <t>CURVA 90 GRAUS EM ACO CARBONO, RAIO CURTO, SOLDAVEL, PRESSAO 3.000 LBS, DN 1 1/2"</t>
  </si>
  <si>
    <t>CURVA 90 GRAUS EM ACO CARBONO, RAIO CURTO, SOLDAVEL, PRESSAO 3.000 LBS, DN 1 1/4"</t>
  </si>
  <si>
    <t>CURVA 90 GRAUS EM ACO CARBONO, RAIO CURTO, SOLDAVEL, PRESSAO 3.000 LBS, DN 1"</t>
  </si>
  <si>
    <t>CURVA 90 GRAUS EM ACO CARBONO, RAIO CURTO, SOLDAVEL, PRESSAO 3.000 LBS, DN 1/2"</t>
  </si>
  <si>
    <t>CURVA 90 GRAUS EM ACO CARBONO, RAIO CURTO, SOLDAVEL, PRESSAO 3.000 LBS, DN 2 1/2"</t>
  </si>
  <si>
    <t>CURVA 90 GRAUS EM ACO CARBONO, RAIO CURTO, SOLDAVEL, PRESSAO 3.000 LBS, DN 2"</t>
  </si>
  <si>
    <t>CURVA 90 GRAUS EM ACO CARBONO, RAIO CURTO, SOLDAVEL, PRESSAO 3.000 LBS, DN 3"</t>
  </si>
  <si>
    <t>CURVA 90 GRAUS EM ACO CARBONO, RAIO CURTO, SOLDAVEL, PRESSAO 3.000 LBS, DN 3/4"</t>
  </si>
  <si>
    <t>CURVA 90 GRAUS PARA ELETRODUTO, EM ACO GALVANIZADO ELETROLITICO, COM ROSCA, DIAMETRO DE 100 MM (4")</t>
  </si>
  <si>
    <t>CURVA 90 GRAUS PARA ELETRODUTO, EM ACO GALVANIZADO ELETROLITICO, COM ROSCA, DIAMETRO DE 15 MM (1/2"), ESPESSURA DE 1,50 MM</t>
  </si>
  <si>
    <t>CURVA 90 GRAUS PARA ELETRODUTO, EM ACO GALVANIZADO ELETROLITICO, COM ROSCA, DIAMETRO DE 20 MM (3/4"), ESPESSURA DE 1,50 MM</t>
  </si>
  <si>
    <t>CURVA 90 GRAUS PARA ELETRODUTO, EM ACO GALVANIZADO ELETROLITICO, COM ROSCA, DIAMETRO DE 25 MM (1"), ESPESSURA DE 1,50 MM</t>
  </si>
  <si>
    <t>CURVA 90 GRAUS PARA ELETRODUTO, EM ACO GALVANIZADO ELETROLITICO, COM ROSCA, DIAMETRO DE 32 MM (1 1/4"), ESPESSURA DE 1,50 MM</t>
  </si>
  <si>
    <t>CURVA 90 GRAUS PARA ELETRODUTO, EM ACO GALVANIZADO ELETROLITICO, COM ROSCA, DIAMETRO DE 40 MM (1 1/2"), ESPESSURA DE 1,50 MM</t>
  </si>
  <si>
    <t>CURVA 90 GRAUS PARA ELETRODUTO, EM ACO GALVANIZADO ELETROLITICO, COM ROSCA, DIAMETRO DE 50 MM (2")</t>
  </si>
  <si>
    <t>CURVA 90 GRAUS PARA ELETRODUTO, EM ACO GALVANIZADO ELETROLITICO, COM ROSCA, DIAMETRO DE 65 MM (2 1/2")</t>
  </si>
  <si>
    <t>CURVA 90 GRAUS PARA ELETRODUTO, EM ACO GALVANIZADO ELETROLITICO, COM ROSCA, DIAMETRO DE 80 MM (3")</t>
  </si>
  <si>
    <t>CURVA 90 GRAUS RANHURADA EM FERRO FUNDIDO, DN 50 MM (2")</t>
  </si>
  <si>
    <t>CURVA 90 GRAUS RANHURADA EM FERRO FUNDIDO, DN 65 MM (2 1/2")</t>
  </si>
  <si>
    <t>CURVA 90 GRAUS RANHURADA EM FERRO FUNDIDO, DN 80 MM (3")</t>
  </si>
  <si>
    <t>CURVA 90 GRAUS, CURTA, DE PVC RIGIDO ROSCAVEL, DE 1", PARA ELETRODUTO</t>
  </si>
  <si>
    <t>CURVA 90 GRAUS, CURTA, DE PVC RIGIDO ROSCAVEL, DE 1/2", PARA ELETRODUTO</t>
  </si>
  <si>
    <t>CURVA 90 GRAUS, CURTA, DE PVC RIGIDO ROSCAVEL, DE 3/4", PARA ELETRODUTO</t>
  </si>
  <si>
    <t>CURVA 90 GRAUS, LONGA, DE PVC RIGIDO ROSCAVEL, DE 1 1/2", PARA ELETRODUTO</t>
  </si>
  <si>
    <t>CURVA 90 GRAUS, LONGA, DE PVC RIGIDO ROSCAVEL, DE 1 1/4", PARA ELETRODUTO</t>
  </si>
  <si>
    <t>CURVA 90 GRAUS, LONGA, DE PVC RIGIDO ROSCAVEL, DE 1", PARA ELETRODUTO</t>
  </si>
  <si>
    <t>CURVA 90 GRAUS, LONGA, DE PVC RIGIDO ROSCAVEL, DE 1/2", PARA ELETRODUTO</t>
  </si>
  <si>
    <t>CURVA 90 GRAUS, LONGA, DE PVC RIGIDO ROSCAVEL, DE 2 1/2", PARA ELETRODUTO</t>
  </si>
  <si>
    <t>CURVA 90 GRAUS, LONGA, DE PVC RIGIDO ROSCAVEL, DE 2", PARA ELETRODUTO</t>
  </si>
  <si>
    <t>CURVA 90 GRAUS, LONGA, DE PVC RIGIDO ROSCAVEL, DE 3", PARA ELETRODUTO</t>
  </si>
  <si>
    <t>CURVA 90 GRAUS, LONGA, DE PVC RIGIDO ROSCAVEL, DE 3/4", PARA ELETRODUTO</t>
  </si>
  <si>
    <t>CURVA 90 GRAUS, LONGA, DE PVC RIGIDO ROSCAVEL, DE 4", PARA ELETRODUTO</t>
  </si>
  <si>
    <t>CURVA CPVC, 90 GRAUS, SOLDAVEL, 15 MM, PARA AGUA QUENTE</t>
  </si>
  <si>
    <t>CURVA CPVC, 90 GRAUS, SOLDAVEL, 22 MM, PARA AGUA QUENTE</t>
  </si>
  <si>
    <t>CURVA CPVC, 90 GRAUS, SOLDAVEL, 28 MM, PARA AGUA QUENTE</t>
  </si>
  <si>
    <t>CURVA DE PVC 45 GRAUS, SOLDAVEL, 20 MM, COR MARROM, PARA AGUA FRIA PREDIAL</t>
  </si>
  <si>
    <t>CURVA DE PVC 45 GRAUS, SOLDAVEL, 25 MM, COR MARROM, PARA AGUA FRIA PREDIAL</t>
  </si>
  <si>
    <t>CURVA DE PVC 45 GRAUS, SOLDAVEL, 32 MM, COR MARROM, PARA AGUA FRIA PREDIAL</t>
  </si>
  <si>
    <t>CURVA DE PVC 45 GRAUS, SOLDAVEL, 40 MM, COR MARROM, PARA AGUA FRIA PREDIAL</t>
  </si>
  <si>
    <t>CURVA DE PVC 45 GRAUS, SOLDAVEL, 50 MM, COR MARROM, PARA AGUA FRIA PREDIAL</t>
  </si>
  <si>
    <t>CURVA DE PVC 45 GRAUS, SOLDAVEL, 60 MM, COR MARROM, PARA AGUA FRIA PREDIAL</t>
  </si>
  <si>
    <t>CURVA DE PVC 45 GRAUS, SOLDAVEL, 75 MM, COR MARROM, PARA AGUA FRIA PREDIAL</t>
  </si>
  <si>
    <t>CURVA DE PVC 45 GRAUS, SOLDAVEL, 85 MM, COR MARROM, PARA AGUA FRIA PREDIAL</t>
  </si>
  <si>
    <t>CURVA DE PVC 90 GRAUS, SOLDAVEL, 110 MM, COR MARROM, PARA AGUA FRIA PREDIAL</t>
  </si>
  <si>
    <t>CURVA DE PVC 90 GRAUS, SOLDAVEL, 20 MM, COR MARROM, PARA AGUA FRIA PREDIAL</t>
  </si>
  <si>
    <t>CURVA DE PVC 90 GRAUS, SOLDAVEL, 25 MM, COR MARROM, PARA AGUA FRIA PREDIAL</t>
  </si>
  <si>
    <t>CURVA DE PVC 90 GRAUS, SOLDAVEL, 32 MM, COR MARROM, PARA AGUA FRIA PREDIAL</t>
  </si>
  <si>
    <t>CURVA DE PVC 90 GRAUS, SOLDAVEL, 40 MM, COR MARROM, PARA AGUA FRIA PREDIAL</t>
  </si>
  <si>
    <t>CURVA DE PVC 90 GRAUS, SOLDAVEL, 50 MM, COR MARROM, PARA AGUA FRIA PREDIAL</t>
  </si>
  <si>
    <t>CURVA DE PVC 90 GRAUS, SOLDAVEL, 60 MM, COR MARROM, PARA AGUA FRIA PREDIAL</t>
  </si>
  <si>
    <t>CURVA DE PVC 90 GRAUS, SOLDAVEL, 75 MM, COR MARROM, PARA AGUA FRIA PREDIAL</t>
  </si>
  <si>
    <t>CURVA DE PVC 90 GRAUS, SOLDAVEL, 85 MM, COR MARROM, PARA AGUA FRIA PREDIAL</t>
  </si>
  <si>
    <t>CURVA DE PVC, 90 GRAUS, SERIE R, DN 100 MM, PARA ESGOTO PREDIAL</t>
  </si>
  <si>
    <t>CURVA DE TRANSPOSICAO BRONZE/LATAO SEM ANEL DE SOLDA, BOLSA X BOLSA, 15 MM</t>
  </si>
  <si>
    <t>CURVA DE TRANSPOSICAO BRONZE/LATAO SEM ANEL DE SOLDA, BOLSA X BOLSA, 22 MM</t>
  </si>
  <si>
    <t>CURVA DE TRANSPOSICAO BRONZE/LATAO SEM ANEL DE SOLDA, BOLSA X BOLSA, 28 MM</t>
  </si>
  <si>
    <t>CURVA DE TRANSPOSICAO, CPVC, SOLDAVEL, 15 MM</t>
  </si>
  <si>
    <t>CURVA DE TRANSPOSICAO, CPVC, SOLDAVEL, 22 MM</t>
  </si>
  <si>
    <t>CURVA DE TRANSPOSICAO, PVC SOLDAVEL, 20 MM, COR MARROM, PARA AGUA FRIA PREDIAL</t>
  </si>
  <si>
    <t>CURVA DE TRANSPOSICAO, PVC, SOLDAVEL, 25 MM, COR MARROM, PARA AGUA FRIA PREDIAL</t>
  </si>
  <si>
    <t>CURVA DE TRANSPOSICAO, PVC, SOLDAVEL, 32 MM, COR MARROM, PARA AGUA FRIA PREDIAL</t>
  </si>
  <si>
    <t>CURVA HORIZONTAL 90 GRAUS PERFURADA, PARA ELETROCALHA, EM CHAPA DE ACO GALVANIZADO ESPESSURA #14, 700 X 50 MM (L X A), SEM VIROLA, SEM TAMPA</t>
  </si>
  <si>
    <t>CURVA HORIZONTAL 90 GRAUS PERFURADA, PARA ELETROCALHA, EM CHAPA DE ACO GALVANIZADO ESPESSURA #14, 800 X 50 MM (L X A), SEM VIROLA, SEM TAMPA</t>
  </si>
  <si>
    <t>CURVA HORIZONTAL 90 GRAUS PERFURADA, PARA ELETROCALHA, EM CHAPA DE ACO GALVANIZADO ESPESSURA #16, 500 X 50 MM (L X A), SEM VIROLA, SEM TAMPA</t>
  </si>
  <si>
    <t>CURVA HORIZONTAL 90 GRAUS PERFURADA, PARA ELETROCALHA, EM CHAPA DE ACO GALVANIZADO ESPESSURA #16, 600 X 50 MM (L X A), SEM VIROLA, SEM TAMPA</t>
  </si>
  <si>
    <t>CURVA HORIZONTAL 90 GRAUS PERFURADA, PARA ELETROCALHA, EM CHAPA DE ACO GALVANIZADO ESPESSURA #18, 300 X 50 MM (L X A), SEM VIROLA, SEM TAMPA</t>
  </si>
  <si>
    <t>CURVA HORIZONTAL 90 GRAUS PERFURADA, PARA ELETROCALHA, EM CHAPA DE ACO GALVANIZADO ESPESSURA #18, 400 X 50 MM (L X A), SEM VIROLA, SEM TAMPA</t>
  </si>
  <si>
    <t>CURVA HORIZONTAL 90 GRAUS PERFURADA, PARA ELETROCALHA, EM CHAPA DE ACO GALVANIZADO ESPESSURA #22, 100 X 50 MM (L X A), SEM VIROLA, SEM TAMPA</t>
  </si>
  <si>
    <t>CURVA HORIZONTAL 90 GRAUS PERFURADA, PARA ELETROCALHA, EM CHAPA DE ACO GALVANIZADO ESPESSURA #22, 125 X 50 MM (L X A), SEM VIROLA, SEM TAMPA</t>
  </si>
  <si>
    <t>CURVA HORIZONTAL 90 GRAUS PERFURADA, PARA ELETROCALHA, EM CHAPA DE ACO GALVANIZADO ESPESSURA #22, 150 X 50 MM (L X A), SEM VIROLA, SEM TAMPA</t>
  </si>
  <si>
    <t>CURVA HORIZONTAL 90 GRAUS PERFURADA, PARA ELETROCALHA, EM CHAPA DE ACO GALVANIZADO ESPESSURA #22, 200 X 50 MM (L X A), SEM VIROLA, SEM TAMPA</t>
  </si>
  <si>
    <t>CURVA HORIZONTAL 90 GRAUS PERFURADA, PARA ELETROCALHA, EM CHAPA DE ACO GALVANIZADO ESPESSURA #22, 250 X 50 MM (L X A), SEM VIROLA, SEM TAMPA</t>
  </si>
  <si>
    <t>CURVA HORIZONTAL 90 GRAUS PERFURADA, PARA ELETROCALHA, EM CHAPA DE ACO GALVANIZADO ESPESSURA #22, 50 X 50 MM (L X A), SEM VIROLA, SEM TAMPA</t>
  </si>
  <si>
    <t>CURVA HORIZONTAL 90 GRAUS PERFURADA, PARA ELETROCALHA, EM CHAPA DE ACO GALVANIZADO ESPESSURA #22, 75 X 50 MM (L X A), SEM VIROLA, SEM TAMPA</t>
  </si>
  <si>
    <t>CURVA LONGA PVC, PB, JE, 45 GRAUS, DN 100 MM, PARA REDE COLETORA ESGOTO</t>
  </si>
  <si>
    <t>CURVA LONGA PVC, PB, JE, 45 GRAUS, DN 150 MM, PARA REDE COLETORA ESGOTO</t>
  </si>
  <si>
    <t>CURVA LONGA PVC, PB, JE, 90 GRAUS, DN 100 MM, PARA REDE COLETORA ESGOTO</t>
  </si>
  <si>
    <t>CURVA LONGA PVC, PB, JE, 90 GRAUS, DN 150 MM, PARA REDE COLETORA ESGOTO</t>
  </si>
  <si>
    <t>CURVA PPR 90 GRAUS, F/F, DN 20 MM, PARA AGUA QUENTE PREDIAL</t>
  </si>
  <si>
    <t>CURVA PPR 90 GRAUS, F/F, DN 25 MM, PARA AGUA QUENTE PREDIAL</t>
  </si>
  <si>
    <t>CURVA PVC 90 GRAUS, ROSCAVEL, 1 1/4", COR BRANCA, AGUA FRIA PREDIAL</t>
  </si>
  <si>
    <t>CURVA PVC 90 GRAUS, ROSCAVEL, 1", COR BRANCA, AGUA FRIA PREDIAL</t>
  </si>
  <si>
    <t>CURVA PVC 90 GRAUS, ROSCAVEL, 1/2", COR BRANCA, AGUA FRIA PREDIAL</t>
  </si>
  <si>
    <t>CURVA PVC 90 GRAUS, ROSCAVEL, 3/4", COR BRANCA, AGUA FRIA PREDIAL</t>
  </si>
  <si>
    <t>CURVA PVC CURTA 90 GRAUS, DN 100 MM, PARA ESGOTO PREDIAL</t>
  </si>
  <si>
    <t>CURVA PVC CURTA 90 GRAUS, DN 40 MM, PARA ESGOTO PREDIAL</t>
  </si>
  <si>
    <t>CURVA PVC CURTA 90 GRAUS, DN 50 MM, PARA ESGOTO PREDIAL</t>
  </si>
  <si>
    <t>CURVA PVC CURTA 90 GRAUS, DN 75 MM, PARA ESGOTO PREDIAL</t>
  </si>
  <si>
    <t>CURVA PVC LONGA 90 GRAUS, DN 100 MM, PARA ESGOTO PREDIAL</t>
  </si>
  <si>
    <t>CURVA PVC LONGA 90 GRAUS, DN 40 MM, PARA ESGOTO PREDIAL</t>
  </si>
  <si>
    <t>CURVA PVC LONGA 90 GRAUS, DN 50 MM, PARA ESGOTO PREDIAL</t>
  </si>
  <si>
    <t>CURVA PVC LONGA 90 GRAUS, DN 75 MM, PARA ESGOTO PREDIAL</t>
  </si>
  <si>
    <t>CURVA PVC PBA, JE, PB, 45 GRAUS, DN 100 / DE 110 MM, PARA REDE DE AGUA</t>
  </si>
  <si>
    <t>CURVA PVC PBA, JE, PB, 45 GRAUS, DN 50 / DE 60 MM, PARA REDE DE AGUA</t>
  </si>
  <si>
    <t>CURVA PVC PBA, JE, PB, 45 GRAUS, DN 75 / DE 85 MM, PARA REDE DE AGUA</t>
  </si>
  <si>
    <t>CURVA PVC PBA, JE, PB, 90 GRAUS, DN 100 / DE 110 MM, PARA REDE DE AGUA</t>
  </si>
  <si>
    <t>CURVA PVC PBA, JE, PB, 90 GRAUS, DN 50 / DE 60 MM, PARA REDE DE AGUA</t>
  </si>
  <si>
    <t>CURVA PVC PBA, JE, PB, 90 GRAUS, DN 75 / DE 85 MM, PARA REDE DE AGUA</t>
  </si>
  <si>
    <t>CURVA PVC, BB, JE, 45 GRAUS, DN 250 MM, PARA TUBO CORRUGADO E/OU LISO, REDE COLETORA ESGOTO</t>
  </si>
  <si>
    <t>CURVA PVC, BB, JE, 90 GRAUS, DN 200 MM, PARA TUBO CORRUGADO E/OU LISO, REDE COLETORA ESGOTO</t>
  </si>
  <si>
    <t>CURVA PVC, BB, JE, 90 GRAUS, DN 250 MM, PARA TUBO CORRUGADO E/OU LISO, REDE COLETORA ESGOTO</t>
  </si>
  <si>
    <t>CURVA PVC, SERIE R, 87.30 GRAUS, CURTA, PARA PE-DE-COLUNA, DN 100 MM, PARA ESGOTO PREDIAL</t>
  </si>
  <si>
    <t>CURVA PVC, SERIE R, 87.30 GRAUS, CURTA, PARA PE-DE-COLUNA, DN 150 MM, PARA ESGOTO PREDIAL</t>
  </si>
  <si>
    <t>CURVA PVC, SERIE R, 87.30 GRAUS, CURTA, PARA PE-DE-COLUNA, DN 75 MM, PARA ESGOTO PREDIAL</t>
  </si>
  <si>
    <t>DENTE PARA FRESADORA</t>
  </si>
  <si>
    <t>DESEMPENADEIRA DE ACO DENTADA 12 X *25* CM, DENTES 8 X 8 MM, CABO FECHADO DE MADEIRA</t>
  </si>
  <si>
    <t>DESEMPENADEIRA DE ACO LISA 12 X *25* CM COM CABO FECHADO DE MADEIRA</t>
  </si>
  <si>
    <t>DESEMPENADEIRA DE MADEIRA *16 X 27* CM</t>
  </si>
  <si>
    <t>DESEMPENADEIRA PLASTICA LISA *14 X 27* CM</t>
  </si>
  <si>
    <t>DESENHISTA PROJETISTA (HORISTA)</t>
  </si>
  <si>
    <t>DESENHISTA PROJETISTA (MENSALISTA)</t>
  </si>
  <si>
    <t>DESINFETANTE PRONTO USO</t>
  </si>
  <si>
    <t>DESMOLDANTE PARA CONCRETO ESTAMPADO</t>
  </si>
  <si>
    <t>DESMOLDANTE PARA FORMAS METALICAS A BASE DE OLEO VEGETAL</t>
  </si>
  <si>
    <t>DESMOLDANTE PROTETOR PARA FORMAS DE MADEIRA, DE BASE OLEOSA EMULSIONADA EM AGUA</t>
  </si>
  <si>
    <t>DETECTOR DE TENSAO 90 V A 1000 V (CAT IV)</t>
  </si>
  <si>
    <t>DETERGENTE NEUTRO USO GERAL, CONCENTRADO</t>
  </si>
  <si>
    <t>DILUENTE AGUARRAS</t>
  </si>
  <si>
    <t>DILUENTE EPOXI</t>
  </si>
  <si>
    <t>DISCO DE BORRACHA PARA LIXADEIRA RIGIDO 7" COM ARRUELA CENTRAL</t>
  </si>
  <si>
    <t>DISCO DE CORTE DIAMANTADO SEGMENTADO DIAMETRO DE 180 MM PARA ESMERILHADEIRA 7"</t>
  </si>
  <si>
    <t>DISCO DE CORTE DIAMANTADO SEGMENTADO PARA CONCRETO/ASFALTO, DIAMETRO DE *350* MM, FURO DE 25,40 MM</t>
  </si>
  <si>
    <t>DISCO DE CORTE DIAMANTADO SEGMENTADO, DIAMETRO DE *110* MM, FURO DE 20 MM</t>
  </si>
  <si>
    <t>DISCO DE CORTE PARA METAL COM DUAS TELAS 12 X 1/8 X 3/4" (300 X 3,2 X 19,05 MM)</t>
  </si>
  <si>
    <t>DISCO DE DESBASTE PARA METAL FERROSO EM GERAL, COM TRES TELAS, 9 X 1/4 X 7/8" (228,6 X 6,4 X 22,2 MM)</t>
  </si>
  <si>
    <t>DISCO DE LIXA PARA METAL, DIAMETRO = 180 MM, GRAO 120</t>
  </si>
  <si>
    <t>DISJUNTOR TERMOMAGNETICO AJUSTAVEL, TRIPOLAR DE 100 ATE 250A, CAPACIDADE DE INTERRUPCAO DE 35KA</t>
  </si>
  <si>
    <t>DISJUNTOR TERMOMAGNETICO AJUSTAVEL, TRIPOLAR DE 300 ATE 400A, CAPACIDADE DE INTERRUPCAO DE 35KA</t>
  </si>
  <si>
    <t>DISJUNTOR TERMOMAGNETICO AJUSTAVEL, TRIPOLAR DE 450 ATE 600A, CAPACIDADE DE INTERRUPCAO DE 35KA</t>
  </si>
  <si>
    <t>DISJUNTOR TERMOMAGNETICO PARA TRILHO DIN (IEC), BIPOLAR, 40 - 50 A</t>
  </si>
  <si>
    <t>DISJUNTOR TERMOMAGNETICO PARA TRILHO DIN (IEC), BIPOLAR, 6 - 32 A</t>
  </si>
  <si>
    <t>DISJUNTOR TERMOMAGNETICO PARA TRILHO DIN (IEC), BIPOLAR, 63 A</t>
  </si>
  <si>
    <t>DISJUNTOR TERMOMAGNETICO PARA TRILHO DIN (IEC), MONOPOLAR, 40 - 50 A</t>
  </si>
  <si>
    <t>DISJUNTOR TERMOMAGNETICO PARA TRILHO DIN (IEC), MONOPOLAR, 6 - 32 A</t>
  </si>
  <si>
    <t>DISJUNTOR TERMOMAGNETICO PARA TRILHO DIN (IEC), MONOPOLAR, 63 A</t>
  </si>
  <si>
    <t>DISJUNTOR TERMOMAGNETICO PARA TRILHO DIN (IEC), TRIPOLAR, 10 - 50 A</t>
  </si>
  <si>
    <t>DISJUNTOR TERMOMAGNETICO PARA TRILHO DIN (IEC), TRIPOLAR, 63 A</t>
  </si>
  <si>
    <t>DISJUNTOR TERMOMAGNETICO TRIPOLAR 125 A / 425 V / ICC - 25 KA</t>
  </si>
  <si>
    <t>DISJUNTOR TERMOMAGNETICO TRIPOLAR 150 A / 600 V, TIPO FXD / ICC - 35 KA</t>
  </si>
  <si>
    <t>DISJUNTOR TERMOMAGNETICO TRIPOLAR 200 A / 600 V, TIPO FXD / ICC - 35 KA</t>
  </si>
  <si>
    <t>DISJUNTOR TERMOMAGNETICO TRIPOLAR 250 A / 600 V, TIPO FXD</t>
  </si>
  <si>
    <t>DISJUNTOR TERMOMAGNETICO TRIPOLAR 3 X 250 A/ICC - 25 KA</t>
  </si>
  <si>
    <t>DISJUNTOR TERMOMAGNETICO TRIPOLAR 3 X 350 A/ICC - 25 KA</t>
  </si>
  <si>
    <t>DISJUNTOR TERMOMAGNETICO TRIPOLAR 3 X 400 A / ICC - 25 KA</t>
  </si>
  <si>
    <t>DISJUNTOR TERMOMAGNETICO TRIPOLAR 300 A / 600 V, TIPO JXD / ICC - 40 KA</t>
  </si>
  <si>
    <t>DISJUNTOR TERMOMAGNETICO TRIPOLAR 400 A / 600 V, TIPO JXD / ICC - 40 KA</t>
  </si>
  <si>
    <t>DISJUNTOR TERMOMAGNETICO TRIPOLAR 600 A / 600 V, TIPO LXD / ICC - 40 KA</t>
  </si>
  <si>
    <t>DISJUNTOR TERMOMAGNETICO TRIPOLAR 800 A / 600 V, TIPO LMXD</t>
  </si>
  <si>
    <t>DISJUNTOR TIPO NEMA, BIPOLAR 10 ATE 50 A, TENSAO MAXIMA 415 V</t>
  </si>
  <si>
    <t>DISJUNTOR TIPO NEMA, BIPOLAR 60 ATE 100A, TENSAO MAXIMA 415 V</t>
  </si>
  <si>
    <t>DISJUNTOR TIPO NEMA, MONOPOLAR 10 ATE 30A, TENSAO MAXIMA DE 240 V</t>
  </si>
  <si>
    <t>DISJUNTOR TIPO NEMA, MONOPOLAR 35 ATE 50 A, TENSAO MAXIMA DE 240 V</t>
  </si>
  <si>
    <t>DISJUNTOR TIPO NEMA, MONOPOLAR DE 60 ATE 70A, TENSAO MAXIMA DE 240 V</t>
  </si>
  <si>
    <t>DISJUNTOR TIPO NEMA, TRIPOLAR 10 ATE 50A, TENSAO MAXIMA DE 415 V</t>
  </si>
  <si>
    <t>DISJUNTOR TIPO NEMA, TRIPOLAR 60 ATE 100 A, TENSAO MAXIMA DE 415 V</t>
  </si>
  <si>
    <t>DISPOSITIVO DPS CLASSE II, 1 POLO, TENSAO MAXIMA DE 175 V, CORRENTE MAXIMA DE *20* KA (TIPO AC)</t>
  </si>
  <si>
    <t>DISPOSITIVO DPS CLASSE II, 1 POLO, TENSAO MAXIMA DE 175 V, CORRENTE MAXIMA DE *30* KA (TIPO AC)</t>
  </si>
  <si>
    <t>DISPOSITIVO DPS CLASSE II, 1 POLO, TENSAO MAXIMA DE 175 V, CORRENTE MAXIMA DE *45* KA (TIPO AC)</t>
  </si>
  <si>
    <t>DISPOSITIVO DPS CLASSE II, 1 POLO, TENSAO MAXIMA DE 175 V, CORRENTE MAXIMA DE *90* KA (TIPO AC)</t>
  </si>
  <si>
    <t>DISPOSITIVO DPS CLASSE II, 1 POLO, TENSAO MAXIMA DE 275 V, CORRENTE MAXIMA DE *20* KA (TIPO AC)</t>
  </si>
  <si>
    <t>DISPOSITIVO DPS CLASSE II, 1 POLO, TENSAO MAXIMA DE 275 V, CORRENTE MAXIMA DE *30* KA (TIPO AC)</t>
  </si>
  <si>
    <t>DISPOSITIVO DPS CLASSE II, 1 POLO, TENSAO MAXIMA DE 275 V, CORRENTE MAXIMA DE *45* KA (TIPO AC)</t>
  </si>
  <si>
    <t>DISPOSITIVO DPS CLASSE II, 1 POLO, TENSAO MAXIMA DE 275 V, CORRENTE MAXIMA DE *90* KA (TIPO AC)</t>
  </si>
  <si>
    <t>DISPOSITIVO DPS CLASSE II, 1 POLO, TENSAO MAXIMA DE 385 V, CORRENTE MAXIMA DE *20* KA (TIPO AC)</t>
  </si>
  <si>
    <t>DISPOSITIVO DPS CLASSE II, 1 POLO, TENSAO MAXIMA DE 385 V, CORRENTE MAXIMA DE *30* KA (TIPO AC)</t>
  </si>
  <si>
    <t>DISPOSITIVO DPS CLASSE II, 1 POLO, TENSAO MAXIMA DE 385 V, CORRENTE MAXIMA DE *45* KA (TIPO AC)</t>
  </si>
  <si>
    <t>DISPOSITIVO DPS CLASSE II, 1 POLO, TENSAO MAXIMA DE 385 V, CORRENTE MAXIMA DE *90* KA (TIPO AC)</t>
  </si>
  <si>
    <t>DISPOSITIVO DPS CLASSE II, 1 POLO, TENSAO MAXIMA DE 460 V, CORRENTE MAXIMA DE *20* KA (TIPO AC)</t>
  </si>
  <si>
    <t>DISPOSITIVO DPS CLASSE II, 1 POLO, TENSAO MAXIMA DE 460 V, CORRENTE MAXIMA DE *30* KA (TIPO AC)</t>
  </si>
  <si>
    <t>DISPOSITIVO DPS CLASSE II, 1 POLO, TENSAO MAXIMA DE 460 V, CORRENTE MAXIMA DE *45* KA (TIPO AC)</t>
  </si>
  <si>
    <t>DISPOSITIVO DPS CLASSE II, 1 POLO, TENSAO MAXIMA DE 460 V, CORRENTE MAXIMA DE *90* KA (TIPO AC)</t>
  </si>
  <si>
    <t>DISPOSITIVO DR, 2 POLOS, SENSIBILIDADE DE 30 MA, CORRENTE DE 100 A, TIPO AC</t>
  </si>
  <si>
    <t>DISPOSITIVO DR, 2 POLOS, SENSIBILIDADE DE 30 MA, CORRENTE DE 25 A, TIPO AC</t>
  </si>
  <si>
    <t>DISPOSITIVO DR, 2 POLOS, SENSIBILIDADE DE 30 MA, CORRENTE DE 40 A, TIPO AC</t>
  </si>
  <si>
    <t>DISPOSITIVO DR, 2 POLOS, SENSIBILIDADE DE 30 MA, CORRENTE DE 63 A, TIPO AC</t>
  </si>
  <si>
    <t>DISPOSITIVO DR, 2 POLOS, SENSIBILIDADE DE 30 MA, CORRENTE DE 80 A, TIPO AC</t>
  </si>
  <si>
    <t>DISPOSITIVO DR, 2 POLOS, SENSIBILIDADE DE 300 MA, CORRENTE DE 25 A, TIPO AC</t>
  </si>
  <si>
    <t>DISPOSITIVO DR, 2 POLOS, SENSIBILIDADE DE 300 MA, CORRENTE DE 40 A, TIPO AC</t>
  </si>
  <si>
    <t>DISPOSITIVO DR, 2 POLOS, SENSIBILIDADE DE 300 MA, CORRENTE DE 63 A, TIPO AC</t>
  </si>
  <si>
    <t>DISPOSITIVO DR, 2 POLOS, SENSIBILIDADE DE 300 MA, CORRENTE DE 80 A, TIPO AC</t>
  </si>
  <si>
    <t>DISPOSITIVO DR, 4 POLOS, SENSIBILIDADE DE 30 MA, CORRENTE DE 100 A, TIPO AC</t>
  </si>
  <si>
    <t>DISPOSITIVO DR, 4 POLOS, SENSIBILIDADE DE 30 MA, CORRENTE DE 25 A, TIPO AC</t>
  </si>
  <si>
    <t>DISPOSITIVO DR, 4 POLOS, SENSIBILIDADE DE 30 MA, CORRENTE DE 40 A, TIPO AC</t>
  </si>
  <si>
    <t>DISPOSITIVO DR, 4 POLOS, SENSIBILIDADE DE 30 MA, CORRENTE DE 63 A, TIPO AC</t>
  </si>
  <si>
    <t>DISPOSITIVO DR, 4 POLOS, SENSIBILIDADE DE 30 MA, CORRENTE DE 80 A, TIPO AC</t>
  </si>
  <si>
    <t>DISPOSITIVO DR, 4 POLOS, SENSIBILIDADE DE 300 MA, CORRENTE DE 100 A, TIPO AC</t>
  </si>
  <si>
    <t>DISPOSITIVO DR, 4 POLOS, SENSIBILIDADE DE 300 MA, CORRENTE DE 25 A, TIPO AC</t>
  </si>
  <si>
    <t>DISPOSITIVO DR, 4 POLOS, SENSIBILIDADE DE 300 MA, CORRENTE DE 40 A, TIPO AC</t>
  </si>
  <si>
    <t>DISPOSITIVO DR, 4 POLOS, SENSIBILIDADE DE 300 MA, CORRENTE DE 63 A, TIPO AC</t>
  </si>
  <si>
    <t>DISPOSITIVO DR, 4 POLOS, SENSIBILIDADE DE 300 MA, CORRENTE DE 80 A, TIPO AC</t>
  </si>
  <si>
    <t>DISTRIBUIDOR DE AGREGADOS AUTOPROPELIDO, CAP 3 M3, A DIESEL, 6 CC, 176 CV</t>
  </si>
  <si>
    <t>DISTRIBUIDOR DE AGREGADOS REBOCAVEL, CAPACIDADE 1,9 M3, LARGURA DE TRABALHO 3,66 M</t>
  </si>
  <si>
    <t>DISTRIBUIDOR METALICO, COM ROSCA, 2 SAIDAS, DN 1" X 1/2", PARA CONEXAO COM ANEL DESLIZANTE EM TUBO PEX PARA INST. AGUA QUENTE/FRIA</t>
  </si>
  <si>
    <t>DISTRIBUIDOR METALICO, COM ROSCA, 2 SAIDAS, DN 3/4" X 1/2", PARA CONEXAO COM ANEL DESLIZANTE EM TUBO PEX PARA INST. AGUA QUENTE/FRIA</t>
  </si>
  <si>
    <t>DISTRIBUIDOR METALICO, COM ROSCA, 3 SAIDAS, DN 1" X 1/2", PARA CONEXAO COM ANEL DESLIZANTE EM TUBO PEX PARA INST. AGUA QUENTE/FRIA</t>
  </si>
  <si>
    <t>DISTRIBUIDOR METALICO, COM ROSCA, 3 SAIDAS, DN 3/4" X 1/2", PARA CONEXAO COM ANEL DESLIZANTE EM TUBO PEX PARA INST. AGUA QUENTE/FRIA</t>
  </si>
  <si>
    <t>DISTRIBUIDOR, PLASTICO, 2 SAIDAS, DN 32 X 16 MM, PARA CONEXAO COM CRIMPAGEM, EM TUBO PEX PARA INST. AGUA QUENTE/FRIA</t>
  </si>
  <si>
    <t>DISTRIBUIDOR, PLASTICO, 2 SAIDAS, DN 32 X 25 MM, PARA CONEXAO COM CRIMPAGEM, EM TUBO PEX PARA INST. AGUA QUENTE/FRIA</t>
  </si>
  <si>
    <t>DISTRIBUIDOR, PLASTICO, 3 SAIDAS, DN 32 X 16 MM, PARA CONEXAO COM CRIMPAGEM, EM TUBO PEX PARA INST. AGUA QUENTE/FRIA</t>
  </si>
  <si>
    <t>DISTRIBUIDOR, PLASTICO, 3 SAIDAS, DN 32 X 25 MM, PARA CONEXAO COM CRIMPAGEM, EM TUBO PEX PARA INST. AGUA QUENTE/FRIA</t>
  </si>
  <si>
    <t>DIVISORIA EM GRANITO, COM DUAS FACES POLIDAS, TIPO ANDORINHA/ QUARTZ/ CASTELO/ CORUMBA OU OUTROS EQUIVALENTES DA REGIAO, E= *3,0* CM</t>
  </si>
  <si>
    <t>DIVISORIA EM MARMORE, COM DUAS FACES POLIDAS, BRANCO COMUM, E= *3,0* CM</t>
  </si>
  <si>
    <t>DIVISORIA, PLACA PRE-MOLDADA EM GRANILITE, MARMORITE OU GRANITINA, E = *3 CM</t>
  </si>
  <si>
    <t>DOBRADEIRA ELETROMECANICA DE VERGALHAO, PARA ACO DE DIAMETRO ATE 1 1/2", MOTOR ELETRICO TRIFASICO, POTENCIA DE 3 HP ATE 5 HP</t>
  </si>
  <si>
    <t>DOBRADICA EM ACO/FERRO, 3 1/2" X 3", E= 1,9 A 2 MM, COM ANEL, CROMADO OU ZINCADO, TAMPA BOLA, COM PARAFUSOS</t>
  </si>
  <si>
    <t>DOBRADICA EM ACO/FERRO, 3" X 2 1/2", E= 1,2 A 1,8 MM, SEM ANEL, CROMADO OU ZINCADO, TAMPA BOLA, COM PARAFUSOS</t>
  </si>
  <si>
    <t>DOBRADICA EM ACO/FERRO, 3" X 2 1/2", E= 1,2 A 1,8 MM, SEM ANEL, CROMADO OU ZINCADO, TAMPA CHATA, COM PARAFUSOS</t>
  </si>
  <si>
    <t>DOBRADICA EM ACO/FERRO, 3" X 2 1/2", E= 1,9 A 2 MM, SEM ANEL, CROMADO OU ZINCADO, TAMPA BOLA, COM PARAFUSOS</t>
  </si>
  <si>
    <t>DOBRADICA EM LATAO, 3" X 2 1/2", E= 1,9 A 2 MM, COM ANEL, CROMADO, TAMPA BOLA, COM PARAFUSOS</t>
  </si>
  <si>
    <t>DOBRADICA TIPO VAI-E-VEM EM ACO/FERRO, TAMANHO 3", GALVANIZADO, COM PARAFUSOS</t>
  </si>
  <si>
    <t>DOMOS / CLARABOIA INDIVIDUAL, EM ACRILICO BRANCO/LEITOSO, *95 X 95* CM, INCLUI ACESSORIOS DE FIXACAO, SEM INSTALACAO</t>
  </si>
  <si>
    <t>DOSADOR DE AREIA, CAPACIDADE DE *26* LITROS</t>
  </si>
  <si>
    <t>DUCHA / CHUVEIRO METALICO, DE PAREDE, ARTICULAVEL, COM BRACO/CANO, SEM DESVIADOR</t>
  </si>
  <si>
    <t>DUCHA / CHUVEIRO METALICO, DE PAREDE, ARTICULAVEL, COM DESVIADOR E DUCHA MANUAL</t>
  </si>
  <si>
    <t>DUCHA / CHUVEIRO PLASTICO SIMPLES, 5", BRANCO, PARA ACOPLAR EM HASTE 1/2", AGUA FRIA</t>
  </si>
  <si>
    <t>DUCHA HIGIENICA PLASTICA COM REGISTRO METALICO 1/2"</t>
  </si>
  <si>
    <t>ELEMENTO PRE-MOLDADO PARA TRANSICAO EXCENTRICA EM CONCRETO ARMADO, DN *1200* MM, FURO CIRCULAR DN 600 MM, ESPESSURA *12* CM</t>
  </si>
  <si>
    <t>ELEMENTO PRE-MOLDADO PARA TRANSICAO EXCENTRICA EM CONCRETO ARMADO, DN *1500* MM, FURO CIRCULAR DN 600 MM, ESPESSURA 15 CM</t>
  </si>
  <si>
    <t>ELEMENTO VAZADO CERAMICO DIAGONAL (TIPO FLOR/QUADRADO/XIS) DE *7 X 18 X 25* CM (L X A X C)</t>
  </si>
  <si>
    <t>ELEMENTO VAZADO CERAMICO QUADRADO (TIPO RETO OU REDONDO) DE *7 A 9 X 20 X 20* CM (L X A X C)</t>
  </si>
  <si>
    <t>ELEMENTO VAZADO DE CONCRETO, QUADRICULADO, 1 FURO *10 X 10 X 10* CM</t>
  </si>
  <si>
    <t>ELEMENTO VAZADO DE CONCRETO, QUADRICULADO, 1 FURO *20 X 10 X 7* CM</t>
  </si>
  <si>
    <t>ELEMENTO VAZADO DE CONCRETO, QUADRICULADO, 1 FURO *20 X 20 X 6,5* CM</t>
  </si>
  <si>
    <t>ELEMENTO VAZADO DE CONCRETO, QUADRICULADO, 16 FUROS *29 X 29 X 6* CM</t>
  </si>
  <si>
    <t>ELEMENTO VAZADO DE CONCRETO, QUADRICULADO, 16 FUROS *33 X 33 X 10* CM</t>
  </si>
  <si>
    <t>ELEMENTO VAZADO DE CONCRETO, QUADRICULADO, 16 FUROS *40 X 40 X 7* CM</t>
  </si>
  <si>
    <t>ELEMENTO VAZADO DE CONCRETO, QUADRICULADO, 16 FUROS *50 X 50 X 7* CM</t>
  </si>
  <si>
    <t>ELEMENTO VAZADO DE CONCRETO, QUADRICULADO, 25 FUROS *50 X 50 X 5* CM</t>
  </si>
  <si>
    <t>ELEMENTO VAZADO DE CONCRETO, VENEZIANA *39 X 22 X 15* CM</t>
  </si>
  <si>
    <t>ELEMENTO VAZADO DE CONCRETO, VENEZIANA *39 X 29 X 10* CM</t>
  </si>
  <si>
    <t>ELEMENTO VAZADO DE CONCRETO, VENEZIANA *40 X 10 X 10* CM</t>
  </si>
  <si>
    <t>ELETRICISTA (HORISTA)</t>
  </si>
  <si>
    <t>ELETRICISTA (MENSALISTA)</t>
  </si>
  <si>
    <t>ELETROCALHA LISA OU PERFURADA TIPO U, EM CHAPA DE ACO GALVANIZADO A FOGO, ESPESSURA # 14, DE 700 X 50 MM (L X A), SEM VIROLA, SEM TAMPA</t>
  </si>
  <si>
    <t>ELETROCALHA LISA OU PERFURADA TIPO U, EM CHAPA DE ACO GALVANIZADO A FOGO, ESPESSURA # 14, DE 800 X 50 MM (L X A), SEM VIROLA, SEM TAMPA</t>
  </si>
  <si>
    <t>ELETROCALHA LISA OU PERFURADA TIPO U, EM CHAPA DE ACO GALVANIZADO A FOGO, ESPESSURA # 16, DE 500 X 50 MM (L X A), SEM VIROLA, SEM TAMPA</t>
  </si>
  <si>
    <t>ELETROCALHA LISA OU PERFURADA TIPO U, EM CHAPA DE ACO GALVANIZADO A FOGO, ESPESSURA # 16, DE 600 X 50 MM (L X A), SEM VIROLA, SEM TAMPA</t>
  </si>
  <si>
    <t>ELETROCALHA LISA OU PERFURADA TIPO U, EM CHAPA DE ACO GALVANIZADO A FOGO, ESPESSURA # 18, DE 300 X 50 MM (L X A), SEM VIROLA, SEM TAMPA</t>
  </si>
  <si>
    <t>ELETROCALHA LISA OU PERFURADA TIPO U, EM CHAPA DE ACO GALVANIZADO A FOGO, ESPESSURA # 18, DE 400 X 50 MM (L X A), SEM VIROLA, SEM TAMPA</t>
  </si>
  <si>
    <t>ELETROCALHA LISA OU PERFURADA TIPO U, EM CHAPA DE ACO GALVANIZADO A FOGO, ESPESSURA # 22, DE 100 X 50 MM (L X A), SEM VIROLA, SEM TAMPA</t>
  </si>
  <si>
    <t>ELETROCALHA LISA OU PERFURADA TIPO U, EM CHAPA DE ACO GALVANIZADO A FOGO, ESPESSURA # 22, DE 125 X 50 MM (L X A), SEM VIROLA, SEM TAMPA</t>
  </si>
  <si>
    <t>ELETROCALHA LISA OU PERFURADA TIPO U, EM CHAPA DE ACO GALVANIZADO A FOGO, ESPESSURA # 22, DE 150 X 50 MM (L X A), SEM VIROLA, SEM TAMPA</t>
  </si>
  <si>
    <t>ELETROCALHA LISA OU PERFURADA TIPO U, EM CHAPA DE ACO GALVANIZADO A FOGO, ESPESSURA # 22, DE 250 X 50 MM (L X A), SEM VIROLA, SEM TAMPA</t>
  </si>
  <si>
    <t>ELETROCALHA LISA OU PERFURADA TIPO U, EM CHAPA DE ACO GALVANIZADO A FOGO, ESPESSURA # 22, DE 75 X 50 MM (L X A), SEM VIROLA, SEM TAMPA</t>
  </si>
  <si>
    <t>ELETROCALHA LISA OU PERFURADA, TIPO U, EM CHAPA DE ACO GALVANIZADO A FOGO, ESPESSURA # 22, DE 200 X 50 MM (L X A), SEM VIROLA, SEM TAMPA</t>
  </si>
  <si>
    <t>ELETROCALHA LISA OU PERFURADA, TIPO U, EM CHAPA DE ACO GALVANIZADO A FOGO, ESPESSURA #22, DE 50 X 50 MM (L X A), SEM VIROLA, SEM TAMPA</t>
  </si>
  <si>
    <t>ELETRODO REVESTIDO AWS - E-6010, DIAMETRO IGUAL A 4,00 MM</t>
  </si>
  <si>
    <t>ELETRODO REVESTIDO AWS - E6013, DIAMETRO IGUAL A 2,50 MM</t>
  </si>
  <si>
    <t>ELETRODO REVESTIDO AWS - E6013, DIAMETRO IGUAL A 4,00 MM</t>
  </si>
  <si>
    <t>ELETRODO REVESTIDO AWS - E7018, DIAMETRO IGUAL A 4,00 MM</t>
  </si>
  <si>
    <t>ELETRODUTO DE PVC RIGIDO ROSCAVEL DE 1 1/2", SEM LUVA</t>
  </si>
  <si>
    <t>ELETRODUTO DE PVC RIGIDO ROSCAVEL DE 1 1/4", SEM LUVA</t>
  </si>
  <si>
    <t>ELETRODUTO DE PVC RIGIDO ROSCAVEL DE 1", SEM LUVA</t>
  </si>
  <si>
    <t>ELETRODUTO DE PVC RIGIDO ROSCAVEL DE 1/2", SEM LUVA</t>
  </si>
  <si>
    <t>ELETRODUTO DE PVC RIGIDO ROSCAVEL DE 2 1/2", SEM LUVA</t>
  </si>
  <si>
    <t>ELETRODUTO DE PVC RIGIDO ROSCAVEL DE 2", SEM LUVA</t>
  </si>
  <si>
    <t>ELETRODUTO DE PVC RIGIDO ROSCAVEL DE 3", SEM LUVA</t>
  </si>
  <si>
    <t>ELETRODUTO DE PVC RIGIDO ROSCAVEL DE 3/4", SEM LUVA</t>
  </si>
  <si>
    <t>ELETRODUTO DE PVC RIGIDO ROSCAVEL DE 4", SEM LUVA</t>
  </si>
  <si>
    <t>ELETRODUTO DE PVC RIGIDO SOLDAVEL, CLASSE B, DE 20 MM</t>
  </si>
  <si>
    <t>ELETRODUTO DE PVC RIGIDO SOLDAVEL, CLASSE B, DE 25 MM</t>
  </si>
  <si>
    <t>ELETRODUTO DE PVC RIGIDO SOLDAVEL, CLASSE B, DE 32 MM</t>
  </si>
  <si>
    <t>ELETRODUTO DE PVC RIGIDO SOLDAVEL, CLASSE B, DE 40 MM</t>
  </si>
  <si>
    <t>ELETRODUTO DE PVC RIGIDO SOLDAVEL, CLASSE B, DE 50 MM</t>
  </si>
  <si>
    <t>ELETRODUTO DE PVC RIGIDO SOLDAVEL, CLASSE B, DE 60 MM</t>
  </si>
  <si>
    <t>ELETRODUTO EM ACO GALVANIZADO ELETROLITICO, LEVE, DIAMETRO 3/4", PAREDE DE 0,90 MM</t>
  </si>
  <si>
    <t>ELETRODUTO FLEXIVEL PLANO EM PEAD, COR PRETA E LARANJA, DIAMETRO 25 MM</t>
  </si>
  <si>
    <t>ELETRODUTO FLEXIVEL PLANO EM PEAD, COR PRETA E LARANJA, DIAMETRO 32 MM</t>
  </si>
  <si>
    <t>ELETRODUTO FLEXIVEL PLANO EM PEAD, COR PRETA E LARANJA, DIAMETRO 40 MM</t>
  </si>
  <si>
    <t>ELETRODUTO FLEXIVEL, EM FITA DE ACO GALVANIZADO, REVESTIDO COM PVC PRETO, DIAMETRO EXTERNO DE 15 MM, DN = 3/8", TIPO SEALTUBO</t>
  </si>
  <si>
    <t>ELETRODUTO FLEXIVEL, EM FITA DE ACO GALVANIZADO, REVESTIDO COM PVC PRETO, DIAMETRO EXTERNO DE 25 MM, DN = 3/4", TIPO SEALTUBO</t>
  </si>
  <si>
    <t>ELETRODUTO FLEXIVEL, EM FITA DE ACO GALVANIZADO, REVESTIDO COM PVC PRETO, DIAMETRO EXTERNO DE 32 MM, DN = 1", TIPO SEALTUBO</t>
  </si>
  <si>
    <t>ELETRODUTO FLEXIVEL, EM FITA DE ACO GALVANIZADO, REVESTIDO COM PVC PRETO, DIAMETRO EXTERNO DE 40 MM, DN = 1 1/4", TIPO SEALTUBO</t>
  </si>
  <si>
    <t>ELETRODUTO FLEXIVEL, EM FITA DE ACO GALVANIZADO, REVESTIDO COM PVC PRETO, DIAMETRO EXTERNO DE 50 MM, DN = 1 1/2", TIPO SEALTUBO</t>
  </si>
  <si>
    <t>ELETRODUTO FLEXIVEL, EM FITA DE ACO GALVANIZADO, REVESTIDO COM PVC PRETO, DIAMETRO EXTERNO DE 60 MM, DN = 2", TIPO SEALTUBO</t>
  </si>
  <si>
    <t>ELETRODUTO FLEXIVEL, EM FITA DE ACO GALVANIZADO, REVESTIDO COM PVC PRETO, DIAMETRO EXTERNO DE 75 MM, DN = 2 1/2", TIPO SEALTUBO</t>
  </si>
  <si>
    <t>ELETRODUTO FLEXIVEL, EM FITA DE ACO GALVANIZADO, SEM REVESTIMENTO, DIAMETRO NOMINAL 1 1/2"</t>
  </si>
  <si>
    <t>ELETRODUTO FLEXIVEL, EM FITA DE ACO GALVANIZADO, SEM REVESTIMENTO, DIAMETRO NOMINAL 1 1/4"</t>
  </si>
  <si>
    <t>ELETRODUTO FLEXIVEL, EM FITA DE ACO GALVANIZADO, SEM REVESTIMENTO, DIAMETRO NOMINAL 1"</t>
  </si>
  <si>
    <t>ELETRODUTO FLEXIVEL, EM FITA DE ACO GALVANIZADO, SEM REVESTIMENTO, DIAMETRO NOMINAL 1/2"</t>
  </si>
  <si>
    <t>ELETRODUTO FLEXIVEL, EM FITA DE ACO GALVANIZADO, SEM REVESTIMENTO, DIAMETRO NOMINAL 2 1/2"</t>
  </si>
  <si>
    <t>ELETRODUTO FLEXIVEL, EM FITA DE ACO GALVANIZADO, SEM REVESTIMENTO, DIAMETRO NOMINAL 2"</t>
  </si>
  <si>
    <t>ELETRODUTO FLEXIVEL, EM FITA DE ACO GALVANIZADO, SEM REVESTIMENTO, DIAMETRO NOMINAL 3"</t>
  </si>
  <si>
    <t>ELETRODUTO PVC FLEXIVEL CORRUGADO, COR AMARELA, DE 16 MM</t>
  </si>
  <si>
    <t>ELETRODUTO PVC FLEXIVEL CORRUGADO, COR AMARELA, DE 20 MM</t>
  </si>
  <si>
    <t>ELETRODUTO PVC FLEXIVEL CORRUGADO, COR AMARELA, DE 25 MM</t>
  </si>
  <si>
    <t>ELETRODUTO PVC FLEXIVEL CORRUGADO, COR AMARELA, DE 32 MM</t>
  </si>
  <si>
    <t>ELETRODUTO PVC FLEXIVEL CORRUGADO, REFORCADO, COR LARANJA, DE 20 MM, PARA LAJES E PISOS</t>
  </si>
  <si>
    <t>ELETRODUTO PVC FLEXIVEL CORRUGADO, REFORCADO, COR LARANJA, DE 25 MM, PARA LAJES E PISOS</t>
  </si>
  <si>
    <t>ELETRODUTO PVC FLEXIVEL CORRUGADO, REFORCADO, COR LARANJA, DE 32 MM, PARA LAJES E PISOS</t>
  </si>
  <si>
    <t>ELETRODUTO/CONDULETE DE PVC RIGIDO, LISO, COR CINZA, DE 1", PARA INSTALACOES APARENTES (NBR 5410)</t>
  </si>
  <si>
    <t>ELETRODUTO/CONDULETE DE PVC RIGIDO, LISO, COR CINZA, DE 1/2", PARA INSTALACOES APARENTES (NBR 5410)</t>
  </si>
  <si>
    <t>ELETRODUTO/CONDULETE DE PVC RIGIDO, LISO, COR CINZA, DE 3/4", PARA INSTALACOES APARENTES (NBR 5410)</t>
  </si>
  <si>
    <t>ELETRODUTO/DUTO PEAD FLEXIVEL PAREDE SIMPLES, CORRUGACAO HELICOIDAL, COR PRETA, SEM ROSCA, DE 1 1/2", CRC 680 N, PARA CABEAMENTO SUBTERRANEO (NBR 15715)</t>
  </si>
  <si>
    <t>ELETRODUTO/DUTO PEAD FLEXIVEL PAREDE SIMPLES, CORRUGACAO HELICOIDAL, COR PRETA, SEM ROSCA, DE 1 1/4", CRC 680 N, PARA CABEAMENTO SUBTERRANEO (NBR 15715)</t>
  </si>
  <si>
    <t>ELETRODUTO/DUTO PEAD FLEXIVEL PAREDE SIMPLES, CORRUGACAO HELICOIDAL, COR PRETA, SEM ROSCA, DE 2", CRC 680 N, PARA CABEAMENTO SUBTERRANEO (NBR 15715)</t>
  </si>
  <si>
    <t>ELETRODUTO/DUTO PEAD FLEXIVEL PAREDE SIMPLES, CORRUGACAO HELICOIDAL, COR PRETA, SEM ROSCA, DE 3", CRC 680 N, PARA CABEAMENTO SUBTERRANEO (NBR 15715)</t>
  </si>
  <si>
    <t>ELETRODUTO/DUTO PEAD FLEXIVEL PAREDE SIMPLES, CORRUGACAO HELICOIDAL, COR PRETA, SEM ROSCA, DE 4", CRC 680 N, PARA CABEAMENTO SUBTERRANEO (NBR 15715)</t>
  </si>
  <si>
    <t>ELETROTECNICO (HORISTA)</t>
  </si>
  <si>
    <t>ELETROTECNICO (MENSALISTA)</t>
  </si>
  <si>
    <t>EMENDA INTERNA, TIPO U, BASE LISA, PARA ELETROCALHA, EM CHAPA DE ACO GALVANIZADO ESPESSURA #14, 700 X 50 MM (L X A)</t>
  </si>
  <si>
    <t>EMENDA INTERNA, TIPO U, BASE LISA, PARA ELETROCALHA, EM CHAPA DE ACO GALVANIZADO ESPESSURA #14, 800 X 50 MM (L X A)</t>
  </si>
  <si>
    <t>EMENDA INTERNA, TIPO U, BASE LISA, PARA ELETROCALHA, EM CHAPA DE ACO GALVANIZADO ESPESSURA #16, 500 X 50 MM (L X A)</t>
  </si>
  <si>
    <t>EMENDA INTERNA, TIPO U, BASE LISA, PARA ELETROCALHA, EM CHAPA DE ACO GALVANIZADO ESPESSURA #16, 600 X 50 MM (L X A)</t>
  </si>
  <si>
    <t>EMENDA INTERNA, TIPO U, BASE LISA, PARA ELETROCALHA, EM CHAPA DE ACO GALVANIZADO ESPESSURA #18, 300 X 50 MM (L X A)</t>
  </si>
  <si>
    <t>EMENDA INTERNA, TIPO U, BASE LISA, PARA ELETROCALHA, EM CHAPA DE ACO GALVANIZADO ESPESSURA #18, 400 X 50 MM (L X A)</t>
  </si>
  <si>
    <t>EMENDA INTERNA, TIPO U, BASE LISA, PARA ELETROCALHA, EM CHAPA DE ACO GALVANIZADO ESPESSURA #22, 100 X 50 MM (L X A)</t>
  </si>
  <si>
    <t>EMENDA INTERNA, TIPO U, BASE LISA, PARA ELETROCALHA, EM CHAPA DE ACO GALVANIZADO ESPESSURA #22, 125 X 50 MM (L X A)</t>
  </si>
  <si>
    <t>EMENDA INTERNA, TIPO U, BASE LISA, PARA ELETROCALHA, EM CHAPA DE ACO GALVANIZADO ESPESSURA #22, 150 X 50 MM (L X A)</t>
  </si>
  <si>
    <t>EMENDA INTERNA, TIPO U, BASE LISA, PARA ELETROCALHA, EM CHAPA DE ACO GALVANIZADO ESPESSURA #22, 200 X 50 MM (L X A)</t>
  </si>
  <si>
    <t>EMENDA INTERNA, TIPO U, BASE LISA, PARA ELETROCALHA, EM CHAPA DE ACO GALVANIZADO ESPESSURA #22, 250 X 50 MM (L X A)</t>
  </si>
  <si>
    <t>EMENDA INTERNA, TIPO U, BASE LISA, PARA ELETROCALHA, EM CHAPA DE ACO GALVANIZADO ESPESSURA #22, 50 X 50 MM (L X A)</t>
  </si>
  <si>
    <t>EMENDA INTERNA, TIPO U, BASE LISA, PARA ELETROCALHA, EM CHAPA DE ACO GALVANIZADO ESPESSURA #22, 75 X 50 MM (L X A)</t>
  </si>
  <si>
    <t>EMENDA PARA CALHA PLUVIAL, PVC, DIAMETRO ENTRE 119 E 170 MM, PARA DRENAGEM PLUVIAL PREDIAL</t>
  </si>
  <si>
    <t>EMULSAO ASFALTICA ANIONICA</t>
  </si>
  <si>
    <t>EMULSAO EXPLOSIVA EM CARTUCHOS DE 1" X 12", DENSIDADE 1.15 G/CM3, INICIACAO ESPOLETA N. 8 / CORDEL</t>
  </si>
  <si>
    <t>EMULSAO EXPLOSIVA EM CARTUCHOS DE 1" X 24", DENSIDADE 1.15 G/CM3, INICIACAO ESPOLETA N. 8 / CORDEL</t>
  </si>
  <si>
    <t>EMULSAO EXPLOSIVA EM CARTUCHOS DE 1" X 8", DENSIDADE 1.15 G/CM3, INICIACAO ESPOLETA N. 8 / CORDEL</t>
  </si>
  <si>
    <t>EMULSAO EXPLOSIVA EM CARTUCHOS DE 2 1/2" X 24", DENSIDADE 1.15 G/CM3, INICIACAO ESPOLETA N. 8 / CORDEL</t>
  </si>
  <si>
    <t>EMULSAO EXPLOSIVA EM CARTUCHOS DE 2 1/4" X 24", DENSIDADE 1.15 G/CM3, INICIACAO ESPOLETA N. 8 / CORDEL</t>
  </si>
  <si>
    <t>EMULSAO EXPLOSIVA EM CARTUCHOS DE 2" X 24", DENSIDADE 1.15 G/CM3, INICIACAO ESPOLETA N. 8 / CORDEL</t>
  </si>
  <si>
    <t>ENCANADOR OU BOMBEIRO HIDRAULICO (HORISTA)</t>
  </si>
  <si>
    <t>ENCANADOR OU BOMBEIRO HIDRAULICO (MENSALISTA)</t>
  </si>
  <si>
    <t>ENCARREGADO GERAL DE OBRAS (HORISTA)</t>
  </si>
  <si>
    <t>ENCARREGADO GERAL DE OBRAS (MENSALISTA)</t>
  </si>
  <si>
    <t>ENDURECEDOR MINERAL DE BASE CIMENTICIA PARA PISO DE CONCRETO</t>
  </si>
  <si>
    <t>ENERGIA ELETRICA ATE 2000 KWH INDUSTRIAL, SEM DEMANDA</t>
  </si>
  <si>
    <t>KWH</t>
  </si>
  <si>
    <t>ENERGIA ELETRICA COMERCIAL, BAIXA TENSAO, RELATIVA AO CONSUMO DE ATE 100 KWH, INCLUINDO ICMS, PIS/PASEP E COFINS</t>
  </si>
  <si>
    <t>ENGATE / RABICHO FLEXIVEL INOX 1/2" X 30 CM</t>
  </si>
  <si>
    <t>ENGATE / RABICHO FLEXIVEL INOX 1/2" X 40 CM</t>
  </si>
  <si>
    <t>ENGATE/RABICHO FLEXIVEL PLASTICO (PVC OU ABS) BRANCO 1/2" X 30 CM</t>
  </si>
  <si>
    <t>ENGATE/RABICHO FLEXIVEL PLASTICO (PVC OU ABS) BRANCO 1/2" X 40 CM</t>
  </si>
  <si>
    <t>ENGENHEIRO CIVIL DE OBRA JUNIOR (HORISTA)</t>
  </si>
  <si>
    <t>ENGENHEIRO CIVIL DE OBRA JUNIOR (MENSALISTA)</t>
  </si>
  <si>
    <t>ENGENHEIRO CIVIL DE OBRA PLENO (HORISTA)</t>
  </si>
  <si>
    <t>ENGENHEIRO CIVIL DE OBRA PLENO (MENSALISTA)</t>
  </si>
  <si>
    <t>ENGENHEIRO CIVIL DE OBRA SENIOR (HORISTA)</t>
  </si>
  <si>
    <t>ENGENHEIRO CIVIL DE OBRA SENIOR (MENSALISTA)</t>
  </si>
  <si>
    <t>ENXADA ESTREITA, EM ACO, *25 X 23* CM, COM CABO DE MADEIRA DE *150* CM</t>
  </si>
  <si>
    <t>EPI - FAMILIA ALMOXARIFE - HORISTA (ENCARGOS COMPLEMENTARES - COLETADO CAIXA)</t>
  </si>
  <si>
    <t>EPI - FAMILIA ALMOXARIFE - MENSALISTA (ENCARGOS COMPLEMENTARES - COLETADO CAIXA)</t>
  </si>
  <si>
    <t>EPI - FAMILIA CARPINTEIRO DE FORMAS - HORISTA (ENCARGOS COMPLEMENTARES - COLETADO CAIXA)</t>
  </si>
  <si>
    <t>EPI - FAMILIA CARPINTEIRO DE FORMAS - MENSALISTA (ENCARGOS COMPLEMENTARES - COLETADO CAIXA)</t>
  </si>
  <si>
    <t>EPI - FAMILIA ELETRICISTA - HORISTA (ENCARGOS COMPLEMENTARES - COLETADO CAIXA)</t>
  </si>
  <si>
    <t>EPI - FAMILIA ELETRICISTA - MENSALISTA (ENCARGOS COMPLEMENTARES - COLETADO CAIXA)</t>
  </si>
  <si>
    <t>EPI - FAMILIA ENCANADOR - HORISTA (ENCARGOS COMPLEMENTARES - COLETADO CAIXA)</t>
  </si>
  <si>
    <t>EPI - FAMILIA ENCANADOR - MENSALISTA (ENCARGOS COMPLEMENTARES - COLETADO CAIXA)</t>
  </si>
  <si>
    <t>EPI - FAMILIA ENCARREGADO GERAL - HORISTA (ENCARGOS COMPLEMENTARES - COLETADO CAIXA)</t>
  </si>
  <si>
    <t>EPI - FAMILIA ENCARREGADO GERAL - MENSALISTA (ENCARGOS COMPLEMENTARES - COLETADO CAIXA)</t>
  </si>
  <si>
    <t>EPI - FAMILIA ENGENHEIRO CIVIL - HORISTA (ENCARGOS COMPLEMENTARES - COLETADO CAIXA)</t>
  </si>
  <si>
    <t>EPI - FAMILIA ENGENHEIRO CIVIL - MENSALISTA (ENCARGOS COMPLEMENTARES - COLETADO CAIXA)</t>
  </si>
  <si>
    <t>EPI - FAMILIA OPERADOR ESCAVADEIRA - HORISTA (ENCARGOS COMPLEMENTARES - COLETADO CAIXA)</t>
  </si>
  <si>
    <t>EPI - FAMILIA OPERADOR ESCAVADEIRA - MENSALISTA (ENCARGOS COMPLEMENTARES - COLETADO CAIXA)</t>
  </si>
  <si>
    <t>EPI - FAMILIA PEDREIRO - HORISTA (ENCARGOS COMPLEMENTARES - COLETADO CAIXA)</t>
  </si>
  <si>
    <t>EPI - FAMILIA PEDREIRO - MENSALISTA (ENCARGOS COMPLEMENTARES - COLETADO CAIXA)</t>
  </si>
  <si>
    <t>EPI - FAMILIA PINTOR - HORISTA (ENCARGOS COMPLEMENTARES - COLETADO CAIXA)</t>
  </si>
  <si>
    <t>EPI - FAMILIA PINTOR - MENSALISTA (ENCARGOS COMPLEMENTARES - COLETADO CAIXA)</t>
  </si>
  <si>
    <t>EPI - FAMILIA SERVENTE - HORISTA (ENCARGOS COMPLEMENTARES - COLETADO CAIXA)</t>
  </si>
  <si>
    <t>EPI - FAMILIA SERVENTE - MENSALISTA (ENCARGOS COMPLEMENTARES - COLETADO CAIXA)</t>
  </si>
  <si>
    <t>EPI - FAMILIA SOLDADOR - HORISTA (ENCARGOS COMPLEMENTARES - COLETADO CAIXA)</t>
  </si>
  <si>
    <t>EPI - FAMILIA SOLDADOR - MENSALISTA (ENCARGOS COMPLEMENTARES - COLETADO CAIXA)</t>
  </si>
  <si>
    <t>EPI - FAMILIA TOPOGRAFO - HORISTA (ENCARGOS COMPLEMENTARES - COLETADO CAIXA)</t>
  </si>
  <si>
    <t>EPI - FAMILIA TOPOGRAFO - MENSALISTA (ENCARGOS COMPLEMENTARES - COLETADO CAIXA)</t>
  </si>
  <si>
    <t>ESCADA DUPLA DE ABRIR EM ALUMINIO, COM SAPATAS DE BORRACHA, *2,30* X *0,57* M (ALTURA UTIL X LARGURA MINIMA), MODELO PINTOR, 8 DEGRAUS, CAPACIDADE *100* KG</t>
  </si>
  <si>
    <t>ESCADA EXTENSIVEL EM ALUMINIO, COM SAPATAS DE BORRACHA, ALTURA FECHADA 3,60 M, ALTURA ESTENDIDA DE 6,0 A 6,30 M, LARGURA MINIMA DE 35 CM, CACIDADE *120* KG</t>
  </si>
  <si>
    <t>ESCAVADEIRA HIDRAULICA DE BRACO LONGO (LONGO ALCANCE) SOBRE ESTEIRAS, CACAMBA 0,52 M3, PESO OPERACIONAL 24 T, POTENCIA LIQUIDA 155 HP</t>
  </si>
  <si>
    <t>ESCAVADEIRA HIDRAULICA SOBRE ESTEIRAS COM CACAMBA DE 1,20 M3, PESO OPERACIONAL 21 T, POTENCIA BRUTA 155 HP</t>
  </si>
  <si>
    <t>ESCAVADEIRA HIDRAULICA SOBRE ESTEIRAS, CACAMBA 0,80M3, PESO OPERACIONAL 17T, POTENCIA BRUTA 111HP</t>
  </si>
  <si>
    <t>ESCAVADEIRA HIDRAULICA SOBRE ESTEIRAS, CAPACIDADE DA CACAMBA ENTRE 1,20 E 1,50 M3, PESO OPERACIONAL ENTRE 20,00 E 22,00 TON, POTENCIA LIQUIDA ENTRE 150 E 155 HP, EQUIPADA COM CLAMSHELL</t>
  </si>
  <si>
    <t>ESCORA PRE-MOLDADA EM CONCRETO, *10 X 10* CM, H = 2,30M</t>
  </si>
  <si>
    <t>ESCOVA CIRCULAR EM ACO LATONADO, 6 X 1" (DIAMETRO X ESPESSURA), FURO DE 1 1/4", FIO ONDULADO *0,30* MM</t>
  </si>
  <si>
    <t>ESCOVA DE ACO, COM CABO, *4 X 15* FILEIRAS DE CERDAS</t>
  </si>
  <si>
    <t>ESGUICHO JATO REGULAVEL, TIPO ELKHART, ENGATE RAPIDO 1 1/2", PARA COMBATE A INCENDIO</t>
  </si>
  <si>
    <t>ESGUICHO JATO REGULAVEL, TIPO ELKHART, ENGATE RAPIDO 2 1/2", PARA COMBATE A INCENDIO</t>
  </si>
  <si>
    <t>ESGUICHO TIPO JATO SOLIDO, EM LATAO, ENGATE RAPIDO 1 1/2" X 13 MM, PARA MANGUEIRA EM INSTALACAO PREDIAL COMBATE A INCENDIO</t>
  </si>
  <si>
    <t>ESGUICHO TIPO JATO SOLIDO, EM LATAO, ENGATE RAPIDO 1 1/2" X 16 MM, PARA MANGUEIRA EM INSTALACAO PREDIAL COMBATE A INCENDIO</t>
  </si>
  <si>
    <t>ESGUICHO TIPO JATO SOLIDO, EM LATAO, ENGATE RAPIDO 1 1/2" X 19 MM, PARA MANGUEIRA EM INSTALACAO PREDIAL COMBATE A INCENDIO</t>
  </si>
  <si>
    <t>ESGUICHO TIPO JATO SOLIDO, EM LATAO, ENGATE RAPIDO 2 1/2" X 13 MM, PARA MANGUEIRA EM INSTALACAO PREDIAL COMBATE A INCENDIO</t>
  </si>
  <si>
    <t>ESGUICHO TIPO JATO SOLIDO, EM LATAO, ENGATE RAPIDO 2 1/2" X 16 MM, PARA MANGUEIRA EM INSTALACAO PREDIAL COMBATE A INCENDIO</t>
  </si>
  <si>
    <t>ESGUICHO TIPO JATO SOLIDO, EM LATAO, ENGATE RAPIDO 2 1/2" X 19 MM, PARA MANGUEIRA EM INSTALACAO PREDIAL COMBATE A INCENDIO</t>
  </si>
  <si>
    <t>ESPACADOR / DISTANCIADOR CIRCULAR COM ENTRADA LATERAL, EM PLASTICO, PARA VERGALHAO *4,2 A 12,5* MM, COBRIMENTO 20 MM</t>
  </si>
  <si>
    <t>ESPACADOR / DISTANCIADOR TIPO GARRA DUPLA, EM PLASTICO, COBRIMENTO *20* MM, PARA FERRAGENS DE LAJES E FUNDO DE VIGAS</t>
  </si>
  <si>
    <t>ESPACADOR / DISTANCIADOR TIPO PINO EM PLASTICO, PARA VERGALHAO ATE 10 MM, PARA APOIO DE ARMADURA</t>
  </si>
  <si>
    <t>ESPACADOR OU DISTANCIADOR, EM PLASTICO, TIPO APOIO DE CORDOALHA (CARANGUEJO), PARA ARMADURA NEGATIVA E PROTENSAO, COBRIMENTO 50 MM</t>
  </si>
  <si>
    <t>ESPACADOR/SEPARADOR /CENTRALIZADOR DE BARRA DE ACO, PLASTICO, (CHUMBADOR TIPO CARAMBOLA - CB), DIAMETRO INTERNO ATE 20 MM</t>
  </si>
  <si>
    <t>ESPACADOR/SEPARADOR /CENTRALIZADOR DE BARRA DE ACO, PLASTICO, (CHUMBADOR TIPO CARAMBOLA - CB), DIAMETRO INTERNO ENTRE 25 A 32 MM</t>
  </si>
  <si>
    <t>ESPACADOR/SEPARADOR DE CORDOALHA TIPO DISCO 12 FUROS DE 14 MM, PARA TIRANTES</t>
  </si>
  <si>
    <t>ESPARGIDOR DE ASFALTO PRESSURIZADO, REBOCAVEL, TANQUE DE 2500 L, PNEUMATICO, COM MOTOR A GASOLINA 3,4HP</t>
  </si>
  <si>
    <t>ESPARGIDOR DE ASFALTO PRESSURIZADO, TANQUE 6 M3 COM ISOLACAO TERMICA, AQUECIDO COM 2 MACARICOS, COM BARRA ESPARGIDORA 3,60 M, A SER MONTADO SOBRE CAMINHAO</t>
  </si>
  <si>
    <t>ESPATULA DE PLASTICO LISA, LARGURA *10* CM</t>
  </si>
  <si>
    <t>ESPATULA EM ACO INOX COM CABO DE MADEIRA E LARGURA DE *8* CM</t>
  </si>
  <si>
    <t>ESPELHO / PLACA CEGA 4" X 2", PARA INSTALACAO DE TOMADAS E INTERRUPTORES</t>
  </si>
  <si>
    <t>ESPELHO / PLACA CEGA 4" X 4", PARA INSTALACAO DE TOMADAS E INTERRUPTORES</t>
  </si>
  <si>
    <t>ESPELHO / PLACA DE 1 POSTO 4" X 2", PARA INSTALACAO DE TOMADAS E INTERRUPTORES</t>
  </si>
  <si>
    <t>ESPELHO / PLACA DE 2 POSTOS 4" X 2", PARA INSTALACAO DE TOMADAS E INTERRUPTORES</t>
  </si>
  <si>
    <t>ESPELHO / PLACA DE 2 POSTOS 4" X 4", PARA INSTALACAO DE TOMADAS E INTERRUPTORES</t>
  </si>
  <si>
    <t>ESPELHO / PLACA DE 3 POSTOS 4" X 2", PARA INSTALACAO DE TOMADAS E INTERRUPTORES</t>
  </si>
  <si>
    <t>ESPELHO / PLACA DE 4 POSTOS 4" X 4", PARA INSTALACAO DE TOMADAS E INTERRUPTORES</t>
  </si>
  <si>
    <t>ESPELHO / PLACA DE 6 POSTOS 4" X 4", PARA INSTALACAO DE TOMADAS E INTERRUPTORES</t>
  </si>
  <si>
    <t>ESPELHO CRISTAL E = 4 MM</t>
  </si>
  <si>
    <t>ESPELHO, RETO OU CURVO, EM LATAO CROMADO, ESPESSURA ATE 6 MM, LARGURA *40*MM, ALTURA *180*MM - PARA FECHADURA DE EMBUTIR</t>
  </si>
  <si>
    <t>ESPELHO, RETO OU CURVO, EM LATAO CROMADO, ESPESSURA MINIMA 6 MM, LARGURA *43*MM, ALTURA *230*MM - PARA FECHADURA DE EMBUTIR</t>
  </si>
  <si>
    <t>ESPOLETA SIMPLES N 8.</t>
  </si>
  <si>
    <t>ESPUMA EXPANSIVA DE POLIURETANO, APLICACAO MANUAL - 500 ML</t>
  </si>
  <si>
    <t>ESQUADRO DE ACO 12" (300 MM), CABO DE ALUMINIO</t>
  </si>
  <si>
    <t>ESQUADRO PARA SOLDA, EM ALUMINIO, 65 MM, COM DUAS MORSAS (GRAMPO SARGENTO)</t>
  </si>
  <si>
    <t>ESQUI TRIPLO, EM TUBO DE ACO CARBONO, PINTURA NO PROCESSO ELETROSTATICO - EQUIPAMENTO DE GINASTICA PARA ACADEMIA AO AR LIVRE / ACADEMIA DA TERCEIRA IDADE - ATI</t>
  </si>
  <si>
    <t>ESTACA PRE-MOLDADA MACICA DE CONCRETO VIBRADO ARMADO, PARA CARGA DE 25 T, SECAO QUADRADA DE *16 X 16*, COM ANEL METALICO INCORPORADO A PECA (SOMENTE FORNECIMENTO)</t>
  </si>
  <si>
    <t>ESTACA PRE-MOLDADA MACICA DE CONCRETO VIBRADO ARMADO, PARA CARGA DE 50 T, SECAO QUADRADA, COM ANEL METALICO INCORPORADO A PECA (SOMENTE FORNECIMENTO)</t>
  </si>
  <si>
    <t>ESTACA PRE-MOLDADA VAZADA DE CONCRETO CENTRIFUGADO, PARA CARGA DE 100 T, SECAO CIRCULAR, COM ANEL METALICO INCORPORADO A PECA (SOMENTE FORNECIMENTO)</t>
  </si>
  <si>
    <t>ESTILETE DE METAL, LAMINA 18 MM</t>
  </si>
  <si>
    <t>ESTOPA</t>
  </si>
  <si>
    <t>ESTOPIM SIMPLES</t>
  </si>
  <si>
    <t>ESTRIBO COM PARAFUSO EM CHAPA DE FERRO FUNDIDO DE 2" X 3/16" X 35 CM, SECAO "U", PARA MADEIRAMENTO DE TELHADO</t>
  </si>
  <si>
    <t>EXAMES - HORISTA (COLETADO CAIXA - ENCARGOS COMPLEMENTARES)</t>
  </si>
  <si>
    <t>EXAMES - MENSALISTA (COLETADO CAIXA - ENCARGOS COMPLEMENTARES)</t>
  </si>
  <si>
    <t>EXTENSAO DE SOLDA 201 ACETILENO, E = *1,5 A 2,5* MM (N2)</t>
  </si>
  <si>
    <t>EXTENSAO DE SOLDA 201 GLP, E = *2,5 A 4,0* MM (N4)</t>
  </si>
  <si>
    <t>EXTINTOR DE INCENDIO PORTATIL COM CARGA DE AGUA PRESSURIZADA DE 10 L, CLASSE A</t>
  </si>
  <si>
    <t>EXTINTOR DE INCENDIO PORTATIL COM CARGA DE GAS CARBONICO CO2 DE 4 KG, CLASSE BC</t>
  </si>
  <si>
    <t>EXTINTOR DE INCENDIO PORTATIL COM CARGA DE GAS CARBONICO CO2 DE 6 KG, CLASSE BC</t>
  </si>
  <si>
    <t>EXTINTOR DE INCENDIO PORTATIL COM CARGA DE PO QUIMICO SECO (PQS) DE 12 KG, CLASSE BC</t>
  </si>
  <si>
    <t>EXTINTOR DE INCENDIO PORTATIL COM CARGA DE PO QUIMICO SECO (PQS) DE 4 KG, CLASSE BC</t>
  </si>
  <si>
    <t>EXTINTOR DE INCENDIO PORTATIL COM CARGA DE PO QUIMICO SECO (PQS) DE 6 KG, CLASSE BC</t>
  </si>
  <si>
    <t>EXTINTOR DE INCENDIO PORTATIL COM CARGA DE PO QUIMICO SECO (PQS) DE 8 KG, CLASSE BC</t>
  </si>
  <si>
    <t>EXTREMIDADE PVC PBA, BF, JE, DN 100/ DE 110 MM</t>
  </si>
  <si>
    <t>EXTREMIDADE PVC PBA, BF, JE, DN 75/ DE 85 MM</t>
  </si>
  <si>
    <t>EXTREMIDADE PVC PBA, PF, JE, DN 100 / DE 110 MM</t>
  </si>
  <si>
    <t>EXTREMIDADE PVC PBA, PF, JE, DN 75 / DE 85 MM</t>
  </si>
  <si>
    <t>EXTREMIDADE/TUBETE PARA HIDROMETRO PVC, COM ROSCA, CURTA, COM BUCHA LATAO, 3/4" OU 1/2"</t>
  </si>
  <si>
    <t>FECHADURA AUXILIAR DE SEGURANCA PARA PORTA EXTERNA, EM ACO INOX, BROCA DE 45 A 55 MM, LINGUETA COM 3 AVANCOS, INCLUINDO 2 CHAVES TIPO CILINDRO</t>
  </si>
  <si>
    <t>FECHADURA BICO DE PAPAGAIO PARA PORTA DE CORRER EXTERNA, EM ACO INOX COM ACABAMENTO CROMADO, MAQUINA COM 45 MM, INCLUINDO CHAVE TIPO CILINDRO</t>
  </si>
  <si>
    <t>FECHADURA BICO DE PAPAGAIO PARA PORTA DE CORRER INTERNA, EM ACO INOX COM ACABAMENTO CROMADO, MAQUINA COM 45 MM, INCLUINDO CHAVE TIPO BIPARTIDA</t>
  </si>
  <si>
    <t>FECHADURA DE EMBUTIR PARA GAVETA E MOVEIS DE MADEIRA, EM ACO INOX COM ACABAMENTO CROMADO, COM ABAS LATERAIS, CILINDRO COM 22 MM DE DIAMETRO, INCLUINDO CHAVE COM PERFIL METALICO E CAPA ESCAMOTEAVEL</t>
  </si>
  <si>
    <t>FECHADURA DE SOBREPOR PARA GAVETAS E ARMARIOS, EM ACO INOX COM ACABAMENTO CROMADO, COM CILINDRO DE APROX 20 MM</t>
  </si>
  <si>
    <t>FECHADURA DE SOBREPOR PARA PORTAO, EM ACO INOX COM ACABAMENTO CROMADO, CAIXA DE 100 MM, INCLUINDO CHAVE TIPO CILINDRO</t>
  </si>
  <si>
    <t>FECHADURA DE SOBREPOR PARA PORTAO, EM ACO INOX COM ACABAMENTO CROMADO, CAIXA DE 100 MM, INCLUINDO CHAVE TIPO TETRA</t>
  </si>
  <si>
    <t>FECHADURA DE SOBREPOR TIPO CAIXAO, EM FERRO COM ACABAMENTO RESINADO, SEM MACANETA, SEM CILINDRO, INCLUINDO CHAVE TIPO SIMPLES</t>
  </si>
  <si>
    <t>FECHADURA ESPELHO PARA PORTA DE BANHEIRO, EM ACO INOX (MAQUINA, TESTA E CONTRA-TESTA) E EM ZAMAC (MACANETA, LINGUETA E TRINCOS) COM ACABAMENTO CROMADO, MAQUINA DE 40 MM, INCLUINDO CHAVE TIPO TRANQUETA</t>
  </si>
  <si>
    <t>FECHADURA ESPELHO PARA PORTA DE BANHEIRO, EM ACO INOX (MAQUINA, TESTA E CONTRA-TESTA) E EM ZAMAC (MACANETA, LINGUETA E TRINCOS) COM ACABAMENTO CROMADO, MAQUINA DE 55 MM, INCLUINDO CHAVE TIPO TRANQUETA (CONJUNTO DE FECHADURAS)</t>
  </si>
  <si>
    <t>FECHADURA ESPELHO PARA PORTA EXTERNA, EM ACO INOX (MAQUINA, TESTA E CONTRA-TESTA) E EM ZAMAC (MACANETA, LINGUETA E TRINCOS) COM ACABAMENTO CROMADO, MAQUINA DE 40 MM, INCLUINDO CHAVE TIPO CILINDRO</t>
  </si>
  <si>
    <t>FECHADURA ESPELHO PARA PORTA EXTERNA, EM ACO INOX (MAQUINA, TESTA E CONTRA-TESTA) E EM ZAMAC (MACANETA, LINGUETA E TRINCOS) COM ACABAMENTO CROMADO, MAQUINA DE 55 MM, INCLUINDO CHAVE TIPO CILINDRO</t>
  </si>
  <si>
    <t>FECHADURA ESPELHO PARA PORTA INTERNA, EM ACO INOX (MAQUINA, TESTA E CONTRA-TESTA) E EM ZAMAC (MACANETA, LINGUETA E TRINCOS) COM ACABAMENTO CROMADO, MAQUINA DE 40 MM, INCLUINDO CHAVE TIPO INTERNA</t>
  </si>
  <si>
    <t>FECHADURA ESPELHO PARA PORTA INTERNA, EM ACO INOX (MAQUINA, TESTA E CONTRA-TESTA) E EM ZAMAC (MACANETA, LINGUETA E TRINCOS) COM ACABAMENTO CROMADO, MAQUINA DE 55 MM, INCLUINDO CHAVE TIPO INTERNA</t>
  </si>
  <si>
    <t>FECHADURA PARA PORTA PIVOTANTE DE VIDRO TEMPERADO, EM ACO INOX COM ACABAMENTO CROMADO, RECORTE PADRAO SANTA MARINA, COM CILINDRO EM LATAO, INCLUINDO CHAVE TIPO CILINDRO</t>
  </si>
  <si>
    <t>FECHADURA ROSETA REDONDA PARA PORTA DE BANHEIRO, EM ACO INOX (MAQUINA, TESTA E CONTRA-TESTA) E EM ZAMAC (MACANETA, LINGUETA E TRINCOS) COM ACABAMENTO CROMADO, MAQUINA DE 40 MM, INCLUINDO CHAVE TIPO TRANQUETA</t>
  </si>
  <si>
    <t>FECHADURA ROSETA REDONDA PARA PORTA DE BANHEIRO, EM ACO INOX (MAQUINA, TESTA E CONTRA-TESTA) E EM ZAMAC (MACANETA, LINGUETA E TRINCOS) COM ACABAMENTO CROMADO, MAQUINA DE 55 MM, INCLUINDO CHAVE TIPO TRANQUETA</t>
  </si>
  <si>
    <t>FECHADURA ROSETA REDONDA PARA PORTA EXTERNA, EM ACO INOX (MAQUINA, TESTA E CONTRA-TESTA) E EM ZAMAC (MACANETA, LINGUETA E TRINCOS) COM ACABAMENTO CROMADO, MAQUINA DE 40 MM, INCLUINDO CHAVE TIPO CILINDRO</t>
  </si>
  <si>
    <t>FECHADURA ROSETA REDONDA PARA PORTA EXTERNA, EM ACO INOX (MAQUINA, TESTA E CONTRA-TESTA) E EM ZAMAC (MACANETA, LINGUETA E TRINCOS) COM ACABAMENTO CROMADO, MAQUINA DE 55 MM, INCLUINDO CHAVE TIPO CILINDRO</t>
  </si>
  <si>
    <t>FECHADURA ROSETA REDONDA PARA PORTA INTERNA, EM ACO INOX (MAQUINA, TESTA E CONTRA-TESTA) E EM ZAMAC (MACANETA, LINGUETA E TRINCOS) COM ACABAMENTO CROMADO, MAQUINA DE 40 MM, INCLUINDO CHAVE TIPO INTERNA (CONJUNTO DE FECHADURAS)</t>
  </si>
  <si>
    <t>FECHADURA ROSETA REDONDA PARA PORTA INTERNA, EM ACO INOX (MAQUINA, TESTA E CONTRA-TESTA) E EM ZAMAC (MACANETA, LINGUETA E TRINCOS) COM ACABAMENTO CROMADO, MAQUINA DE 55 MM, INCLUINDO CHAVE TIPO INTERNA</t>
  </si>
  <si>
    <t>FECHO / FECHADURA COM PUXADOR CONCHA, COM TRANCA TIPO TRAVA, PARA JANELA / PORTA DE CORRER (INCLUI TESTA, FECHADURA, PUXADOR) - COMPLETA</t>
  </si>
  <si>
    <t>FECHO / TRINCO TIPO AVIAO, EM ZAMAC CROMADO, *60* MM, PARA JANELAS - INCLUI PARAFUSOS</t>
  </si>
  <si>
    <t>FECHO DE SEGURANCA, TIPO BATOM, EM LATAO / ZAMAC, CROMADO, PARA PORTAS E JANELAS - INCLUI PARAFUSOS</t>
  </si>
  <si>
    <t>FECHO QUEBRA UNHA, EM LATAO COM ACABAMENTO CROMADO, DE EMBUTIR, COM COMANDO ALAVANCA, ALTURA DE DE 22 CM, LARGURA MINIMA DE 1,90 CM E ESPESSURA MINIMA DE 1,90 MM, PARA PORTAS E JANELAS (INCLUI PARAFUSOS)</t>
  </si>
  <si>
    <t>FECHO QUEBRA UNHA, EM LATAO COM ACABAMENTO CROMADO, DE EMBUTIR, COM COMANDO ALAVANCA, ALTURA DE DE 40 CM, LARGURA MINIMA DE 1,90 CM E ESPESSURA MINIMA DE 1,90 MM, PARA PORTAS E JANELAS (INCLUI PARAFUSOS)</t>
  </si>
  <si>
    <t>FECHO QUEBRA UNHA, EM LATAO COM ACABAMENTO CROMADO, DE EMBUTIR, COM COMANDO DESLIZANTE, ALTURA DE 12 CM, LARGURA MINIMA DE 1,90 CM E ESPESSURA MINIMA DE 1,90 MM</t>
  </si>
  <si>
    <t>FECHO QUEBRA UNHA, EM LATAO COM ACABAMENTO CROMADO, DE EMBUTIR, COM COMANDO DESLIZANTE, ALTURA DE 22 CM, LARGURA MINIMA DE 1,90 CM E ESPESSURA MINIMA DE 1,90 MM</t>
  </si>
  <si>
    <t>FECHO QUEBRA UNHA, EM LATAO COM ACABAMENTO CROMADO, DE EMBUTIR, COM COMANDO DESLIZANTE, ALTURA DE 40 CM, LARGURA MINIMA DE 1,90 CM E ESPESSURA MINIMA DE 1,90 MM</t>
  </si>
  <si>
    <t>FERRAMENTAS - FAMILIA ALMOXARIFE - HORISTA (ENCARGOS COMPLEMENTARES - COLETADO CAIXA)</t>
  </si>
  <si>
    <t>FERRAMENTAS - FAMILIA ALMOXARIFE - MENSALISTA (ENCARGOS COMPLEMENTARES - COLETADO CAIXA)</t>
  </si>
  <si>
    <t>FERRAMENTAS - FAMILIA CARPINTEIRO DE FORMAS - HORISTA (ENCARGOS COMPLEMENTARES - COLETADO CAIXA)</t>
  </si>
  <si>
    <t>FERRAMENTAS - FAMILIA CARPINTEIRO DE FORMAS - MENSALISTA (ENCARGOS COMPLEMENTARES - COLETADO CAIXA)</t>
  </si>
  <si>
    <t>FERRAMENTAS - FAMILIA ELETRICISTA - HORISTA (ENCARGOS COMPLEMENTARES - COLETADO CAIXA)</t>
  </si>
  <si>
    <t>FERRAMENTAS - FAMILIA ELETRICISTA - MENSALISTA (ENCARGOS COMPLEMENTARES - COLETADO CAIXA)</t>
  </si>
  <si>
    <t>FERRAMENTAS - FAMILIA ENCANADOR - HORISTA (ENCARGOS COMPLEMENTARES - COLETADO CAIXA)</t>
  </si>
  <si>
    <t>FERRAMENTAS - FAMILIA ENCANADOR - MENSALISTA (ENCARGOS COMPLEMENTARES - COLETADO CAIXA)</t>
  </si>
  <si>
    <t>FERRAMENTAS - FAMILIA ENCARREGADO GERAL - HORISTA (ENCARGOS COMPLEMENTARES - COLETADO CAIXA)</t>
  </si>
  <si>
    <t>FERRAMENTAS - FAMILIA ENCARREGADO GERAL - MENSALISTA (ENCARGOS COMPLEMENTARES - COLETADO CAIXA)</t>
  </si>
  <si>
    <t>FERRAMENTAS - FAMILIA ENGENHEIRO CIVIL - HORISTA (ENCARGOS COMPLEMENTARES - COLETADO CAIXA)</t>
  </si>
  <si>
    <t>FERRAMENTAS - FAMILIA ENGENHEIRO CIVIL - MENSALISTA (ENCARGOS COMPLEMENTARES - COLETADO CAIXA)</t>
  </si>
  <si>
    <t>FERRAMENTAS - FAMILIA OPERADOR ESCAVADEIRA - HORISTA (ENCARGOS COMPLEMENTARES - COLETADO CAIXA)</t>
  </si>
  <si>
    <t>FERRAMENTAS - FAMILIA OPERADOR ESCAVADEIRA - MENSALISTA (ENCARGOS COMPLEMENTARES - COLETADO CAIXA)</t>
  </si>
  <si>
    <t>FERRAMENTAS - FAMILIA PEDREIRO - HORISTA (ENCARGOS COMPLEMENTARES - COLETADO CAIXA)</t>
  </si>
  <si>
    <t>FERRAMENTAS - FAMILIA PEDREIRO - MENSALISTA (ENCARGOS COMPLEMENTARES - COLETADO CAIXA)</t>
  </si>
  <si>
    <t>FERRAMENTAS - FAMILIA PINTOR - HORISTA (ENCARGOS COMPLEMENTARES - COLETADO CAIXA)</t>
  </si>
  <si>
    <t>FERRAMENTAS - FAMILIA PINTOR - MENSALISTA (ENCARGOS COMPLEMENTARES - COLETADO CAIXA)</t>
  </si>
  <si>
    <t>FERRAMENTAS - FAMILIA SERVENTE - HORISTA (ENCARGOS COMPLEMENTARES - COLETADO CAIXA)</t>
  </si>
  <si>
    <t>FERRAMENTAS - FAMILIA SERVENTE - MENSALISTA (ENCARGOS COMPLEMENTARES - COLETADO CAIXA)</t>
  </si>
  <si>
    <t>FERRAMENTAS - FAMILIA SOLDADOR - HORISTA (ENCARGOS COMPLEMENTARES - COLETADO CAIXA)</t>
  </si>
  <si>
    <t>FERRAMENTAS - FAMILIA SOLDADOR - MENSALISTA (ENCARGOS COMPLEMENTARES - COLETADO CAIXA)</t>
  </si>
  <si>
    <t>FERRAMENTAS - FAMILIA TOPOGRAFO - HORISTA (ENCARGOS COMPLEMENTARES - COLETADO CAIXA)</t>
  </si>
  <si>
    <t>FERRAMENTAS - FAMILIA TOPOGRAFO - MENSALISTA (ENCARGOS COMPLEMENTARES - COLETADO CAIXA)</t>
  </si>
  <si>
    <t>FERRO DE SOLDA, POTENCIA 40 W</t>
  </si>
  <si>
    <t>FERROLHO COM FECHO / TRINCO REDONDO, EM ACO GALVANIZADO / ZINCADO, DE SOBREPOR, COM COMPRIMENTO DE 2" E ESPESSURA MINIMA DA CHAPA DE 0,90 MM, PARA PORTAS E JANELAS</t>
  </si>
  <si>
    <t>FERROLHO COM FECHO / TRINCO REDONDO, EM ACO GALVANIZADO / ZINCADO, DE SOBREPOR, COM COMPRIMENTO DE 3" A 4" E ESPESSURA MINIMA DA CHAPA DE 0,90 MM</t>
  </si>
  <si>
    <t>FERROLHO COM FECHO / TRINCO REDONDO, EM ACO GALVANIZADO / ZINCADO, DE SOBREPOR, COM COMPRIMENTO DE 5" E ESPESSURA MINIMA DA CHAPA DE 0,90 MM</t>
  </si>
  <si>
    <t>FERROLHO COM FECHO / TRINCO REDONDO, EM ACO GALVANIZADO / ZINCADO, DE SOBREPOR, COM COMPRIMENTO DE 6" E ESPESSURA MINIMA DA CHAPA DE 1,50 MM</t>
  </si>
  <si>
    <t>FERROLHO COM FECHO / TRINCO REDONDO, EM ACO GALVANIZADO / ZINCADO, DE SOBREPOR, COM COMPRIMENTO DE 8" E ESPESSURA MINIMA DA CHAPA DE 1,50 MM</t>
  </si>
  <si>
    <t>FERROLHO COM FECHO /TRINCO REDONDO, EM ACO GALVANIZADO / ZINCADO, DE SOBREPOR, COM COMPRIMENTO DE 10" A 12" E ESPESSURA MINIMA DA CHAPA DE 1,50 MM</t>
  </si>
  <si>
    <t>FERROLHO COM FECHO CHATO E PORTA CADEADO, EM ACO GALVANIZADO / ZINCADO, DE SOBREPOR, COM COMPRIMENTO DE 3" A 4", CHAPA COM ESPESSURA MINIMA DE 0,90 MM E LARGURA MINIMA DE 3,20 CM (FECHO SIMPLES / LEVE) (INCLUI PARAFUSOS)</t>
  </si>
  <si>
    <t>FERROLHO COM FECHO CHATO E PORTA CADEADO, EM ACO GALVANIZADO / ZINCADO, DE SOBREPOR, COM COMPRIMENTO DE 3" A 4", CHAPA COM ESPESSURA MINIMA DE 1,70 MM E LARGURA MINIMA DE 5,00 CM (FECHO REFORCADO)</t>
  </si>
  <si>
    <t>FERROLHO COM FECHO CHATO E PORTA CADEADO, EM ACO GALVANIZADO / ZINCADO, DE SOBREPOR, COM COMPRIMENTO DE 5", CHAPA COM ESPESSURA MINIMA DE 0,90 MM E LARGURA MINIMA DE 3,20 CM (FECHO SIMPLES)</t>
  </si>
  <si>
    <t>FERROLHO COM FECHO CHATO E PORTA CADEADO, EM ACO GALVANIZADO / ZINCADO, DE SOBREPOR, COM COMPRIMENTO DE 5", CHAPA COM ESPESSURA MINIMA DE 1,70 MM E LARGURA MINIMA DE 5,00 CM (FECHO REFORCADO)</t>
  </si>
  <si>
    <t>FERROLHO COM FECHO CHATO E PORTA CADEADO, EM ACO GALVANIZADO / ZINCADO, DE SOBREPOR, COM COMPRIMENTO DE 6", CHAPA COM ESPESSURA MINIMA DE 0,90 MM E LARGURA MINIMA DE 3,80 CM (FECHO SIMPLES)</t>
  </si>
  <si>
    <t>FERROLHO COM FECHO CHATO E PORTA CADEADO, EM ACO GALVANIZADO / ZINCADO, DE SOBREPOR, COM COMPRIMENTO DE 6", CHAPA COM ESPESSURA MINIMA DE 1,70 MM E LARGURA /MINIMA DE 5,00 CM (FECHO REFORCADO) (INCLUI PARAFUSOS)</t>
  </si>
  <si>
    <t>FERTILIZANTE NPK - 10:10:10</t>
  </si>
  <si>
    <t>FERTILIZANTE NPK - 4: 14: 8</t>
  </si>
  <si>
    <t>FERTILIZANTE ORGANICO COMPOSTO, CLASSE A</t>
  </si>
  <si>
    <t>FIBRA DE ACO PARA REFORCO DO CONCRETO, SOLTA, TIPO A-I, FATOR DE FORMA *50* L / D, COMPRIMENTO DE *30* MM E RESISTENCIA A TRACAO DO ACO MAIOR 1000 MPA</t>
  </si>
  <si>
    <t>FILTRO ANAEROBIO, EM POLIETILENO DE ALTA DENSIDADE (PEAD), CAPACIDADE *1100* LITROS (NBR 13969)</t>
  </si>
  <si>
    <t>FILTRO ANAEROBIO, EM POLIETILENO DE ALTA DENSIDADE (PEAD), CAPACIDADE *2800* LITROS (NBR 13969)</t>
  </si>
  <si>
    <t>FILTRO ANAEROBIO, EM POLIETILENO DE ALTA DENSIDADE (PEAD), CAPACIDADE *5000* LITROS (NBR 13969)</t>
  </si>
  <si>
    <t>FILTRO QUIMICO PARA RESPIRADOR SEMI FACIAL, PROTECAO CONTRA VAPORES ORGANICOS E GASES ACIDOS</t>
  </si>
  <si>
    <t>FINCAPINO CURTO CALIBRE 22, CARGA MEDIA POTENCIA 5 (PARA FERRAMENTA DE ACAO DIRETA) COR VERMELHA</t>
  </si>
  <si>
    <t>CENTO</t>
  </si>
  <si>
    <t>FINCAPINO LONGO CALIBRE 22, CARGA FORTE POTENCIA 7 (PARA FERRAMENTA DE ACAO DIRETA), COR AMARELA</t>
  </si>
  <si>
    <t>FIO DE COBRE, SOLIDO, CLASSE 1, ISOLACAO EM PVC/A, ANTICHAMA BWF-B, 450/750V, SECAO NOMINAL 1,5 MM2</t>
  </si>
  <si>
    <t>FIO DE COBRE, SOLIDO, CLASSE 1, ISOLACAO EM PVC/A, ANTICHAMA BWF-B, 450/750V, SECAO NOMINAL 10 MM2</t>
  </si>
  <si>
    <t>FIO DE COBRE, SOLIDO, CLASSE 1, ISOLACAO EM PVC/A, ANTICHAMA BWF-B, 450/750V, SECAO NOMINAL 2,5 MM2</t>
  </si>
  <si>
    <t>FIO DE COBRE, SOLIDO, CLASSE 1, ISOLACAO EM PVC/A, ANTICHAMA BWF-B, 450/750V, SECAO NOMINAL 4 MM2</t>
  </si>
  <si>
    <t>FIO DE COBRE, SOLIDO, CLASSE 1, ISOLACAO EM PVC/A, ANTICHAMA BWF-B, 450/750V, SECAO NOMINAL 6 MM2</t>
  </si>
  <si>
    <t>FITA / CINTA AUTOADESIVA ELASTOMERICA PARA VEDACAO, L= 50 MM, E = 3 MM</t>
  </si>
  <si>
    <t>FITA ACO INOX PARA CINTAR POSTE, L = 19 MM, E = 0,5 MM (ROLO DE 30M)</t>
  </si>
  <si>
    <t>FITA ADESIVA ALUMINIZADA, PARA INSTALACAO DE MANTAS DE SUBCOBERTURA, L = *5* CM</t>
  </si>
  <si>
    <t>FITA ADESIVA ANTICORROSIVA DE PVC FLEXIVEL, COR PRETA, PARA PROTECAO TUBULACAO, 50 MM X 30 M (L X C), E= *0,25* MM</t>
  </si>
  <si>
    <t>FITA ADESIVA ASFALTICA ALUMINIZADA MULTIUSO, L = 10 CM, ROLO DE 10 M</t>
  </si>
  <si>
    <t>FITA CREPE ROLO DE *25* MM X 50 M</t>
  </si>
  <si>
    <t>FITA DE PAPEL MICROPERFURADO, 50 X 150 MM, PARA TRATAMENTO DE JUNTAS DE CHAPA DE GESSO PARA DRYWALL</t>
  </si>
  <si>
    <t>FITA DE PAPEL REFORCADA COM LAMINA DE METAL PARA REFORCO DE CANTOS DE CHAPA DE GESSO PARA DRYWALL</t>
  </si>
  <si>
    <t>FITA ISOLANTE ADESIVA ANTICHAMA, USO ATE 750 V, EM ROLO DE 19 MM X 20 M</t>
  </si>
  <si>
    <t>FITA ISOLANTE ADESIVA ANTICHAMA, USO ATE 750 V, EM ROLO DE 19 MM X 5 M</t>
  </si>
  <si>
    <t>FITA ISOLANTE DE BORRACHA AUTOFUSAO, USO ATE 69 KV (ALTA TENSAO), LARGURA DE 19 MM</t>
  </si>
  <si>
    <t>FITA METALICA GRAVADA, L = 17 MM, ROLO DE 25 M, CARGA RECOMENDADA = *120* KGF</t>
  </si>
  <si>
    <t>FITA METALICA PERFURADA, L = *18* MM, ROLO DE 30 M, CARGA RECOMENDADA = *30* KGF</t>
  </si>
  <si>
    <t>FITA METALICA PERFURADA, L = 17 MM, ROLO DE 30 M, CARGA RECOMENDADA = *19* KGF</t>
  </si>
  <si>
    <t>FITA METALICA PERFURADA, L = 25 MM, ROLO DE 30 M, CARGA RECOMENDADA = *222,5* KGF</t>
  </si>
  <si>
    <t>FITA VEDA ROSCA, EM PTFE, ROLO DE 18 MM X 10 M (L X C)</t>
  </si>
  <si>
    <t>FITA VEDA ROSCA, EM PTFE, ROLO DE 18 MM X 25 M (L X C)</t>
  </si>
  <si>
    <t>FITA VEDA ROSCA, EM PTFE, ROLO DE 18 MM X 50 M (L X C)</t>
  </si>
  <si>
    <t>FIXADOR DE ABA AUTOTRAVANTE PARA TELHA DE FIBROCIMENTO, TIPO CANALETE 90 OU KALHETAO</t>
  </si>
  <si>
    <t>FIXADOR DE ABA SIMPLES PARA TELHA DE FIBROCIMENTO, TIPO CANALETA 49 OU KALHETA</t>
  </si>
  <si>
    <t>FIXADOR DE ABA SIMPLES PARA TELHA DE FIBROCIMENTO, TIPO CANALETA 90 OU KALHETAO</t>
  </si>
  <si>
    <t>FLANELA *30 X 40* CM</t>
  </si>
  <si>
    <t>FLANGE SEXTAVADO DE FERRO GALVANIZADO, COM ROSCA BSP, DE 1 1/2"</t>
  </si>
  <si>
    <t>FLANGE SEXTAVADO DE FERRO GALVANIZADO, COM ROSCA BSP, DE 1 1/4"</t>
  </si>
  <si>
    <t>FLANGE SEXTAVADO DE FERRO GALVANIZADO, COM ROSCA BSP, DE 1"</t>
  </si>
  <si>
    <t>FLANGE SEXTAVADO DE FERRO GALVANIZADO, COM ROSCA BSP, DE 1/2"</t>
  </si>
  <si>
    <t>FLANGE SEXTAVADO DE FERRO GALVANIZADO, COM ROSCA BSP, DE 2 1/2"</t>
  </si>
  <si>
    <t>FLANGE SEXTAVADO DE FERRO GALVANIZADO, COM ROSCA BSP, DE 2"</t>
  </si>
  <si>
    <t>FLANGE SEXTAVADO DE FERRO GALVANIZADO, COM ROSCA BSP, DE 3"</t>
  </si>
  <si>
    <t>FLANGE SEXTAVADO DE FERRO GALVANIZADO, COM ROSCA BSP, DE 3/4"</t>
  </si>
  <si>
    <t>FLANGE SEXTAVADO DE FERRO GALVANIZADO, COM ROSCA BSP, DE 4"</t>
  </si>
  <si>
    <t>FLANGE SEXTAVADO DE FERRO GALVANIZADO, COM ROSCA BSP, DE 6"</t>
  </si>
  <si>
    <t>FORMAO CHANFRADO 1", CABO DE MADEIRA</t>
  </si>
  <si>
    <t>FORRO COMPOSTO POR PAINEIS DE LA DE VIDRO, REVESTIDOS EM PVC MICROPERFURADO, DE *1250 X 625* MM, ESPESSURA 15 MM (COM COLOCACAO)</t>
  </si>
  <si>
    <t>FORRO DE FIBRA MINERAL EM PLACAS DE 1250 X 625 MM, E = 15 MM, BORDA RETA, COM PINTURA ANTIMOFO, APOIADO EM PERFIL DE ACO GALVANIZADO COM 24 MM DE BASE - INSTALADO</t>
  </si>
  <si>
    <t>FORRO DE FIBRA MINERAL EM PLACAS DE 625 X 625 MM, E = 15 MM, BORDA RETA, COM PINTURA ANTIMOFO, APOIADO EM PERFIL DE ACO GALVANIZADO COM 24 MM DE BASE - INSTALADO</t>
  </si>
  <si>
    <t>FORRO DE FIBRA MINERAL EM PLACAS DE 625 X 625 MM, E = 15/16 MM, BORDA REBAIXADA, COM PINTURA ANTIMOFO, APOIADO EM PERFIL DE ACO GALVANIZADO COM 24 MM DE BASE - INSTALADO</t>
  </si>
  <si>
    <t>FORRO DE MADEIRA CEDRINHO OU EQUIVALENTE DA REGIAO, ENCAIXE MACHO/FEMEA COM FRISO, *10 X 1* CM (SEM COLOCACAO)</t>
  </si>
  <si>
    <t>FORRO DE MADEIRA CUMARU/IPE CHAMPANHE OU EQUIVALENTE DA REGIAO, ENCAIXE MACHO/FEMEA COM FRISO, *10 X 1* CM (SEM COLOCACAO)</t>
  </si>
  <si>
    <t>FORRO DE MADEIRA PINUS OU EQUIVALENTE DA REGIAO, ENCAIXE MACHO/FEMEA COM FRISO, *10 X 1* CM (SEM COLOCACAO)</t>
  </si>
  <si>
    <t>FORRO DE PVC LISO, BRANCO, REGUA DE 10 CM, ESPESSURA APROXIMADA DE 8 MM (COM COLOCACAO / SEM ESTRUTURA METALICA)</t>
  </si>
  <si>
    <t>FORRO DE PVC LISO, BRANCO, REGUA DE 20 CM, ESPESSURA APROXIMADA DE 8 MM, COMPRIMENTO 6 M (SEM COLOCACAO)</t>
  </si>
  <si>
    <t>FORRO DE PVC, FRISADO, BRANCO, REGUA DE 10 CM, ESPESSURA APROXIMADA DE 8 MM E COMPRIMENTO 6 M (SEM COLOCACAO)</t>
  </si>
  <si>
    <t>FORRO DE PVC, FRISADO, BRANCO, REGUA DE 20 CM, ESPESSURA APROXIMADA DE 8 MM E COMPRIMENTO 6 M (SEM COLOCACAO)</t>
  </si>
  <si>
    <t>FOSSA SEPTICA, SEM FILTRO, EM POLIETILENO DE ALTA DENSIDADE (PEAD), PARA 15 A 30 CONTRIBUINTES, CILINDRICA, COM TAMPA, CAPACIDADE APROXIMADA DE *5500* LITROS (NBR 7229)</t>
  </si>
  <si>
    <t>FOSSA SEPTICA, SEM FILTRO, EM POLIETILENO DE ALTA DENSIDADE (PEAD), PARA 4 A 7 CONTRIBUINTES, CILINDRICA, COM TAMPA, CAPACIDADE APROXIMADA DE *1100* LITROS (NBR 7229)</t>
  </si>
  <si>
    <t>FOSSA SEPTICA, SEM FILTRO, EM POLIETILENO DE ALTA DENSIDADE (PEAD), PARA 8 A 14 CONTRIBUINTES, CILINDRICA, COM TAMPA, CAPACIDADE APROXIMADA DE *3000* LITROS (NBR 7229)</t>
  </si>
  <si>
    <t>FOSSA SEPTICA,SEM FILTRO, EM POLIETILENO DE ALTA DENSIDADE (PEAD), PARA 40 A 52 CONTRIBUINTES, CILINDRICA, COM TAMPA, CAPACIDADE APROXIMADA DE *10000* LITROS (NBR 7229)</t>
  </si>
  <si>
    <t>FRESADORA DE ASFALTO A FRIO SOBRE ESTEIRAS, LARG. FRESAGEM 2,00 M, POT. 410 KW/550 HP</t>
  </si>
  <si>
    <t>FRESADORA DE ASFALTO A FRIO SOBRE RODAS, LARG. FRESAGEM 1,00 M, POT. 155 KW/208 HP</t>
  </si>
  <si>
    <t>FUNDO ANTICORROSIVO PARA METAIS FERROSOS (ZARCAO)</t>
  </si>
  <si>
    <t>FUNDO PREPARADOR ACRILICO BASE AGUA</t>
  </si>
  <si>
    <t>FUNDO SINTETICO NIVELADOR BRANCO FOSCO PARA MADEIRA</t>
  </si>
  <si>
    <t>FURADEIRA ELETRICA DE IMPACTO 1/2", 600 W</t>
  </si>
  <si>
    <t>FURO PARA TORNEIRA OU OUTROS ACESSORIOS EM BANCADA DE MARMORE/ GRANITO OU OUTRO TIPO DE PEDRA NATURAL</t>
  </si>
  <si>
    <t>GABIAO MANTA (COLCHAO) MALHA HEXAGONAL 6 X 8 CM (ZN/AL REVESTIDO COM POLIMERO), DIMENSOES 4,0 X 2,0 X 0,17 M (C X L X A) FIO 2 MM</t>
  </si>
  <si>
    <t>GABIAO MANTA (COLCHAO) MALHA HEXAGONAL 6 X 8 CM (ZN/AL REVESTIDO COM POLIMERO), FIO 2 MM, DIMENSOES 4,0 X 2,0 X 0,23 M (C X L X A)</t>
  </si>
  <si>
    <t>GABIAO MANTA (COLCHAO) MALHA HEXAGONAL 6 X 8 CM (ZN/AL REVESTIDO COM POLIMERO), FIO 2 MM, DIMENSOES 4,0 X 2,0 X 0,3 M (C X L X A)</t>
  </si>
  <si>
    <t>GABIAO MANTA (COLCHAO) MALHA HEXAGONAL 6 X 8 CM (ZN/AL REVESTIDO COM POLIMERO), FIO 2,0 MM, DIMENSOES 5,0 X 2,0 X 0,17 M (C X L X A)</t>
  </si>
  <si>
    <t>GABIAO MANTA (COLCHAO) MALHA HEXAGONAL 6 X 8 CM (ZN/AL REVESTIDO COM POLIMERO), FIO 2,0 MM, DIMENSOES 5,0 X 2,0 X 0,23 M (C X L X A)</t>
  </si>
  <si>
    <t>GABIAO MANTA (COLCHAO) MALHA HEXAGONAL 6 X 8 CM (ZN/AL REVESTIDO COM POLIMERO), FIO 2,0 MM, DIMENSOES 5,0 X 2,0 X 0,30 M (C X L X A)</t>
  </si>
  <si>
    <t>GABIAO SACO MALHA HEXAGONAL 8 X 10 CM (ZN/AL REVESTIDO COM POLIMERO), FIO 2,4 MM, DIMENSOES 3,0 X 0,65 M</t>
  </si>
  <si>
    <t>GABIAO SACO MALHA HEXAGONAL 8 X 10 CM (ZN/AL REVESTIDO COM POLIMERO), FIO 2,4 MM, H = 0,65 M</t>
  </si>
  <si>
    <t>GABIAO SACO MALHA HEXAGONAL 8 X 10 CM (ZN/AL), FIO 2,7 MM, DIMENSOES 4,0 X 0,65 M</t>
  </si>
  <si>
    <t>GABIAO TIPO CAIXA MALHA HEXAGONAL 8 X 10 CM (ZN/AL REVESTIDO COM POLIMERO), FIO 2,4 MM, DIMENSOES 2,0 X 1,0 X 1,0 M (C X L X A)</t>
  </si>
  <si>
    <t>GABIAO TIPO CAIXA MALHA HEXAGONAL 8 X 10 CM (ZN/AL REVESTIDO COM POLIMERO), FIO 2,4 MM, H = 0,50 M</t>
  </si>
  <si>
    <t>GABIAO TIPO CAIXA MALHA HEXAGONAL 8 X 10 CM (ZN/AL), FIO 2,7 MM, DIMENSOES 2,0 X 1,0 X 1,0 M (C X L X A)</t>
  </si>
  <si>
    <t>GABIAO TIPO CAIXA MALHA HEXAGONAL 8 X 10 CM (ZN/AL), FIO 2,7 MM, H = 0,50 M</t>
  </si>
  <si>
    <t>GABIAO TIPO CAIXA PARA SOLO REFORCADO, MALHA HEXAGONAL 8 X 10 CM (ZN/AL REVESTIDO COM POLIMERO), FIO 2,7 MM, DIMENSOES 2,0 X 1,0 X 0,5 M, COM CAUDA DE 4,0 M</t>
  </si>
  <si>
    <t>GABIAO TIPO CAIXA PARA SOLO REFORCADO, MALHA HEXAGONAL 8 X 10 CM (ZN/AL REVESTIDO COM POLIMERO), FIO 2,7 MM, DIMENSOES 2,0 X 1,0 X 1,0 M, COM CAUDA DE 4,0 M</t>
  </si>
  <si>
    <t>GABIAO TIPO CAIXA PARA SOLO REFORCADO, MALHA HEXAGONAL DE DUPLA TORCAO 8 X 10 CM (ZN/AL REVESTIDO COM POLIMERO), FIO 2,7 MM, DIMENSOES 2,0 X 1,0 X 0,5 M, COM CAUDA DE 3,0 M</t>
  </si>
  <si>
    <t>GABIAO TIPO CAIXA PARA SOLO REFORCADO, MALHA HEXAGONAL DE DUPLA TORCAO 8 X 10 CM (ZN/AL REVESTIDO COM POLIMERO), FIO 2,7 MM, DIMENSOES 2,0 X 1,0 X 1,0 M, COM CAUDA DE 3,0 M</t>
  </si>
  <si>
    <t>GABIAO TIPO CAIXA PARA SOLO REFORCADO, MALHA HEXAGONAL DE DUPLA TORCAO 8 X 10 CM (ZN/AL REVESTIDO COM POLIMERO), FIO 2,7 MM, DIMENSOES 2,0 X 1,0 X 1,0 M, COM CAUDA DE 4,0 M</t>
  </si>
  <si>
    <t>GABIAO TIPO CAIXA TRAPEZOIDAL, MALHA HEXAGONAL 10 X 12 CM (ZN/AL REVESTIDO COM POLIMERO) FIO 2,7 MM, FACE COM 65 GRAUS, COM GEOSSINTETICO, DIMENSOES 2,0 X 1,5 X 1,0 M (C X L X A)</t>
  </si>
  <si>
    <t>GABIAO TIPO CAIXA, MALHA HEXAGONAL 8 X 10 CM (ZN/AL REVESTIDO COM POLIMERO), FIO 2,4 MM, DIMENSOES 2,0 X 1,0 X 0,5 M (C X L X A)</t>
  </si>
  <si>
    <t>GABIAO TIPO CAIXA, MALHA HEXAGONAL 8 X 10 CM (ZN/AL REVESTIDO COM POLIMERO), FIO DE 2,4 MM, DIMENSOES 2,0 X 1,0 X 1,0 M (C X L X A)</t>
  </si>
  <si>
    <t>GABIAO TIPO CAIXA, MALHA HEXAGONAL 8 X 10 CM (ZN/AL), FIO 2,7 MM, DIMENSOES 2,0 X 1,0 X 0,5 M (C X L X A)</t>
  </si>
  <si>
    <t>GABIAO TIPO CAIXA, MALHA HEXAGONAL 8 X 10 CM (ZN/AL), FIO DE 2,7 MM, DIMENSOES 2,0 X 1,0 X 1,0 M (C X L X A)</t>
  </si>
  <si>
    <t>GABIAO TIPO CAIXA, MALHA HEXAGONAL 8 X 10 CM (ZN/AL), FIO DE 2,7 MM, DIMENSOES 5,0 X 1,0 X 1,0 M (C X L X A)</t>
  </si>
  <si>
    <t>GANCHO CHATO EM ACO GALVANIZADO, L = 110 MM, RECOBRIMENTO = 100MM, SECAO 1/8 X 1/2" (3 MM X 12 MM), PARA FIXAR TELHA DE FIBROCIMENTO ONDULADA</t>
  </si>
  <si>
    <t>GANCHO OLHAL EM ACO GALVANIZADO, ESPESSURA 16MM, ABERTURA 21MM</t>
  </si>
  <si>
    <t>GAS DE COZINHA - GLP</t>
  </si>
  <si>
    <t>GASOLINA COMUM</t>
  </si>
  <si>
    <t>GEOGRELHA TECIDA COM FILAMENTOS DE POLIESTER + PVC, RESISTENCIA LONGITUDINAL: 90 KN/M, RESISTENCIA TRANSVERSAL: 30 KN/M, ALONGAMENTO = 12 POR CENTO</t>
  </si>
  <si>
    <t>GEOTEXTIL NAO TECIDO AGULHADO DE FILAMENTOS CONTINUOS 100% POLIESTER, RESITENCIA A TRACAO = 09 KN/M</t>
  </si>
  <si>
    <t>GEOTEXTIL NAO TECIDO AGULHADO DE FILAMENTOS CONTINUOS 100% POLIESTER, RESITENCIA A TRACAO = 10 KN/M</t>
  </si>
  <si>
    <t>GEOTEXTIL NAO TECIDO AGULHADO DE FILAMENTOS CONTINUOS 100% POLIESTER, RESITENCIA A TRACAO = 14 KN/M</t>
  </si>
  <si>
    <t>GEOTEXTIL NAO TECIDO AGULHADO DE FILAMENTOS CONTINUOS 100% POLIESTER, RESITENCIA A TRACAO = 16 KN/M</t>
  </si>
  <si>
    <t>GEOTEXTIL NAO TECIDO AGULHADO DE FILAMENTOS CONTINUOS 100% POLIESTER, RESITENCIA A TRACAO = 21 KN/M</t>
  </si>
  <si>
    <t>GEOTEXTIL NAO TECIDO AGULHADO DE FILAMENTOS CONTINUOS 100% POLIESTER, RESITENCIA A TRACAO = 26 KN/M</t>
  </si>
  <si>
    <t>GEOTEXTIL NAO TECIDO AGULHADO DE FILAMENTOS CONTINUOS 100% POLIESTER, RESITENCIA A TRACAO = 31 KN/M</t>
  </si>
  <si>
    <t>GERADOR PORTATIL MONOFASICO, POTENCIA 5500 VA, MOTOR A GASOLINA, POTENCIA DO MOTOR 13 CV</t>
  </si>
  <si>
    <t>GESSEIRO (HORISTA)</t>
  </si>
  <si>
    <t>GESSEIRO (MENSALISTA)</t>
  </si>
  <si>
    <t>GESSO COLA, EM PO, PARA FIXACAO DE MOLDURAS, SANCAS E BLOCOS DE GESSO</t>
  </si>
  <si>
    <t>GESSO EM PO PARA REVESTIMENTOS/MOLDURAS/SANCAS E USO GERAL</t>
  </si>
  <si>
    <t>GESSO PROJETADO</t>
  </si>
  <si>
    <t>GONZO DE EMBUTIR, EM LATAO / ZAMAC, *20 X 48* MM, PARA JANELA BASCULANTE / PIVOTANTE, JOGO COM 4 PECAS (PAR) - INCLUI PARAFUSOS</t>
  </si>
  <si>
    <t>GONZO DE SOBREPOR, EM LATAO / ZAMAC, PARA JANELA PIVOTANTE - INCLUI PARAFUSOS</t>
  </si>
  <si>
    <t>GRADE DE DISCOS COM CONTROLE REMOTO, REBOCAVEL, COM 24 DISCOS 24" X 6 MM, COM PNEUS PARA TRANSPORTE</t>
  </si>
  <si>
    <t>GRADE DE DISCOS MECANICA 20X24" COM 20 DISCOS 24" X 6MM COM PNEUS PARA TRANSPORTE</t>
  </si>
  <si>
    <t>GRAMA BATATAIS EM PLACAS, SEM PLANTIO</t>
  </si>
  <si>
    <t>GRAMA ESMERALDA OU SAO CARLOS OU CURITIBANA, EM PLACAS, SEM PLANTIO</t>
  </si>
  <si>
    <t>GRAMPO DE ACO POLIDO 1" X 9</t>
  </si>
  <si>
    <t>GRAMPO DE ACO POLIDO 7/8" X 9</t>
  </si>
  <si>
    <t>GRAMPO DE APERTO RAPIDO 18"</t>
  </si>
  <si>
    <t>GRAMPO LINHA VIVA DE LATAO ESTANHADO, DIAMETRO DO CONDUTOR PRINCIPAL DE 10 A 120 MM2, DIAMETRO DA DERIVACAO DE 10 A 70 MM2</t>
  </si>
  <si>
    <t>GRAMPO METALICO TIPO OLHAL PARA HASTE DE ATERRAMENTO DE 1", CONDUTOR DE *10* A 50 MM2</t>
  </si>
  <si>
    <t>GRAMPO METALICO TIPO OLHAL PARA HASTE DE ATERRAMENTO DE 1/2", CONDUTOR DE *10* A 50 MM2</t>
  </si>
  <si>
    <t>GRAMPO METALICO TIPO OLHAL PARA HASTE DE ATERRAMENTO DE 3/4", CONDUTOR DE *10* A 50 MM2</t>
  </si>
  <si>
    <t>GRAMPO METALICO TIPO OLHAL PARA HASTE DE ATERRAMENTO DE 5/8", CONDUTOR DE *10* A 50 MM2</t>
  </si>
  <si>
    <t>GRAMPO METALICO TIPO U PARA HASTE DE ATERRAMENTO DE ATE 3/4", CONDUTOR DE 10 A 25 MM2</t>
  </si>
  <si>
    <t>GRAMPO METALICO TIPO U PARA HASTE DE ATERRAMENTO DE ATE 5/8", CONDUTOR DE 10 A 25 MM2</t>
  </si>
  <si>
    <t>GRAMPO PARALELO METALICO PARA CABO DE 6 A 50 MM2, COM 2 PARAFUSOS</t>
  </si>
  <si>
    <t>GRAMPO U DE 5/8" N8 EM ACO GALVANIZADO</t>
  </si>
  <si>
    <t>GRANALHA DE ACO, ANGULAR (GRIT), PARA JATEAMENTO, PENEIRA 0,117 A 1,00 MM, (SAE G-40 A G-80)</t>
  </si>
  <si>
    <t>SC25KG</t>
  </si>
  <si>
    <t>GRANALHA DE ACO, ANGULAR (GRIT), PARA JATEAMENTO, PENEIRA 1,41 A 1,19 MM (SAE G16)</t>
  </si>
  <si>
    <t>GRANALHA DE ACO, ESFERICA (SHOT), PARA JATEAMENTO, PENEIRA 0,40 A 1,00 MM (SAE S-170 A S-280)</t>
  </si>
  <si>
    <t>GRANALHA DE ACO, ESFERICA (SHOT), PARA JATEAMENTO, PENEIRA 1,19 A 1,00 MM (SAE S390)</t>
  </si>
  <si>
    <t>GRANILHA/ GRANA/ PEDRISCO OU AGREGADO EM MARMORE/ GRANITO/ QUARTZO E CALCARIO, PRETO, CINZA, PALHA OU BRANCO</t>
  </si>
  <si>
    <t>GRANITO PARA BANCADA, POLIDO, TIPO ANDORINHA/ QUARTZ/ CASTELO/ CORUMBA OU OUTROS EQUIVALENTES DA REGIAO, E= *2,5* CM</t>
  </si>
  <si>
    <t>GRAUTE CIMENTICIO PARA USO GERAL</t>
  </si>
  <si>
    <t>GRAXA LUBRIFICANTE A BASE DE LITIO, DE MULTIPLAS APLICACOES E CONTENDO ADITIVOS DE EXTREMA PRESSAO (GRAU DE VISCOSIDADE NLGI 2)</t>
  </si>
  <si>
    <t>GRELHA FIXA, EM PVC BRANCA, QUADRADA, 150 X 150 MM, PARA RALOS E CAIXAS</t>
  </si>
  <si>
    <t>GRELHA FIXA, PVC CROMADA, REDONDA, 150 MM, PARA RALOS E CAIXAS</t>
  </si>
  <si>
    <t>GRELHA FOFO ARTICULADA, CARGA MAXIMA 1,5 T, *300 X 1000* MM, E= *15* MM</t>
  </si>
  <si>
    <t>GRELHA FOFO SIMPLES COM REQUADRO, CARGA MAXIMA 1,5 T, 150 X 1000 MM, E= *15* MM</t>
  </si>
  <si>
    <t>GRELHA FOFO SIMPLES COM REQUADRO, CARGA MAXIMA 1,5 T, 200 X 1000 MM, E= *15* MM</t>
  </si>
  <si>
    <t>GRELHA FOFO SIMPLES COM REQUADRO, CARGA MAXIMA 12,5 T, *300 X 1000* MM, E= *15* MM, AREA ESTACIONAMENTO CARRO PASSEIO</t>
  </si>
  <si>
    <t>GRUA ASCENCIONAL, LANCA DE 30 M, CAPACIDADE DE 1,0 T A 30 M, ALTURA ATE 39 M</t>
  </si>
  <si>
    <t>GRUA ASCENCIONAL, LANCA DE 42 M, CAPACIDADE DE 1,5 T A 30 M, ALTURA ATE 39 M</t>
  </si>
  <si>
    <t>GRUPO GERADOR DE SOLDA ELETRICA, COM MAQUINA DE SOLDA, ATE 400 AMPERES E GERADOR A DIESEL 60 CV, MOTOR 4 CILINDROS, TANQUE COMBUST., CARENAGEM DE PROTECAO SOBRE RODAS</t>
  </si>
  <si>
    <t>GRUPO GERADOR DIESEL, COM CARENAGEM, POTENCIA STANDART ENTRE 250 E 260 KVA, VELOCIDADE DE 1800 RPM, FREQUENCIA DE 60 HZ</t>
  </si>
  <si>
    <t>GRUPO GERADOR DIESEL, SEM CARENAGEM, POTENCIA STANDART ENTRE 80 E 90 KVA, VELOCIDADE DE 1800 RPM, FREQUENCIA DE 60 HZ</t>
  </si>
  <si>
    <t>GRUPO GERADOR ESTACIONARIO, MOTOR DIESEL POTENCIA 170 KVA</t>
  </si>
  <si>
    <t>GRUPO GERADOR ESTACIONARIO, POTENCIA 150 KVA, MOTOR DIESEL</t>
  </si>
  <si>
    <t>GRUPO GERADOR REBOCAVEL, POTENCIA *66* KVA, MOTOR A DIESEL</t>
  </si>
  <si>
    <t>GUARNICAO / ALIZAR / VISTA LISA EM MADEIRA MACICA, PARA PORTA, E = *1* CM, L = *5* CM, CEDRINHO / ANGELIM COMERCIAL / TAURI/ CURUPIXA / PEROBA / CUMARU OU EQUIVALENTE DA REGIAO</t>
  </si>
  <si>
    <t>GUARNICAO / ALIZAR / VISTA LISA EM MADEIRA MACICA, PARA PORTA, E = *1* CM, L = *5* CM, PINUS /EUCALIPTO / VIROLA OU EQUIVALENTE DA REGIAO</t>
  </si>
  <si>
    <t>GUARNICAO / ALIZAR / VISTA, E = *1,5* CM, L = *5,0* CM, EM POLIESTIRENO, BRANCO (JOGO PARA 1 FACE)</t>
  </si>
  <si>
    <t>GUARNICAO / MOLDURA / ARREMATE DE ACABAMENTO PARA ESQUADRIA, EM ALUMINIO PERFIL 25, ACABAMENTO ANODIZADO BRANCO OU BRILHANTE, PARA 1 FACE</t>
  </si>
  <si>
    <t>GUARNICAO/ALIZAR/VISTA, E = *1,3* CM, L = *5,0* CM HASTE REGULAVEL = *35* MM, EM MDF/PVC WOOD/ POLIESTIRENO OU MADEIRA LAMINADA, PRIMER BRANCO (JOGO PARA 1 FACE)</t>
  </si>
  <si>
    <t>GUARNICAO/ALIZAR/VISTA, E = *1,3* CM, L = *7,0* CM, EM POLIESTIRENO, BRANCO (JOGO PARA 1 FACE)</t>
  </si>
  <si>
    <t>GUINCHO ELETRICO DE COLUNA, CAPACIDADE 400 KG, COM MOTO FREIO, MOTOR TRIFASICO DE 1,25 CV</t>
  </si>
  <si>
    <t>GUINDASTE HIDRAULICO AUTOPROPELIDO, COM LANCA TELESCOPICA 28,80 M, CAPACIDADE MAXIMA 30 T, POTENCIA 97 KW, TRACAO 4 X 4</t>
  </si>
  <si>
    <t>GUINDASTE HIDRAULICO AUTOPROPELIDO, COM LANCA TELESCOPICA 40 M, CAPACIDADE MAXIMA 60 T, POTENCIA 260 KW, TRACAO 6 X 6</t>
  </si>
  <si>
    <t>GUINDAUTO HIDRAULICO, CAPACIDADE MAXIMA DE CARGA 14340 KG, MOMENTO MAXIMO DE CARGA 42,3 TM, ALCANCE MAXIMO HORIZONTAL 16,80 M, PARA MONTAGEM SOBRE CHASSI DE CAMINHAO PBT MINIMO 23000 KG (INCLUI MONTAGEM, NAO INCLUI CAMINHAO)</t>
  </si>
  <si>
    <t>GUINDAUTO HIDRAULICO, CAPACIDADE MAXIMA DE CARGA 3300 KG, MOMENTO MAXIMO DE CARGA 5,8 TM, ALCANCE MAXIMO HORIZONTAL 7,60 M, PARA MONTAGEM SOBRE CHASSI DE CAMINHAO PBT MINIMO 8000 KG (INCLUI MONTAGEM, NAO INCLUI CAMINHAO)</t>
  </si>
  <si>
    <t>GUINDAUTO HIDRAULICO, CAPACIDADE MAXIMA DE CARGA 6200 KG, MOMENTO MAXIMO DE CARGA 11,7 TM, ALCANCE MAXIMO HORIZONTAL 9,70 M, PARA MONTAGEM SOBRE CHASSI DE CAMINHAO PBT MINIMO 13000 KG (INCLUI MONTAGEM, NAO INCLUI CAMINHAO)</t>
  </si>
  <si>
    <t>GUINDAUTO HIDRAULICO, CAPACIDADE MAXIMA DE CARGA 8500 KG, MOMENTO MAXIMO DE CARGA 30,4 TM, ALCANCE MAXIMO HORIZONTAL 14,30 M, PARA MONTAGEM SOBRE CHASSI DE CAMINHAO PBT MINIMO 23000 KG (INCLUI MONTAGEM, NAO INCLUI CAMINHAO)</t>
  </si>
  <si>
    <t>HASTE ANCORA EM ACO GALVANIZADO, DIMENSOES 16 MM X 2000 MM</t>
  </si>
  <si>
    <t>HASTE DE ATERRAMENTO EM ACO COM 3,00 M DE COMPRIMENTO E DN = 3/4", REVESTIDA COM BAIXA CAMADA DE COBRE, SEM CONECTOR</t>
  </si>
  <si>
    <t>HASTE DE ATERRAMENTO EM ACO COM 3,00 M DE COMPRIMENTO E DN = 5/8", REVESTIDA COM BAIXA CAMADA DE COBRE, COM CONECTOR TIPO GRAMPO</t>
  </si>
  <si>
    <t>HASTE DE ATERRAMENTO EM ACO COM 3,00 M DE COMPRIMENTO E DN = 5/8", REVESTIDA COM BAIXA CAMADA DE COBRE, SEM CONECTOR</t>
  </si>
  <si>
    <t>HASTE DE ATERRAMENTO EM ACO GALVANIZADO TIPO CANTONEIRA COM 2,00 M DE COMPRIMENTO, 25 X 25 MM E CHAPA DE 3/16"</t>
  </si>
  <si>
    <t>HASTE PARA PERFURATRIZ DE ESTEIRA T38, D= 1 1/2" X *3 M*, PARA PROLONGAR BROCA</t>
  </si>
  <si>
    <t>HASTE RETA DE ACO GALVANIZADO, H = *30* CM, BASE RETANGULAR, PARA FIXACAO DE CONCERTINA SIMPLES DE 30 CM (NAO INCLUI OS FIXADORES)</t>
  </si>
  <si>
    <t>HASTE RETA PARA GANCHO DE FERRO GALVANIZADO, COM ROSCA 1/4" X 30 CM PARA FIXACAO DE TELHA METALICA, INCLUI PORCA E ARRUELAS DE VEDACAO</t>
  </si>
  <si>
    <t>HASTE RETA PARA GANCHO DE FERRO GALVANIZADO, COM ROSCA 1/4" X 40 CM PARA FIXACAO DE TELHA DE FIBROCIMENTO, INCLUI PORCA SEXTAVADA DE ZINCO</t>
  </si>
  <si>
    <t>HASTE RETA PARA GANCHO DE FERRO GALVANIZADO, COM ROSCA 5/16" X 35 CM PARA FIXACAO DE TELHA DE FIBROCIMENTO, INCLUI PORCA E ARRUELAS DE VEDACAO</t>
  </si>
  <si>
    <t>HASTE RETA PARA GANCHO DE FERRO GALVANIZADO, COM ROSCA 5/16" X 40 CM PARA FIXACAO DE TELHA DE FIBROCIMENTO, INCLUI PORCA SEXTAVADA DE ZINCO</t>
  </si>
  <si>
    <t>HASTE RETA PARA GANCHO DE FERRO GALVANIZADO, COM ROSCA 5/16" X 45 CM PARA FIXACAO DE TELHA DE FIBROCIMENTO, INCLUI PORCA E ARRUELAS DE VEDACAO</t>
  </si>
  <si>
    <t>HIDRANTE DE COLUNA COMPLETO, EM FERRO FUNDIDO, DN = 100 MM, COM REGISTRO, CUNHA DE BORRACHA, CURVA DESSIMETRICA, EXTREMIDADE E TAMPAS (INCLUI KIT FIXACAO)</t>
  </si>
  <si>
    <t>HIDRANTE DE COLUNA COMPLETO, EM FERRO FUNDIDO, DN = 75 MM, COM REGISTRO, CUNHA DE BORRACHA, CURVA DESSIMETRICA, EXTREMIDADE E TAMPAS (INCLUI KIT FIXACAO)</t>
  </si>
  <si>
    <t>HIDRANTE SUBTERRANEO, EM FERRO FUNDIDO, COM CURVA CURTA E CAIXA, DN 75 MM</t>
  </si>
  <si>
    <t>HIDRANTE SUBTERRANEO, EM FERRO FUNDIDO, COM CURVA LONGA E CAIXA, DN 75 MM</t>
  </si>
  <si>
    <t>HIDROMETRO MULTIJATO / MEDIDOR DE AGUA, DN 1 1/2", VAZAO MAXIMA DE 20 M3/H, PARA AGUA POTAVEL FRIA, RELOJOARIA PLANA, CLASSE B, HORIZONTAL (SEM CONEXOES)</t>
  </si>
  <si>
    <t>HIDROMETRO MULTIJATO / MEDIDOR DE AGUA, DN 1", VAZAO MAXIMA DE 10 M3/H, PARA AGUA POTAVEL FRIA, RELOJOARIA PLANA, CLASSE B, HORIZONTAL (SEM CONEXOES)</t>
  </si>
  <si>
    <t>HIDROMETRO MULTIJATO / MEDIDOR DE AGUA, DN 1", VAZAO MAXIMA DE 7 M3/H, PARA AGUA POTAVEL FRIA, RELOJOARIA PLANA, CLASSE B, HORIZONTAL (SEM CONEXOES)</t>
  </si>
  <si>
    <t>HIDROMETRO MULTIJATO / MEDIDOR DE AGUA, DN 2", VAZAO MAXIMA DE 30 M3/H, PARA AGUA POTAVEL FRIA, RELOJOARIA PLANA, CLASSE B, HORIZONTAL (SEM CONEXOES)</t>
  </si>
  <si>
    <t>HIDROMETRO UNIJATO / MEDIDOR DE AGUA, DN 1/2", VAZAO MAXIMA DE 1,5 M3/H, PARA AGUA POTAVEL FRIA, RELOJOARIA PLANA, CLASSE B, HORIZONTAL (SEM CONEXOES)</t>
  </si>
  <si>
    <t>HIDROMETRO UNIJATO / MEDIDOR DE AGUA, DN 1/2", VAZAO MAXIMA DE 3 M3/H, PARA AGUA POTAVEL FRIA, RELOJOARIA PLANA, CLASSE B, HORIZONTAL (SEM CONEXOES)</t>
  </si>
  <si>
    <t>HIDROMETRO UNIJATO / MEDIDOR DE AGUA, DN 3/4", VAZAO MAXIMA DE 5 M3/H, PARA AGUA POTAVEL FRIA, RELOJOARIA PLANA, CLASSE B, HORIZONTAL (SEM CONEXOES)0,</t>
  </si>
  <si>
    <t>HIDROMETRO WOLTMANN, DN 2", VAZAO MAXIMA DE 50 M3/H, PARA AGUA POTAVEL FRIA, RELOJOARIA PLANA, TURBINA HORIZONTAL, EQUIPADO COM TELEMETRIA (SEM CONEXOES)</t>
  </si>
  <si>
    <t>HIDROMETRO WOLTMANN, DN 3", VAZAO MAXIMA DE 80 M3/H, PARA AGUA POTAVEL FRIA, RELOJOARIA PLANA, TURBINA HORIZONTAL, EQUIPADO COM TELEMETRIA (SEM CONEXOES)</t>
  </si>
  <si>
    <t>IMPERMEABILIZADOR (HORISTA)</t>
  </si>
  <si>
    <t>IMPERMEABILIZADOR (MENSALISTA)</t>
  </si>
  <si>
    <t>IMPERMEABILIZANTE FLEXIVEL BRANCO DE BASE ACRILICA PARA COBERTURAS</t>
  </si>
  <si>
    <t>IMPERMEABILIZANTE INCOLOR, BASE SILICONE, PARA TRATAMENTO DE FACHADAS, TELHAS, PEDRAS E OUTRAS SUPERFICIES</t>
  </si>
  <si>
    <t>IMUNIZANTE PARA MADEIRA, INCOLOR</t>
  </si>
  <si>
    <t>INSTALADOR DE TUBULACOES (TUBOS/EQUIPAMENTOS) (MENSALISTA)</t>
  </si>
  <si>
    <t>INSTALADOR DE TUBULACOES - TUBOS/EQUIPAMENTOS (HORISTA)</t>
  </si>
  <si>
    <t>INTERRUPTOR BIPOLAR 10A, 250V, CONJUNTO MONTADO PARA EMBUTIR 4" X 2" (PLACA + SUPORTE + MODULO)</t>
  </si>
  <si>
    <t>INTERRUPTOR BIPOLAR SIMPLES 10 A, 250 V (APENAS MODULO)</t>
  </si>
  <si>
    <t>INTERRUPTOR INTERMEDIARIO 10 A, 250 V (APENAS MODULO)</t>
  </si>
  <si>
    <t>INTERRUPTOR INTERMEDIARIO 10A, 250V, CONJUNTO MONTADO PARA EMBUTIR 4" X 2" (PLACA + SUPORTE + MODULO)</t>
  </si>
  <si>
    <t>INTERRUPTOR PARALELO + TOMADA 2P+T 10A, 250V, CONJUNTO MONTADO PARA EMBUTIR 4" X 2" (PLACA + SUPORTE + MODULOS)</t>
  </si>
  <si>
    <t>INTERRUPTOR PARALELO 10A, 250V (APENAS MODULO)</t>
  </si>
  <si>
    <t>INTERRUPTOR PARALELO 10A, 250V, CONJUNTO MONTADO PARA EMBUTIR 4" X 2" (PLACA + SUPORTE + MODULO)</t>
  </si>
  <si>
    <t>INTERRUPTOR SIMPLES + 2 INTERRUPTORES PARALELOS 10A, 250V, CONJUNTO MONTADO PARA EMBUTIR 4" X 2" (PLACA + SUPORTE + MODULOS)</t>
  </si>
  <si>
    <t>INTERRUPTOR SIMPLES + INTERRUPTOR PARALELO + TOMADA 2P+T 10A, 250V, CONJUNTO MONTADO PARA EMBUTIR 4" X 2" (PLACA + SUPORTE + MODULOS)</t>
  </si>
  <si>
    <t>INTERRUPTOR SIMPLES + INTERRUPTOR PARALELO 10A, 250V, CONJUNTO MONTADO PARA EMBUTIR 4" X 2" (PLACA + SUPORTE + MODULOS)</t>
  </si>
  <si>
    <t>INTERRUPTOR SIMPLES + TOMADA 2P+T 10A, 250V, CONJUNTO MONTADO PARA EMBUTIR 4" X 2" (PLACA + SUPORTE + MODULOS)</t>
  </si>
  <si>
    <t>INTERRUPTOR SIMPLES 10A, 250V (APENAS MODULO)</t>
  </si>
  <si>
    <t>INTERRUPTOR SIMPLES 10A, 250V, CONJUNTO MONTADO PARA EMBUTIR 4" X 2" (PLACA + SUPORTE + MODULO)</t>
  </si>
  <si>
    <t>INTERRUPTOR SIMPLES 10A, 250V, CONJUNTO MONTADO PARA SOBREPOR 4" X 2" (CAIXA + 2 MODULOS)</t>
  </si>
  <si>
    <t>INTERRUPTOR SIMPLES 10A, 250V, CONJUNTO MONTADO PARA SOBREPOR 4" X 2" (CAIXA + MODULO)</t>
  </si>
  <si>
    <t>INTERRUPTORES PARALELOS (2 MODULOS) + TOMADA 2P+T 10A, 250V, CONJUNTO MONTADO PARA EMBUTIR 4" X 2" (PLACA + SUPORTE + MODULOS)</t>
  </si>
  <si>
    <t>INTERRUPTORES PARALELOS (2 MODULOS) 10A, 250V, CONJUNTO MONTADO PARA EMBUTIR 4" X 2" (PLACA + SUPORTE + MODULOS)</t>
  </si>
  <si>
    <t>INTERRUPTORES PARALELOS (3 MODULOS) 10A, 250V, CONJUNTO MONTADO PARA EMBUTIR 4" X 2" (PLACA + SUPORTE + MODULO)</t>
  </si>
  <si>
    <t>INTERRUPTORES SIMPLES (2 MODULOS) + 1 INTERRUPTOR PARALELO 10A, 250V, CONJUNTO MONTADO PARA EMBUTIR 4" X 2" (PLACA + SUPORTE + MODULOS)</t>
  </si>
  <si>
    <t>INTERRUPTORES SIMPLES (2 MODULOS) + TOMADA 2P+T 10A, 250V, CONJUNTO MONTADO PARA EMBUTIR 4" X 2" (PLACA + SUPORTE + MODULOS)</t>
  </si>
  <si>
    <t>INTERRUPTORES SIMPLES (2 MODULOS) 10A, 250V, CONJUNTO MONTADO PARA EMBUTIR 4" X 2" (PLACA + SUPORTE + MODULOS)</t>
  </si>
  <si>
    <t>INTERRUPTORES SIMPLES (3 MODULOS) 10A, 250V, CONJUNTO MONTADO PARA EMBUTIR 4" X 2" (PLACA + SUPORTE + MODULOS)</t>
  </si>
  <si>
    <t>INVERSOR DE SOLDA MONOFASICO DE 160 A, POTENCIA DE *7000* W, TENSAO DE 220 V, TURBO VENTILADO, PROTECAO POR TERMOSTATO, PARA ELETRODOS DE *2,0 A 4,0* MM</t>
  </si>
  <si>
    <t>ISOLADOR DE PORCELANA SUSPENSO, DISCO TIPO GARFO OLHAL, DIAMETRO DE 152 MM, PARA TENSAO DE *15* KV</t>
  </si>
  <si>
    <t>ISOLADOR DE PORCELANA, TIPO BUCHA, PARA TENSAO DE *15* KV</t>
  </si>
  <si>
    <t>ISOLADOR DE PORCELANA, TIPO BUCHA, PARA TENSAO DE *35* KV</t>
  </si>
  <si>
    <t>ISOLADOR DE PORCELANA, TIPO PINO MONOCORPO, PARA TENSAO DE *15* KV</t>
  </si>
  <si>
    <t>ISOLADOR DE PORCELANA, TIPO PINO MONOCORPO, PARA TENSAO DE *35* KV</t>
  </si>
  <si>
    <t>ISOLADOR DE PORCELANA, TIPO ROLDANA, DIMENSOES DE *72* X *72* MM, PARA USO EM BAIXA TENSAO</t>
  </si>
  <si>
    <t>JANELA BASCULANTE EM MADEIRA PINUS/ EUCALIPTO/ TAUARI/ VIROLA OU EQUIVALENTE DA REGIAO, *60 X 60*, CAIXA DO BATENTE/ MARCO E = *10* CM, 2 BASCULAS PARA VIDRO, COM FERRAGENS (SEM VIDRO, SEM GUARNICAO/ALIZAR E SEM ACABAMENTO)</t>
  </si>
  <si>
    <t>JANELA BASCULANTE EM MADEIRA PINUS/ EUCALIPTO/ TAUARI/ VIROLA OU EQUIVALENTE DA REGIAO, CAIXA DO BATENTE/ MARCO *10* CM, *2* FOLHAS BASCULANTES PARA VIDRO, COM FERRAGENS (SEM VIDRO, SEM GUARNICAO/ALIZAR E SEM ACABAMENTO)</t>
  </si>
  <si>
    <t>JANELA BASCULANTE, ACO, COM BATENTE/REQUADRO, 60 X 60 CM (SEM VIDROS)</t>
  </si>
  <si>
    <t>JANELA BASCULANTE, EM ALUMINIO PERFIL 20, 80 X 60 CM (A X L), 4 FLS (1 FIXA E 3 MOVEIS), ACABAMENTO BRANCO OU BRILHANTE, BATENTE DE 3 A 4 CM, COM VIDRO 4 MM, SEM GUARNICAO</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</si>
  <si>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</si>
  <si>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</si>
  <si>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</si>
  <si>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JANELA DE ABRIR EM MADEIRA IMBUIA/CEDRO ARANA/CEDRO ROSA OU EQUIVALENTE DA REGIAO, CAIXA DO BATENTE/MARCO *10* CM, 2 FOLHAS DE ABRIR TIPO VENEZIANA E 2 FOLHAS DE ABRIR PARA VIDRO, COM GUARNICAO/ALIZAR, COM FERRAGENS, (SEM VIDRO E SEM ACABAMENTO)</t>
  </si>
  <si>
    <t>JANELA DE ABRIR EM MADEIRA PINUS/EUCALIPTO/TAUARI/VIROLA OU EQUIVALENTE DA REGIAO, CAIXA DO BATENTE/MARCO *10* CM, 2 FOLHAS DE ABRIR TIPO VENEZIANA E 2 FOLHAS GUILHOTINA PARA VIDRO, COM FERRAGENS (SEM VIDRO, SEM GUARNICAO/ALIZAR E SEM ACABAMENTO)</t>
  </si>
  <si>
    <t>JANELA DE CORRER, ACO, BATENTE/REQUADRO DE 6 A 14 CM, COM DIVISAO HORIZ, PINT ANTICORROSIVA, SEM VIDRO, BANDEIRA COM BASCULA, 4 FLS, 120 X 150 CM (A X L)</t>
  </si>
  <si>
    <t>JANELA DE CORRER, EM ALUMINIO PERFIL 25, 100 X 120 CM (A X L), 2 FLS MOVEIS, SEM BANDEIRA, ACABAMENTO BRANCO OU BRILHANTE, BATENTE DE 6 A 7 CM, COM VIDRO 4 MM, SEM GUARNICAO</t>
  </si>
  <si>
    <t>JANELA DE CORRER, EM ALUMINIO PERFIL 25, 100 X 150 CM (A X L), 2 FLS MOVEIS, SEM BANDEIRA, ACABAMENTO BRANCO OU BRILHANTE, BATENTE DE 6 A 7 CM, COM VIDRO 4 MM, SEM GUARNICAO</t>
  </si>
  <si>
    <t>JANELA DE CORRER, EM ALUMINIO PERFIL 25, 100 X 150 CM (A X L), 4 FLS MOVEIS, SEM BANDEIRA, ACABAMENTO BRANCO OU BRILHANTE, BATENTE DE 6 A 7 CM, COM VIDRO 4 MM, SEM GUARNICAO/ALIZAR</t>
  </si>
  <si>
    <t>JANELA DE CORRER, EM ALUMINIO PERFIL 25, 100 X 200 CM (A X L), 4 FLS, SEM BANDEIRA, ACABAMENTO BRANCO OU BRILHANTE, BATENTE DE 6 A 7 CM, COM VIDRO 4 MM, SEM GUARNICAO/ALIZAR</t>
  </si>
  <si>
    <t>JANELA DE CORRER, EM ALUMINIO PERFIL 25, 120 X 150 CM (A X L), 4 FLS, BANDEIRA COM BASCULA, ACABAMENTO BRANCO OU BRILHANTE, BATENTE/REQUADRO DE 6 A 14 CM, COM VIDRO 4 MM, SEM GUARNICAO/ALIZAR</t>
  </si>
  <si>
    <t>JANELA EM MADEIRA CEDRINHO/ ANGELIM COMERCIAL/ CURUPIXA/ CUMARU OU EQUIVALENTE DA REGIAO, CAIXA DO BATENTE/MARCO *10* CM, 2 FOLHAS DE ABRIR TIPO VENEZIANA E 2 FOLHAS GUILHOTINA PARA VIDRO, COM GUARNICAO/ALIZAR, COM FERRAGENS (SEM VIDRO E SEM ACABAMENTO)</t>
  </si>
  <si>
    <t>JANELA FIXA, EM ALUMINIO PERFIL 20, 60 X 80 CM (A X L), BATENTE/REQUADRO DE 3 A 14 CM, COM VIDRO 4 MM, SEM GUARNICAO/ALIZAR, ACABAMENTO ALUM BRANCO OU BRILHANTE</t>
  </si>
  <si>
    <t>JANELA INTEGRADA VENEZIANA EM ALUMINIO PERFIL 25, 120 X 120 CM (A X L), 2 FLS (2 VIDROS) E VENEZIANA COM ACIONAMENTO MANUAL, SEM BANDEIRA, ACABAMENTO BRILHANTE, BATENTE DE 11,50 A 12,50 CM, COM VIDRO 4 MM, INCLUSO GUARNICAO</t>
  </si>
  <si>
    <t>JANELA MAXIM-AR EM MADEIRA CEDRINHO/ ANGELIM COMERCIAL/ CURUPIXA/ CUMARU OU EQUIVALENTE DA REGIAO, CAIXA DO BATENTE/MARCO *10* CM, 1 FOLHA PARA VIDRO, COM GUARNICAO/ALIZAR, COM FERRAGENS, (SEM VIDRO E SEM ACABAMENTO)</t>
  </si>
  <si>
    <t>JANELA MAXIM-AR, ACO GALVANIZADO PINT. ANTICORROSIVA, COM BATENTE/REQUADRO DE 6 A 14 CM, SEM VIDRO, COM GRADE, 1 FL, 60 X 80 CM (A X L)</t>
  </si>
  <si>
    <t>JANELA MAXIM-AR, EM ALUMINIO PERFIL 25, 60 X 80 CM (A X L), ACABAMENTO BRANCO OU BRILHANTE, BATENTE DE 4 A 5 CM, COM VIDRO 4 MM, SEM GUARNICAO/ALIZAR</t>
  </si>
  <si>
    <t>JANELA VENEZIANA DE CORRER, EM ALUMINIO PERFIL 25, 100 X 120 CM (A X L), 3 FLS (2 VENEZIANAS E 1 VIDRO), SEM BANDEIRA, ACABAMENTO BRANCO OU BRILHANTE, BATENTE DE 8 A 9 CM, COM VIDRO 4 MM, SEM GUARNICAO/ALIZAR</t>
  </si>
  <si>
    <t>JANELA VENEZIANA DE CORRER, EM ALUMINIO PERFIL 25, 100 X 150 CM (A X L), 6 FLS (4 VENEZIANAS E 2 VIDROS), SEM BANDEIRA, ACABAMENTO BRANCO OU BRILHANTE, BATENTE DE 8 A 9 CM, COM VIDRO 4 MM, SEM GUARNICAO / ALIZAR</t>
  </si>
  <si>
    <t>JARDINEIRO (HORISTA)</t>
  </si>
  <si>
    <t>JARDINEIRO (MENSALISTA)</t>
  </si>
  <si>
    <t>JOELHO CPVC, SOLDAVEL, 45 GRAUS, 15 MM, PARA AGUA QUENTE</t>
  </si>
  <si>
    <t>JOELHO CPVC, SOLDAVEL, 45 GRAUS, 22 MM, PARA AGUA QUENTE</t>
  </si>
  <si>
    <t>JOELHO CPVC, SOLDAVEL, 45 GRAUS, 28 MM, PARA AGUA QUENTE</t>
  </si>
  <si>
    <t>JOELHO CPVC, SOLDAVEL, 45 GRAUS, 35 MM, PARA AGUA QUENTE</t>
  </si>
  <si>
    <t>JOELHO CPVC, SOLDAVEL, 45 GRAUS, 42 MM, PARA AGUA QUENTE</t>
  </si>
  <si>
    <t>JOELHO CPVC, SOLDAVEL, 45 GRAUS, 54 MM, PARA AGUA QUENTE</t>
  </si>
  <si>
    <t>JOELHO CPVC, SOLDAVEL, 45 GRAUS, 73 MM, PARA AGUA QUENTE</t>
  </si>
  <si>
    <t>JOELHO CPVC, SOLDAVEL, 45 GRAUS, 89 MM, PARA AGUA QUENTE</t>
  </si>
  <si>
    <t>JOELHO CPVC, SOLDAVEL, 90 GRAUS, 114 MM, PARA AGUA QUENTE</t>
  </si>
  <si>
    <t>JOELHO CPVC, SOLDAVEL, 90 GRAUS, 15 MM, PARA AGUA QUENTE</t>
  </si>
  <si>
    <t>JOELHO CPVC, SOLDAVEL, 90 GRAUS, 22 MM, PARA AGUA QUENTE</t>
  </si>
  <si>
    <t>JOELHO CPVC, SOLDAVEL, 90 GRAUS, 28 MM, PARA AGUA QUENTE</t>
  </si>
  <si>
    <t>JOELHO CPVC, SOLDAVEL, 90 GRAUS, 35 MM, PARA AGUA QUENTE</t>
  </si>
  <si>
    <t>JOELHO CPVC, SOLDAVEL, 90 GRAUS, 42 MM, PARA AGUA QUENTE</t>
  </si>
  <si>
    <t>JOELHO CPVC, SOLDAVEL, 90 GRAUS, 54 MM, PARA AGUA QUENTE</t>
  </si>
  <si>
    <t>JOELHO CPVC, SOLDAVEL, 90 GRAUS, 73 MM, PARA AGUA QUENTE</t>
  </si>
  <si>
    <t>JOELHO CPVC, SOLDAVEL, 90 GRAUS, 89 MM, PARA AGUA QUENTE</t>
  </si>
  <si>
    <t>JOELHO DE REDUCAO, PVC SOLDAVEL, 90 GRAUS, 25 MM X 20 MM, COR MARROM, PARA AGUA FRIA PREDIAL</t>
  </si>
  <si>
    <t>JOELHO DE REDUCAO, PVC SOLDAVEL, 90 GRAUS, 32 MM X 25 MM, COR MARROM, PARA AGUA FRIA PREDIAL</t>
  </si>
  <si>
    <t>JOELHO DE REDUCAO, PVC, ROSCAVEL, 90 GRAUS, 1" X 3/4", COR BRANCA, PARA AGUA FRIA PREDIAL</t>
  </si>
  <si>
    <t>JOELHO DE REDUCAO, PVC, ROSCAVEL, 90 GRAUS, 3/4" X 1/2", COR BRANCA, PARA AGUA FRIA PREDIAL</t>
  </si>
  <si>
    <t>JOELHO DE TRANSICAO, CPVC, SOLDAVEL, 90 GRAUS, 15 MM X 1/2", PARA AGUA QUENTE</t>
  </si>
  <si>
    <t>JOELHO DE TRANSICAO, CPVC, SOLDAVEL, 90 GRAUS, 22 MM X 1/2", PARA AGUA QUENTE</t>
  </si>
  <si>
    <t>JOELHO DE TRANSICAO, CPVC, SOLDAVEL, 90 GRAUS, 22 MM X 3/4", PARA AGUA QUENTE</t>
  </si>
  <si>
    <t>JOELHO PPR 45 GRAUS, SOLDAVEL, F/F, DN 20 MM, PARA AGUA QUENTE PREDIAL</t>
  </si>
  <si>
    <t>JOELHO PPR 45 GRAUS, SOLDAVEL, F/F, DN 25 MM, PARA AGUA QUENTE PREDIAL</t>
  </si>
  <si>
    <t>JOELHO PPR 45 GRAUS, SOLDAVEL, F/F, DN 40 MM, PARA AQUA QUENTE E FRIA PREDIAL</t>
  </si>
  <si>
    <t>JOELHO PPR 45 GRAUS, SOLDAVEL, F/F, DN 50 MM, PARA AQUA QUENTE E FRIA PREDIAL</t>
  </si>
  <si>
    <t>JOELHO PPR 45 GRAUS, SOLDAVEL, F/F, DN 63 MM, PARA AQUA QUENTE E FRIA PREDIAL</t>
  </si>
  <si>
    <t>JOELHO PPR 45 GRAUS, SOLDAVEL, F/F, DN 75 MM, PARA AQUA QUENTE E FRIA PREDIAL</t>
  </si>
  <si>
    <t>JOELHO PPR 45 GRAUS, SOLDAVEL, F/F, DN 90 MM, PARA AQUA QUENTE E FRIA PREDIAL</t>
  </si>
  <si>
    <t>JOELHO PPR, 45 GRAUS, SOLDAVEL, F/F, DN 32 MM, PARA AGUA QUENTE PREDIAL</t>
  </si>
  <si>
    <t>JOELHO PPR, 90 GRAUS, SOLDAVEL, F/F, DN 110 MM, PARA AGUA QUENTE PREDIAL</t>
  </si>
  <si>
    <t>JOELHO PPR, 90 GRAUS, SOLDAVEL, F/F, DN 20 MM, PARA AGUA QUENTE PREDIAL</t>
  </si>
  <si>
    <t>JOELHO PPR, 90 GRAUS, SOLDAVEL, F/F, DN 25 MM, PARA AGUA QUENTE PREDIAL</t>
  </si>
  <si>
    <t>JOELHO PPR, 90 GRAUS, SOLDAVEL, F/F, DN 32 MM, PARA AGUA QUENTE PREDIAL</t>
  </si>
  <si>
    <t>JOELHO PPR, 90 GRAUS, SOLDAVEL, F/F, DN 40 MM, PARA AGUA QUENTE PREDIAL</t>
  </si>
  <si>
    <t>JOELHO PPR, 90 GRAUS, SOLDAVEL, F/F, DN 50 MM, PARA AGUA QUENTE PREDIAL</t>
  </si>
  <si>
    <t>JOELHO PPR, 90 GRAUS, SOLDAVEL, F/F, DN 63 MM, PARA AGUA QUENTE PREDIAL</t>
  </si>
  <si>
    <t>JOELHO PPR, 90 GRAUS, SOLDAVEL, F/F, DN 75 MM, PARA AGUA QUENTE PREDIAL</t>
  </si>
  <si>
    <t>JOELHO PPR, 90 GRAUS, SOLDAVEL, F/F, DN 90 MM, PARA AGUA QUENTE PREDIAL</t>
  </si>
  <si>
    <t>JOELHO PVC COM VISITA, 90 GRAUS, DN 100 X 50 MM, SERIE NORMAL, PARA ESGOTO PREDIAL</t>
  </si>
  <si>
    <t>JOELHO PVC, 90 GRAUS, ROSCAVEL, 1 1/4", COR BRANCA, AGUA FRIA PREDIAL</t>
  </si>
  <si>
    <t>JOELHO PVC, COM BOLSA E ANEL, 90 GRAUS, DN 40 X *38* MM, SERIE NORMAL, PARA ESGOTO PREDIAL</t>
  </si>
  <si>
    <t>JOELHO PVC, ROSCAVEL, 45 GRAUS, 1", COR BRANCA, PARA AGUA FRIA PREDIAL</t>
  </si>
  <si>
    <t>JOELHO PVC, ROSCAVEL, 45 GRAUS, 1/2", COR BRANCA, PARA AGUA FRIA PREDIAL</t>
  </si>
  <si>
    <t>JOELHO PVC, ROSCAVEL, 45 GRAUS, 3/4", COR BRANCA, PARA AGUA FRIA PREDIAL</t>
  </si>
  <si>
    <t>JOELHO PVC, ROSCAVEL, 90 GRAUS, 1", COR BRANCA, PARA AGUA FRIA PREDIAL</t>
  </si>
  <si>
    <t>JOELHO PVC, ROSCAVEL, 90 GRAUS, 1/2", COR BRANCA, PARA AGUA FRIA PREDIAL</t>
  </si>
  <si>
    <t>JOELHO PVC, ROSCAVEL, 90 GRAUS, 3/4", COR BRANCA, PARA AGUA FRIA PREDIAL</t>
  </si>
  <si>
    <t>JOELHO PVC, SOLDAVEL COM ROSCA, 90 GRAUS, 20 MM X 1/2", COR MARROM, PARA AGUA FRIA PREDIAL</t>
  </si>
  <si>
    <t>JOELHO PVC, SOLDAVEL COM ROSCA, 90 GRAUS, 25 MM X 1/2", COR MARROM, PARA AGUA FRIA PREDIAL</t>
  </si>
  <si>
    <t>JOELHO PVC, SOLDAVEL COM ROSCA, 90 GRAUS, 25 MM X 3/4", COR MARROM, PARA AGUA FRIA PREDIAL</t>
  </si>
  <si>
    <t>JOELHO PVC, SOLDAVEL COM ROSCA, 90 GRAUS, 32 MM X 3/4", COR MARROM, PARA AGUA FRIA PREDIAL</t>
  </si>
  <si>
    <t>JOELHO PVC, SOLDAVEL, 90 GRAUS, 110 MM, COR MARROM, PARA AGUA FRIA PREDIAL</t>
  </si>
  <si>
    <t>JOELHO PVC, SOLDAVEL, 90 GRAUS, 20 MM, COR MARROM, PARA AGUA FRIA PREDIAL</t>
  </si>
  <si>
    <t>JOELHO PVC, SOLDAVEL, 90 GRAUS, 25 MM, COR MARROM, PARA AGUA FRIA PREDIAL</t>
  </si>
  <si>
    <t>JOELHO PVC, SOLDAVEL, 90 GRAUS, 32 MM, COR MARROM, PARA AGUA FRIA PREDIAL</t>
  </si>
  <si>
    <t>JOELHO PVC, SOLDAVEL, 90 GRAUS, 40 MM, COR MARROM, PARA AGUA FRIA PREDIAL</t>
  </si>
  <si>
    <t>JOELHO PVC, SOLDAVEL, 90 GRAUS, 50 MM, COR MARROM, PARA AGUA FRIA PREDIAL</t>
  </si>
  <si>
    <t>JOELHO PVC, SOLDAVEL, 90 GRAUS, 60 MM, COR MARROM, PARA AGUA FRIA PREDIAL</t>
  </si>
  <si>
    <t>JOELHO PVC, SOLDAVEL, 90 GRAUS, 85 MM, COR MARROM, PARA AGUA FRIA PREDIAL</t>
  </si>
  <si>
    <t>JOELHO PVC, SOLDAVEL, BB, 45 GRAUS, DN 40 MM, PARA ESGOTO PREDIAL</t>
  </si>
  <si>
    <t>JOELHO PVC, SOLDAVEL, BB, 90 GRAUS, SEM ANEL, DN 40 MM, PARA ESGOTO PREDIAL SECUNDARIO</t>
  </si>
  <si>
    <t>JOELHO PVC, SOLDAVEL, COM BUCHA DE LATAO, 90 GRAUS, 20 MM X 1/2", PARA AGUA FRIA PREDIAL</t>
  </si>
  <si>
    <t>JOELHO PVC, SOLDAVEL, COM BUCHA DE LATAO, 90 GRAUS, 25 MM X 1/2", PARA AGUA FRIA PREDIAL</t>
  </si>
  <si>
    <t>JOELHO PVC, SOLDAVEL, COM BUCHA DE LATAO, 90 GRAUS, 25 MM X 3/4", PARA AGUA FRIA PREDIAL</t>
  </si>
  <si>
    <t>JOELHO PVC, SOLDAVEL, COM BUCHA DE LATAO, 90 GRAUS, 32 MM X 3/4", PARA AGUA FRIA PREDIAL</t>
  </si>
  <si>
    <t>JOELHO PVC, SOLDAVEL, PB, 45 GRAUS, DN 100 MM, PARA ESGOTO PREDIAL</t>
  </si>
  <si>
    <t>JOELHO PVC, SOLDAVEL, PB, 45 GRAUS, DN 150 MM, PARA ESGOTO PREDIAL</t>
  </si>
  <si>
    <t>JOELHO PVC, SOLDAVEL, PB, 45 GRAUS, DN 40 MM, PARA ESGOTO PREDIAL</t>
  </si>
  <si>
    <t>JOELHO PVC, SOLDAVEL, PB, 45 GRAUS, DN 50 MM, PARA ESGOTO PREDIAL</t>
  </si>
  <si>
    <t>JOELHO PVC, SOLDAVEL, PB, 45 GRAUS, DN 75 MM, PARA ESGOTO PREDIAL</t>
  </si>
  <si>
    <t>JOELHO PVC, SOLDAVEL, PB, 90 GRAUS, DN 100 MM, PARA ESGOTO PREDIAL</t>
  </si>
  <si>
    <t>JOELHO PVC, SOLDAVEL, PB, 90 GRAUS, DN 150 MM, PARA ESGOTO PREDIAL</t>
  </si>
  <si>
    <t>JOELHO PVC, SOLDAVEL, PB, 90 GRAUS, DN 40 MM, PARA ESGOTO PREDIAL</t>
  </si>
  <si>
    <t>JOELHO PVC, SOLDAVEL, PB, 90 GRAUS, DN 50 MM, PARA ESGOTO PREDIAL</t>
  </si>
  <si>
    <t>JOELHO PVC, SOLDAVEL, PB, 90 GRAUS, DN 75 MM, PARA ESGOTO PREDIAL</t>
  </si>
  <si>
    <t>JOELHO, PVC SERIE R, 45 GRAUS, DN 100 MM, PARA ESGOTO PREDIAL</t>
  </si>
  <si>
    <t>JOELHO, PVC SERIE R, 45 GRAUS, DN 150 MM, PARA ESGOTO PREDIAL</t>
  </si>
  <si>
    <t>JOELHO, PVC SERIE R, 45 GRAUS, DN 40 MM, PARA ESGOTO PREDIAL</t>
  </si>
  <si>
    <t>JOELHO, PVC SERIE R, 45 GRAUS, DN 50 MM, PARA ESGOTO PREDIAL</t>
  </si>
  <si>
    <t>JOELHO, PVC SERIE R, 45 GRAUS, DN 75 MM, PARA ESGOTO PREDIAL</t>
  </si>
  <si>
    <t>JOELHO, PVC SERIE R, 90 GRAUS, DN 100 MM, PARA ESGOTO PREDIAL</t>
  </si>
  <si>
    <t>JOELHO, PVC SERIE R, 90 GRAUS, DN 150 MM, PARA ESGOTO PREDIAL</t>
  </si>
  <si>
    <t>JOELHO, PVC SERIE R, 90 GRAUS, DN 40 MM, PARA ESGOTO PREDIAL</t>
  </si>
  <si>
    <t>JOELHO, PVC SERIE R, 90 GRAUS, DN 50 MM, PARA ESGOTO PREDIAL</t>
  </si>
  <si>
    <t>JOELHO, PVC SERIE R, 90 GRAUS, DN 75 MM, PARA ESGOTO PREDIAL</t>
  </si>
  <si>
    <t>JOELHO, PVC SOLDAVEL, 45 GRAUS, 20 MM, COR MARROM, PARA AGUA FRIA PREDIAL</t>
  </si>
  <si>
    <t>JOELHO, PVC SOLDAVEL, 45 GRAUS, 25 MM, COR MARROM, PARA AGUA FRIA PREDIAL</t>
  </si>
  <si>
    <t>JOELHO, PVC SOLDAVEL, 45 GRAUS, 32 MM, COR MARROM, PARA AGUA FRIA PREDIAL</t>
  </si>
  <si>
    <t>JOELHO, PVC SOLDAVEL, 45 GRAUS, 40 MM, COR MARROM, PARA AGUA FRIA PREDIAL</t>
  </si>
  <si>
    <t>JOELHO, PVC SOLDAVEL, 45 GRAUS, 50 MM, COR MARROM, PARA AGUA FRIA PREDIAL</t>
  </si>
  <si>
    <t>JOELHO, PVC SOLDAVEL, 45 GRAUS, 60 MM, COR MARROM, PARA AGUA FRIA PREDIAL</t>
  </si>
  <si>
    <t>JOELHO, PVC SOLDAVEL, 45 GRAUS, 75 MM, COR MARROM, PARA AGUA FRIA PREDIAL</t>
  </si>
  <si>
    <t>JOELHO, PVC SOLDAVEL, 45 GRAUS, 85 MM, COR MARROM, PARA AGUA FRIA PREDIAL</t>
  </si>
  <si>
    <t>JOELHO, PVC SOLDAVEL, 90 GRAUS, 75 MM, COR MARROM, PARA AGUA FRIA PREDIAL</t>
  </si>
  <si>
    <t>JOELHO/COTOVELO 90 GRAUS, METALICO, PARA CONEXAO COM ANEL DESLIZANTE, DN 16 MM, EM TUBO PEX PARA INST. AGUA QUENTE/FRIA</t>
  </si>
  <si>
    <t>JOELHO/COTOVELO 90 GRAUS, METALICO, PARA CONEXAO COM ANEL DESLIZANTE, DN 20 MM, EM TUBO PEX PARA INST. AGUA QUENTE/FRIA</t>
  </si>
  <si>
    <t>JOELHO/COTOVELO 90 GRAUS, METALICO, PARA CONEXAO COM ANEL DESLIZANTE, DN 25 MM, EM TUBO PEX PARA INST. AGUA QUENTE/FRIA</t>
  </si>
  <si>
    <t>JOELHO/COTOVELO 90 GRAUS, METALICO, PARA CONEXAO COM ANEL DESLIZANTE, DN 32 MM, EM TUBO PEX PARA INST. AGUA QUENTE/FRIA</t>
  </si>
  <si>
    <t>JOELHO/COTOVELO 90 GRAUS, PLASTICO, PARA CONEXAO COM CRIMPAGEM, DN 16 MM, EM TUBO PEX PARA INST. AGUA QUENTE/FRIA</t>
  </si>
  <si>
    <t>JOELHO/COTOVELO 90 GRAUS, PLASTICO, PARA CONEXAO COM CRIMPAGEM, DN 20 MM, EM TUBO PEX PARA INST. AGUA QUENTE/FRIA</t>
  </si>
  <si>
    <t>JOELHO/COTOVELO 90 GRAUS, PLASTICO, PARA CONEXAO COM CRIMPAGEM, DN 25 MM, EM TUBO PEX PARA INST. AGUA QUENTE/FRIA</t>
  </si>
  <si>
    <t>JOELHO/COTOVELO 90 GRAUS, ROSCA FEMEA MOVEL, METALICO, PARA CONEXAO COM ANEL DESLIZANTE, DN 20 MM X 3/4", EM TUBO PEX PARA INST. AGUA QUENTE/FRIA</t>
  </si>
  <si>
    <t>JOELHO/COTOVELO 90 GRAUS, ROSCA FEMEA TERMINAL, METALICO, PARA CONEXAO COM ANEL DESLIZANTE, DN 16 MM X 1/2", EM TUBO PEX PARA INST. AGUA QUENTE/FRIA</t>
  </si>
  <si>
    <t>JOELHO/COTOVELO 90 GRAUS, ROSCA FEMEA TERMINAL, METALICO, PARA CONEXAO COM ANEL DESLIZANTE, DN 20 MM X 1/2", EM TUBO PEX PARA INST. AGUA QUENTE/FRIA</t>
  </si>
  <si>
    <t>JOELHO/COTOVELO 90 GRAUS, ROSCA FEMEA TERMINAL, METALICO, PARA CONEXAO COM ANEL DESLIZANTE, DN 20 MM X 3/4", EM TUBO PEX PARA INST. AGUA QUENTE/FRIA</t>
  </si>
  <si>
    <t>JOELHO/COTOVELO 90 GRAUS, ROSCA FEMEA TERMINAL, METALICO, PARA CONEXAO COM ANEL DESLIZANTE, DN 25 MM X 3/4", EM TUBO PEX PARA INST. AGUA QUENTE/FRIA</t>
  </si>
  <si>
    <t>JOELHO/COTOVELO 90 GRAUS, ROSCA FEMEA TERMINAL, PLASTICO, PARA CONEXAO COM CRIMPAGEM, DN 16 MM X 1/2", EM TUBO PEX PARA INST. AGUA QUENTE/FRIA</t>
  </si>
  <si>
    <t>JOELHO/COTOVELO 90 GRAUS, ROSCA FEMEA TERMINAL, PLASTICO, PARA CONEXAO COM CRIMPAGEM, DN 20 MM X 1/2", EM TUBO PEX PARA INST. AGUA QUENTE/FRIA</t>
  </si>
  <si>
    <t>JOELHO/COTOVELO 90 GRAUS, ROSCA FEMEA TERMINAL, PLASTICO, PARA CONEXAO COM CRIMPAGEM, DN 20 MM X 3/4", EM TUBO PEX PARA INST. AGUA QUENTE/FRIA</t>
  </si>
  <si>
    <t>JOELHO/COTOVELO 90 GRAUS, ROSCA FEMEA TERMINAL, PLASTICO, PARA CONEXAO COM CRIMPAGEM, DN 25 MM X 1/2", EM TUBO PEX PARA INST. AGUA QUENTE/FRIA</t>
  </si>
  <si>
    <t>JOELHO/COTOVELO 90 GRAUS, ROSCA FEMEA, COM BASE FIXA, METALICO, PARA CONEXAO COM ANEL DESLIZANTE, DN 16 MM X 1/2", EM TUBO PEX PARA INST. AGUA QUENTE/FRIA</t>
  </si>
  <si>
    <t>JOELHO/COTOVELO 90 GRAUS, ROSCA FEMEA, COM BASE FIXA, METALICO, PARA CONEXAO COM ANEL DESLIZANTE, DN 20 MM X 1/2", EM TUBO PEX PARA INST. AGUA QUENTE/FRIA</t>
  </si>
  <si>
    <t>JOELHO/COTOVELO 90 GRAUS, ROSCA FEMEA, COM BASE FIXA, METALICO, PARA CONEXAO COM ANEL DESLIZANTE, DN 25 MM X 3/4", EM TUBO PEX PARA INST. AGUA QUENTE/FRIA</t>
  </si>
  <si>
    <t>JOGO DE CHAVES ALLEN LONGAS HEXAGONAIS DE 1,5 MM A 10 MM - 9 PECAS</t>
  </si>
  <si>
    <t>JOGO DE CHAVES DE FENDA E PHILLIPS ISOLADAS, 1000 V - *6* PECAS</t>
  </si>
  <si>
    <t>JOGO DE TRANQUETA E ROSETA QUADRADA DE SOBREPOR SEM FUROS, EM LATAO CROMADO, *50 X 50* MM, PARA FECHADURA DE PORTA DE BANHEIRO</t>
  </si>
  <si>
    <t>JOGO DE TRANQUETA E ROSETA REDONDA DE SOBREPOR SEM FUROS, EM LATAO CROMADO, DIAMETRO *50* MM, PARA FECHADURA DE PORTA DE BANHEIRO</t>
  </si>
  <si>
    <t>JOGO SERRA COPO COM 6 SERRAS, DIAMETRO VARIANDO DE 15 MM A 60 MM</t>
  </si>
  <si>
    <t>JUNCAO 2 GARRAS PARA FITA PERFURADA</t>
  </si>
  <si>
    <t>JUNCAO DE REDUCAO INVERTIDA, PVC SOLDAVEL, 100 X 50 MM, SERIE NORMAL PARA ESGOTO PREDIAL</t>
  </si>
  <si>
    <t>JUNCAO DE REDUCAO INVERTIDA, PVC SOLDAVEL, 100 X 75 MM, SERIE NORMAL PARA ESGOTO PREDIAL</t>
  </si>
  <si>
    <t>JUNCAO DE REDUCAO INVERTIDA, PVC SOLDAVEL, 75 X 50 MM, SERIE NORMAL PARA ESGOTO PREDIAL</t>
  </si>
  <si>
    <t>JUNCAO DUPLA, PVC SERIE R, DN 100 X 100 X 100 MM, PARA ESGOTO PREDIAL</t>
  </si>
  <si>
    <t>JUNCAO DUPLA, PVC SOLDAVEL, DN 100 X 100 X 100 MM, SERIE NORMAL PARA ESGOTO PREDIAL</t>
  </si>
  <si>
    <t>JUNCAO INVERTIDA, PVC SOLDAVEL, 75 X 75 MM, SERIE NORMAL PARA ESGOTO PREDIAL</t>
  </si>
  <si>
    <t>JUNCAO SIMPLES DE REDUCAO, PVC, DN 100 X 50 MM, SERIE NORMAL PARA ESGOTO PREDIAL</t>
  </si>
  <si>
    <t>JUNCAO SIMPLES DE REDUCAO, PVC, DN 100 X 75 MM, SERIE NORMAL PARA ESGOTO PREDIAL</t>
  </si>
  <si>
    <t>JUNCAO SIMPLES, PVC SERIE R, DN 100 X 100 MM, PARA ESGOTO PREDIAL</t>
  </si>
  <si>
    <t>JUNCAO SIMPLES, PVC SERIE R, DN 100 X 75 MM, PARA ESGOTO PREDIAL</t>
  </si>
  <si>
    <t>JUNCAO SIMPLES, PVC SERIE R, DN 150 X 100 MM, PARA ESGOTO PREDIAL</t>
  </si>
  <si>
    <t>JUNCAO SIMPLES, PVC SERIE R, DN 150 X 150 MM, PARA ESGOTO PREDIAL</t>
  </si>
  <si>
    <t>JUNCAO SIMPLES, PVC SERIE R, DN 40 X 40 MM, PARA ESGOTO PREDIAL</t>
  </si>
  <si>
    <t>JUNCAO SIMPLES, PVC SERIE R, DN 50 X 50 MM, PARA ESGOTO PREDIAL</t>
  </si>
  <si>
    <t>JUNCAO SIMPLES, PVC SERIE R, DN 75 X 75 MM, PARA ESGOTO PREDIAL</t>
  </si>
  <si>
    <t>JUNCAO SIMPLES, PVC, 45 GRAUS, DN 100 X 100 MM, SERIE NORMAL PARA ESGOTO PREDIAL</t>
  </si>
  <si>
    <t>JUNCAO SIMPLES, PVC, 45 GRAUS, DN 40 X 40 MM, SERIE NORMAL PARA ESGOTO PREDIAL</t>
  </si>
  <si>
    <t>JUNCAO SIMPLES, PVC, 45 GRAUS, DN 50 X 50 MM, SERIE NORMAL PARA ESGOTO PREDIAL</t>
  </si>
  <si>
    <t>JUNCAO SIMPLES, PVC, 45 GRAUS, DN 75 X 75 MM, SERIE NORMAL PARA ESGOTO PREDIAL</t>
  </si>
  <si>
    <t>JUNCAO, PVC, 45 GRAUS, JE, BBB, DN 150 MM, PARA TUBO CORRUGADO E/OU LISO, REDE COLETORA DE ESGOTO</t>
  </si>
  <si>
    <t>JUNTA DE EXPANSAO BRONZE/LATAO, PONTA X PONTA, 35 MM</t>
  </si>
  <si>
    <t>JUNTA DE EXPANSAO BRONZE/LATAO, PONTA X PONTA, 42 MM</t>
  </si>
  <si>
    <t>JUNTA DE EXPANSAO BRONZE/LATAO, PONTA X PONTA, 54 MM</t>
  </si>
  <si>
    <t>JUNTA DE EXPANSAO BRONZE/LATAO, PONTA X PONTA, 66 MM</t>
  </si>
  <si>
    <t>JUNTA DE EXPANSAO DE COBRE, PONTA X PONTA, 15 MM</t>
  </si>
  <si>
    <t>JUNTA DE EXPANSAO DE COBRE, PONTA X PONTA, 22 MM</t>
  </si>
  <si>
    <t>JUNTA DE EXPANSAO DE COBRE, PONTA X PONTA, 28 MM</t>
  </si>
  <si>
    <t>JUNTA DILATACAO ELASTICA PARA CONCRETO (FUGENBAND) O-12, ATE 5 MCA</t>
  </si>
  <si>
    <t>JUNTA DILATACAO ELASTICA PARA CONCRETO (FUGENBAND) O-22, ATE 30 MCA</t>
  </si>
  <si>
    <t>JUNTA DILATACAO ELASTICA PARA CONCRETO (FUGENBAND) O-35/10, ATE 100 MCA</t>
  </si>
  <si>
    <t>JUNTA DILATACAO ELASTICA PARA CONCRETO (FUGENBAND) O-35/6, ATE 100 MCA</t>
  </si>
  <si>
    <t>JUNTA PLASTICA DE DILATACAO PARA PISOS, COR CINZA, 10 X 4,5 MM (ALTURA X ESPESSURA)</t>
  </si>
  <si>
    <t>JUNTA PLASTICA DE DILATACAO PARA PISOS, COR CINZA, 17 X 3 MM (ALTURA X ESPESSURA)</t>
  </si>
  <si>
    <t>JUNTA PLASTICA DE DILATACAO PARA PISOS, COR CINZA, 27 X 3 MM (ALTURA X ESPESSURA)</t>
  </si>
  <si>
    <t>KIT ACESSORIOS PARA COMPRESSOR DE AR, 5 PECAS (PISTOLAS PINTURA, LIMPEZA E PULVERIZACAO, CALIBRADOR E MANGUEIRA)</t>
  </si>
  <si>
    <t>KIT CAVALETE, PVC, COM REGISTRO, PARA HIDROMETRO, BITOLAS 1/2" OU 3/4" - COMPLETO</t>
  </si>
  <si>
    <t>KIT CHASSI COZINHA, CUBA SIMPLES SEM MAQUINA LAVAR LOUCA, INSTAL. PEX, QUADRO METALICO C/ TRAVESSA C/ FURO P/ESGOTO DN 50 MM E FUROS SUPERIORES P/AGUA, *340* X *650* MM (L X H), P/ CONEXAO COM ANEL DESLIZANTE (CONJUNTO COMPLETO)</t>
  </si>
  <si>
    <t>KIT CHASSI COZINHA, CUBA SIMPLES SEM MAQUINA LAVAR LOUCA, INSTAL. PEX, QUADRO METALICO C/ TRAVESSA COM FURO P/ESGOTO DN 50 MM E FUROS SUPERIORES P/AGUA, *340* X *650* MM (L X H), P/ CONEXAO COM CRIMPAGEM (CONJUNTO COMPLETO)</t>
  </si>
  <si>
    <t>KIT CHASSI TANQUE E MAQUINA LAVAR ROUPA, INSTAL. PEX, QUADRO METALICO C/ TRAVESSA C/ FURO P/ ESGOTO DN 50 MM, FURO LATERAL P/ MAQUINA E FUROS SUPERIORES P/ AGUA, *344* X *442* MM (L X H), P/ CONEXAO COM ANEL DESLIZANTE (CONJUNTO COMPLETO)</t>
  </si>
  <si>
    <t>KIT CHASSI TANQUE E MAQUINA LAVAR ROUPA, INSTAL. PEX, QUADRO METALICO C/ TRAVESSA C/ FURO P/ ESGOTO DN 50 MM, FURO LATERAL P/MAQUINA E FUROS SUPERIORES P/AGUA, *344* X *442* MM (L X H), P/ CONEXAO COM CRIMPAGEM (CONJUNTO COMPLETO)</t>
  </si>
  <si>
    <t>KIT CHUVEIRO, INSTAL. PEX, QUADRO METALICO C/ 2 TRAVESSAS, SUPERIOR C/ ESPERA P/ CHUVEIRO, INFERIOR C/ 2 REGISTROS DE PRESSAO 1/2", *390* X *900* MM (L X H), CONEXAO COM ANEL DESLIZANTE (CONJUNTO COMPLETO)</t>
  </si>
  <si>
    <t>KIT CHUVEIRO, INSTAL. PEX, QUADRO METALICO C/2 TRAVESSAS, SUPERIOR C/ ESPERA P/ CHUVEIRO E INFERIOR C/2 REGISTROS DE PRESSAO 1/2", *390* X *900* MM (L X H), CONEXAO COM CRIMPAGEM (CONJUNTO COMPLETO)</t>
  </si>
  <si>
    <t>KIT DE ACESSORIOS PARA BANHEIRO EM METAL CROMADO, 5 PECAS</t>
  </si>
  <si>
    <t>KIT DE MATERIAIS PARA BRACADEIRA PARA FIXACAO EM POSTE CIRCULAR, CONTEM TRES FIXADORES E UM ROLO DE FITA DE 3 M EM ACO CARBONO</t>
  </si>
  <si>
    <t>KIT DE PROTECAO ARSTOP PARA AR CONDICIONADO, TOMADA PADRAO 2P+T 20 A, COM DISJUNTOR UNIPOLAR DIN 20A</t>
  </si>
  <si>
    <t>KIT PORTA PRONTA DE MADEIRA, FOLHA LEVE (NBR 15930) DE 600 X 2100 MM OU 700 X 2100 MM, DE 35 MM A 40 MM DE ESPESSURA, COM MARCO EM ACO, NUCLEO COLMEIA, CAPA LISA EM HDF, ACABAMENTO MELAMINICO BRANCO (INCLUI MARCO, ALIZARES, DOBRADICAS E FECHADURA)</t>
  </si>
  <si>
    <t>KIT PORTA PRONTA DE MADEIRA, FOLHA LEVE (NBR 15930) DE 600 X 2100 MM OU 700 X 2100 MM, DE 35 MM A 40 MM DE ESPESSURA, NUCLEO COLMEIA, ESTRUTURA USINADA PARA FECHADURA, CAPA LISA EM HDF, ACABAMENTO EM PRIMER PARA PINTURA (INCLUI MARCO, ALIZARES E DOBRADICAS)</t>
  </si>
  <si>
    <t>KIT PORTA PRONTA DE MADEIRA, FOLHA LEVE (NBR 15930) DE 800 X 2100 MM, DE 35 MM A 40 MM DE ESPESSURA, COM MARCO EM ACO, NUCLEO COLMEIA, CAPA LISA EM HDF, ACABAMENTO MELAMINICO BRANCO (INCLUI MARCO, ALIZARES, DOBRADICAS E FECHADURA)</t>
  </si>
  <si>
    <t>KIT PORTA PRONTA DE MADEIRA, FOLHA LEVE (NBR 15930) DE 800 X 2100 MM, DE 35 MM A 40 MM DE ESPESSURA, NUCLEO COLMEIA, ESTRUTURA USINADA PARA FECHADURA, CAPA LISA EM HDF, ACABAMENTO EM PRIMER PARA PINTURA (INCLUI MARCO, ALIZARES E DOBRADICAS)</t>
  </si>
  <si>
    <t>KIT PORTA PRONTA DE MADEIRA, FOLHA LEVE (NBR 15930) DE 900 X 2100 MM, DE 35 MM A 40 MM DE ESPESSURA, COM MARCO EM ACO, NUCLEO COLMEIA, CAPA LISA EM HDF, ACABAMENTO MELAMINICO BRANCO (INCLUI MARCO, ALIZARES, DOBRADICAS E FECHADURA)</t>
  </si>
  <si>
    <t>KIT PORTA PRONTA DE MADEIRA, FOLHA LEVE (NBR 15930) DE 900 X 2100 MM, DE 35 MM A 40 MM DE ESPESSURA, NUCLEO COLMEIA, ESTRUTURA USINADA PARA FECHADURA, CAPA LISA EM HDF, ACABAMENTO EM PRIMER PARA PINTURA (INCLUI MARCO, ALIZARES E DOBRADICAS)</t>
  </si>
  <si>
    <t>KIT PORTA PRONTA DE MADEIRA, FOLHA MEDIA (NBR 15930) DE 600 X 2100 MM OU 700 X 2100 MM, DE 35 MM A 40 MM DE ESPESSURA, NUCLEO SEMI-SOLIDO (SARRAFEADO), ESTRUTURA USINADA PARA FECHADURA, CAPA LISA EM HDF, ACABAMENTO MELAMINICO BRANCO (INCLUI MARCO, ALIZARES E DOBRADICAS)</t>
  </si>
  <si>
    <t>KIT PORTA PRONTA DE MADEIRA, FOLHA MEDIA (NBR 15930) DE 600 X 2100 MM, DE 35 MM A 40 MM DE ESPESSURA, NUCLEO SEMI-SOLIDO (SARRAFEADO), ESTRUTURA USINADA PARA FECHADURA, CAPA LISA EM HDF, ACABAMENTO EM PRIMER PARA PINTURA (INCLUI MARCO, ALIZARES E DOBRADICAS)</t>
  </si>
  <si>
    <t>KIT PORTA PRONTA DE MADEIRA, FOLHA MEDIA (NBR 15930) DE 700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</si>
  <si>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</si>
  <si>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MELAMINICO BRANCO (INCLUI MARCO, ALIZARES E DOBRADICAS)</t>
  </si>
  <si>
    <t>KIT PORTA PRONTA DE MADEIRA, FOLHA MEDIA (NBR 15930) DE 900 X 2100 MM, DE 35 MM A 40 MM DE ESPESSURA, NUCLEO SEMI-SOLIDO (SARRAFEADO), ESTRUTURA USINADA PARA FECHADURA, CAPA LISA EM HDF, ACABAMENTO EM PRIMER PARA PINTURA (INCLUI MARCO, ALIZARES E DOBRADICAS)</t>
  </si>
  <si>
    <t>KIT PORTA PRONTA DE MADEIRA, FOLHA MEDIA (NBR 15930) DE 900 X 2100 MM, DE 35 MM A 40 MM DE ESPESSURA, NUCLEO SEMI-SOLIDO (SARRAFEADO), ESTRUTURA USINADA PARA FECHADURA, CAPA LISA EM HDF, ACABAMENTO MELAMINICO BRANCO (INCLUI MARCO, ALIZARES E DOBRADICAS)</t>
  </si>
  <si>
    <t>KIT PORTA PRONTA DE MADEIRA, FOLHA PESADA (NBR 15930) DE 800 X 2100 MM, DE 40 MM A 45 MM DE ESPESSURA, COM MARCO EM ACO, NUCLEO SOLIDO, CAPA LISA EM HDF, ACABAMENTO MELAMINICO BRANCO (INCLUI MARCO, ALIZARES, DOBRADICAS E FECHADURA)</t>
  </si>
  <si>
    <t>KIT PORTA PRONTA DE MADEIRA, FOLHA PESADA (NBR 15930) DE 800 X 2100 MM, DE 40 MM A 45 MM DE ESPESSURA, NUCLEO SOLIDO, CAPA LISA EM HDF, ACABAMENTO MELAMINICO BRANCO (INCLUI MARCO, ALIZARES, DOBRADICAS E FECHADURA EXTERNA)</t>
  </si>
  <si>
    <t>KIT PORTA PRONTA DE MADEIRA, FOLHA PESADA (NBR 15930) DE 800 X 2100 MM, DE 40 MM A 45 MM DE ESPESSURA, NUCLEO SOLIDO, ESTRUTURA USINADA PARA FECHADURA, CAPA LISA EM HDF, ACABAMENTO EM LAMINADO NATURAL COM VERNIZ (INCLUI MARCO, ALIZARES E DOBRADICAS)</t>
  </si>
  <si>
    <t>KIT PORTA PRONTA DE MADEIRA, FOLHA PESADA (NBR 15930) DE 900 X 2100 MM, DE 40 MM A 45 MM DE ESPESSURA, COM MARCO EM ACO, NUCLEO SOLIDO, CAPA LISA EM HDF, ACABAMENTO MELAMINICO BRANCO (INCLUI MARCO, ALIZARES, DOBRADICAS E FECHADURA)</t>
  </si>
  <si>
    <t>KIT PORTA PRONTA DE MADEIRA, FOLHA PESADA (NBR 15930) DE 900 X 2100 MM, DE 40 MM A 45 MM DE ESPESSURA, NUCLEO SOLIDO, CAPA LISA EM HDF, ACABAMENTO MELAMINICO BRANCO (INCLUI MARCO, ALIZARES, DOBRADICAS E FECHADURA EXTERNA)</t>
  </si>
  <si>
    <t>KIT PORTA PRONTA DE MADEIRA, FOLHA PESADA (NBR 15930) DE 900 X 2100 MM, DE 40 MM A 45 MM DE ESPESSURA, NUCLEO SOLIDO, ESTRUTURA USINADA PARA FECHADURA, CAPA LISA EM HDF, ACABAMENTO EM LAMINADO NATURAL COM VERNIZ (INCLUI MARCO, ALIZARES E DOBRADICAS)</t>
  </si>
  <si>
    <t>LADRILHO HIDRAULICO, *20 X 20* CM, E= 2 CM, PADRAO COPACABANA, 2 CORES (PRETO E BRANCO)</t>
  </si>
  <si>
    <t>LADRILHO HIDRAULICO, *20 X 20* CM, E= 2 CM, PADRAO DADOS, COR NATURAL</t>
  </si>
  <si>
    <t>LADRILHO HIDRAULICO, *25 X 25* CM, E= 2 CM, PADRAO RAMPA, COR NATURAL</t>
  </si>
  <si>
    <t>LADRILHO HIDRAULICO, *30 X 30* CM, E= 2 CM, PADRAO MILANO, COR NATURAL</t>
  </si>
  <si>
    <t>LAJE PRE-MOLDADA CONVENCIONAL (LAJOTAS + VIGOTAS) PARA FORRO, UNIDIRECIONAL, SOBRECARGA DE 100 KG/M2, VAO ATE 4 M (SEM COLOCACAO)</t>
  </si>
  <si>
    <t>LAJE PRE-MOLDADA CONVENCIONAL (LAJOTAS + VIGOTAS) PARA FORRO, UNIDIRECIONAL, SOBRECARGA DE 100 KG/M2, VAO ATE 4,5 M (SEM COLOCACAO)</t>
  </si>
  <si>
    <t>LAJE PRE-MOLDADA CONVENCIONAL (LAJOTAS + VIGOTAS) PARA PISO, UNIDIRECIONAL, SOBRECARGA DE 350 KG/M2, VAO ATE 4,5 M (SEM COLOCACAO)</t>
  </si>
  <si>
    <t>LAJE PRE-MOLDADA TRELICADA (LAJOTAS + VIGOTAS) PARA FORRO, UNIDIRECIONAL, SOBRECARGA DE 100 KG/M2, VAO ATE 6,00 M (SEM COLOCACAO)</t>
  </si>
  <si>
    <t>LAMPADA LED 10 W BIVOLT BRANCA, FORMATO TRADICIONAL (BASE E27)</t>
  </si>
  <si>
    <t>LAMPADA LED 6 W BIVOLT BRANCA, FORMATO TRADICIONAL (BASE E27)</t>
  </si>
  <si>
    <t>LAMPADA LED TIPO DICROICA BIVOLT, LUZ BRANCA, 5 W (BASE GU10)</t>
  </si>
  <si>
    <t>LAMPADA LED TUBULAR BIVOLT 18/20 W, BASE G13</t>
  </si>
  <si>
    <t>LAMPADA LED TUBULAR BIVOLT 9/10 W, BASE G13</t>
  </si>
  <si>
    <t>LAPIS PARA CARPINTEIRO</t>
  </si>
  <si>
    <t>LAVADORA DE ALTA PRESSAO (LAVA - JATO) PARA AGUA FRIA, PRESSAO DE OPERACAO ENTRE 1400 E 1900 LIB/POL2, VAZAO MAXIMA ENTRE 400 E 700 L/H, POTENCIA DE OPERACAO ENTRE 2,50 E 3,00 CV</t>
  </si>
  <si>
    <t>LAVATORIO / CUBA DE EMBUTIR, OVAL, DE LOUCA BRANCA, SEM LADRAO, DIMENSOES *50 X 35* CM (L X C)</t>
  </si>
  <si>
    <t>LAVATORIO / CUBA DE EMBUTIR, OVAL, DE LOUCA COLORIDA, SEM LADRAO, DIMENSOES *50 X 35* CM (L X C)</t>
  </si>
  <si>
    <t>LAVATORIO / CUBA DE SOBREPOR, OVAL PEQUENA, DE LOUCA BRANCA, SEM LADRAO, DIMENSOES *44 X 31* CM (L X C)</t>
  </si>
  <si>
    <t>LAVATORIO / CUBA DE SOBREPOR, RETANGULAR, DE LOUCA BRANCA, COM LADRAO, DIMENSOES *52 X 45* CM (L X C)</t>
  </si>
  <si>
    <t>LAVATORIO / CUBA DE SOBREPOR, RETANGULAR, DE LOUCA COLORIDA, COM LADRAO, DIMENSOES *52 X 45* CM (L X C)</t>
  </si>
  <si>
    <t>LAVATORIO DE CANTO DE LOUCA BRANCA, SUSPENSO (SEM COLUNA), DIMENSOES *40 X 30* CM (L X C)</t>
  </si>
  <si>
    <t>LAVATORIO DE LOUCA BRANCA, COM COLUNA, DIMENSOES *44 X 35* CM (L X C)</t>
  </si>
  <si>
    <t>LAVATORIO DE LOUCA BRANCA, COM COLUNA, DIMENSOES *54 X 44* CM (L X C)</t>
  </si>
  <si>
    <t>LAVATORIO DE LOUCA BRANCA, SUSPENSO (SEM COLUNA), DIMENSOES *40 X 30* CM</t>
  </si>
  <si>
    <t>LAVATORIO DE LOUCA COLORIDA, COM COLUNA, DIMENSOES *54 X 44* CM (L X C)</t>
  </si>
  <si>
    <t>LAVATORIO DE LOUCA COLORIDA, SUSPENSO (SEM COLUNA), DIMENSOES *40 X 30* CM (L X C)</t>
  </si>
  <si>
    <t>LETRA ACO INOX (AISI 304), CHAPA NUM. 22, RECORTADO, H= 20 CM (SEM RELEVO)</t>
  </si>
  <si>
    <t>LEVANTADOR DE JANELA GUILHOTINA, EM LATAO CROMADO</t>
  </si>
  <si>
    <t>LIMA QUADRADA BASTARDA 8", COM CABO</t>
  </si>
  <si>
    <t>LIMA REDONDA BASTARDA 8", COM CABO</t>
  </si>
  <si>
    <t>LIMPA VIDROS COM PULVERIZADOR</t>
  </si>
  <si>
    <t>LIMPADORA A SUCCAO, TANQUE 12000 L, BASCULAMENTO HIDRAULICO, BOMBA 12 M3/MIN 95% VACUO (INCLUI MONTAGEM, NAO INCLUI CAMINHAO)</t>
  </si>
  <si>
    <t>LINHA PARA PEDREIRO LISA, 0,8 MM X 100 M</t>
  </si>
  <si>
    <t>LIXA D'AGUA EM FOLHA, COR PRETA, GRAO 100</t>
  </si>
  <si>
    <t>LIXA EM FOLHA PARA FERRO, NUMERO 150</t>
  </si>
  <si>
    <t>LIXA EM FOLHA PARA PAREDE OU MADEIRA, NUMERO 120, COR VERMELHA</t>
  </si>
  <si>
    <t>LIXEIRA DUPLA, COM CAPACIDADE VOLUMETRICA DE 60L*, FABRICADA EM TUBO DE ACO CARBONO, CESTOS EM CHAPA DE ACO E PINTURA NO PROCESSO ELETROSTATICO - PARA ACADEMIA AO AR LIVRE / ACADEMIA DA TERCEIRA IDADE - ATI</t>
  </si>
  <si>
    <t>LOCACAO DE ANDAIME METALICO TIPO FACHADEIRO, PECAS COM APROXIMADAMENTE 1,20 M DE LARGURA E 2,0 M DE ALTURA, INCLUINDO DIAGONAIS EM X, BARRAS DE LIGACAO, SAPATAS E DEMAIS ITENS NECESSARIOS A MONTAGEM (NAO INCLUI INSTALACAO)</t>
  </si>
  <si>
    <t>M2XMES</t>
  </si>
  <si>
    <t>LOCACAO DE ANDAIME METALICO TUBULAR DE ENCAIXE, TIPO DE TORRE, CADA PAINEL COM LARGURA DE 1 ATE 1,5 M E ALTURA DE *1,00* M, INCLUINDO DIAGONAL, BARRAS DE LIGACAO, SAPATAS OU RODIZIOS E DEMAIS ITENS NECESSARIOS A MONTAGEM (NAO INCLUI INSTALACAO)</t>
  </si>
  <si>
    <t>MXMES</t>
  </si>
  <si>
    <t>LOCACAO DE ANDAIME SUSPENSO OU BALANCIM MANUAL, CAPACIDADE DE CARGA TOTAL DE APROXIMADAMENTE 250 KG/M2, PLATAFORMA DE 1,50 M X 0,80 M (C X L), CABO DE 45 M</t>
  </si>
  <si>
    <t>LOCACAO DE APRUMADOR METALICO DE PILAR, COM ALTURA E ANGULO REGULAVEIS, EXTENSAO DE *1,50* A *2,80* M</t>
  </si>
  <si>
    <t>UNXMES</t>
  </si>
  <si>
    <t>LOCACAO DE BARRA DE ANCORAGEM DE 0,80 A 1,20 M DE EXTENSAO, COM ROSCA DE 5/8", INCLUINDO PORCA E FLANGE</t>
  </si>
  <si>
    <t>LOCACAO DE CONTAINER 2,30 X 4,30 M, ALT. 2,50 M, P/ SANITARIO, C/ 5 BACIAS, 1 LAVATORIO E 4 MICTORIOS (NAO INCLUI MOBILIZACAO/DESMOBILIZACAO)</t>
  </si>
  <si>
    <t>LOCACAO DE CONTAINER 2,30 X 6,00 M, ALT. 2,50 M, COM 1 SANITARIO, PARA ESCRITORIO, COMPLETO, SEM DIVISORIAS INTERNAS (NAO INCLUI MOBILIZACAO/DESMOBILIZACAO)</t>
  </si>
  <si>
    <t>LOCACAO DE CONTAINER 2,30 X 6,00 M, ALT. 2,50 M, PARA SANITARIO, COM 4 BACIAS, 8 CHUVEIROS,1 LAVATORIO E 1 MICTORIO (NAO INCLUI MOBILIZACAO/DESMOBILIZACAO)</t>
  </si>
  <si>
    <t>LOCACAO DE CRUZETA, SIMPLES, PARA ESCORA METALICA, COMPRIMENTO ENTRE 50 A 60 CM, PARA ESCORA DE 1,80 A 3,20 METROS E TUBO EXTERNO ATE 48 MM DE DIAMETRO</t>
  </si>
  <si>
    <t>LOCACAO DE ESCORA METALICA TELESCOPICA, COM ALTURA REGULAVEL DE *1,80* A *3,20* M, COM CAPACIDADE DE CARGA DE NO MINIMO 1000 KGF (10 KN), INCLUSO TRIPE E FORCADO</t>
  </si>
  <si>
    <t>LOCACAO DE FORMA PLASTICA PARA LAJE NERVURADA, DIMENSOES *60* X *60* X *16* CM</t>
  </si>
  <si>
    <t>LOCACAO DE GRUPO GERADOR *80 A 125* KVA, MOTOR DIESEL, REBOCAVEL, ACIONAMENTO MANUAL</t>
  </si>
  <si>
    <t>LOCACAO DE GRUPO GERADOR ACIMA DE * 125 ATE 180* KVA, MOTOR DIESEL, REBOCAVEL, ACIONAMENTO MANUAL</t>
  </si>
  <si>
    <t>LOCACAO DE GRUPO GERADOR DE *260* KVA, DIESEL REBOCAVEL, ACIONAMENTO MANUAL</t>
  </si>
  <si>
    <t>LOCACAO DE NIVEL OPTICO, COM PRECISAO DE 0,7 MM, AUMENTO DE 32X</t>
  </si>
  <si>
    <t>LOCACAO DE TEODOLITO ELETRONICO, PRECISAO ANGULAR DE 5 A 7 SEGUNDOS, INCLUINDO TRIPE</t>
  </si>
  <si>
    <t>LOCACAO DE TORRE METALICA COMPLETA PARA UMA CARGA DE 8 TF (80 KN) E PE DIREITO DE 6 M, INCLUINDO MODULOS, DIAGONAIS, SAPATAS E FORCADOS</t>
  </si>
  <si>
    <t>LOCACAO DE VIGA SANDUICHE METALICA VAZADA PARA TRAVAMENTO DE PILARES, ALTURA DE *8* CM, LARGURA DE *6* CM E EXTENSAO DE 2 M</t>
  </si>
  <si>
    <t>LONA PLASTICA EXTRA FORTE PRETA, E = 200 MICRA</t>
  </si>
  <si>
    <t>LONA PLASTICA PESADA PRETA, E = 150 MICRA</t>
  </si>
  <si>
    <t>LUBRIFICANTE REDUTOR DE TORQUE E ARRASTO DE ALTO DESEMPENHO, PARA PERFURACAO HORIZONTAL DIRECIONAL, HDD</t>
  </si>
  <si>
    <t>LUMINARIA ABERTA P/ ILUMINACAO PUBLICA, TIPO X-57 PETERCO OU EQUIV</t>
  </si>
  <si>
    <t>LUMINARIA ARANDELA TIPO MEIA-LUA COM VIDRO FOSCO *30 X 15* CM, PARA 1 LAMPADA, BASE E27, POTENCIA MAXIMA 40/60 W (NAO INCLUI LAMPADA)</t>
  </si>
  <si>
    <t>LUMINARIA DE EMERGENCIA 30 LEDS, POTENCIA 2 W, BATERIA DE LITIO, AUTONOMIA DE 6 HORAS</t>
  </si>
  <si>
    <t>LUMINARIA DE LED PARA ILUMINACAO PUBLICA, DE 138 W ATE 180 W, INVOLUCRO EM ALUMINIO OU ACO INOX</t>
  </si>
  <si>
    <t>LUMINARIA DE LED PARA ILUMINACAO PUBLICA, DE 181 W ATE 239 W, INVOLUCRO EM ALUMINIO OU ACO INOX</t>
  </si>
  <si>
    <t>LUMINARIA DE LED PARA ILUMINACAO PUBLICA, DE 240 W ATE 350 W, INVOLUCRO EM ALUMINIO OU ACO INOX</t>
  </si>
  <si>
    <t>LUMINARIA DE LED PARA ILUMINACAO PUBLICA, DE 33 W ATE 50 W, INVOLUCRO EM ALUMINIO OU ACO INOX</t>
  </si>
  <si>
    <t>LUMINARIA DE LED PARA ILUMINACAO PUBLICA, DE 51 W ATE 67 W, INVOLUCRO EM ALUMINIO OU ACO INOX</t>
  </si>
  <si>
    <t>LUMINARIA DE LED PARA ILUMINACAO PUBLICA, DE 68 W ATE 97 W, INVOLUCRO EM ALUMINIO OU ACO INOX</t>
  </si>
  <si>
    <t>LUMINARIA DE LED PARA ILUMINACAO PUBLICA, DE 98 W ATE 137 W, INVOLUCRO EM ALUMINIO OU ACO INOX</t>
  </si>
  <si>
    <t>LUMINARIA DE SOBREPOR EM CHAPA DE ACO COM ALETAS PLASTICAS, PARA 1 LAMPADA, BASE E27, POTENCIA MAXIMA 40/60 W (NAO INCLUI LAMPADA)</t>
  </si>
  <si>
    <t>LUMINARIA DE SOBREPOR EM CHAPA DE ACO COM ALETAS PLASTICAS, PARA 2 LAMPADAS, BASE E27, POTENCIA MAXIMA 40/60 W (NAO INCLUI LAMPADAS)</t>
  </si>
  <si>
    <t>LUMINARIA DE SOBREPOR EM CHAPA DE ACO PARA 1 LAMPADA FLUORESCENTE DE *36* W, ALETADA, COMPLETA (LAMPADA E REATOR INCLUSOS)</t>
  </si>
  <si>
    <t>LUMINARIA DE TETO PLAFON/PLAFONIER EM PLASTICO COM BASE E27, POTENCIA MAXIMA 60 W (NAO INCLUI LAMPADA)</t>
  </si>
  <si>
    <t>LUMINARIA DUPLA P/SINALIZACAO, TIPO WETZEL AS-2/110 OU EQUIV</t>
  </si>
  <si>
    <t>LUMINARIA LED PLAFON REDONDO DE SOBREPOR BIVOLT 12/13 W, D = *17* CM</t>
  </si>
  <si>
    <t>LUMINARIA LED REFLETOR RETANGULAR BIVOLT, LUZ BRANCA, 10 W</t>
  </si>
  <si>
    <t>LUMINARIA LED REFLETOR RETANGULAR BIVOLT, LUZ BRANCA, 30 W</t>
  </si>
  <si>
    <t>LUMINARIA LED REFLETOR RETANGULAR BIVOLT, LUZ BRANCA, 50 W</t>
  </si>
  <si>
    <t>LUMINARIA PLAFON REDONDO COM VIDRO FOSCO DIAMETRO *25* CM, PARA 1 LAMPADA, BASE E27, POTENCIA MAXIMA 40/60 W (NAO INCLUI LAMPADA)</t>
  </si>
  <si>
    <t>LUMINARIA PLAFON REDONDO COM VIDRO FOSCO DIAMETRO *30* CM, PARA 2 LAMPADAS, BASE E27, POTENCIA MAXIMA 40/60 W (NAO INCLUI LAMPADAS)</t>
  </si>
  <si>
    <t>LUMINARIA PROVA DE TEMPO PETERCO Y.31/1</t>
  </si>
  <si>
    <t>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</si>
  <si>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LUMINARIA SPOT DE SOBREPOR EM ALUMINIO COM ALETA PLASTICA PARA 1 LAMPADA, BASE E27, POTENCIA MAXIMA 40/60 W (NAO INCLUI LAMPADA)</t>
  </si>
  <si>
    <t>LUMINARIA SPOT DE SOBREPOR EM ALUMINIO COM ALETA PLASTICA PARA 2 LAMPADAS, BASE E27, POTENCIA MAXIMA 40/60 W (NAO INCLUI LAMPADA)</t>
  </si>
  <si>
    <t>LUMINARIA TIPO TARTARUGA A PROVA DE TEMPO, GASES, VAPOR E PO, EM ALUMINIO, COM GRADE, BASE E27, POTENCIA MAXIMA 100 W (NAO INCLUI LAMPADA)</t>
  </si>
  <si>
    <t>LUMINARIA TIPO TARTARUGA PARA AREA EXTERNA EM ALUMINIO, COM GRADE, PARA 1 LAMPADA, BASE E27, POTENCIA MAXIMA 40/60 W (NAO INCLUI LAMPADA)</t>
  </si>
  <si>
    <t>LUVA CPVC, SOLDAVEL, 114 MM, PARA AGUA QUENTE PREDIAL</t>
  </si>
  <si>
    <t>LUVA CPVC, SOLDAVEL, 15 MM, PARA AGUA QUENTE PREDIAL</t>
  </si>
  <si>
    <t>LUVA CPVC, SOLDAVEL, 22 MM, PARA AGUA QUENTE PREDIAL</t>
  </si>
  <si>
    <t>LUVA CPVC, SOLDAVEL, 28 MM, PARA AGUA QUENTE PREDIAL</t>
  </si>
  <si>
    <t>LUVA CPVC, SOLDAVEL, 35 MM, PARA AGUA QUENTE PREDIAL</t>
  </si>
  <si>
    <t>LUVA CPVC, SOLDAVEL, 42 MM, PARA AGUA QUENTE PREDIAL</t>
  </si>
  <si>
    <t>LUVA CPVC, SOLDAVEL, 54 MM, PARA AGUA QUENTE PREDIAL</t>
  </si>
  <si>
    <t>LUVA CPVC, SOLDAVEL, 73 MM, PARA AGUA QUENTE PREDIAL</t>
  </si>
  <si>
    <t>LUVA CPVC, SOLDAVEL, 89 MM, PARA AGUA QUENTE PREDIAL</t>
  </si>
  <si>
    <t>LUVA DE BORRACHA ISOLANTE PARA ALTA TENSAO, RESISTENTE A OZONIO, TENSAO DE ENSAIO 2,5 KV (PAR)</t>
  </si>
  <si>
    <t>LUVA DE COBRE SEM ANEL DE SOLDA, BOLSA X BOLSA, 104 MM</t>
  </si>
  <si>
    <t>LUVA DE COBRE SEM ANEL DE SOLDA, BOLSA X BOLSA, 15 MM</t>
  </si>
  <si>
    <t>LUVA DE COBRE SEM ANEL DE SOLDA, BOLSA X BOLSA, 22 MM</t>
  </si>
  <si>
    <t>LUVA DE COBRE SEM ANEL DE SOLDA, BOLSA X BOLSA, 28 MM</t>
  </si>
  <si>
    <t>LUVA DE COBRE SEM ANEL DE SOLDA, BOLSA X BOLSA, 35 MM</t>
  </si>
  <si>
    <t>LUVA DE COBRE SEM ANEL DE SOLDA, BOLSA X BOLSA, 42 MM</t>
  </si>
  <si>
    <t>LUVA DE COBRE SEM ANEL DE SOLDA, BOLSA X BOLSA, 54 MM</t>
  </si>
  <si>
    <t>LUVA DE COBRE SEM ANEL DE SOLDA, BOLSA X BOLSA, 66 MM</t>
  </si>
  <si>
    <t>LUVA DE COBRE SEM ANEL DE SOLDA, BOLSA X BOLSA, 79 MM</t>
  </si>
  <si>
    <t>LUVA DE CORRER COM TRAVAS DEFOFO, PVC, JE, DN 100 MM</t>
  </si>
  <si>
    <t>LUVA DE CORRER COM TRAVAS DEFOFO, PVC, JE, DN 150 MM</t>
  </si>
  <si>
    <t>LUVA DE CORRER COM TRAVAS DEFOFO, PVC, JE, DN 200 MM</t>
  </si>
  <si>
    <t>LUVA DE CORRER COM TRAVAS DEFOFO, PVC, JE, DN 250 MM</t>
  </si>
  <si>
    <t>LUVA DE CORRER COM TRAVAS DEFOFO, PVC, JE, DN 300 MM</t>
  </si>
  <si>
    <t>LUVA DE CORRER PARA TUBO ROSCAVEL, PVC, 1 1/2", PARA AGUA FRIA PREDIAL</t>
  </si>
  <si>
    <t>LUVA DE CORRER PARA TUBO ROSCAVEL, PVC, 1/2", PARA AGUA FRIA PREDIAL</t>
  </si>
  <si>
    <t>LUVA DE CORRER PARA TUBO ROSCAVEL, PVC, 3/4", PARA AGUA FRIA PREDIAL</t>
  </si>
  <si>
    <t>LUVA DE CORRER PARA TUBO SOLDAVEL, PVC, 20 MM, PARA AGUA FRIA PREDIAL</t>
  </si>
  <si>
    <t>LUVA DE CORRER PARA TUBO SOLDAVEL, PVC, 25 MM, PARA AGUA FRIA PREDIAL</t>
  </si>
  <si>
    <t>LUVA DE CORRER PARA TUBO SOLDAVEL, PVC, 32 MM, PARA AGUA FRIA PREDIAL</t>
  </si>
  <si>
    <t>LUVA DE CORRER PARA TUBO SOLDAVEL, PVC, 40 MM, PARA AGUA FRIA PREDIAL</t>
  </si>
  <si>
    <t>LUVA DE CORRER PARA TUBO SOLDAVEL, PVC, 50 MM, PARA AGUA FRIA PREDIAL</t>
  </si>
  <si>
    <t>LUVA DE CORRER PARA TUBO SOLDAVEL, PVC, 60 MM, PARA AGUA FRIA PREDIAL</t>
  </si>
  <si>
    <t>LUVA DE CORRER PVC PBA, JE, DN 100 / DE 110 MM, PARA REDE DE AGUA</t>
  </si>
  <si>
    <t>LUVA DE CORRER PVC PBA, JE, DN 50 / DE 60 MM, PARA REDE DE AGUA</t>
  </si>
  <si>
    <t>LUVA DE CORRER PVC PBA, JE, DN 75 / DE 85 MM, PARA REDE DE AGUA</t>
  </si>
  <si>
    <t>LUVA DE CORRER PVC, JE, DN 250 MM, PARA REDE COLETORA DE ESGOTO</t>
  </si>
  <si>
    <t>LUVA DE CORRER, CPVC, SOLDAVEL, 15 MM, PARA AGUA QUENTE PREDIAL</t>
  </si>
  <si>
    <t>LUVA DE CORRER, CPVC, SOLDAVEL, 22 MM, PARA AGUA QUENTE PREDIAL</t>
  </si>
  <si>
    <t>LUVA DE CORRER, CPVC, SOLDAVEL, 28 MM, PARA AGUA QUENTE PREDIAL</t>
  </si>
  <si>
    <t>LUVA DE CORRER, CPVC, SOLDAVEL, 35 MM, PARA AGUA QUENTE PREDIAL</t>
  </si>
  <si>
    <t>LUVA DE CORRER, CPVC, SOLDAVEL, 42 MM, PARA AGUA QUENTE PREDIAL</t>
  </si>
  <si>
    <t>LUVA DE CORRER, PVC SERIE R, 100 MM, PARA ESGOTO PREDIAL</t>
  </si>
  <si>
    <t>LUVA DE CORRER, PVC SERIE R, 150 MM, PARA ESGOTO PREDIAL</t>
  </si>
  <si>
    <t>LUVA DE CORRER, PVC SERIE R, 75 MM, PARA ESGOTO PREDIAL</t>
  </si>
  <si>
    <t>LUVA DE CORRER, PVC, DN 100 MM, PARA ESGOTO PREDIAL</t>
  </si>
  <si>
    <t>LUVA DE CORRER, PVC, DN 50 MM, PARA ESGOTO PREDIAL</t>
  </si>
  <si>
    <t>LUVA DE CORRER, PVC, DN 75 MM, PARA ESGOTO PREDIAL</t>
  </si>
  <si>
    <t>LUVA DE FERRO GALVANIZADO, COM ROSCA BSP MACHO/FEMEA, DE 3/4"</t>
  </si>
  <si>
    <t>LUVA DE FERRO GALVANIZADO, COM ROSCA BSP, DE 1 1/2"</t>
  </si>
  <si>
    <t>LUVA DE FERRO GALVANIZADO, COM ROSCA BSP, DE 1 1/4"</t>
  </si>
  <si>
    <t>LUVA DE FERRO GALVANIZADO, COM ROSCA BSP, DE 1"</t>
  </si>
  <si>
    <t>LUVA DE FERRO GALVANIZADO, COM ROSCA BSP, DE 1/2"</t>
  </si>
  <si>
    <t>LUVA DE FERRO GALVANIZADO, COM ROSCA BSP, DE 2 1/2"</t>
  </si>
  <si>
    <t>LUVA DE FERRO GALVANIZADO, COM ROSCA BSP, DE 2"</t>
  </si>
  <si>
    <t>LUVA DE FERRO GALVANIZADO, COM ROSCA BSP, DE 3"</t>
  </si>
  <si>
    <t>LUVA DE FERRO GALVANIZADO, COM ROSCA BSP, DE 3/4"</t>
  </si>
  <si>
    <t>LUVA DE FERRO GALVANIZADO, COM ROSCA BSP, DE 4"</t>
  </si>
  <si>
    <t>LUVA DE FERRO GALVANIZADO, COM ROSCA BSP, DE 5"</t>
  </si>
  <si>
    <t>LUVA DE FERRO GALVANIZADO, COM ROSCA BSP, DE 6"</t>
  </si>
  <si>
    <t>LUVA DE LATEX MULTIUSO AMARELA FORRADA</t>
  </si>
  <si>
    <t>LUVA DE PRESSAO, EM PVC, DE 20 MM, PARA ELETRODUTO FLEXIVEL</t>
  </si>
  <si>
    <t>LUVA DE PRESSAO, EM PVC, DE 25 MM, PARA ELETRODUTO FLEXIVEL</t>
  </si>
  <si>
    <t>LUVA DE PRESSAO, EM PVC, DE 32 MM, PARA ELETRODUTO FLEXIVEL</t>
  </si>
  <si>
    <t>LUVA DE REDUCAO DE FERRO GALVANIZADO, COM ROSCA BSP MACHO/FEMEA, DE 1 1/2" X 1"</t>
  </si>
  <si>
    <t>LUVA DE REDUCAO DE FERRO GALVANIZADO, COM ROSCA BSP MACHO/FEMEA, DE 1" X 1/2"</t>
  </si>
  <si>
    <t>LUVA DE REDUCAO DE FERRO GALVANIZADO, COM ROSCA BSP MACHO/FEMEA, DE 1" X 3/4"</t>
  </si>
  <si>
    <t>LUVA DE REDUCAO DE FERRO GALVANIZADO, COM ROSCA BSP MACHO/FEMEA, DE 3/4" X 1/2"</t>
  </si>
  <si>
    <t>LUVA DE REDUCAO DE FERRO GALVANIZADO, COM ROSCA BSP, DE 1 1/2" X 1 1/4"</t>
  </si>
  <si>
    <t>LUVA DE REDUCAO DE FERRO GALVANIZADO, COM ROSCA BSP, DE 1 1/2" X 1"</t>
  </si>
  <si>
    <t>LUVA DE REDUCAO DE FERRO GALVANIZADO, COM ROSCA BSP, DE 1 1/2" X 1/2"</t>
  </si>
  <si>
    <t>LUVA DE REDUCAO DE FERRO GALVANIZADO, COM ROSCA BSP, DE 1 1/2" X 3/4"</t>
  </si>
  <si>
    <t>LUVA DE REDUCAO DE FERRO GALVANIZADO, COM ROSCA BSP, DE 1 1/4" X 1"</t>
  </si>
  <si>
    <t>LUVA DE REDUCAO DE FERRO GALVANIZADO, COM ROSCA BSP, DE 1 1/4" X 1/2"</t>
  </si>
  <si>
    <t>LUVA DE REDUCAO DE FERRO GALVANIZADO, COM ROSCA BSP, DE 1 1/4" X 3/4"</t>
  </si>
  <si>
    <t>LUVA DE REDUCAO DE FERRO GALVANIZADO, COM ROSCA BSP, DE 1" X 1/2"</t>
  </si>
  <si>
    <t>LUVA DE REDUCAO DE FERRO GALVANIZADO, COM ROSCA BSP, DE 1" X 3/4"</t>
  </si>
  <si>
    <t>LUVA DE REDUCAO DE FERRO GALVANIZADO, COM ROSCA BSP, DE 2 1/2" X 1 1/2"</t>
  </si>
  <si>
    <t>LUVA DE REDUCAO DE FERRO GALVANIZADO, COM ROSCA BSP, DE 2 1/2" X 2"</t>
  </si>
  <si>
    <t>LUVA DE REDUCAO DE FERRO GALVANIZADO, COM ROSCA BSP, DE 2" X 1 1/2"</t>
  </si>
  <si>
    <t>LUVA DE REDUCAO DE FERRO GALVANIZADO, COM ROSCA BSP, DE 2" X 1 1/4"</t>
  </si>
  <si>
    <t>LUVA DE REDUCAO DE FERRO GALVANIZADO, COM ROSCA BSP, DE 2" X 1"</t>
  </si>
  <si>
    <t>LUVA DE REDUCAO DE FERRO GALVANIZADO, COM ROSCA BSP, DE 3" X 1 1/2"</t>
  </si>
  <si>
    <t>LUVA DE REDUCAO DE FERRO GALVANIZADO, COM ROSCA BSP, DE 3" X 2 1/2"</t>
  </si>
  <si>
    <t>LUVA DE REDUCAO DE FERRO GALVANIZADO, COM ROSCA BSP, DE 3" X 2"</t>
  </si>
  <si>
    <t>LUVA DE REDUCAO DE FERRO GALVANIZADO, COM ROSCA BSP, DE 3/4" X 1/2"</t>
  </si>
  <si>
    <t>LUVA DE REDUCAO DE FERRO GALVANIZADO, COM ROSCA BSP, DE 4" X 2 1/2"</t>
  </si>
  <si>
    <t>LUVA DE REDUCAO DE FERRO GALVANIZADO, COM ROSCA BSP, DE 4" X 2"</t>
  </si>
  <si>
    <t>LUVA DE REDUCAO DE FERRO GALVANIZADO, COM ROSCA BSP, DE 4" X 3"</t>
  </si>
  <si>
    <t>LUVA DE REDUCAO EM ACO CARBONO, COM ENCAIXE PARA SOLDA DN SW, PRESSAO 3.000 LBS, 3/4" X 1/2"</t>
  </si>
  <si>
    <t>LUVA DE REDUCAO EM ACO CARBONO, COM ENCAIXE PARA SOLDA DN SW, PRESSAO 3.000 LBS, DN 1 1/2" X 1 1/4"</t>
  </si>
  <si>
    <t>LUVA DE REDUCAO EM ACO CARBONO, COM ENCAIXE PARA SOLDA DN SW, PRESSAO 3.000 LBS, DN 1 1/4" X 1"</t>
  </si>
  <si>
    <t>LUVA DE REDUCAO EM ACO CARBONO, COM ENCAIXE PARA SOLDA DN SW, PRESSAO 3.000 LBS, DN 1" X 3/4"</t>
  </si>
  <si>
    <t>LUVA DE REDUCAO EM ACO CARBONO, COM ENCAIXE PARA SOLDA DN SW, PRESSAO 3.000 LBS, DN 2 1/2" X 2"</t>
  </si>
  <si>
    <t>LUVA DE REDUCAO EM ACO CARBONO, COM ENCAIXE PARA SOLDA DN SW, PRESSAO 3.000 LBS, DN 2" X 1 1/2"</t>
  </si>
  <si>
    <t>LUVA DE REDUCAO EM ACO CARBONO, COM ENCAIXE PARA SOLDA DN SW, PRESSAO 3.000 LBS, DN 3" X 2 1/2"</t>
  </si>
  <si>
    <t>LUVA DE REDUCAO ROSCAVEL, PVC, 1" X 3/4", PARA AGUA FRIA PREDIAL</t>
  </si>
  <si>
    <t>LUVA DE REDUCAO ROSCAVEL, PVC, 3/4" X 1/2", PARA AGUA FRIA PREDIAL</t>
  </si>
  <si>
    <t>LUVA DE REDUCAO SOLDAVEL, PVC, 25 MM X 20 MM, PARA AGUA FRIA PREDIAL</t>
  </si>
  <si>
    <t>LUVA DE REDUCAO SOLDAVEL, PVC, 32 MM X 25 MM, PARA AGUA FRIA PREDIAL</t>
  </si>
  <si>
    <t>LUVA DE REDUCAO SOLDAVEL, PVC, 40 MM X 32 MM, PARA AGUA FRIA PREDIAL</t>
  </si>
  <si>
    <t>LUVA DE REDUCAO SOLDAVEL, PVC, 60 MM X 50 MM, PARA AGUA FRIA PREDIAL</t>
  </si>
  <si>
    <t>LUVA DE REDUCAO, SOLDAVEL, PVC, 50 X 25 MM, PARA AGUA FRIA PREDIAL</t>
  </si>
  <si>
    <t>LUVA DE TRANSICAO DE CPVC X PVC, SOLDAVEL, 22 X 25 MM, PARA AGUA QUENTE</t>
  </si>
  <si>
    <t>LUVA DE TRANSICAO, CPVC, 15 MM X 1/2", PARA AGUA QUENTE PREDIAL</t>
  </si>
  <si>
    <t>LUVA DE TRANSICAO, CPVC, 22 MM X 1/2", PARA AGUA QUENTE</t>
  </si>
  <si>
    <t>LUVA DE TRANSICAO, CPVC, SOLDAVEL, 42 MM X 1 1/2", PARA AGUA QUENTE</t>
  </si>
  <si>
    <t>LUVA DE TRANSICAO, CPVC, SOLDAVEL, 54 MM X 2", PARA AGUA QUENTE PREDIAL</t>
  </si>
  <si>
    <t>LUVA EM ACO CARBONO, SOLDAVEL, PRESSAO 3.000 LBS, DN 1 1/2"</t>
  </si>
  <si>
    <t>LUVA EM ACO CARBONO, SOLDAVEL, PRESSAO 3.000 LBS, DN 1 1/4"</t>
  </si>
  <si>
    <t>LUVA EM ACO CARBONO, SOLDAVEL, PRESSAO 3.000 LBS, DN 1"</t>
  </si>
  <si>
    <t>LUVA EM ACO CARBONO, SOLDAVEL, PRESSAO 3.000 LBS, DN 1/2"</t>
  </si>
  <si>
    <t>LUVA EM ACO CARBONO, SOLDAVEL, PRESSAO 3.000 LBS, DN 2 1/2"</t>
  </si>
  <si>
    <t>LUVA EM ACO CARBONO, SOLDAVEL, PRESSAO 3.000 LBS, DN 2"</t>
  </si>
  <si>
    <t>LUVA EM ACO CARBONO, SOLDAVEL, PRESSAO 3.000 LBS, DN 3"</t>
  </si>
  <si>
    <t>LUVA EM ACO CARBONO, SOLDAVEL, PRESSAO 3.000 LBS, DN 3/4"</t>
  </si>
  <si>
    <t>LUVA EM PVC RIGIDO ROSCAVEL, DE 1 1/2", PARA ELETRODUTO</t>
  </si>
  <si>
    <t>LUVA EM PVC RIGIDO ROSCAVEL, DE 1 1/4", PARA ELETRODUTO</t>
  </si>
  <si>
    <t>LUVA EM PVC RIGIDO ROSCAVEL, DE 1", PARA ELETRODUTO</t>
  </si>
  <si>
    <t>LUVA EM PVC RIGIDO ROSCAVEL, DE 1/2", PARA ELETRODUTO</t>
  </si>
  <si>
    <t>LUVA EM PVC RIGIDO ROSCAVEL, DE 2 1/2", PARA ELETRODUTO</t>
  </si>
  <si>
    <t>LUVA EM PVC RIGIDO ROSCAVEL, DE 2", PARA ELETRODUTO</t>
  </si>
  <si>
    <t>LUVA EM PVC RIGIDO ROSCAVEL, DE 3", PARA ELETRODUTO</t>
  </si>
  <si>
    <t>LUVA EM PVC RIGIDO ROSCAVEL, DE 3/4", PARA ELETRODUTO</t>
  </si>
  <si>
    <t>LUVA EM PVC RIGIDO ROSCAVEL, DE 4", PARA ELETRODUTO</t>
  </si>
  <si>
    <t>LUVA PARA ELETRODUTO, EM ACO GALVANIZADO ELETROLITICO, COM ROSCA, DIAMETRO DE 100 MM (4")</t>
  </si>
  <si>
    <t>LUVA PARA ELETRODUTO, EM ACO GALVANIZADO ELETROLITICO, COM ROSCA, DIAMETRO DE 15 MM (1/2")</t>
  </si>
  <si>
    <t>LUVA PARA ELETRODUTO, EM ACO GALVANIZADO ELETROLITICO, COM ROSCA, DIAMETRO DE 20 MM (3/4")</t>
  </si>
  <si>
    <t>LUVA PARA ELETRODUTO, EM ACO GALVANIZADO ELETROLITICO, COM ROSCA, DIAMETRO DE 25 MM (1")</t>
  </si>
  <si>
    <t>LUVA PARA ELETRODUTO, EM ACO GALVANIZADO ELETROLITICO, COM ROSCA, DIAMETRO DE 32 MM (1 1/4")</t>
  </si>
  <si>
    <t>LUVA PARA ELETRODUTO, EM ACO GALVANIZADO ELETROLITICO, COM ROSCA, DIAMETRO DE 40 MM (1 1/2")</t>
  </si>
  <si>
    <t>LUVA PARA ELETRODUTO, EM ACO GALVANIZADO ELETROLITICO, COM ROSCA, DIAMETRO DE 65 MM (2 1/2")</t>
  </si>
  <si>
    <t>LUVA PARA ELETRODUTO, EM ACO GALVANIZADO ELETROLITICO, COM ROSCA, DIAMETRO DE 80 MM (3")</t>
  </si>
  <si>
    <t>LUVA PARA ELETRODUTO, EM ACO GALVANIZADO ELETROLITICO, COM ROSCA,DIAMETRO DE 50 MM (2")</t>
  </si>
  <si>
    <t>LUVA PARA PERFURATRIZ DE ESTEIRA T38, D = 1 1/2"</t>
  </si>
  <si>
    <t>LUVA PASSANTE DE COBRE SEM ANEL DE SOLDA, BOLSA 15 MM</t>
  </si>
  <si>
    <t>LUVA PASSANTE DE COBRE SEM ANEL DE SOLDA, BOLSA 22 MM</t>
  </si>
  <si>
    <t>LUVA PASSANTE DE COBRE SEM ANEL DE SOLDA, BOLSA 28 MM</t>
  </si>
  <si>
    <t>LUVA PASSANTE DE COBRE SEM ANEL DE SOLDA, BOLSA 35 MM</t>
  </si>
  <si>
    <t>LUVA PASSANTE DE COBRE SEM ANEL DE SOLDA, BOLSA 42 MM</t>
  </si>
  <si>
    <t>LUVA PASSANTE DE COBRE SEM ANEL DE SOLDA, BOLSA 54 MM</t>
  </si>
  <si>
    <t>LUVA PASSANTE DE COBRE SEM ANEL DE SOLDA, BOLSA 66 MM</t>
  </si>
  <si>
    <t>LUVA PVC SOLDAVEL, 110 MM, PARA AGUA FRIA PREDIAL</t>
  </si>
  <si>
    <t>LUVA PVC SOLDAVEL, 20 MM, PARA AGUA FRIA PREDIAL</t>
  </si>
  <si>
    <t>LUVA PVC SOLDAVEL, 25 MM, PARA AGUA FRIA PREDIAL</t>
  </si>
  <si>
    <t>LUVA PVC SOLDAVEL, 32 MM, PARA AGUA FRIA PREDIAL</t>
  </si>
  <si>
    <t>LUVA PVC SOLDAVEL, 40 MM, PARA AGUA FRIA PREDIAL</t>
  </si>
  <si>
    <t>LUVA PVC SOLDAVEL, 50 MM, PARA AGUA FRIA PREDIAL</t>
  </si>
  <si>
    <t>LUVA PVC SOLDAVEL, 60 MM, PARA AGUA FRIA PREDIAL</t>
  </si>
  <si>
    <t>LUVA PVC SOLDAVEL, 75 MM, PARA AGUA FRIA PREDIAL</t>
  </si>
  <si>
    <t>LUVA PVC SOLDAVEL, 85 MM, PARA AGUA FRIA PREDIAL</t>
  </si>
  <si>
    <t>LUVA PVC, ROSCAVEL, 1 1/2", AGUA FRIA PREDIAL</t>
  </si>
  <si>
    <t>LUVA PVC, ROSCAVEL, 1", AGUA FRIA PREDIAL</t>
  </si>
  <si>
    <t>LUVA PVC, ROSCAVEL, 1/2", AGUA FRIA PREDIAL</t>
  </si>
  <si>
    <t>LUVA PVC, ROSCAVEL, 3/4", AGUA FRIA PREDIAL</t>
  </si>
  <si>
    <t>LUVA RASPA DE COURO, CANO CURTO (PUNHO *7* CM)</t>
  </si>
  <si>
    <t>LUVA SIMPLES PPR, F/F, SOLDAVEL, DN 110 MM, PARA AGUA QUENTE PREDIAL</t>
  </si>
  <si>
    <t>LUVA SIMPLES PPR, F/F, SOLDAVEL, DN 20 MM, PARA AGUA QUENTE PREDIAL</t>
  </si>
  <si>
    <t>LUVA SIMPLES PPR, F/F, SOLDAVEL, DN 25 MM, PARA AGUA QUENTE PREDIAL</t>
  </si>
  <si>
    <t>LUVA SIMPLES PPR, F/F, SOLDAVEL, DN 32 MM, PARA AGUA QUENTE PREDIAL</t>
  </si>
  <si>
    <t>LUVA SIMPLES PPR, F/F, SOLDAVEL, DN 40 MM, PARA AGUA QUENTE PREDIAL</t>
  </si>
  <si>
    <t>LUVA SIMPLES PPR, F/F, SOLDAVEL, DN 50 MM, PARA AGUA QUENTE PREDIAL</t>
  </si>
  <si>
    <t>LUVA SIMPLES PPR, F/F, SOLDAVEL, DN 63 MM, PARA AGUA QUENTE PREDIAL</t>
  </si>
  <si>
    <t>LUVA SIMPLES PPR, F/F, SOLDAVEL, DN 75 MM, PARA AGUA QUENTE PREDIAL</t>
  </si>
  <si>
    <t>LUVA SIMPLES PPR, F/F, SOLDAVEL, DN 90 MM, PARA AGUA QUENTE PREDIAL</t>
  </si>
  <si>
    <t>LUVA SIMPLES PVC PBA, JE, DN 100 / DE 110 MM, PARA REDE DE AGUA</t>
  </si>
  <si>
    <t>LUVA SIMPLES PVC PBA, JE, DN 50 / DE 60 MM, PARA REDE DE AGUA</t>
  </si>
  <si>
    <t>LUVA SIMPLES PVC PBA, JE, DN 75 / DE 85 MM, PARA REDE DE AGUA</t>
  </si>
  <si>
    <t>LUVA SIMPLES, PVC SERIE R, 100 MM, PARA ESGOTO PREDIAL</t>
  </si>
  <si>
    <t>LUVA SIMPLES, PVC SERIE R, 150 MM, PARA ESGOTO PREDIAL</t>
  </si>
  <si>
    <t>LUVA SIMPLES, PVC SERIE R, 40 MM, PARA ESGOTO PREDIAL</t>
  </si>
  <si>
    <t>LUVA SIMPLES, PVC SERIE R, 50 MM, PARA ESGOTO PREDIAL</t>
  </si>
  <si>
    <t>LUVA SIMPLES, PVC SERIE R, 75 MM, PARA ESGOTO PREDIAL</t>
  </si>
  <si>
    <t>LUVA SIMPLES, PVC, SOLDAVEL, DN 100 MM, SERIE NORMAL, PARA ESGOTO PREDIAL</t>
  </si>
  <si>
    <t>LUVA SIMPLES, PVC, SOLDAVEL, DN 150 MM, SERIE NORMAL, PARA ESGOTO PREDIAL</t>
  </si>
  <si>
    <t>LUVA SIMPLES, PVC, SOLDAVEL, DN 40 MM, SERIE NORMAL, PARA ESGOTO PREDIAL</t>
  </si>
  <si>
    <t>LUVA SIMPLES, PVC, SOLDAVEL, DN 50 MM, SERIE NORMAL, PARA ESGOTO PREDIAL</t>
  </si>
  <si>
    <t>LUVA SIMPLES, PVC, SOLDAVEL, DN 75 MM, SERIE NORMAL, PARA ESGOTO PREDIAL</t>
  </si>
  <si>
    <t>LUVA SOLDAVEL COM BUCHA DE LATAO, PVC, 20 MM X 1/2"</t>
  </si>
  <si>
    <t>LUVA SOLDAVEL COM BUCHA DE LATAO, PVC, 25 MM X 1/2"</t>
  </si>
  <si>
    <t>LUVA SOLDAVEL COM BUCHA DE LATAO, PVC, 25 MM X 3/4"</t>
  </si>
  <si>
    <t>LUVA SOLDAVEL COM BUCHA DE LATAO, PVC, 32 MM X 1"</t>
  </si>
  <si>
    <t>LUVA SOLDAVEL COM ROSCA, PVC, 20 MM X 1/2", PARA AGUA FRIA PREDIAL</t>
  </si>
  <si>
    <t>LUVA SOLDAVEL COM ROSCA, PVC, 25 MM X 1/2", PARA AGUA FRIA PREDIAL</t>
  </si>
  <si>
    <t>LUVA SOLDAVEL COM ROSCA, PVC, 25 MM X 3/4", PARA AGUA FRIA PREDIAL</t>
  </si>
  <si>
    <t>LUVA SOLDAVEL COM ROSCA, PVC, 32 MM X 1", PARA AGUA FRIA PREDIAL</t>
  </si>
  <si>
    <t>LUVA SOLDAVEL COM ROSCA, PVC, 40 MM X 1 1/4", PARA AGUA FRIA PREDIAL</t>
  </si>
  <si>
    <t>LUVA SOLDAVEL COM ROSCA, PVC, 50 MM X 1 1/2", PARA AGUA FRIA PREDIAL</t>
  </si>
  <si>
    <t>LUVA, PEAD PE 100, DE 125 MM, PARA ELETROFUSAO</t>
  </si>
  <si>
    <t>LUVA, PEAD PE 100, DE 200 MM, PARA ELETROFUSAO</t>
  </si>
  <si>
    <t>LUVA, PEAD PE 100, DE 32 MM, PARA ELETROFUSAO</t>
  </si>
  <si>
    <t>LUVA, PEAD PE 100, DE 400 MM, PARA ELETROFUSAO</t>
  </si>
  <si>
    <t>LUVA, PEAD PE 100, DE 63 MM, PARA ELETROFUSAO</t>
  </si>
  <si>
    <t>LUVA/UNIAO DE REDUCAO METALICA, PARA CONEXAO COM ANEL DESLIZANTE, DN 20 X 16 MM, EM TUBO PEX PARA INST. AGUA QUENTE/FRIA</t>
  </si>
  <si>
    <t>LUVA/UNIAO DE REDUCAO METALICA, PARA CONEXAO COM ANEL DESLIZANTE, DN 25 X 16 MM, EM TUBO PEX PARA INST. AGUA QUENTE/FRIA</t>
  </si>
  <si>
    <t>LUVA/UNIAO DE REDUCAO METALICA, PARA CONEXAO COM ANEL DESLIZANTE, DN 25 X 20 MM, EM TUBO PEX PARA INST. AGUA QUENTE/FRIA</t>
  </si>
  <si>
    <t>LUVA/UNIAO DE REDUCAO METALICA, PARA CONEXAO COM ANEL DESLIZANTE, DN 32 X 25 MM, EM TUBO PEX PARA INST. AGUA QUENTE/FRIA</t>
  </si>
  <si>
    <t>LUVA/UNIAO DE REDUCAO, PLASTICA, PARA CONEXAO COM CRIMPAGEM, DN 20 X 16 MM, EM TUBO PEX PARA INST. AGUA QUENTE/FRIA</t>
  </si>
  <si>
    <t>LUVA/UNIAO DE REDUCAO, PLASTICA, PARA CONEXAO COM CRIMPAGEM, DN 25 X 16 MM, EM TUBO PEX PARA INST. AGUA QUENTE/FRIA</t>
  </si>
  <si>
    <t>LUVA/UNIAO DE REDUCAO, PLASTICA, PARA CONEXAO COM CRIMPAGEM, DN 32 X 25 MM, EM TUBO PEX PARA INST. AGUA QUENTE/FRIA</t>
  </si>
  <si>
    <t>LUVA/UNIAO METALICA, PARA CONEXAO COM ANEL DESLIZANTE, DN 16 MM, EM TUBO PEX PARA INST. AGUA QUENTE/FRIA</t>
  </si>
  <si>
    <t>LUVA/UNIAO METALICA, PARA CONEXAO COM ANEL DESLIZANTE, DN 20 MM, EM TUBO PEX PARA INST. AGUA QUENTE/FRIA</t>
  </si>
  <si>
    <t>LUVA/UNIAO METALICA, PARA CONEXAO COM ANEL DESLIZANTE, DN 25 MM, EM TUBO PEX PARA INST. AGUA QUENTE/FRIA</t>
  </si>
  <si>
    <t>LUVA/UNIAO METALICA, PARA CONEXAO COM ANEL DESLIZANTE, DN 32 MM, EM TUBO PEX PARA INST. AGUA QUENTE/FRIA</t>
  </si>
  <si>
    <t>LUVA/UNIAO, PLASTICA, PARA CONEXAO COM CRIMPAGEM, DN 16 MM, EM TUBO PEX PARA INST. AGUA QUENTE/FRIA</t>
  </si>
  <si>
    <t>LUVA/UNIAO, PLASTICA, PARA CONEXAO COM CRIMPAGEM, DN 20 MM, EM TUBO PEX PARA INST. AGUA QUENTE/FRIA</t>
  </si>
  <si>
    <t>LUVA/UNIAO, PLASTICA, PARA CONEXAO COM CRIMPAGEM, DN 25 MM, EM TUBO PEX PARA INST. AGUA QUENTE/FRIA</t>
  </si>
  <si>
    <t>LUVA/UNIAO, PLASTICA, PARA CONEXAO COM CRIMPAGEM, DN 32 MM, EM TUBO PEX PARA INST. AGUA QUENTE/FRIA</t>
  </si>
  <si>
    <t>LUVAS DE PVC, COM COMPRIMENTO DE *35* CM, FORRADAS, ACABAMENTO ASPERO ANTIDERRAPANTE NA FACE PALMAR</t>
  </si>
  <si>
    <t>MACANETA ALAVANCA RETA OCA, EM ZAMAC COM ACABAMENTO CROMADO, COMPRIMENTO APROX DE 15 CM</t>
  </si>
  <si>
    <t>MACANETA ALAVANCA, RETA SIMPLES / OCA, CROMADA, COMPRIMENTO DE 10 A 16 CM, ACABAMENTO PADRAO POPULAR - SOMENTE MACANETAS</t>
  </si>
  <si>
    <t>MACANETA BOLA, EM ZAMAC COM ACABAMENTO CROMADO, DIAMETRO DE APROX 2 1/2"</t>
  </si>
  <si>
    <t>MACARICO DE SOLDA 201 PARA EXTENSAO GLP OU ACETILENO</t>
  </si>
  <si>
    <t>MACARIQUEIRO (HORISTA)</t>
  </si>
  <si>
    <t>MACARIQUEIRO (MENSALISTA)</t>
  </si>
  <si>
    <t>MADEIRA ROLICA TRATADA, D = 12 A 15 CM, H = 3,00 M, EM EUCALIPTO OU EQUIVALENTE DA REGIAO</t>
  </si>
  <si>
    <t>MADEIRA ROLICA TRATADA, D = 16 A 20 CM, H = 6,00 M, EM EUCALIPTO OU EQUIVALENTE DA REGIAO</t>
  </si>
  <si>
    <t>MADEIRA ROLICA TRATADA, D = 25 A 29 CM, H = 6,50 M, EM EUCALIPTO OU EQUIVALENTE DA REGIAO</t>
  </si>
  <si>
    <t>MADEIRA ROLICA TRATADA, D = 30 A 34 CM, H = 6,50 M, EM EUCALIPTO OU EQUIVALENTE DA REGIAO</t>
  </si>
  <si>
    <t>MADEIRA SERRADA EM PINUS, MISTA OU EQUIVALENTE DA REGIAO - BRUTA</t>
  </si>
  <si>
    <t>MANGOTE DE SEGURANCA EM RASPA DE COURO</t>
  </si>
  <si>
    <t>MANGUEIRA CRISTAL TRANCADA, PVC COM REFORCO, COM PRESSAO DE TRABALHO (PT) 250 LBS/POL2, DE 3/4" X *2,8* MM</t>
  </si>
  <si>
    <t>MANGUEIRA CRISTAL TRANCADA, PVC COM REFORCO, PRESSAO DE TRABALHO (PT) 250 LBS/POL2, DE 1" X *3,1* MM</t>
  </si>
  <si>
    <t>MANGUEIRA CRISTAL, LISA, PVC TRANSPARENTE, 1/2" X 2 MM</t>
  </si>
  <si>
    <t>MANGUEIRA CRISTAL, LISA, PVC TRANSPARENTE, 1/4" X1 MM</t>
  </si>
  <si>
    <t>MANGUEIRA CRISTAL, LISA, PVC TRANSPARENTE, 1/4" X1,5 MM</t>
  </si>
  <si>
    <t>MANGUEIRA CRISTAL, LISA, PVC TRANSPARENTE, 3/4" X 2 MM</t>
  </si>
  <si>
    <t>MANGUEIRA CRISTAL, LISA, PVC TRANSPARENTE, 3/8" X 1,5 MM</t>
  </si>
  <si>
    <t>MANGUEIRA CRISTAL, LISA, PVC TRANSPARENTE, 5/16" X 1 MM</t>
  </si>
  <si>
    <t>MANGUEIRA DE INCENDIO, TIPO 1, DE 1 1/2", COMPRIMENTO = 15 M, TECIDO EM FIO DE POLIESTER E TUBO INTERNO EM BORRACHA SINTETICA, COM UNIOES ENGATE RAPIDO</t>
  </si>
  <si>
    <t>MANGUEIRA DE INCENDIO, TIPO 1, DE 1 1/2", COMPRIMENTO = 20 M, TECIDO EM FIO DE POLIESTER E TUBO INTERNO EM BORRACHA SINTETICA, COM UNIOES ENGATE RAPIDO</t>
  </si>
  <si>
    <t>MANGUEIRA DE INCENDIO, TIPO 1, DE 1 1/2", COMPRIMENTO = 25 M, TECIDO EM FIO DE POLIESTER E TUBO INTERNO EM BORRACHA SINTETICA, COM UNIOES ENGATE RAPIDO</t>
  </si>
  <si>
    <t>MANGUEIRA DE INCENDIO, TIPO 1, DE 1 1/2", COMPRIMENTO = 30 M, TECIDO EM FIO DE POLIESTER E TUBO INTERNO EM BORRACHA SINTETICA, COM UNIOES ENGATE RAPIDO</t>
  </si>
  <si>
    <t>MANGUEIRA DE INCENDIO, TIPO 2, DE 1 1/2", COMPRIMENTO = 15 M, TECIDO EM FIO DE POLIESTER E TUBO INTERNO EM BORRACHA SINTETICA, COM UNIOES ENGATE RAPIDO</t>
  </si>
  <si>
    <t>MANGUEIRA DE INCENDIO, TIPO 2, DE 1 1/2", COMPRIMENTO = 20 M, TECIDO EM FIO DE POLIESTER E TUBO INTERNO EM BORRACHA SINTETICA, COM UNIOES</t>
  </si>
  <si>
    <t>MANGUEIRA DE INCENDIO, TIPO 2, DE 1 1/2", COMPRIMENTO = 25 M, TECIDO EM FIO DE POLIESTER E TUBO INTERNO EM BORRACHA SINTETICA, COM UNIOES</t>
  </si>
  <si>
    <t>MANGUEIRA DE INCENDIO, TIPO 2, DE 1 1/2", COMPRIMENTO = 30 M, TECIDO EM FIO DE POLIESTER E TUBO INTERNO EM BORRACHA SINTETICA, COM UNIOES</t>
  </si>
  <si>
    <t>MANGUEIRA DE INCENDIO, TIPO 2, DE 2 1/2", COMPRIMENTO = 15 M, TECIDO EM FIO DE POLIESTER E TUBO INTERNO EM BORRACHA SINTETICA, COM UNIOES ENGATE RAPIDO</t>
  </si>
  <si>
    <t>MANGUEIRA DE INCENDIO, TIPO 2, DE 2 1/2", COMPRIMENTO = 20 M, TECIDO EM FIO DE POLIESTER E TUBO INTERNO EM BORRACHA SINTETICA, COM UNIOES</t>
  </si>
  <si>
    <t>MANGUEIRA DE INCENDIO, TIPO 2, DE 2 1/2", COMPRIMENTO = 25 M, TECIDO EM FIO DE POLIESTER E TUBO INTERNO EM BORRACHA SINTETICA, COM UNIOES ENGATE RAPIDO</t>
  </si>
  <si>
    <t>MANGUEIRA DE INCENDIO, TIPO 2, DE 2 1/2", COMPRIMENTO = 30 M, TECIDO EM FIO DE POLIESTER E TUBO INTERNO EM BORRACHA SINTETICA, COM UNIOES ENGATE RAPIDO</t>
  </si>
  <si>
    <t>MANGUEIRA DE PVC FLEXIVEL, TIPO FLAT/ACHATADA, D = 1 1/2" (40 MM), PARA CONDUCAO DE AGUA, SERVICOS LEVES E MEDIOS</t>
  </si>
  <si>
    <t>MANGUEIRA FLEXIVEL TRANSPARENTE COM ESPIRAL AZUL, EM PVC, DIAM. 1" (25 MM), PARA SERVICOS LEVES DE SUCCAO E DESCARGA</t>
  </si>
  <si>
    <t>MANGUEIRA FLEXIVEL TRANSPARENTE COM ESPIRAL AZUL, EM PVC, DIAM. 2" (50 MM), PARA SERVICOS LEVES DE SUCCAO E DESCARGA</t>
  </si>
  <si>
    <t>MANGUEIRA FLEXIVEL TRANSPARENTE COM ESPIRAL AZUL, EM PVC, DIAM. 4" (100 MM), PARA SERVICOS LEVES DE SUCCAO E DESCARGA</t>
  </si>
  <si>
    <t>MANGUEIRA PARA AR E AGUA DE PVC/BORRACHA, PRESSAO 300 PSI, DIAMETRO DE 1 POLEGADA</t>
  </si>
  <si>
    <t>MANGUEIRA PARA GAS - GLP, PVC, TRANCADA, DIAMETRO DE 3/8", COMPRIMENTO DE 1M (NORMATIZADA)</t>
  </si>
  <si>
    <t>MANIPULADOR TELESCOPICO, POTENCIA DE 85 HP, CAPACIDADE DE CARGA DE 3.500 KG, ALTURA MAXIMA DE ELEVACAO DE 12,3 M</t>
  </si>
  <si>
    <t>MANOMETRO COM CAIXA EM ACO PINTADO, ESCALA *10* KGF/CM2 (*10* BAR), DIAMETRO NOMINAL DE *63* MM, CONEXAO DE 1/4"</t>
  </si>
  <si>
    <t>MANOMETRO COM CAIXA EM ACO PINTADO, ESCALA *10* KGF/CM2 (*10* BAR), DIAMETRO NOMINAL DE 100 MM, CONEXAO DE 1/2"</t>
  </si>
  <si>
    <t>MANTA / LENCOL DE BORRACHA, SBR, ANTIRRUIDO, E = 5 MM</t>
  </si>
  <si>
    <t>MANTA ALUMINIZADA 1 FACE PARA SUBCOBERTURA, E = *1* MM</t>
  </si>
  <si>
    <t>MANTA ALUMINIZADA NAS DUAS FACES, PARA SUBCOBERTURA, E = *2* MM</t>
  </si>
  <si>
    <t>MANTA ANTIRRUIDO DE POLIESTER (PET) PARA CONTRAPISO E = *8* MM</t>
  </si>
  <si>
    <t>MANTA ASFALTICA ELASTOMERICA EM POLIESTER 3 MM, TIPO III, CLASSE B, ACABAMENTO PP (NBR 9952)</t>
  </si>
  <si>
    <t>MANTA ASFALTICA ELASTOMERICA EM POLIESTER 4 MM, TIPO III, CLASSE B, ACABAMENTO PP (NBR 9952)</t>
  </si>
  <si>
    <t>MANTA ASFALTICA ELASTOMERICA EM POLIESTER 5 MM, TIPO III, CLASSE B, ACABAMENTO PP (NBR 9952)</t>
  </si>
  <si>
    <t>MANTA ASFALTICA ELASTOMERICA EM POLIESTER ALUMINIZADA 3 MM, TIPO III, CLASSE B (NBR 9952)</t>
  </si>
  <si>
    <t>MANTA ASFALTICA ELASTOMERICA TIPO GLASS 3 MM, TIPO II, CLASSE C, ACABAMENTO PP (NBR 9952)</t>
  </si>
  <si>
    <t>MANTA DE POLIETILENO EXPANDIDO (PEBD) ANTICHAMAS, E = 8 MM</t>
  </si>
  <si>
    <t>MANTA DE POLIETILENO EXPANDIDO (PEBD), E = 5 MM</t>
  </si>
  <si>
    <t>MANTA DE POLIETILENO EXPANDIDO, COM 1 FACE METALIZADA PARA SUBCOBERTURA, E = *5* MM</t>
  </si>
  <si>
    <t>MANTA GEOTEXTIL TECIDO DE LAMINETES DE POLIPROPILENO, RESISTENCIA A TRACAO = *25* KN/M</t>
  </si>
  <si>
    <t>MANTA LIQUIDA DE BASE ASFALTICA MODIFICADA COM A ADICAO DE ELASTOMEROS DILUIDOS EM SOLVENTE ORGANICO, APLICACAO A FRIO (MEMBRANA DE EMULSAO ASFALTICA PARA IMPERMEABILIZACAO FLEXIVEL)</t>
  </si>
  <si>
    <t>MANTA TERMOPLASTICA, PEAD, GEOMEMBRANA LISA, E = 0,50 MM (NBR 15352)</t>
  </si>
  <si>
    <t>MANTA TERMOPLASTICA, PEAD, GEOMEMBRANA LISA, E = 0,75 MM (NBR 15352)</t>
  </si>
  <si>
    <t>MANTA TERMOPLASTICA, PEAD, GEOMEMBRANA LISA, E = 0,80 MM (NBR 15352)</t>
  </si>
  <si>
    <t>MANTA TERMOPLASTICA, PEAD, GEOMEMBRANA LISA, E = 1,00 MM (NBR 15352)</t>
  </si>
  <si>
    <t>MANTA TERMOPLASTICA, PEAD, GEOMEMBRANA LISA, E = 1,50 MM (NBR 15352)</t>
  </si>
  <si>
    <t>MANTA TERMOPLASTICA, PEAD, GEOMEMBRANA LISA, E = 2,00 MM (NBR 15352)</t>
  </si>
  <si>
    <t>MANTA TERMOPLASTICA, PEAD, GEOMEMBRANA LISA, E = 2,50 MM (NBR 15352)</t>
  </si>
  <si>
    <t>MANTA TERMOPLASTICA, PEAD, GEOMEMBRANA TEXTURIZADA EM AMBAS AS FACES, E = 0,50 MM (NBR 15352)</t>
  </si>
  <si>
    <t>MANTA TERMOPLASTICA, PEAD, GEOMEMBRANA TEXTURIZADA EM AMBAS AS FACES, E = 0,75 MM (NBR 15352)</t>
  </si>
  <si>
    <t>MANTA TERMOPLASTICA, PEAD, GEOMEMBRANA TEXTURIZADA EM AMBAS AS FACES, E = 0,80 MM (NBR 15352)</t>
  </si>
  <si>
    <t>MANTA TERMOPLASTICA, PEAD, GEOMEMBRANA TEXTURIZADA EM AMBAS AS FACES, E = 1,00 MM (NBR 15352)</t>
  </si>
  <si>
    <t>MANTA TERMOPLASTICA, PEAD, GEOMEMBRANA TEXTURIZADA EM AMBAS AS FACES, E = 1,50 MM (NBR 15352)</t>
  </si>
  <si>
    <t>MANTA TERMOPLASTICA, PEAD, GEOMEMBRANA TEXTURIZADA EM AMBAS AS FACES, E = 2,00 MM (NBR 15352)</t>
  </si>
  <si>
    <t>MANTA TERMOPLASTICA, PEAD, GEOMEMBRANA TEXTURIZADA EM AMBAS AS FACES, E = 2,50 MM (NBR 15352)</t>
  </si>
  <si>
    <t>MAQUINA DE 40 MM PARA FECHADURA DE EMBUTIR EXTERNA, EM ACO INOX</t>
  </si>
  <si>
    <t>MAQUINA DE 40 MM PARA FECHADURA, PARA PORTA DE BANHEIRO, EM ACO INOX</t>
  </si>
  <si>
    <t>MAQUINA DE 40 MM PARA FECHADURA, PARA PORTA INTERNA, EM ACO INOX</t>
  </si>
  <si>
    <t>MAQUINA DE 55 MM PARA FECHADURA DE EMBUTIR EXTERNA, EM ACO INOX</t>
  </si>
  <si>
    <t>MAQUINA DE 55 MM PARA FECHADURA, PARA PORTA DE BANHEIRO, EM ACO INOX</t>
  </si>
  <si>
    <t>MAQUINA DE 55 MM PARA FECHADURA, PARA PORTA INTERNA, EM ACO INOX</t>
  </si>
  <si>
    <t>MAQUINA DEMARCADORA DE FAIXA DE TRAFEGO A FRIO, AUTOPROPELIDA, MOTOR DIESEL 38 HP</t>
  </si>
  <si>
    <t>MAQUINA EXTRUSORA DE CONCRETO PARA GUIAS E SARJETAS, COM MOTOR A DIESEL E POTENCIA DE 14 CV</t>
  </si>
  <si>
    <t>MAQUINA TIPO VASO/TANQUE/JATO DE PRESSAO PORTATIL P/ JATEAMENTO, CONTROLE AUTOMATICO E REMOTO, CAMARA DE 1 SAIDA, 280 L, DIAM. *670* MM, BICO JATO CURTO VENTURI 5/16", MANGUEIRA 1" DE 10 M, COMPLETA (VALVULAS POP UP E DOSADORA, FUNDO CONICO ETC)</t>
  </si>
  <si>
    <t>MARCENEIRO (HORISTA)</t>
  </si>
  <si>
    <t>MARCENEIRO (MENSALISTA)</t>
  </si>
  <si>
    <t>MARMORISTA / GRANITEIRO (HORISTA)</t>
  </si>
  <si>
    <t>MARMORISTA / GRANITEIRO (MENSALISTA)</t>
  </si>
  <si>
    <t>MARRETA DE ACO, OITAVADA, 500 G, COM CABO DE MADEIRA</t>
  </si>
  <si>
    <t>MARTELO DE BORRACHA PRETO 450 G, CABO DE MADEIRA *60* MM DE DIAMETRO</t>
  </si>
  <si>
    <t>MARTELO DE PEDREIRO, 1 CORTE, EM ACO, *500* G, COMPRIMENTO TOTAL DE *28* CM, COM CABO DE MADEIRA</t>
  </si>
  <si>
    <t>MARTELO DE SOLDADOR/PICADOR DE SOLDA</t>
  </si>
  <si>
    <t>MARTELO DEMOLIDOR ELETRICO, COM POTENCIA DE 2.000 W, FREQUENCIA DE 1.000 IMPACTOS POR MINUTO, FORCA DE IMPACTO ENTRE 60 E 65 J, PESO DE 30 KG</t>
  </si>
  <si>
    <t>MARTELO DEMOLIDOR PNEUMATICO MANUAL, PADRAO, PESO DE 32 KG</t>
  </si>
  <si>
    <t>MARTELO DEMOLIDOR PNEUMATICO MANUAL, PESO DE 28 KG, COM SILENCIADOR</t>
  </si>
  <si>
    <t>MARTELO PERFURADOR PNEUMATICO MANUAL, HASTE 19 X 108 MM, *11* KG</t>
  </si>
  <si>
    <t>MASCARA DE SEGURANCA PARA SOLDA COM ESCUDO DE CELERON E CARNEIRA DE PLASTICO COM REGULAGEM</t>
  </si>
  <si>
    <t>MASCARA DE SOLDA AUTOMATICA, COM GRAU DE ESCURECIMENTO DIN 9 A 13</t>
  </si>
  <si>
    <t>MASSA ACRILICA PARA SUPERFICIES INTERNAS E EXTERNAS</t>
  </si>
  <si>
    <t>MASSA CORRIDA PARA SUPERFICIES DE AMBIENTES INTERNOS</t>
  </si>
  <si>
    <t>MASSA DE REJUNTE EM PO PARA DRYWALL, A BASE DE GESSO, SECAGEM RAPIDA, PARA TRATAMENTO DE JUNTAS DE CHAPA DE GESSO (NECESSITA ADICAO DE AGUA)</t>
  </si>
  <si>
    <t>MASSA DE REJUNTE PRONTA PARA TRATAMENTO DE JUNTAS DE CHAPA DE GESSO PARA DRYWALL, SEM ADICAO DE AGUA</t>
  </si>
  <si>
    <t>MASSA EPOXI BICOMPONENTE (MASSA + CATALISADOR)</t>
  </si>
  <si>
    <t>MASSA EPOXI BICOMPONENTE PARA REPAROS</t>
  </si>
  <si>
    <t>MASSA PARA MADEIRA - INTERIOR E EXTERIOR</t>
  </si>
  <si>
    <t>MASSA PARA VIDRO</t>
  </si>
  <si>
    <t>MASSA PLASTICA PARA MARMORE/GRANITO</t>
  </si>
  <si>
    <t>MASSA PREMIUM PARA TEXTURA LISA DE BASE ACRILICA, USO INTERNO E EXTERNO</t>
  </si>
  <si>
    <t>MASSA PREMIUM PARA TEXTURA RUSTICA DE BASE ACRILICA, COR BRANCA, USO INTERNO E EXTERNO</t>
  </si>
  <si>
    <t>MASTRO SIMPLES GALVANIZADO DIAMETRO NOMINAL 1 1/2"</t>
  </si>
  <si>
    <t>MASTRO SIMPLES GALVANIZADO DIAMETRO NOMINAL 2"</t>
  </si>
  <si>
    <t>MASTRO TELESCOPICO DE 4 METROS (3 M X DN= 2" + 1 M X DN= 1 1/2")</t>
  </si>
  <si>
    <t>MASTRO TELESCOPICO GALVANIZADO 5 METROS (3 M X DN= 2" + 2 M X DN= 1 1/2")</t>
  </si>
  <si>
    <t>MASTRO TELESCOPICO GALVANIZADO 6 METROS (3 M X DN= 2" + 3 M X DN= 1 1/2")</t>
  </si>
  <si>
    <t>MASTRO TELESCOPICO GALVANIZADO 7 METROS (6 M X DN= 2" + 1 M X DN= 1 1/2")</t>
  </si>
  <si>
    <t>MASTRO TELESCOPICO GALVANIZADO 9 METROS (6 M X DN= 2" + 3 M X DN= 1 1/2")</t>
  </si>
  <si>
    <t>MECANICO DE EQUIPAMENTOS PESADOS (HORISTA)</t>
  </si>
  <si>
    <t>MECANICO DE EQUIPAMENTOS PESADOS (MENSALISTA)</t>
  </si>
  <si>
    <t>MECANICO DE REFRIGERACAO (HORISTA)</t>
  </si>
  <si>
    <t>MECANICO DE REFRIGERACAO (MENSALISTA)</t>
  </si>
  <si>
    <t>MEDIDOR DE NIVEL ESTATICO E DINAMICO PARA POCO, COMPRIMENTO DE 200 M</t>
  </si>
  <si>
    <t>MEIA CANA DE MADEIRA CEDRINHO OU EQUIVALENTE DA REGIAO, ACABAMENTO PARA FORRO PAULISTA, *2,5 X 2,5* CM</t>
  </si>
  <si>
    <t>MEIA CANA DE MADEIRA PINUS OU EQUIVALENTE DA REGIAO, ACABAMENTO PARA FORRO PAULISTA, *2,5 X 2,5* CM</t>
  </si>
  <si>
    <t>MEIA CANALETA DE CONCRETO ESTRUTURAL 14 X 19 X 19 CM, FBK 14 MPA (NBR 6136)</t>
  </si>
  <si>
    <t>MEIA CANALETA DE CONCRETO ESTRUTURAL 14 X 19 X 19 CM, FBK 4,5 MPA (NBR 6136)</t>
  </si>
  <si>
    <t>MEIO BLOCO DE CONCRETO ESTRUTURAL 14 X 19 X 14 CM, FBK 14 MPA (NBR 6136)</t>
  </si>
  <si>
    <t>MEIO BLOCO DE CONCRETO ESTRUTURAL 14 X 19 X 14 CM, FBK 4,5 MPA (NBR 6136)</t>
  </si>
  <si>
    <t>MEIO BLOCO DE CONCRETO ESTRUTURAL 14 X 19 X 19 CM, FBK 14 MPA (NBR 6136)</t>
  </si>
  <si>
    <t>MEIO BLOCO DE CONCRETO ESTRUTURAL 14 X 19 X 19 CM, FBK 4,5 MPA (NBR 6136)</t>
  </si>
  <si>
    <t>MEIO BLOCO DE CONCRETO ESTRUTURAL 14 X 19 X 34 CM, FBK 14 MPA (NBR 6136)</t>
  </si>
  <si>
    <t>MEIO BLOCO DE VEDACAO DE CONCRETO 14 X 19 X 19 CM (CLASSE C - NBR 6136)</t>
  </si>
  <si>
    <t>MEIO BLOCO DE VEDACAO DE CONCRETO 19 X 19 X 19 CM (CLASSE C - NBR 6136)</t>
  </si>
  <si>
    <t>MEIO BLOCO DE VEDACAO DE CONCRETO 9 X 19 X 19 CM (CLASSE C - NBR 6136)</t>
  </si>
  <si>
    <t>MEIO BLOCO DE VEDACAO DE CONCRETO APARENTE 14 X 19 X 19 CM (CLASSE C - NBR 6136)</t>
  </si>
  <si>
    <t>MEIO BLOCO DE VEDACAO DE CONCRETO APARENTE 19 X 19 X 19 CM (CLASSE C - NBR 6136)</t>
  </si>
  <si>
    <t>MEIO BLOCO DE VEDACAO DE CONCRETO APARENTE 9 X 19 X 19 CM (CLASSE C - NBR 6136)</t>
  </si>
  <si>
    <t>MEIO BLOCO ESTRUTURAL CERAMICO DE 14 X 19 X 14 CM (L X A X C) E 6,0 MPA</t>
  </si>
  <si>
    <t>MEIO BLOCO ESTRUTURAL CERAMICO DE 14 X 19 X 19 CM (L X A X C) E 6,0 MPA</t>
  </si>
  <si>
    <t>MEIO-FIO OU GUIA DE CONCRETO PRE MOLDADO, COMP 1 M, *30 X 10/12* CM (H X L1/L2)</t>
  </si>
  <si>
    <t>MEIO-FIO OU GUIA DE CONCRETO PRE MOLDADO, COMP 80 CM, *30 X 10/10* (H X L1/L2)</t>
  </si>
  <si>
    <t>MEIO-FIO OU GUIA DE CONCRETO PRE-MOLDADO, COMP *39* CM, *19 X 6,5/6,5* CM (H X L1/L2)</t>
  </si>
  <si>
    <t>MEIO-FIO OU GUIA DE CONCRETO PRE-MOLDADO, COMP 1 M, *20 X 12/15* CM (H X L1/L2)</t>
  </si>
  <si>
    <t>MEIO-FIO OU GUIA DE CONCRETO PRE-MOLDADO, COMP 80 CM, *25 X 08/08* CM (H X L1/L2)</t>
  </si>
  <si>
    <t>MEIO-FIO OU GUIA DE CONCRETO PRE-MOLDADO, TIPO CHAPEU PARA BOCA DE LOBO, DIMENSOES *1,20* X 0,15 X 0,30 M</t>
  </si>
  <si>
    <t>MEIO-FIO OU GUIA DE CONCRETO, PRE-MOLDADO, COMP 1 M, *30 X 12/15* CM (H X L1/L2)</t>
  </si>
  <si>
    <t>MEIO-FIO OU GUIA DE CONCRETO, PRE-MOLDADO, COMP 1 M, *30 X 15* CM (H X L)</t>
  </si>
  <si>
    <t>MEIO-FIO OU GUIA DE CONCRETO, PRE-MOLDADO, COMP 80 CM, *45 X 12/18* CM (H X L1/L2)</t>
  </si>
  <si>
    <t>MEMBRANA IMPERMEABILIZANTE A BASE DE POLIUREIA, BICOMPONENTE, APLICACAO A FRIO</t>
  </si>
  <si>
    <t>MEMBRANA IMPERMEABILIZANTE A BASE DE POLIURETANO</t>
  </si>
  <si>
    <t>MEMBRANA IMPERMEABILIZANTE ACRILICA MONOCOMPONENTE</t>
  </si>
  <si>
    <t>MESA VIBRATORIA COM DIMENSOES DE 2,0 X 1,0 M, COM MOTOR ELETRICO DE 2 POLOS E POTENCIA DE 3 CV</t>
  </si>
  <si>
    <t>MESTRE DE OBRAS (HORISTA)</t>
  </si>
  <si>
    <t>MESTRE DE OBRAS (MENSALISTA)</t>
  </si>
  <si>
    <t>METACAULIM DE ALTA REATIVIDADE/CAULIM CALCINADO</t>
  </si>
  <si>
    <t>MICROESFERAS DE VIDRO PARA SINALIZACAO HORIZONTAL VIARIA, TIPO I-B (PREMIX) - NBR 16184</t>
  </si>
  <si>
    <t>MICROESFERAS DE VIDRO PARA SINALIZACAO HORIZONTAL VIARIA, TIPO II-A (DROP-ON) - NBR 16184</t>
  </si>
  <si>
    <t>MICTORIO COLETIVO ACO INOX (AISI 304), E = 0,8 MM, DE *100 X 40 X 30* CM (C X A X P)</t>
  </si>
  <si>
    <t>MICTORIO COLETIVO ACO INOX (AISI 304), E = 0,8 MM, DE *100 X 50 X 35* CM (C X A X P)</t>
  </si>
  <si>
    <t>MICTORIO INDIVIDUAL ACO INOX (AISI 304), E = 0,8 MM, DE *50 X 45 X 35* (C X A X P)</t>
  </si>
  <si>
    <t>MICTORIO INDIVIDUAL, SIFONADO, DE LOUCA BRANCA, SEM COMPLEMENTOS</t>
  </si>
  <si>
    <t>MICTORIO INDIVIDUAL, SIFONADO, VALVULA EMBUTIDA, DE LOUCA BRANCA, SEM COMPLEMENTOS - PADRAO ALTO</t>
  </si>
  <si>
    <t>MINICAPTOR, EM ACO GALVANIZADO A FOGO, FIXACAO COM ROSCA SOBERBA OU MECANICA, H=300 MM X DN=10 MM</t>
  </si>
  <si>
    <t>MINICAPTOR, EM ACO GALVANIZADO A FOGO, FIXACAO COM ROSCA SOBERBA OU MECANICA, H=600 MM X DN=10 MM</t>
  </si>
  <si>
    <t>MINICAPTOR, EM ACO GALVANIZADO A FOGO, FIXACAO HORIZONTAL COM BANDEIRA A 20 CM, H=300 MM E X DN=10 MM</t>
  </si>
  <si>
    <t>MINICAPTOR, EM ACO GALVANIZADO A FOGO, FIXACAO HORIZONTAL COM BANDEIRA A 20 CM, H=600 MM E X DN=10 MM</t>
  </si>
  <si>
    <t>MINICAPTOR, EM ACO GALVANIZADO A FOGO, FIXACAO HORIZONTAL DE 1 FUROS, SEM BANDEIRA, H=300 MM X DN=10 MM</t>
  </si>
  <si>
    <t>MINICAPTOR, EM ACO GALVANIZADO A FOGO, FIXACAO HORIZONTAL DE 2 FUROS, SEM BANDEIRA, H=600 MM X DN=10 MM</t>
  </si>
  <si>
    <t>MINICAPTORES DE INSERCAO, EM ACO GALVANIZADO A FOGO, H=300 MM X DN=10 MM</t>
  </si>
  <si>
    <t>MINICAPTORES DE INSERCAO, EM ACO GALVANIZADO A FOGO, H=600,MM X DN=10,MM</t>
  </si>
  <si>
    <t>MINICARREGADEIRA SOBRE RODAS, POTENCIA LIQUIDA DE *47* HP, CAPACIDADE NOMINAL DE OPERACAO DE *646* KG</t>
  </si>
  <si>
    <t>MINIESCAVADEIRA SOBRE ESTEIRAS, POTENCIA LIQUIDA DE *30* HP, PESO OPERACIONAL DE *3.500* KG</t>
  </si>
  <si>
    <t>MISTURADOR DE ARGAMASSA, EIXO HORIZONTAL, CAPACIDADE DE MISTURA 160 KG, MOTOR ELETRICO TRIFASICO 220/380 V, POTENCIA 3 CV</t>
  </si>
  <si>
    <t>MISTURADOR DE ARGAMASSA, EIXO HORIZONTAL, CAPACIDADE DE MISTURA 300 KG, MOTOR ELETRICO TRIFASICO 220/380 V, POTENCIA 5 CV</t>
  </si>
  <si>
    <t>MISTURADOR DE ARGAMASSA, EIXO HORIZONTAL, CAPACIDADE DE MISTURA 600 KG, MOTOR ELETRICO TRIFASICO 220/380 V, POTENCIA 7,5 CV</t>
  </si>
  <si>
    <t>MISTURADOR DE METAL CROMADO DE PAREDE PARA LAVATORIO</t>
  </si>
  <si>
    <t>MISTURADOR DE METAL CROMADO, DE MESA/BANCADA, COM BICA BAIXA, PARA LAVATORIO</t>
  </si>
  <si>
    <t>MISTURADOR DE PAREDE, DE METAL CROMADO, PARA COZINHA, BICA ALTA MOVEL, COM AREJADOR ARTICULADO</t>
  </si>
  <si>
    <t>MISTURADOR DUPLO HORIZONTAL DE ALTA TURBULENCIA, CAPACIDADE / VOLUME 2 X 500 LITROS, MOTORES ELETRICOS MINIMO 5 CV CADA, PARA NATA CIMENTO, ARGAMASSA E OUTROS</t>
  </si>
  <si>
    <t>MISTURADOR MANUAL DE TINTAS PARA FURADEIRA, HASTE METALICA *60* CM, COM HELICE (MEXEDOR DE TINTA)</t>
  </si>
  <si>
    <t>MISTURADOR METALICO, BASE PARA CHUVEIRO/BANHEIRA, 1/2" OU 3/4", SOLDAVEL OU ROSCAVEL (NAO INCLUI ACABAMENTOS)</t>
  </si>
  <si>
    <t>MISTURADOR MONOCOMANDO PARA CHUVEIRO, BASE BRUTA, METALICO COM ACABAMENTO CROMADO</t>
  </si>
  <si>
    <t>MOLA HIDRAULICA AEREA, PARA PORTAS DE ATE 1.100 MM E PESO DE ATE 85 KG, COM CORPO EM ALUMINIO E BRACO EM ACO, SEM BRACO DE PARADA</t>
  </si>
  <si>
    <t>MOLA HIDRAULICA AEREA, PARA PORTAS DE ATE 850 MM E PESO DE ATE 50 KG, COM CORPO EM ALUMINIO E BRACO EM ACO, SEM BRACO DE PARADA</t>
  </si>
  <si>
    <t>MOLA HIDRAULICA AEREA, PARA PORTAS DE ATE 950 MM E PESO DE ATE 65 KG, COM CORPO EM ALUMINIO E BRACO EM ACO, SEM BRACO DE PARADA</t>
  </si>
  <si>
    <t>MOLA HIDRAULICA DE PISO, PARA PORTAS DE ATE 1100 MM E PESO DE ATE 120 KG, COM CORPO EM ACO INOX</t>
  </si>
  <si>
    <t>MONTADOR DE ELETROELETRONICOS (HORISTA)</t>
  </si>
  <si>
    <t>MONTADOR DE ELETROELETRONICOS (MENSALISTA)</t>
  </si>
  <si>
    <t>MONTADOR DE ESTRUTURAS METALICAS (MENSALISTA)</t>
  </si>
  <si>
    <t>MONTADOR DE ESTRUTURAS METALICAS HORISTA</t>
  </si>
  <si>
    <t>MONTADOR DE MAQUINAS (HORISTA)</t>
  </si>
  <si>
    <t>MONTADOR DE MAQUINAS (MENSALISTA)</t>
  </si>
  <si>
    <t>MOTOBOMBA CENTRIFUGA, MOTOR A GASOLINA, POTENCIA 5,42 HP, BOCAIS 1 1/2" X 1", DIAMETRO ROTOR 143 MM HM/Q = 6 MCA / 16,8 M3/H A 38 MCA / 6,6 M3/H</t>
  </si>
  <si>
    <t>MOTOBOMBA TRASH (PARA AGUA SUJA) AUTO ESCORVANTE, MOTOR GASOLINA DE 6,41 HP, DIAMETROS DE SUCCAO X RECALQUE: 3" X 3", HM/Q: 10/60 A 23/0</t>
  </si>
  <si>
    <t>MOTONIVELADORA POTENCIA BASICA LIQUIDA (PRIMEIRA MARCHA) 125 HP, PESO BRUTO 13843 KG, LARGURA DA LAMINA DE 3,7 M</t>
  </si>
  <si>
    <t>MOTORISTA DE CAMINHAO (HORISTA)</t>
  </si>
  <si>
    <t>MOTORISTA DE CAMINHAO (MENSALISTA)</t>
  </si>
  <si>
    <t>MOTORISTA DE CAMINHAO BETONEIRA (HORISTA)</t>
  </si>
  <si>
    <t>MOTORISTA DE CAMINHAO-BASCULANTE (HORISTA)</t>
  </si>
  <si>
    <t>MOTORISTA DE CAMINHAO-BASCULANTE (MENSALISTA)</t>
  </si>
  <si>
    <t>MOTORISTA DE CAMINHAO-CARRETA (HORISTA)</t>
  </si>
  <si>
    <t>MOTORISTA DE CAMINHAO-CARRETA (MENSALISTA)</t>
  </si>
  <si>
    <t>MOTORISTA DE CARRO DE PASSEIO (HORISTA)</t>
  </si>
  <si>
    <t>MOTORISTA DE CARRO DE PASSEIO (MENSALISTA)</t>
  </si>
  <si>
    <t>MOTORISTA OPERADOR DE CAMINHAO COM MUNCK (HORISTA)</t>
  </si>
  <si>
    <t>MOTORISTA OPERADOR DE CAMINHAO COM MUNCK (MENSALISTA)</t>
  </si>
  <si>
    <t>MOURAO CONCRETO CURVO, SECAO "T", H = 2,80 M + CURVA COM 0,45 M, COM FUROS PARA FIOS</t>
  </si>
  <si>
    <t>MOURAO DE CONCRETO CURVO, *10 X 10* CM, H= *2,60* M + CURVA DE 0,40 M</t>
  </si>
  <si>
    <t>MOURAO DE CONCRETO RETO, SECAO QUADRADA *10 X 10* CM, H= *2,30* M</t>
  </si>
  <si>
    <t>MOURAO DE CONCRETO RETO, SECAO QUADRADA, *10 X 10* CM, H= 3,00 M</t>
  </si>
  <si>
    <t>MOURAO DE CONCRETO RETO, TIPO ESTICADOR, *10 X 10* CM, H= 2,50 M</t>
  </si>
  <si>
    <t>MOURAO ROLICO DE MADEIRA TRATADA, D = 16 A 20 CM, H = 2,20 M, EM EUCALIPTO OU EQUIVALENTE DA REGIAO (PARA CERCA)</t>
  </si>
  <si>
    <t>MOURAO ROLICO DE MADEIRA TRATADA, D = 8 A 11 CM, H = 2,20 M, EM EUCALIPTO OU EQUIVALENTE DA REGIAO (PARA CERCA)</t>
  </si>
  <si>
    <t>MUDA DE ARBUSTO FLORIFERO, CLUSIA/GARDENIA/MOREIA BRANCA/ AZALEIA OU EQUIVALENTE DA REGIAO, H= *50 A 70* CM</t>
  </si>
  <si>
    <t>MUDA DE ARBUSTO FOLHAGEM, SANSAO-DO-CAMPO OU EQUIVALENTE DA REGIAO, H= *50 A 70* CM</t>
  </si>
  <si>
    <t>MUDA DE ARBUSTO, BUXINHO, H= *50* CM</t>
  </si>
  <si>
    <t>MUDA DE ARBUSTO, PINGO DE OURO/ VIOLETEIRA, H = *10 A 20* CM</t>
  </si>
  <si>
    <t>MUDA DE ARVORE ORNAMENTAL, OITI/AROEIRA SALSA/ANGICO/IPE/JACARANDA OU EQUIVALENTE DA REGIAO, H= *1* M</t>
  </si>
  <si>
    <t>MUDA DE ARVORE ORNAMENTAL, OITI/AROEIRA SALSA/ANGICO/IPE/JACARANDA OU EQUIVALENTE DA REGIAO, H= *2* M</t>
  </si>
  <si>
    <t>MUDA DE PALMEIRA ARECA, H= *1,50* M</t>
  </si>
  <si>
    <t>MUDA DE RASTEIRA/FORRACAO, AMENDOIM RASTEIRO/ONZE HORAS/AZULZINHA/IMPATIENS OU EQUIVALENTE DA REGIAO</t>
  </si>
  <si>
    <t>MULTIEXERCITADOR COM SEIS FUNCOES, EM TUBO DE ACO CARBONO, PINTURA NO PROCESSO ELETROSTATICO - EQUIPAMENTO DE GINASTICA PARA ACADEMIA AO AR LIVRE / ACADEMIA DA TERCEIRA IDADE - ATI</t>
  </si>
  <si>
    <t>NIPLE DE FERRO GALVANIZADO, COM ROSCA BSP, DE 1 1/2"</t>
  </si>
  <si>
    <t>NIPLE DE FERRO GALVANIZADO, COM ROSCA BSP, DE 1 1/4"</t>
  </si>
  <si>
    <t>NIPLE DE FERRO GALVANIZADO, COM ROSCA BSP, DE 1"</t>
  </si>
  <si>
    <t>NIPLE DE FERRO GALVANIZADO, COM ROSCA BSP, DE 1/2"</t>
  </si>
  <si>
    <t>NIPLE DE FERRO GALVANIZADO, COM ROSCA BSP, DE 2 1/2"</t>
  </si>
  <si>
    <t>NIPLE DE FERRO GALVANIZADO, COM ROSCA BSP, DE 2"</t>
  </si>
  <si>
    <t>NIPLE DE FERRO GALVANIZADO, COM ROSCA BSP, DE 3"</t>
  </si>
  <si>
    <t>NIPLE DE FERRO GALVANIZADO, COM ROSCA BSP, DE 3/4"</t>
  </si>
  <si>
    <t>NIPLE DE FERRO GALVANIZADO, COM ROSCA BSP, DE 4"</t>
  </si>
  <si>
    <t>NIPLE DE FERRO GALVANIZADO, COM ROSCA BSP, DE 5"</t>
  </si>
  <si>
    <t>NIPLE DE FERRO GALVANIZADO, COM ROSCA BSP, DE 6"</t>
  </si>
  <si>
    <t>NIPLE DE REDUCAO DE FERRO GALVANIZADO, COM ROSCA BSP, DE 1 1/2" X 1 1/4"</t>
  </si>
  <si>
    <t>NIPLE DE REDUCAO DE FERRO GALVANIZADO, COM ROSCA BSP, DE 1 1/2" X 1"</t>
  </si>
  <si>
    <t>NIPLE DE REDUCAO DE FERRO GALVANIZADO, COM ROSCA BSP, DE 1 1/2" X 3/4"</t>
  </si>
  <si>
    <t>NIPLE DE REDUCAO DE FERRO GALVANIZADO, COM ROSCA BSP, DE 1 1/4" X 1"</t>
  </si>
  <si>
    <t>NIPLE DE REDUCAO DE FERRO GALVANIZADO, COM ROSCA BSP, DE 1 1/4" X 1/2"</t>
  </si>
  <si>
    <t>NIPLE DE REDUCAO DE FERRO GALVANIZADO, COM ROSCA BSP, DE 1 1/4" X 3/4"</t>
  </si>
  <si>
    <t>NIPLE DE REDUCAO DE FERRO GALVANIZADO, COM ROSCA BSP, DE 1" X 1/2"</t>
  </si>
  <si>
    <t>NIPLE DE REDUCAO DE FERRO GALVANIZADO, COM ROSCA BSP, DE 1" X 3/4"</t>
  </si>
  <si>
    <t>NIPLE DE REDUCAO DE FERRO GALVANIZADO, COM ROSCA BSP, DE 1/2" X 1/4"</t>
  </si>
  <si>
    <t>NIPLE DE REDUCAO DE FERRO GALVANIZADO, COM ROSCA BSP, DE 2 1/2" X 2"</t>
  </si>
  <si>
    <t>NIPLE DE REDUCAO DE FERRO GALVANIZADO, COM ROSCA BSP, DE 2" X 1 1/2"</t>
  </si>
  <si>
    <t>NIPLE DE REDUCAO DE FERRO GALVANIZADO, COM ROSCA BSP, DE 2" X 1 1/4"</t>
  </si>
  <si>
    <t>NIPLE DE REDUCAO DE FERRO GALVANIZADO, COM ROSCA BSP, DE 2" X 1"</t>
  </si>
  <si>
    <t>NIPLE DE REDUCAO DE FERRO GALVANIZADO, COM ROSCA BSP, DE 3" X 2 1/2"</t>
  </si>
  <si>
    <t>NIPLE DE REDUCAO DE FERRO GALVANIZADO, COM ROSCA BSP, DE 3" X 2"</t>
  </si>
  <si>
    <t>NIPLE DE REDUCAO DE FERRO GALVANIZADO, COM ROSCA BSP, DE 3/4" X 1/2"</t>
  </si>
  <si>
    <t>NIPLE SEXTAVADO EM ACO CARBONO, COM ROSCA BSP, PRESSAO 3.000 LBS, DN 1 1/2"</t>
  </si>
  <si>
    <t>NIPLE SEXTAVADO EM ACO CARBONO, COM ROSCA BSP, PRESSAO 3.000 LBS, DN 1 1/4"</t>
  </si>
  <si>
    <t>NIPLE SEXTAVADO EM ACO CARBONO, COM ROSCA BSP, PRESSAO 3.000 LBS, DN 1"</t>
  </si>
  <si>
    <t>NIPLE SEXTAVADO EM ACO CARBONO, COM ROSCA BSP, PRESSAO 3.000 LBS, DN 1/2"</t>
  </si>
  <si>
    <t>NIPLE SEXTAVADO EM ACO CARBONO, COM ROSCA BSP, PRESSAO 3.000 LBS, DN 2 1/2"</t>
  </si>
  <si>
    <t>NIPLE SEXTAVADO EM ACO CARBONO, COM ROSCA BSP, PRESSAO 3.000 LBS, DN 2"</t>
  </si>
  <si>
    <t>NIPLE SEXTAVADO EM ACO CARBONO, COM ROSCA BSP, PRESSAO 3.000 LBS, DN 3/4"</t>
  </si>
  <si>
    <t>NIVEL DE ALUMINIO 350 MM (14"), COM 3 BOLHAS</t>
  </si>
  <si>
    <t>NIVELADOR (HORISTA)</t>
  </si>
  <si>
    <t>NIVELADOR (MENSALISTA)</t>
  </si>
  <si>
    <t>NUMERO / ALGARISMO PARA RESIDENCIA (FACHADA), EM ZAMAC, COM ALTURA DE APROX *45* MM, INCLUSIVE PARAFUSOS</t>
  </si>
  <si>
    <t>NUMERO / ALGARISMO PARA RESIDENCIA (FACHADA), EM ZAMAC, COM ALTURA DE APROX 125 MM, INCLUSIVE PARAFUSOS</t>
  </si>
  <si>
    <t>OCULOS DE SEGURANCA CONTRA IMPACTOS COM LENTE INCOLOR, ARMACAO NYLON, COM PROTECAO UVA E UVB</t>
  </si>
  <si>
    <t>OCULOS DE SOLDA COM ESCURECIMENTO AUTOMATICO</t>
  </si>
  <si>
    <t>OLEO DIESEL COMBUSTIVEL COMUM METROPOLITANO S-10 OU S-500</t>
  </si>
  <si>
    <t>OLEO LUBRIFICANTE MINERAL MONOVISCOSO, SAE 40, PARA MOTORES DE EQUIPAMENTOS PESADOS (CAMINHOES, TRATORES, RETROS E ETC)</t>
  </si>
  <si>
    <t>OLHO MAGICO PARA PORTAS, EM LATAO, COM LENTE DE POLICARBONATO, ANGULO DE *200* GRAUS, ESPESSURA ENTRE *25 E 46* MM, INCLUINDO FECHO JANELA</t>
  </si>
  <si>
    <t>OPERADOR DE BATE-ESTACAS (HORISTA)</t>
  </si>
  <si>
    <t>OPERADOR DE BATE-ESTACAS (MENSALISTA)</t>
  </si>
  <si>
    <t>OPERADOR DE BETONEIRA (CAMINHAO) (MENSALISTA)</t>
  </si>
  <si>
    <t>OPERADOR DE BETONEIRA ESTACIONARIA / MISTURADOR (HORISTA)</t>
  </si>
  <si>
    <t>OPERADOR DE BETONEIRA ESTACIONARIA / MISTURADOR (MENSALISTA)</t>
  </si>
  <si>
    <t>OPERADOR DE COMPRESSOR DE AR OU COMPRESSORISTA (HORISTA)</t>
  </si>
  <si>
    <t>OPERADOR DE COMPRESSOR DE AR OU COMPRESSORISTA (MENSALISTA)</t>
  </si>
  <si>
    <t>OPERADOR DE DEMARCADORA DE FAIXAS DE TRAFEGO (HORISTA)</t>
  </si>
  <si>
    <t>OPERADOR DE DEMARCADORA DE FAIXAS DE TRAFEGO (MENSALISTA)</t>
  </si>
  <si>
    <t>OPERADOR DE ESCAVADEIRA (HORISTA)</t>
  </si>
  <si>
    <t>OPERADOR DE ESCAVADEIRA (MENSALISTA)</t>
  </si>
  <si>
    <t>OPERADOR DE GUINCHO OU GUINCHEIRO (HORISTA)</t>
  </si>
  <si>
    <t>OPERADOR DE GUINCHO OU GUINCHEIRO (MENSALISTA)</t>
  </si>
  <si>
    <t>OPERADOR DE GUINDASTE (HORISTA)</t>
  </si>
  <si>
    <t>OPERADOR DE GUINDASTE (MENSALISTA)</t>
  </si>
  <si>
    <t>OPERADOR DE JATO ABRASIVO OU JATISTA (HORISTA)</t>
  </si>
  <si>
    <t>OPERADOR DE JATO ABRASIVO OU JATISTA (MENSALISTA)</t>
  </si>
  <si>
    <t>OPERADOR DE MAQUINAS E TRATORES DIVERSOS - TERRAPLANAGEM (HORISTA)</t>
  </si>
  <si>
    <t>OPERADOR DE MAQUINAS E TRATORES DIVERSOS - TERRAPLANAGEM (MENSALISTA)</t>
  </si>
  <si>
    <t>OPERADOR DE MARTELETE OU MARTELETEIRO (HORISTA)</t>
  </si>
  <si>
    <t>OPERADOR DE MARTELETE OU MARTELETEIRO (MENSALISTA)</t>
  </si>
  <si>
    <t>OPERADOR DE MOTO SCRAPER (HORISTA)</t>
  </si>
  <si>
    <t>OPERADOR DE MOTO SCRAPER (MENSALISTA)</t>
  </si>
  <si>
    <t>OPERADOR DE MOTONIVELADORA (HORISTA)</t>
  </si>
  <si>
    <t>OPERADOR DE MOTONIVELADORA (MENSALISTA)</t>
  </si>
  <si>
    <t>OPERADOR DE PA CARREGADEIRA (HORISTA)</t>
  </si>
  <si>
    <t>OPERADOR DE PA CARREGADEIRA (MENSALISTA)</t>
  </si>
  <si>
    <t>OPERADOR DE PAVIMENTADORA / MESA VIBROACABADORA (HORISTA)</t>
  </si>
  <si>
    <t>OPERADOR DE PAVIMENTADORA / MESA VIBROACABADORA (MENSALISTA)</t>
  </si>
  <si>
    <t>OPERADOR DE ROLO COMPACTADOR (HORISTA)</t>
  </si>
  <si>
    <t>OPERADOR DE ROLO COMPACTADOR (MENSALISTA)</t>
  </si>
  <si>
    <t>OPERADOR DE USINA DE ASFALTO, DE SOLOS OU DE CONCRETO (HORISTA)</t>
  </si>
  <si>
    <t>OPERADOR DE USINA DE ASFALTO, DE SOLOS OU DE CONCRETO (MENSALISTA)</t>
  </si>
  <si>
    <t>OXIGENIO - RECARGA DE GAS PARA CILINDRO (NAO INCLUI TROCA/MANUTENCAO DO CILINDRO)</t>
  </si>
  <si>
    <t>PA CARREGADEIRA SOBRE RODAS, POTENCIA LIQUIDA 128 HP, CAPACIDADE DA CACAMBA DE 1,7 A 2,8 M3, PESO OPERACIONAL MAXIMO DE 11632 KG</t>
  </si>
  <si>
    <t>PA CARREGADEIRA SOBRE RODAS, POTENCIA LIQUIDA 197 HP, CAPACIDADE DA CACAMBA DE 2,5 A 3,5 M3, PESO OPERACIONAL MAXIMO DE 18338 KG</t>
  </si>
  <si>
    <t>PA DE LIXO PLASTICA, CABO LONGO</t>
  </si>
  <si>
    <t>PA QUADRADA COM CABO DE MADEIRA EM Y DE 71 CM</t>
  </si>
  <si>
    <t>PAINEL DE LA DE VIDRO SEM REVESTIMENTO PSI 20, E = 25 MM, DE 1200 X 600 MM</t>
  </si>
  <si>
    <t>PAINEL DE LA DE VIDRO SEM REVESTIMENTO PSI 20, E = 50 MM, DE 1200 X 600 MM</t>
  </si>
  <si>
    <t>PAINEL DE LA DE VIDRO SEM REVESTIMENTO PSI 40, E = 25 MM, DE 1200 X 600 MM</t>
  </si>
  <si>
    <t>PAINEL DE LA DE VIDRO SEM REVESTIMENTO PSI 40, E = 50 MM, DE 1200 X 600 MM</t>
  </si>
  <si>
    <t>PAINEL ESTRUTURAL PARA LAJE SECA REVESTIDO EM PLACA CIMENTICIA, DE *1,20 X 2,50* M, E = 55 MM</t>
  </si>
  <si>
    <t>PAINEL ESTRUTURAL PARA LAJE SECA REVESTIDO EM PLACA CIMENTICIA, DE 1,20 X 2,50 M, E = 23 MM</t>
  </si>
  <si>
    <t>PAINEL ESTRUTURAL PARA LAJE SECA REVESTIDO EM PLACA CIMENTICIA, DE 1,20 X 2,50 M, E = 40 MM</t>
  </si>
  <si>
    <t>PAINEL TERMOISOLANTE PARA FECHAMENTOS VERTICAIS (INCLUI PARAFUSOS DE FIXACAO) REVESTIDO EM ACO GALVALUME, LARGURA UTIL DE 1100 MM, REVESTIMENTO COM ESPESSURA DE 0,50 MM, COM PRE-PINTURA NAS DUAS FACES, NUCLEO EM POLIURETANO (PUR) COM ESPESSURA 40/50 MM</t>
  </si>
  <si>
    <t>PAINEL TERMOISOLANTE PARA FECHAMENTOS VERTICAIS (INCLUI PARAFUSOS DE FIXACAO) REVESTIDO EM ACO GALVALUME, LARGURA UTIL DE 1100 MM, REVESTIMENTO COM ESPESSURA DE 0,50 MM, COM PRE-PINTURA NAS DUAS FACES, NUCLEO EM POLIURETANO (PUR) COM ESPESSURA 70/80 MM</t>
  </si>
  <si>
    <t>PAPEL KRAFT BETUMADO</t>
  </si>
  <si>
    <t>PAPELEIRA DE PAREDE EM METAL CROMADO SEM TAMPA</t>
  </si>
  <si>
    <t>PAPELEIRA PLASTICA TIPO DISPENSER PARA PAPEL HIGIENICO ROLAO</t>
  </si>
  <si>
    <t>PAR DE TABELAS DE BASQUETE EM COMPENSADO NAVAL, OFICIAL, 1800 X 1200 MM, INCLUINDO ARO DE METAL E REDE EM POLIPROPILENO 100% (SEM SUPORTE DE FIXACAO)</t>
  </si>
  <si>
    <t>PARA-RAIOS DE DISTRIBUICAO, TENSAO NOMINAL 15 KV, CORRENTE NOMINAL DE DESCARGA 5 KA</t>
  </si>
  <si>
    <t>PARA-RAIOS DE DISTRIBUICAO, TENSAO NOMINAL 30 KV, CORRENTE NOMINAL DE DESCARGA 10 KA</t>
  </si>
  <si>
    <t>PARA-RAIOS TIPO FRANKLIN 350 MM, EM LATAO CROMADO, DUAS DESCIDAS, PARA PROTECAO DE EDIFICACOES CONTRA DESCARGAS ATMOSFERICAS</t>
  </si>
  <si>
    <t>PARAFUSO CABECA TROMBETA E PONTA AGULHA (GN55), COMPRIMENTO 55 MM, EM ACO FOSFATIZADO, PARA FIXAR CHAPA DE GESSO EM PERFIL DRYWALL METALICO MAXIMO 0,7 MM</t>
  </si>
  <si>
    <t>PARAFUSO DE ACO ZINCADO COM ROSCA SOBERBA, CABECA CHATA E FENDA SIMPLES, DIAMETRO 2,5 MM, COMPRIMENTO * 9,5 * MM</t>
  </si>
  <si>
    <t>PARAFUSO DE ACO ZINCADO COM ROSCA SOBERBA, CABECA CHATA E FENDA SIMPLES, DIAMETRO 4,2 MM, COMPRIMENTO * 32 * MM</t>
  </si>
  <si>
    <t>PARAFUSO DE ACO ZINCADO COM ROSCA SOBERBA, CABECA CHATA E FENDA SIMPLES, DIAMETRO 4,8 MM, COMPRIMENTO 45 MM</t>
  </si>
  <si>
    <t>PARAFUSO DE ACO ZINCADO, SEXTAVADO, COM ROSCA INTEIRA, DIAMETRO 5/16", COMPRIMENTO 3/4", COM PORCA E ARRUELA LISA LEVE</t>
  </si>
  <si>
    <t>PARAFUSO DE ACO ZINCADO, SEXTAVADO, COM ROSCA SOBERBA, DIAMETRO 3/8", COMPRIMENTO 80 MM</t>
  </si>
  <si>
    <t>PARAFUSO DE ACO ZINCADO, TIPO CHUMBADOR PARABOLT, DIAMETRO 1/2", COMPRIMENTO 75 MM</t>
  </si>
  <si>
    <t>PARAFUSO DE ACO ZINCADO, TIPO CHUMBADOR PARABOLT, DIAMETRO 3/8", COMPRIMENTO 75 MM</t>
  </si>
  <si>
    <t>PARAFUSO DE FERRO POLIDO, SEXTAVADO, COM ROSCA PARCIAL, DIAMETRO 5/8", COMPRIMENTO 6", COM PORCA E ARRUELA DE PRESSAO MEDIA</t>
  </si>
  <si>
    <t>PARAFUSO DE LATAO COM ACABAMENTO CROMADO PARA FIXAR PECA SANITARIA, INCLUI PORCA CEGA, ARRUELA E BUCHA DE NYLON TAMANHO S-10</t>
  </si>
  <si>
    <t>PARAFUSO DE LATAO COM ROSCA SOBERBA, CABECA CHATA E FENDA SIMPLES, DIAMETRO 2,5 MM, COMPRIMENTO 12 MM</t>
  </si>
  <si>
    <t>PARAFUSO DE LATAO COM ROSCA SOBERBA, CABECA CHATA E FENDA SIMPLES, DIAMETRO 3,2 MM, COMPRIMENTO 16 MM</t>
  </si>
  <si>
    <t>PARAFUSO DE LATAO COM ROSCA SOBERBA, CABECA CHATA E FENDA SIMPLES, DIAMETRO 4,8 MM, COMPRIMENTO 65 MM</t>
  </si>
  <si>
    <t>PARAFUSO DRY WALL, EM ACO FOSFATIZADO, CABECA TROMBETA E PONTA AGULHA (TA), COMPRIMENTO 25 MM</t>
  </si>
  <si>
    <t>PARAFUSO DRY WALL, EM ACO FOSFATIZADO, CABECA TROMBETA E PONTA AGULHA (TA), COMPRIMENTO 35 MM</t>
  </si>
  <si>
    <t>PARAFUSO DRY WALL, EM ACO FOSFATIZADO, CABECA TROMBETA E PONTA AGULHA (TA), COMPRIMENTO 45 MM</t>
  </si>
  <si>
    <t>PARAFUSO DRY WALL, EM ACO FOSFATIZADO, CABECA TROMBETA E PONTA BROCA (TB), COMPRIMENTO 25 MM</t>
  </si>
  <si>
    <t>PARAFUSO DRY WALL, EM ACO FOSFATIZADO, CABECA TROMBETA E PONTA BROCA (TB), COMPRIMENTO 35 MM</t>
  </si>
  <si>
    <t>PARAFUSO DRY WALL, EM ACO FOSFATIZADO, CABECA TROMBETA E PONTA BROCA (TB), COMPRIMENTO 45 MM</t>
  </si>
  <si>
    <t>PARAFUSO DRY WALL, EM ACO ZINCADO, CABECA LENTILHA E PONTA AGULHA (LA), LARGURA 4,2 MM, COMPRIMENTO 13 MM</t>
  </si>
  <si>
    <t>PARAFUSO DRY WALL, EM ACO ZINCADO, CABECA LENTILHA E PONTA BROCA (LB), LARGURA 4,2 MM, COMPRIMENTO 13 MM</t>
  </si>
  <si>
    <t>PARAFUSO EM ACO GALVANIZADO, TIPO MAQUINA, SEXTAVADO, SEM PORCA, DIAMETRO 1/2", COMPRIMENTO 2"</t>
  </si>
  <si>
    <t>PARAFUSO FRANCES M16 EM ACO GALVANIZADO, COMPRIMENTO = 150 MM, DIAMETRO = 16 MM, CABECA ABAULADA</t>
  </si>
  <si>
    <t>PARAFUSO FRANCES M16 EM ACO GALVANIZADO, COMPRIMENTO = 45 MM, DIAMETRO = 16 MM, CABECA ABAULADA</t>
  </si>
  <si>
    <t>PARAFUSO FRANCES METRICO ZINCADO, DIAMETRO 12 MM, COMPRIMENTO 140MM, COM PORCA SEXTAVADA E ARRUELA DE PRESSAO MEDIA</t>
  </si>
  <si>
    <t>PARAFUSO FRANCES METRICO ZINCADO, DIAMETRO 12 MM, COMPRIMENTO 150 MM, COM PORCA SEXTAVADA E ARRUELA DE PRESSAO MEDIA</t>
  </si>
  <si>
    <t>PARAFUSO FRANCES ZINCADO, DIAMETRO 1/2", COMPRIMENTO 12", COM PORCA E ARRUELA LISA MEDIA</t>
  </si>
  <si>
    <t>PARAFUSO FRANCES ZINCADO, DIAMETRO 1/2", COMPRIMENTO 15", COM PORCA E ARRUELA LISA MEDIA</t>
  </si>
  <si>
    <t>PARAFUSO FRANCES ZINCADO, DIAMETRO 1/2", COMPRIMENTO 2", COM PORCA E ARRUELA</t>
  </si>
  <si>
    <t>PARAFUSO FRANCES ZINCADO, DIAMETRO 1/2", COMPRIMENTO 4", COM PORCA E ARRUELA</t>
  </si>
  <si>
    <t>PARAFUSO M16 EM ACO GALVANIZADO, COMPRIMENTO = 125 MM, DIAMETRO = 16 MM, ROSCA MAQUINA, CABECA QUADRADA</t>
  </si>
  <si>
    <t>PARAFUSO M16 EM ACO GALVANIZADO, COMPRIMENTO = 150 MM, DIAMETRO = 16 MM, ROSCA MAQUINA, CABECA QUADRADA</t>
  </si>
  <si>
    <t>PARAFUSO M16 EM ACO GALVANIZADO, COMPRIMENTO = 200 MM, DIAMETRO = 16 MM, ROSCA MAQUINA, CABECA QUADRADA</t>
  </si>
  <si>
    <t>PARAFUSO M16 EM ACO GALVANIZADO, COMPRIMENTO = 250 MM, DIAMETRO = 16 MM, ROSCA MAQUINA, CABECA QUADRADA</t>
  </si>
  <si>
    <t>PARAFUSO M16 EM ACO GALVANIZADO, COMPRIMENTO = 300 MM, DIAMETRO = 16 MM, ROSCA DUPLA</t>
  </si>
  <si>
    <t>PARAFUSO M16 EM ACO GALVANIZADO, COMPRIMENTO = 300 MM, DIAMETRO = 16 MM, ROSCA MAQUINA, CABECA QUADRADA</t>
  </si>
  <si>
    <t>PARAFUSO M16 EM ACO GALVANIZADO, COMPRIMENTO = 350 MM, DIAMETRO = 16 MM, ROSCA MAQUINA, CABECA QUADRADA</t>
  </si>
  <si>
    <t>PARAFUSO M16 EM ACO GALVANIZADO, COMPRIMENTO = 400 MM, DIAMETRO = 16 MM, ROSCA DUPLA</t>
  </si>
  <si>
    <t>PARAFUSO M16 EM ACO GALVANIZADO, COMPRIMENTO = 450 MM, DIAMETRO = 16 MM, ROSCA MAQUINA, CABECA QUADRADA</t>
  </si>
  <si>
    <t>PARAFUSO M16 EM ACO GALVANIZADO, COMPRIMENTO = 500 MM, DIAMETRO = 16 MM, ROSCA MAQUINA, COM CABECA SEXTAVADA E PORCA</t>
  </si>
  <si>
    <t>PARAFUSO NIQUELADO 3 1/2" COM ACABAMENTO CROMADO PARA FIXAR PECA SANITARIA, INCLUI PORCA CEGA, ARRUELA E BUCHA DE NYLON TAMANHO S-8</t>
  </si>
  <si>
    <t>PARAFUSO NIQUELADO COM ACABAMENTO CROMADO PARA FIXAR PECA SANITARIA, INCLUI PORCA CEGA, ARRUELA E BUCHA DE NYLON TAMANHO S-10</t>
  </si>
  <si>
    <t>PARAFUSO ROSCA SOBERBA ZINCADO CABECA CHATA FENDA SIMPLES 3,2 X 20 MM (3/4")</t>
  </si>
  <si>
    <t>PARAFUSO ROSCA SOBERBA ZINCADO CABECA CHATA FENDA SIMPLES 3,5 X 25 MM (1")</t>
  </si>
  <si>
    <t>PARAFUSO ROSCA SOBERBA ZINCADO CABECA CHATA FENDA SIMPLES 3,8 X 30 MM (1.1/4")</t>
  </si>
  <si>
    <t>PARAFUSO ROSCA SOBERBA ZINCADO CABECA CHATA FENDA SIMPLES 4,8 X 40 MM (1.1/2")</t>
  </si>
  <si>
    <t>PARAFUSO ROSCA SOBERBA ZINCADO CABECA CHATA FENDA SIMPLES 5,5 X 50 MM (2")</t>
  </si>
  <si>
    <t>PARAFUSO ROSCA SOBERBA ZINCADO CABECA CHATA FENDA SIMPLES 5,5 X 65 MM (2.1/2")</t>
  </si>
  <si>
    <t>PARAFUSO ZINCADO 5/16" X 250 MM PARA FIXACAO DE TELHA DE FIBROCIMENTO CANALETE 49, INCLUI BUCHA NYLON S-10</t>
  </si>
  <si>
    <t>PARAFUSO ZINCADO 5/16" X 85 MM PARA FIXACAO DE TELHA DE FIBROCIMENTO CANALETE 90, INCLUI BUCHA NYLON S-10</t>
  </si>
  <si>
    <t>PARAFUSO ZINCADO ROSCA SOBERBA 5/16" X 120 MM PARA TELHA FIBROCIMENTO</t>
  </si>
  <si>
    <t>PARAFUSO ZINCADO ROSCA SOBERBA, CABECA SEXTAVADA, 5/16" X 110 MM, PARA FIXACAO DE TELHA EM MADEIRA</t>
  </si>
  <si>
    <t>PARAFUSO ZINCADO ROSCA SOBERBA, CABECA SEXTAVADA, 5/16" X 150 MM, PARA FIXACAO DE TELHA EM MADEIRA</t>
  </si>
  <si>
    <t>PARAFUSO ZINCADO ROSCA SOBERBA, CABECA SEXTAVADA, 5/16" X 180 MM, PARA FIXACAO DE TELHA EM MADEIRA</t>
  </si>
  <si>
    <t>PARAFUSO ZINCADO ROSCA SOBERBA, CABECA SEXTAVADA, 5/16" X 200 MM, PARA FIXACAO DE TELHA EM MADEIRA</t>
  </si>
  <si>
    <t>PARAFUSO ZINCADO ROSCA SOBERBA, CABECA SEXTAVADA, 5/16" X 230 MM, PARA FIXACAO DE TELHA EM MADEIRA</t>
  </si>
  <si>
    <t>PARAFUSO ZINCADO ROSCA SOBERBA, CABECA SEXTAVADA, 5/16" X 250 MM, PARA FIXACAO DE TELHA EM MADEIRA</t>
  </si>
  <si>
    <t>PARAFUSO ZINCADO ROSCA SOBERBA, CABECA SEXTAVADA, 5/16" X 50 MM, PARA FIXACAO DE TELHA EM MADEIRA</t>
  </si>
  <si>
    <t>PARAFUSO ZINCADO ROSCA SOBERBA, CABECA SEXTAVADA, 5/16" X 85 MM, PARA FIXACAO DE TELHA EM MADEIRA</t>
  </si>
  <si>
    <t>PARAFUSO ZINCADO, SEXTAVADO, COM ROSCA INTEIRA, DIAMETRO 1/4", COMPRIMENTO 1/2"</t>
  </si>
  <si>
    <t>PARAFUSO ZINCADO, SEXTAVADO, COM ROSCA INTEIRA, DIAMETRO 3/8", COMPRIMENTO 2"</t>
  </si>
  <si>
    <t>PARAFUSO ZINCADO, SEXTAVADO, COM ROSCA INTEIRA, DIAMETRO 5/8", COMPRIMENTO 2 1/4"</t>
  </si>
  <si>
    <t>PARAFUSO ZINCADO, SEXTAVADO, COM ROSCA INTEIRA, DIAMETRO 5/8", COMPRIMENTO 3", COM PORCA E ARRUELA DE PRESSAO MEDIA</t>
  </si>
  <si>
    <t>PARAFUSO ZINCADO, SEXTAVADO, COM ROSCA SOBERBA, DIAMETRO 5/16", COMPRIMENTO 40 MM</t>
  </si>
  <si>
    <t>PARAFUSO ZINCADO, SEXTAVADO, COM ROSCA SOBERBA, DIAMETRO 5/16", COMPRIMENTO 80 MM</t>
  </si>
  <si>
    <t>PARAFUSO ZINCADO, SEXTAVADO, GRAU 5, ROSCA INTEIRA, DIAMETRO 1 1/2", COMPRIMENTO 4"</t>
  </si>
  <si>
    <t>PARAFUSO, ASTM A307 - GRAU A, SEXTAVADO, ZINCADO, DIAMETRO 3/8" (9,52 MM), COMPRIMENTO 1" (25,4 MM)</t>
  </si>
  <si>
    <t>PARAFUSO, AUTOATARRAXANTE, CABECA CHATA, FENDA SIMPLES, EM ACO ZINCADO, 1/4" (6,35 MM) X 25 MM</t>
  </si>
  <si>
    <t>PARAFUSO, COMUM, ASTM A307, SEXTAVADO, DIAMETRO 1/2" (12,7 MM), COMPRIMENTO 1" (25,4 MM)</t>
  </si>
  <si>
    <t>PARALELEPIPEDO GRANITICO OU BASALTICO, PARA PAVIMENTACAO, SEM FRETE (VARIACAO REGIONAL DE PECAS POR M2)</t>
  </si>
  <si>
    <t>MIL</t>
  </si>
  <si>
    <t>PASTA ABRASIVA PARA LIMPEZA DE MAOS</t>
  </si>
  <si>
    <t>PASTA LUBRIFICANTE PARA TUBOS E CONEXOES COM JUNTA ELASTICA, EMBALAGEM DE *400* GR (USO EM PVC, ACO, POLIETILENO E OUTROS)</t>
  </si>
  <si>
    <t>PASTA PARA SOLDA DE TUBOS E CONEXOES DE COBRE (EMBALAGEM COM 250 G)</t>
  </si>
  <si>
    <t>PASTA VEDA JUNTAS/ROSCA, EMBALAGEM DE *500* G, PARA INSTALACOES DE AGUA, GAS E OUTROS</t>
  </si>
  <si>
    <t>PASTILHA CERAMICA/PORCELANA, REVEST INT/EXT E PISCINA, CORES BRANCA OU FRIAS, SOLIDAS, SEM MESCLAGEM/MISTURA, ACABAMENTO LISO *2,5 X 2,5* CM</t>
  </si>
  <si>
    <t>PASTILHA CERAMICA/PORCELANA, REVEST INT/EXT E PISCINA, CORES BRANCA OU FRIAS, SOLIDAS, SEM MESCLAGEM/MISTURA, ACABAMENTO LISO *5 X 5* CM</t>
  </si>
  <si>
    <t>PASTILHA CERAMICA/PORCELANA, REVEST INT/EXT E PISCINA, CORES LISAS/SOLIDAS, QUENTES, SEM MESCLAGEM/MISTURA, *2,5 X 2,5* CM</t>
  </si>
  <si>
    <t>PASTILHA CERAMICA/PORCELANA, REVEST INT/EXT E PISCINA, CORES LISAS/SOLIDAS, QUENTES, SEM MESCLAGEM/MISTURA, *5 X 5* CM</t>
  </si>
  <si>
    <t>PASTILHEIRO (HORISTA)</t>
  </si>
  <si>
    <t>PASTILHEIRO (MENSALISTA)</t>
  </si>
  <si>
    <t>PATCH CORD (CABO DE REDE), CATEGORIA 5 E (CAT 5E) UTP, 24 AWG, 4 PARES, EXTENSAO DE 1,50 M</t>
  </si>
  <si>
    <t>PATCH CORD (CABO DE REDE), CATEGORIA 5 E (CAT 5E) UTP, 24 AWG, 4 PARES, EXTENSAO DE 2,50 M</t>
  </si>
  <si>
    <t>PATCH CORD (CABO DE REDE), CATEGORIA 6 (CAT 6) UTP, 23 AWG, 4 PARES, EXTENSAO DE 1,50 M</t>
  </si>
  <si>
    <t>PATCH CORD (CABO DE REDE), CATEGORIA 6 (CAT 6) UTP, 23 AWG, 4 PARES, EXTENSAO DE 2,50 M</t>
  </si>
  <si>
    <t>PEDRA ARDOSIA, CINZA, *40 X 40* CM, E= *1 CM</t>
  </si>
  <si>
    <t>PEDRA ARDOSIA, CINZA, 20 X 40 CM, E= *1 CM</t>
  </si>
  <si>
    <t>PEDRA ARDOSIA, CINZA, 30 X 30, E= *1 CM</t>
  </si>
  <si>
    <t>PEDRA BRITADA N. 0, OU PEDRISCO (4,8 A 9,5 MM) POSTO PEDREIRA/FORNECEDOR, SEM FRETE</t>
  </si>
  <si>
    <t>PEDRA BRITADA N. 1 (9,5 A 19 MM) POSTO PEDREIRA/FORNECEDOR, SEM FRETE</t>
  </si>
  <si>
    <t>PEDRA BRITADA N. 2 (19 A 38 MM) POSTO PEDREIRA/FORNECEDOR, SEM FRETE</t>
  </si>
  <si>
    <t>PEDRA BRITADA N. 3 (38 A 50 MM) POSTO PEDREIRA/FORNECEDOR, SEM FRETE</t>
  </si>
  <si>
    <t>PEDRA DE MAO OU PEDRA RACHAO PARA ARRIMO/FUNDACAO (POSTO PEDREIRA/FORNECEDOR, SEM FRETE)</t>
  </si>
  <si>
    <t>PEDRA GRANITICA OU BASALTICA IRREGULAR, FAIXA GRANULOMETRICA 100 A 150 MM PARA PAVIMENTACAO OU CALCAMENTO POLIEDRICO, POSTO PEDREIRA / FORNECEDOR (SEM FRETE)</t>
  </si>
  <si>
    <t>PEDRA GRANITICA OU BASALTO, CACO, RETALHO, CAVACO, TIPO MIRACEMA, MADEIRA, PADUANA, RACHINHA, SANTA ISABEL OU OUTRAS SIMILARES, E= *1,0 A *2,0 CM</t>
  </si>
  <si>
    <t>PEDRA GRANITICA, SERRADA, TIPO MIRACEMA, MADEIRA, PADUANA, RACHINHA, SANTA ISABEL OU OUTRAS SIMILARES, *11,5 X *23 CM, E= *1,0 A *2,0 CM</t>
  </si>
  <si>
    <t>PEDRA PORTUGUESA OU PETIT PAVE, BRANCA OU PRETA</t>
  </si>
  <si>
    <t>PEDRA QUARTZITO OU CALCARIO LAMINADO, CACO, TIPO CARIRI, ITACOLOMI, LAGOA SANTA, LUMINARIA, PIRENOPOLIS, SAO TOME OU OUTRAS SIMILARES DA REGIAO, E= *1,5 A *2,5 CM</t>
  </si>
  <si>
    <t>PEDRA QUARTZITO OU CALCARIO LAMINADO, SERRADA, TIPO CARIRI, ITACOLOMI, LAGOA SANTA, LUMINARIA, PIRENOPOLIS, SAO TOME OU OUTRAS SIMILARES DA REGIAO, *20 X *40 CM, E= *1,5 A *2,5 CM</t>
  </si>
  <si>
    <t>PEDREIRO (HORISTA)</t>
  </si>
  <si>
    <t>PEDREIRO (MENSALISTA)</t>
  </si>
  <si>
    <t>PEITORIL EM MARMORE, POLIDO, BRANCO COMUM, L= *15* CM, E= *2,0* CM, COM PINGADEIRA</t>
  </si>
  <si>
    <t>PEITORIL EM MARMORE, POLIDO, BRANCO COMUM, L= *15* CM, E= *3* CM, CORTE RETO</t>
  </si>
  <si>
    <t>PEITORIL PRE-MOLDADO EM GRANILITE, MARMORITE OU GRANITINA, L = *15* CM</t>
  </si>
  <si>
    <t>PEITORIL/ SOLEIRA EM MARMORE, POLIDO, BRANCO COMUM, L= *25* CM, E= *3* CM, CORTE RETO</t>
  </si>
  <si>
    <t>PELICULA REFLETIVA, GT 7 ANOS PARA SINALIZACAO VERTICAL</t>
  </si>
  <si>
    <t>PENDURAL OU PRESILHA REGULADORA, EM ACO GALVANIZADO, COM CORPO, MOLA E REBITE, PARA PERFIL TIPO CANALETA DE ESTRUTURA EM FORROS DRYWALL</t>
  </si>
  <si>
    <t>PENDURAL OU REGULADOR, COM MOLA, EM ACO GALVANIZADO, PARA PERFIL TIPO T CLICADO DE FORROS REMOVIVEL</t>
  </si>
  <si>
    <t>PENEIRA ROTATIVA COM MOTOR ELETRICO TRIFASICO DE 2 CV, CILINDRO DE 1 M X 0,60 M, COM FUROS DE 3,17 MM</t>
  </si>
  <si>
    <t>PERFIL "I" OU "W" EM ACO LAMINADO, QUAISQUER DIMENSOES</t>
  </si>
  <si>
    <t>PERFIL "U" ENRIJECIDO, EM CHAPA DOBRADA DE ACO LAMINADO, E = 3,75 MM, H = 200 MM, L = 75 MM (9,94 KG/M)</t>
  </si>
  <si>
    <t>PERFIL "U" SIMPLES, EM CHAPA DOBRADA DE ACO LAMINADO, E = 2,65 MM, H = 75 MM, L = 40 MM (3,04 KG/M)</t>
  </si>
  <si>
    <t>PERFIL "U" SIMPLES, EM CHAPA DOBRADA DE ACO LAMINADO, E = 3 MM, H = 125 MM, L = 50 MM (5,07 KG/M)</t>
  </si>
  <si>
    <t>PERFIL "U" SIMPLES, EM CHAPA DOBRADA DE ACO LAMINADO, E = 3 MM, H = 200 MM, L = 50 MM (6,83 KG/M)</t>
  </si>
  <si>
    <t>PERFIL "U" SIMPLES, EM CHAPA DOBRADA DE ACO LAMINADO, E = 4,75 MM, H = 100 MM, L = 75 MM (8,74 KG/M)</t>
  </si>
  <si>
    <t>PERFIL "U" SIMPLES, EM CHAPA DOBRADA DE ACO LAMINADO, E = 8 MM, H = 150 MM, L = 75 MM (16,97 KG/M)</t>
  </si>
  <si>
    <t>PERFIL CANALETA, FORMATO C, EM ACO ZINCADO, PARA ESTRUTURA FORRO DRYWALL, E = 0,5 MM, *46 X 18* (L X H), COMPRIMENTO 3 M</t>
  </si>
  <si>
    <t>PERFIL CANTONEIRA L, LISA, EM ACO, 25 X 30 MM, E = 0,5 MM, PARA ESTRUTURA DRYWALL</t>
  </si>
  <si>
    <t>PERFIL CANTONEIRA L, PERFURADA, EM ACO, 23 X 23 MM, E = 0,5 MM, PARA ESTRUTURA DRYWALL</t>
  </si>
  <si>
    <t>PERFIL CARTOLA DE ACO GALVANIZADO, *20 X 30 X 10* MM, E = 0,8 MM</t>
  </si>
  <si>
    <t>PERFIL DE ALUMINIO ANODIZADO</t>
  </si>
  <si>
    <t>PERFIL DE BORRACHA EPDM MACICO *12 X 15* MM PARA ESQUADRIAS</t>
  </si>
  <si>
    <t>PERFIL ELASTOMERICO PRE-FORMADO EM EPMD, PARA JUNTA DE DILATACAO DE PISOS COM POUCA SOLICITACAO, 15 MM DE LARGURA, MOVIMENTACAO DE *11 A 19* MM</t>
  </si>
  <si>
    <t>PERFIL ELASTOMERICO PRE-FORMADO EM EPMD, PARA JUNTA DE DILATACAO DE USO GERAL EM MEDIAS SOLICITACOES, 8 MM DE LARGURA, MOVIMENTACAO DE *5 A 11* MM</t>
  </si>
  <si>
    <t>PERFIL EM ALUMINIO, FORMATO U, ABAS IGUAIS, LARGURA DE 12,70 MM (1/2 POL), ESPESSURA 1,58 MM (1/16 POL) E PESO LINEAR DE APROXIMADAMENTE 0,149 KG/M</t>
  </si>
  <si>
    <t>PERFIL EM ALUMINIO, FORMATO U, ABAS IGUAIS, LARGURA DE 25,4 MM (1"), ESPESSURA DE 2,38 MM (3/32") E PESO LINEAR DE APROXIMADAMENTE 0,460 KG/M</t>
  </si>
  <si>
    <t>PERFIL GUIA, FORMATO U, EM ACO ZINCADO, PARA ESTRUTURA PAREDE DRYWALL, E = 0,5 MM, 48 X 3000 MM (L X C)</t>
  </si>
  <si>
    <t>PERFIL GUIA, FORMATO U, EM ACO ZINCADO, PARA ESTRUTURA PAREDE DRYWALL, E = 0,5 MM, 70 X 3000 MM (L X C)</t>
  </si>
  <si>
    <t>PERFIL GUIA, FORMATO U, EM ACO ZINCADO, PARA ESTRUTURA PAREDE DRYWALL, E = 0,5 MM, 90 X 3000 MM (L X C)</t>
  </si>
  <si>
    <t>PERFIL LONGARINA (PRINCIPAL), T CLICADO, EM ACO, BRANCO NAS FACES APARENTES, PARA FORRO REMOVIVEL, 24 X 32 X 3750 MM (L X H X C</t>
  </si>
  <si>
    <t>PERFIL MONTANTE, FORMATO C, EM ACO ZINCADO, PARA ESTRUTURA PAREDE DRYWALL, E = 0,5 MM, 48 X 3000 MM (L X C)</t>
  </si>
  <si>
    <t>PERFIL MONTANTE, FORMATO C, EM ACO ZINCADO, PARA ESTRUTURA PAREDE DRYWALL, E = 0,5 MM, 70 X 3000 MM (L X C)</t>
  </si>
  <si>
    <t>PERFIL MONTANTE, FORMATO C, EM ACO ZINCADO, PARA ESTRUTURA PAREDE DRYWALL, E = 0,5 MM, 90 X 3000 MM (L X C)</t>
  </si>
  <si>
    <t>PERFIL RODAPE DE IMPERMEABILIZACAO, FORMATO L, EM ACO ZINCADO, PARA ESTRUTURA DRYWALL, E = 0,5 MM, 220 X 3000 MM (H X C)</t>
  </si>
  <si>
    <t>PERFIL TABICA ABERTA, PERFURADA, FORMATO Z, EM ACO GALVANIZADO NATURAL, LARGURA APROXIMADA 40 MM, PARA ESTRUTURA FORRO DRYWALL</t>
  </si>
  <si>
    <t>PERFIL TABICA FECHADA, LISA, FORMATO Z, EM ACO GALVANIZADO NATURAL, LARGURA TOTAL NA HORIZONTAL *40* MM, PARA ESTRUTURA FORRO DRYWALL</t>
  </si>
  <si>
    <t>PERFIL TIPO CANTONEIRA EM L, EM ACO GALVANIZADO, BRANCO, PARA FORRO REMOVIVEL, *23* X 3000 MM (L X C)</t>
  </si>
  <si>
    <t>PERFIL TRAVESSA (SECUNDARIO), T CLICADO, EM ACO GALVANIZADO, BRANCO, PARA FORRO REMOVIVEL, 24 X 1250 MM (L X C)</t>
  </si>
  <si>
    <t>PERFIL TRAVESSA (SECUNDARIO), T CLICADO, EM ACO GALVANIZADO, BRANCO, PARA FORRO REMOVIVEL, 24 X 625 MM (L X C)</t>
  </si>
  <si>
    <t>PERFILADO PERFURADO 19 X 38 MM, CHAPA 22</t>
  </si>
  <si>
    <t>PERFILADO PERFURADO DUPLO 38 X 76 MM, CHAPA 22</t>
  </si>
  <si>
    <t>PERFILADO PERFURADO SIMPLES 38 X 38 MM, CHAPA 22</t>
  </si>
  <si>
    <t>PERFURATRIZ COM TORRE METALICA PARA EXECUCAO DE ESTACA HELICE CONTINUA, PROFUNDIDADE MAXIMA DE 30 M, DIAMETRO MAXIMO DE 800 MM, POTENCIA INSTALADA DE 268 HP, MESA ROTATIVA COM TORQUE MAXIMO DE 170 KNM</t>
  </si>
  <si>
    <t>PERFURATRIZ COM TORRE METALICA PARA EXECUCAO DE ESTACA HELICE CONTINUA, PROFUNDIDADE MAXIMA DE 32 M, DIAMETRO MAXIMO DE 1000 MM, POTENCIA INSTALADA DE 350 HP, MESA ROTATIVA COM TORQUE MAXIMO DE 263 KNM</t>
  </si>
  <si>
    <t>PERFURATRIZ DE COROA DIAMANTADA PARA CONCRETO, DIAMETRO ATE 250 MM, MOTOR ELETRICO 220 V, POTENCIA 2.500W</t>
  </si>
  <si>
    <t>PERFURATRIZ HIDRAULICA COM TRADO CURTO ACOPLADO, PROFUNDIDADE MAXIMA DE 20 M, DIAMETRO MAXIMO DE 1500 MM, POTENCIA INSTALADA DE 137 HP, MESA ROTATIVA COM TORQUE MAXIMO DE 30 KNM (INCLUI MONTAGEM, NAO INCLUI CAMINHAO)</t>
  </si>
  <si>
    <t>PERFURATRIZ HIDRAULICA SOBRE ESTEIRA, TORQUE MAXIMO 161 KNM, PROFUNDIDADE MAXIMA 54 M, DIAMETRO MAXIMO 1500 MM, POTENCIA MOTOR 268 HP</t>
  </si>
  <si>
    <t>PERFURATRIZ HIDRAULICA SOBRE ESTEIRA, TORQUE MAXIMO 98 KNM, PROFUNDIDADE MAXIMA 25 M, DIAMETRO MAXIMO 115 MM, POTENCIA MOTOR 190 HP</t>
  </si>
  <si>
    <t>PERFURATRIZ MANUAL, TORQUE MAXIMO 83 N.M, POTENCIA 5 CV, COM DIAMETRO MAXIMO 4", PARA SOLO GRAMPEADO (INCLUI SUPORTE OU CHASSI TIPO MESA)</t>
  </si>
  <si>
    <t>PERFURATRIZ PARA EXECUCAO DE ESTACAS SECANTES, TIPO HELICE CONTINUA COM CABECOTE DUPLO E TUBO METALICO 300 KW</t>
  </si>
  <si>
    <t>PERFURATRIZ PARA FURO DIRECIONAL HORIZONTAL (HDD) COM CAPACIDADE ATE 89 KN, POTENCIA 24,8 HP A 80 HP (INCLUSO FERRAMENTAS E LOCALIZADOR), PARA REDE SUBTERRANEA</t>
  </si>
  <si>
    <t>PERFURATRIZ PARA FURO DIRECIONAL HORIZONTAL (HDD) COM CAPACIDADE DE 201 KN A 560 KN, POTENCIA 200 HP A 260 HP (INCLUSO FERRAMENTAS E LOCALIZADOR), PARA REDE SUBTERRANEA</t>
  </si>
  <si>
    <t>PERFURATRIZ PARA FURO DIRECIONAL HORIZONTAL (HDD) COM CAPACIDADE DE 90 KN A 200 KN, POTENCIA 100 HP A 160 HP (INCLUSO FERRAMENTAS E LOCALIZADOR), PARA REDE SUBTERRANEA</t>
  </si>
  <si>
    <t>PERFURATRIZ ROTATIVA SOBRE ESTEIRA, TORQUE MAXIMO 2500 KGM, POTENCIA 110 HP, MOTOR DIESEL</t>
  </si>
  <si>
    <t>PERFURATRIZ SOBRE ESTEIRA, TORQUE MAXIMO 600 KGF, PESO MEDIO 1000 KG, POTENCIA 20 HP, DIAMETRO MAXIMO 10"</t>
  </si>
  <si>
    <t>PERFURATRIZ SOBRE ESTEIRA, TORQUE MAXIMO DE 600 KGF, POTENCIA ENTRE 50 E 60 HP, DIAMETRO MAXIMO DE 10"</t>
  </si>
  <si>
    <t>PERNEIRA DE RASPA COM VELCRO</t>
  </si>
  <si>
    <t>PICAPE CABINE SIMPLES COM MOTOR 1.6 FLEX, CAMBIO MANUAL, POTENCIA 101/104 CV, 2 PORTAS</t>
  </si>
  <si>
    <t>PILAR QUADRADO NAO APARELHADO *10 X 10* CM, EM MACARANDUBA/MASSARANDUBA, ANGELIM OU EQUIVALENTE DA REGIAO - BRUTA</t>
  </si>
  <si>
    <t>PILAR QUADRADO NAO APARELHADO *15 X 15* CM, EM MACARANDUBA/MASSARANDUBA, ANGELIM OU EQUIVALENTE DA REGIAO - BRUTA</t>
  </si>
  <si>
    <t>PILAR QUADRADO NAO APARELHADO *20 X 20* CM, EM MACARANDUBA/MASSARANDUBA, ANGELIM OU EQUIVALENTE DA REGIAO - BRUTA</t>
  </si>
  <si>
    <t>PINGADEIRA PLASTICA PARA TELHA DE FIBROCIMENTO CANALETE 49/KALHETA OU CANALETE 90/KALHETAO</t>
  </si>
  <si>
    <t>PINO DE ACO COM ARRUELA CONICA, DIAMETRO ARRUELA = *23* MM E COMP HASTE = *27* MM (ACAO INDIRETA)</t>
  </si>
  <si>
    <t>PINO DE ACO COM FURO, HASTE = 27 MM (ACAO DIRETA)</t>
  </si>
  <si>
    <t>PINO DE ACO COM ROSCA 1/4", COMPRIMENTO DA HASTE = 30 MM E ROSCA = 20 MM (ACAO DIRETA)</t>
  </si>
  <si>
    <t>PINO DE ACO LISO 1/4", HASTE = *36,5* MM (ACAO DIRETA)</t>
  </si>
  <si>
    <t>PINO DE ACO LISO 1/4", HASTE = *53* MM (ACAO DIRETA)</t>
  </si>
  <si>
    <t>PINO GUIA RETO, EM LATAO, CHAPA COM 3 MM DE ESPESSURA E GUIA COM ROLETE DE 9 MM</t>
  </si>
  <si>
    <t>PINO ROSCA EXTERNA, EM ACO GALVANIZADO, PARA ISOLADOR DE 15KV, DIAMETRO 25 MM, COMPRIMENTO *290* MM</t>
  </si>
  <si>
    <t>PINO ROSCA EXTERNA, EM ACO GALVANIZADO, PARA ISOLADOR DE 25KV, DIAMETRO 35MM, COMPRIMENTO *320* MM</t>
  </si>
  <si>
    <t>PINTOR (HORISTA)</t>
  </si>
  <si>
    <t>PINTOR (MENSALISTA)</t>
  </si>
  <si>
    <t>PINTOR DE LETREIROS (HORISTA)</t>
  </si>
  <si>
    <t>PINTOR DE LETREIROS (MENSALISTA)</t>
  </si>
  <si>
    <t>PINTOR PARA TINTA EPOXI (HORISTA)</t>
  </si>
  <si>
    <t>PINTOR PARA TINTA EPOXI (MENSALISTA)</t>
  </si>
  <si>
    <t>PISO DE BORRACHA CANELADO EM PLACAS 50 X 50 CM, E = *3,5* MM, PARA COLA</t>
  </si>
  <si>
    <t>PISO DE BORRACHA ESPORTIVO EM PLACAS 50 X 50 CM, E = 15 MM, PARA ARGAMASSA, PRETO</t>
  </si>
  <si>
    <t>PISO DE BORRACHA FRISADO OU PASTILHADO, PRETO, EM PLACAS 50 X 50 CM, E = 7 MM, PARA ARGAMASSA</t>
  </si>
  <si>
    <t>PISO DE BORRACHA PASTILHADO EM PLACAS 50 X 50 CM, E = *3,5* MM, PARA COLA, PRETO</t>
  </si>
  <si>
    <t>PISO DE BORRACHA PASTILHADO EM PLACAS 50 X 50 CM, E = 15 MM, PARA ARGAMASSA, PRETO</t>
  </si>
  <si>
    <t>PISO EM CERAMICA ESMALTADA, COR LISA, PEI MAIOR OU IGUAL A 4, FORMATO MAIOR QUE 2025 CM2</t>
  </si>
  <si>
    <t>PISO EM CERAMICA ESMALTADA, COR LISA, PEI MAIOR OU IGUAL A 4, FORMATO MENOR OU IGUAL A 2025 CM2</t>
  </si>
  <si>
    <t>PISO EM GRANILITE, MARMORITE OU GRANITINA, AGREGADO COR PRETO, CINZA, PALHA OU BRANCO, E= *8* MM (INCLUSO EXECUCAO)</t>
  </si>
  <si>
    <t>PISO EM GRANITO, POLIDO, TIPO AMENDOA/ AMARELO CAPRI/ AMARELO DOURADO CARIOCA OU OUTROS EQUIVALENTES DA REGIAO, FORMATO MENOR OU IGUAL A 3025 CM2, E= *2* CM</t>
  </si>
  <si>
    <t>PISO EM GRANITO, POLIDO, TIPO ANDORINHA/ QUARTZ/ CASTELO/ CORUMBA OU OUTROS EQUIVALENTES DA REGIAO, FORMATO MENOR OU IGUAL A 3025 CM2, E= *2* CM</t>
  </si>
  <si>
    <t>PISO EM GRANITO, POLIDO, TIPO MARFIM, DALLAS, CARAVELAS OU OUTROS EQUIVALENTES DA REGIAO, FORMATO MENOR OU IGUAL A 3025 CM2, E= *2*CM</t>
  </si>
  <si>
    <t>PISO EM GRANITO, POLIDO, TIPO PRETO SAO GABRIEL/ TIJUCA OU OUTROS EQUIVALENTES DA REGIAO, FORMATO MENOR OU IGUAL A 3025 CM2, E= *2* CM</t>
  </si>
  <si>
    <t>PISO EM PORCELANATO, RETIFICADO, LISO, MONOCOLOR, ACETINADO OU POLIDO, FORMATO MAIOR QUE 2500 ATE 6400 CM2</t>
  </si>
  <si>
    <t>PISO EM PORCELANATO,RETIFICADO, LISO, MONOCOLOR, ACETINADO OU POLIDO, FORMATO MAIOR QUE 6400 CM2</t>
  </si>
  <si>
    <t>PISO EM REGUA VINILICA SEMIFLEXIVEL, ENCAIXE CLICADO, E = 4 MM (SEM COLOCACAO)</t>
  </si>
  <si>
    <t>PISO EPOXI AUTONIVELANTE, ESPESSURA *4* MM (INCLUSO EXECUCAO)</t>
  </si>
  <si>
    <t>PISO EPOXI MULTILAYER, ESPESSURA *2* MM (INCLUSO EXECUCAO)</t>
  </si>
  <si>
    <t>PISO FULGET (GRANITO LAVADO) EM PLACAS DE *40 X 40* CM, E = 2,0 CM (SEM COLOCACAO)</t>
  </si>
  <si>
    <t>PISO FULGET (GRANITO LAVADO) EM PLACAS DE *75 X 75* CM, E = 2,0 CM (SEM COLOCACAO)</t>
  </si>
  <si>
    <t>PISO FULGET (GRANITO LAVADO) MOLDADO IN LOCO (INCLUSO EXECUCAO)</t>
  </si>
  <si>
    <t>PISO INDUSTRIAL EM CONCRETO ARMADO DE ACABAMENTO POLIDO, ESPESSURA 12 CM (CIMENTO QUEIMADO) (INCLUSO EXECUCAO)</t>
  </si>
  <si>
    <t>PISO KORODUR (INCLUSO EXECUCAO)</t>
  </si>
  <si>
    <t>PISO TATIL / PODOTATIL, LADRILHO HIDRAULICO / CONCRETO, *25 X 25* CM, E= *2,5* CM, PADRAO TATIL ALERTA OU DIRECIONAL, COR AMARELA</t>
  </si>
  <si>
    <t>PISO TATIL / PODOTATIL, LADRILHO HIDRAULICO/CONCRETO, *40 X 40* CM, E= 2,5* CM, PADRAO TATIL ALERTA OU DIRECIONAL, COR NATURAL</t>
  </si>
  <si>
    <t>PISO TATIL ALERTA OU DIRECIONAL, DE BORRACHA, COLORIDO, 25 X 25 CM, E = 5 MM, PARA COLA</t>
  </si>
  <si>
    <t>PISO TATIL DE ALERTA OU DIRECIONAL DE BORRACHA, PRETO, 25 X 25 CM, E = 5 MM, PARA COLA</t>
  </si>
  <si>
    <t>PISO TATIL DE ALERTA OU DIRECIONAL, DE BORRACHA, COLORIDO, 25 X 25 CM, E = 12 MM, PARA ARGAMASSA</t>
  </si>
  <si>
    <t>PISO TATIL DE ALERTA OU DIRECIONAL, DE BORRACHA, PRETO, 25 X 25 CM, E = 12 MM, PARA ARGAMASSA</t>
  </si>
  <si>
    <t>PISO URETANO, VERSAO REVESTIMENTO AUTONIVELANTE, ESPESSURA VARIAVEL DE 3 A 4 MM (INCLUSO EXECUCAO)</t>
  </si>
  <si>
    <t>PISO/ REVESTIMENTO EM GRANITO, POLIDO, TIPO ANDORINHA/ QUARTZ/ CASTELO/ CORUMBA OU OUTROS EQUIVALENTES DA REGIAO, FORMATO MAIOR OU IGUAL A 3025 CM2, E = *2*CM</t>
  </si>
  <si>
    <t>PISO/ REVESTIMENTO EM MARMORE, POLIDO, BRANCO COMUM, FORMATO MAIOR OU IGUAL A 3025 CM2, E = *2* CM</t>
  </si>
  <si>
    <t>PISO/ REVESTIMENTO EM MARMORE, POLIDO, BRANCO COMUM, FORMATO MENOR OU IGUAL A 3025 CM2, E = *2* CM</t>
  </si>
  <si>
    <t>PLACA / CHAPA DE GESSO ACARTONADO, ACABAMENTO VINILICO LISO EM UMA DAS FACES, COR BRANCA, BORDA QUADRADA, E = 9,5 MM, *625 X 1250* MM (L X C), PARA FORRO REMOVIVEL</t>
  </si>
  <si>
    <t>PLACA / CHAPA DE GESSO ACARTONADO, ACABAMENTO VINILICO LISO EM UMA DAS FACES, COR BRANCA, BORDA QUADRADA, E = 9,5 MM, *625 X 625* MM (L X C), PARA FORRO REMOVIVEL</t>
  </si>
  <si>
    <t>PLACA / CHAPA DE GESSO ACARTONADO, RESISTENTE A UMIDADE (RU), COR VERDE, E = 12,5 MM, 1200 X 1800 MM (L X C)</t>
  </si>
  <si>
    <t>PLACA / CHAPA DE GESSO ACARTONADO, RESISTENTE A UMIDADE (RU), COR VERDE, E = 12,5 MM, 1200 X 2400 MM (L X C)</t>
  </si>
  <si>
    <t>PLACA / CHAPA DE GESSO ACARTONADO, RESISTENTE A UMIDADE (RU), COR VERDE, E = 15 MM, 1200 X 2400 MM (L X C)</t>
  </si>
  <si>
    <t>PLACA / CHAPA DE GESSO ACARTONADO, RESISTENTE AO FOGO (RF), COR ROSA, E = 12,5 MM, 1200 X 1800 MM (L X C)</t>
  </si>
  <si>
    <t>PLACA / CHAPA DE GESSO ACARTONADO, RESISTENTE AO FOGO (RF), COR ROSA, E = 12,5 MM, 1200 X 2400 MM (L X C)</t>
  </si>
  <si>
    <t>PLACA / CHAPA DE GESSO ACARTONADO, RESISTENTE AO FOGO (RF), COR ROSA, E = 15 MM, 1200 X 2400 MM (L X C)</t>
  </si>
  <si>
    <t>PLACA / CHAPA DE GESSO ACARTONADO, STANDARD (ST), COR BRANCA, E = 12,5 MM, 1200 X 1800 MM (L X C)</t>
  </si>
  <si>
    <t>PLACA / CHAPA DE GESSO ACARTONADO, STANDARD (ST), COR BRANCA, E = 12,5 MM, 1200 X 2400 MM (L X C)</t>
  </si>
  <si>
    <t>PLACA / CHAPA DE GESSO ACARTONADO, STANDARD (ST), COR BRANCA, E = 15 MM, 1200 X 2400 MM (L X C)</t>
  </si>
  <si>
    <t>PLACA CIMENTICIA LISA E = 10 MM, DE 1,20 X *2,50* M (SEM AMIANTO)</t>
  </si>
  <si>
    <t>PLACA CIMENTICIA LISA E = 6 MM, DE 1,20 X *2,50* M (SEM AMIANTO)</t>
  </si>
  <si>
    <t>PLACA DE ACO ESMALTADA PARA IDENTIFICACAO DE RUA, *45 CM X 20* CM</t>
  </si>
  <si>
    <t>PLACA DE ACRILICO TRANSPARENTE ADESIVADA PARA SINALIZACAO DE PORTAS, BORDA POLIDA, DE *25 X 8*, E = 6 MM (NAO INCLUI ACESSORIOS PARA FIXACAO)</t>
  </si>
  <si>
    <t>PLACA DE FIBRA MINERAL PARA FORRO, DE 1250 X 625 MM, E = 15 MM, BORDA RETA, COM PINTURA ANTIMOFO (NAO INCLUI PERFIS)</t>
  </si>
  <si>
    <t>PLACA DE FIBRA MINERAL PARA FORRO, DE 625 X 625 MM, E = 15 MM, BORDA REBAIXADA PARA PERFIL 24 MM, COM PINTURA ANTIMOFO (NAO INCLUI PERFIS)</t>
  </si>
  <si>
    <t>PLACA DE FIBRA MINERAL PARA FORRO, DE 625 X 625 MM, E = 15 MM, BORDA RETA, COM PINTURA ANTIMOFO (NAO INCLUI PERFIS)</t>
  </si>
  <si>
    <t>PLACA DE GESSO PARA FORRO, *60 X 60* CM, ESPESSURA DE 12 MM (SEM COLOCACAO)</t>
  </si>
  <si>
    <t>PLACA DE INAUGURACAO EM BRONZE *35X 50*CM</t>
  </si>
  <si>
    <t>PLACA DE INAUGURACAO METALICA, *40* CM X *60* CM</t>
  </si>
  <si>
    <t>PLACA DE OBRA (PARA CONSTRUCAO CIVIL) EM CHAPA GALVANIZADA *N. 22*, ADESIVADA, DE *2,4 X 1,2* M (SEM POSTES PARA FIXACAO)</t>
  </si>
  <si>
    <t>PLACA DE SINALIZACAO DE SEGURANCA CONTRA INCENDIO - ALERTA, TRIANGULAR, BASE DE *30* CM, EM PVC *2* MM ANTI-CHAMAS (SIMBOLOS, CORES E PICTOGRAMAS CONFORME NBR 16820)</t>
  </si>
  <si>
    <t>PLACA DE SINALIZACAO DE SEGURANCA CONTRA INCENDIO, FOTOLUMINESCENTE, QUADRADA, *14 X 14* CM, EM PVC *2* MM ANTI-CHAMAS (SIMBOLOS, CORES E PICTOGRAMAS CONFORME NBR 16820)</t>
  </si>
  <si>
    <t>PLACA DE SINALIZACAO DE SEGURANCA CONTRA INCENDIO, FOTOLUMINESCENTE, QUADRADA, *20 X 20* CM, EM PVC *2* MM ANTI-CHAMAS (SIMBOLOS, CORES E PICTOGRAMAS CONFORME NBR 16820)</t>
  </si>
  <si>
    <t>PLACA DE SINALIZACAO DE SEGURANCA CONTRA INCENDIO, FOTOLUMINESCENTE, RETANGULAR, *12 X 40* CM, EM PVC *2* MM ANTI-CHAMAS (SIMBOLOS, CORES E PICTOGRAMAS CONFORME NBR 16820)</t>
  </si>
  <si>
    <t>PLACA DE SINALIZACAO DE SEGURANCA CONTRA INCENDIO, FOTOLUMINESCENTE, RETANGULAR, *13 X 26* CM, EM PVC *2* MM ANTI-CHAMAS (SIMBOLOS, CORES E PICTOGRAMAS CONFORME NBR 16820)</t>
  </si>
  <si>
    <t>PLACA DE SINALIZACAO DE SEGURANCA CONTRA INCENDIO, FOTOLUMINESCENTE, RETANGULAR, *20 X 40* CM, EM PVC *2* MM ANTI-CHAMAS (SIMBOLOS, CORES E PICTOGRAMAS CONFORME NBR 16820)</t>
  </si>
  <si>
    <t>PLACA DE SINALIZACAO EM CHAPA DE ACO NUM 16 COM PINTURA REFLETIVA</t>
  </si>
  <si>
    <t>PLACA DE SINALIZACAO EM CHAPA DE ALUMINIO COM PINTURA REFLETIVA, E = 2 MM</t>
  </si>
  <si>
    <t>PLACA DE VENTILACAO PARA TELHA DE FIBROCIMENTO CANALETE 49 KALHETA</t>
  </si>
  <si>
    <t>PLACA DE VENTILACAO PARA TELHA DE FIBROCIMENTO, CANALETE 90 OU KALHETAO</t>
  </si>
  <si>
    <t>PLACA NUMERACAO RESIDENCIAL EM CHAPA GALVANIZADA ESMALTADA 12 X 18 CM</t>
  </si>
  <si>
    <t>PLACA ORIENTATIVA SOBRE EXERCICIOS, 2,00 M X 1,00 M (CHAPA GALVANIZADA #20), ESTRUTURA EM TUBOS REDONDOS DE ACO CARBONO, PINTURA NO PROCESSO ELETROSTATICO, ADESIVO FRENTE E VERSO - PARA ACADEMIA AO AR LIVRE / ACADEMIA DA TERCEIRA IDADE - ATI</t>
  </si>
  <si>
    <t>PLACA VINILICA SEMIFLEXIVEL PARA PISOS, E = 3,2 MM, 30 X 30 CM (SEM COLOCACAO)</t>
  </si>
  <si>
    <t>PLACA VINILICA SEMIFLEXIVEL PARA REVESTIMENTO DE PISOS E PAREDES, E = 2 MM (SEM COLOCACAO)</t>
  </si>
  <si>
    <t>PLACA/PISO DE CONCRETO POROSO/ PAVIMENTO PERMEAVEL/BLOCO DRENANTE DE CONCRETO, *40 X 40* CM, E = 6 CM, COR NATURAL</t>
  </si>
  <si>
    <t>PLACA/TAMPA CEGA EM LATAO ESCOVADO PARA CONDULETE EM LIGA DE ALUMINIO 4 X 4"</t>
  </si>
  <si>
    <t>PLUG OU BUJAO DE FERRO GALVANIZADO, DE 1 1/2"</t>
  </si>
  <si>
    <t>PLUG OU BUJAO DE FERRO GALVANIZADO, DE 1 1/4"</t>
  </si>
  <si>
    <t>PLUG OU BUJAO DE FERRO GALVANIZADO, DE 1"</t>
  </si>
  <si>
    <t>PLUG OU BUJAO DE FERRO GALVANIZADO, DE 1/2"</t>
  </si>
  <si>
    <t>PLUG OU BUJAO DE FERRO GALVANIZADO, DE 2 1/2"</t>
  </si>
  <si>
    <t>PLUG OU BUJAO DE FERRO GALVANIZADO, DE 2"</t>
  </si>
  <si>
    <t>PLUG OU BUJAO DE FERRO GALVANIZADO, DE 3"</t>
  </si>
  <si>
    <t>PLUG OU BUJAO DE FERRO GALVANIZADO, DE 3/4"</t>
  </si>
  <si>
    <t>PLUG OU BUJAO DE FERRO GALVANIZADO, DE 4"</t>
  </si>
  <si>
    <t>PLUG PVC, JE, DN 100 MM, PARA REDE COLETORA ESGOTO</t>
  </si>
  <si>
    <t>PLUG PVC, JE, DN 150 MM, PARA REDE COLETORA ESGOTO</t>
  </si>
  <si>
    <t>PO DE PEDRA (POSTO PEDREIRA/FORNECEDOR, SEM FRETE)</t>
  </si>
  <si>
    <t>POCEIRO / ESCAVADOR DE VALAS E TUBULOES (HORISTA)</t>
  </si>
  <si>
    <t>POCEIRO / ESCAVADOR DE VALAS E TUBULOES (MENSALISTA)</t>
  </si>
  <si>
    <t>POLIDORA DE PISO (POLITRIZ) ELETRICA, MOTOR MONOFASICO DE 4 HP, PESO DE 100 KG, DIAMETRO DO TRABALHO DE 450 MM</t>
  </si>
  <si>
    <t>POLIESTIRENO EXPANDIDO/EPS (ISOPOR), PEROLAS, PARA CONCRETO LEVE</t>
  </si>
  <si>
    <t>POLIESTIRENO EXPANDIDO/EPS (ISOPOR), TIPO 2F, BLOCO</t>
  </si>
  <si>
    <t>POLIESTIRENO EXPANDIDO/EPS (ISOPOR), TIPO 2F, PLACA, ISOLAMENTO TERMOACUSTICO, E = 10 MM, 1000 X 500 MM</t>
  </si>
  <si>
    <t>POLIESTIRENO EXPANDIDO/EPS (ISOPOR), TIPO 2F, PLACA, ISOLAMENTO TERMOACUSTICO, E = 20 MM, 1000 X 500 MM</t>
  </si>
  <si>
    <t>POLIESTIRENO EXPANDIDO/EPS (ISOPOR), TIPO 2F, PLACA, ISOLAMENTO TERMOACUSTICO, E = 50 MM, 1000 X 500 MM</t>
  </si>
  <si>
    <t>POLVORA NEGRA</t>
  </si>
  <si>
    <t>PONTALETE *7,5 X 7,5* CM EM PINUS, MISTA OU EQUIVALENTE DA REGIAO - BRUTA</t>
  </si>
  <si>
    <t>PONTALETE ROLICO SEM TRATAMENTO, D = 8 A 11 CM, H = 3 M, EM EUCALIPTO OU EQUIVALENTE DA REGIAO - BRUTA (PARA ESCORAMENTO)</t>
  </si>
  <si>
    <t>PONTALETE ROLICO SEM TRATAMENTO, D = 8 A 11 CM, H = 6 M, EM EUCALIPTO OU EQUIVALENTE DA REGIAO - BRUTA (PARA ESCORAMENTO)</t>
  </si>
  <si>
    <t>PONTEIRO DE ACO, LISO, REDONDO, 3/4" X 10"</t>
  </si>
  <si>
    <t>PONTEIRO PARA MARTELO ROMPEDOR, DIAMETRO = *28* MM, COMPRIMENTO = *520* MM, ENCAIXE SEXTAVADO</t>
  </si>
  <si>
    <t>PORCA OLHAL EM ACO GALVANIZADO, ESPESSURA 16MM, ABERTURA 21MM</t>
  </si>
  <si>
    <t>PORCA OLHAL M 16, EM ACO GALVANIZADO, DIAMETRO = 16 MM</t>
  </si>
  <si>
    <t>PORCA UNIAO/JUNCAO ZINCADA SEXTAVADA 1/4", CHAVE 7/16", COMPRIMENTO = 25 MM</t>
  </si>
  <si>
    <t>PORCA ZINCADA, QUADRADA, DIAMETRO 3/8"</t>
  </si>
  <si>
    <t>PORCA ZINCADA, QUADRADA, DIAMETRO 5/8"</t>
  </si>
  <si>
    <t>PORCA ZINCADA, SEXTAVADA, DIAMETRO 1"</t>
  </si>
  <si>
    <t>PORCA ZINCADA, SEXTAVADA, DIAMETRO 1/2"</t>
  </si>
  <si>
    <t>PORCA ZINCADA, SEXTAVADA, DIAMETRO 1/4"</t>
  </si>
  <si>
    <t>PORCA ZINCADA, SEXTAVADA, DIAMETRO 3/8"</t>
  </si>
  <si>
    <t>PORCA ZINCADA, SEXTAVADA, DIAMETRO 5/16"</t>
  </si>
  <si>
    <t>PORCA ZINCADA, SEXTAVADA, DIAMETRO 5/8"</t>
  </si>
  <si>
    <t>PORTA CADEADO EM ACO GALVANIZADO, COMPRIMENTO DE 3 1/2"</t>
  </si>
  <si>
    <t>PORTA CORTA-FOGO SIMPLES PARA SAIDA DE EMERGENCIA, 1 FOLHA DE ABRIR, 5 CM, ACABAMENTO NATURAL / SEM PINTURA, COM FECHADURA TIPO TRINCO, DOBRADICAS E BATENTE, VAO LUZ DE 90 X 210 CM, CLASSE P-90 (NBR 11742)</t>
  </si>
  <si>
    <t>PORTA DE ABRIR / GIRO, DE MADEIRA FOLHA MEDIA (NBR 15930) DE 1000 X 2100 MM, DE 35 MM A 40 MM DE ESPESSURA, NUCLEO SEMI-SOLIDO (SARRAFEADO), CAPA LISA EM HDF, ACABAMENTO EM LAMINADO NATURAL PARA VERNIZ</t>
  </si>
  <si>
    <t>PORTA DE ABRIR / GIRO, DE MADEIRA FOLHA MEDIA (NBR 15930) DE 1000 X 2100 MM, DE 35 MM A 40 MM DE ESPESSURA, NUCLEO SEMI-SOLIDO (SARRAFEADO), CAPA LISA EM HDF, ACABAMENTO EM PRIMER PARA PINTURA</t>
  </si>
  <si>
    <t>PORTA DE ABRIR / GIRO, DE MADEIRA FOLHA MEDIA (NBR 15930) DE 700 X 2100 MM, DE 35 MM A 40 MM DE ESPESSURA, NUCLEO SEMI-SOLIDO (SARRAFEADO), CAPA FRISADA EM HDF, ACABAMENTO MELAMINICO EM PADRAO MADEIRA</t>
  </si>
  <si>
    <t>PORTA DE ABRIR / GIRO, DE MADEIRA FOLHA MEDIA (NBR 15930) DE 700 X 2100 MM, DE 35 MM A 40 MM DE ESPESSURA, NUCLEO SEMI-SOLIDO (SARRAFEADO), CAPA LISA EM HDF, ACABAMENTO EM LAMINADO NATURAL PARA VERNIZ</t>
  </si>
  <si>
    <t>PORTA DE ABRIR / GIRO, DE MADEIRA FOLHA MEDIA (NBR 15930) DE 800 X 2100 MM, DE 35 MM A 40 MM DE ESPESSURA, NUCLEO SEMI-SOLIDO (SARRAFEADO), CAPA FRISADA EM HDF, ACABAMENTO MELAMINICO EM PADRAO MADEIRA</t>
  </si>
  <si>
    <t>PORTA DE ABRIR / GIRO, DE MADEIRA FOLHA MEDIA (NBR 15930) DE 800 X 2100 MM, DE 35 MM A 40 MM DE ESPESSURA, NUCLEO SEMI-SOLIDO (SARRAFEADO), CAPA LISA EM HDF, ACABAMENTO EM LAMINADO NATURAL PARA VERNIZ</t>
  </si>
  <si>
    <t>PORTA DE ABRIR / GIRO, DE MADEIRA FOLHA MEDIA (NBR 15930) DE 900 X 2100 MM, DE 35 MM A 40 MM DE ESPESSURA, NUCLEO SEMI-SOLIDO (SARRAFEADO), CAPA LISA EM HDF, ACABAMENTO EM LAMINADO NATURAL PARA VERNIZ</t>
  </si>
  <si>
    <t>PORTA DE ABRIR / GIRO, EM GRADIL FERRO, COM BARRA CHATA 3 CM X 1/4", COM REQUADRO E GUARNICAO - COMPLETO - ACABAMENTO NATURAL</t>
  </si>
  <si>
    <t>PORTA DE ABRIR / GIRO, EM MADEIRA MACICA (ANGELIM OU EQUIVALENTE REGIONAL), QUALQUER DESENHO (VERTICAL/DIAGONAL/HORIZ.), E = *3,5* CM, DIMENSOES 2,10 X 0,70 (SOMENTE FOLHA DE PORTA, ACABAMENTO NATURAL)</t>
  </si>
  <si>
    <t>PORTA DE ABRIR EM ACO, COM DIVISAO HORIZONTAL PARA VIDROS, 90 X 210 CM, COM FUNDO ANTICORROSIVO/PRIMER DE PROTECAO, INCLUI FECHADURA, MACANETA E PARAFUSO, SEM GUARNICAO/ALIZAR/VISTA, VIDROS NAO INCLUSOS</t>
  </si>
  <si>
    <t>PORTA DE ABRIR EM ACO, TIPO VENEZIANA, 90 X 210 CM, COM FUNDO ANTICORROSIVO / PRIMER DE PROTECAO, INCLUI FECHADURA, MACANETA E PARAFUSOS, SEM GUARNICAO/ALIZAR/VISTA</t>
  </si>
  <si>
    <t>PORTA DE ABRIR EM ALUMINIO COM DIVISAO HORIZONTAL PARA VIDROS, ACABAMENTO ANODIZADO NATURAL, VIDROS INCLUSOS, SEM GUARNICAO/ALIZAR/VISTA, 87 CM X 210 CM</t>
  </si>
  <si>
    <t>PORTA DE ABRIR EM ALUMINIO COM LAMBRI HORIZONTAL/LAMINADA, ACABAMENTO ANODIZADO NATURAL, SEM GUARNICAO/ALIZAR/VISTA</t>
  </si>
  <si>
    <t>PORTA DE ABRIR EM ALUMINIO TIPO VENEZIANA, ACABAMENTO ANODIZADO NATURAL, SEM GUARNICAO/ALIZAR/VISTA</t>
  </si>
  <si>
    <t>PORTA DE ABRIR, TIPO VENEZIANA, EM ALUMINIO, ACABAMENTO ANODIZADO NATURAL, 90 CM X 210 CM (LARGURA X ALTURA), SEM GUARNICAO/ALIZAR/VISTA</t>
  </si>
  <si>
    <t>PORTA DE CORRER EM ALUMINIO, DUAS FOLHAS MOVEIS COM VIDRO, FECHADURA E PUXADOR EMBUTIDO, ACABAMENTO ANODIZADO NATURAL, SEM GUARNICAO/ALIZAR/VISTA</t>
  </si>
  <si>
    <t>PORTA DE ENROLAR MANUAL COMPLETA, ARTICULADA RAIADA LARGA, EM ACO GALVANIZADO NATURAL, CHAPA NUMERO 24 (SEM INSTALACAO)</t>
  </si>
  <si>
    <t>PORTA DE ENROLAR MANUAL COMPLETA, PERFIL MEIA CANA CEGA, EM ACO GALVANIZADO COM PINTURA ELETROSTATICA, CHAPA NUMERO 24" (SEM INSTALACAO)</t>
  </si>
  <si>
    <t>PORTA DE ENROLAR MANUAL COMPLETA, PERFIL MEIA CANA CEGA, EM ACO GALVANIZADO NATURAL, CHAPA NUMERO 24 (SEM INSTALACAO)</t>
  </si>
  <si>
    <t>PORTA DE ENROLAR MANUAL COMPLETA, PERFIL MEIA CANA VAZADA TIJOLINHO, EM ACO GALVANIZADO NATURAL, CHAPA NUMERO 24 (SEM INSTALACAO)</t>
  </si>
  <si>
    <t>PORTA DE MADEIRA QUADRICULADA PARA VIDRO, DE CORRER (EUCALIPTO OU EQUIVALENTE REGIONAL), E = *3,5* CM</t>
  </si>
  <si>
    <t>PORTA DE MADEIRA TIPO VENEZIANA (EUCALIPTO OU EQUIVALENTE REGIONAL), E = *3,5* CM</t>
  </si>
  <si>
    <t>PORTA DE MADEIRA, FOLHA LEVE (NBR 15930) DE 600 X 2100 MM, DE 35 MM A 40 MM DE ESPESSURA, NUCLEO COLMEIA, CAPA LISA EM HDF, ACABAMENTO EM PRIMER PARA PINTURA</t>
  </si>
  <si>
    <t>PORTA DE MADEIRA, FOLHA LEVE (NBR 15930) DE 700 X 2100 MM, DE 35 MM A 40 MM DE ESPESSURA, NUCLEO COLMEIA, CAPA LISA EM HDF, ACABAMENTO EM PRIMER PARA PINTURA</t>
  </si>
  <si>
    <t>PORTA DE MADEIRA, FOLHA LEVE (NBR 15930) DE 800 X 2100 MM, DE 35 MM A 40 MM DE ESPESSURA, NUCLEO COLMEIA, CAPA LISA EM HDF, ACABAMENTO EM PRIMER PARA PINTURA</t>
  </si>
  <si>
    <t>PORTA DE MADEIRA, FOLHA LEVE (NBR 15930), DE 600 X 2100 MM, E = 35 MM, NUCLEO COLMEIA, CAPA LISA EM HDF, ACABAMENTO MELAMINICO EM PADRAO MADEIRA</t>
  </si>
  <si>
    <t>PORTA DE MADEIRA, FOLHA MEDIA (NBR 15930) DE 600 X 2100 MM, DE 35 MM A 40 MM DE ESPESSURA, NUCLEO SEMI-SOLIDO (SARRAFEADO), CAPA FRISADA EM HDF, ACABAMENTO MELAMINICO EM PADRAO MADEIRA</t>
  </si>
  <si>
    <t>PORTA DE MADEIRA, FOLHA MEDIA (NBR 15930) DE 600 X 2100 MM, DE 35 MM A 40 MM DE ESPESSURA, NUCLEO SEMI-SOLIDO (SARRAFEADO), CAPA LISA EM HDF, ACABAMENTO EM PRIMER PARA PINTURA</t>
  </si>
  <si>
    <t>PORTA DE MADEIRA, FOLHA MEDIA (NBR 15930) DE 600 X 2100 MM, DE 35 MM A 40 MM DE ESPESSURA, NUCLEO SEMI-SOLIDO (SARRAFEADO), CAPA LISA EM HDF, ACABAMENTO LAMINADO NATURAL PARA VERNIZ</t>
  </si>
  <si>
    <t>PORTA DE MADEIRA, FOLHA MEDIA (NBR 15930) DE 700 X 2100 MM, DE 35 MM A 40 MM DE ESPESSURA, NUCLEO SEMI-SOLIDO (SARRAFEADO), CAPA LISA EM HDF, ACABAMENTO EM PRIMER PARA PINTURA</t>
  </si>
  <si>
    <t>PORTA DE MADEIRA, FOLHA MEDIA (NBR 15930) DE 800 X 2100 MM, DE 35 MM A 40 MM DE ESPESSURA, NUCLEO SEMI-SOLIDO (SARRAFEADO), CAPA LISA EM HDF, ACABAMENTO EM PRIMER PARA PINTURA</t>
  </si>
  <si>
    <t>PORTA DE MADEIRA, FOLHA MEDIA (NBR 15930) DE 900 X 2100 MM, DE 35 MM A 40 MM DE ESPESSURA, NUCLEO SEMI-SOLIDO (SARRAFEADO), CAPA LISA EM HDF, ACABAMENTO EM PRIMER PARA PINTURA</t>
  </si>
  <si>
    <t>PORTA DE MADEIRA, FOLHA PESADA (NBR 15930) DE 800 X 2100 MM, DE 40 MM A 45 MM DE ESPESSURA, NUCLEO SOLIDO, CAPA LISA EM HDF, ACABAMENTO EM LAMINADO NATURAL PARA VERNIZ</t>
  </si>
  <si>
    <t>PORTA DE MADEIRA, FOLHA PESADA (NBR 15930) DE 800 X 2100 MM, DE 40 MM A 45 MM DE ESPESSURA, NUCLEO SOLIDO, CAPA LISA EM HDF, ACABAMENTO EM PRIMER PARA PINTURA</t>
  </si>
  <si>
    <t>PORTA DE MADEIRA, FOLHA PESADA (NBR 15930) DE 900 X 2100 MM, DE 40 MM A 45 MM DE ESPESSURA, NUCLEO SOLIDO, CAPA LISA EM HDF, ACABAMENTO EM LAMINADO NATURAL PARA VERNIZ</t>
  </si>
  <si>
    <t>PORTA DE MADEIRA, FOLHA PESADA (NBR 15930) DE 900 X 2100 MM, DE 40 MM A 45 MM DE ESPESSURA, NUCLEO SOLIDO, CAPA LISA EM HDF, ACABAMENTO EM PRIMER PARA PINTURA</t>
  </si>
  <si>
    <t>PORTA DE MADEIRA-DE-LEI QUADRICULADA PARA VIDRO, DE CORRER (ANGELIM OU EQUIVALENTE REGIONAL), E = *3,5* CM</t>
  </si>
  <si>
    <t>PORTA DE MADEIRA-DE-LEI TIPO VENEZIANA (ANGELIM OU EQUIVALENTE REGIONAL), E = *3,5* CM</t>
  </si>
  <si>
    <t>PORTA DENTE PARA FRESADORA</t>
  </si>
  <si>
    <t>PORTA GRADE DE ENROLAR MANUAL COMPLETA, PERFIL TUBULAR TIJOLINHO 3/4", EM ACO GALVANIZADO NATURAL (SEM INSTALACAO)</t>
  </si>
  <si>
    <t>PORTA TOALHA BANHO EM METAL CROMADO, TIPO BARRA</t>
  </si>
  <si>
    <t>PORTA TOALHA ROSTO EM METAL CROMADO, TIPO ARGOLA</t>
  </si>
  <si>
    <t>PORTA VIDRO TEMPERADO INCOLOR, 2 FOLHAS DE CORRER, E = 10 MM (SEM FERRAGENS E SEM COLOCACAO)</t>
  </si>
  <si>
    <t>PORTAO BASCULANTE, MANUAL, EM ACO GALVANIZADO, CHAPA 26, TIPO LAMBRIL, COM REQUADRO, ACABAMENTO NATURAL</t>
  </si>
  <si>
    <t>PORTAO DE ABRIR / GIRO, EM GRADIL DE METALON REDONDO DE 3/4" VERTICAL, COM REQUADRO, ACABAMENTO NATURAL - COMPLETO</t>
  </si>
  <si>
    <t>PORTAO DE CORRER EM CHAPA TIPO PAINEL LAMBRIL QUADRADO, COM PORTA SOCIAL COMPLETA INCLUIDA, COM REQUADRO, ACABAMENTO NATURAL, COM TRILHOS E ROLDANAS</t>
  </si>
  <si>
    <t>PORTAO DE CORRER EM GRADIL FIXO DE BARRA DE FERRO CHATA DE 3 X 1/4" NA VERTICAL, SEM REQUADRO, ACABAMENTO NATURAL, COM TRILHOS E ROLDANAS</t>
  </si>
  <si>
    <t>POSTE CONICO CONTINUO EM ACO GALVANIZADO, CURVO, BRACO DUPLO, ENGASTADO, H = 9 M, DIAMETRO INFERIOR/BASE = *135* MM</t>
  </si>
  <si>
    <t>POSTE CONICO CONTINUO EM ACO GALVANIZADO, CURVO, BRACO DUPLO, FLANGEADO, H = 9 M, DIAMETRO INFERIOR = *135* MM</t>
  </si>
  <si>
    <t>POSTE CONICO CONTINUO EM ACO GALVANIZADO, CURVO, BRACO SIMPLES, ENGASTADO, H = 9 M, DIAMETRO INFERIOR = *135* MM</t>
  </si>
  <si>
    <t>POSTE CONICO CONTINUO EM ACO GALVANIZADO, CURVO, BRACO SIMPLES, FLANGEADO, H = 7 M, DIAMETRO INFERIOR = *125* MM</t>
  </si>
  <si>
    <t>POSTE CONICO CONTINUO EM ACO GALVANIZADO, CURVO, BRACO SIMPLES, FLANGEADO, H = 9 M, DIAMETRO INFERIOR = *135* MM</t>
  </si>
  <si>
    <t>POSTE CONICO CONTINUO EM ACO GALVANIZADO, RETO, ENGASTADO, H = 7 M, DIAMETRO INFERIOR = *125* MM</t>
  </si>
  <si>
    <t>POSTE CONICO CONTINUO EM ACO GALVANIZADO, RETO, ENGASTADO, H = 9 M, DIAMETRO INFERIOR = *145* MM</t>
  </si>
  <si>
    <t>POSTE CONICO CONTINUO EM ACO GALVANIZADO, RETO, FLANGEADO, H = 3 M, DIAMETRO INFERIOR = *95* MM</t>
  </si>
  <si>
    <t>POSTE DE CONCRETO ARMADO DE SECAO CIRCULAR, EXTENSAO DE 10,00 M, RESISTENCIA DE 150 A 200 DAN, TIPO C-14</t>
  </si>
  <si>
    <t>POSTE DE CONCRETO ARMADO DE SECAO CIRCULAR, EXTENSAO DE 11,00 M, RESISTENCIA DE 200 A 300 DAN, TIPO C-14</t>
  </si>
  <si>
    <t>POSTE DE CONCRETO ARMADO DE SECAO CIRCULAR, EXTENSAO DE 11,00 M, RESISTENCIA DE 300 A 400 DAN, TIPO C-17</t>
  </si>
  <si>
    <t>POSTE DE CONCRETO ARMADO DE SECAO CIRCULAR, EXTENSAO DE 13,00 M, RESISTENCIA DE 1000 DAN, TIPO C-23</t>
  </si>
  <si>
    <t>POSTE DE CONCRETO ARMADO DE SECAO CIRCULAR, EXTENSAO DE 13,00 M, RESISTENCIA DE 1500 DAN, TIPO C-29</t>
  </si>
  <si>
    <t>POSTE DE CONCRETO ARMADO DE SECAO CIRCULAR, EXTENSAO DE 13,00 M, RESISTENCIA DE 2000 DAN, TIPO C-29</t>
  </si>
  <si>
    <t>POSTE DE CONCRETO ARMADO DE SECAO CIRCULAR, EXTENSAO DE 13,00 M, RESISTENCIA DE 2500 DAN, TIPO C-29</t>
  </si>
  <si>
    <t>POSTE DE CONCRETO ARMADO DE SECAO CIRCULAR, EXTENSAO DE 13,00 M, RESISTENCIA DE 3000 DAN, TIPO C-29</t>
  </si>
  <si>
    <t>POSTE DE CONCRETO ARMADO DE SECAO CIRCULAR, EXTENSAO DE 14,00 M, RESISTENCIA DE 1000 DAN, TIPO C-23</t>
  </si>
  <si>
    <t>POSTE DE CONCRETO ARMADO DE SECAO CIRCULAR, EXTENSAO DE 14,00 M, RESISTENCIA DE 1500 DAN, TIPO C-29</t>
  </si>
  <si>
    <t>POSTE DE CONCRETO ARMADO DE SECAO CIRCULAR, EXTENSAO DE 14,00 M, RESISTENCIA DE 2000 DAN, TIPO C-29</t>
  </si>
  <si>
    <t>POSTE DE CONCRETO ARMADO DE SECAO CIRCULAR, EXTENSAO DE 14,00 M, RESISTENCIA DE 2500 DAN, TIPO C-29</t>
  </si>
  <si>
    <t>POSTE DE CONCRETO ARMADO DE SECAO CIRCULAR, EXTENSAO DE 14,00 M, RESISTENCIA DE 300 A 400 DAN, TIPO C-17</t>
  </si>
  <si>
    <t>POSTE DE CONCRETO ARMADO DE SECAO CIRCULAR, EXTENSAO DE 14,00 M, RESISTENCIA DE 3000 DAN, TIPO C-29</t>
  </si>
  <si>
    <t>POSTE DE CONCRETO ARMADO DE SECAO CIRCULAR, EXTENSAO DE 15,00 M, RESISTENCIA DE 1000 DAN, TIPO C-23</t>
  </si>
  <si>
    <t>POSTE DE CONCRETO ARMADO DE SECAO CIRCULAR, EXTENSAO DE 15,00 M, RESISTENCIA DE 1500 DAN, TIPO C-29</t>
  </si>
  <si>
    <t>POSTE DE CONCRETO ARMADO DE SECAO CIRCULAR, EXTENSAO DE 15,00 M, RESISTENCIA DE 2000 DAN, TIPO C-29</t>
  </si>
  <si>
    <t>POSTE DE CONCRETO ARMADO DE SECAO CIRCULAR, EXTENSAO DE 15,00 M, RESISTENCIA DE 2500 DAN, TIPO C-29</t>
  </si>
  <si>
    <t>POSTE DE CONCRETO ARMADO DE SECAO CIRCULAR, EXTENSAO DE 15,00 M, RESISTENCIA DE 3000 DAN, TIPO C-29</t>
  </si>
  <si>
    <t>POSTE DE CONCRETO ARMADO DE SECAO CIRCULAR, EXTENSAO DE 9,00 M, RESISTENCIA DE 200 A 300 DAN, TIPO C-14</t>
  </si>
  <si>
    <t>POSTE DE CONCRETO ARMADO DE SECAO CIRCULAR, EXTENSAO DE 9,00 M, RESISTENCIA DE 300 A 400 DAN, TIPO C-17</t>
  </si>
  <si>
    <t>POSTE DE CONCRETO ARMADO DE SECAO DUPLO T, EXTENSAO DE 10,00 M, RESISTENCIA DE 1000 DAN, TIPO B-1,5</t>
  </si>
  <si>
    <t>POSTE DE CONCRETO ARMADO DE SECAO DUPLO T, EXTENSAO DE 10,00 M, RESISTENCIA DE 150 DAN, TIPO D</t>
  </si>
  <si>
    <t>POSTE DE CONCRETO ARMADO DE SECAO DUPLO T, EXTENSAO DE 10,00 M, RESISTENCIA DE 300 A 400 DAN, TIPO B OU D</t>
  </si>
  <si>
    <t>POSTE DE CONCRETO ARMADO DE SECAO DUPLO T, EXTENSAO DE 10,00 M, RESISTENCIA DE 600 DAN, TIPO B</t>
  </si>
  <si>
    <t>POSTE DE CONCRETO ARMADO DE SECAO DUPLO T, EXTENSAO DE 11,00 M, RESISTENCIA DE 1000 DAN, TIPO B-1,5</t>
  </si>
  <si>
    <t>POSTE DE CONCRETO ARMADO DE SECAO DUPLO T, EXTENSAO DE 11,00 M, RESISTENCIA DE 150 DAN, TIPO D</t>
  </si>
  <si>
    <t>POSTE DE CONCRETO ARMADO DE SECAO DUPLO T, EXTENSAO DE 11,00 M, RESISTENCIA DE 1500 DAN, TIPO B-3,0</t>
  </si>
  <si>
    <t>POSTE DE CONCRETO ARMADO DE SECAO DUPLO T, EXTENSAO DE 11,00 M, RESISTENCIA DE 200 DAN, TIPO D</t>
  </si>
  <si>
    <t>POSTE DE CONCRETO ARMADO DE SECAO DUPLO T, EXTENSAO DE 11,00 M, RESISTENCIA DE 2000 DAN, TIPO B-4,5</t>
  </si>
  <si>
    <t>POSTE DE CONCRETO ARMADO DE SECAO DUPLO T, EXTENSAO DE 11,00 M, RESISTENCIA DE 300 DAN, TIPO B</t>
  </si>
  <si>
    <t>POSTE DE CONCRETO ARMADO DE SECAO DUPLO T, EXTENSAO DE 11,00 M, RESISTENCIA DE 600 DAN, TIPO B</t>
  </si>
  <si>
    <t>POSTE DE CONCRETO ARMADO DE SECAO DUPLO T, EXTENSAO DE 12,00 M, RESISTENCIA DE 1000 DAN, TIPO B-1,5</t>
  </si>
  <si>
    <t>POSTE DE CONCRETO ARMADO DE SECAO DUPLO T, EXTENSAO DE 12,00 M, RESISTENCIA DE 150 DAN, TIPO D</t>
  </si>
  <si>
    <t>POSTE DE CONCRETO ARMADO DE SECAO DUPLO T, EXTENSAO DE 12,00 M, RESISTENCIA DE 1500 DAN, TIPO B-3,0</t>
  </si>
  <si>
    <t>POSTE DE CONCRETO ARMADO DE SECAO DUPLO T, EXTENSAO DE 12,00 M, RESISTENCIA DE 300 A 400 DAN, TIPO B OU D</t>
  </si>
  <si>
    <t>POSTE DE CONCRETO ARMADO DE SECAO DUPLO T, EXTENSAO DE 12,00 M, RESISTENCIA DE 3000 DAN, TIPO B-6,0</t>
  </si>
  <si>
    <t>POSTE DE CONCRETO ARMADO DE SECAO DUPLO T, EXTENSAO DE 12,00 M, RESISTENCIA DE 600 DAN, TIPO B</t>
  </si>
  <si>
    <t>POSTE DE CONCRETO ARMADO DE SECAO DUPLO T, EXTENSAO DE 13,00 M, RESISTENCIA DE 1000 DAN, TIPO B-1,5</t>
  </si>
  <si>
    <t>POSTE DE CONCRETO ARMADO DE SECAO DUPLO T, EXTENSAO DE 13,00 M, RESISTENCIA DE 1500 DAN, TIPO B-3,0</t>
  </si>
  <si>
    <t>POSTE DE CONCRETO ARMADO DE SECAO DUPLO T, EXTENSAO DE 13,00 M, RESISTENCIA DE 2000 DAN, TIPO B-4,5</t>
  </si>
  <si>
    <t>POSTE DE CONCRETO ARMADO DE SECAO DUPLO T, EXTENSAO DE 13,00 M, RESISTENCIA DE 300 DAN, TIPO B</t>
  </si>
  <si>
    <t>POSTE DE CONCRETO ARMADO DE SECAO DUPLO T, EXTENSAO DE 13,00 M, RESISTENCIA DE 600 DAN, TIPO B</t>
  </si>
  <si>
    <t>POSTE DE CONCRETO ARMADO DE SECAO DUPLO T, EXTENSAO DE 15,00 M, RESISTENCIA DE 1500 DAN, TIPO B-3,0</t>
  </si>
  <si>
    <t>POSTE DE CONCRETO ARMADO DE SECAO DUPLO T, EXTENSAO DE 15,00 M, RESISTENCIA DE 2000 DAN, TIPO B-4,5</t>
  </si>
  <si>
    <t>POSTE DE CONCRETO ARMADO DE SECAO DUPLO T, EXTENSAO DE 8,00 M, RESISTENCIA DE 150 DAN, TIPO D</t>
  </si>
  <si>
    <t>POSTE DE CONCRETO ARMADO DE SECAO DUPLO T, EXTENSAO DE 9,00 M, RESISTENCIA DE 1000 DAN, TIPO B-1,5</t>
  </si>
  <si>
    <t>POSTE DE CONCRETO ARMADO DE SECAO DUPLO T, EXTENSAO DE 9,00 M, RESISTENCIA DE 150 DAN, TIPO D</t>
  </si>
  <si>
    <t>POSTE DE CONCRETO ARMADO DE SECAO DUPLO T, EXTENSAO DE 9,00 M, RESISTENCIA DE 300 A 400 DAN, TIPO B OU D</t>
  </si>
  <si>
    <t>POSTE DE CONCRETO ARMADO DE SECAO DUPLO T, EXTENSAO DE 9,00 M, RESISTENCIA DE 600 DAN, TIPO B</t>
  </si>
  <si>
    <t>POSTE DECORATIVO PARA JARDIM EM ACO TUBULAR, SEM LUMINARIA, H = *2,5* M</t>
  </si>
  <si>
    <t>POSTE ROLICO DE MADEIRA TRATADA, D = 20 A 25 CM, H = 12,00 M, EM EUCALIPTO OU EQUIVALENTE DA REGIAO</t>
  </si>
  <si>
    <t>POSTES METALICOS AUTOPORTANTES, CONICO OU TELESCOPICO, PARA SPDA, ALTURA 10 METROS LIVRES</t>
  </si>
  <si>
    <t>POSTES METALICOS AUTOPORTANTES, CONICO OU TELESCOPICO, PARA SPDA, ALTURA 12 METROS LIVRES</t>
  </si>
  <si>
    <t>POSTES METALICOS AUTOPORTANTES, CONICO OU TELESCOPICO, PARA SPDA, ALTURA 15 METROS LIVRES</t>
  </si>
  <si>
    <t>POSTES METALICOS AUTOPORTANTES, CONICO OU TELESCOPICO, PARA SPDA, ALTURA 20 METROS LIVRES</t>
  </si>
  <si>
    <t>POZOLANA DE CLASSE C</t>
  </si>
  <si>
    <t>PRANCHA APARELHADA *4 X 30* CM, EM MACARANDUBA/MASSARANDUBA, ANGELIM OU EQUIVALENTE DA REGIAO</t>
  </si>
  <si>
    <t>PRANCHA NAO APARELHADA *6 X 25* CM, EM MACARANDUBA/MASSARANDUBA, ANGELIM OU EQUIVALENTE DA REGIAO - BRUTA</t>
  </si>
  <si>
    <t>PRANCHA NAO APARELHADA *6 X 30* CM, EM MACARANDUBA/MASSARANDUBA, ANGELIM OU EQUIVALENTE DA REGIAO - BRUTA</t>
  </si>
  <si>
    <t>PRANCHA NAO APARELHADA *6 X 40* CM, EM MACARANDUBA/MASSARANDUBA, ANGELIM OU EQUIVALENTE DA REGIAO - BRUTA</t>
  </si>
  <si>
    <t>PRANCHAO APARELHADO *7,5 X 23* CM, EM MACARANDUBA/MASSARANDUBA, ANGELIM OU EQUIVALENTE DA REGIAO</t>
  </si>
  <si>
    <t>PRANCHAO APARELHADO *8 X 30* CM, EM MACARANDUBA/MASSARANDUBA, ANGELIM OU EQUIVALENTE DA REGIAO</t>
  </si>
  <si>
    <t>PRANCHAO NAO APARELHADO *7,5 X 23* CM, EM MACARANDUBA/MASSARANDUBA, ANGELIM OU EQUIVALENTE DA REGIAO - BRUTA</t>
  </si>
  <si>
    <t>PRANCHAO NAO APARELHADO *8 X 30* CM, EM MACARANDUBA/MASSARANDUBA, ANGELIM OU EQUIVALENTE DA REGIAO - BRUTA</t>
  </si>
  <si>
    <t>PREGO DE ACO POLIDO COM CABECA 10 X 10 (7/8 X 17)</t>
  </si>
  <si>
    <t>PREGO DE ACO POLIDO COM CABECA 10 X 11 (1 X 17)</t>
  </si>
  <si>
    <t>PREGO DE ACO POLIDO COM CABECA 12 X 12</t>
  </si>
  <si>
    <t>PREGO DE ACO POLIDO COM CABECA 14 X 18 (1 1/2 X 14)</t>
  </si>
  <si>
    <t>PREGO DE ACO POLIDO COM CABECA 15 X 15 (1 1/4 X 13)</t>
  </si>
  <si>
    <t>PREGO DE ACO POLIDO COM CABECA 15 X 18 (1 1/2 X 13)</t>
  </si>
  <si>
    <t>PREGO DE ACO POLIDO COM CABECA 16 X 24 (2 1/4 X 12)</t>
  </si>
  <si>
    <t>PREGO DE ACO POLIDO COM CABECA 16 X 27 (2 1/2 X 12)</t>
  </si>
  <si>
    <t>PREGO DE ACO POLIDO COM CABECA 17 X 21 (2 X 11)</t>
  </si>
  <si>
    <t>PREGO DE ACO POLIDO COM CABECA 17 X 24 (2 1/4 X 11)</t>
  </si>
  <si>
    <t>PREGO DE ACO POLIDO COM CABECA 17 X 27 (2 1/2 X 11)</t>
  </si>
  <si>
    <t>PREGO DE ACO POLIDO COM CABECA 17 X 30 (2 3/4 X 11)</t>
  </si>
  <si>
    <t>PREGO DE ACO POLIDO COM CABECA 18 X 24 (2 1/4 X 10)</t>
  </si>
  <si>
    <t>PREGO DE ACO POLIDO COM CABECA 18 X 27 (2 1/2 X 10)</t>
  </si>
  <si>
    <t>PREGO DE ACO POLIDO COM CABECA 18 X 30 (2 3/4 X 10)</t>
  </si>
  <si>
    <t>PREGO DE ACO POLIDO COM CABECA 19 X 33 (3 X 9)</t>
  </si>
  <si>
    <t>PREGO DE ACO POLIDO COM CABECA 19 X 36 (3 1/4 X 9)</t>
  </si>
  <si>
    <t>PREGO DE ACO POLIDO COM CABECA 22 X 48 (4 1/4 X 5)</t>
  </si>
  <si>
    <t>PREGO DE ACO POLIDO COM CABECA DUPLA 17 X 27 (2 1/2 X 11)</t>
  </si>
  <si>
    <t>PREGO DE ACO POLIDO SEM CABECA 15 X 15 (1 1/4 X 13)</t>
  </si>
  <si>
    <t>PRESSAO DE PERNAS TRIPLO, EM TUBO DE ACO CARBONO, PINTURA NO PROCESSO ELETROSTATICO - EQUIPAMENTO DE GINASTICA PARA ACADEMIA AO AR LIVRE / ACADEMIA DA TERCEIRA IDADE - ATI</t>
  </si>
  <si>
    <t>PRIMER DE POLIURETANO</t>
  </si>
  <si>
    <t>PRIMER EPOXI / EPOXIDICO</t>
  </si>
  <si>
    <t>PRIMER PARA MANTA ASFALTICA A BASE DE ASFALTO MODIFICADO DILUIDO EM SOLVENTE, APLICACAO A FRIO</t>
  </si>
  <si>
    <t>PROJETOR DE ARGAMASSA, CAPACIDADE DE PROJECAO 1,5 M3/H, ALCANCE DA PROJECAO 30 ATE 60 M, MOTOR ELETRICO TRIFASICO</t>
  </si>
  <si>
    <t>PROJETOR DE ARGAMASSA, CAPACIDADE DE PROJECAO 2,0 M3/H, ALCANCE DA PROJECAO ATE 50 M, MOTOR ELETRICO TRIFASICO</t>
  </si>
  <si>
    <t>PROJETOR PNEUMATICO DE ARGAMASSA PARA CHAPISCO E REBOCO COM RECIPIENTE ACOPLADO, TIPO CANEQUINHA, COM VOLUME DE 1,50 L, SEM COMPRESSOR</t>
  </si>
  <si>
    <t>PROLONGADOR/ EXTENSOR TELESCOPICO, EM CHAPA METALICA, COM 3 METROS, PARA ROLO DE PINTURA</t>
  </si>
  <si>
    <t>PROLONGAMENTO / PROLONGADOR PARA CAIXA SIFONADA, PVC, 100 MM X 200 MM (NBR 5688)</t>
  </si>
  <si>
    <t>PROLONGAMENTO / PROLONGADOR PARA CAIXA SIFONADA, PVC, 150 MM X 150 MM (NBR 5688)</t>
  </si>
  <si>
    <t>PROLONGAMENTO / PROLONGADOR PARA CAIXA SIFONADA, PVC, 150 MM X 200 MM (NBR 5688)</t>
  </si>
  <si>
    <t>PROTETOR AUDITIVO TIPO CONCHA COM ABAFADOR DE RUIDOS, ATENUACAO ACIMA DE 22 DB</t>
  </si>
  <si>
    <t>PROTETOR AUDITIVO TIPO PLUG DE INSERCAO COM CORDAO, ATENUACAO SUPERIOR A 15 DB</t>
  </si>
  <si>
    <t>PROTETOR FACIAL ARCO ELETRICO, COM QUEIXEIRA E LENTE EM POLICARBONATO, CAPACETE INCLUIDO</t>
  </si>
  <si>
    <t>PROTETOR FACIAL DE POLICARBONATO, 200 MM X *390* MM, COM COROA E CARNEIRA</t>
  </si>
  <si>
    <t>PROTETOR SOLAR FPS 30, EMBALAGEM 2 LITROS</t>
  </si>
  <si>
    <t>PROTETOR/PONTEIRA PLASTICA PARA PONTA DE VERGALHAO DE ATE 1", TIPO PROTETOR DE ESPERA</t>
  </si>
  <si>
    <t>PRUMO DE CENTRO EM ACO *400* G, COM CORDAO EM NYLON E CALCO GUIA EM ACO OU MADEIRA</t>
  </si>
  <si>
    <t>PRUMO DE PAREDE EM ACO 700 A 750 G, COM CORDAO EM NYLON E TACO</t>
  </si>
  <si>
    <t>PULSADOR CAMPAINHA 10A, 250V (APENAS MODULO)</t>
  </si>
  <si>
    <t>PULSADOR CAMPAINHA 10A, 250V, CONJUNTO MONTADO PARA EMBUTIR 4" X 2" (PLACA + SUPORTE + MODULO)</t>
  </si>
  <si>
    <t>PULSADOR MINUTERIA 10A, 250V (APENAS MODULO)</t>
  </si>
  <si>
    <t>PULSADOR MINUTERIA 10A, 250V, CONJUNTO MONTADO PARA EMBUTIR 4" X 2" (PLACA + SUPORTE + MODULO)</t>
  </si>
  <si>
    <t>PUNHO PARA PERFURATRIZ DE ESTEIRA T38, D = 1 1/2" (38 MM), C = 380 MM</t>
  </si>
  <si>
    <t>PUXADOR DE EMBUTIR TIPO CONCHA, COM FURO PARA CHAVE, EM LATAO CROMADO, COMPRIMENTO DE APROX *100* MM E LARGURA DE APROX *40* MM</t>
  </si>
  <si>
    <t>PUXADOR TIPO ALCA, EM ZAMAC CROMADO, COM COMPRIMENTO DE APROX 150 MM, COM ROSETA PARA PORTAS DE MADEIRAS, INCLUINDO PARAFUSOS</t>
  </si>
  <si>
    <t>PUXADOR TIPO ALCA, EM ZAMAC CROMADO, COM ROSETAS, COMPRIMENTO DE APROX *100* MM, PARA PORTAS E JANELAS DE MADEIRA, INCLUINDO PARAFUSOS</t>
  </si>
  <si>
    <t>PUXADOR TUBULAR RETO DUPLO, EM ALUMINIO CROMADO, COMPRIMENTO DE APROX 400 MM E DIAMETRO DE 25 MM (1")</t>
  </si>
  <si>
    <t>PUXADOR TUBULAR RETO SIMPLES, EM ALUMINIO CROMADO, COM COMPRIMENTO DE APROX 400 MM E DIAMETRO DE 25 MM</t>
  </si>
  <si>
    <t>QUADRO DE DISTRIBUICAO COM BARRAMENTO TRIFASICO, DE EMBUTIR, EM CHAPA DE ACO GALVANIZADO, PARA 12 DISJUNTORES DIN, 100 A</t>
  </si>
  <si>
    <t>QUADRO DE DISTRIBUICAO COM BARRAMENTO TRIFASICO, DE EMBUTIR, EM CHAPA DE ACO GALVANIZADO, PARA 18 DISJUNTORES DIN, 100 A</t>
  </si>
  <si>
    <t>QUADRO DE DISTRIBUICAO COM BARRAMENTO TRIFASICO, DE EMBUTIR, EM CHAPA DE ACO GALVANIZADO, PARA 24 DISJUNTORES DIN, 100 A</t>
  </si>
  <si>
    <t>QUADRO DE DISTRIBUICAO COM BARRAMENTO TRIFASICO, DE EMBUTIR, EM CHAPA DE ACO GALVANIZADO, PARA 28 DISJUNTORES DIN, 100 A</t>
  </si>
  <si>
    <t>QUADRO DE DISTRIBUICAO COM BARRAMENTO TRIFASICO, DE EMBUTIR, EM CHAPA DE ACO GALVANIZADO, PARA 30 DISJUNTORES DIN, 150 A</t>
  </si>
  <si>
    <t>QUADRO DE DISTRIBUICAO COM BARRAMENTO TRIFASICO, DE EMBUTIR, EM CHAPA DE ACO GALVANIZADO, PARA 30 DISJUNTORES DIN, 225 A</t>
  </si>
  <si>
    <t>QUADRO DE DISTRIBUICAO COM BARRAMENTO TRIFASICO, DE EMBUTIR, EM CHAPA DE ACO GALVANIZADO, PARA 36 DISJUNTORES DIN, 100 A</t>
  </si>
  <si>
    <t>QUADRO DE DISTRIBUICAO COM BARRAMENTO TRIFASICO, DE EMBUTIR, EM CHAPA DE ACO GALVANIZADO, PARA 40 DISJUNTORES DIN, 100 A</t>
  </si>
  <si>
    <t>QUADRO DE DISTRIBUICAO COM BARRAMENTO TRIFASICO, DE EMBUTIR, EM CHAPA DE ACO GALVANIZADO, PARA 48 DISJUNTORES DIN, 100 A</t>
  </si>
  <si>
    <t>QUADRO DE DISTRIBUICAO COM BARRAMENTO TRIFASICO, DE SOBREPOR, EM CHAPA DE ACO GALVANIZADO, PARA *42* DISJUNTORES DIN, 100 A</t>
  </si>
  <si>
    <t>QUADRO DE DISTRIBUICAO COM BARRAMENTO TRIFASICO, DE SOBREPOR, EM CHAPA DE ACO GALVANIZADO, PARA 12 DISJUNTORES DIN, 100 A</t>
  </si>
  <si>
    <t>QUADRO DE DISTRIBUICAO COM BARRAMENTO TRIFASICO, DE SOBREPOR, EM CHAPA DE ACO GALVANIZADO, PARA 18 DISJUNTORES DIN, 100 A</t>
  </si>
  <si>
    <t>QUADRO DE DISTRIBUICAO COM BARRAMENTO TRIFASICO, DE SOBREPOR, EM CHAPA DE ACO GALVANIZADO, PARA 28 DISJUNTORES DIN, 100 A</t>
  </si>
  <si>
    <t>QUADRO DE DISTRIBUICAO COM BARRAMENTO TRIFASICO, DE SOBREPOR, EM CHAPA DE ACO GALVANIZADO, PARA 30 DISJUNTORES DIN, 100 A</t>
  </si>
  <si>
    <t>QUADRO DE DISTRIBUICAO COM BARRAMENTO TRIFASICO, DE SOBREPOR, EM CHAPA DE ACO GALVANIZADO, PARA 36 DISJUNTORES DIN, 100 A</t>
  </si>
  <si>
    <t>QUADRO DE DISTRIBUICAO COM BARRAMENTO TRIFASICO, DE SOBREPOR, EM CHAPA DE ACO GALVANIZADO, PARA 48 DISJUNTORES DIN, 100 A</t>
  </si>
  <si>
    <t>QUADRO DE DISTRIBUICAO, EM PVC, DE EMBUTIR, COM BARRAMENTO TERRA / NEUTRO, PARA 12 DISJUNTORES NEMA OU 16 DISJUNTORES DIN</t>
  </si>
  <si>
    <t>QUADRO DE DISTRIBUICAO, EM PVC, DE EMBUTIR, COM BARRAMENTO TERRA / NEUTRO, PARA 18 DISJUNTORES NEMA OU 24 DISJUNTORES DIN</t>
  </si>
  <si>
    <t>QUADRO DE DISTRIBUICAO, EM PVC, DE EMBUTIR, COM BARRAMENTO TERRA / NEUTRO, PARA 27 DISJUNTORES NEMA OU 36 DISJUNTORES DIN</t>
  </si>
  <si>
    <t>QUADRO DE DISTRIBUICAO, EM PVC, DE EMBUTIR, COM BARRAMENTO TERRA / NEUTRO, PARA 48 DISJUNTORES DIN</t>
  </si>
  <si>
    <t>QUADRO DE DISTRIBUICAO, EM PVC, DE EMBUTIR, COM BARRAMENTO TERRA / NEUTRO, PARA 6 DISJUNTORES NEMA OU 8 DISJUNTORES DIN</t>
  </si>
  <si>
    <t>QUADRO DE DISTRIBUICAO, SEM BARRAMENTO, EM PVC, DE EMBUTIR, PARA 12 DISJUNTORES NEMA OU 16 DISJUNTORES DIN</t>
  </si>
  <si>
    <t>QUADRO DE DISTRIBUICAO, SEM BARRAMENTO, EM PVC, DE EMBUTIR, PARA 18 DISJUNTORES NEMA OU 24 DISJUNTORES DIN</t>
  </si>
  <si>
    <t>QUADRO DE DISTRIBUICAO, SEM BARRAMENTO, EM PVC, DE EMBUTIR, PARA 27 DISJUNTORES NEMA OU 36 DISJUNTORES DIN</t>
  </si>
  <si>
    <t>QUADRO DE DISTRIBUICAO, SEM BARRAMENTO, EM PVC, DE EMBUTIR, PARA 3 DISJUNTORES NEMA OU 4 DISJUNTORES DIN</t>
  </si>
  <si>
    <t>QUADRO DE DISTRIBUICAO, SEM BARRAMENTO, EM PVC, DE EMBUTIR, PARA 6 DISJUNTORES NEMA OU 8 DISJUNTORES DIN</t>
  </si>
  <si>
    <t>QUADRO DE DISTRIBUICAO, SEM BARRAMENTO, EM PVC, DE SOBREPOR, PARA 12 DISJUNTORES NEMA OU 16 DISJUNTORES DIN</t>
  </si>
  <si>
    <t>QUADRO DE DISTRIBUICAO, SEM BARRAMENTO, EM PVC, DE SOBREPOR, PARA 18 DISJUNTORES NEMA OU 24 DISJUNTORES DIN</t>
  </si>
  <si>
    <t>QUADRO DE DISTRIBUICAO, SEM BARRAMENTO, EM PVC, DE SOBREPOR, PARA 27 DISJUNTORES NEMA OU 36 DISJUNTORES DIN</t>
  </si>
  <si>
    <t>QUADRO DE DISTRIBUICAO, SEM BARRAMENTO, EM PVC, DE SOBREPOR, PARA 3 DISJUNTORES NEMA OU 4 DISJUNTORES DIN</t>
  </si>
  <si>
    <t>QUADRO DE DISTRIBUICAO, SEM BARRAMENTO, EM PVC, DE SOBREPOR, PARA 6 DISJUNTORES NEMA OU 8 DISJUNTORES DIN</t>
  </si>
  <si>
    <t>RACK DE PISO PARA SERVIDOR, ABERTO, EM COLUNA, 44U X *570* MM</t>
  </si>
  <si>
    <t>RACK DE PISO PARA SERVIDOR, FECHADO, 44U, COM PORTA, 44U X *570* MM</t>
  </si>
  <si>
    <t>RALO FOFO COM REQUADRO, QUADRADO 150 X 150 MM</t>
  </si>
  <si>
    <t>RALO FOFO COM REQUADRO, QUADRADO 200 X 200 MM</t>
  </si>
  <si>
    <t>RALO FOFO COM REQUADRO, QUADRADO 250 X 250 MM</t>
  </si>
  <si>
    <t>RALO FOFO COM REQUADRO, QUADRADO 300 X 300 MM</t>
  </si>
  <si>
    <t>RALO FOFO COM REQUADRO, QUADRADO 400 X 400 MM</t>
  </si>
  <si>
    <t>RALO FOFO SEMIESFERICO, 100 MM, PARA LAJES/ CALHAS</t>
  </si>
  <si>
    <t>RALO FOFO SEMIESFERICO, 150 MM, PARA LAJES/ CALHAS</t>
  </si>
  <si>
    <t>RALO FOFO SEMIESFERICO, 200 MM, PARA LAJES/ CALHAS</t>
  </si>
  <si>
    <t>RALO FOFO SEMIESFERICO, 75 MM, PARA LAJES/ CALHAS</t>
  </si>
  <si>
    <t>RALO SECO / RALO DE PASSAGEM EM PVC, QUADRADO, 100 X 100 X 53 MM, SAIDA 40 MM, COM GRELHA BRANCA</t>
  </si>
  <si>
    <t>RALO SECO CONICO, PVC, 100 X 40 MM, COM GRELHA QUADRADA BRANCA</t>
  </si>
  <si>
    <t>RALO SECO CONICO, PVC, 100 X 40 MM, COM GRELHA REDONDA BRANCA</t>
  </si>
  <si>
    <t>RALO SIFONADO CILINDRICO, PVC, 100 X 40 MM, COM GRELHA REDONDA BRANCA</t>
  </si>
  <si>
    <t>RALO SIFONADO QUADRADO, PVC, 100 X 53 MM, SAIDA 40 MM, COM GRELHA QUADRADA BRANCA</t>
  </si>
  <si>
    <t>RALO SIFONADO REDONDO CONICO, PVC, 100 X 40 MM, COM GRELHA REDONDA BRANCA</t>
  </si>
  <si>
    <t>REBITE DE REPUXO EM ALUMINIO VAZADO, DIAMETRO 3,2 X 8 MM DE COMPRIMENTO (1KG = 1025 UNIDADES)</t>
  </si>
  <si>
    <t>REBOLO ABRASIVO RETO DE USO GERAL GRAO 36, DE 6 X 1" (DIAMETRO X ESPESSURA)</t>
  </si>
  <si>
    <t>REBOLO ABRASIVO RETO DE USO GERAL GRAO 36, DE 6 X 3/4" (DIAMETRO X ESPESSURA)</t>
  </si>
  <si>
    <t>RECICLADORA DE ASFALTO A FRIO SOBRE RODAS, LARG. FRESAGEM 2,00 M, POT. 315 KW/422 HP</t>
  </si>
  <si>
    <t>REDUCAO CONCENTRICA PARA ELETROCALHA, PERFURADA, EM CHAPA DE ACO GALVANIZADO ESPESSURA #14, (700 X 600 MM) X 50 MM, SEM VIROLA, SEM TAMPA</t>
  </si>
  <si>
    <t>REDUCAO CONCENTRICA PARA ELETROCALHA, PERFURADA, EM CHAPA DE ACO GALVANIZADO ESPESSURA #14, (800 X 700 MM) X 50 MM, SEM VIROLA, SEM TAMPA</t>
  </si>
  <si>
    <t>REDUCAO CONCENTRICA PARA ELETROCALHA, PERFURADA, EM CHAPA DE ACO GALVANIZADO ESPESSURA #16, (500 X 400 MM) X 50 MM (L X A), SEM VIROLA, SEM TAMPA</t>
  </si>
  <si>
    <t>REDUCAO CONCENTRICA PARA ELETROCALHA, PERFURADA, EM CHAPA DE ACO GALVANIZADO ESPESSURA #16, (600 X 500 MM) X 50 MM, SEM VIROLA, SEM TAMPA</t>
  </si>
  <si>
    <t>REDUCAO CONCENTRICA PARA ELETROCALHA, PERFURADA, EM CHAPA DE ACO GALVANIZADO ESPESSURA #18, (300 X 250 MM) X 50 MM (L X A), SEM VIROLA, SEM TAMPA</t>
  </si>
  <si>
    <t>REDUCAO CONCENTRICA PARA ELETROCALHA, PERFURADA, EM CHAPA DE ACO GALVANIZADO ESPESSURA #18, (400 X 300 MM) X 50 MM (L X A), SEM VIROLA, SEM TAMPA</t>
  </si>
  <si>
    <t>REDUCAO CONCENTRICA PARA ELETROCALHA, PERFURADA, EM CHAPA DE ACO GALVANIZADO ESPESSURA #22, (100 X 75 MM) X 50 MM (L X A), SEM VIROLA, SEM TAMPA</t>
  </si>
  <si>
    <t>REDUCAO CONCENTRICA PARA ELETROCALHA, PERFURADA, EM CHAPA DE ACO GALVANIZADO ESPESSURA #22, (125 X100 MM) X 50 MM (L X A), SEM VIROLA, SEM TAMPA</t>
  </si>
  <si>
    <t>REDUCAO CONCENTRICA PARA ELETROCALHA, PERFURADA, EM CHAPA DE ACO GALVANIZADO ESPESSURA #22, (150 X125 MM) X 50 MM (L X A), SEM VIROLA, SEM TAMPA</t>
  </si>
  <si>
    <t>REDUCAO CONCENTRICA PARA ELETROCALHA, PERFURADA, EM CHAPA DE ACO GALVANIZADO ESPESSURA #22, (200 X 150 MM) X 50 MM (L X A), SEM VIROLA, SEM TAMPA</t>
  </si>
  <si>
    <t>REDUCAO CONCENTRICA PARA ELETROCALHA, PERFURADA, EM CHAPA DE ACO GALVANIZADO ESPESSURA #22, (250 X 200 MM) X 50 MM (L X A), SEM VIROLA, SEM TAMPA</t>
  </si>
  <si>
    <t>REDUCAO CONCENTRICA PARA ELETROCALHA, PERFURADA, EM CHAPA DE ACO GALVANIZADO ESPESSURA #22, (75 X 50 MM) X 50 MM (L X A), SEM VIROLA, SEM TAMPA</t>
  </si>
  <si>
    <t>REDUCAO EXCENTRICA PVC, DN 100 X 50 MM, PARA ESGOTO PREDIAL</t>
  </si>
  <si>
    <t>REDUCAO EXCENTRICA PVC, DN 100 X 75 MM, PARA ESGOTO PREDIAL</t>
  </si>
  <si>
    <t>REDUCAO EXCENTRICA PVC, DN 75 X 50 MM, PARA ESGOTO PREDIAL</t>
  </si>
  <si>
    <t>REDUCAO EXCENTRICA PVC, SERIE R, DN 100 X 75 MM, PARA ESGOTO PREDIAL</t>
  </si>
  <si>
    <t>REDUCAO EXCENTRICA PVC, SERIE R, DN 150 X 100 MM, PARA ESGOTO PREDIAL</t>
  </si>
  <si>
    <t>REDUCAO EXCENTRICA PVC, SERIE R, DN 75 X 50 MM, PARA ESGOTO PREDIAL</t>
  </si>
  <si>
    <t>REDUCAO FIXA TIPO STORZ, ENGATE RAPIDO 2.1/2" X 1.1/2", EM LATAO, PARA INSTALACAO PREDIAL COMBATE A INCENDIO PREDIAL</t>
  </si>
  <si>
    <t>REDUCAO PVC PBA, JE, PB, DN 100 X 50 / DE 110 X 60 MM, PARA REDE DE AGUA</t>
  </si>
  <si>
    <t>REDUCAO PVC PBA, JE, PB, DN 100 X 75 / DE 110 X 85 MM, PARA REDE DE AGUA</t>
  </si>
  <si>
    <t>REDUCAO PVC PBA, JE, PB, DN 75 X 50 / DE 85 X 60 MM, PARA REDE DE AGUA</t>
  </si>
  <si>
    <t>REGISTRO DE ESFERA DE PASSEIO, PVC PARA POLIETILENO, 20 MM</t>
  </si>
  <si>
    <t>REGISTRO DE ESFERA PVC, COM BORBOLETA, COM ROSCA EXTERNA, DE 1/2"</t>
  </si>
  <si>
    <t>REGISTRO DE ESFERA PVC, COM BORBOLETA, COM ROSCA EXTERNA, DE 3/4"</t>
  </si>
  <si>
    <t>REGISTRO DE ESFERA PVC, COM CABECA QUADRADA, COM ROSCA EXTERNA, 1/2"</t>
  </si>
  <si>
    <t>REGISTRO DE ESFERA PVC, COM CABECA QUADRADA, COM ROSCA EXTERNA, 3/4"</t>
  </si>
  <si>
    <t>REGISTRO DE ESFERA, PVC, COM VOLANTE, VS, ROSCAVEL, DN 1 1/2", COM CORPO DIVIDIDO</t>
  </si>
  <si>
    <t>REGISTRO DE ESFERA, PVC, COM VOLANTE, VS, ROSCAVEL, DN 1 1/4", COM CORPO DIVIDIDO</t>
  </si>
  <si>
    <t>REGISTRO DE ESFERA, PVC, COM VOLANTE, VS, ROSCAVEL, DN 1", COM CORPO DIVIDIDO</t>
  </si>
  <si>
    <t>REGISTRO DE ESFERA, PVC, COM VOLANTE, VS, ROSCAVEL, DN 1/2", COM CORPO DIVIDIDO</t>
  </si>
  <si>
    <t>REGISTRO DE ESFERA, PVC, COM VOLANTE, VS, ROSCAVEL, DN 2", COM CORPO DIVIDIDO</t>
  </si>
  <si>
    <t>REGISTRO DE ESFERA, PVC, COM VOLANTE, VS, ROSCAVEL, DN 3/4", COM CORPO DIVIDIDO</t>
  </si>
  <si>
    <t>REGISTRO DE ESFERA, PVC, COM VOLANTE, VS, SOLDAVEL, DN 20 MM, COM CORPO DIVIDIDO</t>
  </si>
  <si>
    <t>REGISTRO DE ESFERA, PVC, COM VOLANTE, VS, SOLDAVEL, DN 25 MM, COM CORPO DIVIDIDO</t>
  </si>
  <si>
    <t>REGISTRO DE ESFERA, PVC, COM VOLANTE, VS, SOLDAVEL, DN 32 MM, COM CORPO DIVIDIDO</t>
  </si>
  <si>
    <t>REGISTRO DE ESFERA, PVC, COM VOLANTE, VS, SOLDAVEL, DN 40 MM, COM CORPO DIVIDIDO</t>
  </si>
  <si>
    <t>REGISTRO DE ESFERA, PVC, COM VOLANTE, VS, SOLDAVEL, DN 50 MM, COM CORPO DIVIDIDO</t>
  </si>
  <si>
    <t>REGISTRO DE ESFERA, PVC, COM VOLANTE, VS, SOLDAVEL, DN 60 MM, COM CORPO DIVIDIDO</t>
  </si>
  <si>
    <t>REGISTRO DE PRESSAO PVC, ROSCAVEL, VOLANTE SIMPLES, DE 1/2"</t>
  </si>
  <si>
    <t>REGISTRO DE PRESSAO PVC, ROSCAVEL, VOLANTE SIMPLES, DE 3/4"</t>
  </si>
  <si>
    <t>REGISTRO DE PRESSAO PVC, SOLDAVEL, VOLANTE SIMPLES, DE 20 MM</t>
  </si>
  <si>
    <t>REGISTRO DE PRESSAO PVC, SOLDAVEL, VOLANTE SIMPLES, DE 25 MM</t>
  </si>
  <si>
    <t>REGISTRO GAVETA BRUTO EM LATAO FORJADO, BITOLA 1 1/2"</t>
  </si>
  <si>
    <t>REGISTRO GAVETA BRUTO EM LATAO FORJADO, BITOLA 1 1/4"</t>
  </si>
  <si>
    <t>REGISTRO GAVETA BRUTO EM LATAO FORJADO, BITOLA 1"</t>
  </si>
  <si>
    <t>REGISTRO GAVETA BRUTO EM LATAO FORJADO, BITOLA 1/2"</t>
  </si>
  <si>
    <t>REGISTRO GAVETA BRUTO EM LATAO FORJADO, BITOLA 2 1/2"</t>
  </si>
  <si>
    <t>REGISTRO GAVETA BRUTO EM LATAO FORJADO, BITOLA 2"</t>
  </si>
  <si>
    <t>REGISTRO GAVETA BRUTO EM LATAO FORJADO, BITOLA 3"</t>
  </si>
  <si>
    <t>REGISTRO GAVETA BRUTO EM LATAO FORJADO, BITOLA 3/4"</t>
  </si>
  <si>
    <t>REGISTRO GAVETA BRUTO EM LATAO FORJADO, BITOLA 4"</t>
  </si>
  <si>
    <t>REGISTRO GAVETA COM ACABAMENTO E CANOPLA CROMADOS, SIMPLES, BITOLA 1 1/2"</t>
  </si>
  <si>
    <t>REGISTRO GAVETA COM ACABAMENTO E CANOPLA CROMADOS, SIMPLES, BITOLA 1 1/4"</t>
  </si>
  <si>
    <t>REGISTRO GAVETA COM ACABAMENTO E CANOPLA CROMADOS, SIMPLES, BITOLA 1"</t>
  </si>
  <si>
    <t>REGISTRO GAVETA COM ACABAMENTO E CANOPLA CROMADOS, SIMPLES, BITOLA 1/2"</t>
  </si>
  <si>
    <t>REGISTRO GAVETA COM ACABAMENTO E CANOPLA CROMADOS, SIMPLES, BITOLA 3/4"</t>
  </si>
  <si>
    <t>REGISTRO OU REGULADOR DE GAS COZINHA, VAZAO DE 2 KG/H, 2,8 KPA</t>
  </si>
  <si>
    <t>REGISTRO OU VALVULA GLOBO ANGULAR EM LATAO, PARA HIDRANTES EM INSTALACAO PREDIAL DE INCENDIO, 45 GRAUS, DIAMETRO DE 2 1/2", COM VOLANTE, CLASSE DE PRESSAO DE ATE 200 PSI</t>
  </si>
  <si>
    <t>REGISTRO PRESSAO BRUTO EM LATAO FORJADO, BITOLA 1/2"</t>
  </si>
  <si>
    <t>REGISTRO PRESSAO BRUTO EM LATAO FORJADO, BITOLA 3/4"</t>
  </si>
  <si>
    <t>REGISTRO PRESSAO COM ACABAMENTO E CANOPLA CROMADA, SIMPLES, BITOLA 1/2"</t>
  </si>
  <si>
    <t>REGISTRO PRESSAO COM ACABAMENTO E CANOPLA CROMADA, SIMPLES, BITOLA 3/4"</t>
  </si>
  <si>
    <t>REGUA DE ALUMINIO PARA PEDREIRO 2 M X *25,5* MM</t>
  </si>
  <si>
    <t>REGUA VIBRADORA DUPLA PARA CONCRETO A GASOLINA 5,5 HP, PESO DE 60 KG, COMPRIMENTO 4 M</t>
  </si>
  <si>
    <t>REJUNTE CIMENTICIO, QUALQUER COR</t>
  </si>
  <si>
    <t>REJUNTE EPOXI, QUALQUER COR</t>
  </si>
  <si>
    <t>RELE FOTOELETRICO INTERNO E EXTERNO BIVOLT 1000 W, DE CONECTOR, SEM BASE</t>
  </si>
  <si>
    <t>RELE TERMICO BIMETAL PARA USO EM MOTORES TRIFASICOS, TENSAO 380 V, POTENCIA ATE 15 CV, CORRENTE NOMINAL MAXIMA 22 A</t>
  </si>
  <si>
    <t>RESINA ACRILICA PREMIUM BASE AGUA - COR BRANCA</t>
  </si>
  <si>
    <t>RESPIRADOR / MASCARA SEMI FACIAL COM UMA VALVULA DE INALACAO E DUAS DE EXALACAO, PROTECAO CONTRA VAPORES ORGANICOS E GASES ACIDOS (1 FILTRO INCLUIDO)</t>
  </si>
  <si>
    <t>RESPIRADOR DESCARTAVEL SEM VALVULA DE EXALACAO, PFF 1</t>
  </si>
  <si>
    <t>RETARDO PARA CORDEL DETONANTE</t>
  </si>
  <si>
    <t>RETROESCAVADEIRA SOBRE RODAS COM CARREGADEIRA, TRACAO 4 X 2, POTENCIA LIQUIDA 79 HP, PESO OPERACIONAL MINIMO DE 6570 KG, CAPACIDADE DA CARREGADEIRA DE 1,00 M3 E DA RETROESCAVADEIRA MINIMA DE 0,20 M3, PROFUNDIDADE DE ESCAVACAO MAXIMA DE 4,37 M</t>
  </si>
  <si>
    <t>RETROESCAVADEIRA SOBRE RODAS COM CARREGADEIRA, TRACAO 4 X 4, POTENCIA LIQUIDA 72 HP, PESO OPERACIONAL MINIMO DE 7140 KG, CAPACIDADE MINIMA DA CARREGADEIRA DE 0,79 M3 E DA RETROESCAVADEIRA MINIMA DE 0,18 M3, PROFUNDIDADE DE ESCAVACAO MAXIMA DE 4,50 M</t>
  </si>
  <si>
    <t>RETROESCAVADEIRA SOBRE RODAS COM CARREGADEIRA, TRACAO 4 X 4, POTENCIA LIQUIDA 88 HP, PESO OPERACIONAL MINIMO DE 6674 KG, CAPACIDADE DA CARREGADEIRA DE 1,00 M3 E DA RETROESCAVADEIRA MINIMA DE 0,26 M3, PROFUNDIDADE DE ESCAVACAO MAXIMA DE 4,37 M</t>
  </si>
  <si>
    <t>REVESTIMENTO DE PAREDE EM GRANILITE, MARMORITE OU GRANITINA - ESP = 5 MM (INCLUSO EXECUCAO)</t>
  </si>
  <si>
    <t>REVESTIMENTO DE PAREDE EM GRANILITE, MARMORITE OU GRANITINA COLORIDO - ESP = 5 MM (INCLUSO EXECUCAO)</t>
  </si>
  <si>
    <t>REVESTIMENTO EM CERAMICA ESMALTADA PARA FACHADAS, PECAS NO FORMATO APROX. *5 X 15* CM, FORNECIDAS EM PLACAS COM PECAS UNIDAS EM PONTOS</t>
  </si>
  <si>
    <t>REVESTIMENTO EM CERAMICA ESMALTADA PARA FACHADAS, PECAS NO FORMATO APROX. *7 X 26* CM, FORNECIDAS EM PLACAS COM PECAS UNIDAS EM PONTOS</t>
  </si>
  <si>
    <t>REVESTIMENTO EM CERAMICA ESMALTADA, FORMATO MAIOR A 2025 CM2</t>
  </si>
  <si>
    <t>REVESTIMENTO EPOXI DE ALTA RESISTENCIA QUIMICA, ISENTO DE SOLVENTES, BICOMPONENTE</t>
  </si>
  <si>
    <t>REVESTIMENTO PARA ESCADA EM GRANILITE, MARMORITE OU GRANITINA ESP = 8 MM (INCLUSO EXECUCAO)</t>
  </si>
  <si>
    <t>REVESTIMENTO PARA PAREDE, EM CERAMICA ESMALTADA, FORMATO MENOR OU IGUAL A 2025 CM2</t>
  </si>
  <si>
    <t>RIPA APARELHADA *1,5 X 5* CM, EM MACARANDUBA/MASSARANDUBA, ANGELIM OU EQUIVALENTE DA REGIAO</t>
  </si>
  <si>
    <t>RIPA NAO APARELHADA *1 X 3* CM, EM MACARANDUBA/MASSARANDUBA, ANGELIM OU EQUIVALENTE DA REGIAO - BRUTA</t>
  </si>
  <si>
    <t>RIPA NAO APARELHADA, *1,5 X 5* CM, EM MACARANDUBA/MASSARANDUBA, ANGELIM OU EQUIVALENTE DA REGIAO - BRUTA</t>
  </si>
  <si>
    <t>RISCADOR DE FORMICA COM COMPRIMENTO *16* CM E ALTURA *5* CM</t>
  </si>
  <si>
    <t>RODAFORRO EM PVC, PARA FORRO DE PVC, COMPRIMENTO 6 M</t>
  </si>
  <si>
    <t>RODAPE ARDOSIA, CINZA, 10 CM, E= *1CM</t>
  </si>
  <si>
    <t>RODAPE DE MADEIRA MACICA CUMARU/IPE CHAMPANHE OU EQUIVALENTE DA REGIAO, *1,5 X 7 CM</t>
  </si>
  <si>
    <t>RODAPE EM MARMORE, POLIDO, BRANCO COMUM, L= *7* CM, E= *2* CM, CORTE RETO</t>
  </si>
  <si>
    <t>RODAPE EM POLIESTIRENO, BRANCO, H = *5* CM, E = *1,5* CM</t>
  </si>
  <si>
    <t>RODAPE OU RODABANCADA EM GRANITO, POLIDO, TIPO ANDORINHA/ QUARTZ/ CASTELO/ CORUMBA OU OUTROS EQUIVALENTES DA REGIAO, H= 10 CM, E= *2,0* CM</t>
  </si>
  <si>
    <t>RODAPE PLANO PARA PISO VINILICO, H = 5 CM</t>
  </si>
  <si>
    <t>RODAPE PRE-MOLDADO DE GRANILITE, MARMORITE OU GRANITINA L = 10 CM</t>
  </si>
  <si>
    <t>RODIZIO TIPO NAPOLEAO PARA JANELAS DE CORRER, EM ZAMAC, COMPRIMENTO DE APROX 60 CM, COM ROLAMENTO EM ACO</t>
  </si>
  <si>
    <t>RODO PARA CHAO 40 CM, COM BORRACHA DUPLA E CABO</t>
  </si>
  <si>
    <t>ROLDANA CONCAVA DUPLA, 4 RODAS, EM ZAMAC COM CHAPA DE LATAO, ROLAMENTOS EM ACO, PARA PORTAS E JANELAS DE CORRER</t>
  </si>
  <si>
    <t>ROLDANA CONCAVA DUPLA, 4 RODAS, PARA PORTA DE CORRER, EM ZAMAC COM CHAPA DE ACO, ROLAMENTO INTERNO BLINDADO DE ACO REVESTIDO EM NYLON</t>
  </si>
  <si>
    <t>ROLDANA PLASTICA COM PREGO, TAMANHO 30 X 30 MM, PARA INSTALACAO ELETRICA APARENTE</t>
  </si>
  <si>
    <t>ROLO COMPACTADOR DE PNEUS, ESTATICO, PRESSAO VARIAVEL, POTENCIA 110 HP, PESO SEM/COM LASTRO 10,8/27 T, LARGURA DE ROLAGEM 2,30 M</t>
  </si>
  <si>
    <t>ROLO COMPACTADOR DE PNEUS, ESTATICO, PRESSAO VARIAVEL, POTENCIA 111 HP, PESO SEM/COM LASTRO 9,5/26,0 T, LARGURA DE ROLAGEM 1,90 M</t>
  </si>
  <si>
    <t>ROLO COMPACTADOR PE DE CARNEIRO VIBRATORIO, POTENCIA 125 HP, PESO OPERACIONAL SEM/COM LASTRO 11,95/13,30 T, IMPACTO DINAMICO 38,5/22,5 T, LARGURA DE TRABALHO 2,15 M</t>
  </si>
  <si>
    <t>ROLO COMPACTADOR PE DE CARNEIRO VIBRATORIO, POTENCIA 80 HP, PESO OPERACIONAL SEM/COM LASTRO 7,4/8,8 T, LARGURA DE TRABALHO 1,68 M</t>
  </si>
  <si>
    <t>ROLO COMPACTADOR VIBRATORIO DE UM CILINDRO, ACO LISO, POTENCIA 80 HP, PESO OPERACIONAL MAXIMO 8,1 T, IMPACTO DINAMICO 16,15/9,5 T, LARGURA TRABALHO 1,68 M</t>
  </si>
  <si>
    <t>ROLO COMPACTADOR VIBRATORIO PE DE CARNEIRO, COM CONTROLE REMOTO POR RADIO, POTENCIA 12,5 KW, PESO OPERACIONAL DE 1,675 T, LARGURA DE TRABALHO 0,85 M</t>
  </si>
  <si>
    <t>ROLO COMPACTADOR VIBRATORIO REBOCAVEL, CILINDRO DE ACO LISO, POTENCIA DE TRACAO DE 65 CV, PESO DE 4,7 T, IMPACTO DINAMICO TOTAL DE 18,3 T, LARGURA DO ROLO 1,67 M</t>
  </si>
  <si>
    <t>ROLO COMPACTADOR VIBRATORIO TANDEM, ACO LISO, POTENCIA 125 HP, PESO SEM/COM LASTRO 10,20/11,65 T, LARGURA DE TRABALHO 1,73 M</t>
  </si>
  <si>
    <t>ROLO COMPACTADOR VIBRATORIO TANDEM, ACO LISO, POTENCIA 58 CV, PESO SEM/COM LASTRO 6,5/9,4 T, LARGURA DE TRABALHO 1,20 M</t>
  </si>
  <si>
    <t>ROLO DE ESPUMA POLIESTER, 23 CM X 68 MM (COMPRIMENTO X DIAMETRO), SEM CABO</t>
  </si>
  <si>
    <t>ROLO DE ESPUMA POLIESTER, 9 CM X 10 MM, COM CABO</t>
  </si>
  <si>
    <t>ROLO DE LA DE CARNEIRO 25 MM X 23 CM (ALTURA DA LA X COMPRIMENTO), SEM CABO</t>
  </si>
  <si>
    <t>ROSETA QUADRADA, SEM FUROS, EM ACO INOX POLIDO, LARGURA APROXIMADA DE 50 MM, PARA FECHADURA DE PORTA - PARAFUSOS INCLUIDOS</t>
  </si>
  <si>
    <t>ROSETA REDONDA DE SOBREPOR, SEM FUROS, EM ACO INOX POLIDO, DIAMETRO APROXIMADO DE 50 MM, PARA FECHADURA DE PORTA - PARAFUSOS INCLUIDOS</t>
  </si>
  <si>
    <t>ROTACAO DIAGONAL DUPLA, APARELHO TRIPLO, EM TUBO DE ACO CARBONO, PINTURA NO PROCESSO ELETROSTATICO - EQUIPAMENTO DE GINASTICA PARA ACADEMIA AO AR LIVRE / ACADEMIA DA TERCEIRA IDADE - ATI</t>
  </si>
  <si>
    <t>ROTACAO VERTICAL DUPLO, EM TUBO DE ACO CARBONO, PINTURA NO PROCESSO ELETROSTATICO - EQUIPAMENTO DE GINASTICA PARA ACADEMIA AO AR LIVRE / ACADEMIA DA TERCEIRA IDADE - ATI</t>
  </si>
  <si>
    <t>RUFO EXTERNO DE CHAPA DE ACO GALVANIZADA NUM 26, CORTE 25 CM</t>
  </si>
  <si>
    <t>RUFO EXTERNO DE CHAPA DE ACO GALVANIZADA NUM 26, CORTE 28 CM</t>
  </si>
  <si>
    <t>RUFO EXTERNO/INTERNO DE CHAPA DE ACO GALVANIZADA NUM 26, CORTE 33 CM</t>
  </si>
  <si>
    <t>RUFO INTERNO DE CHAPA DE ACO GALVANIZADA NUM 26, CORTE 50 CM</t>
  </si>
  <si>
    <t>RUFO INTERNO/EXTERNO DE CHAPA DE ACO GALVANIZADA NUM 24, CORTE 25 CM</t>
  </si>
  <si>
    <t>RUFO PARA TELHA ESTRUTURAL DE FIBROCIMENTO 1 ABA (SEM AMIANTO)</t>
  </si>
  <si>
    <t>RUFO PARA TELHA ONDULADA DE FIBROCIMENTO, E = 6 MM, ABA *260* MM, COMPRIMENTO 1100 MM (SEM AMIANTO)</t>
  </si>
  <si>
    <t>SABONETEIRA DE PAREDE EM METAL CROMADO</t>
  </si>
  <si>
    <t>SABONETEIRA PLASTICA TIPO DISPENSER PARA SABONETE LIQUIDO COM RESERVATORIO 800 A 1500 ML</t>
  </si>
  <si>
    <t>SACO DE RAFIA PARA ENTULHO, NOVO, LISO (SEM CLICHE), *60 X 90* CM</t>
  </si>
  <si>
    <t>SAIBRO PARA ARGAMASSA (COLETADO NO COMERCIO)</t>
  </si>
  <si>
    <t>SAPATA DE PVC ADITIVADO NERVURADO D = 6 POLEGADAS</t>
  </si>
  <si>
    <t>SAPATA DE PVC ADITIVADO NERVURADO D = 8 POLEGADAS</t>
  </si>
  <si>
    <t>SAPATILHA EM ACO GALVANIZADO PARA CABOS COM DIAMETRO NOMINAL ATE 5/8"</t>
  </si>
  <si>
    <t>SARRAFO *2,5 X 10* CM EM PINUS, MISTA OU EQUIVALENTE DA REGIAO - BRUTA</t>
  </si>
  <si>
    <t>SARRAFO *2,5 X 5* CM EM PINUS, MISTA OU EQUIVALENTE DA REGIAO - BRUTA</t>
  </si>
  <si>
    <t>SARRAFO *2,5 X 7,5* CM EM PINUS, MISTA OU EQUIVALENTE DA REGIAO - BRUTA</t>
  </si>
  <si>
    <t>SARRAFO APARELHADO *2 X 10* CM, EM MACARANDUBA/MASSARANDUBA, ANGELIM OU EQUIVALENTE DA REGIAO</t>
  </si>
  <si>
    <t>SARRAFO NAO APARELHADO *2,5 X 10* CM, EM MACARANDUBA/MASSARANDUBA, ANGELIM OU EQUIVALENTE DA REGIAO - BRUTA</t>
  </si>
  <si>
    <t>SARRAFO NAO APARELHADO *2,5 X 5* CM, EM MACARANDUBA/MASSARANDUBA, ANGELIM, PEROBA-ROSA OU EQUIVALENTE DA REGIAO - BRUTA</t>
  </si>
  <si>
    <t>SARRAFO NAO APARELHADO *2,5 X 7* CM, EM MACARANDUBA/MASSARANDUBA, ANGELIM, PEROBA-ROSA OU EQUIVALENTE DA REGIAO - BRUTA</t>
  </si>
  <si>
    <t>SEGURO - HORISTA (COLETADO CAIXA - ENCARGOS COMPLEMENTARES)</t>
  </si>
  <si>
    <t>SEGURO - MENSALISTA (COLETADO CAIXA - ENCARGOS COMPLEMENTARES)</t>
  </si>
  <si>
    <t>SEIXO ROLADO PARA APLICACAO EM CONCRETO (POSTO PEDREIRA/FORNECEDOR, SEM FRETE)</t>
  </si>
  <si>
    <t>SELADOR ACRILICO OPACO PREMIUM INTERIOR/EXTERIOR</t>
  </si>
  <si>
    <t>SELADOR HORIZONTAL PARA FITA DE ACO 1" (25 MM)</t>
  </si>
  <si>
    <t>SELANTE A BASE DE ALCATRAO E POLIURETANO PARA JUNTAS HORIZONTAIS</t>
  </si>
  <si>
    <t>SELANTE ACRILICO PARA TRATAMENTO / ACABAMENTO SUPERFICIAL DE CONCRETO ESTAMPADO, APARENTE, PEDRAS E OUTROS</t>
  </si>
  <si>
    <t>SELANTE DE BASE ASFALTICA PARA VEDACAO</t>
  </si>
  <si>
    <t>SELANTE ELASTICO MONOCOMPONENTE A BASE DE POLIURETANO (PU) PARA JUNTAS DIVERSAS</t>
  </si>
  <si>
    <t>310ML</t>
  </si>
  <si>
    <t>SELANTE MONOCOMPONENTE A BASE DE SILICONE DE BAIXO MODULO, PARA JUNTAS DE PAVIMENTACAO</t>
  </si>
  <si>
    <t>SELANTE TIPO VEDA CALHA PARA METAL E FIBROCIMENTO</t>
  </si>
  <si>
    <t>SELIM PVC, COM TRAVA, JE, 90 GRAUS, DN 125 X 100 MM OU 150 X 100 MM, PARA REDE COLETORA ESGOTO</t>
  </si>
  <si>
    <t>SEMIRREBOQUE COM DOIS EIXOS EM TANDEM TIPO BASCULANTE COM CACAMBA METALICA 14 M3 (INCLUI MONTAGEM, NAO INCLUI CAVALO MECANICO)</t>
  </si>
  <si>
    <t>SEMIRREBOQUE COM TRES EIXOS EM TANDEM TIPO BASCULANTE COM CACAMBA METALICA 18 M3 (INCLUI MONTAGEM, NAO INCLUI CAVALO MECANICO)</t>
  </si>
  <si>
    <t>SEMIRREBOQUE COM TRES EIXOS, PARA TRANSPORTE DE CARGA SECA, DIMENSOES APROXIMADAS 2,60 X 12,50 X 0,50 M (NAO INCLUI CAVALO MECANICO)</t>
  </si>
  <si>
    <t>SENSOR DE PRESENCA BIVOLT COM FOTOCELULA PARA QUALQUER TIPO DE LAMPADA, POTENCIA MAXIMA *1000* W, USO EXTERNO</t>
  </si>
  <si>
    <t>SENSOR DE PRESENCA BIVOLT DE PAREDE COM FOTOCELULA PARA QUALQUER TIPO DE LAMPADA POTENCIA MAXIMA *1000* W, USO INTERNO</t>
  </si>
  <si>
    <t>SENSOR DE PRESENCA BIVOLT DE PAREDE SEM FOTOCELULA PARA QUALQUER TIPO DE LAMPADA POTENCIA MAXIMA *1000* W, USO INTERNO</t>
  </si>
  <si>
    <t>SENSOR DE PRESENCA BIVOLT DE TETO COM FOTOCELULA PARA QUALQUER TIPO DE LAMPADA POTENCIA MAXIMA *1000* W, USO INTERNO</t>
  </si>
  <si>
    <t>SENSOR DE PRESENCA BIVOLT DE TETO SEM FOTOCELULA PARA QUALQUER TIPO DE LAMPADA POTENCIA MAXIMA *900* W, USO INTERNO</t>
  </si>
  <si>
    <t>SERRA CIRCULAR DE BANCADA COM MOTOR ELETRICO, POTENCIA DE *1600* W, PARA DISCO DE DIAMETRO DE 10" (250 MM)</t>
  </si>
  <si>
    <t>SERRALHEIRO (HORISTA)</t>
  </si>
  <si>
    <t>SERRALHEIRO (MENSALISTA)</t>
  </si>
  <si>
    <t>SERROTE PROFISSIONAL EM ACO TEMPERADO 20", CABO DE MADEIRA</t>
  </si>
  <si>
    <t>SERVENTE DE OBRAS (HORISTA)</t>
  </si>
  <si>
    <t>SERVENTE DE OBRAS (MENSALISTA)</t>
  </si>
  <si>
    <t>SERVICO DE BOMBEAMENTO DE CONCRETO COM CONSUMO MINIMO DE 40 M3, (DISPONIBILIZACAO DE BOMBA), SEM O LANCAMENTO</t>
  </si>
  <si>
    <t>SIFAO / TUBO SINFONADO EXTENSIVEL/SANFONADO, UNIVERSAL/ SIMPLES, ENTRE *50 A 70* CM, DE PLASTICO BRANCO</t>
  </si>
  <si>
    <t>SIFAO EM METAL CROMADO PARA PIA AMERICANA, 1.1/2 X 1.1/2"</t>
  </si>
  <si>
    <t>SIFAO EM METAL CROMADO PARA PIA AMERICANA, 1.1/2 X 2"</t>
  </si>
  <si>
    <t>SIFAO EM METAL CROMADO PARA PIA OU LAVATORIO, 1 X 1.1/2"</t>
  </si>
  <si>
    <t>SIFAO EM METAL CROMADO PARA TANQUE, 1.1/4 X 1.1/2"</t>
  </si>
  <si>
    <t>SIFAO PLASTICO EXTENSIVEL UNIVERSAL, TIPO COPO</t>
  </si>
  <si>
    <t>SIFAO PLASTICO TIPO COPO PARA PIA AMERICANA 1.1/2 X 1.1/2"</t>
  </si>
  <si>
    <t>SIFAO PLASTICO TIPO COPO PARA PIA OU LAVATORIO, 1 X 1.1/2"</t>
  </si>
  <si>
    <t>SIFAO PLASTICO TIPO COPO PARA TANQUE, 1.1/4 X 1.1/2"</t>
  </si>
  <si>
    <t>SILICA ATIVA PARA ADICAO EM CONCRETO E ARGAMASSA</t>
  </si>
  <si>
    <t>SILICONE ACETICO USO GERAL INCOLOR 280 G</t>
  </si>
  <si>
    <t>SIMULADOR DE CAMINHADA TRIPLO, EM TUBO DE ACO CARBONO, PINTURA NO PROCESSO ELETROSTATICO - EQUIPAMENTO DE GINASTICA PARA ACADEMIA AO AR LIVRE / ACADEMIA DA TERCEIRA IDADE - ATI</t>
  </si>
  <si>
    <t>SIMULADOR DE CAVALGADA TRIPLO, EM TUBO DE ACO CARBONO, PINTURA NO PROCESSO ELETROSTATICO - EQUIPAMENTO DE GINASTICA PARA ACADEMIA AO AR LIVRE / ACADEMIA DA TERCEIRA IDADE - ATI</t>
  </si>
  <si>
    <t>SIMULADOR DE REMO INDIVIDUAL, EM TUBO DE ACO CARBONO, PINTURA NO PROCESSO ELETROSTATICO - EQUIPAMENTO DE GINASTICA PARA ACADEMIA AO AR LIVRE / ACADEMIA DA TERCEIRA IDADE - ATI</t>
  </si>
  <si>
    <t>SINALIZADOR NOTURNO SIMPLES PARA PARA-RAIOS, SEM RELE FOTOELETRICO</t>
  </si>
  <si>
    <t>SISAL EM FIBRA / ESTOPA SISAL PARA GESSO</t>
  </si>
  <si>
    <t>SOLDA EM BARRA DE ESTANHO-CHUMBO 50/50</t>
  </si>
  <si>
    <t>SOLDA EM VARETA FOSCOPER, D = *2,5* MM X COMPRIMENTO 500 MM</t>
  </si>
  <si>
    <t>SOLDA ESTANHO/COBRE PARA CONEXOES DE COBRE, FIO 2,5 MM, CARRETEL 500 GR (SEM CHUMBO)</t>
  </si>
  <si>
    <t>SOLDADOR (HORISTA)</t>
  </si>
  <si>
    <t>SOLDADOR (MENSALISTA)</t>
  </si>
  <si>
    <t>SOLDADOR ELETRICO (PARA SOLDA A SER TESTADA COM RAIOS "X") (HORISTA)</t>
  </si>
  <si>
    <t>SOLDADOR ELETRICO (PARA SOLDA A SER TESTADA COM RAIOS "X") (MENSALISTA)</t>
  </si>
  <si>
    <t>SOLEIRA EM GRANITO, POLIDO, TIPO ANDORINHA/ QUARTZ/ CASTELO/ CORUMBA OU OUTROS EQUIVALENTES DA REGIAO, L= *15* CM, E= *2,0* CM</t>
  </si>
  <si>
    <t>SOLEIRA PRE-MOLDADA EM GRANILITE, MARMORITE OU GRANITINA, L = *15 CM</t>
  </si>
  <si>
    <t>SOLEIRA/ PEITORIL EM MARMORE, POLIDO, BRANCO COMUM, L= *15* CM, E= *2* CM, CORTE RETO</t>
  </si>
  <si>
    <t>SOLEIRA/ TABEIRA EM MARMORE, POLIDO, BRANCO COMUM, L= 5 CM, E= *2,0* CM</t>
  </si>
  <si>
    <t>SOLUCAO ASFALTICA ELASTOMERICA PARA IMPRIMACAO, APLICACAO A FRIO</t>
  </si>
  <si>
    <t>SOLUCAO PREPARADORA / LIMPADORA PARA PVC, FRASCO COM 1000 CM3</t>
  </si>
  <si>
    <t>SOQUETE DE BAQUELITE BASE E27, PARA LAMPADAS</t>
  </si>
  <si>
    <t>SOQUETE DE PORCELANA BASE E27, FIXO DE TETO, PARA LAMPADAS</t>
  </si>
  <si>
    <t>SOQUETE DE PORCELANA BASE E27, PARA USO AO TEMPO, PARA LAMPADAS</t>
  </si>
  <si>
    <t>SOQUETE DE PVC / TERMOPLASTICO BASE E27, COM CHAVE, PARA LAMPADAS</t>
  </si>
  <si>
    <t>SOQUETE DE PVC / TERMOPLASTICO BASE E27, COM RABICHO, PARA LAMPADAS</t>
  </si>
  <si>
    <t>SPRINKLER TIPO PENDENTE, BULBO AMARELO DE RESPOSTA RAPIDA, 79 GRAUS CELSIUS, ACABAMENTO CROMADO, D = 20 MM (3/4")</t>
  </si>
  <si>
    <t>SPRINKLER TIPO PENDENTE, BULBO AMARELO DE RESPOSTA RAPIDA, 79 GRAUS CELSIUS, ACABAMENTO NATURAL OU CROMADO, D = 15 MM (1/2")</t>
  </si>
  <si>
    <t>SPRINKLER TIPO PENDENTE, BULBO AMARELO DE RESPOSTA RAPIDA, 79 GRAUS CELSIUS, ACABAMENTO NATURAL, D = 20 MM (3/4")</t>
  </si>
  <si>
    <t>SPRINKLER TIPO PENDENTE, BULBO VERMELHO DE RESPOSTA RAPIDA, 68 GRAUS CELSIUS, ACABAMENTO CROMADO, D = 15 MM (1/2")</t>
  </si>
  <si>
    <t>SPRINKLER TIPO PENDENTE, BULBO VERMELHO DE RESPOSTA RAPIDA, 68 GRAUS CELSIUS, ACABAMENTO CROMADO, D = 20 MM (3/4")</t>
  </si>
  <si>
    <t>SPRINKLER TIPO PENDENTE, BULBO VERMELHO DE RESPOSTA RAPIDA, 68 GRAUS CELSIUS, ACABAMENTO NATURAL, D = 20 MM (3/4")</t>
  </si>
  <si>
    <t>SPRINKLER TIPO PENDENTE, BULBO VERMELHO RESPOSTA RAPIDA, 68 GRAUS CELSIUS, ACABAMENTO NATURAL, D = 15 MM (1/2")</t>
  </si>
  <si>
    <t>SUPORTE "Y" PARA FITA PERFURADA</t>
  </si>
  <si>
    <t>SUPORTE DE FIXACAO PARA ESPELHO / PLACA 4" X 2", PARA 3 MODULOS, PARA INSTALACAO DE TOMADAS E INTERRUPTORES (SOMENTE SUPORTE)</t>
  </si>
  <si>
    <t>SUPORTE DE FIXACAO PARA ESPELHO / PLACA 4" X 4", PARA 6 MODULOS, PARA INSTALACAO DE TOMADAS E INTERRUPTORES (SOMENTE SUPORTE)</t>
  </si>
  <si>
    <t>SUPORTE EM ACO GALVANIZADO PARA TRANSFORMADOR PARA POSTE DUPLO T 185 X 95 MM, CHAPA DE 5/16"</t>
  </si>
  <si>
    <t>SUPORTE GUIA SIMPLES COM ROLDANA EM POLIPROPILENO PARA CHUMBAR, H = 20 CM</t>
  </si>
  <si>
    <t>SUPORTE ISOLADOR REFORCADO DIAMETRO NOMINAL 5/16", COM ROSCA SOBERBA E BUCHA</t>
  </si>
  <si>
    <t>SUPORTE ISOLADOR SIMPLES DIAMETRO NOMINAL 5/16", COM ROSCA SOBERBA E BUCHA</t>
  </si>
  <si>
    <t>SUPORTE MANUAL PARA LIXA, PLASTICO, COM 230 X 80 MM (COMPRIMENTO X LARGURA)</t>
  </si>
  <si>
    <t>SUPORTE MAO-FRANCESA EM ACO, ABAS IGUAIS 30 CM, CAPACIDADE MINIMA 60 KG, BRANCO</t>
  </si>
  <si>
    <t>SUPORTE MAO-FRANCESA EM ACO, ABAS IGUAIS 40 CM, CAPACIDADE MINIMA 70 KG, BRANCO</t>
  </si>
  <si>
    <t>SUPORTE METALICO PARA CALHA PLUVIAL, ZINCADO, DOBRADO, DIAMETRO ENTRE 119 E 170 MM, PARA DRENAGEM PLUVIAL PREDIAL</t>
  </si>
  <si>
    <t>SUPORTE PARA CALHA DE 150 MM EM ACO GALVANIZADO</t>
  </si>
  <si>
    <t>SUPORTE PARA TUBO DIAMETRO NOMINAL 2", COM ROSCA MECANICA</t>
  </si>
  <si>
    <t>SURF DUPLO, EM TUBO DE ACO CARBONO, PINTURA NO PROCESSO ELETROSTATICO - EQUIPAMENTO DE GINASTICA PARA ACADEMIA AO AR LIVRE / ACADEMIA DA TERCEIRA IDADE - ATI</t>
  </si>
  <si>
    <t>TABUA *2,5 X 15 CM EM PINUS, MISTA OU EQUIVALENTE DA REGIAO - BRUTA</t>
  </si>
  <si>
    <t>TABUA *2,5 X 23* CM EM PINUS, MISTA OU EQUIVALENTE DA REGIAO - BRUTA</t>
  </si>
  <si>
    <t>TABUA *2,5 X 30 CM EM PINUS, MISTA OU EQUIVALENTE DA REGIAO - BRUTA</t>
  </si>
  <si>
    <t>TABUA APARELHADA *2,5 X 15* CM, EM MACARANDUBA/MASSARANDUBA, ANGELIM OU EQUIVALENTE DA REGIAO</t>
  </si>
  <si>
    <t>TABUA APARELHADA *2,5 X 25* CM, EM MACARANDUBA/MASSARANDUBA, ANGELIM OU EQUIVALENTE DA REGIAO</t>
  </si>
  <si>
    <t>TABUA APARELHADA *2,5 X 30* CM, EM MACARANDUBA/MASSARANDUBA, ANGELIM OU EQUIVALENTE DA REGIAO</t>
  </si>
  <si>
    <t>TABUA DE MADEIRA PARA PISO, CUMARU/IPE CHAMPANHE OU EQUIVALENTE DA REGIAO, ENCAIXE MACHO/FEMEA, *10 X 2* CM</t>
  </si>
  <si>
    <t>TABUA DE MADEIRA PARA PISO, CUMARU/IPE CHAMPANHE OU EQUIVALENTE DA REGIAO, ENCAIXE MACHO/FEMEA, *15 X 2* CM</t>
  </si>
  <si>
    <t>TABUA DE MADEIRA PARA PISO, IPE (CERNE) OU EQUIVALENTE DA REGIAO, ENCAIXE MACHO/FEMEA, *20 X 2* CM</t>
  </si>
  <si>
    <t>TABUA NAO APARELHADA *2,5 X 15* CM, EM MACARANDUBA/MASSARANDUBA, ANGELIM OU EQUIVALENTE DA REGIAO - BRUTA</t>
  </si>
  <si>
    <t>TABUA NAO APARELHADA *2,5 X 20* CM, EM MACARANDUBA/MASSARANDUBA, ANGELIM OU EQUIVALENTE DA REGIAO - BRUTA</t>
  </si>
  <si>
    <t>TABUA NAO APARELHADA *2,5 X 30* CM, EM MACARANDUBA/MASSARANDUBA, ANGELIM OU EQUIVALENTE DA REGIAO - BRUTA</t>
  </si>
  <si>
    <t>TACO DE MADEIRA PARA PISO, IPE (CERNE) OU EQUIVALENTE DA REGIAO, 7 X 42 CM, E = 2 CM</t>
  </si>
  <si>
    <t>TALA PARA EMENDA DE ELETROCALHA, SIMPLES / RETA, LISA OU PERFURADA, EM CHAPA DE ACO GALVANIZADO #22, ALTURA 50 MM</t>
  </si>
  <si>
    <t>TALABARTE DE SEGURANCA, 2 MOSQUETOES TRAVA DUPLA *53* MM DE ABERTURA, COM ABSORVEDOR DE ENERGIA</t>
  </si>
  <si>
    <t>TALHA MANUAL DE CORRENTE, CAPACIDADE DE 2 T COM ELEVACAO DE 3 M</t>
  </si>
  <si>
    <t>TALHADEIRA CHATA, DE ACO, 10"</t>
  </si>
  <si>
    <t>TALHADEIRA COM PUNHO DE PROTECAO *20 X 250* MM</t>
  </si>
  <si>
    <t>TAMPA CEGA EM PVC PARA CONDULETE 4 X 2"</t>
  </si>
  <si>
    <t>TAMPA DE CONCRETO ARMADO PARA FOSSA SEPTICA, DIAMETRO NOMINAL DE 3,00 M E ESPESSURA MINIMA DE 100 MM</t>
  </si>
  <si>
    <t>TAMPA DE CONCRETO ARMADO PARA FOSSA, D = *0,90* M, E = 0,05 M</t>
  </si>
  <si>
    <t>TAMPA DE CONCRETO ARMADO PARA FOSSA, D = *1,10* M, E = 0,05 M</t>
  </si>
  <si>
    <t>TAMPA DE CONCRETO ARMADO PARA FOSSA, D = *1,35* M, E = 0,05 M</t>
  </si>
  <si>
    <t>TAMPA DE CONCRETO ARMADO PARA FOSSA, D = 1,50 M, E = 0,05 M</t>
  </si>
  <si>
    <t>TAMPA DE CONCRETO ARMADO PARA FOSSA, D = 2,00 M, E = 0,05 M</t>
  </si>
  <si>
    <t>TAMPA DE CONCRETO ARMADO PARA FOSSA, D = 2,50 M, E = 0,05 M</t>
  </si>
  <si>
    <t>TAMPA DE CONCRETO ARMADO PARA POCO DE INSPECAO, COM FURO E TAMPINHA, DIAMETRO NOMINAL DE 3,00 M E ESPESSURA MINIMA DE 100 MM</t>
  </si>
  <si>
    <t>TAMPA DE CONCRETO ARMADO PARA POCO, COM FURO E TAMPINHA, D = *0,90* M, E = 0,05 M</t>
  </si>
  <si>
    <t>TAMPA DE CONCRETO ARMADO PARA POCO, COM FURO E TAMPINHA, D = *1,10* M, E = 0,05 M</t>
  </si>
  <si>
    <t>TAMPA DE CONCRETO ARMADO PARA POCO, COM FURO E TAMPINHA, D = *1,35* M, E = 0,05 M</t>
  </si>
  <si>
    <t>TAMPA DE CONCRETO ARMADO PARA POCO, COM FURO E TAMPINHA, D = 1,50 M, E = 0,05 M</t>
  </si>
  <si>
    <t>TAMPA DE CONCRETO ARMADO PARA POCO, COM FURO E TAMPINHA, D = 2,00 M, E = 0,05 M</t>
  </si>
  <si>
    <t>TAMPA DE CONCRETO ARMADO PARA POCO, COM FURO E TAMPINHA, D = 2,50 M, E = 0,05 M</t>
  </si>
  <si>
    <t>TAMPA PARA CONDULETE, EM PVC, PARA 1 INTERRUPTOR</t>
  </si>
  <si>
    <t>TAMPA PARA CONDULETE, EM PVC, PARA 1 MODULO RJ</t>
  </si>
  <si>
    <t>TAMPA PARA CONDULETE, EM PVC, PARA 2 MODULOS RJ</t>
  </si>
  <si>
    <t>TAMPA PARA CONDULETE, EM PVC, PARA TOMADA HEXAGONAL</t>
  </si>
  <si>
    <t>TAMPAO / CAP, ROSCA MACHO, DN 1", PARA TUBO PEX PARA INST. AGUA QUENTE/FRIA</t>
  </si>
  <si>
    <t>TAMPAO / CAP, ROSCA MACHO, DN 3/4", PARA TUBO PEX PARA INST. AGUA QUENTE/FRIA</t>
  </si>
  <si>
    <t>TAMPAO / TERMINAL / PLUG, D = 1 1/4", PARA DUTO CORRUGADO PEAD (CABEAMENTO SUBTERRANEO)</t>
  </si>
  <si>
    <t>TAMPAO / TERMINAL / PLUG, D = 2", PARA DUTO CORRUGADO PEAD (CABEAMENTO SUBTERRANEO)</t>
  </si>
  <si>
    <t>TAMPAO / TERMINAL / PLUG, D = 3", PARA DUTO CORRUGADO PEAD (CABEAMENTO SUBTERRANEO)</t>
  </si>
  <si>
    <t>TAMPAO / TERMINAL / PLUG, D = 4", PARA DUTO CORRUGADO PEAD (CABEAMENTO SUBTERRANEO)</t>
  </si>
  <si>
    <t>TAMPAO COM CORRENTE, EM LATAO, ENGATE RAPIDO 1 1/2", PARA INSTALACAO PREDIAL DE COMBATE A INCENDIO</t>
  </si>
  <si>
    <t>TAMPAO COM CORRENTE, EM LATAO, ENGATE RAPIDO 2 1/2", PARA INSTALACAO PREDIAL DE COMBATE A INCENDIO</t>
  </si>
  <si>
    <t>TAMPAO FOFO ARTICULADO P/ REGISTRO, COM BASE / REQUADRO, CLASSE A15 CARGA MAX 1,5 T, *200 X 200* MM (COM INSCRICAO EM RELEVO DO TIPO DE REDE)</t>
  </si>
  <si>
    <t>TAMPAO FOFO ARTICULADO P/ REGISTRO, COM BASE / REQUADRO, CLASSE A15 CARGA MAXIMA 1,5 T, *400 X 400* MM (COM INSCRICAO EM RELEVO DO TIPO DE REDE)</t>
  </si>
  <si>
    <t>TAMPAO FOFO ARTICULADO, COM BASE / REQUADRO, CLASSE B125 CARGA MAX 12,5 T, REDONDO, TAMPA 600 MM (COM INSCRICAO EM RELEVO DO TIPO DE REDE)</t>
  </si>
  <si>
    <t>TAMPAO FOFO ARTICULADO, COM BASE / REQUADRO, CLASSE D400 CARGA MAX 40 T, REDONDO, TAMPA 600 MM (COM INSCRICAO EM RELEVO DO TIPO DE REDE)</t>
  </si>
  <si>
    <t>TAMPAO FOFO SIMPLES COM BASE / REQUADRO, CLASSE A15 CARGA MAX. 1,5 T, 300 X 300 MM (COM INSCRICAO EM RELEVO DO TIPO DE REDE)</t>
  </si>
  <si>
    <t>TAMPAO FOFO SIMPLES COM BASE / REQUADRO, CLASSE A15 CARGA MAX. 1,5 T, 400 X 400 MM (COM INSCRICAO EM RELEVO DO TIPO DE REDE)</t>
  </si>
  <si>
    <t>TAMPAO FOFO SIMPLES COM BASE / REQUADRO, CLASSE A15 CARGA MAX. 1,5 T, 400 X 600 MM (COM INSCRICAO EM RELEVO DO TIPO DE REDE)</t>
  </si>
  <si>
    <t>TAMPAO FOFO SIMPLES COM BASE / REQUADRO, CLASSE B125 CARGA MAX. 12,5 T, REDONDO, TAMPA 500 MM (COM INSCRICAO EM RELEVO DO TIPO DE REDE)</t>
  </si>
  <si>
    <t>TAMPAO FOFO SIMPLES COM BASE / REQUADRO, CLASSE B125 CARGA MAX. 12,5 T, REDONDO, TAMPA 600 MM (COM INSCRICAO EM RELEVO DO TIPO DE REDE)</t>
  </si>
  <si>
    <t>TAMPAO FOFO SIMPLES COM BASE / REQUADRO, CLASSE D400 CARGA MAX. 40 T, REDONDO, TAMPA 600 MM (COM INSCRICAO EM RELEVO DO TIPO DE REDE)</t>
  </si>
  <si>
    <t>TAMPAO FOFO SIMPLES COM BASE / REQUADRO, CLASSE D400 CARGA MAX. 40 T, REDONDO, TAMPA 900 MM (COM INSCRICAO EM RELEVO DO TIPO DE REDE)</t>
  </si>
  <si>
    <t>TAMPAO FOFO SIMPLES COM BASE / REQUADRO, R-2, CLASSE A15 CARGA MAX. 1,5 T, 550 X 1100 MM (COM INSCRICAO EM RELEVO DO TIPO DE REDE)</t>
  </si>
  <si>
    <t>TANQUE ACO INOXIDAVEL (ACO 304) COM ESFREGADOR E VALVULA, DE *50 X 40 X 22* CM</t>
  </si>
  <si>
    <t>TANQUE DE ACO CARBONO NAO REVESTIDO, PARA TRANSPORTE DE AGUA COM CAPACIDADE DE 10 M3, COM BOMBA CENTRIFUGA POR TOMADA DE FORCA, VAZAO MAXIMA *75* M3/H (INCLUI MONTAGEM, NAO INCLUI CAMINHAO)</t>
  </si>
  <si>
    <t>TANQUE DE ACO PARA TRANSPORTE DE AGUA COM CAPACIDADE DE 14 M3 (INCLUI MONTAGEM, NAO INCLUI CAMINHAO)</t>
  </si>
  <si>
    <t>TANQUE DE ACO PARA TRANSPORTE DE AGUA COM CAPACIDADE DE 6 M3 (INCLUI MONTAGEM, NAO INCLUI CAMINHAO)</t>
  </si>
  <si>
    <t>TANQUE DE ASFALTO ESTACIONARIO COM MACARICO, CAPACIDADE 20.000 L</t>
  </si>
  <si>
    <t>TANQUE DE ASFALTO ESTACIONARIO COM SERPENTINA, CAPACIDADE 30.000 L</t>
  </si>
  <si>
    <t>TANQUE DE LOUCA BRANCA, COM COLUNA, *30* L</t>
  </si>
  <si>
    <t>TANQUE DE LOUCA BRANCA, SUSPENSO, *20* L</t>
  </si>
  <si>
    <t>TANQUE DUPLO EM MARMORE SINTETICO COM CUBA LISA E ESFREGADOR, *110 X 60* CM</t>
  </si>
  <si>
    <t>TANQUE SIMPLES EM MARMORE SINTETICO COM COLUNA, CAPACIDADE *22* L, *60 X 46* CM</t>
  </si>
  <si>
    <t>TANQUE SIMPLES EM MARMORE SINTETICO DE FIXAR NA PAREDE, CAPACIDADE *22* L, *60 X 46* CM</t>
  </si>
  <si>
    <t>TANQUE SIMPLES EM MARMORE SINTETICO SUSPENSO, CAPACIDADE *38* L, *60 X 60* CM</t>
  </si>
  <si>
    <t>TARIFA "A" ENTRE 0 E 20M3 FORNECIMENTO D'AGUA</t>
  </si>
  <si>
    <t>TARJETA LIVRE / OCUPADO PARA PORTA DE BANHEIRO, CORPO EM ZAMAC E ESPELHO EM LATAO</t>
  </si>
  <si>
    <t>TARUGO DELIMITADOR DE PROFUNDIDADE EM ESPUMA DE POLIETILENO DE BAIXA DENSIDADE 10 MM, CINZA</t>
  </si>
  <si>
    <t>TE 45 GRAUS DE FERRO GALVANIZADO, COM ROSCA BSP, DE 1 1/2"</t>
  </si>
  <si>
    <t>TE 45 GRAUS DE FERRO GALVANIZADO, COM ROSCA BSP, DE 1 1/4"</t>
  </si>
  <si>
    <t>TE 45 GRAUS DE FERRO GALVANIZADO, COM ROSCA BSP, DE 1"</t>
  </si>
  <si>
    <t>TE 45 GRAUS DE FERRO GALVANIZADO, COM ROSCA BSP, DE 1/2"</t>
  </si>
  <si>
    <t>TE 45 GRAUS DE FERRO GALVANIZADO, COM ROSCA BSP, DE 2 1/2"</t>
  </si>
  <si>
    <t>TE 45 GRAUS DE FERRO GALVANIZADO, COM ROSCA BSP, DE 2"</t>
  </si>
  <si>
    <t>TE 45 GRAUS DE FERRO GALVANIZADO, COM ROSCA BSP, DE 3"</t>
  </si>
  <si>
    <t>TE 45 GRAUS DE FERRO GALVANIZADO, COM ROSCA BSP, DE 3/4"</t>
  </si>
  <si>
    <t>TE 45 GRAUS DE FERRO GALVANIZADO, COM ROSCA BSP, DE 4"</t>
  </si>
  <si>
    <t>TE 90 GRAUS EM ACO CARBONO, SOLDAVEL, PRESSAO 3.000 LBS, DN 1 1/2"</t>
  </si>
  <si>
    <t>TE 90 GRAUS EM ACO CARBONO, SOLDAVEL, PRESSAO 3.000 LBS, DN 1 1/4"</t>
  </si>
  <si>
    <t>TE 90 GRAUS EM ACO CARBONO, SOLDAVEL, PRESSAO 3.000 LBS, DN 1"</t>
  </si>
  <si>
    <t>TE 90 GRAUS EM ACO CARBONO, SOLDAVEL, PRESSAO 3.000 LBS, DN 1/2"</t>
  </si>
  <si>
    <t>TE 90 GRAUS EM ACO CARBONO, SOLDAVEL, PRESSAO 3.000 LBS, DN 2 1/2"</t>
  </si>
  <si>
    <t>TE 90 GRAUS EM ACO CARBONO, SOLDAVEL, PRESSAO 3.000 LBS, DN 2"</t>
  </si>
  <si>
    <t>TE 90 GRAUS EM ACO CARBONO, SOLDAVEL, PRESSAO 3.000 LBS, DN 3"</t>
  </si>
  <si>
    <t>TE 90 GRAUS EM ACO CARBONO, SOLDAVEL, PRESSAO 3.000 LBS, DN 3/4"</t>
  </si>
  <si>
    <t>TE CPVC, SOLDAVEL, 90 GRAUS, 114 MM, PARA AGUA QUENTE PREDIAL</t>
  </si>
  <si>
    <t>TE CPVC, SOLDAVEL, 90 GRAUS, 15 MM, PARA AGUA QUENTE PREDIAL</t>
  </si>
  <si>
    <t>TE CPVC, SOLDAVEL, 90 GRAUS, 22 MM, PARA AGUA QUENTE PREDIAL</t>
  </si>
  <si>
    <t>TE CPVC, SOLDAVEL, 90 GRAUS, 28 MM, PARA AGUA QUENTE PREDIAL</t>
  </si>
  <si>
    <t>TE CPVC, SOLDAVEL, 90 GRAUS, 35 MM, PARA AGUA QUENTE PREDIAL</t>
  </si>
  <si>
    <t>TE CPVC, SOLDAVEL, 90 GRAUS, 42 MM, PARA AGUA QUENTE PREDIAL</t>
  </si>
  <si>
    <t>TE CPVC, SOLDAVEL, 90 GRAUS, 54 MM, PARA AGUA QUENTE PREDIAL</t>
  </si>
  <si>
    <t>TE CPVC, SOLDAVEL, 90 GRAUS, 73 MM, PARA AGUA QUENTE PREDIAL</t>
  </si>
  <si>
    <t>TE CPVC, SOLDAVEL, 90 GRAUS, 89 MM, PARA AGUA QUENTE PREDIAL</t>
  </si>
  <si>
    <t>TE DE COBRE SEM ANEL DE SOLDA, BOLSA X BOLSA X BOLSA, 104 MM</t>
  </si>
  <si>
    <t>TE DE COBRE SEM ANEL DE SOLDA, BOLSA X BOLSA X BOLSA, 15 MM</t>
  </si>
  <si>
    <t>TE DE COBRE SEM ANEL DE SOLDA, BOLSA X BOLSA X BOLSA, 22 MM</t>
  </si>
  <si>
    <t>TE DE COBRE SEM ANEL DE SOLDA, BOLSA X BOLSA X BOLSA, 28 MM</t>
  </si>
  <si>
    <t>TE DE COBRE SEM ANEL DE SOLDA, BOLSA X BOLSA X BOLSA, 35 MM</t>
  </si>
  <si>
    <t>TE DE COBRE SEM ANEL DE SOLDA, BOLSA X BOLSA X BOLSA, 42 MM</t>
  </si>
  <si>
    <t>TE DE COBRE SEM ANEL DE SOLDA, BOLSA X BOLSA X BOLSA, 54 MM</t>
  </si>
  <si>
    <t>TE DE COBRE SEM ANEL DE SOLDA, BOLSA X BOLSA X BOLSA, 66 MM</t>
  </si>
  <si>
    <t>TE DE COBRE SEM ANEL DE SOLDA, BOLSA X BOLSA X BOLSA, 79 MM</t>
  </si>
  <si>
    <t>TE DE FERRO GALVANIZADO, DE 1 1/2"</t>
  </si>
  <si>
    <t>TE DE FERRO GALVANIZADO, DE 1 1/4"</t>
  </si>
  <si>
    <t>TE DE FERRO GALVANIZADO, DE 1"</t>
  </si>
  <si>
    <t>TE DE FERRO GALVANIZADO, DE 1/2"</t>
  </si>
  <si>
    <t>TE DE FERRO GALVANIZADO, DE 2 1/2"</t>
  </si>
  <si>
    <t>TE DE FERRO GALVANIZADO, DE 2"</t>
  </si>
  <si>
    <t>TE DE FERRO GALVANIZADO, DE 3"</t>
  </si>
  <si>
    <t>TE DE FERRO GALVANIZADO, DE 3/4"</t>
  </si>
  <si>
    <t>TE DE FERRO GALVANIZADO, DE 4"</t>
  </si>
  <si>
    <t>TE DE FERRO GALVANIZADO, DE 5"</t>
  </si>
  <si>
    <t>TE DE FERRO GALVANIZADO, DE 6"</t>
  </si>
  <si>
    <t>TE DE INSPECAO, PVC, 100 X 75 MM, SERIE NORMAL PARA ESGOTO PREDIAL</t>
  </si>
  <si>
    <t>TE DE INSPECAO, PVC, SERIE R, 100 X 75 MM, PARA ESGOTO PREDIAL</t>
  </si>
  <si>
    <t>TE DE INSPECAO, PVC, SERIE R, 150 X 100 MM, PARA ESGOTO PREDIAL</t>
  </si>
  <si>
    <t>TE DE INSPECAO, PVC, SERIE R, 75 X 75 MM, PARA ESGOTO PREDIAL</t>
  </si>
  <si>
    <t>TE DE REDUCAO COM ROSCA, PVC, 90 GRAUS, 1 X 3/4", PARA AGUA FRIA PREDIAL</t>
  </si>
  <si>
    <t>TE DE REDUCAO COM ROSCA, PVC, 90 GRAUS, 1.1/2" X 3/4", AGUA FRIA PREDIAL</t>
  </si>
  <si>
    <t>TE DE REDUCAO COM ROSCA, PVC, 90 GRAUS, 3/4 X 1/2", PARA AGUA FRIA PREDIAL</t>
  </si>
  <si>
    <t>TE DE REDUCAO DE FERRO GALVANIZADO, COM ROSCA BSP, DE 1 1/2" X 1"</t>
  </si>
  <si>
    <t>TE DE REDUCAO DE FERRO GALVANIZADO, COM ROSCA BSP, DE 1 1/2" X 3/4"</t>
  </si>
  <si>
    <t>TE DE REDUCAO DE FERRO GALVANIZADO, COM ROSCA BSP, DE 1 1/4" X 3/4"</t>
  </si>
  <si>
    <t>TE DE REDUCAO DE FERRO GALVANIZADO, COM ROSCA BSP, DE 1" X 1/2"</t>
  </si>
  <si>
    <t>TE DE REDUCAO DE FERRO GALVANIZADO, COM ROSCA BSP, DE 1" X 3/4"</t>
  </si>
  <si>
    <t>TE DE REDUCAO DE FERRO GALVANIZADO, COM ROSCA BSP, DE 2 1/2" X 1 1/2"</t>
  </si>
  <si>
    <t>TE DE REDUCAO DE FERRO GALVANIZADO, COM ROSCA BSP, DE 2 1/2" X 1 1/4"</t>
  </si>
  <si>
    <t>TE DE REDUCAO DE FERRO GALVANIZADO, COM ROSCA BSP, DE 2 1/2" X 1"</t>
  </si>
  <si>
    <t>TE DE REDUCAO DE FERRO GALVANIZADO, COM ROSCA BSP, DE 2 1/2" X 2"</t>
  </si>
  <si>
    <t>TE DE REDUCAO DE FERRO GALVANIZADO, COM ROSCA BSP, DE 2" X 1 1/2"</t>
  </si>
  <si>
    <t>TE DE REDUCAO DE FERRO GALVANIZADO, COM ROSCA BSP, DE 2" X 1 1/4"</t>
  </si>
  <si>
    <t>TE DE REDUCAO DE FERRO GALVANIZADO, COM ROSCA BSP, DE 2" X 1"</t>
  </si>
  <si>
    <t>TE DE REDUCAO DE FERRO GALVANIZADO, COM ROSCA BSP, DE 3" X 1 1/2"</t>
  </si>
  <si>
    <t>TE DE REDUCAO DE FERRO GALVANIZADO, COM ROSCA BSP, DE 3" X 1 1/4"</t>
  </si>
  <si>
    <t>TE DE REDUCAO DE FERRO GALVANIZADO, COM ROSCA BSP, DE 3" X 1"</t>
  </si>
  <si>
    <t>TE DE REDUCAO DE FERRO GALVANIZADO, COM ROSCA BSP, DE 3" X 2 1/2"</t>
  </si>
  <si>
    <t>TE DE REDUCAO DE FERRO GALVANIZADO, COM ROSCA BSP, DE 3" X 2"</t>
  </si>
  <si>
    <t>TE DE REDUCAO DE FERRO GALVANIZADO, COM ROSCA BSP, DE 3/4" X 1/2"</t>
  </si>
  <si>
    <t>TE DE REDUCAO DE FERRO GALVANIZADO, COM ROSCA BSP, DE 4" X 2"</t>
  </si>
  <si>
    <t>TE DE REDUCAO DE FERRO GALVANIZADO, COM ROSCA BSP, DE 4" X 3"</t>
  </si>
  <si>
    <t>TE DE REDUCAO, CPVC, 22 X 15 MM, PARA AGUA QUENTE PREDIAL</t>
  </si>
  <si>
    <t>TE DE REDUCAO, CPVC, 28 X 22 MM, PARA AGUA QUENTE PREDIAL</t>
  </si>
  <si>
    <t>TE DE REDUCAO, CPVC, 35 X 28 MM, PARA AGUA QUENTE PREDIAL</t>
  </si>
  <si>
    <t>TE DE REDUCAO, CPVC, 42 X 35 MM, PARA AGUA QUENTE PREDIAL</t>
  </si>
  <si>
    <t>TE DE REDUCAO, PVC PBA, BBB, JE, DN 100 X 50 / DE 110 X 60 MM, PARA REDE DE AGUA</t>
  </si>
  <si>
    <t>TE DE REDUCAO, PVC PBA, BBB, JE, DN 100 X 75 / DE 110 X 85 MM, PARA REDE DE AGUA</t>
  </si>
  <si>
    <t>TE DE REDUCAO, PVC PBA, BBB, JE, DN 75 X 50 / DE 85 X 60 MM, PARA REDE DE AGUA</t>
  </si>
  <si>
    <t>TE DE REDUCAO, PVC, SOLDAVEL, 90 GRAUS, 110 MM X 60 MM, PARA AGUA FRIA PREDIAL</t>
  </si>
  <si>
    <t>TE DE REDUCAO, PVC, SOLDAVEL, 90 GRAUS, 25 MM X 20 MM, PARA AGUA FRIA PREDIAL</t>
  </si>
  <si>
    <t>TE DE REDUCAO, PVC, SOLDAVEL, 90 GRAUS, 32 MM X 25 MM, PARA AGUA FRIA PREDIAL</t>
  </si>
  <si>
    <t>TE DE REDUCAO, PVC, SOLDAVEL, 90 GRAUS, 40 MM X 32 MM, PARA AGUA FRIA PREDIAL</t>
  </si>
  <si>
    <t>TE DE REDUCAO, PVC, SOLDAVEL, 90 GRAUS, 50 MM X 20 MM, PARA AGUA FRIA PREDIAL</t>
  </si>
  <si>
    <t>TE DE REDUCAO, PVC, SOLDAVEL, 90 GRAUS, 50 MM X 25 MM, PARA AGUA FRIA PREDIAL</t>
  </si>
  <si>
    <t>TE DE REDUCAO, PVC, SOLDAVEL, 90 GRAUS, 50 MM X 32 MM, PARA AGUA FRIA PREDIAL</t>
  </si>
  <si>
    <t>TE DE REDUCAO, PVC, SOLDAVEL, 90 GRAUS, 50 MM X 40 MM, PARA AGUA FRIA PREDIAL</t>
  </si>
  <si>
    <t>TE DE REDUCAO, PVC, SOLDAVEL, 90 GRAUS, 75 MM X 50 MM, PARA AGUA FRIA PREDIAL</t>
  </si>
  <si>
    <t>TE DE REDUCAO, PVC, SOLDAVEL, 90 GRAUS, 85 MM X 60 MM, PARA AGUA FRIA PREDIAL</t>
  </si>
  <si>
    <t>TE DE SERVICO INTEGRADO, EM POLIPROPILENO (PP), PARA TUBOS EM PEAD, 63 X 20 MM - LIGACAO PREDIAL DE AGUA</t>
  </si>
  <si>
    <t>TE DE SERVICO INTEGRADO, EM POLIPROPILENO (PP), PARA TUBOS EM PEAD/PVC, 60 X 20 MM - LIGACAO PREDIAL DE AGUA</t>
  </si>
  <si>
    <t>TE DE SERVICO INTEGRADO, EM POLIPROPILENO (PP), PARA TUBOS EM PEAD/PVC, 60 X 32 MM - LIGACAO PREDIAL DE AGUA</t>
  </si>
  <si>
    <t>TE DE SERVICO, PEAD PE 100, DE 125 X 20 MM, PARA ELETROFUSAO</t>
  </si>
  <si>
    <t>TE DE SERVICO, PEAD PE 100, DE 125 X 32 MM, PARA ELETROFUSAO</t>
  </si>
  <si>
    <t>TE DE SERVICO, PEAD PE 100, DE 125 X 63 MM, PARA ELETROFUSAO</t>
  </si>
  <si>
    <t>TE DE SERVICO, PEAD PE 100, DE 200 X 20 MM, PARA ELETROFUSAO</t>
  </si>
  <si>
    <t>TE DE SERVICO, PEAD PE 100, DE 200 X 32 MM, PARA ELETROFUSAO</t>
  </si>
  <si>
    <t>TE DE SERVICO, PEAD PE 100, DE 200 X 63 MM, PARA ELETROFUSAO</t>
  </si>
  <si>
    <t>TE DE SERVICO, PEAD PE 100, DE 63 X 20 MM, PARA ELETROFUSAO</t>
  </si>
  <si>
    <t>TE DE SERVICO, PEAD PE 100, DE 63 X 32 MM, PARA ELETROFUSAO</t>
  </si>
  <si>
    <t>TE DE SERVICO, PEAD PE 100, DE 63 X 63 MM, PARA ELETROFUSAO</t>
  </si>
  <si>
    <t>TE DE TRANSICAO, CPVC, SOLDAVEL, 15 MM X 1/2", PARA AGUA QUENTE</t>
  </si>
  <si>
    <t>TE DE TRANSICAO, CPVC, SOLDAVEL, 22 MM X 1/2", PARA AGUA QUENTE</t>
  </si>
  <si>
    <t>TE DUPLA CURVA BRONZE/LATAO SEM ANEL DE SOLDA, ROSCA F X BOLSA X ROSCA F, 1/2" X 15 X 1/2"</t>
  </si>
  <si>
    <t>TE DUPLA CURVA BRONZE/LATAO SEM ANEL DE SOLDA, ROSCA F X BOLSA X ROSCA F, 3/4" X 22 X 3/4"</t>
  </si>
  <si>
    <t>TE HORIZONTAL 90 GRAUS, PARA ELETROCALHA, EM CHAPA DE ACO GALVANIZADO, ESPESSURA #14, 700 X 50 MM (L X A), SEM VIROLA, SEM TAMPA</t>
  </si>
  <si>
    <t>TE HORIZONTAL 90 GRAUS, PARA ELETROCALHA, EM CHAPA DE ACO GALVANIZADO, ESPESSURA #14, 800 X 50 MM (L X A), SEM VIROLA, SEM TAMPA</t>
  </si>
  <si>
    <t>TE HORIZONTAL 90 GRAUS, PARA ELETROCALHA, EM CHAPA DE ACO GALVANIZADO, ESPESSURA #16, 500 X 50 MM (L X A), SEM VIROLA, SEM TAMPA</t>
  </si>
  <si>
    <t>TE HORIZONTAL 90 GRAUS, PARA ELETROCALHA, EM CHAPA DE ACO GALVANIZADO, ESPESSURA #16, 600 X 50 MM (L X A), SEM VIROLA, SEM TAMPA</t>
  </si>
  <si>
    <t>TE HORIZONTAL 90 GRAUS, PARA ELETROCALHA, EM CHAPA DE ACO GALVANIZADO, ESPESSURA #18, 300 X 50 MM (L X A), SEM VIROLA, SEM TAMPA</t>
  </si>
  <si>
    <t>TE HORIZONTAL 90 GRAUS, PARA ELETROCALHA, EM CHAPA DE ACO GALVANIZADO, ESPESSURA #18, 400 X 50 MM (L X A), SEM VIROLA, SEM TAMPA</t>
  </si>
  <si>
    <t>TE HORIZONTAL 90 GRAUS, PARA ELETROCALHA, EM CHAPA DE ACO GALVANIZADO, ESPESSURA #22, 100 X 50 MM (L X A), SEM VIROLA, SEM TAMPA</t>
  </si>
  <si>
    <t>TE HORIZONTAL 90 GRAUS, PARA ELETROCALHA, EM CHAPA DE ACO GALVANIZADO, ESPESSURA #22, 125 X 50 MM (L X A), SEM VIROLA, SEM TAMPA</t>
  </si>
  <si>
    <t>TE HORIZONTAL 90 GRAUS, PARA ELETROCALHA, EM CHAPA DE ACO GALVANIZADO, ESPESSURA #22, 150 X 50 MM (L X A), SEM VIROLA, SEM TAMPA</t>
  </si>
  <si>
    <t>TE HORIZONTAL 90 GRAUS, PARA ELETROCALHA, EM CHAPA DE ACO GALVANIZADO, ESPESSURA #22, 200 X 50 MM (L X A), SEM VIROLA, SEM TAMPA</t>
  </si>
  <si>
    <t>TE HORIZONTAL 90 GRAUS, PARA ELETROCALHA, EM CHAPA DE ACO GALVANIZADO, ESPESSURA #22, 250 X 50 MM (L X A), SEM VIROLA, SEM TAMPA</t>
  </si>
  <si>
    <t>TE HORIZONTAL 90 GRAUS, PARA ELETROCALHA, EM CHAPA DE ACO GALVANIZADO, ESPESSURA #22, 50 X 50 MM (L X A), SEM VIROLA, SEM TAMPA</t>
  </si>
  <si>
    <t>TE HORIZONTAL 90 GRAUS, PARA ELETROCALHA, EM CHAPA DE ACO GALVANIZADO, ESPESSURA #22, 75 X 50 MM (L X A), SEM VIROLA, SEM TAMPA</t>
  </si>
  <si>
    <t>TE METALICO, PARA CONEXAO COM ANEL DESLIZANTE, DN 16 MM, EM TUBO PEX PARA INST. AGUA QUENTE/FRIA</t>
  </si>
  <si>
    <t>TE METALICO, PARA CONEXAO COM ANEL DESLIZANTE, DN 20 MM, EM TUBO PEX PARA INST. AGUA QUENTE/FRIA</t>
  </si>
  <si>
    <t>TE METALICO, PARA CONEXAO COM ANEL DESLIZANTE, DN 25 MM, EM TUBO PEX PARA INST. AGUA QUENTE/FRIA</t>
  </si>
  <si>
    <t>TE METALICO, PARA CONEXAO COM ANEL DESLIZANTE, DN 32 MM, EM TUBO PEX PARA INST. AGUA QUENTE/FRIA</t>
  </si>
  <si>
    <t>TE MISTURADOR COM INSERTO METALICO, FEMEA, PPR, DN 25 MM X 3/4", PARA AGUA QUENTE E FRIA PREDIAL</t>
  </si>
  <si>
    <t>TE MISTURADOR DE TRANSICAO, CPVC, COM ROSCA, 22 MM X 3/4", PARA AGUA QUENTE</t>
  </si>
  <si>
    <t>TE MISTURADOR, CPVC, SOLDAVEL, 15 MM, PARA AGUA QUENTE</t>
  </si>
  <si>
    <t>TE MISTURADOR, CPVC, SOLDAVEL, 22 MM, PARA AGUA QUENTE</t>
  </si>
  <si>
    <t>TE MISTURADOR, PPR, F/M/M, DN 20 X 20 MM, PARA AGUA QUENTE PREDIAL</t>
  </si>
  <si>
    <t>TE MISTURADOR, PPR, F/M/M, DN 25 X 25 MM, PARA AGUA QUENTE PREDIAL</t>
  </si>
  <si>
    <t>TE NORMAL, PPR, F/F/F, SOLDAVEL, 90 GRAUS, DN 110 X 110 X 110 MM, PARA AGUA QUENTE PREDIAL</t>
  </si>
  <si>
    <t>TE NORMAL, PPR, F/F/F, SOLDAVEL, 90 GRAUS, DN 20 X 20 X 20 MM, PARA AGUA QUENTE PREDIAL</t>
  </si>
  <si>
    <t>TE NORMAL, PPR, F/F/F, SOLDAVEL, 90 GRAUS, DN 25 X 25 X 25 MM, PARA AGUA QUENTE PREDIAL</t>
  </si>
  <si>
    <t>TE NORMAL, PPR, F/F/F, SOLDAVEL, 90 GRAUS, DN 32 X 32 X 32 MM, PARA AGUA QUENTE PREDIAL</t>
  </si>
  <si>
    <t>TE NORMAL, PPR, F/F/F, SOLDAVEL, 90 GRAUS, DN 40 X 40 X 40 MM, PARA AGUA QUENTE PREDIAL</t>
  </si>
  <si>
    <t>TE NORMAL, PPR, F/F/F, SOLDAVEL, 90 GRAUS, DN 50 X 50 X 50 MM, PARA AGUA QUENTE PREDIAL</t>
  </si>
  <si>
    <t>TE NORMAL, PPR, F/F/F, SOLDAVEL, 90 GRAUS, DN 63 X 63 X 63 MM, PARA AGUA QUENTE PREDIAL</t>
  </si>
  <si>
    <t>TE NORMAL, PPR, F/F/F, SOLDAVEL, 90 GRAUS, DN 75 X 75 X 75 MM, PARA AGUA QUENTE PREDIAL</t>
  </si>
  <si>
    <t>TE NORMAL, PPR, F/F/F, SOLDAVEL, 90 GRAUS, DN 90 X 90 X 90 MM, PARA AGUA QUENTE PREDIAL</t>
  </si>
  <si>
    <t>TE PVC ROSCAVEL 90 GRAUS, 1", PARA AGUA FRIA PREDIAL</t>
  </si>
  <si>
    <t>TE PVC SOLDAVEL, BBB, 90 GRAUS, DN 40 MM, PARA ESGOTO SECUNDARIO PREDIAL</t>
  </si>
  <si>
    <t>TE PVC, ROSCAVEL, 90 GRAUS, 1 1/2", AGUA FRIA PREDIAL</t>
  </si>
  <si>
    <t>TE PVC, ROSCAVEL, 90 GRAUS, 1/2", AGUA FRIA PREDIAL</t>
  </si>
  <si>
    <t>TE PVC, ROSCAVEL, 90 GRAUS, 2", AGUA FRIA PREDIAL</t>
  </si>
  <si>
    <t>TE PVC, ROSCAVEL, 90 GRAUS, 3/4", AGUA FRIA PREDIAL</t>
  </si>
  <si>
    <t>TE PVC, SOLDAVEL, COM BUCHA DE LATAO NA BOLSA CENTRAL, 90 GRAUS, 20 MM X 1/2", PARA AGUA FRIA PREDIAL</t>
  </si>
  <si>
    <t>TE PVC, SOLDAVEL, COM BUCHA DE LATAO NA BOLSA CENTRAL, 90 GRAUS, 25 MM X 1/2", PARA AGUA FRIA PREDIAL</t>
  </si>
  <si>
    <t>TE PVC, SOLDAVEL, COM BUCHA DE LATAO NA BOLSA CENTRAL, 90 GRAUS, 25 MM X 3/4", PARA AGUA FRIA PREDIAL</t>
  </si>
  <si>
    <t>TE PVC, SOLDAVEL, COM BUCHA DE LATAO NA BOLSA CENTRAL, 90 GRAUS, 32 MM X 3/4", PARA AGUA FRIA PREDIAL</t>
  </si>
  <si>
    <t>TE PVC, SOLDAVEL, COM ROSCA NA BOLSA CENTRAL, 90 GRAUS, 20 MM X 1/2", PARA AGUA FRIA PREDIAL</t>
  </si>
  <si>
    <t>TE PVC, SOLDAVEL, COM ROSCA NA BOLSA CENTRAL, 90 GRAUS, 25 MM X 1/2", PARA AGUA FRIA PREDIAL</t>
  </si>
  <si>
    <t>TE PVC, SOLDAVEL, COM ROSCA NA BOLSA CENTRAL, 90 GRAUS, 25 MM X 3/4", PARA AGUA FRIA PREDIAL</t>
  </si>
  <si>
    <t>TE PVC, SOLDAVEL, COM ROSCA NA BOLSA CENTRAL, 90 GRAUS, 32 MM X 3/4", PARA AGUA FRIA PREDIAL</t>
  </si>
  <si>
    <t>TE RANHURADO EM FERRO FUNDIDO, DN 50 (2")</t>
  </si>
  <si>
    <t>TE RANHURADO EM FERRO FUNDIDO, DN 65 (2 1/2")</t>
  </si>
  <si>
    <t>TE RANHURADO EM FERRO FUNDIDO, DN 80 (3")</t>
  </si>
  <si>
    <t>TE ROSCA FEMEA, METALICO, PARA CONEXAO COM ANEL DESLIZANTE, DN 16 MM X 1/2", EM TUBO PEX PARA INST. AGUA QUENTE/FRIA</t>
  </si>
  <si>
    <t>TE ROSCA FEMEA, METALICO, PARA CONEXAO COM ANEL DESLIZANTE, DN 20 MM X 1/2", EM TUBO PEX PARA INST. AGUA QUENTE/FRIA</t>
  </si>
  <si>
    <t>TE ROSCA FEMEA, METALICO, PARA CONEXAO COM ANEL DESLIZANTE, DN 25 MM X 3/4", EM TUBO PEX PARA INST. AGUA QUENTE/FRIA</t>
  </si>
  <si>
    <t>TE SANITARIO DE REDUCAO, PVC, DN 100 X 50 MM, SERIE NORMAL, PARA ESGOTO PREDIAL</t>
  </si>
  <si>
    <t>TE SANITARIO DE REDUCAO, PVC, DN 100 X 75 MM, SERIE NORMAL PARA ESGOTO PREDIAL</t>
  </si>
  <si>
    <t>TE SANITARIO, PVC, DN 100 X 100 MM, SERIE NORMAL, PARA ESGOTO PREDIAL</t>
  </si>
  <si>
    <t>TE SANITARIO, PVC, DN 40 X 40 MM, SERIE NORMAL, PARA ESGOTO PREDIAL</t>
  </si>
  <si>
    <t>TE SANITARIO, PVC, DN 50 X 50 MM, SERIE NORMAL, PARA ESGOTO PREDIAL</t>
  </si>
  <si>
    <t>TE SANITARIO, PVC, DN 75 X 75 MM, SERIE NORMAL PARA ESGOTO PREDIAL</t>
  </si>
  <si>
    <t>TE SOLDAVEL, PVC, 90 GRAUS, 110 MM, PARA AGUA FRIA PREDIAL (NBR 5648)</t>
  </si>
  <si>
    <t>TE SOLDAVEL, PVC, 90 GRAUS, 20 MM, PARA AGUA FRIA PREDIAL (NBR 5648)</t>
  </si>
  <si>
    <t>TE SOLDAVEL, PVC, 90 GRAUS, 25 MM, PARA AGUA FRIA PREDIAL (NBR 5648)</t>
  </si>
  <si>
    <t>TE SOLDAVEL, PVC, 90 GRAUS, 32 MM, PARA AGUA FRIA PREDIAL (NBR 5648)</t>
  </si>
  <si>
    <t>TE SOLDAVEL, PVC, 90 GRAUS, 40 MM, PARA AGUA FRIA PREDIAL (NBR 5648)</t>
  </si>
  <si>
    <t>TE SOLDAVEL, PVC, 90 GRAUS, 60 MM, PARA AGUA FRIA PREDIAL (NBR 5648)</t>
  </si>
  <si>
    <t>TE SOLDAVEL, PVC, 90 GRAUS, 75 MM, PARA AGUA FRIA PREDIAL (NBR 5648)</t>
  </si>
  <si>
    <t>TE SOLDAVEL, PVC, 90 GRAUS, 85 MM, PARA AGUA FRIA PREDIAL (NBR 5648)</t>
  </si>
  <si>
    <t>TE SOLDAVEL, PVC, 90 GRAUS,50 MM, PARA AGUA FRIA PREDIAL (NBR 5648)</t>
  </si>
  <si>
    <t>TE, PLASTICO, DN 16 MM, PARA CONEXAO COM CRIMPAGEM, EM TUBO PEX PARA INST. AGUA QUENTE/FRIA</t>
  </si>
  <si>
    <t>TE, PLASTICO, DN 20 MM, PARA CONEXAO COM CRIMPAGEM, EM TUBO PEX PARA INST. AGUA QUENTE/FRIA</t>
  </si>
  <si>
    <t>TE, PLASTICO, DN 25 MM, PARA CONEXAO COM CRIMPAGEM, EM TUBO PEX PARA INST. AGUA QUENTE/FRIA</t>
  </si>
  <si>
    <t>TE, PLASTICO, DN 32 MM, PARA CONEXAO COM CRIMPAGEM, EM TUBO PEX PARA INST. AGUA QUENTE/FRIA</t>
  </si>
  <si>
    <t>TE, PVC PBA, BBB, 90 GRAUS, DN 100 / DE 110 MM, PARA REDE DE AGUA</t>
  </si>
  <si>
    <t>TE, PVC PBA, BBB, 90 GRAUS, DN 50 / DE 60 MM, PARA REDE DE AGUA</t>
  </si>
  <si>
    <t>TE, PVC PBA, BBB, 90 GRAUS, DN 75 / DE 85 MM, PARA REDE DE AGUA</t>
  </si>
  <si>
    <t>TE, PVC, 90 GRAUS, BBB, JE, DN 200 MM, PARA REDE COLETORA ESGOTO</t>
  </si>
  <si>
    <t>TE, PVC, SERIE R, 100 X 100 MM, PARA ESGOTO PREDIAL</t>
  </si>
  <si>
    <t>TE, PVC, SERIE R, 100 X 75 MM, PARA ESGOTO PREDIAL</t>
  </si>
  <si>
    <t>TE, PVC, SERIE R, 150 X 100 MM, PARA ESGOTO PREDIAL</t>
  </si>
  <si>
    <t>TE, PVC, SERIE R, 150 X 150 MM, PARA ESGOTO PREDIAL</t>
  </si>
  <si>
    <t>TE, PVC, SERIE R, 75 X 75 MM, PARA ESGOTO PREDIAL</t>
  </si>
  <si>
    <t>TECNICO DE EDIFICACOES (HORISTA)</t>
  </si>
  <si>
    <t>TECNICO DE EDIFICACOES (MENSALISTA)</t>
  </si>
  <si>
    <t>TECNICO EM LABORATORIO E CAMPO DE CONSTRUCAO CIVIL (HORISTA)</t>
  </si>
  <si>
    <t>TECNICO EM LABORATORIO E CAMPO DE CONSTRUCAO CIVIL (MENSALISTA)</t>
  </si>
  <si>
    <t>TECNICO EM SEGURANCA DO TRABALHO (HORISTA)</t>
  </si>
  <si>
    <t>TECNICO EM SEGURANCA DO TRABALHO (MENSALISTA)</t>
  </si>
  <si>
    <t>TECNICO EM SONDAGEM (HORISTA)</t>
  </si>
  <si>
    <t>TECNICO EM SONDAGEM (MENSALISTA)</t>
  </si>
  <si>
    <t>TELA ARAME GALVANIZADO REVESTIDO COM POLIMERO, MALHA HEXAGONAL DUPLA TORCAO, 8 X 10 CM (ZN/AL REVESTIDO COM POLIMERO), FIO *2,4* MM</t>
  </si>
  <si>
    <t>TELA DE ACO SOLDADA GALVANIZADA/ZINCADA PARA ALVENARIA, FIO D = *1,20 A 1,70* MM, MALHA 15 X 15 MM, (C X L) *50 X 10,5* CM</t>
  </si>
  <si>
    <t>TELA DE ACO SOLDADA GALVANIZADA/ZINCADA PARA ALVENARIA, FIO D = *1,20 A 1,70* MM, MALHA 15 X 15 MM, (C X L) *50 X 12* CM</t>
  </si>
  <si>
    <t>TELA DE ACO SOLDADA GALVANIZADA/ZINCADA PARA ALVENARIA, FIO D = *1,20 A 1,70* MM, MALHA 15 X 15 MM, (C X L) *50 X 17,5* CM</t>
  </si>
  <si>
    <t>TELA DE ACO SOLDADA GALVANIZADA/ZINCADA PARA ALVENARIA, FIO D = *1,20 A 1,70* MM, MALHA 15 X 15 MM, (C X L) *50 X 6* CM</t>
  </si>
  <si>
    <t>TELA DE ACO SOLDADA GALVANIZADA/ZINCADA PARA ALVENARIA, FIO D = *1,20 A 1,70* MM, MALHA 15 X 15 MM, (C X L) *50 X 7,5* CM</t>
  </si>
  <si>
    <t>TELA DE ACO SOLDADA GALVANIZADA/ZINCADA PARA ALVENARIA, FIO D = *1,24 MM, MALHA 25 X 25 MM</t>
  </si>
  <si>
    <t>TELA DE ACO SOLDADA NERVURADA, CA-60, L-159, (1,69 KG/M2), DIAMETRO DO FIO = 4,5 MM, LARGURA = 2,45 M, ESPACAMENTO DA MALHA = 30 X 10 CM</t>
  </si>
  <si>
    <t>TELA DE ACO SOLDADA NERVURADA, CA-60, Q-113, (1,8 KG/M2), DIAMETRO DO FIO = 3,8 MM, LARGURA = 2,45 M, ESPACAMENTO DA MALHA = 10 X 10 CM</t>
  </si>
  <si>
    <t>TELA DE ACO SOLDADA NERVURADA, CA-60, Q-138, (2,20 KG/M2), DIAMETRO DO FIO = 4,2 MM, LARGURA = 2,45 M, ESPACAMENTO DA MALHA = 10 X 10 CM</t>
  </si>
  <si>
    <t>TELA DE ACO SOLDADA NERVURADA, CA-60, Q-159, (2,52 KG/M2), DIAMETRO DO FIO = 4,5 MM, LARGURA = 2,45 M, ESPACAMENTO DA MALHA = 10 X 10 CM</t>
  </si>
  <si>
    <t>TELA DE ACO SOLDADA NERVURADA, CA-60, Q-196, (3,11 KG/M2), DIAMETRO DO FIO = 5,0 MM, LARGURA = 2,45 M, ESPACAMENTO DA MALHA = 10 X 10 CM</t>
  </si>
  <si>
    <t>TELA DE ACO SOLDADA NERVURADA, CA-60, Q-283 (4,48 KG/M2), DIAMETRO DO FIO = 6,0 MM, LARGURA = 2,45 X 6,00 M DE COMPRIMENTO, ESPACAMENTO DA MALHA = 10 X 10 CM</t>
  </si>
  <si>
    <t>TELA DE ACO SOLDADA NERVURADA, CA-60, Q-61, (0,97 KG/M2), DIAMETRO DO FIO = 3,4 MM, LARGURA = 2,45 M, ESPACAMENTO DA MALHA = 15 X 15 CM</t>
  </si>
  <si>
    <t>TELA DE ACO SOLDADA NERVURADA, CA-60, Q-92, (1,48 KG/M2), DIAMETRO DO FIO = 4,2 MM, LARGURA = 2,45 X 60 M DE COMPRIMENTO, ESPACAMENTO DA MALHA = 15 X 15 CM</t>
  </si>
  <si>
    <t>TELA DE ACO SOLDADA NERVURADA, CA-60, T-196, (2,11 KG/M2), DIAMETRO DO FIO = 5,0 MM, LARGURA = 2,45 M, ESPACAMENTO DA MALHA = 30 X 10 CM</t>
  </si>
  <si>
    <t>TELA DE ANIAGEM (JUTA)</t>
  </si>
  <si>
    <t>TELA DE ARAME GALVANIZADA QUADRANGULAR / LOSANGULAR, FIO 2,11 MM (14 BWG), MALHA 5 X 5 CM, H = 2 M</t>
  </si>
  <si>
    <t>TELA DE ARAME GALVANIZADA QUADRANGULAR / LOSANGULAR, FIO 2,11 MM (14 BWG), MALHA 8 X 8 CM, H = 2 M</t>
  </si>
  <si>
    <t>TELA DE ARAME GALVANIZADA QUADRANGULAR / LOSANGULAR, FIO 2,77 MM (12 BWG), MALHA 10 X 10 CM, H = 2 M</t>
  </si>
  <si>
    <t>TELA DE ARAME GALVANIZADA QUADRANGULAR / LOSANGULAR, FIO 2,77 MM (12 BWG), MALHA 5 X 5 CM, H = 2 M</t>
  </si>
  <si>
    <t>TELA DE ARAME GALVANIZADA QUADRANGULAR / LOSANGULAR, FIO 2,77 MM (12 BWG), MALHA 8 X 8 CM, H = 2 M</t>
  </si>
  <si>
    <t>TELA DE ARAME GALVANIZADA QUADRANGULAR / LOSANGULAR, FIO 3,4 MM (10 BWG), MALHA 5 X 5 CM, H = 2 M</t>
  </si>
  <si>
    <t>TELA DE ARAME GALVANIZADA QUADRANGULAR / LOSANGULAR, FIO 4,19 MM (8 BWG), MALHA 5 X 5 CM, H = 2 M</t>
  </si>
  <si>
    <t>TELA DE ARAME GALVANIZADA REVESTIDA EM PVC, QUADRANGULAR / LOSANGULAR, FIO 2,11 MM (14 BWG), BITOLA FINAL = *2,8* MM, MALHA *8 X 8* CM, H = 2 M</t>
  </si>
  <si>
    <t>TELA DE ARAME GALVANIZADA REVESTIDA EM PVC, QUADRANGULAR / LOSANGULAR, FIO 2,77 MM (12 BWG), BITOLA FINAL = *3,8* MM, MALHA 7,5 X 7,5 CM, H = 2 M</t>
  </si>
  <si>
    <t>TELA DE ARAME GALVANIZADA, HEXAGONAL, FIO 0,56 MM (24 BWG), MALHA 1/2", H = 1 M</t>
  </si>
  <si>
    <t>TELA DE ARAME ONDULADA, FIO *2,77* MM (12 BWG), MALHA 5 X 5 CM, H = 2 M</t>
  </si>
  <si>
    <t>TELA DE FIBRA DE VIDRO, ACABAMENTO ANTI-ALCALINO, MALHA 10 X 10 MM</t>
  </si>
  <si>
    <t>TELA EM MALHA HEXAGONAL DE DUPLA TORCAO 8 X 10 CM (ZN/AL REVESTIDO COM POLIMERO), FIO 2,7 MM, COM GEOMANTA OU BIOMANTA, DIMENSOES 4,0 X 2,0 X 0,6 M, COM INCLINACAO DE 70 GRAUS, PARA SOLO REFORCADO</t>
  </si>
  <si>
    <t>TELA EM METAL PARA ESTUQUE (DEPLOYE)</t>
  </si>
  <si>
    <t>TELA FACHADEIRA EM POLIETILENO, ROLO DE 3 X 100 M (L X C), COR BRANCA, SEM LOGOMARCA - PARA PROTECAO DE OBRAS</t>
  </si>
  <si>
    <t>TELA PLASTICA LARANJA, TIPO TAPUME PARA SINALIZACAO, MALHA RETANGULAR, ROLO 1.20 X 50 M (L X C)</t>
  </si>
  <si>
    <t>TELA PLASTICA TECIDA LISTRADA BRANCA E LARANJA, TIPO GUARDA CORPO, EM POLIETILENO MONOFILADO, ROLO 1,20 X 50 M (L X C)</t>
  </si>
  <si>
    <t>TELHA CERAMICA TIPO AMERICANA, COMPRIMENTO DE *45* CM, RENDIMENTO DE *12* TELHAS/M2</t>
  </si>
  <si>
    <t>TELHA DE BARRO / CERAMICA, NAO ESMALTADA, TIPO COLONIAL, CANAL, PLAN, PAULISTA, COMPRIMENTO DE *44 A 50* CM, RENDIMENTO DE COBERTURA DE *26* TELHAS/M2</t>
  </si>
  <si>
    <t>TELHA DE BARRO / CERAMICA, NAO ESMALTADA, TIPO ROMANA, AMERICANA, PORTUGUESA, FRANCESA, COMPRIMENTO DE *41* CM, RENDIMENTO DE *16* TELHAS/M2</t>
  </si>
  <si>
    <t>TELHA DE CONCRETO TIPO CLASSICA, COR CINZA, COMPRIMENTO DE *42* CM, RENDIMENTO DE *10* TELHAS/M2</t>
  </si>
  <si>
    <t>TELHA DE FIBRA DE VIDRO ONDULADA, TRANSLUCIDA / INCOLOR, E = *0,6* MM, DE *0,50 X 2,44* M (L X C)</t>
  </si>
  <si>
    <t>TELHA DE FIBROCIMENTO E = 6 MM, DE 3,00 X 1,06 M (SEM AMIANTO)</t>
  </si>
  <si>
    <t>TELHA DE FIBROCIMENTO E = 6 MM, DE 4,10 X 1,06 M (SEM AMIANTO)</t>
  </si>
  <si>
    <t>TELHA DE FIBROCIMENTO E = 6 MM, DE 4,60 X 1,06 M (SEM AMIANTO)</t>
  </si>
  <si>
    <t>TELHA DE FIBROCIMENTO E = 8 MM, DE 3,00 X 1,06 M (SEM AMIANTO)</t>
  </si>
  <si>
    <t>TELHA DE FIBROCIMENTO E = 8 MM, DE 4,10 X 1,06 M (SEM AMIANTO)</t>
  </si>
  <si>
    <t>TELHA DE FIBROCIMENTO E = 8 MM, DE 4,60 X 1,06 M (SEM AMIANTO)</t>
  </si>
  <si>
    <t>TELHA DE FIBROCIMENTO ONDULADA E = 4 MM, DE 1,22 X 0,50 M (SEM AMIANTO)</t>
  </si>
  <si>
    <t>TELHA DE FIBROCIMENTO ONDULADA E = 4 MM, DE 2,13 X 0,50 M (SEM AMIANTO)</t>
  </si>
  <si>
    <t>TELHA DE FIBROCIMENTO ONDULADA E = 4 MM, DE 2,44 X 0,50 M (SEM AMIANTO)</t>
  </si>
  <si>
    <t>TELHA DE FIBROCIMENTO ONDULADA E = 6 MM, DE 1,53 X 1,10 M (SEM AMIANTO)</t>
  </si>
  <si>
    <t>TELHA DE FIBROCIMENTO ONDULADA E = 6 MM, DE 1,83 X 1,10 M (SEM AMIANTO)</t>
  </si>
  <si>
    <t>TELHA DE FIBROCIMENTO ONDULADA E = 6 MM, DE 2,44 X 1,10 M (SEM AMIANTO)</t>
  </si>
  <si>
    <t>TELHA DE FIBROCIMENTO ONDULADA E = 6 MM, DE 3,66 X 1,10 M (SEM AMIANTO)</t>
  </si>
  <si>
    <t>TELHA DE FIBROCIMENTO ONDULADA E = 8 MM, DE 1,53 X 1,10 M (SEM AMIANTO)</t>
  </si>
  <si>
    <t>TELHA DE FIBROCIMENTO ONDULADA E = 8 MM, DE 1,83 X 1,10 M (SEM AMIANTO)</t>
  </si>
  <si>
    <t>TELHA DE FIBROCIMENTO ONDULADA E = 8 MM, DE 2,44 X 1,10 M (SEM AMIANTO)</t>
  </si>
  <si>
    <t>TELHA DE FIBROCIMENTO ONDULADA E = 8 MM, DE 3,66 X 1,10 M (SEM AMIANTO)</t>
  </si>
  <si>
    <t>TELHA DE VIDRO TIPO FRANCESA, *39 X 23* CM</t>
  </si>
  <si>
    <t>TELHA ESTRUTURAL DE FIBROCIMENTO 1 ABA, DE 0,52 X 2,00 M (SEM AMIANTO)</t>
  </si>
  <si>
    <t>TELHA ESTRUTURAL DE FIBROCIMENTO 1 ABA, DE 0,52 X 2,50 M (SEM AMIANTO)</t>
  </si>
  <si>
    <t>TELHA ESTRUTURAL DE FIBROCIMENTO 1 ABA, DE 0,52 X 3,60 M (SEM AMIANTO)</t>
  </si>
  <si>
    <t>TELHA ESTRUTURAL DE FIBROCIMENTO 1 ABA, DE 0,52 X 4,00 M (SEM AMIANTO)</t>
  </si>
  <si>
    <t>TELHA ESTRUTURAL DE FIBROCIMENTO 1 ABA, DE 0,52 X 5,00 M (SEM AMIANTO)</t>
  </si>
  <si>
    <t>TELHA ESTRUTURAL DE FIBROCIMENTO 1 ABA, DE 0,52 X 5,50 M (SEM AMIANTO)</t>
  </si>
  <si>
    <t>TELHA ESTRUTURAL DE FIBROCIMENTO 1 ABA, DE 0,52 X 6,50 M (SEM AMIANTO)</t>
  </si>
  <si>
    <t>TELHA ESTRUTURAL DE FIBROCIMENTO 1 ABA, DE 0,52 X 7,20 M (SEM AMIANTO)</t>
  </si>
  <si>
    <t>TELHA ESTRUTURAL DE FIBROCIMENTO 2 ABAS, DE 1,00 X 3,00 M (SEM AMIANTO)</t>
  </si>
  <si>
    <t>TELHA ESTRUTURAL DE FIBROCIMENTO 2 ABAS, DE 1,00 X 4,60 M (SEM AMIANTO)</t>
  </si>
  <si>
    <t>TELHA ESTRUTURAL DE FIBROCIMENTO 2 ABAS, DE 1,00 X 6,00 M (SEM AMIANTO)</t>
  </si>
  <si>
    <t>TELHA ESTRUTURAL DE FIBROCIMENTO 2 ABAS, DE 1,00 X 7,40 M (SEM AMIANTO)</t>
  </si>
  <si>
    <t>TELHA ESTRUTURAL DE FIBROCIMENTO 2 ABAS, DE 1,00 X 8,20 M (SEM AMIANTO)</t>
  </si>
  <si>
    <t>TELHA ESTRUTURAL DE FIBROCIMENTO 2 ABAS, DE 1,00 X 9,20 M (SEM AMIANTO)</t>
  </si>
  <si>
    <t>TELHA GALVALUME COM ISOLAMENTO TERMOACUSTICO EM ESPUMA RIGIDA DE POLIURETANO (PU) INJETADO, ESPESSURA DE 30 MM, DENSIDADE DE 35 KG/M3, REVESTIMENTO EM TELHA TRAPEZOIDAL NAS DUAS FACES COM ESPESSURA DE 0,50 MM CADA, ACABAMENTO NATURAL (NAO INCLUI ACESSORIOS DE FIXACAO)</t>
  </si>
  <si>
    <t>TELHA ONDULADA EM ACO ZINCADO, ALTURA DE 17 MM, ESPESSURA DE 0,50 MM, LARGURA UTIL DE APROXIMADAMENTE 985 MM, SEM PINTURA</t>
  </si>
  <si>
    <t>TELHA TERMOISOLANTE REVESTIDA EM ACO GALVALUME, FACE SUPERIOR TRAPEZOIDAL E FACE INFERIOR PLANA (NAO INCLUI ACESSORIOS DE FIXACAO), REVEST COM ESPESSURA DE 0,50 MM, COM PRE-PINTURA DE COR BRANCA NAS DUAS FACES, NUCLEO EM POLIISOCIANURATO (PIR) COM ESPESSURA DE 50 MM</t>
  </si>
  <si>
    <t>TELHA TERMOISOLANTE REVESTIDA EM ACO GALVANIZADO, FACE SUPERIOR EM TELHA TRAPEZOIDAL E FACE INFERIOR EM CHAPA PLANA (SEM ACESSORIOS DE FIXACAO), REVESTIMENTO COM ESPESSURA DE 0,50 MM COM PRE-PINTURA NAS DUAS FACES, NUCLEO EM POLIESTIRENO (EPS) DE 30 MM</t>
  </si>
  <si>
    <t>TELHA TERMOISOLANTE REVESTIDA EM ACO GALVANIZADO, FACE SUPERIOR EM TELHA TRAPEZOIDAL E FACE INFERIOR EM CHAPA PLANA (SEM ACESSORIOS DE FIXACAO), REVESTIMENTO COM ESPESSURA DE 0,50 MM COM PRE-PINTURA NAS DUAS FACES, NUCLEO EM POLIESTIRENO (EPS) DE 50 MM</t>
  </si>
  <si>
    <t>TELHA TERMOISOLANTE REVESTIDA EM ACO GALVANIZADO, FACES SUPERIOR E INFERIOR EM TELHA TRAPEZOIDAL (SEM ACESSORIOS DE FIXACAO), REVESTIMENTO COM ESPESSURA DE 0,50 MM COM PRE-PINTURA NAS DUAS FACES, NUCLEO EM POLIESTIRENO (EPS) DE 50 MM</t>
  </si>
  <si>
    <t>TELHA TRAPEZOIDAL EM ACO ZINCADO, SEM PINTURA, ALTURA DE APROXIMADAMENTE 40 MM, ESPESSURA DE 0,50 MM E LARGURA UTIL DE 980 MM</t>
  </si>
  <si>
    <t>TELHA VIDRO TIPO CANAL OU COLONIAL, C = 46 A 50 CM</t>
  </si>
  <si>
    <t>TELHADOR / TELHADISTA (HORISTA)</t>
  </si>
  <si>
    <t>TELHADOR / TELHADISTA (MENSALISTA)</t>
  </si>
  <si>
    <t>TERMINAL A COMPRESSAO EM COBRE ESTANHADO PARA CABO 10 MM2, 1 FURO E 1 COMPRESSAO, PARA PARAFUSO DE FIXACAO M6</t>
  </si>
  <si>
    <t>TERMINAL A COMPRESSAO EM COBRE ESTANHADO PARA CABO 120 MM2, 1 FURO E 1 COMPRESSAO, PARA PARAFUSO DE FIXACAO M12</t>
  </si>
  <si>
    <t>TERMINAL A COMPRESSAO EM COBRE ESTANHADO PARA CABO 16 MM2, 1 FURO E 1 COMPRESSAO, PARA PARAFUSO DE FIXACAO M6</t>
  </si>
  <si>
    <t>TERMINAL A COMPRESSAO EM COBRE ESTANHADO PARA CABO 2,5 MM2, 1 FURO E 1 COMPRESSAO, PARA PARAFUSO DE FIXACAO M5</t>
  </si>
  <si>
    <t>TERMINAL A COMPRESSAO EM COBRE ESTANHADO PARA CABO 25 MM2, 1 FURO E 1 COMPRESSAO, PARA PARAFUSO DE FIXACAO M8</t>
  </si>
  <si>
    <t>TERMINAL A COMPRESSAO EM COBRE ESTANHADO PARA CABO 35 MM2, 1 FURO E 1 COMPRESSAO, PARA PARAFUSO DE FIXACAO M8</t>
  </si>
  <si>
    <t>TERMINAL A COMPRESSAO EM COBRE ESTANHADO PARA CABO 4 MM2, 1 FURO E 1 COMPRESSAO, PARA PARAFUSO DE FIXACAO M5</t>
  </si>
  <si>
    <t>TERMINAL A COMPRESSAO EM COBRE ESTANHADO PARA CABO 50 MM2, 1 FURO E 1 COMPRESSAO, PARA PARAFUSO DE FIXACAO M8</t>
  </si>
  <si>
    <t>TERMINAL A COMPRESSAO EM COBRE ESTANHADO PARA CABO 6 MM2, 1 FURO E 1 COMPRESSAO, PARA PARAFUSO DE FIXACAO M6</t>
  </si>
  <si>
    <t>TERMINAL A COMPRESSAO EM COBRE ESTANHADO PARA CABO 70 MM2, 1 FURO E 1 COMPRESSAO, PARA PARAFUSO DE FIXACAO M10</t>
  </si>
  <si>
    <t>TERMINAL A COMPRESSAO EM COBRE ESTANHADO PARA CABO 95 MM2, 1 FURO E 1 COMPRESSAO, PARA PARAFUSO DE FIXACAO M12</t>
  </si>
  <si>
    <t>TERMINAL DE VENTILACAO, 100 MM, SERIE NORMAL, ESGOTO PREDIAL</t>
  </si>
  <si>
    <t>TERMINAL DE VENTILACAO, 50 MM, SERIE NORMAL, ESGOTO PREDIAL</t>
  </si>
  <si>
    <t>TERMINAL DE VENTILACAO, 75 MM, SERIE NORMAL, ESGOTO PREDIAL</t>
  </si>
  <si>
    <t>TERMINAL METALICO A PRESSAO 1 CABO, PARA CABOS DE 4 A 10 MM2, COM 2 FUROS PARA FIXACAO</t>
  </si>
  <si>
    <t>TERMINAL METALICO A PRESSAO PARA 1 CABO DE 120 MM2, COM 1 FURO DE FIXACAO</t>
  </si>
  <si>
    <t>TERMINAL METALICO A PRESSAO PARA 1 CABO DE 150 A 185 MM2, COM 2 FUROS PARA FIXACAO</t>
  </si>
  <si>
    <t>TERMINAL METALICO A PRESSAO PARA 1 CABO DE 150 MM2, COM 1 FURO DE FIXACAO</t>
  </si>
  <si>
    <t>TERMINAL METALICO A PRESSAO PARA 1 CABO DE 16 A 25 MM2, COM 2 FUROS PARA FIXACAO</t>
  </si>
  <si>
    <t>TERMINAL METALICO A PRESSAO PARA 1 CABO DE 16 MM2, COM 1 FURO DE FIXACAO</t>
  </si>
  <si>
    <t>TERMINAL METALICO A PRESSAO PARA 1 CABO DE 185 MM2, COM 1 FURO DE FIXACAO</t>
  </si>
  <si>
    <t>TERMINAL METALICO A PRESSAO PARA 1 CABO DE 240 MM2, COM 1 FURO DE FIXACAO</t>
  </si>
  <si>
    <t>TERMINAL METALICO A PRESSAO PARA 1 CABO DE 25 A 35 MM2, COM 2 FUROS PARA FIXACAO</t>
  </si>
  <si>
    <t>TERMINAL METALICO A PRESSAO PARA 1 CABO DE 25 MM2, COM 1 FURO DE FIXACAO</t>
  </si>
  <si>
    <t>TERMINAL METALICO A PRESSAO PARA 1 CABO DE 300 MM2, COM 1 FURO DE FIXACAO</t>
  </si>
  <si>
    <t>TERMINAL METALICO A PRESSAO PARA 1 CABO DE 35 MM2, COM 1 FURO DE FIXACAO</t>
  </si>
  <si>
    <t>TERMINAL METALICO A PRESSAO PARA 1 CABO DE 50 A 70 MM2, COM 2 FUROS PARA FIXACAO</t>
  </si>
  <si>
    <t>TERMINAL METALICO A PRESSAO PARA 1 CABO DE 50 MM2, COM 1 FURO DE FIXACAO</t>
  </si>
  <si>
    <t>TERMINAL METALICO A PRESSAO PARA 1 CABO DE 6 A 10 MM2, COM 1 FURO DE FIXACAO</t>
  </si>
  <si>
    <t>TERMINAL METALICO A PRESSAO PARA 1 CABO DE 70 MM2, COM 1 FURO DE FIXACAO</t>
  </si>
  <si>
    <t>TERMINAL METALICO A PRESSAO PARA 1 CABO DE 95 A 120 MM2, COM 2 FUROS PARA FIXACAO</t>
  </si>
  <si>
    <t>TERMINAL METALICO A PRESSAO PARA 1 CABO DE 95 MM2, COM 1 FURO DE FIXACAO</t>
  </si>
  <si>
    <t>TERMOFUSORA PARA TUBOS E CONEXOES EM PPR COM DIAMETROS DE 20 A 63 MM, POTENCIA DE 800 W, TENSAO 220 V</t>
  </si>
  <si>
    <t>TERMOFUSORA PARA TUBOS E CONEXOES EM PPR COM DIAMETROS DE 75 A 110 MM, POTENCIA DE *1100* W, TENSAO 220 V</t>
  </si>
  <si>
    <t>TERRA VEGETAL (ENSACADA)</t>
  </si>
  <si>
    <t>TERRA VEGETAL (GRANEL)</t>
  </si>
  <si>
    <t>TESTEIRA ANTIDERRAPANTE PARA PISO VINILICO *5 X 2,5* CM, E = 2 MM</t>
  </si>
  <si>
    <t>TIJOLO CERAMICO LAMINADO DE *5,5 X 11 X 23* CM (L X A X C), COM 21 FUROS</t>
  </si>
  <si>
    <t>TIJOLO CERAMICO MACICO APARENTE 2 FUROS DE *6,5 X 10 X 20* CM (L X A X C)</t>
  </si>
  <si>
    <t>TIJOLO CERAMICO MACICO APARENTE DE *6 X 12 X 24* CM (L X A X C)</t>
  </si>
  <si>
    <t>TIJOLO CERAMICO MACICO COMUM DE *5 X 10 X 20* CM (L X A X C)</t>
  </si>
  <si>
    <t>TIJOLO CERAMICO REFRATARIO DE *2,5 X 11,4 X 22,9* CM (L X A X C)</t>
  </si>
  <si>
    <t>TIJOLO CERAMICO REFRATARIO DE *6,3 X 11,4 X 22,9* CM (L X A X C)</t>
  </si>
  <si>
    <t>TIL CONDOMINIAL, PVC, DN 100 X 100 MM, PARA REDE COLETORA DE ESGOTO</t>
  </si>
  <si>
    <t>TIL PARA LIGACAO PREDIAL, EM PVC, JE, BBB, DN 100 X 100 MM, PARA REDE COLETORA ESGOTO</t>
  </si>
  <si>
    <t>TIL RADIAL, PVC, JE, BBB, DN 300 X 200 MM, PARA REDE COLETORA DE ESGOTO (NBR 10.569)</t>
  </si>
  <si>
    <t>TINTA / REVESTIMENTO A BASE DE RESINA EPOXI COM ALCATRAO, BICOMPONENTE</t>
  </si>
  <si>
    <t>TINTA A BASE DE RESINA ACRILICA EMULSIONADA EM AGUA, PARA SINALIZACAO HORIZONTAL VIARIA (NBR 13699:2012)</t>
  </si>
  <si>
    <t>TINTA A OLEO BRILHANTE, PARA MADEIRAS E METAIS</t>
  </si>
  <si>
    <t>TINTA ACRILICA A BASE DE SOLVENTE, PARA SINALIZACAO HORIZONTAL VIARIA (NBR 11862)</t>
  </si>
  <si>
    <t>TINTA ACRILICA PREMIUM PARA PISO</t>
  </si>
  <si>
    <t>TINTA ASFALTICA IMPERMEABILIZANTE DILUIDA EM SOLVENTE, PARA MATERIAIS CIMENTICIOS, METAL E MADEIRA</t>
  </si>
  <si>
    <t>TINTA ASFALTICA IMPERMEABILIZANTE DISPERSA EM AGUA, PARA MATERIAIS CIMENTICIOS</t>
  </si>
  <si>
    <t>TINTA BORRACHA CLORADA, ACABAMENTO SEMIBRILHO, QUALQUER COR</t>
  </si>
  <si>
    <t>TINTA EPOXI BASE AGUA PREMIUM, BRANCA</t>
  </si>
  <si>
    <t>TINTA ESMALTE BASE AGUA PREMIUM ACETINADO</t>
  </si>
  <si>
    <t>TINTA ESMALTE BASE AGUA PREMIUM BRILHANTE</t>
  </si>
  <si>
    <t>TINTA ESMALTE SINTETICO PREMIUM ACETINADO</t>
  </si>
  <si>
    <t>TINTA ESMALTE SINTETICO PREMIUM BRILHANTE</t>
  </si>
  <si>
    <t>TINTA ESMALTE SINTETICO PREMIUM DE DUPLA ACAO GRAFITE FOSCO PARA SUPERFICIES METALICAS FERROSAS</t>
  </si>
  <si>
    <t>TINTA ESMALTE SINTETICO PREMIUM DE EFEITO PROTETOR DE SUPERFICIE METALICA ALUMINIO</t>
  </si>
  <si>
    <t>TINTA ESMALTE SINTETICO PREMIUM FOSCO</t>
  </si>
  <si>
    <t>TINTA ESMALTE SINTETICO STANDARD ACETINADO</t>
  </si>
  <si>
    <t>TINTA ESMALTE SINTETICO STANDARD BRILHANTE</t>
  </si>
  <si>
    <t>TINTA ESMALTE SINTETICO STANDARD FOSCO</t>
  </si>
  <si>
    <t>TINTA LATEX ACRILICA ECONOMICA, COR BRANCA</t>
  </si>
  <si>
    <t>TINTA LATEX ACRILICA PREMIUM, COR BRANCO FOSCO</t>
  </si>
  <si>
    <t>TINTA LATEX ACRILICA STANDARD, COR BRANCA</t>
  </si>
  <si>
    <t>TINTA LATEX ACRILICA SUPER PREMIUM, COR BRANCO FOSCO</t>
  </si>
  <si>
    <t>TINTA MINERAL IMPERMEAVEL EM PO, BRANCA</t>
  </si>
  <si>
    <t>TINTA/RESINA ACRILICA PREMIUM PARA CERAMICA, PEDRAS E OUTROS</t>
  </si>
  <si>
    <t>TIRANTE COM ELO, EM ARAME GALVANIZADO RIGIDO, NUMERO 10, COMPRIMENTO 2000 MM, PARA PENDURAL DE FORRO REMOVIVEL</t>
  </si>
  <si>
    <t>TIRANTE EM FERRO GALVANIZADO PARA CONTRAVENTAMENTO DE TELHA CANALETE 90, 1/4" X 400 MM</t>
  </si>
  <si>
    <t>TOALHEIRO PLASTICO TIPO DISPENSER PARA PAPEL TOALHA INTERFOLHADO</t>
  </si>
  <si>
    <t>TOMADA 2P+T 10A, 250V (APENAS MODULO)</t>
  </si>
  <si>
    <t>TOMADA 2P+T 10A, 250V, CONJUNTO MONTADO PARA EMBUTIR 4" X 2" (PLACA + SUPORTE + MODULO)</t>
  </si>
  <si>
    <t>TOMADA 2P+T 10A, 250V, CONJUNTO MONTADO PARA SOBREPOR 4" X 2" (CAIXA + MODULO)</t>
  </si>
  <si>
    <t>TOMADA 2P+T 20A 250V, CONJUNTO MONTADO PARA EMBUTIR 4" X 2" (PLACA + SUPORTE + MODULO)</t>
  </si>
  <si>
    <t>TOMADA 2P+T 20A, 250V (APENAS MODULO)</t>
  </si>
  <si>
    <t>TOMADA INDUSTRIAL DE EMBUTIR 3P+T 30 A, 440 V, COM TRAVA, COM PLACA</t>
  </si>
  <si>
    <t>TOMADA INDUSTRIAL DE EMBUTIR 3P+T 30 A, 440 V, COM TRAVA, SEM PLACA</t>
  </si>
  <si>
    <t>TOMADA PARA ANTENA DE TV, CABO COAXIAL DE 9 MM (APENAS MODULO)</t>
  </si>
  <si>
    <t>TOMADA PARA ANTENA DE TV, CABO COAXIAL DE 9 MM, CONJUNTO MONTADO PARA EMBUTIR 4" X 2" (PLACA + SUPORTE + MODULO)</t>
  </si>
  <si>
    <t>TOMADA RJ11, 2 FIOS (APENAS MODULO)</t>
  </si>
  <si>
    <t>TOMADA RJ11, 2 FIOS, CONJUNTO MONTADO PARA EMBUTIR 4" X 2" (PLACA + SUPORTE + MODULO)</t>
  </si>
  <si>
    <t>TOMADA RJ45, 8 FIOS, CAT 5E (APENAS MODULO)</t>
  </si>
  <si>
    <t>TOMADA RJ45, 8 FIOS, CAT 5E, CONJUNTO MONTADO PARA EMBUTIR 4" X 2" (PLACA + SUPORTE + MODULO)</t>
  </si>
  <si>
    <t>TOMADAS (2 MODULOS) 2P+T 10A, 250V, CONJUNTO MONTADO PARA EMBUTIR 4" X 2" (PLACA + SUPORTE + MODULOS)</t>
  </si>
  <si>
    <t>TOPOGRAFO (HORISTA)</t>
  </si>
  <si>
    <t>TOPOGRAFO (MENSALISTA)</t>
  </si>
  <si>
    <t>TORNEIRA DE BOIA BALAO METALICO, VAZAO TOTAL, PARA CAIXA D'AGUA, AGUA QUENTE, ROSCA 1/2", COM HASTE, TORNEIRA E BALAO METALICOS</t>
  </si>
  <si>
    <t>TORNEIRA DE BOIA BALAO METALICO, VAZAO TOTAL, PARA CAIXA D'AGUA, AGUA QUENTE, ROSCA 3/4", COM HASTE, TORNEIRA E BALAO METALICOS</t>
  </si>
  <si>
    <t>TORNEIRA DE BOIA CONVENCIONAL PARA CAIXA D'AGUA, 1", AGUA FRIA, COM HASTE E TORNEIRA METALICOS E BALAO PLASTICO</t>
  </si>
  <si>
    <t>TORNEIRA DE BOIA CONVENCIONAL PARA CAIXA D'AGUA, 2", AGUA FRIA, COM HASTE E TORNEIRA METALICOS E BALAO PLASTICO</t>
  </si>
  <si>
    <t>TORNEIRA DE BOIA CONVENCIONAL PARA CAIXA D'AGUA, AGUA FRIA, 1.1/2", COM HASTE E TORNEIRA METALICOS E BALAO PLASTICO</t>
  </si>
  <si>
    <t>TORNEIRA DE BOIA CONVENCIONAL PARA CAIXA D'AGUA, AGUA FRIA, 1.1/4", COM HASTE E TORNEIRA METALICOS E BALAO PLASTICO</t>
  </si>
  <si>
    <t>TORNEIRA DE BOIA CONVENCIONAL PARA CAIXA D'AGUA, AGUA FRIA, 1/2", COM HASTE E TORNEIRA METALICOS E BALAO PLASTICO</t>
  </si>
  <si>
    <t>TORNEIRA DE BOIA CONVENCIONAL PARA CAIXA D'AGUA, AGUA FRIA, 3/4", COM HASTE E TORNEIRA METALICOS E BALAO PLASTICO</t>
  </si>
  <si>
    <t>TORNEIRA DE BOIA VAZAO TOTAL PARA CAIXA D'AGUA, AGUA FRIA, BITOLA 1", COM HASTE E TORNEIRA METALICOS E BALAO PLASTICO</t>
  </si>
  <si>
    <t>TORNEIRA DE BOIA VAZAO TOTAL PARA CAIXA D'AGUA, AGUA FRIA, BITOLA 1/2", COM HASTE E TORNEIRA METALICOS E BALAO PLASTICO</t>
  </si>
  <si>
    <t>TORNEIRA DE BOIA VAZAO TOTAL PARA CAIXA D'AGUA, AGUA FRIA, BITOLA 3/4", COM HASTE E TORNEIRA METALICOS E BALAO PLASTICO</t>
  </si>
  <si>
    <t>TORNEIRA DE MESA PARA LAVATORIO, METALICA CROMADA, COM MISTURADOR MONOCOMANDO, BICA BAIXA</t>
  </si>
  <si>
    <t>TORNEIRA DE MESA PARA LAVATORIO, METALICA CROMADA, COM SENSOR DE APROXIMACAO ELETRICO, BIVOLT</t>
  </si>
  <si>
    <t>TORNEIRA DE MESA/BANCADA, PARA LAVATORIO, FIXA, METALICA CROMADA, PADRAO POPULAR, 1/2" OU 3/4"</t>
  </si>
  <si>
    <t>TORNEIRA DE METAL AMARELO, PARA TANQUE / JARDIM, DE PAREDE, COM BICO PLASTICO, CANO CURTO, AREA EXTERNA, PADRAO POPULAR / USO GERAL, 1/2" OU 3/4"</t>
  </si>
  <si>
    <t>TORNEIRA DE METAL AMARELO, PARA TANQUE / JARDIM, DE PAREDE, SEM BICO, CANO CURTO, PADRAO POPULAR / USO GERAL, 1/2" OU 3/4"</t>
  </si>
  <si>
    <t>TORNEIRA ELETRICA DE PAREDE, PLASTICA, BICA ALTA, PARA COZINHA, 5500 W (110/220 V)</t>
  </si>
  <si>
    <t>TORNEIRA METALICA CROMADA CANO CURTO, SEM BICO, SEM AREJADOR, DE PAREDE, PARA TANQUE E USO GERAL, 1/2" OU 3/4"</t>
  </si>
  <si>
    <t>TORNEIRA METALICA CROMADA DE MESA PARA LAVATORIO, BICA ALTA, COM AREJADOR</t>
  </si>
  <si>
    <t>TORNEIRA METALICA CROMADA DE MESA PARA LAVATORIO, COM SENSOR DE PRESENCA A PILHA, COM AREJADOR EMBUTIDO</t>
  </si>
  <si>
    <t>TORNEIRA METALICA CROMADA DE MESA, PARA LAVATORIO, TEMPORIZADA PRESSAO FECHAMENTO AUTOMATICO, BICA BAIXA</t>
  </si>
  <si>
    <t>TORNEIRA METALICA CROMADA DE PAREDE LONGA PARA LAVATORIO, COM AREJADOR, ACIONAMENTO ALAVANCA, 1/4 DE VOLTA</t>
  </si>
  <si>
    <t>TORNEIRA METALICA CROMADA DE PAREDE, PARA COZINHA, BICA MOVEL, COM AREJADOR, 1/2" OU 3/4"</t>
  </si>
  <si>
    <t>TORNEIRA METALICA CROMADA PARA JARDIM / TANQUE, COM BICO PLASTICO, CANO LONGO, DE PAREDE, PADRAO POPULAR / USO GERAL, 1/2" OU 3/4"</t>
  </si>
  <si>
    <t>TORNEIRA METALICA CROMADA PARA TANQUE / JARDIM, SEM BICO, CANO LONGO, DE PAREDE, PADRAO POPULAR / USO GERAL, 1/2" OU 3/4"</t>
  </si>
  <si>
    <t>TORNEIRA METALICA CROMADA, CANO CURTO, COM AREJADOR, SEM BICO PLASTICO, DE PAREDE, PARA USO GERAL, 1/2" OU 3/4"</t>
  </si>
  <si>
    <t>TORNEIRA METALICA CROMADA, DE MESA/BANCADA, PARA COZINHA, BICA MOVEL, COM AREJADOR, 1/2" OU 3/4"</t>
  </si>
  <si>
    <t>TORNEIRA METALICA CROMADA, RETA, DE PAREDE, PARA COZINHA, COM AREJADOR, PADRAO POPULAR, 1/2" OU 3/4"</t>
  </si>
  <si>
    <t>TORNEIRA METALICA CROMADA, RETA, DE PAREDE, PARA COZINHA, SEM BICO, SEM AREJADOR, PADRAO POPULAR, 1/2" OU 3/4"</t>
  </si>
  <si>
    <t>TORNEIRA PLASTICA DE BOIA CONVENCIONAL PARA CAIXA DE AGUA, AGUA FRIA, 3/4", COM HASTE METALICA E COM TORNEIRA E BALAO PLASTICOS (PADRAO POPULAR)</t>
  </si>
  <si>
    <t>TORNEIRA PLASTICA DE BOIA PARA CAIXA DE DESCARGA, 1/2", BALAO E TORNEIRA PLASTICOS, COM HASTE METALICA</t>
  </si>
  <si>
    <t>TORNEIRA PLASTICA DE MESA, BICA MOVEL, PARA COZINHA 1/2"</t>
  </si>
  <si>
    <t>TORNEIRA PLASTICA PARA TANQUE 1/2" OU 3/4" COM BICO PARA MANGUEIRA</t>
  </si>
  <si>
    <t>TORNO/MORSA DE BANCADA NUMERO 4</t>
  </si>
  <si>
    <t>TRANSFORMADOR TRIFASICO DE DISTRIBUICAO, POTENCIA DE 1000 KVA, TENSAO NOMINAL DE 15 KV, TENSAO SECUNDARIA DE 220/127V, EM OLEO ISOLANTE TIPO MINERAL</t>
  </si>
  <si>
    <t>TRANSFORMADOR TRIFASICO DE DISTRIBUICAO, POTENCIA DE 112,5 KVA, TENSAO NOMINAL DE 15 KV, TENSAO SECUNDARIA DE 220/127V, EM OLEO ISOLANTE TIPO MINERAL</t>
  </si>
  <si>
    <t>TRANSFORMADOR TRIFASICO DE DISTRIBUICAO, POTENCIA DE 15 KVA, TENSAO NOMINAL DE 15 KV, TENSAO SECUNDARIA DE 220/127V, EM OLEO ISOLANTE TIPO MINERAL</t>
  </si>
  <si>
    <t>TRANSFORMADOR TRIFASICO DE DISTRIBUICAO, POTENCIA DE 150 KVA, TENSAO NOMINAL DE 15 KV, TENSAO SECUNDARIA DE 220/127V, EM OLEO ISOLANTE TIPO MINERAL</t>
  </si>
  <si>
    <t>TRANSFORMADOR TRIFASICO DE DISTRIBUICAO, POTENCIA DE 1500 KVA, TENSAO NOMINAL DE 15 KV, TENSAO SECUNDARIA DE 220/127V, EM OLEO ISOLANTE TIPO MINERAL</t>
  </si>
  <si>
    <t>TRANSFORMADOR TRIFASICO DE DISTRIBUICAO, POTENCIA DE 225 KVA, TENSAO NOMINAL DE 15 KV, TENSAO SECUNDARIA DE 220/127V, EM OLEO ISOLANTE TIPO MINERAL</t>
  </si>
  <si>
    <t>TRANSFORMADOR TRIFASICO DE DISTRIBUICAO, POTENCIA DE 30 KVA, TENSAO NOMINAL DE 15 KV, TENSAO SECUNDARIA DE 220/127V, EM OLEO ISOLANTE TIPO MINERAL</t>
  </si>
  <si>
    <t>TRANSFORMADOR TRIFASICO DE DISTRIBUICAO, POTENCIA DE 300 KVA, TENSAO NOMINAL DE 15 KV, TENSAO SECUNDARIA DE 220/127V, EM OLEO ISOLANTE TIPO MINERAL</t>
  </si>
  <si>
    <t>TRANSFORMADOR TRIFASICO DE DISTRIBUICAO, POTENCIA DE 45 KVA, TENSAO NOMINAL DE 15 KV, TENSAO SECUNDARIA DE 220/127V, EM OLEO ISOLANTE TIPO MINERAL</t>
  </si>
  <si>
    <t>TRANSFORMADOR TRIFASICO DE DISTRIBUICAO, POTENCIA DE 500 KVA, TENSAO NOMINAL DE 15 KV, TENSAO SECUNDARIA DE 220/127V, EM OLEO ISOLANTE TIPO MINERAL</t>
  </si>
  <si>
    <t>TRANSFORMADOR TRIFASICO DE DISTRIBUICAO, POTENCIA DE 75 KVA, TENSAO NOMINAL DE 15 KV, TENSAO SECUNDARIA DE 220/127V, EM OLEO ISOLANTE TIPO MINERAL</t>
  </si>
  <si>
    <t>TRANSFORMADOR TRIFASICO DE DISTRIBUICAO, POTENCIA DE 750 KVA, TENSAO NOMINAL DE 15 KV, TENSAO SECUNDARIA DE 220/127V, EM OLEO ISOLANTE TIPO MINERAL</t>
  </si>
  <si>
    <t>TRANSPORTE - HORISTA (COLETADO CAIXA - ENCARGOS COMPLEMENTARES)</t>
  </si>
  <si>
    <t>TRANSPORTE - MENSALISTA (COLETADO CAIXA - ENCARGOS COMPLEMENTARES)</t>
  </si>
  <si>
    <t>TRATOR DE ESTEIRAS, POTENCIA 125 HP, PESO OPERACIONAL DE 12,9 T, COM LAMINA COM CAPACIDADE DE 2,7 M3</t>
  </si>
  <si>
    <t>TRATOR DE ESTEIRAS, POTENCIA DE 100 HP, PESO OPERACIONAL DE 9,4 T, COM LAMINA COM CAPACIDADE DE 2,19 M3</t>
  </si>
  <si>
    <t>TRATOR DE ESTEIRAS, POTENCIA DE 150 HP, PESO OPERACIONAL DE 16,7 T, COM RODA MOTRIZ ELEVADA E LAMINA COM CONTATO DE 3,18M3</t>
  </si>
  <si>
    <t>TRATOR DE ESTEIRAS, POTENCIA DE 170 HP, PESO OPERACIONAL DE 19 T, COM LAMINA COM CAPACIDADE DE 5,2 M3</t>
  </si>
  <si>
    <t>TRATOR DE ESTEIRAS, POTENCIA DE 347 HP, PESO OPERACIONAL DE 38,5 T, COM LAMINA COM CAPACIDADE DE 8,70M3</t>
  </si>
  <si>
    <t>TRATOR DE PNEUS COM POTENCIA DE 122 CV, TRACAO 4 X 4, PESO COM LASTRO DE 4510 KG</t>
  </si>
  <si>
    <t>TRATOR DE PNEUS COM POTENCIA DE 85 CV, TRACAO 4 X 4, PESO COM LASTRO DE 4675 KG</t>
  </si>
  <si>
    <t>TRAVA / PRENDEDOR DE PORTA, EM LATAO CROMADO, MONTADO EM PISO</t>
  </si>
  <si>
    <t>TRAVA-QUEDAS EM ACO PARA CORDA DE 12 MM, EXTENSOR DE 25 X 300 MM, COM MOSQUETAO TIPO GANCHO TRAVA DUPLA</t>
  </si>
  <si>
    <t>TRELICA NERVURADA (ESPACADOR), ALTURA = 120,0 MM, DIAMETRO DOS BANZOS INFERIORES E SUPERIOR = 6,0 MM, DIAMETRO DA DIAGONAL = 4,2 MM</t>
  </si>
  <si>
    <t>TRENA COM FITA DE ACO DE 10 M X 25 MM (COMPRIMENTO X LARGURA)</t>
  </si>
  <si>
    <t>TRILHO PANTOGRAFICO CONCAVO, TIPO U, EM ALUMINIO, COM DIMENSOES DE APROX *35 X 35* MM, PARA ROLDANA DE PORTA DE CORRER</t>
  </si>
  <si>
    <t>TRILHO PANTOGRAFICO RETO, EM ALUMINIO, TIPO U, COM DIMENSOES DE *38 X 38* MM PARA PORTA DE CORRER</t>
  </si>
  <si>
    <t>TRILHO QUADRADO FRISADO PARA RODIZIO (VERGALHAO MACICO), EM ALUMINIO, COM DIMENSOES DE *6 X 6* MM</t>
  </si>
  <si>
    <t>TRINCHA CERDAS GRIS 1.1/2" (38 MM)</t>
  </si>
  <si>
    <t>TRINCHA DE 1" COM CERDAS SINTETICAS</t>
  </si>
  <si>
    <t>TRINCHA DE 2" COM CERDAS SINTETICAS</t>
  </si>
  <si>
    <t>TUBO / MANGUEIRA PRETA EM POLIETILENO, LINHA PESADA OU REFORCADA, TIPO ESPAGUETE, PARA INJECAO DE CALDA DE CIMENTO, D = 1/2", ESPESSURA 1,5 MM</t>
  </si>
  <si>
    <t>TUBO 26" EM CHAPA PRETA, E= 3/16", 147 KG/6 M</t>
  </si>
  <si>
    <t>TUBO 30" EM CHAPA PRETA, E= 1/4", 175 KG/6 M</t>
  </si>
  <si>
    <t>TUBO 30" EM CHAPA PRETA, E= 3/8", 177 KG/6 M</t>
  </si>
  <si>
    <t>TUBO ACO CARBONO COM COSTURA, NBR 5580, CLASSE L, DN = 15 MM, E = 2,25 MM, 1,06 KG/M</t>
  </si>
  <si>
    <t>TUBO ACO CARBONO COM COSTURA, NBR 5580, CLASSE L, DN = 25 MM, E = 2,65 MM, 2,02 KG/M</t>
  </si>
  <si>
    <t>TUBO ACO CARBONO COM COSTURA, NBR 5580, CLASSE L, DN = 40 MM, E = 3,0 MM, 3,34 KG/M</t>
  </si>
  <si>
    <t>TUBO ACO CARBONO COM COSTURA, NBR 5580, CLASSE L, DN = 80 MM, E = 3,35 MM, 7,07 KG/M</t>
  </si>
  <si>
    <t>TUBO ACO CARBONO COM COSTURA, NBR 5580, CLASSE M, DN = 25 MM, E = 3,35 MM, *2,50* KG//M</t>
  </si>
  <si>
    <t>TUBO ACO CARBONO COM COSTURA, NBR 5580, CLASSE M, DN = 40 MM, E = 3,35 MM, *3,71* KG//M</t>
  </si>
  <si>
    <t>TUBO ACO CARBONO COM COSTURA, NBR 5580, CLASSE M, DN = 80 MM, E = 4,05 MM, *8,47* KG/M</t>
  </si>
  <si>
    <t>TUBO ACO CARBONO SEM COSTURA 1 1/2", E= *3,68 MM, SCHEDULE 40, 4,05 KG/M</t>
  </si>
  <si>
    <t>TUBO ACO CARBONO SEM COSTURA 1 1/4", E= *3,56 MM, SCHEDULE 40, *3,38* KG/M</t>
  </si>
  <si>
    <t>TUBO ACO CARBONO SEM COSTURA 1", E= *3,38 MM, SCHEDULE 40, *2,50* KG/M</t>
  </si>
  <si>
    <t>TUBO ACO CARBONO SEM COSTURA 1/2", E= *2,77 MM, SCHEDULE 40, *1,27 KG/M</t>
  </si>
  <si>
    <t>TUBO ACO CARBONO SEM COSTURA 1/2", E= *3,73 MM, SCHEDULE 80, *1,62 KG/M</t>
  </si>
  <si>
    <t>TUBO ACO CARBONO SEM COSTURA 14", E= *11,13 MM, SCHEDULE 40, *94,55 KG/M</t>
  </si>
  <si>
    <t>TUBO ACO CARBONO SEM COSTURA 2 1/2", E = 5,16 MM, SCHEDULE 40 (8,62 KG/M)</t>
  </si>
  <si>
    <t>TUBO ACO CARBONO SEM COSTURA 2", E= *3,91* MM, SCHEDULE 40, *5,43* KG/M</t>
  </si>
  <si>
    <t>TUBO ACO CARBONO SEM COSTURA 20", E= *12,70 MM, SCHEDULE 30, *154,97 KG/M</t>
  </si>
  <si>
    <t>TUBO ACO CARBONO SEM COSTURA 20", E= *6,35 MM, SCHEDULE 10, *78,46 KG/M</t>
  </si>
  <si>
    <t>TUBO ACO CARBONO SEM COSTURA 3", E= *5,49 MM, SCHEDULE 40, *11,28* KG/M</t>
  </si>
  <si>
    <t>TUBO ACO CARBONO SEM COSTURA 3/4", E= *2,87 MM, SCHEDULE 40, *1,69 KG/M</t>
  </si>
  <si>
    <t>TUBO ACO CARBONO SEM COSTURA 3/4", E= *3,91 MM, SCHEDULE 80, *2,19 KG/M.</t>
  </si>
  <si>
    <t>TUBO ACO CARBONO SEM COSTURA 4", E= *6,02 MM, SCHEDULE 40, *16,06 KG/M</t>
  </si>
  <si>
    <t>TUBO ACO CARBONO SEM COSTURA 4", E= *8,56 MM, SCHEDULE 80, *22,31 KG/M</t>
  </si>
  <si>
    <t>TUBO ACO CARBONO SEM COSTURA 5", E= *6,55 MM, SCHEDULE 40, *21,75* KG/M</t>
  </si>
  <si>
    <t>TUBO ACO CARBONO SEM COSTURA 6", E= *10,97 MM, SCHEDULE 80, *42,56 KG/M</t>
  </si>
  <si>
    <t>TUBO ACO CARBONO SEM COSTURA 6", E= 7,11 MM, SCHEDULE 40, *28,26 KG/M</t>
  </si>
  <si>
    <t>TUBO ACO CARBONO SEM COSTURA 8", E= *12,70 MM, SCHEDULE 80, *64,64 KG/M</t>
  </si>
  <si>
    <t>TUBO ACO CARBONO SEM COSTURA 8", E= *6,35 MM, SCHEDULE 20, *33,27 KG/M</t>
  </si>
  <si>
    <t>TUBO ACO CARBONO SEM COSTURA 8", E= *7,04 MM, SCHEDULE 30, *36,75 KG/M</t>
  </si>
  <si>
    <t>TUBO ACO CARBONO SEM COSTURA 8", E= *8,18 MM, SCHEDULE 40, *42,55 KG/M</t>
  </si>
  <si>
    <t>TUBO ACO GALVANIZADO COM COSTURA, CLASSE LEVE, DN 100 MM (4"), E = 3,75 MM, *10,55* KG/M (NBR 5580)</t>
  </si>
  <si>
    <t>TUBO ACO GALVANIZADO COM COSTURA, CLASSE LEVE, DN 15 MM (1/2"), E = 2,25 MM, *1,2* KG/M (NBR 5580)</t>
  </si>
  <si>
    <t>TUBO ACO GALVANIZADO COM COSTURA, CLASSE LEVE, DN 20 MM (3/4"), E = 2,25 MM, *1,3* KG/M (NBR 5580)</t>
  </si>
  <si>
    <t>TUBO ACO GALVANIZADO COM COSTURA, CLASSE LEVE, DN 25 MM (1"), E = 2,65 MM, *2,11* KG/M (NBR 5580)</t>
  </si>
  <si>
    <t>TUBO ACO GALVANIZADO COM COSTURA, CLASSE LEVE, DN 32 MM (1 1/4"), E = 2,65 MM, *2,71* KG/M (NBR 5580)</t>
  </si>
  <si>
    <t>TUBO ACO GALVANIZADO COM COSTURA, CLASSE LEVE, DN 40 MM (1 1/2"), E = 3,00 MM, *3,48* KG/M (NBR 5580)</t>
  </si>
  <si>
    <t>TUBO ACO GALVANIZADO COM COSTURA, CLASSE LEVE, DN 50 MM (2"), E = 3,00 MM, *4,40* KG/M (NBR 5580)</t>
  </si>
  <si>
    <t>TUBO ACO GALVANIZADO COM COSTURA, CLASSE LEVE, DN 65 MM (2 1/2"), E = 3,35 MM, * 6,23* KG/M (NBR 5580)</t>
  </si>
  <si>
    <t>TUBO ACO GALVANIZADO COM COSTURA, CLASSE LEVE, DN 80 MM (3"), E = 3,35 MM, *7,32* KG/M (NBR 5580)</t>
  </si>
  <si>
    <t>TUBO ACO GALVANIZADO COM COSTURA, CLASSE MEDIA, DN 1", E = 3,38 MM, PESO 2,50 KG/M (NBR 5580)</t>
  </si>
  <si>
    <t>TUBO ACO GALVANIZADO COM COSTURA, CLASSE MEDIA, DN 1.1/2", E = *3,25* MM, PESO *3,61* KG/M (NBR 5580)</t>
  </si>
  <si>
    <t>TUBO ACO GALVANIZADO COM COSTURA, CLASSE MEDIA, DN 1.1/4", E = *3,25* MM, PESO *3,14* KG/M (NBR 5580)</t>
  </si>
  <si>
    <t>TUBO ACO GALVANIZADO COM COSTURA, CLASSE MEDIA, DN 1/2", E = *2,65* MM, PESO *1,22* KG/M (NBR 5580)</t>
  </si>
  <si>
    <t>TUBO ACO GALVANIZADO COM COSTURA, CLASSE MEDIA, DN 2", E = *3,65* MM, PESO *5,10* KG/M (NBR 5580)</t>
  </si>
  <si>
    <t>TUBO ACO GALVANIZADO COM COSTURA, CLASSE MEDIA, DN 2.1/2", E = *3,65* MM, PESO *6,51* KG/M (NBR 5580)</t>
  </si>
  <si>
    <t>TUBO ACO GALVANIZADO COM COSTURA, CLASSE MEDIA, DN 3", E = *4,05* MM, PESO *8,47* KG/M (NBR 5580)</t>
  </si>
  <si>
    <t>TUBO ACO GALVANIZADO COM COSTURA, CLASSE MEDIA, DN 3/4", E = *2,65* MM, PESO *1,58* KG/M (NBR 5580)</t>
  </si>
  <si>
    <t>TUBO ACO GALVANIZADO COM COSTURA, CLASSE MEDIA, DN 4", E = 4,50* MM, PESO 12,10* KG/M (NBR 5580)</t>
  </si>
  <si>
    <t>TUBO ACO GALVANIZADO COM COSTURA, CLASSE MEDIA, DN 5", E = *5,40* MM, PESO *17,80* KG/M (NBR 5580)</t>
  </si>
  <si>
    <t>TUBO ACO GALVANIZADO COM COSTURA, CLASSE MEDIA, DN 6", E = 4,85* MM, PESO 19,68* KG/M (NBR 5580)</t>
  </si>
  <si>
    <t>TUBO ACO INDUSTRIAL DN 2" (50,8 MM) E=1,50MM, PESO= 1,8237 KG/M</t>
  </si>
  <si>
    <t>TUBO COLETOR DE ESGOTO PVC, JEI, DN 100 MM (NBR 7362)</t>
  </si>
  <si>
    <t>TUBO COLETOR DE ESGOTO PVC, JEI, DN 200 MM (NBR 7362)</t>
  </si>
  <si>
    <t>TUBO COLETOR DE ESGOTO PVC, JEI, DN 250 MM (NBR 7362)</t>
  </si>
  <si>
    <t>TUBO COLETOR DE ESGOTO PVC, JEI, DN 300 MM (NBR 7362)</t>
  </si>
  <si>
    <t>TUBO COLETOR DE ESGOTO PVC, JEI, DN 350 MM (NBR 7362)</t>
  </si>
  <si>
    <t>TUBO COLETOR DE ESGOTO PVC, JEI, DN 400 MM (NBR 7362)</t>
  </si>
  <si>
    <t>TUBO COLETOR DE ESGOTO, PVC, JEI, DN 150 MM (NBR 7362)</t>
  </si>
  <si>
    <t>TUBO CORRUGADO PEAD, PAREDE DUPLA, INTERNA LISA, JEI DN/DI 500 MM (DRENAGEM/ESGOTO)</t>
  </si>
  <si>
    <t>TUBO CORRUGADO PEAD, PAREDE DUPLA, INTERNA LISA, JEI, DN/DI *1000* MM, PARA SANEAMENTO (DRENAGEM/ESGOTO)</t>
  </si>
  <si>
    <t>TUBO CORRUGADO PEAD, PAREDE DUPLA, INTERNA LISA, JEI, DN/DI *400* MM, PARA SANEAMENTO (DRENAGEM/ESGOTO)</t>
  </si>
  <si>
    <t>TUBO CORRUGADO PEAD, PAREDE DUPLA, INTERNA LISA, JEI, DN/DI *800* MM, PARA SANEAMENTO (DRENAGEM/ESGOTO)</t>
  </si>
  <si>
    <t>TUBO CORRUGADO PEAD, PAREDE DUPLA, INTERNA LISA, JEI, DN/DI 1200 MM, PARA SANEAMENTO (DRENAGEM/ESGOTO)</t>
  </si>
  <si>
    <t>TUBO CORRUGADO PEAD, PAREDE DUPLA, INTERNA LISA, JEI, DN/DI 250 MM, PARA SANEAMENTO (DRENAGEM/ESGOTO)</t>
  </si>
  <si>
    <t>TUBO CORRUGADO PEAD, PAREDE DUPLA, INTERNA LISA, JEI, DN/DI 300 MM, PARA SANEAMENTO (DRENAGEM/ESGOTO)</t>
  </si>
  <si>
    <t>TUBO CORRUGADO PEAD, PAREDE DUPLA, INTERNA LISA, JEI, DN/DI 600 MM, PARA SANEAMENTO (DRENAGEM/ESGOTO)</t>
  </si>
  <si>
    <t>TUBO CPVC SOLDAVEL, 35 MM, AGUA QUENTE PREDIAL (NBR 15884)</t>
  </si>
  <si>
    <t>TUBO CPVC, SOLDAVEL, 114 MM, AGUA QUENTE (NBR 15884)</t>
  </si>
  <si>
    <t>TUBO CPVC, SOLDAVEL, 15 MM, AGUA QUENTE PREDIAL (NBR 15884)</t>
  </si>
  <si>
    <t>TUBO CPVC, SOLDAVEL, 22 MM, AGUA QUENTE PREDIAL (NBR 15884)</t>
  </si>
  <si>
    <t>TUBO CPVC, SOLDAVEL, 28 MM, AGUA QUENTE PREDIAL (NBR 15884)</t>
  </si>
  <si>
    <t>TUBO CPVC, SOLDAVEL, 42 MM, AGUA QUENTE PREDIAL (NBR 15884)</t>
  </si>
  <si>
    <t>TUBO CPVC, SOLDAVEL, 54 MM, AGUA QUENTE PREDIAL (NBR 15884)</t>
  </si>
  <si>
    <t>TUBO CPVC, SOLDAVEL, 73 MM, AGUA QUENTE PREDIAL (NBR 15884)</t>
  </si>
  <si>
    <t>TUBO CPVC, SOLDAVEL, 89 MM, AGUA QUENTE PREDIAL (NBR 15884)</t>
  </si>
  <si>
    <t>TUBO DE BORRACHA ELASTOMERICA FLEXIVEL, PRETA, PARA ISOLAMENTO TERMICO DE TUBULACAO, DN 1 1/8" (28 MM), E= 32 MM, COEFICIENTE DE CONDUTIVIDADE TERMICA 0,036W/MK, VAPOR DE AGUA MAIOR OU IGUAL A 10.000</t>
  </si>
  <si>
    <t>TUBO DE BORRACHA ELASTOMERICA FLEXIVEL, PRETA, PARA ISOLAMENTO TERMICO DE TUBULACAO, DN 1 3/8" (35 MM), E= 32 MM, COEFICIENTE DE CONDUTIVIDADE TERMICA 0,036W/MK, VAPOR DE AGUA MAIOR OU IGUAL A 10.000</t>
  </si>
  <si>
    <t>TUBO DE BORRACHA ELASTOMERICA FLEXIVEL, PRETA, PARA ISOLAMENTO TERMICO DE TUBULACAO, DN 1 5/8" (42 MM), E= 32 MM, COEFICIENTE DE CONDUTIVIDADE TERMICA 0,036W/MK, VAPOR DE AGUA MAIOR OU IGUAL A 10.000</t>
  </si>
  <si>
    <t>TUBO DE BORRACHA ELASTOMERICA FLEXIVEL, PRETA, PARA ISOLAMENTO TERMICO DE TUBULACAO, DN 1" (25 MM), E= 32 MM, COEFICIENTE DE CONDUTIVIDADE TERMICA 0,036W/MK, VAPOR DE AGUA MAIOR OU IGUAL A 10.000</t>
  </si>
  <si>
    <t>TUBO DE BORRACHA ELASTOMERICA FLEXIVEL, PRETA, PARA ISOLAMENTO TERMICO DE TUBULACAO, DN 1/2" (12 MM), E= 19 MM, COEFICIENTE DE CONDUTIVIDADE TERMICA 0,036W/MK, VAPOR DE AGUA MAIOR OU IGUAL A 10.000</t>
  </si>
  <si>
    <t>TUBO DE BORRACHA ELASTOMERICA FLEXIVEL, PRETA, PARA ISOLAMENTO TERMICO DE TUBULACAO, DN 1/4" (6 MM), E= 9 MM, COEFICIENTE DE CONDUTIVIDADE TERMICA 0,036W/MK, VAPOR DE AGUA MAIOR OU IGUAL A 10.000</t>
  </si>
  <si>
    <t>TUBO DE BORRACHA ELASTOMERICA FLEXIVEL, PRETA, PARA ISOLAMENTO TERMICO DE TUBULACAO, DN 2 1/8" (54 MM), E= 32 MM, COEFICIENTE DE CONDUTIVIDADE TERMICA 0,036W/MK, VAPOR DE AGUA MAIOR OU IGUAL A 10.000</t>
  </si>
  <si>
    <t>TUBO DE BORRACHA ELASTOMERICA FLEXIVEL, PRETA, PARA ISOLAMENTO TERMICO DE TUBULACAO, DN 2 5/8" (*64* MM), E= *32* MM, COEFICIENTE DE CONDUTIVIDADE TERMICA 0,036W/MK, VAPOR DE AGUA MAIOR OU IGUAL A 10.000</t>
  </si>
  <si>
    <t>TUBO DE BORRACHA ELASTOMERICA FLEXIVEL, PRETA, PARA ISOLAMENTO TERMICO DE TUBULACAO, DN 3/4" (18 MM), E= 32 MM, COEFICIENTE DE CONDUTIVIDADE TERMICA 0,036W/MK, VAPOR DE AGUA MAIOR OU IGUAL A 10.000</t>
  </si>
  <si>
    <t>TUBO DE BORRACHA ELASTOMERICA FLEXIVEL, PRETA, PARA ISOLAMENTO TERMICO DE TUBULACAO, DN 3/8" (10 MM), E= 19 MM, COEFICIENTE DE CONDUTIVIDADE TERMICA 0,036W/MK, VAPOR DE AGUA MAIOR OU IGUAL A 10.000</t>
  </si>
  <si>
    <t>TUBO DE BORRACHA ELASTOMERICA FLEXIVEL, PRETA, PARA ISOLAMENTO TERMICO DE TUBULACAO, DN 5/8" (15 MM), E= 19 MM, COEFICIENTE DE CONDUTIVIDADE TERMICA 0,036W/MK, VAPOR DE AGUA MAIOR OU IGUAL A 10.000</t>
  </si>
  <si>
    <t>TUBO DE BORRACHA ELASTOMERICA FLEXIVEL, PRETA, PARA ISOLAMENTO TERMICO DE TUBULACAO, DN 7/8" (22 MM), E= 32 MM, COEFICIENTE DE CONDUTIVIDADE TERMICA 0,036W/MK, VAPOR DE AGUA MAIOR OU IGUAL A 10.000</t>
  </si>
  <si>
    <t>TUBO DE COBRE CLASSE "A", DN = 1 1/2" (42 MM), PARA INSTALACOES DE MEDIA PRESSAO PARA GASES COMBUSTIVEIS E MEDICINAIS</t>
  </si>
  <si>
    <t>TUBO DE COBRE CLASSE "A", DN = 1 1/4" (35 MM), PARA INSTALACOES DE MEDIA PRESSAO PARA GASES COMBUSTIVEIS E MEDICINAIS</t>
  </si>
  <si>
    <t>TUBO DE COBRE CLASSE "A", DN = 1" (28 MM), PARA INSTALACOES DE MEDIA PRESSAO PARA GASES COMBUSTIVEIS E MEDICINAIS</t>
  </si>
  <si>
    <t>TUBO DE COBRE CLASSE "A", DN = 1/2" (15 MM), PARA INSTALACOES DE MEDIA PRESSAO PARA GASES COMBUSTIVEIS E MEDICINAIS</t>
  </si>
  <si>
    <t>TUBO DE COBRE CLASSE "A", DN = 2 1/2" (66 MM), PARA INSTALACOES DE MEDIA PRESSAO PARA GASES COMBUSTIVEIS E MEDICINAIS</t>
  </si>
  <si>
    <t>TUBO DE COBRE CLASSE "A", DN = 2" (54 MM), PARA INSTALACOES DE MEDIA PRESSAO PARA GASES COMBUSTIVEIS E MEDICINAIS</t>
  </si>
  <si>
    <t>TUBO DE COBRE CLASSE "A", DN = 3" (79 MM), PARA INSTALACOES DE MEDIA PRESSAO PARA GASES COMBUSTIVEIS E MEDICINAIS</t>
  </si>
  <si>
    <t>TUBO DE COBRE CLASSE "A", DN = 3/4" (22 MM), PARA INSTALACOES DE MEDIA PRESSAO PARA GASES COMBUSTIVEIS E MEDICINAIS</t>
  </si>
  <si>
    <t>TUBO DE COBRE CLASSE "A", DN = 4" (104 MM), PARA INSTALACOES DE MEDIA PRESSAO PARA GASES COMBUSTIVEIS E MEDICINAIS</t>
  </si>
  <si>
    <t>TUBO DE COBRE CLASSE "E", DN = 104 MM, PARA INSTALACAO HIDRAULICA PREDIAL</t>
  </si>
  <si>
    <t>TUBO DE COBRE CLASSE "E", DN = 15 MM, PARA INSTALACAO HIDRAULICA PREDIAL</t>
  </si>
  <si>
    <t>TUBO DE COBRE CLASSE "E", DN = 22 MM, PARA INSTALACAO HIDRAULICA PREDIAL</t>
  </si>
  <si>
    <t>TUBO DE COBRE CLASSE "E", DN = 28 MM, PARA INSTALACAO HIDRAULICA PREDIAL</t>
  </si>
  <si>
    <t>TUBO DE COBRE CLASSE "E", DN = 35 MM, PARA INSTALACAO HIDRAULICA PREDIAL</t>
  </si>
  <si>
    <t>TUBO DE COBRE CLASSE "E", DN = 42 MM, PARA INSTALACAO HIDRAULICA PREDIAL</t>
  </si>
  <si>
    <t>TUBO DE COBRE CLASSE "E", DN = 54 MM, PARA INSTALACAO HIDRAULICA PREDIAL</t>
  </si>
  <si>
    <t>TUBO DE COBRE CLASSE "E", DN = 66 MM, PARA INSTALACAO HIDRAULICA PREDIAL</t>
  </si>
  <si>
    <t>TUBO DE COBRE CLASSE "E", DN = 79 MM, PARA INSTALACAO HIDRAULICA PREDIAL</t>
  </si>
  <si>
    <t>TUBO DE COBRE FLEXIVEL, D = 1/2", E = 0,79 MM, PARA AR-CONDICIONADO/ INSTALACOES GAS RESIDENCIAIS E COMERCIAIS</t>
  </si>
  <si>
    <t>TUBO DE COBRE FLEXIVEL, D = 1/4", E = 0,79 MM, PARA AR-CONDICIONADO/ INSTALACOES GAS RESIDENCIAIS E COMERCIAIS</t>
  </si>
  <si>
    <t>TUBO DE COBRE FLEXIVEL, D = 3/16", E = 0,79 MM, PARA AR-CONDICIONADO/ INSTALACOES GAS RESIDENCIAIS E COMERCIAIS</t>
  </si>
  <si>
    <t>TUBO DE COBRE FLEXIVEL, D = 3/4", E = 0,79 MM, PARA AR-CONDICIONADO/ INSTALACOES GAS RESIDENCIAIS E COMERCIAIS</t>
  </si>
  <si>
    <t>TUBO DE COBRE FLEXIVEL, D = 3/8", E = 0,79 MM, PARA AR-CONDICIONADO/ INSTALACOES GAS RESIDENCIAIS E COMERCIAIS</t>
  </si>
  <si>
    <t>TUBO DE COBRE FLEXIVEL, D = 5/16", E = 0,79 MM, PARA AR-CONDICIONADO/ INSTALACOES GAS RESIDENCIAIS E COMERCIAIS</t>
  </si>
  <si>
    <t>TUBO DE COBRE FLEXIVEL, D = 5/8", E = 0,79 MM, PARA AR-CONDICIONADO/ INSTALACOES GAS RESIDENCIAIS E COMERCIAIS</t>
  </si>
  <si>
    <t>TUBO DE CONCRETO ARMADO PARA AGUAS PLUVIAIS, CLASSE PA-1, COM ENCAIXE PONTA E BOLSA, DIAMETRO NOMINAL DE 1000 MM</t>
  </si>
  <si>
    <t>TUBO DE CONCRETO ARMADO PARA AGUAS PLUVIAIS, CLASSE PA-1, COM ENCAIXE PONTA E BOLSA, DIAMETRO NOMINAL DE 1100 MM</t>
  </si>
  <si>
    <t>TUBO DE CONCRETO ARMADO PARA AGUAS PLUVIAIS, CLASSE PA-1, COM ENCAIXE PONTA E BOLSA, DIAMETRO NOMINAL DE 1200 MM</t>
  </si>
  <si>
    <t>TUBO DE CONCRETO ARMADO PARA AGUAS PLUVIAIS, CLASSE PA-1, COM ENCAIXE PONTA E BOLSA, DIAMETRO NOMINAL DE 1500 MM</t>
  </si>
  <si>
    <t>TUBO DE CONCRETO ARMADO PARA AGUAS PLUVIAIS, CLASSE PA-1, COM ENCAIXE PONTA E BOLSA, DIAMETRO NOMINAL DE 2000 MM</t>
  </si>
  <si>
    <t>TUBO DE CONCRETO ARMADO PARA AGUAS PLUVIAIS, CLASSE PA-1, COM ENCAIXE PONTA E BOLSA, DIAMETRO NOMINAL DE 300 MM</t>
  </si>
  <si>
    <t>TUBO DE CONCRETO ARMADO PARA AGUAS PLUVIAIS, CLASSE PA-1, COM ENCAIXE PONTA E BOLSA, DIAMETRO NOMINAL DE 400 MM</t>
  </si>
  <si>
    <t>TUBO DE CONCRETO ARMADO PARA AGUAS PLUVIAIS, CLASSE PA-1, COM ENCAIXE PONTA E BOLSA, DIAMETRO NOMINAL DE 700 MM</t>
  </si>
  <si>
    <t>TUBO DE CONCRETO ARMADO PARA AGUAS PLUVIAIS, CLASSE PA-1, COM ENCAIXE PONTA E BOLSA, DIAMETRO NOMINAL DE 800 MM</t>
  </si>
  <si>
    <t>TUBO DE CONCRETO ARMADO PARA AGUAS PLUVIAIS, CLASSE PA-1, COM ENCAIXE PONTA E BOLSA, DIAMETRO NOMINAL DE 900 MM</t>
  </si>
  <si>
    <t>TUBO DE CONCRETO ARMADO PARA AGUAS PLUVIAIS, CLASSE PA-1, COM ENCAIXE PONTA E BOLSA, DIAMETRO NOMINAL DE = 600 MM</t>
  </si>
  <si>
    <t>TUBO DE CONCRETO ARMADO PARA AGUAS PLUVIAIS, CLASSE PA-2, COM ENCAIXE PONTA E BOLSA, DIAMETRO NOMINAL DE 1000 MM</t>
  </si>
  <si>
    <t>TUBO DE CONCRETO ARMADO PARA AGUAS PLUVIAIS, CLASSE PA-2, COM ENCAIXE PONTA E BOLSA, DIAMETRO NOMINAL DE 1100 MM</t>
  </si>
  <si>
    <t>TUBO DE CONCRETO ARMADO PARA AGUAS PLUVIAIS, CLASSE PA-2, COM ENCAIXE PONTA E BOLSA, DIAMETRO NOMINAL DE 1200 MM</t>
  </si>
  <si>
    <t>TUBO DE CONCRETO ARMADO PARA AGUAS PLUVIAIS, CLASSE PA-2, COM ENCAIXE PONTA E BOLSA, DIAMETRO NOMINAL DE 1500 MM</t>
  </si>
  <si>
    <t>TUBO DE CONCRETO ARMADO PARA AGUAS PLUVIAIS, CLASSE PA-2, COM ENCAIXE PONTA E BOLSA, DIAMETRO NOMINAL DE 2000 MM</t>
  </si>
  <si>
    <t>TUBO DE CONCRETO ARMADO PARA AGUAS PLUVIAIS, CLASSE PA-2, COM ENCAIXE PONTA E BOLSA, DIAMETRO NOMINAL DE 300 MM</t>
  </si>
  <si>
    <t>TUBO DE CONCRETO ARMADO PARA AGUAS PLUVIAIS, CLASSE PA-2, COM ENCAIXE PONTA E BOLSA, DIAMETRO NOMINAL DE 400 MM</t>
  </si>
  <si>
    <t>TUBO DE CONCRETO ARMADO PARA AGUAS PLUVIAIS, CLASSE PA-2, COM ENCAIXE PONTA E BOLSA, DIAMETRO NOMINAL DE 500 MM</t>
  </si>
  <si>
    <t>TUBO DE CONCRETO ARMADO PARA AGUAS PLUVIAIS, CLASSE PA-2, COM ENCAIXE PONTA E BOLSA, DIAMETRO NOMINAL DE 600 MM</t>
  </si>
  <si>
    <t>TUBO DE CONCRETO ARMADO PARA AGUAS PLUVIAIS, CLASSE PA-2, COM ENCAIXE PONTA E BOLSA, DIAMETRO NOMINAL DE 700 MM</t>
  </si>
  <si>
    <t>TUBO DE CONCRETO ARMADO PARA AGUAS PLUVIAIS, CLASSE PA-2, COM ENCAIXE PONTA E BOLSA, DIAMETRO NOMINAL DE 800 MM</t>
  </si>
  <si>
    <t>TUBO DE CONCRETO ARMADO PARA AGUAS PLUVIAIS, CLASSE PA-2, COM ENCAIXE PONTA E BOLSA, DIAMETRO NOMINAL DE 900 MM</t>
  </si>
  <si>
    <t>TUBO DE CONCRETO ARMADO PARA AGUAS PLUVIAIS, CLASSE PA-3, COM ENCAIXE PONTA E BOLSA, DIAMETRO NOMINAL DE 1000 MM</t>
  </si>
  <si>
    <t>TUBO DE CONCRETO ARMADO PARA AGUAS PLUVIAIS, CLASSE PA-3, COM ENCAIXE PONTA E BOLSA, DIAMETRO NOMINAL DE 1100 MM</t>
  </si>
  <si>
    <t>TUBO DE CONCRETO ARMADO PARA AGUAS PLUVIAIS, CLASSE PA-3, COM ENCAIXE PONTA E BOLSA, DIAMETRO NOMINAL DE 1200 MM</t>
  </si>
  <si>
    <t>TUBO DE CONCRETO ARMADO PARA AGUAS PLUVIAIS, CLASSE PA-3, COM ENCAIXE PONTA E BOLSA, DIAMETRO NOMINAL DE 1500 MM</t>
  </si>
  <si>
    <t>TUBO DE CONCRETO ARMADO PARA AGUAS PLUVIAIS, CLASSE PA-3, COM ENCAIXE PONTA E BOLSA, DIAMETRO NOMINAL DE 400 MM</t>
  </si>
  <si>
    <t>TUBO DE CONCRETO ARMADO PARA AGUAS PLUVIAIS, CLASSE PA-3, COM ENCAIXE PONTA E BOLSA, DIAMETRO NOMINAL DE 500 MM</t>
  </si>
  <si>
    <t>TUBO DE CONCRETO ARMADO PARA AGUAS PLUVIAIS, CLASSE PA-3, COM ENCAIXE PONTA E BOLSA, DIAMETRO NOMINAL DE 600 MM</t>
  </si>
  <si>
    <t>TUBO DE CONCRETO ARMADO PARA AGUAS PLUVIAIS, CLASSE PA-3, COM ENCAIXE PONTA E BOLSA, DIAMETRO NOMINAL DE 700 MM</t>
  </si>
  <si>
    <t>TUBO DE CONCRETO ARMADO PARA AGUAS PLUVIAIS, CLASSE PA-3, COM ENCAIXE PONTA E BOLSA, DIAMETRO NOMINAL DE 800 MM</t>
  </si>
  <si>
    <t>TUBO DE CONCRETO ARMADO PARA AGUAS PLUVIAIS, CLASSE PA-3, COM ENCAIXE PONTA E BOLSA, DIAMETRO NOMINAL DE 900 MM</t>
  </si>
  <si>
    <t>TUBO DE CONCRETO ARMADO PARA ESGOTO SANITARIO, CLASSE EA-2, COM ENCAIXE PONTA E BOLSA, COM JUNTA ELASTICA, DIAMETRO NOMINAL DE 1000 MM</t>
  </si>
  <si>
    <t>TUBO DE CONCRETO ARMADO PARA ESGOTO SANITARIO, CLASSE EA-2, COM ENCAIXE PONTA E BOLSA, COM JUNTA ELASTICA, DIAMETRO NOMINAL DE 300 MM</t>
  </si>
  <si>
    <t>TUBO DE CONCRETO ARMADO PARA ESGOTO SANITARIO, CLASSE EA-2, COM ENCAIXE PONTA E BOLSA, COM JUNTA ELASTICA, DIAMETRO NOMINAL DE 400 MM</t>
  </si>
  <si>
    <t>TUBO DE CONCRETO ARMADO PARA ESGOTO SANITARIO, CLASSE EA-2, COM ENCAIXE PONTA E BOLSA, COM JUNTA ELASTICA, DIAMETRO NOMINAL DE 500 MM</t>
  </si>
  <si>
    <t>TUBO DE CONCRETO ARMADO PARA ESGOTO SANITARIO, CLASSE EA-2, COM ENCAIXE PONTA E BOLSA, COM JUNTA ELASTICA, DIAMETRO NOMINAL DE 600 MM</t>
  </si>
  <si>
    <t>TUBO DE CONCRETO ARMADO PARA ESGOTO SANITARIO, CLASSE EA-2, COM ENCAIXE PONTA E BOLSA, COM JUNTA ELASTICA, DIAMETRO NOMINAL DE 700 MM</t>
  </si>
  <si>
    <t>TUBO DE CONCRETO ARMADO PARA ESGOTO SANITARIO, CLASSE EA-2, COM ENCAIXE PONTA E BOLSA, COM JUNTA ELASTICA, DIAMETRO NOMINAL DE 800 MM</t>
  </si>
  <si>
    <t>TUBO DE CONCRETO ARMADO PARA ESGOTO SANITARIO, CLASSE EA-2, COM ENCAIXE PONTA E BOLSA, COM JUNTA ELASTICA, DIAMETRO NOMINAL DE 900 MM</t>
  </si>
  <si>
    <t>TUBO DE CONCRETO ARMADO PARA ESGOTO SANITARIO, CLASSE EA-3, COM ENCAIXE PONTA E BOLSA, COM JUNTA ELASTICA, DIAMETRO NOMINAL DE 1000 MM</t>
  </si>
  <si>
    <t>TUBO DE CONCRETO ARMADO PARA ESGOTO SANITARIO, CLASSE EA-3, COM ENCAIXE PONTA E BOLSA, COM JUNTA ELASTICA, DIAMETRO NOMINAL DE 400 MM</t>
  </si>
  <si>
    <t>TUBO DE CONCRETO ARMADO PARA ESGOTO SANITARIO, CLASSE EA-3, COM ENCAIXE PONTA E BOLSA, COM JUNTA ELASTICA, DIAMETRO NOMINAL DE 500 MM</t>
  </si>
  <si>
    <t>TUBO DE CONCRETO ARMADO PARA ESGOTO SANITARIO, CLASSE EA-3, COM ENCAIXE PONTA E BOLSA, COM JUNTA ELASTICA, DIAMETRO NOMINAL DE 600 MM</t>
  </si>
  <si>
    <t>TUBO DE CONCRETO ARMADO PARA ESGOTO SANITARIO, CLASSE EA-3, COM ENCAIXE PONTA E BOLSA, COM JUNTA ELASTICA, DIAMETRO NOMINAL DE 700 MM</t>
  </si>
  <si>
    <t>TUBO DE CONCRETO ARMADO PARA ESGOTO SANITARIO, CLASSE EA-3, COM ENCAIXE PONTA E BOLSA, COM JUNTA ELASTICA, DIAMETRO NOMINAL DE 800 MM</t>
  </si>
  <si>
    <t>TUBO DE CONCRETO ARMADO PARA ESGOTO SANITARIO, CLASSE EA-3, COM ENCAIXE PONTA E BOLSA, COM JUNTA ELASTICA, DIAMETRO NOMINAL DE 900 MM</t>
  </si>
  <si>
    <t>TUBO DE CONCRETO ARMADO, PRE MOLDADO PARA AGUAS PLUVIAIS, CLASSE PA-1, COM ENCAIXE PONTA E BOLSA, DIAMETRO NOMINAL DE 500 MM</t>
  </si>
  <si>
    <t>TUBO DE CONCRETO SIMPLES PARA AGUAS PLUVIAIS, CLASSE PS1, COM ENCAIXE MACHO E FEMEA, DIAMETRO NOMINAL DE 200 MM</t>
  </si>
  <si>
    <t>TUBO DE CONCRETO SIMPLES PARA AGUAS PLUVIAIS, CLASSE PS1, COM ENCAIXE MACHO E FEMEA, DIAMETRO NOMINAL DE 300 MM</t>
  </si>
  <si>
    <t>TUBO DE CONCRETO SIMPLES PARA AGUAS PLUVIAIS, CLASSE PS1, COM ENCAIXE MACHO E FEMEA, DIAMETRO NOMINAL DE 400 MM</t>
  </si>
  <si>
    <t>TUBO DE CONCRETO SIMPLES PARA AGUAS PLUVIAIS, CLASSE PS1, COM ENCAIXE MACHO E FEMEA, DIAMETRO NOMINAL DE 500 MM</t>
  </si>
  <si>
    <t>TUBO DE CONCRETO SIMPLES PARA AGUAS PLUVIAIS, CLASSE PS1, COM ENCAIXE MACHO E FEMEA, DIAMETRO NOMINAL DE 600 MM</t>
  </si>
  <si>
    <t>TUBO DE CONCRETO SIMPLES PARA AGUAS PLUVIAIS, CLASSE PS1, COM ENCAIXE PONTA E BOLSA, DIAMETRO NOMINAL DE 200 MM</t>
  </si>
  <si>
    <t>TUBO DE CONCRETO SIMPLES PARA AGUAS PLUVIAIS, CLASSE PS1, COM ENCAIXE PONTA E BOLSA, DIAMETRO NOMINAL DE 300 MM</t>
  </si>
  <si>
    <t>TUBO DE CONCRETO SIMPLES PARA AGUAS PLUVIAIS, CLASSE PS1, COM ENCAIXE PONTA E BOLSA, DIAMETRO NOMINAL DE 400 MM</t>
  </si>
  <si>
    <t>TUBO DE CONCRETO SIMPLES PARA AGUAS PLUVIAIS, CLASSE PS1, COM ENCAIXE PONTA E BOLSA, DIAMETRO NOMINAL DE 500 MM</t>
  </si>
  <si>
    <t>TUBO DE CONCRETO SIMPLES PARA AGUAS PLUVIAIS, CLASSE PS1, COM ENCAIXE PONTA E BOLSA, DIAMETRO NOMINAL DE 600 MM</t>
  </si>
  <si>
    <t>TUBO DE CONCRETO SIMPLES PARA AGUAS PLUVIAIS, CLASSE PS2, COM ENCAIXE PONTA E BOLSA, DIAMETRO NOMINAL DE 200 MM</t>
  </si>
  <si>
    <t>TUBO DE CONCRETO SIMPLES PARA AGUAS PLUVIAIS, CLASSE PS2, COM ENCAIXE PONTA E BOLSA, DIAMETRO NOMINAL DE 300 MM</t>
  </si>
  <si>
    <t>TUBO DE CONCRETO SIMPLES PARA AGUAS PLUVIAIS, CLASSE PS2, COM ENCAIXE PONTA E BOLSA, DIAMETRO NOMINAL DE 400 MM</t>
  </si>
  <si>
    <t>TUBO DE CONCRETO SIMPLES PARA AGUAS PLUVIAIS, CLASSE PS2, COM ENCAIXE PONTA E BOLSA, DIAMETRO NOMINAL DE 500 MM</t>
  </si>
  <si>
    <t>TUBO DE CONCRETO SIMPLES PARA AGUAS PLUVIAIS, CLASSE PS2, COM ENCAIXE PONTA E BOLSA, DIAMETRO NOMINAL DE 600 MM</t>
  </si>
  <si>
    <t>TUBO DE CONCRETO SIMPLES PARA ESGOTO SANITARIO, CLASSE ES, COM ENCAIXE PONTA E BOLSA, COM JUNTA ELASTICA, DIAMETRO NOMINAL DE 400 MM</t>
  </si>
  <si>
    <t>TUBO DE CONCRETO SIMPLES PARA ESGOTO SANITARIO, CLASSE ES, COM ENCAIXE PONTA E BOLSA, COM JUNTA ELASTICA, DIAMETRO NOMINAL DE 500 MM</t>
  </si>
  <si>
    <t>TUBO DE CONCRETO SIMPLES PARA ESGOTO SANITARIO, CLASSE ES, COM ENCAIXE PONTA E BOLSA, COM JUNTA ELASTICA, DIAMETRO NOMINAL DE 600 MM</t>
  </si>
  <si>
    <t>TUBO DE CONCRETO SIMPLES POROSO PARA DRENAGEM (DRENO POROSO), COM ENCAIXE MACHO E FEMEA, DIAMETRO NOMINAL DE 200 MM</t>
  </si>
  <si>
    <t>TUBO DE CONCRETO SIMPLES POROSO PARA DRENAGEM (DRENO POROSO), COM ENCAIXE MACHO E FEMEA, DIAMETRO NOMINAL DE 300 MM</t>
  </si>
  <si>
    <t>TUBO DE DESCARGA, TIPO BENGALA, PARA LIGACAO CAIXA DE DESCARGA - EMBUTIR, PVC, 40 MM X 150 CM</t>
  </si>
  <si>
    <t>TUBO DE DESCIDA EXTERNO, DE PVC, PARA CAIXA DE DESCARGA EXTERNA ALTA - DIAMETRO DE 40 MM E ALTURA DE APROXIMADAMENTE 1,55 M</t>
  </si>
  <si>
    <t>TUBO DE ESPUMA DE POLIETILENO EXPANDIDO FLEXIVEL PARA ISOLAMENTO TERMICO DE TUBULACAO DE AR CONDICIONADO, AGUA QUENTE, DN 1 1/2", E= 10 MM</t>
  </si>
  <si>
    <t>TUBO DE ESPUMA DE POLIETILENO EXPANDIDO FLEXIVEL PARA ISOLAMENTO TERMICO DE TUBULACAO DE AR CONDICIONADO, AGUA QUENTE, DN 1 1/4", E= 10 MM</t>
  </si>
  <si>
    <t>TUBO DE ESPUMA DE POLIETILENO EXPANDIDO FLEXIVEL PARA ISOLAMENTO TERMICO DE TUBULACAO DE AR CONDICIONADO, AGUA QUENTE, DN 1 1/8", E= 10 MM</t>
  </si>
  <si>
    <t>TUBO DE ESPUMA DE POLIETILENO EXPANDIDO FLEXIVEL PARA ISOLAMENTO TERMICO DE TUBULACAO DE AR CONDICIONADO, AGUA QUENTE, DN 1 3/8", E= 10 MM</t>
  </si>
  <si>
    <t>TUBO DE ESPUMA DE POLIETILENO EXPANDIDO FLEXIVEL PARA ISOLAMENTO TERMICO DE TUBULACAO DE AR CONDICIONADO, AGUA QUENTE, DN 1 5/8", E= 10 MM</t>
  </si>
  <si>
    <t>TUBO DE ESPUMA DE POLIETILENO EXPANDIDO FLEXIVEL PARA ISOLAMENTO TERMICO DE TUBULACAO DE AR CONDICIONADO, AGUA QUENTE, DN 1", E= 10 MM</t>
  </si>
  <si>
    <t>TUBO DE ESPUMA DE POLIETILENO EXPANDIDO FLEXIVEL PARA ISOLAMENTO TERMICO DE TUBULACAO DE AR CONDICIONADO, AGUA QUENTE, DN 1/2", E= 10 MM</t>
  </si>
  <si>
    <t>TUBO DE ESPUMA DE POLIETILENO EXPANDIDO FLEXIVEL PARA ISOLAMENTO TERMICO DE TUBULACAO DE AR CONDICIONADO, AGUA QUENTE, DN 1/4", E= 10 MM</t>
  </si>
  <si>
    <t>TUBO DE ESPUMA DE POLIETILENO EXPANDIDO FLEXIVEL PARA ISOLAMENTO TERMICO DE TUBULACAO DE AR CONDICIONADO, AGUA QUENTE, DN 3/4", E= 10 MM</t>
  </si>
  <si>
    <t>TUBO DE ESPUMA DE POLIETILENO EXPANDIDO FLEXIVEL PARA ISOLAMENTO TERMICO DE TUBULACAO DE AR CONDICIONADO, AGUA QUENTE, DN 3/8", E= 10 MM</t>
  </si>
  <si>
    <t>TUBO DE ESPUMA DE POLIETILENO EXPANDIDO FLEXIVEL PARA ISOLAMENTO TERMICO DE TUBULACAO DE AR CONDICIONADO, AGUA QUENTE, DN 7/8", E= 10 MM</t>
  </si>
  <si>
    <t>TUBO DE POLIETILENO DE ALTA DENSIDADE (PEAD), PE-80, DE = 20 MM X 2,3 MM DE PAREDE, PARA LIGACAO DE AGUA PREDIAL (NBR 15561)</t>
  </si>
  <si>
    <t>TUBO DE POLIETILENO DE ALTA DENSIDADE (PEAD), PE-80, DE = 32 MM X 3,0 MM DE PAREDE, PARA LIGACAO DE AGUA PREDIAL (NBR 15561)</t>
  </si>
  <si>
    <t>TUBO DE POLIETILENO DE ALTA DENSIDADE, PEAD, PE-80, DE = 1000 MM X 38,5 MM PAREDE, (SDR 26 - PN 05) PARA REDE DE AGUA OU ESGOTO (NBR 15561)</t>
  </si>
  <si>
    <t>TUBO DE POLIETILENO DE ALTA DENSIDADE, PEAD, PE-80, DE = 110 MM X 10,0 MM PAREDE, (SDR 11 - PN 12,5) PARA REDE DE AGUA OU ESGOTO (NBR 15561)</t>
  </si>
  <si>
    <t>TUBO DE POLIETILENO DE ALTA DENSIDADE, PEAD, PE-80, DE = 160 MM X 14,6 MM PAREDE, (SDR 11 - PN 12,5) PARA REDE DE AGUA OU ESGOTO (NBR 15561)</t>
  </si>
  <si>
    <t>TUBO DE POLIETILENO DE ALTA DENSIDADE, PEAD, PE-80, DE = 900 MM X 34,7 MM PAREDE, (SDR 26 - PN 05) PARA REDE DE AGUA OU ESGOTO (NBR 15561)</t>
  </si>
  <si>
    <t>TUBO DE POLIETILENO DE ALTA DENSIDADE, PEAD, PE-80, DE= 200 MM X 18,2 MM PAREDE, (SDR 11 - PN 12,5) PARA REDE DE AGUA OU ESGOTO (NBR 15561)</t>
  </si>
  <si>
    <t>TUBO DE POLIETILENO DE ALTA DENSIDADE, PEAD, PE-80, DE= 315 MM X 28,7 MM PAREDE, (SDR 11 - PN 12,5) PARA REDE DE AGUA OU ESGOTO (NBR 15561)</t>
  </si>
  <si>
    <t>TUBO DE POLIETILENO DE ALTA DENSIDADE, PEAD, PE-80, DE= 400 MM X 36,4 MM PAREDE, (SDR 11 - PN 12,5) PARA REDE DE AGUA OU ESGOTO (NBR 15561)</t>
  </si>
  <si>
    <t>TUBO DE POLIETILENO DE ALTA DENSIDADE, PEAD, PE-80, DE= 50 MM X 4,6 MM PAREDE, (SDR 11 - PN 12,5) PARA REDE DE AGUA OU ESGOTO (NBR 15561)</t>
  </si>
  <si>
    <t>TUBO DE POLIETILENO DE ALTA DENSIDADE, PEAD, PE-80, DE= 500 MM X 45,5 MM PAREDE, (SDR 11 - PN 12,5) PARA REDE DE AGUA OU ESGOTO (NBR 15561)</t>
  </si>
  <si>
    <t>TUBO DE POLIETILENO DE ALTA DENSIDADE, PEAD, PE-80, DE= 630 MM X 57,3 MM PAREDE (SDR 11 - PN 12,5) PARA REDE DE AGUA OU ESGOTO (NBR 15561)</t>
  </si>
  <si>
    <t>TUBO DE POLIETILENO DE ALTA DENSIDADE, PEAD, PE-80, DE= 730 MM X 34,1 MM PAREDE, (SDR 21 - PN 06) PARA REDE DE AGUA OU ESGOTO (NBR 15561)</t>
  </si>
  <si>
    <t>TUBO DE POLIETILENO DE ALTA DENSIDADE, PEAD, PE-80, DE= 75 MM X 6,9 MM PAREDE, (SRD 11 - PN 12,5) PARA REDE DE AGUA OU ESGOTO (NBR 15561)</t>
  </si>
  <si>
    <t>TUBO DE POLIETILENO DE ALTA DENSIDADE, PEAD, PE-80, DE= 800 MM X 30,8 MM PAREDE, (SDR 26 - PN 05) PARA REDE DE AGUA OU ESGOTO (NBR 15561)</t>
  </si>
  <si>
    <t>TUBO DE PVC, PBL, TIPO LEVE, DN = 250 MM, PARA VENTILACAO</t>
  </si>
  <si>
    <t>TUBO DE PVC, PBL, TIPO LEVE, DN = 300 MM, PARA VENTILACAO</t>
  </si>
  <si>
    <t>TUBO DE REVESTIMENTO, EM ACO, CORPO SCHEDULE 40, PONTEIRA SCHEDULE 80, ROSQUEAVEL E SEGMENTADO PARA PERFURACAO, DIAMETRO 10" (273 MM)</t>
  </si>
  <si>
    <t>TUBO DE REVESTIMENTO, EM ACO, CORPO SCHEDULE 40, PONTEIRA SCHEDULE 80, ROSQUEAVEL E SEGMENTADO PARA PERFURACAO, DIAMETRO 12" (320 MM)</t>
  </si>
  <si>
    <t>TUBO DE REVESTIMENTO, EM ACO, CORPO SCHEDULE 40, PONTEIRA SCHEDULE 80, ROSQUEAVEL E SEGMENTADO PARA PERFURACAO, DIAMETRO 14" (400 MM)</t>
  </si>
  <si>
    <t>TUBO DE REVESTIMENTO, EM ACO, CORPO SCHEDULE 40, PONTEIRA SCHEDULE 80, ROSQUEAVEL E SEGMENTADO PARA PERFURACAO, DIAMETRO 16" (450 MM)</t>
  </si>
  <si>
    <t>TUBO DE REVESTIMENTO, EM ACO, CORPO SCHEDULE 40, PONTEIRA SCHEDULE 80, ROSQUEAVEL E SEGMENTADO PARA PERFURACAO, DIAMETRO 4" (450 MM)</t>
  </si>
  <si>
    <t>TUBO DE REVESTIMENTO, EM ACO, CORPO SCHEDULE 40, PONTEIRA SCHEDULE 80, ROSQUEAVEL E SEGMENTADO PARA PERFURACAO, DIAMETRO 6" (200 MM)</t>
  </si>
  <si>
    <t>TUBO DE REVESTIMENTO, EM ACO, CORPO SCHEDULE 40, PONTEIRA SCHEDULE 80, ROSQUEAVEL E SEGMENTADO PARA PERFURACAO, DIAMETRO 8" (200 MM)</t>
  </si>
  <si>
    <t>TUBO DRENO, CORRUGADO, ESPIRALADO, FLEXIVEL, PERFURADO, EM POLIETILENO DE ALTA DENSIDADE (PEAD), DN *160* MM, (6") PARA DRENAGEM - EM BARRA (NORMA DNIT 093/2006 - EM)</t>
  </si>
  <si>
    <t>TUBO DRENO, CORRUGADO, ESPIRALADO, FLEXIVEL, PERFURADO, EM POLIETILENO DE ALTA DENSIDADE (PEAD), DN *200* MM, (8") PARA DRENAGEM - EM BARRA (NORMA DNIT 093/2006 - EM)</t>
  </si>
  <si>
    <t>TUBO DRENO, CORRUGADO, ESPIRALADO, FLEXIVEL, PERFURADO, EM POLIETILENO DE ALTA DENSIDADE (PEAD), DN 100 MM, (4") PARA DRENAGEM - EM ROLO (NORMA DNIT 093/2006 - E.M)</t>
  </si>
  <si>
    <t>TUBO DRENO, CORRUGADO, ESPIRALADO, FLEXIVEL, PERFURADO, EM POLIETILENO DE ALTA DENSIDADE (PEAD), DN 65 MM, (2 1/2") PARA DRENAGEM - EM ROLO (NORMA DNIT 093/2006 - EM)</t>
  </si>
  <si>
    <t>TUBO MONOCAMADA PEX, DN 16 MM, PARA AGUA QUENTE E FRIA</t>
  </si>
  <si>
    <t>TUBO MONOCAMADA PEX, DN 20 MM, PARA AGUA QUENTE E FRIA</t>
  </si>
  <si>
    <t>TUBO MONOCAMADA PEX, DN 25 MM, PARA AGUA QUENTE E FRIA</t>
  </si>
  <si>
    <t>TUBO MONOCAMADA PEX, DN 32 MM, PARA AGUA QUENTE E FRIA</t>
  </si>
  <si>
    <t>TUBO MULTICAMADA PEX GAS, DN *16* MM</t>
  </si>
  <si>
    <t>TUBO MULTICAMADA PEX GAS, DN *20* MM</t>
  </si>
  <si>
    <t>TUBO MULTICAMADA PEX GAS, DN *26* MM</t>
  </si>
  <si>
    <t>TUBO MULTICAMADA PEX GAS, DN *32* MM</t>
  </si>
  <si>
    <t>TUBO PPR PN 20, DN 20 MM, PARA AGUA QUENTE PREDIAL</t>
  </si>
  <si>
    <t>TUBO PPR PN 20, DN 25 MM, PARA AGUA QUENTE PREDIAL</t>
  </si>
  <si>
    <t>TUBO PPR, CLASSE PN 12, DN 110 MM</t>
  </si>
  <si>
    <t>TUBO PPR, CLASSE PN 12, DN 32 MM</t>
  </si>
  <si>
    <t>TUBO PPR, CLASSE PN 12, DN 40 MM</t>
  </si>
  <si>
    <t>TUBO PPR, CLASSE PN 12, DN 50 MM</t>
  </si>
  <si>
    <t>TUBO PPR, CLASSE PN 12, DN 63 MM</t>
  </si>
  <si>
    <t>TUBO PPR, CLASSE PN 12, DN 75 MM</t>
  </si>
  <si>
    <t>TUBO PPR, CLASSE PN 12, DN 90 MM</t>
  </si>
  <si>
    <t>TUBO PPR, CLASSE PN 20, SOLDAVEL, DN 32 MM PARA AGUA FRIA OU QUENTE PREDIAL</t>
  </si>
  <si>
    <t>TUBO PPR, CLASSE PN 25, DN 110 MM, PARA AGUA QUENTE E FRIA PREDIAL</t>
  </si>
  <si>
    <t>TUBO PPR, CLASSE PN 25, DN 20 MM, PARA AGUA QUENTE E FRIA PREDIAL</t>
  </si>
  <si>
    <t>TUBO PPR, CLASSE PN 25, DN 25 MM, PARA AGUA QUENTE E FRIA PREDIAL</t>
  </si>
  <si>
    <t>TUBO PPR, CLASSE PN 25, DN 32 MM, PARA AGUA QUENTE E FRIA PREDIAL</t>
  </si>
  <si>
    <t>TUBO PPR, CLASSE PN 25, DN 40 MM, PARA AGUA QUENTE E FRIA PREDIAL</t>
  </si>
  <si>
    <t>TUBO PPR, CLASSE PN 25, DN 50 MM, PARA AGUA QUENTE E FRIA PREDIAL</t>
  </si>
  <si>
    <t>TUBO PPR, CLASSE PN 25, DN 63 MM, PARA AGUA QUENTE E FRIA PREDIAL</t>
  </si>
  <si>
    <t>TUBO PPR, CLASSE PN 25, DN 75 MM, PARA AGUA QUENTE E FRIA PREDIAL</t>
  </si>
  <si>
    <t>TUBO PPR, CLASSE PN 25, DN 90 MM, PARA AGUA QUENTE E FRIA PREDIAL</t>
  </si>
  <si>
    <t>TUBO PVC CORRUGADO, PAREDE DUPLA, JE, DN 150 MM/ DE 160 MM, REDE COLETORA ESGOTO</t>
  </si>
  <si>
    <t>TUBO PVC CORRUGADO, PAREDE DUPLA, JE, DN 200 MM/ DE 200 MM, REDE COLETORA ESGOTO</t>
  </si>
  <si>
    <t>TUBO PVC CORRUGADO, PAREDE DUPLA, JE, DN 250 MM/ DE 250 MM, REDE COLETORA ESGOTO</t>
  </si>
  <si>
    <t>TUBO PVC CORRUGADO, PAREDE DUPLA, JE, DN 300 MM/ DE 315 MM, REDE COLETORA ESGOTO</t>
  </si>
  <si>
    <t>TUBO PVC CORRUGADO, PAREDE DUPLA, JE, DN 350 MM/ DE 355 MM, REDE COLETORA ESGOTO</t>
  </si>
  <si>
    <t>TUBO PVC CORRUGADO, PAREDE DUPLA, JE, DN 400 MM/ DE 400 MM, REDE COLETORA ESGOTO</t>
  </si>
  <si>
    <t>TUBO PVC DE REVESTIMENTO GEOMECANICO NERVURADO REFORCADO, DN = 150 MM, COMPRIMENTO = 2 M</t>
  </si>
  <si>
    <t>TUBO PVC DE REVESTIMENTO GEOMECANICO NERVURADO REFORCADO, DN = 200 MM, COMPRIMENTO = 2 M</t>
  </si>
  <si>
    <t>TUBO PVC DE REVESTIMENTO GEOMECANICO NERVURADO STANDARD, DN = 154 MM, COMPRIMENTO = 2 M</t>
  </si>
  <si>
    <t>TUBO PVC DE REVESTIMENTO GEOMECANICO NERVURADO STANDARD, DN = 206 MM, COMPRIMENTO = 2 M</t>
  </si>
  <si>
    <t>TUBO PVC DEFOFO, JEI, 1 MPA, DN 100 MM, PARA REDE DE AGUA (NBR 7665)</t>
  </si>
  <si>
    <t>TUBO PVC DEFOFO, JEI, 1 MPA, DN 150 MM, PARA REDE DE AGUA (NBR 7665)</t>
  </si>
  <si>
    <t>TUBO PVC DEFOFO, JEI, 1 MPA, DN 200 MM, PARA REDE DE AGUA (NBR 7665)</t>
  </si>
  <si>
    <t>TUBO PVC DEFOFO, JEI, 1 MPA, DN 250 MM, PARA REDE DE AGUA (NBR 7665)</t>
  </si>
  <si>
    <t>TUBO PVC DEFOFO, JEI, 1 MPA, DN 300 MM, PARA REDE DE AGUA (NBR 7665)</t>
  </si>
  <si>
    <t>TUBO PVC PBA JEI, CLASSE 12, DN 100 MM, PARA REDE DE AGUA (NBR 5647)</t>
  </si>
  <si>
    <t>TUBO PVC PBA JEI, CLASSE 12, DN 50 MM, PARA REDE DE AGUA (NBR 5647)</t>
  </si>
  <si>
    <t>TUBO PVC PBA JEI, CLASSE 12, DN 75 MM, PARA REDE DE AGUA (NBR 5647)</t>
  </si>
  <si>
    <t>TUBO PVC PBA JEI, CLASSE 15, DN 100 MM, PARA REDE DE AGUA (NBR 5647)</t>
  </si>
  <si>
    <t>TUBO PVC PBA JEI, CLASSE 15, DN 50 MM, PARA REDE DE AGUA (NBR 5647)</t>
  </si>
  <si>
    <t>TUBO PVC PBA JEI, CLASSE 15, DN 75 MM, PARA REDE DE AGUA (NBR 5647)</t>
  </si>
  <si>
    <t>TUBO PVC PBA JEI, CLASSE 20, DN 100 MM, PARA REDE DE AGUA (NBR 5647)</t>
  </si>
  <si>
    <t>TUBO PVC PBA JEI, CLASSE 20, DN 50 MM, PARA REDE DE AGUA (NBR 5647)</t>
  </si>
  <si>
    <t>TUBO PVC PBA JEI, CLASSE 20, DN 75 MM, PARA REDE DE AGUA (NBR 5647)</t>
  </si>
  <si>
    <t>TUBO PVC ROSCAVEL, 3/4", AGUA FRIA PREDIAL</t>
  </si>
  <si>
    <t>TUBO PVC SERIE NORMAL, DN 100 MM, PARA ESGOTO PREDIAL (NBR 5688)</t>
  </si>
  <si>
    <t>TUBO PVC SERIE NORMAL, DN 150 MM, PARA ESGOTO PREDIAL (NBR 5688)</t>
  </si>
  <si>
    <t>TUBO PVC SERIE NORMAL, DN 40 MM, PARA ESGOTO PREDIAL (NBR 5688)</t>
  </si>
  <si>
    <t>TUBO PVC SERIE NORMAL, DN 50 MM, PARA ESGOTO PREDIAL (NBR 5688)</t>
  </si>
  <si>
    <t>TUBO PVC SERIE NORMAL, DN 75 MM, PARA ESGOTO PREDIAL (NBR 5688)</t>
  </si>
  <si>
    <t>TUBO PVC, RIGIDO, CORRUGADO, PERFURADO DN 100 MM, PARA DRENAGEM, SISTEMA IRRIGACAO</t>
  </si>
  <si>
    <t>TUBO PVC, ROSCAVEL, 1 1/2", AGUA FRIA PREDIAL</t>
  </si>
  <si>
    <t>TUBO PVC, ROSCAVEL, 1 1/4", AGUA FRIA PREDIAL</t>
  </si>
  <si>
    <t>TUBO PVC, ROSCAVEL, 1", AGUA FRIA PREDIAL</t>
  </si>
  <si>
    <t>TUBO PVC, ROSCAVEL, 1/2", AGUA FRIA PREDIAL</t>
  </si>
  <si>
    <t>TUBO PVC, ROSCAVEL, 2 1/2", AGUA FRIA PREDIAL</t>
  </si>
  <si>
    <t>TUBO PVC, ROSCAVEL, 2", PARA AGUA FRIA PREDIAL</t>
  </si>
  <si>
    <t>TUBO PVC, SERIE R, DN 100 MM, PARA ESGOTO OU AGUAS PLUVIAIS PREDIAL (NBR 5688)</t>
  </si>
  <si>
    <t>TUBO PVC, SERIE R, DN 150 MM, PARA ESGOTO OU AGUAS PLUVIAIS PREDIAL (NBR 5688)</t>
  </si>
  <si>
    <t>TUBO PVC, SERIE R, DN 40 MM, PARA ESGOTO OU AGUAS PLUVIAIS PREDIAL (NBR 5688)</t>
  </si>
  <si>
    <t>TUBO PVC, SERIE R, DN 50 MM, PARA ESGOTO OU AGUAS PLUVIAIS PREDIAL (NBR 5688)</t>
  </si>
  <si>
    <t>TUBO PVC, SERIE R, DN 75 MM, PARA ESGOTO OU AGUAS PLUVIAIS PREDIAL (NBR 5688)</t>
  </si>
  <si>
    <t>TUBO PVC, SOLDAVEL, DE 110 MM, AGUA FRIA (NBR-5648)</t>
  </si>
  <si>
    <t>TUBO PVC, SOLDAVEL, DE 20 MM, AGUA FRIA (NBR-5648)</t>
  </si>
  <si>
    <t>TUBO PVC, SOLDAVEL, DE 25 MM, AGUA FRIA (NBR-5648)</t>
  </si>
  <si>
    <t>TUBO PVC, SOLDAVEL, DE 32 MM, AGUA FRIA (NBR-5648)</t>
  </si>
  <si>
    <t>TUBO PVC, SOLDAVEL, DE 40 MM, AGUA FRIA (NBR-5648)</t>
  </si>
  <si>
    <t>TUBO PVC, SOLDAVEL, DE 50 MM, AGUA FRIA (NBR-5648)</t>
  </si>
  <si>
    <t>TUBO PVC, SOLDAVEL, DE 60 MM, AGUA FRIA (NBR-5648)</t>
  </si>
  <si>
    <t>TUBO PVC, SOLDAVEL, DE 75 MM, AGUA FRIA (NBR-5648)</t>
  </si>
  <si>
    <t>TUBO PVC, SOLDAVEL, DE 85 MM, AGUA FRIA (NBR-5648)</t>
  </si>
  <si>
    <t>UNIAO COM ASSENTO CONICO DE BRONZE, DIAMETRO 1"</t>
  </si>
  <si>
    <t>UNIAO COM ASSENTO CONICO DE BRONZE, DIAMETRO 1/2"</t>
  </si>
  <si>
    <t>UNIAO COM ASSENTO CONICO DE BRONZE, DIAMETRO 2 1/2"</t>
  </si>
  <si>
    <t>UNIAO COM ASSENTO CONICO DE BRONZE, DIAMETRO 2"</t>
  </si>
  <si>
    <t>UNIAO COM ASSENTO CONICO DE BRONZE, DIAMETRO 3"</t>
  </si>
  <si>
    <t>UNIAO COM ASSENTO CONICO DE BRONZE, DIAMETRO 3/4"</t>
  </si>
  <si>
    <t>UNIAO COM ASSENTO CONICO DE BRONZE, DIAMETRO 4"</t>
  </si>
  <si>
    <t>UNIAO COM ASSENTO CONICO DE FERRO LONGO (MACHO-FEMEA), DIAMETRO 1 1/2"</t>
  </si>
  <si>
    <t>UNIAO COM ASSENTO CONICO DE FERRO LONGO (MACHO-FEMEA), DIAMETRO 1"</t>
  </si>
  <si>
    <t>UNIAO COM ASSENTO CONICO DE FERRO LONGO (MACHO-FEMEA), DIAMETRO 1/2"</t>
  </si>
  <si>
    <t>UNIAO COM ASSENTO CONICO DE FERRO LONGO (MACHO-FEMEA), DIAMETRO 2 1/2"</t>
  </si>
  <si>
    <t>UNIAO COM ASSENTO CONICO DE FERRO LONGO (MACHO-FEMEA), DIAMETRO 2"</t>
  </si>
  <si>
    <t>UNIAO COM ASSENTO CONICO DE FERRO LONGO (MACHO-FEMEA), DIAMETRO 3"</t>
  </si>
  <si>
    <t>UNIAO COM ASSENTO CONICO DE FERRO LONGO (MACHO-FEMEA), DIAMETRO 3/4"</t>
  </si>
  <si>
    <t>UNIAO COM ASSENTO CONICO DE FERRO LONGO (MACHO-FEMEA), DIAMETRO 4"</t>
  </si>
  <si>
    <t>UNIAO COM FLANGE PPR, COM PARAFUSOS, DN 40 MM, PARA AGUA QUENTE PREDIAL</t>
  </si>
  <si>
    <t>UNIAO DE FERRO GALVANIZADO, COM ASSENTO CONICO DE BRONZE, DE 1 1/2"</t>
  </si>
  <si>
    <t>UNIAO DE FERRO GALVANIZADO, COM ASSENTO CONICO DE BRONZE, DE 1 1/4"</t>
  </si>
  <si>
    <t>UNIAO DE FERRO GALVANIZADO, COM ROSCA BSP, COM ASSENTO PLANO, DE 1 1/2"</t>
  </si>
  <si>
    <t>UNIAO DE FERRO GALVANIZADO, COM ROSCA BSP, COM ASSENTO PLANO, DE 1 1/4"</t>
  </si>
  <si>
    <t>UNIAO DE FERRO GALVANIZADO, COM ROSCA BSP, COM ASSENTO PLANO, DE 1"</t>
  </si>
  <si>
    <t>UNIAO DE FERRO GALVANIZADO, COM ROSCA BSP, COM ASSENTO PLANO, DE 1/2"</t>
  </si>
  <si>
    <t>UNIAO DE FERRO GALVANIZADO, COM ROSCA BSP, COM ASSENTO PLANO, DE 2 1/2"</t>
  </si>
  <si>
    <t>UNIAO DE FERRO GALVANIZADO, COM ROSCA BSP, COM ASSENTO PLANO, DE 2"</t>
  </si>
  <si>
    <t>UNIAO DE FERRO GALVANIZADO, COM ROSCA BSP, COM ASSENTO PLANO, DE 3"</t>
  </si>
  <si>
    <t>UNIAO DE FERRO GALVANIZADO, COM ROSCA BSP, COM ASSENTO PLANO, DE 3/4"</t>
  </si>
  <si>
    <t>UNIAO DE FERRO GALVANIZADO, COM ROSCA BSP, COM ASSENTO PLANO, DE 4"</t>
  </si>
  <si>
    <t>UNIAO DUPLA PPR DN 25 MM, PARA AGUA QUENTE PREDIAL</t>
  </si>
  <si>
    <t>UNIAO DUPLA PPR, DN 20 MM, PARA AGUA QUENTE PREDIAL</t>
  </si>
  <si>
    <t>UNIAO EM POLIPROPILENO (PP), PARA TUBO EM PEAD, 20 MM - LIGACAO PREDIAL DE AGUA</t>
  </si>
  <si>
    <t>UNIAO EM POLIPROPILENO (PP), PARA TUBO EM PEAD, 32 MM - LIGACAO PREDIAL DE AGUA</t>
  </si>
  <si>
    <t>UNIAO PVC, ROSCAVEL 1/2", AGUA FRIA PREDIAL</t>
  </si>
  <si>
    <t>UNIAO PVC, ROSCAVEL, 1 1/2", AGUA FRIA PREDIAL</t>
  </si>
  <si>
    <t>UNIAO PVC, ROSCAVEL, 1", AGUA FRIA PREDIAL</t>
  </si>
  <si>
    <t>UNIAO PVC, ROSCAVEL, 3/4", AGUA FRIA PREDIAL</t>
  </si>
  <si>
    <t>UNIAO PVC, SOLDAVEL, 110 MM, PARA AGUA FRIA PREDIAL</t>
  </si>
  <si>
    <t>UNIAO PVC, SOLDAVEL, 20 MM, PARA AGUA FRIA PREDIAL</t>
  </si>
  <si>
    <t>UNIAO PVC, SOLDAVEL, 25 MM, PARA AGUA FRIA PREDIAL</t>
  </si>
  <si>
    <t>UNIAO PVC, SOLDAVEL, 32 MM, PARA AGUA FRIA PREDIAL</t>
  </si>
  <si>
    <t>UNIAO PVC, SOLDAVEL, 40 MM, PARA AGUA FRIA PREDIAL</t>
  </si>
  <si>
    <t>UNIAO PVC, SOLDAVEL, 50 MM, PARA AGUA FRIA PREDIAL</t>
  </si>
  <si>
    <t>UNIAO PVC, SOLDAVEL, 60 MM, PARA AGUA FRIA PREDIAL</t>
  </si>
  <si>
    <t>UNIAO PVC, SOLDAVEL, 75 MM, PARA AGUA FRIA PREDIAL</t>
  </si>
  <si>
    <t>UNIAO PVC, SOLDAVEL, 85 MM, PARA AGUA FRIA PREDIAL</t>
  </si>
  <si>
    <t>UNIAO TIPO STORZ, COM EMPATACAO INTERNA TIPO ANEL DE EXPANSAO, ENGATE RAPIDO 1 1/2", PARA MANGUEIRA DE COMBATE A INCENDIO PREDIAL</t>
  </si>
  <si>
    <t>UNIAO TIPO STORZ, COM EMPATACAO INTERNA TIPO ANEL DE EXPANSAO, ENGATE RAPIDO 2 1/2", PARA MANGUEIRA DE COMBATE A INCENDIO PREDIAL</t>
  </si>
  <si>
    <t>UNIAO, CPVC, SOLDAVEL, 15 MM, PARA AGUA QUENTE PREDIAL</t>
  </si>
  <si>
    <t>UNIAO, CPVC, SOLDAVEL, 22 MM, PARA AGUA QUENTE PREDIAL</t>
  </si>
  <si>
    <t>UNIAO, CPVC, SOLDAVEL, 28 MM, PARA AGUA QUENTE PREDIAL</t>
  </si>
  <si>
    <t>UNIAO, CPVC, SOLDAVEL, 35 MM, PARA AGUA QUENTE PREDIAL</t>
  </si>
  <si>
    <t>UNIAO, CPVC, SOLDAVEL, 42 MM, PARA AGUA QUENTE PREDIAL</t>
  </si>
  <si>
    <t>UNIAO, CPVC, SOLDAVEL, 54 MM, PARA AGUA QUENTE PREDIAL</t>
  </si>
  <si>
    <t>UNIAO, CPVC, SOLDAVEL, 73 MM, PARA AGUA QUENTE PREDIAL</t>
  </si>
  <si>
    <t>UNIAO, CPVC, SOLDAVEL, 89 MM, PARA AGUA QUENTE PREDIAL</t>
  </si>
  <si>
    <t>UNIFORME PROFISSIONAL DE BRIM, CALCA E CAMISA MANGA LONGA COM FAIXA REFLETIVA</t>
  </si>
  <si>
    <t>USINA DE ASFALTO A FRIO, CAPACIDADE DE 40 A 60 T/H, ELETRICA, POTENCIA DE 30 CV</t>
  </si>
  <si>
    <t>USINA DE ASFALTO A QUENTE, FIXA, TIPO CONTRA FLUXO, CAPACIDADE DE 100 A 140 T/H, POTENCIA DE 280 KW, COM MISTURADOR EXTERNO ROTATIVO</t>
  </si>
  <si>
    <t>USINA DE ASFALTO, GRAVIMETRICA, CAPACIDADE DE 150 T/H, POTENCIA DE 400 KW</t>
  </si>
  <si>
    <t>USINA DE CONCRETO FIXA, CAPACIDADE NOMINAL DE 90 A 120 M3/H, SEM SILO</t>
  </si>
  <si>
    <t>USINA DE LAMA ASFALTICA, PROD 30 A 50 T/H, SILO DE AGREGADO 7 M3, RESERVATORIOS PARA EMULSAO E AGUA DE 2,3 M3 CADA, MISTURADOR TIPO PUGG-MILL A SER MONTADO SOBRE CAMINHAO</t>
  </si>
  <si>
    <t>USINA DE MISTURAS ASFALTICAS A QUENTE, MOVEL, TIPO CONTRA FLUXO, CAPACIDADE DE 40 A 80 T/H</t>
  </si>
  <si>
    <t>USINA MISTURADORA DE SOLOS, DOSADORES TRIPLOS, CALHA VIBRATORIA CAPACIDADE DE 200 A 500 T/H, POTENCIA DE 75 KW</t>
  </si>
  <si>
    <t>VALVULA DE DESCARGA EM METAL CROMADO PARA MICTORIO COM ACIONAMENTO POR PRESSAO E FECHAMENTO AUTOMATICO</t>
  </si>
  <si>
    <t>VALVULA DE DESCARGA METALICA, BASE 1 1/2" E ACABAMENTO METALICO CROMADO</t>
  </si>
  <si>
    <t>VALVULA DE DESCARGA METALICA, BASE 1 1/4" E ACABAMENTO METALICO CROMADO</t>
  </si>
  <si>
    <t>VALVULA DE ESCOAMENTO PARA TANQUE, EM METAL CROMADO, 1.1/2", SEM LADRAO, COM TAMPAO PLASTICO</t>
  </si>
  <si>
    <t>VALVULA DE ESFERA BRUTA EM BRONZE, BITOLA 1 1/2"</t>
  </si>
  <si>
    <t>VALVULA DE ESFERA BRUTA EM BRONZE, BITOLA 1 1/4"</t>
  </si>
  <si>
    <t>VALVULA DE ESFERA BRUTA EM BRONZE, BITOLA 1"</t>
  </si>
  <si>
    <t>VALVULA DE ESFERA BRUTA EM BRONZE, BITOLA 1/2"</t>
  </si>
  <si>
    <t>VALVULA DE ESFERA BRUTA EM BRONZE, BITOLA 2"</t>
  </si>
  <si>
    <t>VALVULA DE ESFERA BRUTA EM BRONZE, BITOLA 3/4"</t>
  </si>
  <si>
    <t>VALVULA DE RETENCAO DE BRONZE, PE COM CRIVOS, EXTREMIDADE COM ROSCA, DE 1 1/2", PARA FUNDO DE POCO</t>
  </si>
  <si>
    <t>VALVULA DE RETENCAO DE BRONZE, PE COM CRIVOS, EXTREMIDADE COM ROSCA, DE 1 1/4", PARA FUNDO DE POCO</t>
  </si>
  <si>
    <t>VALVULA DE RETENCAO DE BRONZE, PE COM CRIVOS, EXTREMIDADE COM ROSCA, DE 1", PARA FUNDO DE POCO</t>
  </si>
  <si>
    <t>VALVULA DE RETENCAO DE BRONZE, PE COM CRIVOS, EXTREMIDADE COM ROSCA, DE 2 1/2", PARA FUNDO DE POCO</t>
  </si>
  <si>
    <t>VALVULA DE RETENCAO DE BRONZE, PE COM CRIVOS, EXTREMIDADE COM ROSCA, DE 2", PARA FUNDO DE POCO</t>
  </si>
  <si>
    <t>VALVULA DE RETENCAO DE BRONZE, PE COM CRIVOS, EXTREMIDADE COM ROSCA, DE 3", PARA FUNDO DE POCO</t>
  </si>
  <si>
    <t>VALVULA DE RETENCAO DE BRONZE, PE COM CRIVOS, EXTREMIDADE COM ROSCA, DE 3/4", PARA FUNDO DE POCO</t>
  </si>
  <si>
    <t>VALVULA DE RETENCAO DE BRONZE, PE COM CRIVOS, EXTREMIDADE COM ROSCA, DE 4", PARA FUNDO DE POCO</t>
  </si>
  <si>
    <t>VALVULA DE RETENCAO HORIZONTAL, DE BRONZE (PN-25), 1 1/2", 400 PSI, TAMPA DE PORCA DE UNIAO, EXTREMIDADES COM ROSCA</t>
  </si>
  <si>
    <t>VALVULA DE RETENCAO HORIZONTAL, DE BRONZE (PN-25), 1 1/4", 400 PSI, TAMPA DE PORCA DE UNIAO, EXTREMIDADES COM ROSCA</t>
  </si>
  <si>
    <t>VALVULA DE RETENCAO HORIZONTAL, DE BRONZE (PN-25), 1", 400 PSI, TAMPA DE PORCA DE UNIAO, EXTREMIDADES COM ROSCA</t>
  </si>
  <si>
    <t>VALVULA DE RETENCAO HORIZONTAL, DE BRONZE (PN-25), 1/2", 400 PSI, TAMPA DE PORCA DE UNIAO, EXTREMIDADES COM ROSCA</t>
  </si>
  <si>
    <t>VALVULA DE RETENCAO HORIZONTAL, DE BRONZE (PN-25), 2 1/2", 400 PSI, TAMPA DE PORCA DE UNIAO, EXTREMIDADES COM ROSCA</t>
  </si>
  <si>
    <t>VALVULA DE RETENCAO HORIZONTAL, DE BRONZE (PN-25), 2", 400 PSI, TAMPA DE PORCA DE UNIAO, EXTREMIDADES COM ROSCA</t>
  </si>
  <si>
    <t>VALVULA DE RETENCAO HORIZONTAL, DE BRONZE (PN-25), 3", 400 PSI, TAMPA DE PORCA DE UNIAO, EXTREMIDADES COM ROSCA</t>
  </si>
  <si>
    <t>VALVULA DE RETENCAO HORIZONTAL, DE BRONZE (PN-25), 3/4", 400 PSI, TAMPA DE PORCA DE UNIAO, EXTREMIDADES COM ROSCA</t>
  </si>
  <si>
    <t>VALVULA DE RETENCAO HORIZONTAL, DE BRONZE (PN-25), 4", 400 PSI, TAMPA DE PORCA DE UNIAO, EXTREMIDADES COM ROSCA</t>
  </si>
  <si>
    <t>VALVULA DE RETENCAO VERTICAL, DE BRONZE (PN-16), 1 1/2", 200 PSI, EXTREMIDADES COM ROSCA</t>
  </si>
  <si>
    <t>VALVULA DE RETENCAO VERTICAL, DE BRONZE (PN-16), 1 1/4", 200 PSI, EXTREMIDADES COM ROSCA</t>
  </si>
  <si>
    <t>VALVULA DE RETENCAO VERTICAL, DE BRONZE (PN-16), 1", 200 PSI, EXTREMIDADES COM ROSCA</t>
  </si>
  <si>
    <t>VALVULA DE RETENCAO VERTICAL, DE BRONZE (PN-16), 1/2", 200 PSI, EXTREMIDADES COM ROSCA</t>
  </si>
  <si>
    <t>VALVULA DE RETENCAO VERTICAL, DE BRONZE (PN-16), 2 1/2", 200 PSI, EXTREMIDADES COM ROSCA</t>
  </si>
  <si>
    <t>VALVULA DE RETENCAO VERTICAL, DE BRONZE (PN-16), 2", 200 PSI, EXTREMIDADES COM ROSCA</t>
  </si>
  <si>
    <t>VALVULA DE RETENCAO VERTICAL, DE BRONZE (PN-16), 3", 200 PSI, EXTREMIDADES COM ROSCA</t>
  </si>
  <si>
    <t>VALVULA DE RETENCAO VERTICAL, DE BRONZE (PN-16), 3/4", 200 PSI, EXTREMIDADES COM ROSCA</t>
  </si>
  <si>
    <t>VALVULA DE RETENCAO VERTICAL, DE BRONZE (PN-16), 4", 200 PSI, EXTREMIDADES COM ROSCA</t>
  </si>
  <si>
    <t>VALVULA EM METAL CROMADO PARA LAVATORIO, 1" SEM LADRAO</t>
  </si>
  <si>
    <t>VALVULA EM METAL CROMADO PARA PIA AMERICANA 3.1/2 X 1.1/2"</t>
  </si>
  <si>
    <t>VALVULA EM PLASTICO BRANCO PARA LAVATORIO 1", SEM UNHO, COM LADRAO</t>
  </si>
  <si>
    <t>VALVULA EM PLASTICO BRANCO PARA TANQUE 1.1/4" X 1.1/2", SEM UNHO E SEM LADRAO</t>
  </si>
  <si>
    <t>VALVULA EM PLASTICO BRANCO PARA TANQUE OU LAVATORIO 1", SEM UNHO E SEM LADRAO</t>
  </si>
  <si>
    <t>VALVULA EM PLASTICO CROMADO PARA LAVATORIO 1", SEM UNHO, COM LADRAO</t>
  </si>
  <si>
    <t>VALVULA EM PLASTICO CROMADO TIPO AMERICANA PARA PIA DE COZINHA 3.1/2" X 1.1/2", SEM ADAPTADOR</t>
  </si>
  <si>
    <t>VARA FINA PARA CREMONA, EM FERRO ZINCADO BRANCO, COM DIAMETRO DE APROX 10 MM E COMPRIMENTO DE 1,20 M</t>
  </si>
  <si>
    <t>VARA FINA PARA CREMONA, EM FERRO ZINCADO BRANCO, COM DIAMETRO DE APROX 10 MM E COMPRIMENTO DE 1,50 M</t>
  </si>
  <si>
    <t>VARIADOR DE LUMINOSIDADE ROTATIVO (DIMMER) 127 V, 300 W (APENAS MODULO)</t>
  </si>
  <si>
    <t>VARIADOR DE LUMINOSIDADE ROTATIVO (DIMMER) 127V, 300W, CONJUNTO MONTADO PARA EMBUTIR 4" X 2" (PLACA + SUPORTE + MODULO)</t>
  </si>
  <si>
    <t>VARIADOR DE LUMINOSIDADE ROTATIVO (DIMMER) 220 V, 600 W (APENAS MODULO)</t>
  </si>
  <si>
    <t>VARIADOR DE LUMINOSIDADE ROTATIVO (DIMMER) 220V, 600W, CONJUNTO MONTADO PARA EMBUTIR 4" X 2" (PLACA + SUPORTE + MODULO)</t>
  </si>
  <si>
    <t>VARIADOR DE VELOCIDADE PARA VENTILADOR 127 V, 150 W (APENAS MODULO)</t>
  </si>
  <si>
    <t>VARIADOR DE VELOCIDADE PARA VENTILADOR 127V, 150W + 2 INTERRUPTORES PARALELOS, PARA REVERSAO E LAMPADA, CONJUNTO MONTADO PARA EMBUTIR 4" X 2" (PLACA + SUPORTE + MODULOS)</t>
  </si>
  <si>
    <t>VARIADOR DE VELOCIDADE PARA VENTILADOR 220 V, 250 W (APENAS MODULO)</t>
  </si>
  <si>
    <t>VARIADOR DE VELOCIDADE PARA VENTILADOR 220V, 250W + 2 INTERRUPTORES PARALELOS, PARA REVERSAO E LAMPADA, CONJUNTO MONTADO PARA EMBUTIR 4" X 2" (PLACA + SUPORTE + MODULOS)</t>
  </si>
  <si>
    <t>VASSOURA 40 CM COM CABO</t>
  </si>
  <si>
    <t>VASSOURA MECANICA REBOCAVEL COM ESCOVA CILINDRICA LARGURA UTIL DE VARRIMENTO = 2,44M</t>
  </si>
  <si>
    <t>VEDACAO DE CALHA, EM BORRACHA COR PRETA, MEDIDA ENTRE 119 E 170 MM, PARA DRENAGEM PLUVIAL PREDIAL</t>
  </si>
  <si>
    <t>VERGALHAO ZINCADO ROSCA TOTAL, 1/4" (6,3 MM)</t>
  </si>
  <si>
    <t>VERNIZ A BASE RESINA ALQUIDICA COM POLIURETANO PARA MADEIRA, COM FILTRO SOLAR, BRILHANTE, USO INTERNO E EXTERNO</t>
  </si>
  <si>
    <t>VERNIZ MARITIMO PREMIUM PARA MADEIRA, COM FILTRO SOLAR, BRILHANTE, USO INTERNO E EXTERNO</t>
  </si>
  <si>
    <t>VERNIZ TIPO COPAL PARA MADEIRA, BRILHANTE, USO INTERNO</t>
  </si>
  <si>
    <t>VEU DE POLIESTER PARA IMPERMEABILIZACAO</t>
  </si>
  <si>
    <t>VEU DE VIDRO/VEU DE SUPERFICIE 30 A 35 G/M2</t>
  </si>
  <si>
    <t>VIBRADOR DE IMERSAO, DIAMETRO DA PONTEIRA DE *35* MM, COM MOTOR 4 TEMPOS A GASOLINA DE 5,5 HP (5,5 CV)</t>
  </si>
  <si>
    <t>VIBRADOR DE IMERSAO, DIAMETRO DA PONTEIRA DE *45* MM, COM MOTOR ELETRICO TRIFASICO DE 2 HP (2 CV)</t>
  </si>
  <si>
    <t>VIBROACABADORA DE ASFALTO SOBRE ESTEIRAS, LARG. PAVIM. 2,13 M A 4,55 M, POT. 74 KW/ 100 HP, CAP. 400 T/ H</t>
  </si>
  <si>
    <t>VIBROACABADORA DE ASFALTO SOBRE ESTEIRAS, LARG. PAVIM. 2,60 M A 5,75 M, POT. 110 HP, CAP. 450 T/ H</t>
  </si>
  <si>
    <t>VIBROACABADORA DE ASFALTO SOBRE ESTEIRAS, LARG. PAVIM. MAX. 8,00 M, POT. 100 KW/ 134 HP, CAP. 600 T/ H</t>
  </si>
  <si>
    <t>VIBROACABADORA DE ASFALTO SOBRE ESTEIRAS, LARG. PAVIMENT. 1,90 A 5,3 M, POT. 78 KW/105 HP, CAP. 450 T/H</t>
  </si>
  <si>
    <t>VIBROACABADORA DE ASFALTO SOBRE RODAS, LARGURA DE PAVIMENTACAO DE 1,70 A 4,20 M, POTENCIA 78 KW/105 HP, CAPACIDADE 300 T/H</t>
  </si>
  <si>
    <t>VIDRACEIRO (HORISTA)</t>
  </si>
  <si>
    <t>VIDRACEIRO (MENSALISTA)</t>
  </si>
  <si>
    <t>VIDRO COMUM LAMINADO LISO INCOLOR DUPLO, ESPESSURA TOTAL 8 MM (CADA CAMADA DE 4 MM) - COLOCADO</t>
  </si>
  <si>
    <t>VIDRO COMUM LAMINADO, LISO, INCOLOR, DUPLO, ESPESSURA TOTAL 6 MM (CADA CAMADA E= 3 MM) - COLOCADO</t>
  </si>
  <si>
    <t>VIDRO COMUM LAMINADO, LISO, INCOLOR, TRIPLO, ESPESSURA TOTAL 12 MM (CADA CAMADA E= 4 MM) - COLOCADO</t>
  </si>
  <si>
    <t>VIDRO COMUM LAMINADO, LISO, INCOLOR, TRIPLO, ESPESSURA TOTAL 15 MM (CADA CAMADA E = 5 MM) - COLOCADO</t>
  </si>
  <si>
    <t>VIDRO CRISTAL COLORIDO, 10 MM, PINTADO NA COR BRANCA</t>
  </si>
  <si>
    <t>VIDRO CRISTAL COLORIDO, 4 MM, PINTADO NA COR BRANCA</t>
  </si>
  <si>
    <t>VIDRO CRISTAL COLORIDO, 6 MM, PINTADO NA COR BRANCA</t>
  </si>
  <si>
    <t>VIDRO CRISTAL COLORIDO, 8 MM, PINTADO NA COR BRANCA</t>
  </si>
  <si>
    <t>VIDRO LISO FUME E = 4MM - SEM COLOCACAO</t>
  </si>
  <si>
    <t>VIDRO LISO FUME E = 6MM - SEM COLOCACAO</t>
  </si>
  <si>
    <t>VIDRO LISO FUME, E = 5 MM - SEM COLOCACAO</t>
  </si>
  <si>
    <t>VIDRO LISO INCOLOR 10 MM - SEM COLOCACAO</t>
  </si>
  <si>
    <t>VIDRO LISO INCOLOR 2 A 3 MM - SEM COLOCACAO</t>
  </si>
  <si>
    <t>VIDRO LISO INCOLOR 4MM - SEM COLOCACAO</t>
  </si>
  <si>
    <t>VIDRO LISO INCOLOR 5MM - SEM COLOCACAO</t>
  </si>
  <si>
    <t>VIDRO LISO INCOLOR 6 MM - SEM COLOCACAO</t>
  </si>
  <si>
    <t>VIDRO LISO INCOLOR 8MM - SEM COLOCACAO</t>
  </si>
  <si>
    <t>VIDRO MARTELADO OU CANELADO, 4 MM - SEM COLOCACAO</t>
  </si>
  <si>
    <t>VIDRO PLANO ARAMADO E = 6 MM - SEM COLOCACAO</t>
  </si>
  <si>
    <t>VIDRO PLANO ARAMADO E = 7MM - SEM COLOCACAO</t>
  </si>
  <si>
    <t>VIDRO TEMPERADO INCOLOR E = 10 MM, SEM COLOCACAO</t>
  </si>
  <si>
    <t>VIDRO TEMPERADO INCOLOR E = 6 MM, SEM COLOCACAO</t>
  </si>
  <si>
    <t>VIDRO TEMPERADO INCOLOR E = 8 MM, SEM COLOCACAO</t>
  </si>
  <si>
    <t>VIDRO TEMPERADO INCOLOR PARA PORTA DE ABRIR, E = 10 MM (SEM FERRAGENS E SEM COLOCACAO)</t>
  </si>
  <si>
    <t>VIDRO TEMPERADO VERDE E = 10 MM, SEM COLOCACAO</t>
  </si>
  <si>
    <t>VIDRO TEMPERADO VERDE E = 6 MM, SEM COLOCACAO</t>
  </si>
  <si>
    <t>VIDRO TEMPERADO VERDE E = 8 MM, SEM COLOCACAO</t>
  </si>
  <si>
    <t>VIGA *7,5 X 10* CM EM PINUS, MISTA OU EQUIVALENTE DA REGIAO - BRUTA</t>
  </si>
  <si>
    <t>VIGA *7,5 X 15 CM EM PINUS, MISTA OU EQUIVALENTE DA REGIAO - BRUTA</t>
  </si>
  <si>
    <t>VIGA APARELHADA *6 X 12* CM, EM MACARANDUBA/MASSARANDUBA, ANGELIM OU EQUIVALENTE DA REGIAO</t>
  </si>
  <si>
    <t>VIGA APARELHADA *6 X 16* CM, EM MACARANDUBA/MASSARANDUBA, ANGELIM OU EQUIVALENTE DA REGIAO</t>
  </si>
  <si>
    <t>VIGA DE ESCORAMENTO H20, DE MADEIRA, PESO DE 5,00 A 5,20 KG/M, COM EXTREMIDADES PLASTICAS</t>
  </si>
  <si>
    <t>VIGA NAO APARELHADA *6 X 12* CM, EM MACARANDUBA/MASSARANDUBA, ANGELIM OU EQUIVALENTE DA REGIAO - BRUTA</t>
  </si>
  <si>
    <t>VIGA NAO APARELHADA *6 X 16* CM, EM MACARANDUBA/MASSARANDUBA, ANGELIM OU EQUIVALENTE DA REGIAO - BRUTA</t>
  </si>
  <si>
    <t>VIGA NAO APARELHADA *6 X 20* CM, EM MACARANDUBA/MASSARANDUBA, ANGELIM OU EQUIVALENTE DA REGIAO - BRUTA</t>
  </si>
  <si>
    <t>VIGA NAO APARELHADA *8 X 16* CM EM MACARANDUBA/MASSARANDUBA, ANGELIM OU EQUIVALENTE DA REGIAO - BRUTA</t>
  </si>
  <si>
    <t>VIGIA DIURNO (HORISTA)</t>
  </si>
  <si>
    <t>VIGIA DIURNO (MENSALISTA)</t>
  </si>
  <si>
    <t>RELATÓRIO DE PORCENTAGEM DE MÃO DE OBRA EM COMPOSIÇÕES - SEM DESONERAÇÃO</t>
  </si>
  <si>
    <t>IDENTIFICAÇÃO</t>
  </si>
  <si>
    <t>Modalidade*</t>
  </si>
  <si>
    <t>N° *</t>
  </si>
  <si>
    <t>Ano *</t>
  </si>
  <si>
    <t>Descrição do Objeto</t>
  </si>
  <si>
    <t xml:space="preserve">Órgão </t>
  </si>
  <si>
    <t>CNPJ *</t>
  </si>
  <si>
    <t>92.963.560/0001-60</t>
  </si>
  <si>
    <t>Tipo de Objeto*</t>
  </si>
  <si>
    <t>N° CENTRAL DE COMPRAS</t>
  </si>
  <si>
    <t>Preço Total Estimado</t>
  </si>
  <si>
    <t>Preço Total Proposto</t>
  </si>
  <si>
    <t>Qtd. Itens Orçamento</t>
  </si>
  <si>
    <t>Nº do lote**</t>
  </si>
  <si>
    <t>Descrição do Lote**</t>
  </si>
  <si>
    <t>Estimativa</t>
  </si>
  <si>
    <t>Proposta</t>
  </si>
  <si>
    <t>Valor do lote (R$)</t>
  </si>
  <si>
    <t>ORÇAMENTO</t>
  </si>
  <si>
    <t>Modalidade</t>
  </si>
  <si>
    <t xml:space="preserve">N° </t>
  </si>
  <si>
    <t xml:space="preserve">Ano </t>
  </si>
  <si>
    <t>Órgão</t>
  </si>
  <si>
    <t xml:space="preserve">CNPJ </t>
  </si>
  <si>
    <t>Tipo de Objeto</t>
  </si>
  <si>
    <t>Preço T. Estimado</t>
  </si>
  <si>
    <t>Nº  do Lote***</t>
  </si>
  <si>
    <t>N° Ordem</t>
  </si>
  <si>
    <t>Nº Item*</t>
  </si>
  <si>
    <t>Fonte de Referência**</t>
  </si>
  <si>
    <t>Código de Referência**</t>
  </si>
  <si>
    <t>Data de Referência**</t>
  </si>
  <si>
    <t>Descrição do item*</t>
  </si>
  <si>
    <t>Família</t>
  </si>
  <si>
    <t>Subfamília</t>
  </si>
  <si>
    <t>Tipo de Orçamento</t>
  </si>
  <si>
    <t>Qtd.*</t>
  </si>
  <si>
    <t>Unid.*</t>
  </si>
  <si>
    <t>Preço unitário (R$)*</t>
  </si>
  <si>
    <t>Preço Total (R$)</t>
  </si>
  <si>
    <t>% BDI**</t>
  </si>
  <si>
    <t>% Encargos Sociais**</t>
  </si>
  <si>
    <t>Código</t>
  </si>
  <si>
    <t>PROPOSTA</t>
  </si>
  <si>
    <t>Licitante</t>
  </si>
  <si>
    <t>CNPJ*</t>
  </si>
  <si>
    <t>Nº  do lote</t>
  </si>
  <si>
    <t>Nº Ordem</t>
  </si>
  <si>
    <t>Nº Item</t>
  </si>
  <si>
    <t>Descrição do item</t>
  </si>
  <si>
    <t>Unid.</t>
  </si>
  <si>
    <t>Percentual de Desconto</t>
  </si>
  <si>
    <t>Pr. Unit. Material</t>
  </si>
  <si>
    <t>Pr. Unit. Mão de obra</t>
  </si>
  <si>
    <t>EXECUÇÃO DE PAVIMENTO COM APLICAÇÃO DE CONCRETO ASFÁLTICO, CAMADA DE BINDER - EXCLUSIVE CARGA E TRANSPORTE. AF_10/2025</t>
  </si>
  <si>
    <t>EXECUÇÃO DE PAVIMENTO COM APLICAÇÃO DE CONCRETO ASFÁLTICO, CAMADA DE ROLAMENTO - EXCLUSIVE CARGA E TRANSPORTE. AF_10/2025</t>
  </si>
  <si>
    <t>FRESAGEM DE PAVIMENTO ASFÁLTICO, COM LARGURA DA VIA MAIOR QUE 10,00 M, EM LOCAIS COM NIVEL ALTO DE INTERFERÊNCIA. AF_10/2025</t>
  </si>
  <si>
    <t>FRESAGEM DE PAVIMENTO ASFÁLTICO, COM LARGURA DA VIA MAIOR QUE 10,00 M, EM LOCAIS COM NIVEL BAIXO DE INTERFERÊNCIA. AF_10/2025</t>
  </si>
  <si>
    <t>FRESAGEM DE PAVIMENTO ASFÁLTICO, COM LARGURA DA VIA MAIOR QUE 6,00 M E MENOR OU IGUAL 10,00 M, EM LOCAIS COM NIVEL ALTO DE INTERFERÊNCIA. AF_10/2025</t>
  </si>
  <si>
    <t>FRESAGEM DE PAVIMENTO ASFÁLTICO, COM LARGURA DA VIA MAIOR QUE 6,00 M E MENOR OU IGUAL 10,00 M, EM LOCAIS COM NIVEL BAIXO DE INTERFERÊNCIA. AF_10/2025</t>
  </si>
  <si>
    <t>FRESAGEM DE PAVIMENTO ASFÁLTICO, COM LARGURA DA VIA MENOR OU IGUAL 6,00 M, EM LOCAIS COM NIVEL ALTO DE INTERFERÊNCIA. AF_10/2025</t>
  </si>
  <si>
    <t>FRESAGEM DE PAVIMENTO ASFÁLTICO, COM LARGURA DA VIA MENOR OU IGUAL 6,00 M, EM LOCAIS COM NIVEL BAIXO DE INTERFERÊNCIA. AF_10/2025</t>
  </si>
  <si>
    <t>BOMBA CENTRÍFUGA, MONOFÁSICA, 0,5 CV OU 0,49 HP, HM 6 A 20 M, Q 1,2 A 8,3 M3/H - FORNECIMENTO E INSTALAÇÃO. AF_11/2025_PS</t>
  </si>
  <si>
    <t>BOMBA CENTRÍFUGA, TRIFÁSICA, 1,0 CV OU 0,99 HP, HM 14 A 40 M, Q 0,6 A 8,4 M3/H - FORNECIMENTO E INSTALAÇÃO. AF_11/2025_PS</t>
  </si>
  <si>
    <t>BOMBA CENTRÍFUGA, TRIFÁSICA, 1,5 CV OU 1,48 HP, HM 10 A 24 M, Q 6,1 A 21,9 M3/H - FORNECIMENTO E INSTALAÇÃO. AF_11/2025_PS</t>
  </si>
  <si>
    <t>BOMBA CENTRÍFUGA, TRIFÁSICA, 1,5 CV OU 1,48 HP, HM 10 A 70 M, Q 1,8 A 5,3 M3/H - FORNECIMENTO E INSTALAÇÃO. AF_11/2025_PS</t>
  </si>
  <si>
    <t>BOMBA CENTRÍFUGA, TRIFÁSICA, 10 CV OU 9,86 HP, HM 85 A 140 M, Q 4,2 A 14,9 M3/H - FORNECIMENTO E INSTALAÇÃO. AF_11/2025_PS</t>
  </si>
  <si>
    <t>BOMBA CENTRÍFUGA, TRIFÁSICA, 3 CV OU 2,96 HP, HM 34 A 40 M, Q 8,6 A 14,8 M3/H - FORNECIMENTO E INSTALAÇÃO. AF_11/2025_PS</t>
  </si>
  <si>
    <t>BOMBA SUBMERSÍVEL, TRIFÁSICA, 3,80 CV OU 3,75 HP, HM 5 A 25,5 M, Q 3,6 A 61,2 M3/H - FORNECIMENTO E INSTALAÇÃO. AF_11/2025</t>
  </si>
  <si>
    <t>CHAVE DE BOIA AUTOMÁTICA SUPERIOR/INFERIOR 15A/250V - FORNECIMENTO E INSTALAÇÃO. AF_11/2025</t>
  </si>
  <si>
    <t>INSTALAÇÃO DE BOMBA CENTRÍFUGA, MONOFÁSICA, 0,5 CV OU 0,49 HP, HM 6 A 20 M, Q 1,2 A 8,3 M3/H (SEM FORNECIMENTO). AF_11/2025_PS</t>
  </si>
  <si>
    <t>INSTALAÇÃO DE BOMBA CENTRÍFUGA, TRIFÁSICA, 1,0 CV OU 0,99 HP, HM 14 A 40 M, Q 0,6 A 8,4 M3/H (SEM FORNECIMENTO). AF_11/2025_PS</t>
  </si>
  <si>
    <t>INSTALAÇÃO DE BOMBA CENTRÍFUGA, TRIFÁSICA, 1,5 CV OU 1,48 HP (SEM FORNECIMENTO). AF_11/2025_PS</t>
  </si>
  <si>
    <t>INSTALAÇÃO DE BOMBA CENTRÍFUGA, TRIFÁSICA, 10 CV OU 9,86 HP, HM 85 A 140 M, Q 4,2 A 14,9 M3/H (SEM FORNECIMENTO). AF_11/2025_PS</t>
  </si>
  <si>
    <t>INSTALAÇÃO DE BOMBA CENTRÍFUGA, TRIFÁSICA, 3 CV OU 2,96 HP, HM 34 A 40 M, Q 8,6 A 14,8 M3/H (SEM FORNECIMENTO). AF_11/2025_PS</t>
  </si>
  <si>
    <t>INSTALAÇÃO DE BOMBA SUBMERSÍVEL, TRIFÁSICA, 3,80 CV OU 3,75 HP, HM 5 A 25,5 M, Q 3,6 A 61,2 M3/H (SEM FORNECIMENTO). AF_11/2025</t>
  </si>
  <si>
    <t>INSTALAÇÃO DE MOTO BOMBA HORIZONTAL ATÉ 10 CV, HM 75 A 80 M, Q 25,4 A 48 M3/H (SEM FORNECIMENTO). AF_11/2025_PS</t>
  </si>
  <si>
    <t>INSTALAÇÃO DE MOTO BOMBA HORIZONTAL DE 12,5 A 25 CV, HM 140 M (SEM FORNECIMENTO). AF_11/2025_PS</t>
  </si>
  <si>
    <t>INSTALAÇÃO DE MOTO BOMBA SUBMERSÍVEL ATÉ 10 CV, HM 21 M (SEM FORNECIMENTO). AF_11/2025</t>
  </si>
  <si>
    <t>INSTALAÇÃO DE MOTO BOMBA SUBMERSÍVEL DE 11 A 25 CV, HM 33 M (SEM FORNECIMENTO). AF_11/2025</t>
  </si>
  <si>
    <t>ALAMBRADO EM MOURÕES DE CONCRETO, COM TELA DE ARAME GALVANIZADO (INCLUSIVE MURETA EM CONCRETO). AF_12/2025</t>
  </si>
  <si>
    <t>ALAMBRADO PARA QUADRA POLIESPORTIVA, ESTRUTURADO POR TUBOS DE AÇO GALVANIZADO, (MONTANTES COM DIÂMETRO 2", TRAVESSAS E ESCORAS COM DIÂMETRO 1 ¼"), COM TELA DE ARAME GALVANIZADO, FIO 10 BWG E MALHA QUADRADA 5X5CM (EXCETO MURETA). AF_12/2025</t>
  </si>
  <si>
    <t>ALAMBRADO PARA QUADRA POLIESPORTIVA, ESTRUTURADO POR TUBOS DE AÇO GALVANIZADO, (MONTANTES COM DIÂMETRO 2", TRAVESSAS E ESCORAS COM DIÂMETRO 1 ¼"), COM TELA DE ARAME GALVANIZADO, FIO 12 BWG E MALHA QUADRADA 5X5CM (EXCETO MURETA). AF_12/2025</t>
  </si>
  <si>
    <t>ALAMBRADO PARA QUADRA POLIESPORTIVA, ESTRUTURADO POR TUBOS DE AÇO GALVANIZADO, (MONTANTES COM DIÂMETRO 2", TRAVESSAS E ESCORAS COM DIÂMETRO 1 ¼"), COM TELA DE ARAME GALVANIZADO, FIO 14 BWG E MALHA QUADRADA 5X5CM (EXCETO MURETA). AF_12/2025</t>
  </si>
  <si>
    <t>CERCA COM MOURÕES DE CONCRETO, RETO, H=2,30 M, ESPAÇAMENTO DE 2,5 M, CRAVADOS 0,5 M, COM 4 FIOS DE ARAME DE AÇO OVALADO 15X17 - FORNECIMENTO E INSTALAÇÃO. AF_12/2025</t>
  </si>
  <si>
    <t>CERCA COM MOURÕES DE CONCRETO, RETO, H=2,30 M, ESPAÇAMENTO DE 2,5 M, CRAVADOS 0,5 M, COM 4 FIOS DE ARAME FARPADO Nº 14 OU 16 CLASSE 250 - FORNECIMENTO E INSTALAÇÃO. AF_12/2025</t>
  </si>
  <si>
    <t>CERCA COM MOURÕES DE CONCRETO, RETO, H=2,30 M, ESPAÇAMENTO DE 2,5 M, CRAVADOS 0,5 M, COM 4 FIOS DE ARAME MISTO - FORNECIMENTO E INSTALAÇÃO. AF_12/2025</t>
  </si>
  <si>
    <t>CERCA COM MOURÕES DE CONCRETO, RETO, H=3,00 M, ESPAÇAMENTO DE 2,5 M, CRAVADOS 0,5 M, COM 4 FIOS DE ARAME DE AÇO OVALADO 15X17 - FORNECIMENTO E INSTALAÇÃO. AF_12/2025</t>
  </si>
  <si>
    <t>CERCA COM MOURÕES DE CONCRETO, RETO, H=3,00 M, ESPAÇAMENTO DE 2,5 M, CRAVADOS 0,5 M, COM 4 FIOS DE ARAME FARPADO Nº 14 OU 16 CLASSE 250 - FORNECIMENTO E INSTALAÇÃO. AF_12/2025</t>
  </si>
  <si>
    <t>CERCA COM MOURÕES DE CONCRETO, RETO, H=3,00 M, ESPAÇAMENTO DE 2,5 M, CRAVADOS 0,5 M, COM 4 FIOS DE ARAME MISTO - FORNECIMENTO E INSTALAÇÃO. AF_12/2025</t>
  </si>
  <si>
    <t>CERCA COM MOURÕES DE CONCRETO, SEÇÃO "T" PONTA INCLINADA, 10X10 CM, ESPAÇAMENTO DE 2,5 M, CRAVADOS 0,5 M, COM 11 FIOS DE ARAME DE AÇO OVALADO 15X17 - FORNECIMENTO E INSTALAÇÃO. AF_12/2025</t>
  </si>
  <si>
    <t>CERCA COM MOURÕES DE CONCRETO, SEÇÃO "T" PONTA INCLINADA, 10X10CM, ESPAÇAMENTO DE 2,5M, CRAVADOS 0,5M, COM 11 FIOS DE ARAME FARPADO Nº 14 OU 16 - FORNECIMENTO E INSTALAÇÃO. AF_12/2025</t>
  </si>
  <si>
    <t>CERCA COM MOURÕES DE CONCRETO, SEÇÃO "T" PONTA INCLINADA, 10X10CM, ESPAÇAMENTO DE 2,5M, CRAVADOS 0,5M, COM 11 FIOS DE ARAME MISTO - FORNECIMENTO E INSTALAÇÃO. AF_12/2025</t>
  </si>
  <si>
    <t>CERCA COM MOURÕES DE MADEIRA ROLIÇA, DIÂMETRO 11 CM, ESPAÇAMENTO DE 2,5 M, ALTURA LIVRE DE 1,7 M, CRAVADOS 0,5 M, COM 5 FIOS DE ARAME DE AÇO OVALADO 15X17 - FORNECIMENTO E INSTALAÇÃO. AF_12/2025</t>
  </si>
  <si>
    <t>CERCA COM MOURÕES DE MADEIRA ROLIÇA, DIÂMETRO 11 CM, ESPAÇAMENTO DE 2,5 M, ALTURA LIVRE DE 1,7 M, CRAVADOS 0,5 M, COM 5 FIOS DE ARAME MISTO - FORNECIMENTO E INSTALAÇÃO. AF_12/2025</t>
  </si>
  <si>
    <t>CERCA COM MOURÕES DE MADEIRA ROLIÇA, DIÂMETRO 11CM, ESPAÇAMENTO DE 2,5M, ALTURA LIVRE DE 1,7M, CRAVADOS 0,5M, COM 5 FIOS DE ARAME FARPADO Nº 14 OU 16 CLASSE 250 - FORNECIMENTO E INSTALAÇÃO. AF_12/2025</t>
  </si>
  <si>
    <t>CERCA COM MOURÕES DE MADEIRA, 7,5X7,5 CM, ESPAÇAMENTO DE 2,5 M, ALTURA LIVRE DE 2 M, CRAVADOS 0,5 M, COM 4 FIOS DE ARAME FARPADO Nº 14 OU 16 CLASSE 250 - FORNECIMENTO E INSTALAÇÃO. AF_12/2025</t>
  </si>
  <si>
    <t>CERCA COM MOURÕES DE MADEIRA, 7,5X7,5CM, ESPAÇAMENTO DE 2,5M, ALTURA LIVRE DE 2M, CRAVADOS 0,5M, COM 8 FIOS DE ARAME FARPADO Nº 14 OU 16 CLASSE 250 - FORNECIMENTO E INSTALAÇÃO. AF_12/2025</t>
  </si>
  <si>
    <t>INSTALAÇÃO DE ESCORAS PARA ALAMBRADO EM TUBO AÇO GALVANIZADO COM COSTURA, CLASSE MÉDIA, DN 1.1/4", E = *3,25* MM, PESO *3,14* KG/M. AF_12/2025</t>
  </si>
  <si>
    <t>INSTALAÇÃO DE MOURÃO DE CONCRETO PONTA INCLINADA (CURVA), *10 X 10* CM, H= *2,60* M + CURVA DE 0,40 M. AF_12/2025</t>
  </si>
  <si>
    <t>INSTALAÇÃO DE MOURÃO DE CONCRETO PONTA INCLINADA (CURVA), SEÇÃO "T", H = 2,80 M + CURVA COM 0,45 M, COM FUROS PARA FIOS. AF_12/2025</t>
  </si>
  <si>
    <t>INSTALAÇÃO DE MOURÃO DE CONCRETO RETO, SEÇÃO QUADRADA *10 X 10* CM, H= 2,30 A 2,50 M. AF_12/2025</t>
  </si>
  <si>
    <t>INSTALAÇÃO DE MOURÃO DE CONCRETO RETO, SEÇÃO QUADRADA, *10 X 10* CM, H= 3,00 M. AF_12/2025</t>
  </si>
  <si>
    <t>INSTALAÇÃO DE TELA DE ARAME GALVANIZADA, PARA ALAMBRADO COM MOURÕES DE CONCRETO, QUADRANGULAR / LOSANGULAR, FIO 2,11 MM (14 BWG), MALHA 8 X 8 CM, H = 2 M, COM REVESTIMENTO EM PVC. AF_12/2025</t>
  </si>
  <si>
    <t>INSTALAÇÃO DE TELA DE ARAME GALVANIZADA, PARA ALAMBRADO COM MOURÕES DE CONCRETO, QUADRANGULAR / LOSANGULAR, FIO 2,11 MM (14 BWG), MALHA 8 X 8 CM, H = 2 M. AF_12/2025</t>
  </si>
  <si>
    <t>INSTALAÇÃO DE TELA DE ARAME GALVANIZADA, PARA ALAMBRADO COM TUBOS DE AÇO, QUADRANGULAR / LOSANGULAR, FIO 2,11 MM (14 BWG), MALHA 5 X 5 CM, H = 2 M. AF_12/2025</t>
  </si>
  <si>
    <t>INSTALAÇÃO DE TELA DE ARAME GALVANIZADA, PARA ALAMBRADO COM TUBOS DE AÇO, QUADRANGULAR / LOSANGULAR, FIO 2,77 MM (12 BWG), MALHA 5 X 5 CM, H = 2 M. AF_12/2025</t>
  </si>
  <si>
    <t>INSTALAÇÃO DE TRAVESSA PARA ALAMBRADO EM TUBO AÇO GALVANIZADO COM COSTURA, CLASSE MÉDIA, DN 1 1/4", E = *3,25* MM, PESO *3,14* KG/M, COM ESPAÇAMENTO DE 2,0 A 2,5 M. AF_12/2025</t>
  </si>
  <si>
    <t>INSTALAÇÃO DE TRAVESSA PARA ALAMBRADO EM TUBO AÇO GALVANIZADO COM COSTURA, CLASSE MÉDIA, DN 1", E = *3,25* MM, PESO *3,14* KG/M, COM ESPAÇAMENTO DE 2,0 A 2,5 M. AF_12/2025</t>
  </si>
  <si>
    <t>INSTALAÇÃO DE TRAVESSA PARA ALAMBRADO EM TUBO AÇO GALVANIZADO COM COSTURA, CLASSE MÉDIA, DN 2 1/2", E = *3,65* MM, PESO *6,51* KG/M, COM ESPAÇAMENTO DE 2,0 A 2,5 M. AF_12/2025</t>
  </si>
  <si>
    <t>INSTALAÇÃO MONTANTE, PARA ALAMBRADO COM 1 M DE ALTURA, EM TUBO AÇO GALVANIZADO COM COSTURA, CLASSE MÉDIA, DN 2 1/2", E = *3,65* MM, PESO *6,51* KG/M. AF_12/2025</t>
  </si>
  <si>
    <t>INSTALAÇÃO MONTANTE, PARA ALAMBRADO COM 1 M DE ALTURA, EM TUBO AÇO GALVANIZADO COM COSTURA, CLASSE MÉDIA, DN 2", E = *3,65* MM, PESO *5,10* KG/M. AF_12/2025</t>
  </si>
  <si>
    <t>INSTALAÇÃO MONTANTE, PARA ALAMBRADO COM 1 M DE ALTURA, EM TUBO AÇO GALVANIZADO COM COSTURA, CLASSE MÉDIA, DN 3", E = *3,35* MM, PESO *7,32* KG/M. AF_12/2025</t>
  </si>
  <si>
    <t>INSTALAÇÃO MONTANTE, PARA ALAMBRADO COM 2,40 A 5,00 M DE ALTURA, EM TUBO AÇO GALVANIZADO COM COSTURA, CLASSE MÉDIA, DN 3", E = *3,35* MM, PESO *7,32* KG/M. AF_12/2025</t>
  </si>
  <si>
    <t>INSTALAÇÃO MONTANTE, PARA ALAMBRADO DE 2,40 A 5,00 M DE ALTURA, EM TUBO AÇO GALVANIZADO COM COSTURA, CLASSE MÉDIA, DN 2 1/2", E = *3,65* MM, PESO *6,51* KG/M. AF_12/2025</t>
  </si>
  <si>
    <t>INSTALAÇÃO MONTANTE, PARA ALAMBRADO DE 2,40 A 5,00 M DE ALTURA, EM TUBO AÇO GALVANIZADO COM COSTURA, CLASSE MÉDIA, DN 2", E = *3,65* MM, PESO *5,10* KG/M. AF_12/2025</t>
  </si>
  <si>
    <t>PORTÃO COM MOURÕES DE MADEIRA ROLIÇA, DIÂMETRO 11 CM, COM 5 FIOS DE ARAME FARPADO Nº 14 CLASSE 250, SEM DOBRADIÇAS - FORNECIMENTO E INSTALAÇÃO. AF_12/2025</t>
  </si>
  <si>
    <t>RECOMPOSIÇÃO PARCIAL DE ARAME FARPADO Nº 14 OU 16 CLASSE 250, FIXADO EM CERCA COM MOURÕES DE CONCRETO - FORNECIMENTO E INSTALAÇÃO. AF_12/2025</t>
  </si>
  <si>
    <t>CAMINHÃO PIPA 14.000 L TRUCADO, PESO BRUTO TOTAL 23.000 KG, CARGA ÚTIL MÁXIMA 16.540 KG, DISTÂNCIA ENTRE EIXOS 4,8 M, POTÊNCIA 256 CV, INCLUSIVE TANQUE DE AÇO PARA TRANSPORTE DE ÁGUA - CHI DIURNO. AF_10/2025</t>
  </si>
  <si>
    <t>CAMINHÃO PIPA 14.000 L TRUCADO, PESO BRUTO TOTAL 23.000 KG, CARGA ÚTIL MÁXIMA 16.540 KG, DISTÂNCIA ENTRE EIXOS 4,8 M, POTÊNCIA 256 CV, INCLUSIVE TANQUE DE AÇO PARA TRANSPORTE DE ÁGUA - CHP DIURNO. AF_10/2025</t>
  </si>
  <si>
    <t>CAMINHÃO TOCO, PBT 23.000 KG, CARGA ÚTIL MÁX. 16.540 KG, DIST. ENTRE EIXOS 4,8 M, POTÊNCIA 256 CV, INCLUSIVE CARROCERIA FIXA ABERTA DE MADEIRA P/ TRANSPORTE GERAL DE CARGA SECA, DIMEN. APROX. 2,6 X 12,50 X 0,50 M - CHI DIURNO. AF_10/2025</t>
  </si>
  <si>
    <t>CAMINHÃO TOCO, PBT 23.000 KG, CARGA ÚTIL MÁX. 16.540 KG, DIST. ENTRE EIXOS 4,8 M, POTÊNCIA 256 CV, INCLUSIVE CARROCERIA FIXA ABERTA DE MADEIRA P/ TRANSPORTE GERAL DE CARGA SECA, DIMEN. APROX. 2,6 X 12,50 X 0,50 M - CHP DIURNO. AF_10/2025</t>
  </si>
  <si>
    <t>CORTADEIRA HIDRÁULICA DE VERGALHÃO, PARA AÇO DE DIÂMETRO ATÉ 50 MM, MOTOR ELÉTRICO TRIFÁSICO, POTÊNCIA DE 5,5 HP A 7,5 HP - CHI DIURNO. AF_12/2025</t>
  </si>
  <si>
    <t>CORTADEIRA HIDRÁULICA DE VERGALHÃO, PARA AÇO DE DIÂMETRO ATÉ 50 MM, MOTOR ELÉTRICO TRIFÁSICO, POTÊNCIA DE 5,5 HP A 7,5 HP - CHP DIURNO. AF_12/2025</t>
  </si>
  <si>
    <t>DOBRADEIRA ELETROMECÂNICA DE VERGALHÃO, PARA AÇO DE DIÂMETRO ATÉ 1 1/2", MOTOR ELÉTRICO TRIFÁSICO, POTÊNCIA DE 3 HP ATÉ 5 HP- CHI DIURNO. AF_12/2025</t>
  </si>
  <si>
    <t>DOBRADEIRA ELETROMECÂNICA DE VERGALHÃO, PARA AÇO DE DIÂMETRO ATÉ 1 1/2", MOTOR ELÉTRICO TRIFÁSICO, POTÊNCIA DE 3 HP ATÉ 5 HP- CHP DIURNO. AF_12/2025</t>
  </si>
  <si>
    <t>GUINDAUTO HIDRÁULICO, CAPACIDADE MÁXIMA DE CARGA 14340 KG, MOMENTO MÁXIMO DE CARGA 42,3 TM, ALCANCE MÁXIMO HORIZONTAL16,80 M, INCLUSIVE CAMINHÃO TOCO PBT 23.000 KG, POTÊNCIA DE 256 CV - CHI DIURNO. AF_10/2025</t>
  </si>
  <si>
    <t>GUINDAUTO HIDRÁULICO, CAPACIDADE MÁXIMA DE CARGA 14340 KG, MOMENTO MÁXIMO DE CARGA 42,3 TM, ALCANCE MÁXIMO HORIZONTAL16,80 M, INCLUSIVE CAMINHÃO TOCO PBT 23.000 KG, POTÊNCIA DE 256 CV - CHP DIURNO. AF_10/2025</t>
  </si>
  <si>
    <t>VIBROACABADORA DE ASFALTO SOBRE ESTEIRAS, LARG. PAVIM. 2,60 M A 5,75 M, POT. 110 HP, CAP. 450 T/ H - CHI DIURNO. AF_11/2025</t>
  </si>
  <si>
    <t>VIBROACABADORA DE ASFALTO SOBRE ESTEIRAS, LARG. PAVIM. 2,60 M A 5,75 M, POT. 110 HP, CAP. 450 T/ H - CHP DIURNO. AF_11/2025</t>
  </si>
  <si>
    <t>VIBROACABADORA DE ASFALTO SOBRE ESTEIRAS, LARG. PAVIM. MÁX. 8,00 M, POT. 100 KW/ 134 HP, CAP. 600 T/ H - CHI DIURNO. AF_11/2025</t>
  </si>
  <si>
    <t>VIBROACABADORA DE ASFALTO SOBRE ESTEIRAS, LARG. PAVIM. MÁX. 8,00 M, POT. 100 KW/ 134 HP, CAP. 600 T/ H - CHP DIURNO. AF_11/2025</t>
  </si>
  <si>
    <t>VIBROACABADORA DE ASFALTO SOBRE RODAS, LARGURA DE PAVIMENTAÇÃO DE 1,70 A 4,20 M, POTÊNCIA 78 KW/105 HP, CAPACIDADE 300 T/H - CHI DIURNO. AF_11/2025</t>
  </si>
  <si>
    <t>VIBROACABADORA DE ASFALTO SOBRE RODAS, LARGURA DE PAVIMENTAÇÃO DE 1,70 A 4,20 M, POTÊNCIA 78 KW/105 HP, CAPACIDADE 300 T/H - CHP DIURNO. AF_11/2025</t>
  </si>
  <si>
    <t>CAMINHÃO BITRUCK TRAÇÃO 8X2, PBT 29.000 KG, PESO BRUTO TOTAL COMBINADO (PBTC) *36.000* KG, POTÊNCIA 321 CV, INCLUSIVE PLATAFORMA GUINCHO-SOCORRO, COMPRIMENTO ÚTIL 10 M, LARGURA 2,60 M COM GUINCHO DE ARRASTE BASCULANTE - MATERIAIS NA OPERAÇÃO. AF_11/2025</t>
  </si>
  <si>
    <t>CAMINHÃO BITRUCK TRAÇÃO 8X2, PBT 29.000 KG, PESO BRUTO TOTAL COMBINADO (PBTC) *36.000* KG, POTÊNCIA 321 CV, INCLUSIVE PLATAFORMA SOBRE CHASSI, COMPRIMENTO ÚTIL 10 M, LARGURA 2,60 M COM GUINCHO DE ARRASTE E RAMPA COM ACIONAMENTO ELETRO-HIDRÁULICO - MATERIAIS NA OPERAÇÃO. AF_11/2025</t>
  </si>
  <si>
    <t>CAMINHÃO PIPA 14.000 L TRUCADO, PESO BRUTO TOTAL 23.000 KG, CARGA ÚTIL MÁXIMA 16.540 KG, DISTÂNCIA ENTRE EIXOS 4,8 M, POTÊNCIA 256 CV, INCLUSIVE TANQUE DE AÇO PARA TRANSPORTE DE ÁGUA - DEPRECIAÇÃO. AF_10/2025</t>
  </si>
  <si>
    <t>CAMINHÃO PIPA 14.000 L TRUCADO, PESO BRUTO TOTAL 23.000 KG, CARGA ÚTIL MÁXIMA 16.540 KG, DISTÂNCIA ENTRE EIXOS 4,8 M, POTÊNCIA 256 CV, INCLUSIVE TANQUE DE AÇO PARA TRANSPORTE DE ÁGUA - IMPOSTOS E SEGUROS. AF_10/2025</t>
  </si>
  <si>
    <t>CAMINHÃO PIPA 14.000 L TRUCADO, PESO BRUTO TOTAL 23.000 KG, CARGA ÚTIL MÁXIMA 16.540 KG, DISTÂNCIA ENTRE EIXOS 4,8 M, POTÊNCIA 256 CV, INCLUSIVE TANQUE DE AÇO PARA TRANSPORTE DE ÁGUA - JUROS. AF_10/2025</t>
  </si>
  <si>
    <t>CAMINHÃO PIPA 14.000 L TRUCADO, PESO BRUTO TOTAL 23.000 KG, CARGA ÚTIL MÁXIMA 16.540 KG, DISTÂNCIA ENTRE EIXOS 4,8 M, POTÊNCIA 256 CV, INCLUSIVE TANQUE DE AÇO PARA TRANSPORTE DE ÁGUA - MANUTENÇÃO. AF_10/2025</t>
  </si>
  <si>
    <t>CAMINHÃO PIPA 14.000 L TRUCADO, PESO BRUTO TOTAL 23.000 KG, CARGA ÚTIL MÁXIMA 16.540 KG, DISTÂNCIA ENTRE EIXOS 4,8 M, POTÊNCIA 256 CV, INCLUSIVE TANQUE DE AÇO PARA TRANSPORTE DE ÁGUA - MATERIAIS NA OPERAÇÃO. AF_10/2025</t>
  </si>
  <si>
    <t>CAMINHÃO TOCO, PBT 16.000 KG, CARGA ÚTIL MÁX. 10.830 KG, DIST. ENTRE EIXOS 3,56 M, POTÊNCIA 226 CV, INCLUSIVE PLATAFORMA SOBRE CHASSI, COMPRIMENTO ÚTIL 10 M, LARGURA 2,60 M COM GUINCHO DE ARRASTE E RAMPA COM ACIONAMENTO ELETRO-HIDRÁULICO - MATERIAIS NA OPERAÇÃO. AF_11/2025</t>
  </si>
  <si>
    <t>CAMINHÃO TOCO, PBT 23.000 KG, CARGA ÚTIL MÁX. 16.540 KG, DIST. ENTRE EIXOS 4,8 M, POTÊNCIA 256 CV, INCLUSIVE CARROCERIA FIXA ABERTA DE MADEIRA P/ TRANSPORTE GERAL DE CARGA SECA, DIMEN. APROX. 2,6 X 12,50 X 0,50 M - DEPRECIAÇÃO. AF_10/2025</t>
  </si>
  <si>
    <t>CAMINHÃO TOCO, PBT 23.000 KG, CARGA ÚTIL MÁX. 16.540 KG, DIST. ENTRE EIXOS 4,8 M, POTÊNCIA 256 CV, INCLUSIVE CARROCERIA FIXA ABERTA DE MADEIRA P/ TRANSPORTE GERAL DE CARGA SECA, DIMEN. APROX. 2,6 X 12,50 X 0,50 M - IMPOSTOS E SEGUROS. AF_10/2025</t>
  </si>
  <si>
    <t>CAMINHÃO TOCO, PBT 23.000 KG, CARGA ÚTIL MÁX. 16.540 KG, DIST. ENTRE EIXOS 4,8 M, POTÊNCIA 256 CV, INCLUSIVE CARROCERIA FIXA ABERTA DE MADEIRA P/ TRANSPORTE GERAL DE CARGA SECA, DIMEN. APROX. 2,6 X 12,50 X 0,50 M - JUROS. AF_10/2025</t>
  </si>
  <si>
    <t>CAMINHÃO TOCO, PBT 23.000 KG, CARGA ÚTIL MÁX. 16.540 KG, DIST. ENTRE EIXOS 4,8 M, POTÊNCIA 256 CV, INCLUSIVE CARROCERIA FIXA ABERTA DE MADEIRA P/ TRANSPORTE GERAL DE CARGA SECA, DIMEN. APROX. 2,6 X 12,50 X 0,50 M - MANUTENÇÃO. AF_10/2025</t>
  </si>
  <si>
    <t>CAMINHÃO TOCO, PBT 23.000 KG, CARGA ÚTIL MÁX. 16.540 KG, DIST. ENTRE EIXOS 4,8 M, POTÊNCIA 256 CV, INCLUSIVE CARROCERIA FIXA ABERTA DE MADEIRA P/ TRANSPORTE GERAL DE CARGA SECA, DIMEN. APROX. 2,6 X 12,50 X 0,50 M - MATERIAIS NA OPERAÇÃO. AF_10/2025</t>
  </si>
  <si>
    <t>CAMINHÃO TOCO, PBT 23.000 KG, CARGA ÚTIL MÁX. 16.540 KG, DIST. ENTRE EIXOS 4,80 M, POTÊNCIA 256 CV, INCLUSIVE PLATAFORMA GUINCHO-SOCORRO, COMPRIMENTO ÚTIL 10 M, LARGURA 2,60 M COM GUINCHO DE ARRASTE BASCULANTE - MATERIAIS NA OPERAÇÃO. AF_11/2025</t>
  </si>
  <si>
    <t>CAMINHÃO TOCO, PBT 23.000 KG, CARGA ÚTIL MÁX. 16.540 KG, DIST. ENTRE EIXOS 4,80 M, POTÊNCIA 256 CV, INCLUSIVE PLATAFORMA SOBRE CHASSI, COMPRIMENTO ÚTIL 10 M, LARGURA 2,60 M COM GUINCHO DE ARRASTE E RAMPA COM ACIONAMENTO ELETRO-HIDRÁULICO - MATERIAIS NA OPERAÇÃO. AF_11/2025</t>
  </si>
  <si>
    <t>CAVALO MECÂNICO TRAÇÃO 6X2, PBT COMBINADO 56.000 KG, CAPACIDADE MÁX. TRAÇÃO 66.000 KG, POTÊNCIA 360 CV, INCLUSIVE CARROCERIA FIXA ABERTA DE MADEIRA P/ TRANSPORTE GERAL DE CARGA SECA, DIMEN. APROX. 2,6 X 14,50 X 0,50 M - MATERIAIS NA OPERAÇÃO. AF_10/2025</t>
  </si>
  <si>
    <t>CAVALO MECÂNICO TRAÇÃO 6X2, PBT COMBINADO 56.000 KG, CAPACIDADE MÁX. TRAÇÃO 66.000 KG, POTÊNCIA 360 CV, INCLUSIVE PRANCHA REBAIXADA 3 EIXOS, DIMENSÕES *17,33 X 3,00* M, COM RAMPA DE ACIONAMENTO HIDRÁULICO - MATERIAIS NA OPERAÇÃO. AF_11/2025</t>
  </si>
  <si>
    <t>CAVALO MECÂNICO TRAÇÃO 6X2, PBT COMBINADO 56.000 KG, CAPACIDADE MÁX. TRAÇÃO 66.000 KG, POTÊNCIA 360 CV, INCLUSIVE PRANCHA RETA 3 EIXOS, COMPRIMENTO ÚTIL 11,3 M, PESCOÇO DE 3,5 M, LARGURA 3,00 M, COM RAMPA DE ACIONAMENTO HIDRÁULICO - MATERIAIS NA OPERAÇÃO. AF_11/2025</t>
  </si>
  <si>
    <t>CORTADEIRA HIDRÁULICA DE VERGALHÃO, PARA AÇO DE DIÂMETRO ATÉ 50 MM, MOTOR ELÉTRICO TRIFÁSICO, POTÊNCIA DE 5,5 HP A 7,5 HP - DEPRECIAÇÃO. AF_12/2025</t>
  </si>
  <si>
    <t>CORTADEIRA HIDRÁULICA DE VERGALHÃO, PARA AÇO DE DIÂMETRO ATÉ 50 MM, MOTOR ELÉTRICO TRIFÁSICO, POTÊNCIA DE 5,5 HP A 7,5 HP - JUROS. AF_12/2025</t>
  </si>
  <si>
    <t>CORTADEIRA HIDRÁULICA DE VERGALHÃO, PARA AÇO DE DIÂMETRO ATÉ 50 MM, MOTOR ELÉTRICO TRIFÁSICO, POTÊNCIA DE 5,5 HP A 7,5 HP - MANUTENÇÃO. AF_12/2025</t>
  </si>
  <si>
    <t>CORTADEIRA HIDRÁULICA DE VERGALHÃO, PARA AÇO DE DIÂMETRO ATÉ 50 MM, MOTOR ELÉTRICO TRIFÁSICO, POTÊNCIA DE 5,5 HP A 7,5 HP - MATERIAIS NA OPERAÇÃO. AF_12/2025</t>
  </si>
  <si>
    <t>DOBRADEIRA ELETROMECÂNICA DE VERGALHÃO, PARA AÇO DE DIÂMETRO ATÉ 1 1/2", MOTOR ELÉTRICO TRIFÁSICO, POTÊNCIA DE 3 HP ATÉ 5 HP - DEPRECIAÇÃO. AF_12/2025</t>
  </si>
  <si>
    <t>DOBRADEIRA ELETROMECÂNICA DE VERGALHÃO, PARA AÇO DE DIÂMETRO ATÉ 1 1/2", MOTOR ELÉTRICO TRIFÁSICO, POTÊNCIA DE 3 HP ATÉ 5 HP - JUROS. AF_12/2025</t>
  </si>
  <si>
    <t>DOBRADEIRA ELETROMECÂNICA DE VERGALHÃO, PARA AÇO DE DIÂMETRO ATÉ 1 1/2", MOTOR ELÉTRICO TRIFÁSICO, POTÊNCIA DE 3 HP ATÉ 5 HP - MANUTENÇÃO. AF_12/2025</t>
  </si>
  <si>
    <t>DOBRADEIRA ELETROMECÂNICA DE VERGALHÃO, PARA AÇO DE DIÂMETRO ATÉ 1 1/2", MOTOR ELÉTRICO TRIFÁSICO, POTÊNCIA DE 3 HP ATÉ 5 HP - MATERIAIS NA OPERAÇÃO. AF_12/2025</t>
  </si>
  <si>
    <t>ESCAVADEIRA HIDRÁULICA SOBRE ESTEIRA, PESO OPERACIONAL 21,00 T, POTÊNCIA NOMINAL 155 HP, COM MARTELO VIBRATÓRIO HIDRÁULICO *1200 A 2200* KG - MATERIAIS NA OPERAÇÃO. AF_11/2025</t>
  </si>
  <si>
    <t>ESCAVADEIRA HIDRÁULICA SOBRE ESTEIRA, PESO OPERACIONAL 21,00 T, POTÊNCIA NOMINAL 155 HP, COM TORRE DE CRAVAÇÃO PARA EXECUÇÃO DE GEODRENO VERTICAL, LANÇA DE 32 M, PARA DRENO FIBROQUÍMICO DE LARGURA PADRÃO (100 MM) - MATERIAIS NA OPERAÇÃO. AF_12/2025</t>
  </si>
  <si>
    <t>GUINDAUTO HIDRÁULICO, CAPACIDADE MÁXIMA DE CARGA 14340 KG, MOMENTO MÁXIMO DE CARGA 42,3 TM, ALCANCE MÁXIMO HORIZONTAL16,80 M, INCLUSIVE CAMINHÃO TOCO PBT 23.000 KG, POTÊNCIA DE 256 CV - DEPRECIAÇÃO. AF_10/2025</t>
  </si>
  <si>
    <t>GUINDAUTO HIDRÁULICO, CAPACIDADE MÁXIMA DE CARGA 14340 KG, MOMENTO MÁXIMO DE CARGA 42,3 TM, ALCANCE MÁXIMO HORIZONTAL16,80 M, INCLUSIVE CAMINHÃO TOCO PBT 23.000 KG, POTÊNCIA DE 256 CV - IMPOSTOS E SEGUROS. AF_10/2025</t>
  </si>
  <si>
    <t>GUINDAUTO HIDRÁULICO, CAPACIDADE MÁXIMA DE CARGA 14340 KG, MOMENTO MÁXIMO DE CARGA 42,3 TM, ALCANCE MÁXIMO HORIZONTAL16,80 M, INCLUSIVE CAMINHÃO TOCO PBT 23.000 KG, POTÊNCIA DE 256 CV - JUROS. AF_10/2025</t>
  </si>
  <si>
    <t>GUINDAUTO HIDRÁULICO, CAPACIDADE MÁXIMA DE CARGA 14340 KG, MOMENTO MÁXIMO DE CARGA 42,3 TM, ALCANCE MÁXIMO HORIZONTAL16,80 M, INCLUSIVE CAMINHÃO TOCO PBT 23.000 KG, POTÊNCIA DE 256 CV - MANUTENÇÃO. AF_10/2025</t>
  </si>
  <si>
    <t>GUINDAUTO HIDRÁULICO, CAPACIDADE MÁXIMA DE CARGA 14340 KG, MOMENTO MÁXIMO DE CARGA 42,3 TM, ALCANCE MÁXIMO HORIZONTAL16,80 M, INCLUSIVE CAMINHÃO TOCO PBT 23.000 KG, POTÊNCIA DE 256 CV - MATERIAIS NA OPERAÇÃO. AF_10/2025</t>
  </si>
  <si>
    <t>PENEIRA ROTATIVA COM MOTOR ELÉTRICO MONOFÁSICO DE *0,5 A 1,0* CV, CILINDRO COM DIÂMETRO DE *0,48 A 0,85* M E COMPRIMENTO DE *1,0 A 1,65* M - MATERIAIS NA OPERAÇÃO. AF_11/2025</t>
  </si>
  <si>
    <t>POLIGUINDASTE, CAPACIDADE MÁXIMA DE CARGA 8000 KG, PARA TRANSPORTE DE CAÇAMBAS ESTACIONÁRIAS, INCLUSIVE CAMINHÃO TOCO PBT 14.300 KG, POTÊNCIA DE 185 CV - MATERIAIS NA OPERAÇÃO. AF_10/2025</t>
  </si>
  <si>
    <t>VIBROACABADORA DE ASFALTO SOBRE ESTEIRAS, LARG. PAVIM. 2,60 M A 5,75 M, POT. 110 HP, CAP. 450 T/ H - DEPRECIAÇÃO. AF_11/2025</t>
  </si>
  <si>
    <t>VIBROACABADORA DE ASFALTO SOBRE ESTEIRAS, LARG. PAVIM. 2,60 M A 5,75 M, POT. 110 HP, CAP. 450 T/ H - JUROS. AF_11/2025</t>
  </si>
  <si>
    <t>VIBROACABADORA DE ASFALTO SOBRE ESTEIRAS, LARG. PAVIM. 2,60 M A 5,75 M, POT. 110 HP, CAP. 450 T/ H - MANUTENÇÃO. AF_11/2025</t>
  </si>
  <si>
    <t>VIBROACABADORA DE ASFALTO SOBRE ESTEIRAS, LARG. PAVIM. 2,60 M A 5,75 M, POT. 110 HP, CAP. 450 T/ H - MATERIAIS NA OPERAÇÃO. AF_11/2025</t>
  </si>
  <si>
    <t>VIBROACABADORA DE ASFALTO SOBRE ESTEIRAS, LARG. PAVIM. MÁX. 8,00 M, POT. 100 KW/ 134 HP, CAP. 600 T/ H - DEPRECIAÇÃO. AF_11/2025</t>
  </si>
  <si>
    <t>VIBROACABADORA DE ASFALTO SOBRE ESTEIRAS, LARG. PAVIM. MÁX. 8,00 M, POT. 100 KW/ 134 HP, CAP. 600 T/ H - JUROS. AF_11/2025</t>
  </si>
  <si>
    <t>VIBROACABADORA DE ASFALTO SOBRE ESTEIRAS, LARG. PAVIM. MÁX. 8,00 M, POT. 100 KW/ 134 HP, CAP. 600 T/ H - MANUTENÇÃO. AF_11/2025</t>
  </si>
  <si>
    <t>VIBROACABADORA DE ASFALTO SOBRE ESTEIRAS, LARG. PAVIM. MÁX. 8,00 M, POT. 100 KW/ 134 HP, CAP. 600 T/ H - MATERIAIS NA OPERAÇÃO. AF_11/2025</t>
  </si>
  <si>
    <t>VIBROACABADORA DE ASFALTO SOBRE RODAS, LARGURA DE PAVIMENTAÇÃO DE 1,70 A 4,20 M, POTÊNCIA 78 KW/105 HP, CAPACIDADE 300 T/H - DEPRECIAÇÃO. AF_11/2025</t>
  </si>
  <si>
    <t>VIBROACABADORA DE ASFALTO SOBRE RODAS, LARGURA DE PAVIMENTAÇÃO DE 1,70 A 4,20 M, POTÊNCIA 78 KW/105 HP, CAPACIDADE 300 T/H - JUROS. AF_11/2025</t>
  </si>
  <si>
    <t>VIBROACABADORA DE ASFALTO SOBRE RODAS, LARGURA DE PAVIMENTAÇÃO DE 1,70 A 4,20 M, POTÊNCIA 78 KW/105 HP, CAPACIDADE 300 T/H - MANUTENÇÃO. AF_11/2025</t>
  </si>
  <si>
    <t>VIBROACABADORA DE ASFALTO SOBRE RODAS, LARGURA DE PAVIMENTAÇÃO DE 1,70 A 4,20 M, POTÊNCIA 78 KW/105 HP, CAPACIDADE 300 T/H - MATERIAIS NA OPERAÇÃO. AF_11/2025</t>
  </si>
  <si>
    <t>ASSENTAMENTO DE TUBO DRENO DE PEAD CORRUGADO EM GEOCOMPOSTO, DN 100 MM - FORNECIMENTO E INSTALAÇÃO. AF_01/2026</t>
  </si>
  <si>
    <t>ASSENTAMENTO DE TUBO DRENO DE PEAD CORRUGADO EM GEOCOMPOSTO, DN 160 MM - FORNECIMENTO E INSTALAÇÃO. AF_01/2026</t>
  </si>
  <si>
    <t>ASSENTAMENTO DE TUBO DRENO DE PEAD CORRUGADO EM GEOCOMPOSTO, DN 200 MM - FORNECIMENTO E INSTALAÇÃO. AF_01/2026</t>
  </si>
  <si>
    <t>ASSENTAMENTO DE TUBO DRENO DE PEAD CORRUGADO EM GEOCOMPOSTO, DN 65 MM - FORNECIMENTO E INSTALAÇÃO. AF_01/2026</t>
  </si>
  <si>
    <t>CONEXÃO TUBO CORRUGADO PEAD EM TUBO PVC PARA DRENAGEM DE GEOCOMPOSTO APENAS INSTALAÇÃO. AF_01/2026</t>
  </si>
  <si>
    <t>AQUECEDOR SOLAR COMPACTO, KIT PARA 1 COLETOR SOLAR EM VIDRO TEMPERADO E SERPENTINA EM TUBO DE COBRE SEM SUPORTE, RESERVATÓRIO, FIXAÇÕES E TUBOS - FORNECIMENTO E INSTALAÇÃO. AF_01/2026</t>
  </si>
  <si>
    <t>BLOCO CONCRETADO NO LOCAL, 20X20X15CM, PARA BASE DE FIXAÇÃO DA ESTRUTURA SOLAR PARA LAJE DE CONCRETO - FORNECIMENTO E INSTALAÇÃO. AF_01/2026</t>
  </si>
  <si>
    <t>RESERVATÓRIO TÉRMICO/BOILER SOLAR EM AÇO INOX 1000 L COM 5 PLACAS COLETORAS EM VIDRO TEMPERADO COM SERPENTINA EM TUBO DE COBRE 2 X 1 M - FORNECIMENTO E INSTALAÇÃO. AF_01/2026</t>
  </si>
  <si>
    <t>RESERVATÓRIO TÉRMICO/BOILER SOLAR EM AÇO INOX 400 L COM 2 PLACAS COLETORAS EM VIDRO TEMPERADO COM SERPENTINA EM TUBO DE COBRE 2 X 1 M - FORNECIMENTO E INSTALAÇÃO. AF_01/2026</t>
  </si>
  <si>
    <t>RESERVATÓRIO TÉRMICO/BOILER SOLAR EM AÇO INOX 600 L COM 3 PLACAS COLETORAS EM VIDRO TEMPERADO COM SERPENTINA EM TUBO DE COBRE 2 X 1 M - FORNECIMENTO E INSTALAÇÃO. AF_01/2026</t>
  </si>
  <si>
    <t>RESERVATÓRIO TÉRMICO/BOILER SOLAR EM AÇO INOX 800 L COM 4 PLACAS COLETORAS EM VIDRO TEMPERADO COM SERPENTINA EM TUBO DE COBRE 2 X 1 M - FORNECIMENTO E INSTALAÇÃO. AF_01/2026</t>
  </si>
  <si>
    <t>ESCORAMENTO DE VALA, TIPO BLINDAGEM COM PROFUNDIDADE DE 0 A 1,5 M, LARGURA MAIOR OU IGUAL A 1,5 M E MENOR QUE 2,5 M - EXECUÇÃO, NÃO INCLUI MATERIAL. AF_01/2026</t>
  </si>
  <si>
    <t>ESCORAMENTO DE VALA, TIPO BLINDAGEM, COM PROFUNDIDADE DE 0 A 1,5 M, LARGURA MENOR QUE 1,5 M - EXECUÇÃO, NÃO INCLUI MATERIAL. AF_01/2026</t>
  </si>
  <si>
    <t>ESCORAMENTO DE VALA, TIPO BLINDAGEM, COM PROFUNDIDADE DE 1,5 A 3,0 M, LARGURA MAIOR OU IGUAL A 1,5 M E MENOR QUE 2,5 M - EXECUÇÃO, NÃO INCLUI MATERIAL. AF_01/2026</t>
  </si>
  <si>
    <t>ESCORAMENTO DE VALA, TIPO BLINDAGEM, COM PROFUNDIDADE DE 1,5 A 3,0 M, LARGURA MENOR QUE 1,5 M - EXECUÇÃO, NÃO INCLUI MATERIAL. AF_01/2026</t>
  </si>
  <si>
    <t>ESCORAMENTO DE VALA, TIPO BLINDAGEM, COM PROFUNDIDADE DE 3,0 A 4,5 M, LARGURA MAIOR OU IGUAL A 1,5 M E MENOR QUE 2,5 M - EXECUÇÃO, NÃO INCLUI MATERIAL. AF_01/2026</t>
  </si>
  <si>
    <t>ESCORAMENTO DE VALA, TIPO BLINDAGEM, COM PROFUNDIDADE DE 3,0 A 4,5 M, LARGURA MENOR QUE 1,5 M - EXECUÇÃO, NÃO INCLUI MATERIAL. AF_01/2026</t>
  </si>
  <si>
    <t>ESCORAMENTO DE VALA, TIPO CONTÍNUO COM PERFIL METÁLICO "U", COM PROFUNDIDADE DE 0 A 1,5 M, LARGURA MENOR QUE 1,5 M. AF_01/2026</t>
  </si>
  <si>
    <t>ESCORAMENTO DE VALA, TIPO CONTÍNUO COM PERFIL METÁLICO "U", COM PROFUNDIDADE DE 1,5 A 3,0 M, LARGURA MAIOR OU IGUAL 1,5 M E MENOR QUE 2,5 M. AF_01/2026</t>
  </si>
  <si>
    <t>ESCORAMENTO DE VALA, TIPO CONTÍNUO COM PERFIL METÁLICO "U", COM PROFUNDIDADE DE 1,5 A 3,0 M, LARGURA MENOR QUE 1,5 M. AF_01/2026</t>
  </si>
  <si>
    <t>ESCORAMENTO DE VALA, TIPO CONTÍNUO COM PERFIL METÁLICO "U", COM PROFUNDIDADE DE 3,0 A 4,5 M, LARGURA MAIOR OU IGUAL A 1,5 M E MENOR QUE 2,5 M. AF_01/2026</t>
  </si>
  <si>
    <t>ESCORAMENTO DE VALA, TIPO CONTÍNUO COM PERFIL METÁLICO "U", COM PROFUNDIDADE DE 3,0 A 4,5 M, LARGURA MENOR QUE 1,5 M. AF_01/2026</t>
  </si>
  <si>
    <t>ESCORAMENTO DE VALA, TIPO CONTÍNUO, COM PROFUNDIDADE DE 0 A 1,5 M, LARGURA MAIOR OU IGUAL A 1,5 M E MENOR QUE 2,5 M. AF_01/2026</t>
  </si>
  <si>
    <t>ESCORAMENTO DE VALA, TIPO CONTÍNUO, COM PROFUNDIDADE DE 0 A 1,5 M, LARGURA MENOR QUE 1,5 M. AF_01/2026</t>
  </si>
  <si>
    <t>ESCORAMENTO DE VALA, TIPO CONTÍNUO, COM PROFUNDIDADE DE 1,5 A 3,0 M, LARGURA MAIOR OU IGUAL A 1,5 M E MENOR QUE 2,5 M. AF_01/2026</t>
  </si>
  <si>
    <t>ESCORAMENTO DE VALA, TIPO CONTÍNUO, COM PROFUNDIDADE DE 1,5 M A 3,0 M, LARGURA MENOR QUE 1,5 M. AF_01/2026</t>
  </si>
  <si>
    <t>ESCORAMENTO DE VALA, TIPO CONTÍNUO, COM PROFUNDIDADE DE 3,0 A 4,5 M, LARGURA MAIOR OU IGUAL A 1,5 E MENOR QUE 2,5 M. AF_01/2026</t>
  </si>
  <si>
    <t>ESCORAMENTO DE VALA, TIPO CONTÍNUO, COM PROFUNDIDADE DE 3,0 A 4,5 M, LARGURA MENOR QUE 1,5 M. AF_01/2026</t>
  </si>
  <si>
    <t>ESCORAMENTO DE VALA, TIPO DESCONTÍNUO, COM PROFUNDIDADE DE 0 A 1,5 M, LARGURA MAIOR OU IGUAL A 1,5 M E MENOR QUE 2,5 M. AF_01/2026</t>
  </si>
  <si>
    <t>ESCORAMENTO DE VALA, TIPO DESCONTÍNUO, COM PROFUNDIDADE DE 0 A 1,5 M, LARGURA MENOR QUE 1,5 M. AF_01/2026</t>
  </si>
  <si>
    <t>ESCORAMENTO DE VALA, TIPO DESCONTÍNUO, COM PROFUNDIDADE DE 1,5 A 3,0 M, LARGURA MAIOR OU IGUAL A 1,5 M E MENOR QUE 2,5 M. AF_01/2026</t>
  </si>
  <si>
    <t>ESCORAMENTO DE VALA, TIPO DESCONTÍNUO, COM PROFUNDIDADE DE 1,5 M A 3,0 M, LARGURA MENOR QUE 1,5 M. AF_01/2026</t>
  </si>
  <si>
    <t>ESCORAMENTO DE VALA, TIPO DESCONTÍNUO, COM PROFUNDIDADE DE 3,0 A 4,5 M, LARGURA MAIOR OU IGUAL A 1,5 E MENOR QUE 2,5 M. AF_01/2026</t>
  </si>
  <si>
    <t>ESCORAMENTO DE VALA, TIPO DESCONTÍNUO, COM PROFUNDIDADE DE 3,0 A 4,5 M, LARGURA MENOR QUE 1,5 M. AF_01/2026</t>
  </si>
  <si>
    <t>ESCORAMENTO DE VALA, TIPO PONTALETEAMENTO, COM PROFUNDIDADE DE 0 A 1,5 M, LARGURA MAIOR OU IGUAL A 1,5 M E MENOR QUE 2,5 M. AF_01/2026</t>
  </si>
  <si>
    <t>ESCORAMENTO DE VALA, TIPO PONTALETEAMENTO, COM PROFUNDIDADE DE 0 A 1,5 M, LARGURA MENOR QUE 1,5 M. AF_01/2026</t>
  </si>
  <si>
    <t>ESCORAMENTO DE VALA, TIPO PONTALETEAMENTO, COM PROFUNDIDADE DE 1,5 A 3,0 M, LARGURA MAIOR OU IGUAL A 1,5 M E MENOR QUE 2,5 M. AF_01/2026</t>
  </si>
  <si>
    <t>ESCORAMENTO DE VALA, TIPO PONTALETEAMENTO, COM PROFUNDIDADE DE 1,5 A 3,0 M, LARGURA MENOR QUE 1,5 M. AF_01/2026</t>
  </si>
  <si>
    <t>ESCORAMENTO DE VALA, TIPO PONTALETEAMENTO, COM PROFUNDIDADE DE 3,0 A 4,5 M, LARGURA MAIOR OU IGUAL A 1,5 M E MENOR QUE 2,5 M. AF_01/2026</t>
  </si>
  <si>
    <t>ESCORAMENTO DE VALA, TIPO PONTALETEAMENTO, COM PROFUNDIDADE DE 3,0 A 4,5 M, LARGURA MENOR QUE 1,5 M. AF_01/2026</t>
  </si>
  <si>
    <t>ESCORAMENTO DE VALA,TIPO CONTÍNUO COM PERFIL METÁLICO "U", COM PROFUNDIDADE DE 0 A 1,5 M, LARGURA MAIOR OU IGUAL A 1,5 E MENOR QUE 2,5 M. AF_01/2026</t>
  </si>
  <si>
    <t>PREPARO DE FUNDO DE VALA COM LARGURA MAIOR OU IGUAL A 1,5 M E MENOR QUE 2,5 M (ACERTO DO SOLO NATURAL), EM LOCAL COM NÍVEL ALTO DE INTERFERÊNCIA. AF_01/2026</t>
  </si>
  <si>
    <t>PREPARO DE FUNDO DE VALA COM LARGURA MAIOR OU IGUAL A 1,5 M E MENOR QUE 2,5 M (ACERTO DO SOLO NATURAL), EM LOCAL COM NÍVEL BAIXO DE INTERFERÊNCIA. AF_01/2026</t>
  </si>
  <si>
    <t>PREPARO DE FUNDO DE VALA COM LARGURA MAIOR OU IGUAL A 1,5 M E MENOR QUE 2,5 M, COM CAMADA DE AREIA, LANÇAMENTO MANUAL. AF_01/2026</t>
  </si>
  <si>
    <t>PREPARO DE FUNDO DE VALA COM LARGURA MAIOR OU IGUAL A 1,5 M E MENOR QUE 2,5 M, COM CAMADA DE AREIA, LANÇAMENTO MECANIZADO. AF_01/2026</t>
  </si>
  <si>
    <t>PREPARO DE FUNDO DE VALA COM LARGURA MAIOR OU IGUAL A 1,5 M E MENOR QUE 2,5 M, COM CAMADA DE BRITA, LANÇAMENTO MANUAL. AF_01/2026</t>
  </si>
  <si>
    <t>PREPARO DE FUNDO DE VALA COM LARGURA MAIOR OU IGUAL A 1,5 M E MENOR QUE 2,5 M, COM CAMADA DE BRITA, LANÇAMENTO MECANIZADO. AF_01/2026</t>
  </si>
  <si>
    <t>PREPARO DE FUNDO DE VALA COM LARGURA MENOR QUE 1,5 M (ACERTO DO SOLO NATURAL), EM LOCAL COM NÍVEL ALTO DE INTERFERÊNCIA. AF_01/2026</t>
  </si>
  <si>
    <t>PREPARO DE FUNDO DE VALA COM LARGURA MENOR QUE 1,5 M (ACERTO DO SOLO NATURAL), EM LOCAL COM NÍVEL BAIXO DE INTERFERÊNCIA. AF_01/2026</t>
  </si>
  <si>
    <t>PREPARO DE FUNDO DE VALA COM LARGURA MENOR QUE 1,5 M, COM CAMADA DE AREIA, LANÇAMENTO MANUAL. AF_01/2026</t>
  </si>
  <si>
    <t>PREPARO DE FUNDO DE VALA COM LARGURA MENOR QUE 1,5 M, COM CAMADA DE AREIA, LANÇAMENTO MECANIZADO. AF_01/2026</t>
  </si>
  <si>
    <t>PREPARO DE FUNDO DE VALA COM LARGURA MENOR QUE 1,5 M, COM CAMADA DE BRITA, LANÇAMENTO MANUAL. AF_01/2026</t>
  </si>
  <si>
    <t>PREPARO DE FUNDO DE VALA COM LARGURA MENOR QUE 1,5 M, COM CAMADA DE BRITA, LANÇAMENTO MECANIZADO. AF_01/2026</t>
  </si>
  <si>
    <t>ALIZAR DE 5X1,5CM PARA PORTA FIXADO COM PREGOS - SOMENTE INSTALAÇÃO. AF_10/2025</t>
  </si>
  <si>
    <t>ALIZAR DE 5X1,5CM PARA PORTA FIXADO COM PREGOS, PADRÃO MÉDIO - FORNECIMENTO E INSTALAÇÃO. AF_10/2025</t>
  </si>
  <si>
    <t>ALIZAR DE 5X1,5CM PARA PORTA FIXADO COM PREGOS, PADRÃO POPULAR - FORNECIMENTO E INSTALAÇÃO. AF_10/2025</t>
  </si>
  <si>
    <t>BATENTE PARA PORTA COM BANDEIRA, FIXAÇÃO COM PARAFUSO E BUCHA. AF_10/2025</t>
  </si>
  <si>
    <t>BATENTE PARA PORTA DE MADEIRA, FIXAÇÃO COM ARGAMASSA, PADRÃO MÉDIO - FORNECIMENTO E INSTALAÇÃO. AF_10/2025</t>
  </si>
  <si>
    <t>BATENTE PARA PORTA DE MADEIRA, FIXAÇÃO COM ARGAMASSA, PADRÃO POPULAR FORNECIMENTO E INSTALAÇÃO. AF_10/2025</t>
  </si>
  <si>
    <t>BATENTE PARA PORTA DE MADEIRA, PADRÃO MÉDIO - FORNECIMENTO E MONTAGEM. AF_10/2025</t>
  </si>
  <si>
    <t>BATENTE PARA PORTA DE MADEIRA, PADRÃO POPULAR - FORNECIMENTO E MONTAGEM. AF_10/2025</t>
  </si>
  <si>
    <t>CREMONA EM LATÃO CROMADO OU POLIDO, COMPLETA. AF_10/2025</t>
  </si>
  <si>
    <t>DOBRADIÇA EM AÇO/FERRO, 3" X 2 1/2", E=1,9 A 2MM, SEN ANEL, CROMADO OU ZINCADO, TAMPA BOLA, COM PARAFUSOS. AF_10/2025</t>
  </si>
  <si>
    <t>DOBRADIÇA TIPO VAI E VEM EM LATÃO POLIDO 3". AF_10/2025</t>
  </si>
  <si>
    <t>FECHADURA DE EMBUTIR COM CILINDRO, EXTERNA, COMPLETA, ACABAMENTO PADRÃO MÉDIO, INCLUSO EXECUÇÃO DE FURO - FORNECIMENTO E INSTALAÇÃO. AF_10/2025</t>
  </si>
  <si>
    <t>FECHADURA DE EMBUTIR COM CILINDRO, EXTERNA, COMPLETA, ACABAMENTO PADRÃO POPULAR, INCLUSO EXECUÇÃO DE FURO - FORNECIMENTO E INSTALAÇÃO. AF_10/2025</t>
  </si>
  <si>
    <t>FECHADURA DE EMBUTIR PARA PORTA DE BANHEIRO, COMPLETA, ACABAMENTO PADRÃO MÉDIO, INCLUSO EXECUÇÃO DE FURO - FORNECIMENTO E INSTALAÇÃO. AF_10/2025</t>
  </si>
  <si>
    <t>FECHADURA DE EMBUTIR PARA PORTA DE BANHEIRO, COMPLETA, ACABAMENTO PADRÃO POPULAR, INCLUSO EXECUÇÃO DE FURO - FORNECIMENTO E INSTALAÇÃO. AF_10/2025</t>
  </si>
  <si>
    <t>FECHADURA DE EMBUTIR PARA PORTAS INTERNAS, COMPLETA, ACABAMENTO PADRÃO MÉDIO, COM EXECUÇÃO DE FURO - FORNECIMENTO E INSTALAÇÃO. AF_10/2025</t>
  </si>
  <si>
    <t>FECHADURA DE EMBUTIR PARA PORTAS INTERNAS, COMPLETA, ACABAMENTO PADRÃO POPULAR, COM EXECUÇÃO DE FURO - FORNECIMENTO E INSTALAÇÃO. AF_10/2025</t>
  </si>
  <si>
    <t>FECHO DE EMBUTIR TIPO UNHA 22CM. AF_10/2025</t>
  </si>
  <si>
    <t>FECHO DE EMBUTIR TIPO UNHA 40CM. AF_10/2025</t>
  </si>
  <si>
    <t>KIT DE PORTA DE MADEIRA FRISADA, SEMI-OCA (LEVE OU MÉDIA), PADRÃO MÉDIO 60X210CM, ESPESSURA DE 3CM, ITENS INCLUSOS: DOBRADIÇAS, MONTAGEM E INSTALAÇÃO DO BATENTE, SEM FECHADURA - FORNECIMENTO E INSTALAÇÃO. AF_10/2025</t>
  </si>
  <si>
    <t>KIT DE PORTA DE MADEIRA FRISADA, SEMI-OCA (LEVE OU MÉDIA), PADRÃO MÉDIO, 60X210CM, ESPESSURA DE 3CM,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</si>
  <si>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</si>
  <si>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DO BATENTE, SEM FECHADURA - FORNECIMENTO E INSTALAÇÃO. AF_10/2025</t>
  </si>
  <si>
    <t>KIT DE PORTA DE MADEIRA FRISADA, SEMI-OCA (LEVE OU MÉDIA), PADRÃO MÉDIO, 80X210CM, ESPESSURA DE 3,5CM, ITENS INCLUSOS: DOBRADIÇAS, MONTAGEM E INSTALAÇÃO DE BATENTE, FECHADURA COM EXECUÇÃO DO FURO - FORNECIMENTO E INSTALAÇÃO. AF_10/2025</t>
  </si>
  <si>
    <t>KIT DE PORTA DE MADEIRA FRISADA, SEMI-OCA (LEVE OU MÉDIA), PADRÃO MÉDIO, 80X210CM, ESPESSURA DE 3,5CM, ITENS INCLUSOS: DOBRADIÇAS, MONTAGEM E INSTALAÇÃO DO BATENTE, SEM FECHADURA - FORNECIMENTO E INSTALAÇÃO. AF_10/2025</t>
  </si>
  <si>
    <t>KIT DE PORTA DE MADEIRA FRISADA, SEMI-OCA (LEVE OU MÉDIA), PADRÃO POPULAR, 60X210CM, ESPESSURA DE 3CM, ITENS INCLUSOS: DOBRADIÇAS, MONTAGEM E INSTALAÇÃO DE BATENTE, FECHADURA COM EXECUÇÃO DO FURO - FORNECIMENTO E INSTALAÇÃO. AF_10/2025</t>
  </si>
  <si>
    <t>KIT DE PORTA DE MADEIRA FRISADA, SEMI-OCA (LEVE OU MÉDIA), PADRÃO POPULAR, 60X210CM, ESPESSURA DE 3CM, ITENS INCLUSOS: DOBRADIÇAS, MONTAGEM E INSTALAÇÃO DO BATENTE, SEM FECHADURA - FORNECIMENTO E INSTALAÇÃO. AF_10/2025</t>
  </si>
  <si>
    <t>KIT DE PORTA DE MADEIRA FRISADA, SEMI-OCA (LEVE OU MÉDIA), PADRÃO POPULAR, 70X210CM, ESPESSURA DE 3CM, ITENS INCLUSOS: DOBRADIÇAS, MONTAGEM E INSTALAÇÃO DE BATENTE, FECHADURA COM EXECUÇÃO DO FURO - FORNECIMENTO E INSTALAÇÃO. AF_10/2025</t>
  </si>
  <si>
    <t>KIT DE PORTA DE MADEIRA FRISADA, SEMI-OCA (LEVE OU MÉDIA), PADRÃO POPULAR, 70X210CM, ESPESSURA DE 3CM, ITENS INCLUSOS: DOBRADIÇAS, MONTAGEM E INSTALAÇÃO DO BATENTE, SEM FECHADURA - FORNECIMENTO E INSTALAÇÃO. AF_10/2025</t>
  </si>
  <si>
    <t>KIT DE PORTA DE MADEIRA FRISADA, SEMI-OCA (LEVE OU MÉDIA), PADRÃO POPULAR, 80X210CM, ESPESSURA DE 3,5CM, ITENS INCLUSOS: DOBRADIÇAS, MONTAGEM E INSTALAÇÃO DE BATENTE, FECHADURA COM EXECUÇÃO DO FURO - FORNECIMENTO E INSTALAÇÃO. AF_10/2025</t>
  </si>
  <si>
    <t>KIT DE PORTA DE MADEIRA FRISADA, SEMI-OCA (LEVE OU MÉDIA), PADRÃO POPULAR, 80X210CM, ESPESSURA DE 3,5CM, ITENS INCLUSOS: DOBRADIÇAS, MONTAGEM E INSTALAÇÃO DO BATENTE, SEM FECHADURA - FORNECIMENTO E INSTALAÇÃO. AF_10/2025</t>
  </si>
  <si>
    <t>KIT DE PORTA DE MADEIRA PARA PINTURA, MACIÇA (PESADA OU SUPERPESADA), PADRÃO MÉDIO, 80X210CM, ESPESSURA DE 3,5CM, ITENS INCLUSOS: DOBRADIÇAS, MONTAGEM E INSTALAÇÃO DO BATENTE, FECHADURA COM EXECUÇÃO DO FURO - FORNECIMENTO E INSTALAÇÃO. AF_10/2025</t>
  </si>
  <si>
    <t>KIT DE PORTA DE MADEIRA PARA PINTURA, MACIÇA (PESADA OU SUPERPESADA), PADRÃO MÉDIO, 90X210CM, ESPESSURA DE 3,5CM, ITENS INCLUSOS: DOBRADIÇAS, MONTAGEM E INSTALAÇÃO DO BATENTE, FECHADURA COM EXECUÇÃO DO FURO - FORNECIMENTO E INSTALAÇÃO. AF_10/2025</t>
  </si>
  <si>
    <t>KIT DE PORTA DE MADEIRA PARA PINTURA, MACIÇA (PESADA OU SUPERPESADA), PADRÃO POPULAR, 80X210CM, ESPESSURA DE 3,5CM, ITENS INCLUSOS: DOBRADIÇAS, MONTAGEM E INSTALAÇÃO DO BATENTE, FECHADURA COM EXECUÇÃO DO FURO - FORNECIMENTO E INSTALAÇÃO. AF_10/2025</t>
  </si>
  <si>
    <t>KIT DE PORTA DE MADEIRA PARA PINTURA, MACIÇA (PESADA OU SUPERPESADA), PADRÃO POPULAR, 90X210CM, ESPESSURA DE 3,5CM, ITENS INCLUSOS: DOBRADIÇAS, MONTAGEM E INSTALAÇÃO DO BATENTE, FECHADURA COM EXECUÇÃO DO FURO - FORNECIMENTO E INSTALAÇÃO. AF_10/2025</t>
  </si>
  <si>
    <t>KIT DE PORTA DE MADEIRA PARA PINTURA, SEMI-OCA (LEVE OU MÉDIA), PADRÃO MÉDIO, 60X210CM, ESPESSURA DE 3,5CM, ITENS INCLUSOS: DOBRADIÇAS, MONTAGEM E INSTALAÇÃO DO BATENTE, FECHADURA COM EXECUÇÃO DO FURO - FORNECIMENTO E INSTALAÇÃO. AF_10/2025</t>
  </si>
  <si>
    <t>KIT DE PORTA DE MADEIRA PARA PINTURA, SEMI-OCA (LEVE OU MÉDIA), PADRÃO MÉDIO, 60X210CM, ESPESSURA DE 3,5CM, ITENS INCLUSOS: DOBRADIÇAS, MONTAGEM E INSTALAÇÃO DO BATENTE, SEM FECHADURA - FORNECIMENTO E INSTALAÇÃO. AF_10/2025</t>
  </si>
  <si>
    <t>KIT DE PORTA DE MADEIRA PARA PINTURA, SEMI-OCA (LEVE OU MÉDIA), PADRÃO MÉDIO, 70X210CM, ESPESSURA DE 3,5CM, ITENS INCLUSOS: DOBRADIÇAS, MONTAGEM E INSTALAÇÃO DO BATENTE, FECHADURA COM EXECUÇÃO DO FURO - FORNECIMENTO E INSTALAÇÃO. AF_10/2025</t>
  </si>
  <si>
    <t>KIT DE PORTA DE MADEIRA PARA PINTURA, SEMI-OCA (LEVE OU MÉDIA), PADRÃO MÉDIO, 70X210CM, ESPESSURA DE 3,5CM, ITENS INCLUSOS: DOBRADIÇAS, MONTAGEM E INSTALAÇÃO DO BATENTE, SEM FECHADURA - FORNECIMENTO E INSTALAÇÃO. AF_10/2025</t>
  </si>
  <si>
    <t>KIT DE PORTA DE MADEIRA PARA PINTURA, SEMI-OCA (LEVE OU MÉDIA), PADRÃO MÉDIO, 80X210CM, ESPESSURA DE 3,5CM, ITENS INCLUSOS: DOBRADIÇAS, MONTAGEM E INSTALAÇÃO DO BATENTE, FECHADURA COM EXECUÇÃO DO FURO - FORNECIMENTO E INSTALAÇÃO. AF_10/2025</t>
  </si>
  <si>
    <t>KIT DE PORTA DE MADEIRA PARA PINTURA, SEMI-OCA (LEVE OU MÉDIA), PADRÃO MÉDIO, 80X210CM, ESPESSURA DE 3,5CM, ITENS INCLUSOS: DOBRADIÇAS, MONTAGEM E INSTALAÇÃO DO BATENTE, SEM FECHADURA - FORNECIMENTO E INSTALAÇÃO. AF_10/2025</t>
  </si>
  <si>
    <t>KIT DE PORTA DE MADEIRA PARA PINTURA, SEMI-OCA (LEVE OU MÉDIA), PADRÃO MÉDIO, 90X210CM, ESPESSURA DE 3,5CM, ITENS INCLUSOS: DOBRADIÇAS, MONTAGEM E INSTALAÇÃO DO BATENTE, FECHADURA COM EXECUÇÃO DO FURO - FORNECIMENTO E INSTALAÇÃO. AF_10/2025</t>
  </si>
  <si>
    <t>KIT DE PORTA DE MADEIRA PARA PINTURA, SEMI-OCA (LEVE OU MÉDIA), PADRÃO MÉDIO, 90X210CM, ESPESSURA DE 3,5CM, ITENS INCLUSOS: DOBRADIÇAS, MONTAGEM E INSTALAÇÃO DO BATENTE, SEM FECHADURA - FORNECIMENTO E INSTALAÇÃO. AF_10/2025</t>
  </si>
  <si>
    <t>KIT DE PORTA DE MADEIRA PARA PINTURA, SEMI-OCA (LEVE OU MÉDIA), PADRÃO POPULAR, 60X210CM, ESPESSURA DE 3,5CM, ITENS INCLUSOS: DOBRADIÇAS, MONTAGEM E INSTALAÇÃO DO BATENTE, FECHADURA COM EXECUÇÃO DO FURO - FORNECIMENTO E INSTALAÇÃO. AF_10/2025</t>
  </si>
  <si>
    <t>KIT DE PORTA DE MADEIRA PARA PINTURA, SEMI-OCA (LEVE OU MÉDIA), PADRÃO POPULAR, 60X210CM, ESPESSURA DE 3,5CM, ITENS INCLUSOS: DOBRADIÇAS, MONTAGEM E INSTALAÇÃO DO BATENTE, SEM FECHADURA - FORNECIMENTO E INSTALAÇÃO. AF_10/2025</t>
  </si>
  <si>
    <t>KIT DE PORTA DE MADEIRA PARA PINTURA, SEMI-OCA (LEVE OU MÉDIA), PADRÃO POPULAR, 70X210CM, ESPESSURA DE 3,5CM, ITENS INCLUSOS: DOBRADIÇAS, MONTAGEM E INSTALAÇÃO DO BATENTE, FECHADURA COM EXECUÇÃO DO FURO - FORNECIMENTO E INSTALAÇÃO. AF_10/2025</t>
  </si>
  <si>
    <t>KIT DE PORTA DE MADEIRA PARA PINTURA, SEMI-OCA (LEVE OU MÉDIA), PADRÃO POPULAR, 70X210CM, ESPESSURA DE 3,5CM, ITENS INCLUSOS: DOBRADIÇAS, MONTAGEM E INSTALAÇÃO DO BATENTE, SEM FECHADURA - FORNECIMENTO E INSTALAÇÃO. AF_10/2025</t>
  </si>
  <si>
    <t>KIT DE PORTA DE MADEIRA PARA PINTURA, SEMI-OCA (LEVE OU MÉDIA), PADRÃO POPULAR, 80X210CM, ESPESSURA DE 3,5CM, ITENS INCLUSOS: DOBRADIÇAS, MONTAGEM E INSTALAÇÃO DO BATENTE, FECHADURA COM EXECUÇÃO DO FURO - FORNECIMENTO E INSTALAÇÃO. AF_10/2025</t>
  </si>
  <si>
    <t>KIT DE PORTA DE MADEIRA PARA PINTURA, SEMI-OCA (LEVE OU MÉDIA), PADRÃO POPULAR, 80X210CM, ESPESSURA DE 3,5CM, ITENS INCLUSOS: DOBRADIÇAS, MONTAGEM E INSTALAÇÃO DO BATENTE, SEM FECHADURA - FORNECIMENTO E INSTALAÇÃO. AF_10/2025</t>
  </si>
  <si>
    <t>KIT DE PORTA DE MADEIRA PARA PINTURA, SEMI-OCA (LEVE OU MÉDIA), PADRÃO POPULAR, 90X210CM, ESPESSURA DE 3,5CM, ITENS INCLUSOS: DOBRADIÇAS, MONTAGEM E INSTALAÇÃO DO BATENTE, FECHADURA COM EXECUÇÃO DO FURO - FORNECIMENTO E INSTALAÇÃO. AF_10/2025</t>
  </si>
  <si>
    <t>KIT DE PORTA DE MADEIRA PARA PINTURA, SEMI-OCA (LEVE OU MÉDIA), PADRÃO POPULAR, 90X210CM, ESPESSURA DE 3,5CM, ITENS INCLUSOS: DOBRADIÇAS, MONTAGEM E INSTALAÇÃO DO BATENTE, SEM FECHADURA - FORNECIMENTO E INSTALAÇÃO. AF_10/2025</t>
  </si>
  <si>
    <t>KIT DE PORTA DE MADEIRA PARA PINTURA, SEMI-OCA (PESADA OU SUPERPESADA), PADRÃO MÉDIO, 80X210CM, ESPESSURA DE 3,5CM, ITENS INCLUSOS: DOBRADIÇAS, MONTAGEM E INSTALAÇÃO DO BATENTE, SEM FECHADURA - FORNECIMENTO E INSTALAÇÃO. AF_10/2025</t>
  </si>
  <si>
    <t>KIT DE PORTA DE MADEIRA PARA PINTURA, SEMI-OCA (PESADA OU SUPERPESADA), PADRÃO MÉDIO, 90X210CM, ESPESSURA DE 3,5CM, ITENS INCLUSOS: DOBRADIÇAS, MONTAGEM E INSTALAÇÃO DO BATENTE, SEM FECHADURA - FORNECIMENTO E INSTALAÇÃO. AF_10/2025</t>
  </si>
  <si>
    <t>KIT DE PORTA DE MADEIRA PARA PINTURA, SEMI-OCA (PESADA OU SUPERPESADA), PADRÃO POPULAR, 80X210CM, ESPESSURA DE 3,5CM, ITENS INCLUSOS: DOBRADIÇAS, MONTAGEM E INSTALAÇÃO DO BATENTE, SEM FECHADURA - FORNECIMENTO E INSTALAÇÃO. AF_10/2025</t>
  </si>
  <si>
    <t>KIT DE PORTA DE MADEIRA PARA PINTURA, SEMI-OCA (PESADA OU SUPERPESADA), PADRÃO POPULAR, 90X210CM, ESPESSURA DE 3,5CM, ITENS INCLUSOS: DOBRADIÇAS, MONTAGEM E INSTALAÇÃO DO BATENTE, SEM FECHADURA - FORNECIMENTO E INSTALAÇÃO. AF_10/2025</t>
  </si>
  <si>
    <t>KIT DE PORTA DE MADEIRA PARA VERNIZ, SEMI-OCA (LEVE OU MÉDIA), PADRÃO MÉDIO, 60X210CM, ESPESSURA DE 3,5CM, ITENS INCLUSOS: DOBRADIÇAS, MONTAGEM E INSTALAÇÃO DE BATENTE, FECHADURA COM EXECUÇÃO DO FURO - FORNECIMENTO E INSTALAÇÃO. AF_10/2025</t>
  </si>
  <si>
    <t>KIT DE PORTA DE MADEIRA PARA VERNIZ, SEMI-OCA (LEVE OU MÉDIA), PADRÃO MÉDIO, 60X210CM, ESPESSURA DE 3,5CM, ITENS INCLUSOS: DOBRADIÇAS, MONTAGEM E INSTALAÇÃO DO BATENTE, SEM FECHADURA - FORNECIMENTO E INSTALAÇÃO. AF_10/2025</t>
  </si>
  <si>
    <t>KIT DE PORTA DE MADEIRA PARA VERNIZ, SEMI-OCA (LEVE OU MÉDIA), PADRÃO MÉDIO, 70X210CM, ESPESSURA DE 3,5CM, ITENS INCLUSOS: DOBRADIÇAS, MONTAGEM E INSTALAÇÃO DE BATENTE, FECHADURA COM EXECUÇÃO DO FURO - FORNECIMENTO E INSTALAÇÃO. AF_10/2025</t>
  </si>
  <si>
    <t>KIT DE PORTA DE MADEIRA PARA VERNIZ, SEMI-OCA (LEVE OU MÉDIA), PADRÃO MÉDIO, 70X210CM, ESPESSURA DE 3,5CM, ITENS INCLUSOS: DOBRADIÇAS, MONTAGEM E INSTALAÇÃO DO BATENTE, SEM FECHADURA - FORNECIMENTO E INSTALAÇÃO. AF_10/2025</t>
  </si>
  <si>
    <t>KIT DE PORTA DE MADEIRA PARA VERNIZ, SEMI-OCA (LEVE OU MÉDIA), PADRÃO MÉDIO, 80X210CM, ESPESSURA DE 3,5CM, ITENS INCLUSOS: DOBRADIÇAS, MONTAGEM E INSTALAÇÃO DE BATENTE, FECHADURA COM EXECUÇÃO DO FURO - FORNECIMENTO E INSTALAÇÃO. AF_10/2025</t>
  </si>
  <si>
    <t>KIT DE PORTA DE MADEIRA PARA VERNIZ, SEMI-OCA (LEVE OU MÉDIA), PADRÃO MÉDIO, 80X210CM, ESPESSURA DE 3,5CM, ITENS INCLUSOS: DOBRADIÇAS, MONTAGEM E INSTALAÇÃO DO BATENTE, SEM FECHADURA - FORNECIMENTO E INSTALAÇÃO. AF_10/2025</t>
  </si>
  <si>
    <t>KIT DE PORTA DE MADEIRA PARA VERNIZ, SEMI-OCA (LEVE OU MÉDIA), PADRÃO MÉDIO, 90X210CM, ESPESSURA DE 3,5CM, ITENS INCLUSOS: DOBRADIÇAS, MONTAGEM E INSTALAÇÃO DE BATENTE, FECHADURA COM EXECUÇÃO DO FURO - FORNECIMENTO E INSTALAÇÃO. AF_10/2025</t>
  </si>
  <si>
    <t>KIT DE PORTA DE MADEIRA PARA VERNIZ, SEMI-OCA (LEVE OU MÉDIA), PADRÃO MÉDIO, 90X210CM, ESPESSURA DE 3,5CM, ITENS INCLUSOS: DOBRADIÇAS, MONTAGEM E INSTALAÇÃO DO BATENTE, SEM FECHADURA - FORNECIMENTO E INSTALAÇÃO. AF_10/2025</t>
  </si>
  <si>
    <t>KIT DE PORTA DE MADEIRA PARA VERNIZ, SEMI-OCA (LEVE OU MÉDIA), PADRÃO POPULAR, 60X210CM, ESPESSURA DE 3,5CM, ITENS INCLUSOS: DOBRADIÇAS, MONTAGEM E INSTALAÇÃO DE BATENTE, FECHADURA COM EXECUÇÃO DO FURO - FORNECIMENTO E INSTALAÇÃO. AF_10/2025</t>
  </si>
  <si>
    <t>KIT DE PORTA DE MADEIRA PARA VERNIZ, SEMI-OCA (LEVE OU MÉDIA), PADRÃO POPULAR, 60X210CM, ESPESSURA DE 3,5CM, ITENS INCLUSOS: DOBRADIÇAS, MONTAGEM E INSTALAÇÃO DO BATENTE, SEM FECHADURA - FORNECIMENTO E INSTALAÇÃO. AF_10/2025</t>
  </si>
  <si>
    <t>KIT DE PORTA DE MADEIRA PARA VERNIZ, SEMI-OCA (LEVE OU MÉDIA), PADRÃO POPULAR, 70X210CM, ESPESSURA DE 3,5CM, ITENS INCLUSOS: DOBRADIÇAS, MONTAGEM E INSTALAÇÃO DE BATENTE, FECHADURA COM EXECUÇÃO DO FURO - FORNECIMENTO E INSTALAÇÃO. AF_10/2025</t>
  </si>
  <si>
    <t>KIT DE PORTA DE MADEIRA PARA VERNIZ, SEMI-OCA (LEVE OU MÉDIA), PADRÃO POPULAR, 70X210CM, ESPESSURA DE 3,5CM, ITENS INCLUSOS: DOBRADIÇAS, MONTAGEM E INSTALAÇÃO DO BATENTE, SEM FECHADURA - FORNECIMENTO E INSTALAÇÃO. AF_10/2025</t>
  </si>
  <si>
    <t>KIT DE PORTA DE MADEIRA PARA VERNIZ, SEMI-OCA (LEVE OU MÉDIA), PADRÃO POPULAR, 80X210CM, ESPESSURA DE 3,5CM, ITENS INCLUSOS: DOBRADIÇAS, MONTAGEM E INSTALAÇÃO DE BATENTE, FECHADURA COM EXECUÇÃO DO FURO - FORNECIMENTO E INSTALAÇÃO. AF_10/2025</t>
  </si>
  <si>
    <t>KIT DE PORTA DE MADEIRA PARA VERNIZ, SEMI-OCA (LEVE OU MÉDIA), PADRÃO POPULAR, 80X210CM, ESPESSURA DE 3,5CM, ITENS INCLUSOS: DOBRADIÇAS, MONTAGEM E INSTALAÇÃO DO BATENTE, SEM FECHADURA - FORNECIMENTO E INSTALAÇÃO. AF_10/2025</t>
  </si>
  <si>
    <t>KIT DE PORTA DE MADEIRA PARA VERNIZ, SEMI-OCA (LEVE OU MÉDIA), PADRÃO POPULAR, 90X210CM, ESPESSURA DE 3,5CM, ITENS INCLUSOS: DOBRADIÇAS, MONTAGEM E INSTALAÇÃO DE BATENTE, FECHADURA COM EXECUÇÃO DO FURO - FORNECIMENTO E INSTALAÇÃO. AF_10/2025</t>
  </si>
  <si>
    <t>KIT DE PORTA DE MADEIRA PARA VERNIZ, SEMI-OCA (LEVE OU MÉDIA), PADRÃO POPULAR, 90X210CM, ESPESSURA DE 3,5CM, ITENS INCLUSOS: DOBRADIÇAS, MONTAGEM E INSTALAÇÃO DO BATENTE, SEM FECHADURA - FORNECIMENTO E INSTALAÇÃO. AF_10/2025</t>
  </si>
  <si>
    <t>KIT DE PORTA DE MADEIRA TIPO MEXICANA, MACIÇA (PESADA OU SUPERPESADA), PADRÃO MÉDIO, 80X210CM, ESPESSURA DE 3,5CM, ITENS INCLUSOS: DOBRADIÇAS, MONTAGEM E INSTALAÇÃO DE BATENTE, FECHADURA COM EXECUÇÃO DO FURO - FORNECIMENTO E INSTALAÇÃO. AF_10/2025</t>
  </si>
  <si>
    <t>KIT DE PORTA DE MADEIRA TIPO MEXICANA, MACIÇA (PESADA OU SUPERPESADA), PADRÃO MÉDIO, 80X210CM, ESPESSURA DE 3,5CM, ITENS INCLUSOS: DOBRADIÇAS, MONTAGEM E INSTALAÇÃO DO BATENTE, SEM FECHADURA - FORNECIMENTO E INSTALAÇÃO. AF_10/2025</t>
  </si>
  <si>
    <t>KIT DE PORTA DE MADEIRA TIPO MEXICANA, MACIÇA (PESADA OU SUPERPESADA), PADRÃO POPULAR, 80X210CM, ESPESSURA DE 3,5CM, ITENS INCLUSOS: DOBRADIÇAS, MONTAGEM E INSTALAÇÃO DE BATENTE, FECHADURA COM EXECUÇÃO DO FURO - FORNECIMENTO E INSTALAÇÃO. AF_10/2025</t>
  </si>
  <si>
    <t>KIT DE PORTA DE MADEIRA TIPO MEXICANA, MACIÇA (PESADA OU SUPERPESADA), PADRÃO POPULAR, 80X210CM, ESPESSURA DE 3,5CM, ITENS INCLUSOS: DOBRADIÇAS, MONTAGEM E INSTALAÇÃO DO BATENTE, SEM FECHADURA - FORNECIMENTO E INSTALAÇÃO. AF_10/2025</t>
  </si>
  <si>
    <t>KIT DE PORTA DE MADEIRA TIPO VENEZIANA, 80X210CM (ESPESSURA DE 3CM), PADRÃO MÉDIO, ITENS INCLUSOS: DOBRADIÇAS, MONTAGEM E INSTALAÇÃO DE BATENTE, FECHADURA COM EXECUÇÃO DO FURO - FORNECIMENTO E INSTALAÇÃO. AF_10/2025</t>
  </si>
  <si>
    <t>KIT DE PORTA DE MADEIRA TIPO VENEZIANA, 80X210CM (ESPESSURA DE 3CM), PADRÃO POPULAR, ITENS INCLUSOS: DOBRADIÇAS, MONTAGEM E INSTALAÇÃO DE BATENTE, FECHADURA COM EXECUÇÃO DO FURO - FORNECIMENTO E INSTALAÇÃO. AF_10/2025</t>
  </si>
  <si>
    <t>KIT DE PORTA DE MADEIRA TIPO VENEZIANA, PADRÃO MÉDIO, 80X210CM, ESPESSURA DE 3CM, ITENS INCLUSOS: DOBRADIÇAS, MONTAGEM E INSTALAÇÃO DO BATENTE, SEM FECHADURA - FORNECIMENTO E INSTALAÇÃO. AF_10/2025</t>
  </si>
  <si>
    <t>KIT DE PORTA DE MADEIRA TIPO VENEZIANA, PADRÃO POPULAR, 80X210CM, ESPESSURA DE 3CM, ITENS INCLUSOS: DOBRADIÇAS, MONTAGEM E INSTALAÇÃO DO BATENTE, SEM FECHADURA - FORNECIMENTO E INSTALAÇÃO. AF_10/2025</t>
  </si>
  <si>
    <t>KIT DE PORTA-PRONTA DE MADEIRA EM ACABAMENTO MELAMÍNICO BRANCO, FOLHA LEVE OU MÉDIA, 60X210CM, EXCLUSIVE FECHADURA, FIXAÇÃO COM PREENCHIMENTO PARCIAL DE ESPUMA EXPANSIVA - FORNECIMENTO E INSTALAÇÃO. AF_10/2025</t>
  </si>
  <si>
    <t>KIT DE PORTA-PRONTA DE MADEIRA EM ACABAMENTO MELAMÍNICO BRANCO, FOLHA LEVE OU MÉDIA, 70X210CM, EXCLUSIVE FECHADURA, FIXAÇÃO COM PREENCHIMENTO PARCIAL DE ESPUMA EXPANSIVA - FORNECIMENTO E INSTALAÇÃO. AF_10/2025</t>
  </si>
  <si>
    <t>KIT DE PORTA-PRONTA DE MADEIRA EM ACABAMENTO MELAMÍNICO BRANCO, FOLHA LEVE OU MÉDIA, 80X210CM, EXCLUSIVE FECHADURA, FIXAÇÃO COM PREENCHIMENTO PARCIAL DE ESPUMA EXPANSIVA - FORNECIMENTO E INSTALAÇÃO. AF_10/2025</t>
  </si>
  <si>
    <t>KIT DE PORTA-PRONTA DE MADEIRA EM ACABAMENTO MELAMÍNICO BRANCO, FOLHA LEVE OU MÉDIA, 90X210, EXCLUSIVE FECHADURA, FIXAÇÃO COM PREENCHIMENTO TOTAL DE ESPUMA EXPANSIVA - FORNECIMENTO E INSTALAÇÃO. AF_10/2025</t>
  </si>
  <si>
    <t>KIT DE PORTA-PRONTA DE MADEIRA EM ACABAMENTO MELAMÍNICO BRANCO, FOLHA LEVE OU MÉDIA, E BATENTE METÁLICO, 60X210CM, FIXAÇÃO COM ARGAMASSA - FORNECIMENTO E INSTALAÇÃO. AF_10/2025</t>
  </si>
  <si>
    <t>KIT DE PORTA-PRONTA DE MADEIRA EM ACABAMENTO MELAMÍNICO BRANCO, FOLHA LEVE OU MÉDIA, E BATENTE METÁLICO, 80X210CM, FIXAÇÃO COM ARGAMASSA - FORNECIMENTO E INSTALAÇÃO. AF_10/2025</t>
  </si>
  <si>
    <t>KIT DE PORTA-PRONTA DE MADEIRA EM ACABAMENTO MELAMÍNICO BRANCO, FOLHA LEVE OU MÉDIA, E BATENTE METÁLICO, 90X210CM, FIXAÇÃO COM ARGAMASSA - FORNECIMENTO E INSTALAÇÃO. AF_10/2025</t>
  </si>
  <si>
    <t>KIT DE PORTA-PRONTA DE MADEIRA EM ACABAMENTO MELAMÍNICO BRANCO, FOLHA PESADA OU SUPERPESADA, 80X210CM, FIXAÇÃO COM PREENCHIMENTO PARCIAL DE ESPUMA EXPANSIVA - FORNECIMENTO E INSTALAÇÃO. AF_10/2025</t>
  </si>
  <si>
    <t>KIT DE PORTA-PRONTA DE MADEIRA EM ACABAMENTO MELAMÍNICO BRANCO, FOLHA PESADA OU SUPERPESADA, 90X210CM, FIXAÇÃO COM PREENCHIMENTO TOTAL DE ESPUMA EXPANSIVA - FORNECIMENTO E INSTALAÇÃO. AF_10/2025</t>
  </si>
  <si>
    <t>KIT DE PORTA-PRONTA DE MADEIRA EM ACABAMENTO MELAMÍNICO BRANCO, FOLHA PESADA OU SUPERPESADA, E BATENTE METÁLICO, 80X210CM, FIXAÇÃO COM ARGAMASSA - FORNECIMENTO E INSTALAÇÃO. AF_10/2025</t>
  </si>
  <si>
    <t>KIT DE PORTA-PRONTA DE MADEIRA EM ACABAMENTO MELAMÍNICO BRANCO, FOLHA PESADA OU SUPERPESADA, E BATENTE METÁLICO, 90X210CM, FIXAÇÃO COM ARGAMASSA - FORNECIMENTO E INSTALAÇÃO. AF_10/2025</t>
  </si>
  <si>
    <t>PORTA CADEADO ZINCADO OXIDADO PRETO COM CADEADO DE AÇO INOX, LARGURA DE *50* MM. AF_10/2025</t>
  </si>
  <si>
    <t>PORTA CORTA-FOGO 90X210X5CM - FORNECIMENTO E INSTALAÇÃO. AF_10/2025</t>
  </si>
  <si>
    <t>PORTA DE ALUMÍNIO DE ABRIR PARA VIDRO SEM GUARNIÇÃO, 87X210CM, FIXAÇÃO COM PARAFUSOS, INCLUSIVE VIDROS - FORNECIMENTO E INSTALAÇÃO. AF_10/2025</t>
  </si>
  <si>
    <t>PORTA DE ALUMÍNIO DE ABRIR, P/ VIDRO, C/ GUARNIÇÃO, 87X210CM, FIXAÇÃO COM ARGAMASSA. AF_10/2025</t>
  </si>
  <si>
    <t>PORTA DE AÇO DE ABRIR, P/ VIDRO, C/ GUARNIÇÃO, 90X210CM, FIXAÇÃO COM ARGAMASSA. AF_10/2025</t>
  </si>
  <si>
    <t>PORTA DE CORRER DE ALUMÍNIO, COM DUAS FOLHAS PARA VIDRO, INCLUSO VIDRO LISO INCOLOR, FECHADURA E PUXADOR, SEM ALIZAR. AF_10/2025</t>
  </si>
  <si>
    <t>PORTA DE FERRO, DE ABRIR, TIPO GRADE COM CHAPA, COM GUARNIÇÕES. AF_10/2025</t>
  </si>
  <si>
    <t>PORTA DE MADEIRA COMPENSADA LISA PARA PINTURA, 120X210X3,5CM, 2 FOLHAS, INCLUSO ADUELA 2A, ALIZAR 2A E DOBRADIÇAS. AF_10/2025</t>
  </si>
  <si>
    <t>PORTA DE MADEIRA FRISADA, SEMI-OCA (LEVE OU MÉDIA), 60X210CM, ESPESSURA DE 3,5CM, INCLUSO DOBRADIÇAS - FORNECIMENTO E INSTALAÇÃO. AF_10/2025</t>
  </si>
  <si>
    <t>PORTA DE MADEIRA FRISADA, SEMI-OCA (LEVE OU MÉDIA), 70X210CM, ESPESSURA DE 3,5CM, INCLUSO DOBRADIÇAS - FORNECIMENTO E INSTALAÇÃO. AF_10/2025</t>
  </si>
  <si>
    <t>PORTA DE MADEIRA FRISADA, SEMI-OCA (LEVE OU MÉDIA), 80X210CM, ESPESSURA DE 3,5CM, INCLUSO DOBRADIÇAS - FORNECIMENTO E INSTALAÇÃO. AF_10/2025</t>
  </si>
  <si>
    <t>PORTA DE MADEIRA PARA PINTURA, SEMI-OCA (LEVE OU MÉDIA), 60X210CM, ESPESSURA DE 3,5CM, INCLUSO DOBRADIÇAS - FORNECIMENTO E INSTALAÇÃO. AF_10/2025</t>
  </si>
  <si>
    <t>PORTA DE MADEIRA PARA PINTURA, SEMI-OCA (LEVE OU MÉDIA), 70X210CM, ESPESSURA DE 3,5CM, INCLUSO DOBRADIÇAS - FORNECIMENTO E INSTALAÇÃO. AF_10/2025</t>
  </si>
  <si>
    <t>PORTA DE MADEIRA PARA PINTURA, SEMI-OCA (LEVE OU MÉDIA), 80X210CM, ESPESSURA DE 3,5CM, INCLUSO DOBRADIÇAS - FORNECIMENTO E INSTALAÇÃO. AF_10/2025</t>
  </si>
  <si>
    <t>PORTA DE MADEIRA PARA PINTURA, SEMI-OCA (LEVE OU MÉDIA), 90X210CM, ESPESSURA DE 3,5CM, INCLUSO DOBRADIÇAS - FORNECIMENTO E INSTALAÇÃO. AF_10/2025</t>
  </si>
  <si>
    <t>PORTA DE MADEIRA PARA PINTURA, SEMI-OCA (PESADA OU SUPERPESADA), 80X210CM, ESPESSURA DE 4,0CM, INCLUSO DOBRADIÇAS - FORNECIMENTO E INSTALAÇÃO. AF_10/2025</t>
  </si>
  <si>
    <t>PORTA DE MADEIRA PARA VERNIZ, SEMI-OCA (LEVE OU MÉDIA), 60X210CM, ESPESSURA DE 3,5CM, INCLUSO DOBRADIÇAS - FORNECIMENTO E INSTALAÇÃO. AF_10/2025</t>
  </si>
  <si>
    <t>PORTA DE MADEIRA PARA VERNIZ, SEMI-OCA (LEVE OU MÉDIA), 70X210CM, ESPESSURA DE 3,5CM, INCLUSO DOBRADIÇAS - FORNECIMENTO E INSTALAÇÃO. AF_10/2025</t>
  </si>
  <si>
    <t>PORTA DE MADEIRA PARA VERNIZ, SEMI-OCA (LEVE OU MÉDIA), 80X210CM, ESPESSURA DE 3,5CM, INCLUSO DOBRADIÇAS - FORNECIMENTO E INSTALAÇÃO. AF_10/2025</t>
  </si>
  <si>
    <t>PORTA DE MADEIRA PARA VERNIZ, SEMI-OCA (LEVE OU MÉDIA), 90X210CM, ESPESSURA DE 3,5CM, INCLUSO DOBRADIÇAS - FORNECIMENTO E INSTALAÇÃO. AF_10/2025</t>
  </si>
  <si>
    <t>PORTA DE MADEIRA TIPO VENEZIANA, 80X210CM, ESPESSURA DE 3CM, INCLUSO DOBRADIÇAS - FORNECIMENTO E INSTALAÇÃO. AF_10/2025</t>
  </si>
  <si>
    <t>PORTA DE MADEIRA, MACIÇA (PESADA OU SUPERPESADA), 90X210CM, ESPESSURA DE 4,0CM, INCLUSO DOBRADIÇAS - FORNECIMENTO E INSTALAÇÃO. AF_10/2025</t>
  </si>
  <si>
    <t>PORTA DE MADEIRA, TIPO MEXICANA, MACIÇA (PESADA OU SUPERPESADA), 70X210CM, ESPESSURA DE 3,5CM, INCLUSO DOBRADIÇAS - FORNECIMENTO E INSTALAÇÃO. AF_10/2025</t>
  </si>
  <si>
    <t>PORTA EM ALUMÍNIO DE ABRIR TIPO VENEZIANA COM GUARNIÇÃO, FIXAÇÃO COM PARAFUSOS - FORNECIMENTO E INSTALAÇÃO. AF_10/2025</t>
  </si>
  <si>
    <t>PORTA EM AÇO DE ABRIR PARA VIDRO SEM GUARNIÇÃO, 90X210CM, FIXAÇÃO COM PARAFUSOS, EXCLUSIVE VIDROS - FORNECIMENTO E INSTALAÇÃO. AF_10/2025</t>
  </si>
  <si>
    <t>PORTA EM AÇO DE ABRIR TIPO VENEZIANA SEM GUARNIÇÃO, 90X210CM, FIXAÇÃO COM PARAFUSOS - FORNECIMENTO E INSTALAÇÃO. AF_10/2025</t>
  </si>
  <si>
    <t>PORTA-PRONTA DE MADEIRA, FOLHA LEVE OU MÉDIA, 70X210CM, FIXAÇÃO COM PREENCHIMENTO TOTAL DE ESPUMA EXPANSIVA - FORNECIMENTO E INSTALAÇÃO. AF_10/2025</t>
  </si>
  <si>
    <t>PORTA-PRONTA DE MADEIRA, FOLHA LEVE OU MÉDIA, 80X210CM, FIXAÇÃO COM PREENCHIMENTO TOTAL DE ESPUMA EXPANSIVA - FORNECIMENTO E INSTALAÇÃO. AF_10/2025</t>
  </si>
  <si>
    <t>PORTA-PRONTA DE MADEIRA, FOLHA PESADA OU SUPERPESADA, 80X210CM, FIXAÇÃO COM PREENCHIMENTO TOTAL DE ESPUMA EXPANSIVA - FORNECIMENTO E INSTALAÇÃO. AF_10/2025</t>
  </si>
  <si>
    <t>PUXADOR CENTRAL PARA ESQUADRIA DE MADEIRA. AF_10/2025</t>
  </si>
  <si>
    <t>RECOLOCACAO DE FOLHAS DE PORTA DE MADEIRA PESADA OU SUPER PESADA DE 90 CM DE LARGURA, CONSIDERANDO REAPROVEITAMENTO DO MATERIAL. AF_10/2025</t>
  </si>
  <si>
    <t>RECOLOCAÇÃO DE FOLHAS DE PORTA DE MADEIRA LEVE OU MÉDIA DE 60CM DE LARGURA, CONSIDERANDO REAPROVEITAMENTO DO MATERIAL. AF_10/2025</t>
  </si>
  <si>
    <t>RECOLOCAÇÃO DE FOLHAS DE PORTA DE MADEIRA LEVE OU MÉDIA DE 70CM DE LARGURA, CONSIDERANDO REAPROVEITAMENTO DO MATERIAL. AF_10/2025</t>
  </si>
  <si>
    <t>RECOLOCAÇÃO DE FOLHAS DE PORTA DE MADEIRA LEVE OU MÉDIA DE 80CM DE LARGURA, CONSIDERANDO REAPROVEITAMENTO DO MATERIAL. AF_10/2025</t>
  </si>
  <si>
    <t>RECOLOCAÇÃO DE FOLHAS DE PORTA DE MADEIRA LEVE OU MÉDIA DE 90CM DE LARGURA, CONSIDERANDO REAPROVEITAMENTO DO MATERIAL. AF_10/2025</t>
  </si>
  <si>
    <t>RECOLOCAÇÃO DE FOLHAS DE PORTA DE MADEIRA PESADA OU SUPERPESADA DE 80CM DE LARGURA, CONSIDERANDO REAPROVEITAMENTO DO MATERIAL. AF_10/2025</t>
  </si>
  <si>
    <t>TARJETA TIPO LIVRE/OCUPADO PARA PORTA DE BANHEIRO. AF_10/2025</t>
  </si>
  <si>
    <t>ESTACA ESCAVADA MECANICAMENTE, SEM FLUIDO ESTABILIZANTE, COM 25 CM DE DIÂMETRO, PERFURATRIZ MONTADA SOBRE CAMINHÃO E CONCRETO FCK 25 MPA LANÇADO MANUALMENTE (EXCLUSIVE ARMADURA, MOBILIZAÇÃO E DESMOBILIZAÇÃO). AF_05/2026</t>
  </si>
  <si>
    <t>ESTACA ESCAVADA MECANICAMENTE, SEM FLUIDO ESTABILIZANTE, COM 25 CM DE DIÂMETRO, PERFURATRIZ MONTADA SOBRE CAMINHÃO E CONCRETO FCK 25 MPA LANÇADO MANUALMENTE (EXCLUSIVE MOBILIZAÇÃO E DESMOBILIZAÇÃO). AF_05/2026</t>
  </si>
  <si>
    <t>ESTACA ESCAVADA MECANICAMENTE, SEM FLUIDO ESTABILIZANTE, COM 25 CM DE DIÂMETRO, PERFURATRIZ MONTADA SOBRE CAMINHÃO E CONCRETO FCK 25 MPA LANÇADO POR CAMINHÃO BETONEIRA (EXCLUSIVE ARMADURA, MOBILIZAÇÃO E DESMOBILIZAÇÃO). AF_05/2026</t>
  </si>
  <si>
    <t>ESTACA ESCAVADA MECANICAMENTE, SEM FLUIDO ESTABILIZANTE, COM 25 CM DE DIÂMETRO, PERFURATRIZ MONTADA SOBRE CAMINHÃO E CONCRETO FCK 25 MPA LANÇADO POR CAMINHÃO BETONEIRA (EXCLUSIVE MOBILIZAÇÃO E DESMOBILIZAÇÃO). AF_05/2026</t>
  </si>
  <si>
    <t>ESTACA ESCAVADA MECANICAMENTE, SEM FLUIDO ESTABILIZANTE, COM 25 CM DE DIÂMETRO, PERFURATRIZ MONTADA SOBRE CAMINHÃO E CONCRETO FCK 40 MPA LANÇADO MANUALMENTE (EXCLUSIVE ARMADURA, MOBILIZAÇÃO E DESMOBILIZAÇÃO). AF_05/2026</t>
  </si>
  <si>
    <t>ESTACA ESCAVADA MECANICAMENTE, SEM FLUIDO ESTABILIZANTE, COM 25 CM DE DIÂMETRO, PERFURATRIZ MONTADA SOBRE CAMINHÃO E CONCRETO FCK 40 MPA LANÇADO MANUALMENTE (EXCLUSIVE MOBILIZAÇÃO E DESMOBILIZAÇÃO). AF_05/2026</t>
  </si>
  <si>
    <t>ESTACA ESCAVADA MECANICAMENTE, SEM FLUIDO ESTABILIZANTE, COM 25 CM DE DIÂMETRO, PERFURATRIZ MONTADA SOBRE CAMINHÃO E CONCRETO FCK 40 MPA LANÇADO POR CAMINHÃO BETONEIRA (EXCLUSIVE ARMADURA, MOBILIZAÇÃO E DESMOBILIZAÇÃO). AF_05/2026</t>
  </si>
  <si>
    <t>ESTACA ESCAVADA MECANICAMENTE, SEM FLUIDO ESTABILIZANTE, COM 25 CM DE DIÂMETRO, PERFURATRIZ MONTADA SOBRE CAMINHÃO E CONCRETO FCK 40 MPA LANÇADO POR CAMINHÃO BETONEIRA (EXCLUSIVE MOBILIZAÇÃO E DESMOBILIZAÇÃO). AF_05/2026</t>
  </si>
  <si>
    <t>ESTACA ESCAVADA MECANICAMENTE, SEM FLUIDO ESTABILIZANTE, COM 30 CM DE DIÂMETRO, PERFURATRIZ MONTADA SOBRE CAMINHÃO E CONCRETO FCK 25 MPA LANÇADO MANUALMENTE (EXCLUSIVE ARMADURA, MOBILIZAÇÃO E DESMOBILIZAÇÃO). AF_05/2026</t>
  </si>
  <si>
    <t>ESTACA ESCAVADA MECANICAMENTE, SEM FLUIDO ESTABILIZANTE, COM 30 CM DE DIÂMETRO, PERFURATRIZ MONTADA SOBRE CAMINHÃO E CONCRETO FCK 25 MPA LANÇADO MANUALMENTE (EXCLUSIVE MOBILIZAÇÃO E DESMOBILIZAÇÃO). AF_05/2026</t>
  </si>
  <si>
    <t>ESTACA ESCAVADA MECANICAMENTE, SEM FLUIDO ESTABILIZANTE, COM 30 CM DE DIÂMETRO, PERFURATRIZ MONTADA SOBRE CAMINHÃO E CONCRETO FCK 25 MPA LANÇADO POR CAMINHÃO BETONEIRA (EXCLUSIVE ARMADURA, MOBILIZAÇÃO E DESMOBILIZAÇÃO). AF_05/2026</t>
  </si>
  <si>
    <t>ESTACA ESCAVADA MECANICAMENTE, SEM FLUIDO ESTABILIZANTE, COM 30 CM DE DIÂMETRO, PERFURATRIZ MONTADA SOBRE CAMINHÃO E CONCRETO FCK 25 MPA LANÇADO POR CAMINHÃO BETONEIRA (EXCLUSIVE MOBILIZAÇÃO E DESMOBILIZAÇÃO). AF_05/2026</t>
  </si>
  <si>
    <t>ESTACA ESCAVADA MECANICAMENTE, SEM FLUIDO ESTABILIZANTE, COM 30 CM DE DIÂMETRO, PERFURATRIZ MONTADA SOBRE CAMINHÃO E CONCRETO FCK 40 MPA LANÇADO MANUALMENTE (EXCLUSIVE ARMADURA, MOBILIZAÇÃO E DESMOBILIZAÇÃO). AF_05/2026</t>
  </si>
  <si>
    <t>ESTACA ESCAVADA MECANICAMENTE, SEM FLUIDO ESTABILIZANTE, COM 30 CM DE DIÂMETRO, PERFURATRIZ MONTADA SOBRE CAMINHÃO E CONCRETO FCK 40 MPA LANÇADO MANUALMENTE (EXCLUSIVE MOBILIZAÇÃO E DESMOBILIZAÇÃO). AF_05/2026</t>
  </si>
  <si>
    <t>ESTACA ESCAVADA MECANICAMENTE, SEM FLUIDO ESTABILIZANTE, COM 30 CM DE DIÂMETRO, PERFURATRIZ MONTADA SOBRE CAMINHÃO E CONCRETO FCK 40 MPA LANÇADO POR CAMINHÃO BETONEIRA (EXCLUSIVE ARMADURA, MOBILIZAÇÃO E DESMOBILIZAÇÃO). AF_05/2026</t>
  </si>
  <si>
    <t>ESTACA ESCAVADA MECANICAMENTE, SEM FLUIDO ESTABILIZANTE, COM 30 CM DE DIÂMETRO, PERFURATRIZ MONTADA SOBRE CAMINHÃO E CONCRETO FCK 40 MPA LANÇADO POR CAMINHÃO BETONEIRA (EXCLUSIVE MOBILIZAÇÃO E DESMOBILIZAÇÃO). AF_05/2026</t>
  </si>
  <si>
    <t>ESTACA ESCAVADA MECANICAMENTE, SEM FLUIDO ESTABILIZANTE, COM 35 CM DE DIÂMETRO, PERFURATRIZ MONTADA SOBRE CAMINHÃO E CONCRETO FCK 25 MPA LANÇADO POR CAMINHÃO BETONEIRA (EXCLUSIVE ARMADURA, MOBILIZAÇÃO E DESMOBILIZAÇÃO). AF_05/2026</t>
  </si>
  <si>
    <t>ESTACA ESCAVADA MECANICAMENTE, SEM FLUIDO ESTABILIZANTE, COM 35 CM DE DIÂMETRO, PERFURATRIZ MONTADA SOBRE CAMINHÃO E CONCRETO FCK 25 MPA LANÇADO POR CAMINHÃO BETONEIRA (EXCLUSIVE MOBILIZAÇÃO E DESMOBILIZAÇÃO). AF_05/2026</t>
  </si>
  <si>
    <t>ESTACA ESCAVADA MECANICAMENTE, SEM FLUIDO ESTABILIZANTE, COM 35 CM DE DIÂMETRO, PERFURATRIZ MONTADA SOBRE CAMINHÃO E CONCRETO FCK 40 MPA LANÇADO POR CAMINHÃO BETONEIRA (EXCLUSIVE ARMADURA, MOBILIZAÇÃO E DESMOBILIZAÇÃO). AF_05/2026</t>
  </si>
  <si>
    <t>ESTACA ESCAVADA MECANICAMENTE, SEM FLUIDO ESTABILIZANTE, COM 35 CM DE DIÂMETRO, PERFURATRIZ MONTADA SOBRE CAMINHÃO E CONCRETO FCK 40 MPA LANÇADO POR CAMINHÃO BETONEIRA (EXCLUSIVE MOBILIZAÇÃO E DESMOBILIZAÇÃO). AF_05/2026</t>
  </si>
  <si>
    <t>ESTACA ESCAVADA MECANICAMENTE, SEM FLUIDO ESTABILIZANTE, COM 40 CM DE DIÂMETRO, PERFURATRIZ MONTADA SOBRE CAMINHÃO E CONCRETO FCK 25 MPA LANÇADO POR CAMINHÃO BETONEIRA (EXCLUSIVE ARMADURA, MOBILIZAÇÃO E DESMOBILIZAÇÃO). AF_05/2026</t>
  </si>
  <si>
    <t>ESTACA ESCAVADA MECANICAMENTE, SEM FLUIDO ESTABILIZANTE, COM 40 CM DE DIÂMETRO, PERFURATRIZ MONTADA SOBRE CAMINHÃO E CONCRETO FCK 25 MPA LANÇADO POR CAMINHÃO BETONEIRA (EXCLUSIVE MOBILIZAÇÃO E DESMOBILIZAÇÃO). AF_05/2026</t>
  </si>
  <si>
    <t>ESTACA ESCAVADA MECANICAMENTE, SEM FLUIDO ESTABILIZANTE, COM 40 CM DE DIÂMETRO, PERFURATRIZ MONTADA SOBRE CAMINHÃO E CONCRETO FCK 40 MPA LANÇADO POR CAMINHÃO BETONEIRA (EXCLUSIVE ARMADURA, MOBILIZAÇÃO E DESMOBILIZAÇÃO). AF_05/2026</t>
  </si>
  <si>
    <t>ESTACA ESCAVADA MECANICAMENTE, SEM FLUIDO ESTABILIZANTE, COM 40 CM DE DIÂMETRO, PERFURATRIZ MONTADA SOBRE CAMINHÃO E CONCRETO FCK 40 MPA LANÇADO POR CAMINHÃO BETONEIRA (EXCLUSIVE MOBILIZAÇÃO E DESMOBILIZAÇÃO). AF_05/2026</t>
  </si>
  <si>
    <t>ESTACA ESCAVADA MECANICAMENTE, SEM FLUIDO ESTABILIZANTE, COM 50 CM DE DIÂMETRO, PERFURATRIZ MONTADA SOBRE CAMINHÃO E CONCRETO FCK 25 MPA LANÇADO POR BOMBA LANÇA (EXCLUSIVE ARMADURA, MOBILIZAÇÃO E DESMOBILIZAÇÃO). AF_05/2026</t>
  </si>
  <si>
    <t>ESTACA ESCAVADA MECANICAMENTE, SEM FLUIDO ESTABILIZANTE, COM 50 CM DE DIÂMETRO, PERFURATRIZ MONTADA SOBRE CAMINHÃO E CONCRETO FCK 25 MPA LANÇADO POR BOMBA LANÇA (EXCLUSIVE MOBILIZAÇÃO E DESMOBILIZAÇÃO). AF_05/2026</t>
  </si>
  <si>
    <t>ESTACA ESCAVADA MECANICAMENTE, SEM FLUIDO ESTABILIZANTE, COM 50 CM DE DIÂMETRO, PERFURATRIZ MONTADA SOBRE CAMINHÃO E CONCRETO FCK 25 MPA LANÇADO POR CAMINHÃO BETONEIRA (EXCLUSIVE ARMADURA, MOBILIZAÇÃO E DESMOBILIZAÇÃO). AF_05/2026</t>
  </si>
  <si>
    <t>ESTACA ESCAVADA MECANICAMENTE, SEM FLUIDO ESTABILIZANTE, COM 50 CM DE DIÂMETRO, PERFURATRIZ MONTADA SOBRE CAMINHÃO E CONCRETO FCK 25 MPA LANÇADO POR CAMINHÃO BETONEIRA (EXCLUSIVE MOBILIZAÇÃO E DESMOBILIZAÇÃO). AF_05/2026</t>
  </si>
  <si>
    <t>ESTACA ESCAVADA MECANICAMENTE, SEM FLUIDO ESTABILIZANTE, COM 50 CM DE DIÂMETRO, PERFURATRIZ MONTADA SOBRE CAMINHÃO E CONCRETO FCK 40 MPA LANÇADO POR BOMBA LANÇA (EXCLUSIVE ARMADURA, MOBILIZAÇÃO E DESMOBILIZAÇÃO). AF_05/2026</t>
  </si>
  <si>
    <t>ESTACA ESCAVADA MECANICAMENTE, SEM FLUIDO ESTABILIZANTE, COM 50 CM DE DIÂMETRO, PERFURATRIZ MONTADA SOBRE CAMINHÃO E CONCRETO FCK 40 MPA LANÇADO POR BOMBA LANÇA (EXCLUSIVE MOBILIZAÇÃO E DESMOBILIZAÇÃO). AF_05/2026</t>
  </si>
  <si>
    <t>ESTACA ESCAVADA MECANICAMENTE, SEM FLUIDO ESTABILIZANTE, COM 50 CM DE DIÂMETRO, PERFURATRIZ MONTADA SOBRE CAMINHÃO E CONCRETO FCK 40 MPA LANÇADO POR CAMINHÃO BETONEIRA (EXCLUSIVE ARMADURA, MOBILIZAÇÃO E DESMOBILIZAÇÃO). AF_05/2026</t>
  </si>
  <si>
    <t>ESTACA ESCAVADA MECANICAMENTE, SEM FLUIDO ESTABILIZANTE, COM 50 CM DE DIÂMETRO, PERFURATRIZ MONTADA SOBRE CAMINHÃO E CONCRETO FCK 40 MPA LANÇADO POR CAMINHÃO BETONEIRA (EXCLUSIVE MOBILIZAÇÃO E DESMOBILIZAÇÃO). AF_05/2026</t>
  </si>
  <si>
    <t>ESTACA ESCAVADA MECANICAMENTE, SEM FLUIDO ESTABILIZANTE, COM 60 CM DE DIÂMETRO, PERFURATRIZ MONTADA SOBRE CAMINHÃO E CONCRETO FCK 25 MPA LANÇADO POR BOMBA LANÇA (EXCLUSIVE ARMADURA, MOBILIZAÇÃO E DESMOBILIZAÇÃO). AF_05/2026</t>
  </si>
  <si>
    <t>ESTACA ESCAVADA MECANICAMENTE, SEM FLUIDO ESTABILIZANTE, COM 60 CM DE DIÂMETRO, PERFURATRIZ MONTADA SOBRE CAMINHÃO E CONCRETO FCK 25 MPA LANÇADO POR BOMBA LANÇA (EXCLUSIVE MOBILIZAÇÃO E DESMOBILIZAÇÃO). AF_05/2026</t>
  </si>
  <si>
    <t>ESTACA ESCAVADA MECANICAMENTE, SEM FLUIDO ESTABILIZANTE, COM 60 CM DE DIÂMETRO, PERFURATRIZ MONTADA SOBRE CAMINHÃO E CONCRETO FCK 25 MPA LANÇADO POR CAMINHÃO BETONEIRA (EXCLUSIVE ARMADURA, MOBILIZAÇÃO E DESMOBILIZAÇÃO). AF_05/2026</t>
  </si>
  <si>
    <t>ESTACA ESCAVADA MECANICAMENTE, SEM FLUIDO ESTABILIZANTE, COM 60 CM DE DIÂMETRO, PERFURATRIZ MONTADA SOBRE CAMINHÃO E CONCRETO FCK 25 MPA LANÇADO POR CAMINHÃO BETONEIRA (EXCLUSIVE MOBILIZAÇÃO E DESMOBILIZAÇÃO). AF_05/2026</t>
  </si>
  <si>
    <t>ESTACA ESCAVADA MECANICAMENTE, SEM FLUIDO ESTABILIZANTE, COM 60 CM DE DIÂMETRO, PERFURATRIZ MONTADA SOBRE CAMINHÃO E CONCRETO FCK 40 MPA LANÇADO POR BOMBA LANÇA (EXCLUSIVE ARMADURA, MOBILIZAÇÃO E DESMOBILIZAÇÃO). AF_05/2026</t>
  </si>
  <si>
    <t>ESTACA ESCAVADA MECANICAMENTE, SEM FLUIDO ESTABILIZANTE, COM 60 CM DE DIÂMETRO, PERFURATRIZ MONTADA SOBRE CAMINHÃO E CONCRETO FCK 40 MPA LANÇADO POR BOMBA LANÇA (EXCLUSIVE MOBILIZAÇÃO E DESMOBILIZAÇÃO). AF_05/2026</t>
  </si>
  <si>
    <t>ESTACA ESCAVADA MECANICAMENTE, SEM FLUIDO ESTABILIZANTE, COM 60 CM DE DIÂMETRO, PERFURATRIZ MONTADA SOBRE CAMINHÃO E CONCRETO FCK 40 MPA LANÇADO POR CAMINHÃO BETONEIRA (EXCLUSIVE ARMADURA, MOBILIZAÇÃO E DESMOBILIZAÇÃO). AF_05/2026</t>
  </si>
  <si>
    <t>ESTACA ESCAVADA MECANICAMENTE, SEM FLUIDO ESTABILIZANTE, COM 60 CM DE DIÂMETRO, PERFURATRIZ MONTADA SOBRE CAMINHÃO E CONCRETO FCK 40 MPA LANÇADO POR CAMINHÃO BETONEIRA (EXCLUSIVE MOBILIZAÇÃO E DESMOBILIZAÇÃO). AF_05/2026</t>
  </si>
  <si>
    <t>ESTACA HÉLICE CONTÍNUA, DIÂMETRO DE 30 CM, INCLUSO CONCRETO FCK=30MPA E BOMBEAMENTO (EXCLUSIVE ARMADURA, MOBILIZAÇÃO E DESMOBILIZAÇÃO). AF_03/2026</t>
  </si>
  <si>
    <t>ESTACA HÉLICE CONTÍNUA, DIÂMETRO DE 30 CM, INCLUSO CONCRETO FCK=30MPA, BOMBEAMENTO E ARMADURA MÍNIMA (EXCLUSIVE MOBILIZAÇÃO E DESMOBILIZAÇÃO). AF_03/2026</t>
  </si>
  <si>
    <t>ESTACA HÉLICE CONTÍNUA, DIÂMETRO DE 30 CM, INCLUSO CONCRETO FCK=40MPA E BOMBEAMENTO (EXCLUSIVE ARMADURA, MOBILIZAÇÃO E DESMOBILIZAÇÃO). AF_03/2026</t>
  </si>
  <si>
    <t>ESTACA HÉLICE CONTÍNUA, DIÂMETRO DE 30 CM, INCLUSO CONCRETO FCK=40MPA, BOMBEAMENTO E ARMADURA MÍNIMA (EXCLUSIVE MOBILIZAÇÃO E DESMOBILIZAÇÃO). AF_03/2026</t>
  </si>
  <si>
    <t>ESTACA HÉLICE CONTÍNUA, DIÂMETRO DE 50 CM, INCLUSO CONCRETO FCK=30MPA E BOMBEAMENTO (EXCLUSIVE ARMADURA, MOBILIZAÇÃO E DESMOBILIZAÇÃO). AF_03/2026</t>
  </si>
  <si>
    <t>ESTACA HÉLICE CONTÍNUA, DIÂMETRO DE 50 CM, INCLUSO CONCRETO FCK=30MPA, BOMBEAMENTO E ARMADURA MÍNIMA (EXCLUSIVE MOBILIZAÇÃO E DESMOBILIZAÇÃO). AF_03/2026</t>
  </si>
  <si>
    <t>ESTACA HÉLICE CONTÍNUA, DIÂMETRO DE 50 CM, INCLUSO CONCRETO FCK=40MPA E BOMBEAMENTO (EXCLUSIVE ARMADURA, MOBILIZAÇÃO E DESMOBILIZAÇÃO). AF_03/2026</t>
  </si>
  <si>
    <t>ESTACA HÉLICE CONTÍNUA, DIÂMETRO DE 50 CM, INCLUSO CONCRETO FCK=40MPA, BOMBEAMENTO E ARMADURA MÍNIMA (EXCLUSIVE MOBILIZAÇÃO E DESMOBILIZAÇÃO). AF_03/2026</t>
  </si>
  <si>
    <t>ESTACA HÉLICE CONTÍNUA, DIÂMETRO DE 70 CM, INCLUSO CONCRETO FCK=30MPA E BOMBEAMENTO (EXCLUSIVE ARMADURA, MOBILIZAÇÃO E DESMOBILIZAÇÃO). AF_03/2026</t>
  </si>
  <si>
    <t>ESTACA HÉLICE CONTÍNUA, DIÂMETRO DE 70 CM, INCLUSO CONCRETO FCK=30MPA, BOMBEAMENTO E ARMADURA MÍNIMA (EXCLUSIVE MOBILIZAÇÃO E DESMOBILIZAÇÃO). AF_03/2026</t>
  </si>
  <si>
    <t>ESTACA HÉLICE CONTÍNUA, DIÂMETRO DE 70 CM, INCLUSO CONCRETO FCK=40MPA E BOMBEAMENTO (EXCLUSIVE ARMADURA, MOBILIZAÇÃO E DESMOBILIZAÇÃO). AF_03/2026</t>
  </si>
  <si>
    <t>ESTACA HÉLICE CONTÍNUA, DIÂMETRO DE 70 CM, INCLUSO CONCRETO FCK=40MPA, BOMBEAMENTO E ARMADURA MÍNIMA (EXCLUSIVE MOBILIZAÇÃO E DESMOBILIZAÇÃO). AF_03/2026</t>
  </si>
  <si>
    <t>ESTACA HÉLICE CONTÍNUA, DIÂMETRO DE 80 CM, INCLUSO CONCRETO FCK=30MPA E BOMBEAMENTO (EXCLUSIVE ARMADURA, MOBILIZAÇÃO E DESMOBILIZAÇÃO). AF_03/2026</t>
  </si>
  <si>
    <t>ESTACA HÉLICE CONTÍNUA, DIÂMETRO DE 80 CM, INCLUSO CONCRETO FCK=30MPA, BOMBEAMENTO E ARMADURA MÍNIMA (EXCLUSIVE MOBILIZAÇÃO E DESMOBILIZAÇÃO). AF_03/2026</t>
  </si>
  <si>
    <t>ESTACA HÉLICE CONTÍNUA, DIÂMETRO DE 80 CM, INCLUSO CONCRETO FCK=40MPA E BOMBEAMENTO (EXCLUSIVE ARMADURA, MOBILIZAÇÃO E DESMOBILIZAÇÃO). AF_03/2026</t>
  </si>
  <si>
    <t>ESTACA HÉLICE CONTÍNUA, DIÂMETRO DE 80 CM, INCLUSO CONCRETO FCK=40MPA, BOMBEAMENTO E ARMADURA MÍNIMA (EXCLUSIVE MOBILIZAÇÃO E DESMOBILIZAÇÃO). AF_03/2026</t>
  </si>
  <si>
    <t>ESTACA HÉLICE CONTÍNUA, DIÂMETRO DE 90 CM, INCLUSO CONCRETO FCK=30MPA E BOMBEAMENTO (EXCLUSIVE ARMADURA, MOBILIZAÇÃO E DESMOBILIZAÇÃO). AF_03/2026</t>
  </si>
  <si>
    <t>ESTACA HÉLICE CONTÍNUA, DIÂMETRO DE 90 CM, INCLUSO CONCRETO FCK=30MPA, BOMBEAMENTO E ARMADURA MÍNIMA (EXCLUSIVE MOBILIZAÇÃO E DESMOBILIZAÇÃO). AF_03/2026</t>
  </si>
  <si>
    <t>ESTACA HÉLICE CONTÍNUA, DIÂMETRO DE 90 CM, INCLUSO CONCRETO FCK=40MPA E BOMBEAMENTO (EXCLUSIVE ARMADURA, MOBILIZAÇÃO E DESMOBILIZAÇÃO). AF_03/2026</t>
  </si>
  <si>
    <t>ESTACA HÉLICE CONTÍNUA, DIÂMETRO DE 90 CM, INCLUSO CONCRETO FCK=40MPA, BOMBEAMENTO E ARMADURA MÍNIMA (EXCLUSIVE MOBILIZAÇÃO E DESMOBILIZAÇÃO). AF_03/2026</t>
  </si>
  <si>
    <t>FABRICAÇÃO E INSTALAÇÃO DE MEIA TESOURA DE MADEIRA NÃO APARELHADA, COM VÃO DE 10 M, PARA TELHA CERÂMICA OU DE CONCRETO, INCLUSO IÇAMENTO. AF_10/2025</t>
  </si>
  <si>
    <t>FABRICAÇÃO E INSTALAÇÃO DE MEIA TESOURA DE MADEIRA NÃO APARELHADA, COM VÃO DE 10 M, PARA TELHA ONDULADA DE FIBROCIMENTO, ALUMÍNIO, PLÁSTICA OU TERMOACÚSTICA, INCLUSO IÇAMENTO. AF_10/2025</t>
  </si>
  <si>
    <t>FABRICAÇÃO E INSTALAÇÃO DE MEIA TESOURA DE MADEIRA NÃO APARELHADA, COM VÃO DE 11 M, PARA TELHA CERÂMICA OU DE CONCRETO, INCLUSO IÇAMENTO. AF_10/2025</t>
  </si>
  <si>
    <t>FABRICAÇÃO E INSTALAÇÃO DE MEIA TESOURA DE MADEIRA NÃO APARELHADA, COM VÃO DE 11 M, PARA TELHA ONDULADA DE FIBROCIMENTO, ALUMÍNIO, PLÁSTICA OU TERMOACÚSTICA, INCLUSO IÇAMENTO. AF_10/2025</t>
  </si>
  <si>
    <t>FABRICAÇÃO E INSTALAÇÃO DE MEIA TESOURA DE MADEIRA NÃO APARELHADA, COM VÃO DE 12 M, PARA TELHA CERÂMICA OU DE CONCRETO, INCLUSO IÇAMENTO. AF_10/2025</t>
  </si>
  <si>
    <t>FABRICAÇÃO E INSTALAÇÃO DE MEIA TESOURA DE MADEIRA NÃO APARELHADA, COM VÃO DE 12 M, PARA TELHA ONDULADA DE FIBROCIMENTO, ALUMÍNIO, PLÁSTICA OU TERMOACÚSTICA, INCLUSO IÇAMENTO. AF_10/2025</t>
  </si>
  <si>
    <t>FABRICAÇÃO E INSTALAÇÃO DE MEIA TESOURA DE MADEIRA NÃO APARELHADA, COM VÃO DE 3 M, PARA TELHA CERÂMICA OU DE CONCRETO, INCLUSO IÇAMENTO. AF_10/2025</t>
  </si>
  <si>
    <t>FABRICAÇÃO E INSTALAÇÃO DE MEIA TESOURA DE MADEIRA NÃO APARELHADA, COM VÃO DE 3 M, PARA TELHA ONDULADA DE FIBROCIMENTO, ALUMÍNIO, PLÁSTICA OU TERMOACÚSTICA, INCLUSO IÇAMENTO. AF_10/2025</t>
  </si>
  <si>
    <t>FABRICAÇÃO E INSTALAÇÃO DE MEIA TESOURA DE MADEIRA NÃO APARELHADA, COM VÃO DE 4 M, PARA TELHA CERÂMICA OU DE CONCRETO, INCLUSO IÇAMENTO. AF_10/2025</t>
  </si>
  <si>
    <t>FABRICAÇÃO E INSTALAÇÃO DE MEIA TESOURA DE MADEIRA NÃO APARELHADA, COM VÃO DE 4 M, PARA TELHA ONDULADA DE FIBROCIMENTO, ALUMÍNIO, PLÁSTICA OU TERMOACÚSTICA, INCLUSO IÇAMENTO. AF_10/2025</t>
  </si>
  <si>
    <t>FABRICAÇÃO E INSTALAÇÃO DE MEIA TESOURA DE MADEIRA NÃO APARELHADA, COM VÃO DE 5 M, PARA TELHA CERÂMICA OU DE CONCRETO, INCLUSO IÇAMENTO. AF_10/2025</t>
  </si>
  <si>
    <t>FABRICAÇÃO E INSTALAÇÃO DE MEIA TESOURA DE MADEIRA NÃO APARELHADA, COM VÃO DE 5 M, PARA TELHA ONDULADA DE FIBROCIMENTO, ALUMÍNIO, PLÁSTICA OU TERMOACÚSTICA, INCLUSO IÇAMENTO. AF_10/2025</t>
  </si>
  <si>
    <t>FABRICAÇÃO E INSTALAÇÃO DE MEIA TESOURA DE MADEIRA NÃO APARELHADA, COM VÃO DE 6 M, PARA TELHA CERÂMICA OU DE CONCRETO, INCLUSO IÇAMENTO. AF_10/2025</t>
  </si>
  <si>
    <t>FABRICAÇÃO E INSTALAÇÃO DE MEIA TESOURA DE MADEIRA NÃO APARELHADA, COM VÃO DE 6 M, PARA TELHA ONDULADA DE FIBROCIMENTO, ALUMÍNIO, PLÁSTICA OU TERMOACÚSTICA, INCLUSO IÇAMENTO. AF_10/2025</t>
  </si>
  <si>
    <t>FABRICAÇÃO E INSTALAÇÃO DE MEIA TESOURA DE MADEIRA NÃO APARELHADA, COM VÃO DE 7 M, PARA TELHA CERÂMICA OU DE CONCRETO, INCLUSO IÇAMENTO. AF_10/2025</t>
  </si>
  <si>
    <t>FABRICAÇÃO E INSTALAÇÃO DE MEIA TESOURA DE MADEIRA NÃO APARELHADA, COM VÃO DE 7 M, PARA TELHA ONDULADA DE FIBROCIMENTO, ALUMÍNIO, PLÁSTICA OU TERMOACÚSTICA, INCLUSO IÇAMENTO. AF_10/2025</t>
  </si>
  <si>
    <t>FABRICAÇÃO E INSTALAÇÃO DE MEIA TESOURA DE MADEIRA NÃO APARELHADA, COM VÃO DE 8 M, PARA TELHA CERÂMICA OU DE CONCRETO, INCLUSO IÇAMENTO. AF_10/2025</t>
  </si>
  <si>
    <t>FABRICAÇÃO E INSTALAÇÃO DE MEIA TESOURA DE MADEIRA NÃO APARELHADA, COM VÃO DE 8 M, PARA TELHA ONDULADA DE FIBROCIMENTO, ALUMÍNIO, PLÁSTICA OU TERMOACÚSTICA, INCLUSO IÇAMENTO. AF_10/2025</t>
  </si>
  <si>
    <t>FABRICAÇÃO E INSTALAÇÃO DE MEIA TESOURA DE MADEIRA NÃO APARELHADA, COM VÃO DE 9 M, PARA TELHA CERÂMICA OU DE CONCRETO, INCLUSO IÇAMENTO. AF_10/2025</t>
  </si>
  <si>
    <t>FABRICAÇÃO E INSTALAÇÃO DE MEIA TESOURA DE MADEIRA NÃO APARELHADA, COM VÃO DE 9 M, PARA TELHA ONDULADA DE FIBROCIMENTO, ALUMÍNIO, PLÁSTICA OU TERMOACÚSTICA, INCLUSO IÇAMENTO. AF_10/2025</t>
  </si>
  <si>
    <t>FABRICAÇÃO E INSTALAÇÃO DE PONTALETES DE MADEIRA NÃO APARELHADA PARA TELHADOS COM ATÉ 2 ÁGUAS E COM TELHA CERÂMICA (ENCAIXE/CAPA CANAL) OU DE CONCRETO EM EDIFÍCIO INSTITUCIONAL TÉRREO, INCLUSO TRANSPORTE VERTICAL. AF_10/2025</t>
  </si>
  <si>
    <t>FABRICAÇÃO E INSTALAÇÃO DE PONTALETES DE MADEIRA NÃO APARELHADA PARA TELHADOS COM ATÉ 2 ÁGUAS E COM TELHA CERÂMICA (ENCAIXE/CAPA CANAL) OU DE CONCRETO EM EDIFÍCIO RESIDENCIAL DE MÚLTIPLOS PAVIMENTOS, INCLUSO TRANSPORTE VERTICAL. AF_10/2025</t>
  </si>
  <si>
    <t>FABRICAÇÃO E INSTALAÇÃO DE PONTALETES DE MADEIRA NÃO APARELHADA PARA TELHADOS COM ATÉ 2 ÁGUAS E COM TELHA CERÂMICA (ENCAIXE/CAPA CANAL) OU DE CONCRETO EM EDIFÍCIO RESIDENCIAL TÉRREO/SOBRADO, INCLUSO TRANSPORTE VERTICAL. AF_10/2025</t>
  </si>
  <si>
    <t>FABRICAÇÃO E INSTALAÇÃO DE PONTALETES DE MADEIRA NÃO APARELHADA PARA TELHADOS COM ATÉ 2 ÁGUAS E COM TELHA ONDULADA DE FIBROCIMENTO, ALUMÍNIO OU PLÁSTICA EM EDIFÍCIO INSTITUCIONAL TÉRREO, INCLUSO TRANSPORTE VERTICAL. AF_10/2025</t>
  </si>
  <si>
    <t>FABRICAÇÃO E INSTALAÇÃO DE PONTALETES DE MADEIRA NÃO APARELHADA PARA TELHADOS COM ATÉ 2 ÁGUAS E COM TELHA ONDULADA DE FIBROCIMENTO, ALUMÍNIO OU PLÁSTICA EM EDIFÍCIO RESIDENCIAL DE MÚLTIPLOS PAVIMENTOS, INCLUSO TRANSPORTE VERTICAL. AF_10/2025</t>
  </si>
  <si>
    <t>FABRICAÇÃO E INSTALAÇÃO DE PONTALETES DE MADEIRA NÃO APARELHADA PARA TELHADOS COM ATÉ 2 ÁGUAS E COM TELHA ONDULADA DE FIBROCIMENTO, ALUMÍNIO OU PLÁSTICA EM EDIFÍCIO RESIDENCIAL TÉRREO/SOBRADO, INCLUSO TRANSPORTE VERTICAL. AF_10/2025</t>
  </si>
  <si>
    <t>FABRICAÇÃO E INSTALAÇÃO DE PONTALETES DE MADEIRA NÃO APARELHADA PARA TELHADOS COM MAIS QUE 2 ÁGUAS E COM TELHA CERÂMICA (ENCAIXE/CAPA CANAL) OU DE CONCRETO EM EDIFÍCIO INSTITUCIONAL TÉRREO, INCLUSO TRANSPORTE VERTICAL. AF_10/2025</t>
  </si>
  <si>
    <t>FABRICAÇÃO E INSTALAÇÃO DE PONTALETES DE MADEIRA NÃO APARELHADA PARA TELHADOS COM MAIS QUE 2 ÁGUAS E COM TELHA CERÂMICA (ENCAIXE/CAPA CANAL) OU DE CONCRETO EM EDIFÍCIO RESIDENCIAL DE MÚLTIPLOS PAVIMENTOS. AF_10/2025</t>
  </si>
  <si>
    <t>FABRICAÇÃO E INSTALAÇÃO DE PONTALETES DE MADEIRA NÃO APARELHADA PARA TELHADOS COM MAIS QUE 2 ÁGUAS E COM TELHA CERÂMICA (ENCAIXE/CAPA CANAL) OU DE CONCRETO EM EDIFÍCIO RESIDENCIAL TÉRREO/SOBRADO, INCLUSO TRANSPORTE VERTICAL. AF_10/2025</t>
  </si>
  <si>
    <t>FABRICAÇÃO E INSTALAÇÃO DE TESOURA (INTEIRA OU MEIA) EM AÇO, VÃOS MAIORES OU IGUAIS A 3,0 M E MENORES QUE 6,0 M, INCLUSO IÇAMENTO, EXCLUSIVE PINTURA. AF_10/2025</t>
  </si>
  <si>
    <t>FABRICAÇÃO E INSTALAÇÃO DE TESOURA (INTEIRA OU MEIA) EM AÇO, VÃOS MAIORES OU IGUAIS A 6,0 M E MENORES OU IGUAIS A 12,0 M, INCLUSO IÇAMENTO, EXCLUSIVE PINTURA. AF_10/2025</t>
  </si>
  <si>
    <t>FABRICAÇÃO E INSTALAÇÃO DE TESOURA INTEIRA EM AÇO, VÃO DE 10 M, PARA TELHA CERÂMICA OU DE CONCRETO, INCLUSO IÇAMENTO, EXCLUSIVE PINTURA. AF_10/2025</t>
  </si>
  <si>
    <t>FABRICAÇÃO E INSTALAÇÃO DE TESOURA INTEIRA EM AÇO, VÃO DE 10 M, PARA TELHA ONDULADA DE FIBROCIMENTO, METÁLICA, PLÁSTICA OU TERMOACÚSTICA, INCLUSO IÇAMENTO, EXCLUSIVE PINTURA. AF_10/2025</t>
  </si>
  <si>
    <t>FABRICAÇÃO E INSTALAÇÃO DE TESOURA INTEIRA EM AÇO, VÃO DE 11 M, PARA TELHA CERÂMICA OU DE CONCRETO, INCLUSO IÇAMENTO, EXCLUSIVE PINTURA. AF_10/2025</t>
  </si>
  <si>
    <t>FABRICAÇÃO E INSTALAÇÃO DE TESOURA INTEIRA EM AÇO, VÃO DE 11 M, PARA TELHA ONDULADA DE FIBROCIMENTO, METÁLICA, PLÁSTICA OU TERMOACÚSTICA, INCLUSO IÇAMENTO, EXCLUSIVE PINTURA. AF_10/2025</t>
  </si>
  <si>
    <t>FABRICAÇÃO E INSTALAÇÃO DE TESOURA INTEIRA EM AÇO, VÃO DE 12 M, PARA TELHA CERÂMICA OU DE CONCRETO, INCLUSO IÇAMENTO, EXCLUSIVE PINTURA. AF_10/2025</t>
  </si>
  <si>
    <t>FABRICAÇÃO E INSTALAÇÃO DE TESOURA INTEIRA EM AÇO, VÃO DE 12 M, PARA TELHA ONDULADA DE FIBROCIMENTO, METÁLICA, PLÁSTICA OU TERMOACÚSTICA, INCLUSO IÇAMENTO, EXCLUSIVE PINTURA. AF_10/2025</t>
  </si>
  <si>
    <t>FABRICAÇÃO E INSTALAÇÃO DE TESOURA INTEIRA EM AÇO, VÃO DE 3 M, PARA TELHA CERÂMICA OU DE CONCRETO, INCLUSO IÇAMENTO, EXCLUSIVE PINTURA. AF_10/2025</t>
  </si>
  <si>
    <t>FABRICAÇÃO E INSTALAÇÃO DE TESOURA INTEIRA EM AÇO, VÃO DE 3 M, PARA TELHA ONDULADA DE FIBROCIMENTO, METÁLICA, PLÁSTICA OU TERMOACÚSTICA, INCLUSO IÇAMENTO, EXCLUSIVE PINTURA. AF_10/2025</t>
  </si>
  <si>
    <t>FABRICAÇÃO E INSTALAÇÃO DE TESOURA INTEIRA EM AÇO, VÃO DE 4 M, PARA TELHA CERÂMICA OU DE CONCRETO, INCLUSO IÇAMENTO, EXCLUSIVE PINTURA. AF_10/2025</t>
  </si>
  <si>
    <t>FABRICAÇÃO E INSTALAÇÃO DE TESOURA INTEIRA EM AÇO, VÃO DE 4 M, PARA TELHA ONDULADA DE FIBROCIMENTO, METÁLICA, PLÁSTICA OU TERMOACÚSTICA, INCLUSO IÇAMENTO, EXCLUSIVE PINTURA. AF_10/2025</t>
  </si>
  <si>
    <t>FABRICAÇÃO E INSTALAÇÃO DE TESOURA INTEIRA EM AÇO, VÃO DE 5 M, PARA TELHA CERÂMICA OU DE CONCRETO, INCLUSO IÇAMENTO, EXCLUSIVE PINTURA. AF_10/2025</t>
  </si>
  <si>
    <t>FABRICAÇÃO E INSTALAÇÃO DE TESOURA INTEIRA EM AÇO, VÃO DE 5 M, PARA TELHA ONDULADA DE FIBROCIMENTO, METÁLICA, PLÁSTICA OU TERMOACÚSTICA, INCLUSO IÇAMENTO, EXCLUSIVE PINTURA. AF_10/2025</t>
  </si>
  <si>
    <t>FABRICAÇÃO E INSTALAÇÃO DE TESOURA INTEIRA EM AÇO, VÃO DE 6 M, PARA TELHA CERÂMICA OU DE CONCRETO, INCLUSO IÇAMENTO, EXCLUSIVE PINTURA. AF_10/2025</t>
  </si>
  <si>
    <t>FABRICAÇÃO E INSTALAÇÃO DE TESOURA INTEIRA EM AÇO, VÃO DE 6 M, PARA TELHA ONDULADA DE FIBROCIMENTO, METÁLICA, PLÁSTICA OU TERMOACÚSTICA, INCLUSO IÇAMENTO, EXCLUSIVE PINTURA. AF_10/2025</t>
  </si>
  <si>
    <t>FABRICAÇÃO E INSTALAÇÃO DE TESOURA INTEIRA EM AÇO, VÃO DE 7 M, PARA TELHA CERÂMICA OU DE CONCRETO, INCLUSO IÇAMENTO, EXCLUSIVE PINTURA. AF_10/2025</t>
  </si>
  <si>
    <t>FABRICAÇÃO E INSTALAÇÃO DE TESOURA INTEIRA EM AÇO, VÃO DE 7 M, PARA TELHA ONDULADA DE FIBROCIMENTO, METÁLICA, PLÁSTICA OU TERMOACÚSTICA, INCLUSO IÇAMENTO, EXCLUSIVE PINTURA. AF_10/2025</t>
  </si>
  <si>
    <t>FABRICAÇÃO E INSTALAÇÃO DE TESOURA INTEIRA EM AÇO, VÃO DE 8 M, PARA TELHA CERÂMICA OU DE CONCRETO, INCLUSO IÇAMENTO, EXCLUSIVE PINTURA. AF_10/2025</t>
  </si>
  <si>
    <t>FABRICAÇÃO E INSTALAÇÃO DE TESOURA INTEIRA EM AÇO, VÃO DE 8 M, PARA TELHA ONDULADA DE FIBROCIMENTO, METÁLICA, PLÁSTICA OU TERMOACÚSTICA, INCLUSO IÇAMENTO, EXCLUSIVE PINTURA. AF_10/2025</t>
  </si>
  <si>
    <t>FABRICAÇÃO E INSTALAÇÃO DE TESOURA INTEIRA EM AÇO, VÃO DE 9 M, PARA TELHA CERÂMICA OU DE CONCRETO, INCLUSO IÇAMENTO, EXCLUSIVE PINTURA. AF_10/2025</t>
  </si>
  <si>
    <t>FABRICAÇÃO E INSTALAÇÃO DE TESOURA INTEIRA EM AÇO, VÃO DE 9 M, PARA TELHA ONDULADA DE FIBROCIMENTO, METÁLICA, PLÁSTICA OU TERMOACÚSTICA, INCLUSO IÇAMENTO, EXCLUSIVE PINTURA. AF_10/2025</t>
  </si>
  <si>
    <t>FABRICAÇÃO E INSTALAÇÃO DE TESOURA INTEIRA EM MADEIRA NÃO APARELHADA, VÃO DE 10 M, PARA TELHA CERÂMICA OU DE CONCRETO, INCLUSO IÇAMENTO. AF_10/2025</t>
  </si>
  <si>
    <t>FABRICAÇÃO E INSTALAÇÃO DE TESOURA INTEIRA EM MADEIRA NÃO APARELHADA, VÃO DE 10 M, PARA TELHA ONDULADA DE FIBROCIMENTO, METÁLICA, PLÁSTICA OU TERMOACÚSTICA, INCLUSO IÇAMENTO. AF_10/2025</t>
  </si>
  <si>
    <t>FABRICAÇÃO E INSTALAÇÃO DE TESOURA INTEIRA EM MADEIRA NÃO APARELHADA, VÃO DE 11 M, PARA TELHA CERÂMICA OU DE CONCRETO, INCLUSO IÇAMENTO. AF_10/2025</t>
  </si>
  <si>
    <t>FABRICAÇÃO E INSTALAÇÃO DE TESOURA INTEIRA EM MADEIRA NÃO APARELHADA, VÃO DE 11 M, PARA TELHA ONDULADA DE FIBROCIMENTO, METÁLICA, PLÁSTICA OU TERMOACÚSTICA, INCLUSO IÇAMENTO. AF_10/2025</t>
  </si>
  <si>
    <t>FABRICAÇÃO E INSTALAÇÃO DE TESOURA INTEIRA EM MADEIRA NÃO APARELHADA, VÃO DE 12 M, PARA TELHA CERÂMICA OU DE CONCRETO, INCLUSO IÇAMENTO. AF_10/2025</t>
  </si>
  <si>
    <t>FABRICAÇÃO E INSTALAÇÃO DE TESOURA INTEIRA EM MADEIRA NÃO APARELHADA, VÃO DE 12 M, PARA TELHA ONDULADA DE FIBROCIMENTO, METÁLICA, PLÁSTICA OU TERMOACÚSTICA, INCLUSO IÇAMENTO. AF_10/2025</t>
  </si>
  <si>
    <t>FABRICAÇÃO E INSTALAÇÃO DE TESOURA INTEIRA EM MADEIRA NÃO APARELHADA, VÃO DE 3 M, PARA TELHA CERÂMICA OU DE CONCRETO, INCLUSO IÇAMENTO. AF_10/2025</t>
  </si>
  <si>
    <t>FABRICAÇÃO E INSTALAÇÃO DE TESOURA INTEIRA EM MADEIRA NÃO APARELHADA, VÃO DE 3 M, PARA TELHA ONDULADA DE FIBROCIMENTO, METÁLICA, PLÁSTICA OU TERMOACÚSTICA, INCLUSO IÇAMENTO. AF_10/2025</t>
  </si>
  <si>
    <t>FABRICAÇÃO E INSTALAÇÃO DE TESOURA INTEIRA EM MADEIRA NÃO APARELHADA, VÃO DE 4 M, PARA TELHA CERÂMICA OU DE CONCRETO, INCLUSO IÇAMENTO. AF_10/2025</t>
  </si>
  <si>
    <t>FABRICAÇÃO E INSTALAÇÃO DE TESOURA INTEIRA EM MADEIRA NÃO APARELHADA, VÃO DE 4 M, PARA TELHA ONDULADA DE FIBROCIMENTO, METÁLICA, PLÁSTICA OU TERMOACÚSTICA, INCLUSO IÇAMENTO. AF_10/2025</t>
  </si>
  <si>
    <t>FABRICAÇÃO E INSTALAÇÃO DE TESOURA INTEIRA EM MADEIRA NÃO APARELHADA, VÃO DE 5 M, PARA TELHA CERÂMICA OU DE CONCRETO, INCLUSO IÇAMENTO. AF_10/2025</t>
  </si>
  <si>
    <t>FABRICAÇÃO E INSTALAÇÃO DE TESOURA INTEIRA EM MADEIRA NÃO APARELHADA, VÃO DE 5 M, PARA TELHA ONDULADA DE FIBROCIMENTO, METÁLICA, PLÁSTICA OU TERMOACÚSTICA, INCLUSO IÇAMENTO. AF_10/2025</t>
  </si>
  <si>
    <t>FABRICAÇÃO E INSTALAÇÃO DE TESOURA INTEIRA EM MADEIRA NÃO APARELHADA, VÃO DE 6 M, PARA TELHA CERÂMICA OU DE CONCRETO, INCLUSO IÇAMENTO. AF_10/2025</t>
  </si>
  <si>
    <t>FABRICAÇÃO E INSTALAÇÃO DE TESOURA INTEIRA EM MADEIRA NÃO APARELHADA, VÃO DE 6 M, PARA TELHA ONDULADA DE FIBROCIMENTO, METÁLICA, PLÁSTICA OU TERMOACÚSTICA, INCLUSO IÇAMENTO. AF_10/2025</t>
  </si>
  <si>
    <t>FABRICAÇÃO E INSTALAÇÃO DE TESOURA INTEIRA EM MADEIRA NÃO APARELHADA, VÃO DE 7 M, PARA TELHA CERÂMICA OU DE CONCRETO, INCLUSO IÇAMENTO. AF_10/2025</t>
  </si>
  <si>
    <t>FABRICAÇÃO E INSTALAÇÃO DE TESOURA INTEIRA EM MADEIRA NÃO APARELHADA, VÃO DE 7 M, PARA TELHA ONDULADA DE FIBROCIMENTO, METÁLICA, PLÁSTICA OU TERMOACÚSTICA, INCLUSO IÇAMENTO. AF_10/2025</t>
  </si>
  <si>
    <t>FABRICAÇÃO E INSTALAÇÃO DE TESOURA INTEIRA EM MADEIRA NÃO APARELHADA, VÃO DE 8 M, PARA TELHA CERÂMICA OU DE CONCRETO, INCLUSO IÇAMENTO. AF_10/2025</t>
  </si>
  <si>
    <t>FABRICAÇÃO E INSTALAÇÃO DE TESOURA INTEIRA EM MADEIRA NÃO APARELHADA, VÃO DE 8 M, PARA TELHA ONDULADA DE FIBROCIMENTO, METÁLICA, PLÁSTICA OU TERMOACÚSTICA, INCLUSO IÇAMENTO. AF_10/2025</t>
  </si>
  <si>
    <t>FABRICAÇÃO E INSTALAÇÃO DE TESOURA INTEIRA EM MADEIRA NÃO APARELHADA, VÃO DE 9 M, PARA TELHA CERÂMICA OU DE CONCRETO, INCLUSO IÇAMENTO. AF_10/2025</t>
  </si>
  <si>
    <t>FABRICAÇÃO E INSTALAÇÃO DE TESOURA INTEIRA EM MADEIRA NÃO APARELHADA, VÃO DE 9 M, PARA TELHA ONDULADA DE FIBROCIMENTO, METÁLICA, PLÁSTICA OU TERMOACÚSTICA, INCLUSO IÇAMENTO. AF_10/2025</t>
  </si>
  <si>
    <t>INSTALAÇÃO DE TESOURA (INTEIRA OU MEIA), BIAPOIADA, EM MADEIRA NÃO APARELHADA, PARA VÃOS MAIORES OU IGUAIS A 10,0 M E MENORES QUE 12,0 M, INCLUSO IÇAMENTO. AF_10/2025</t>
  </si>
  <si>
    <t>INSTALAÇÃO DE TESOURA (INTEIRA OU MEIA), BIAPOIADA, EM MADEIRA NÃO APARELHADA, PARA VÃOS MAIORES OU IGUAIS A 12,0 M E MENORES QUE 14,0 M, INCLUSO IÇAMENTO. AF_10/2025</t>
  </si>
  <si>
    <t>INSTALAÇÃO DE TESOURA (INTEIRA OU MEIA), BIAPOIADA, EM MADEIRA NÃO APARELHADA, PARA VÃOS MAIORES OU IGUAIS A 14,0 M E MENORES QUE 16,0 M, INCLUSO IÇAMENTO. AF_10/2025</t>
  </si>
  <si>
    <t>INSTALAÇÃO DE TESOURA (INTEIRA OU MEIA), BIAPOIADA, EM MADEIRA NÃO APARELHADA, PARA VÃOS MAIORES OU IGUAIS A 16,0 M E MENORES QUE 18,0 M, INCLUSO IÇAMENTO. AF_10/2025</t>
  </si>
  <si>
    <t>INSTALAÇÃO DE TESOURA (INTEIRA OU MEIA), BIAPOIADA, EM MADEIRA NÃO APARELHADA, PARA VÃOS MAIORES OU IGUAIS A 3,0 M E MENORES QUE 6,0 M, INCLUSO IÇAMENTO. AF_10/2025</t>
  </si>
  <si>
    <t>INSTALAÇÃO DE TESOURA (INTEIRA OU MEIA), BIAPOIADA, EM MADEIRA NÃO APARELHADA, PARA VÃOS MAIORES OU IGUAIS A 6,0 M E MENORES QUE 8,0 M, INCLUSO IÇAMENTO. AF_10/2025</t>
  </si>
  <si>
    <t>INSTALAÇÃO DE TESOURA (INTEIRA OU MEIA), BIAPOIADA, EM MADEIRA NÃO APARELHADA, PARA VÃOS MAIORES OU IGUAIS A 8,0 M E MENORES QUE 10,0 M, INCLUSO IÇAMENTO. AF_10/2025</t>
  </si>
  <si>
    <t>INSTALAÇÃO DE TESOURA (INTEIRA OU MEIA), EM AÇO, PARA VÃOS MAIORES OU IGUAIS A 10,0 M E MENORES OU IGUAIS A 12,0 M, INCLUSO IÇAMENTO, EXCLUSIVE PINTURA. AF_10/2025_PE</t>
  </si>
  <si>
    <t>INSTALAÇÃO DE TESOURA (INTEIRA OU MEIA), EM AÇO, PARA VÃOS MAIORES OU IGUAIS A 3,0 M E MENORES QUE 6,0 M, INCLUSO IÇAMENTO, EXCLUSIVE PINTURA. AF_10/2025_PE</t>
  </si>
  <si>
    <t>INSTALAÇÃO DE TESOURA (INTEIRA OU MEIA), EM AÇO, PARA VÃOS MAIORES OU IGUAIS A 6,0 M E MENORES QUE 8,0 M, INCLUSO IÇAMENTO, EXCLUSIVE PINTURA. AF_10/2025_PE</t>
  </si>
  <si>
    <t>INSTALAÇÃO DE TESOURA (INTEIRA OU MEIA), EM AÇO, PARA VÃOS MAIORES OU IGUAIS A 8,0 M E MENORES QUE 10,0 M, INCLUSO IÇAMENTO, EXCLUSIVE PINTURA. AF_10/2025_PE</t>
  </si>
  <si>
    <t>RETIRADA E RECOLOCAÇÃO DE CAIBRO DE MADEIRA EM TELHADOS DE ATÉ 2 ÁGUAS COM TELHA CERÂMICA CAPA-CANAL, INCLUSO TRANSPORTE VERTICAL. AF_10/2025</t>
  </si>
  <si>
    <t>RETIRADA E RECOLOCAÇÃO DE CAIBRO DE MADEIRA EM TELHADOS DE ATÉ 2 ÁGUAS COM TELHA CERÂMICA OU DE CONCRETO DE ENCAIXE, INCLUSO TRANSPORTE VERTICAL. AF_10/2025</t>
  </si>
  <si>
    <t>RETIRADA E RECOLOCAÇÃO DE CAIBRO DE MADEIRA EM TELHADOS DE MAIS DE 2 ÁGUAS COM TELHA CERÂMICA CAPA-CANAL, INCLUSO TRANSPORTE VERTICAL. AF_10/2025</t>
  </si>
  <si>
    <t>RETIRADA E RECOLOCAÇÃO DE CAIBRO DE MADEIRA EM TELHADOS DE MAIS DE 2 ÁGUAS COM TELHA CERÂMICA OU DE CONCRETO DE ENCAIXE, INCLUSO TRANSPORTE VERTICAL. AF_10/2025</t>
  </si>
  <si>
    <t>RETIRADA E RECOLOCAÇÃO DE RIPA DE MADEIRA EM TELHADOS DE ATÉ 2 ÁGUAS COM TELHA CERÂMICA CAPA-CANAL, INCLUSO TRANSPORTE VERTICAL. AF_10/2025</t>
  </si>
  <si>
    <t>RETIRADA E RECOLOCAÇÃO DE RIPA DE MADEIRA EM TELHADOS DE ATÉ 2 ÁGUAS COM TELHA CERÂMICA OU DE CONCRETO DE ENCAIXE, INCLUSO TRANSPORTE VERTICAL. AF_10/2025</t>
  </si>
  <si>
    <t>RETIRADA E RECOLOCAÇÃO DE RIPA DE MADEIRA EM TELHADOS DE MAIS DE 2 ÁGUAS COM TELHA CERÂMICA CAPA-CANAL, INCLUSO TRANSPORTE VERTICAL. AF_10/2025</t>
  </si>
  <si>
    <t>RETIRADA E RECOLOCAÇÃO DE RIPA DE MADEIRA EM TELHADOS DE MAIS DE 2 ÁGUAS COM TELHA CERÂMICA OU DE CONCRETO DE ENCAIXE, INCLUSO TRANSPORTE VERTICAL. AF_10/2025</t>
  </si>
  <si>
    <t>TRAMA DE AÇO COMPOSTA POR RIPAS E CAIBROS PARA TELHADOS DE ATÉ 2 ÁGUAS PARA TELHA CERÂMICA CAPA-CANAL, INCLUSO TRANSPORTE VERTICAL, EXCLUSIVE PINTURA. AF_10/2025</t>
  </si>
  <si>
    <t>TRAMA DE AÇO COMPOSTA POR RIPAS E CAIBROS PARA TELHADOS DE ATÉ 2 ÁGUAS PARA TELHA DE ENCAIXE DE CERÂMICA OU DE CONCRETO, INCLUSO TRANSPORTE VERTICAL, EXCLUSIVE PINTURA. AF_10/2025</t>
  </si>
  <si>
    <t>TRAMA DE AÇO COMPOSTA POR RIPAS E CAIBROS PARA TELHADOS DE MAIS DE 2 ÁGUAS PARA TELHA CERÂMICA CAPA-CANAL, INCLUSO TRANSPORTE VERTICAL, EXCLUSIVE PINTURA. AF_10/2025</t>
  </si>
  <si>
    <t>TRAMA DE AÇO COMPOSTA POR RIPAS E CAIBROS PARA TELHADOS DE MAIS DE 2 ÁGUAS PARA TELHA DE ENCAIXE DE CERÂMICA OU DE CONCRETO, INCLUSO TRANSPORTE VERTICAL, EXCLUSIVE PINTURA. AF_10/2025</t>
  </si>
  <si>
    <t>TRAMA DE AÇO COMPOSTA POR RIPAS PARA TELHADOS DE ATÉ 2 ÁGUAS PARA TELHA CERÂMICA CAPA-CANAL, INCLUSO TRANSPORTE VERTICAL, EXCLUSIVE PINTURA. AF_10/2025</t>
  </si>
  <si>
    <t>TRAMA DE AÇO COMPOSTA POR RIPAS PARA TELHADOS DE ATÉ 2 ÁGUAS PARA TELHA DE ENCAIXE DE CERÂMICA OU DE CONCRETO, INCLUSO TRANSPORTE VERTICAL, EXCLUSIVE PINTURA. AF_10/2025</t>
  </si>
  <si>
    <t>TRAMA DE AÇO COMPOSTA POR RIPAS PARA TELHADOS DE MAIS DE 2 ÁGUAS PARA TELHA CERÂMICA CAPA-CANAL, INCLUSO TRANSPORTE VERTICAL, EXCLUSIVE PINTURA. AF_10/2025</t>
  </si>
  <si>
    <t>TRAMA DE AÇO COMPOSTA POR RIPAS PARA TELHADOS DE MAIS DE 2 ÁGUAS PARA TELHA DE ENCAIXE DE CERÂMICA OU DE CONCRETO, INCLUSO TRANSPORTE VERTICAL, EXCLUSIVE PINTURA. AF_10/2025</t>
  </si>
  <si>
    <t>TRAMA DE AÇO COMPOSTA POR RIPAS, CAIBROS E TERÇAS PARA TELHADOS DE ATÉ 2 ÁGUAS PARA TELHA CERÂMICA CAPA-CANAL, INCLUSO TRANSPORTE VERTICAL, EXCLUSIVE PINTURA. AF_10/2025</t>
  </si>
  <si>
    <t>TRAMA DE AÇO COMPOSTA POR RIPAS, CAIBROS E TERÇAS PARA TELHADOS DE ATÉ 2 ÁGUAS PARA TELHA DE ENCAIXE DE CERÂMICA OU DE CONCRETO, INCLUSO TRANSPORTE VERTICAL, EXCLUSIVE PINTURA. AF_10/2025</t>
  </si>
  <si>
    <t>TRAMA DE AÇO COMPOSTA POR RIPAS, CAIBROS E TERÇAS PARA TELHADOS DE MAIS DE 2 ÁGUAS PARA TELHA CERÂMICA CAPA-CANAL, INCLUSO TRANSPORTE VERTICAL, EXCLUSIVE PINTURA. AF_10/2025</t>
  </si>
  <si>
    <t>TRAMA DE AÇO COMPOSTA POR RIPAS, CAIBROS E TERÇAS PARA TELHADOS DE MAIS DE 2 ÁGUAS PARA TELHA DE ENCAIXE DE CERÂMICA OU DE CONCRETO, INCLUSO TRANSPORTE VERTICAL, EXCLUSIVE PINTURA. AF_10/2025</t>
  </si>
  <si>
    <t>TRAMA DE AÇO COMPOSTA POR TERÇAS PARA TELHADOS DE ATÉ 2 ÁGUAS PARA TELHA ESTRUTURAL DE FIBROCIMENTO, INCLUSO TRANSPORTE VERTICAL, EXCLUSIVE PINTURA. AF_10/2025</t>
  </si>
  <si>
    <t>TRAMA DE AÇO COMPOSTA POR TERÇAS PARA TELHADOS DE ATÉ 2 ÁGUAS PARA TELHA ONDULADA DE FIBROCIMENTO, METÁLICA, PLÁSTICA OU TERMOACÚSTICA, INCLUSO TRANSPORTE VERTICAL (EM KG). EXCLUSIVE PINTURA. AF_10/2025_PS</t>
  </si>
  <si>
    <t>TRAMA DE AÇO COMPOSTA POR TERÇAS PARA TELHADOS DE ATÉ 2 ÁGUAS PARA TELHA ONDULADA DE FIBROCIMENTO, METÁLICA, PLÁSTICA OU TERMOACÚSTICA, INCLUSO TRANSPORTE VERTICAL, EXCLUSIVE PINTURA. AF_10/2025_PS</t>
  </si>
  <si>
    <t>TRAMA DE MADEIRA COMPOSTA POR RIPAS, CAIBROS E TERÇAS PARA TELHADOS DE ATÉ 2 ÁGUAS PARA TELHA CERÂMICA OU DE CONCRETO, INCLUSO TRANSPORTE VERTICAL. AF_10/2025</t>
  </si>
  <si>
    <t>TRAMA DE MADEIRA COMPOSTA POR RIPAS, CAIBROS E TERÇAS PARA TELHADOS DE MAIS QUE 2 ÁGUAS PARA TELHA CERÂMICA OU DE CONCRETO, INCLUSO TRANSPORTE VERTICAL. AF_10/2025</t>
  </si>
  <si>
    <t>TRAMA DE MADEIRA COMPOSTA POR TERÇAS PARA TELHADOS DE ATÉ 2 ÁGUAS PARA TELHA ESTRUTURAL DE FIBROCIMENTO, INCLUSO TRANSPORTE VERTICAL. AF_10/2025</t>
  </si>
  <si>
    <t>TRAMA DE MADEIRA COMPOSTA POR TERÇAS PARA TELHADOS DE ATÉ 2 ÁGUAS PARA TELHA ONDULADA DE FIBROCIMENTO, METÁLICA, PLÁSTICA OU TERMOACÚSTICA, INCLUSO TRANSPORTE VERTICAL. AF_10/2025</t>
  </si>
  <si>
    <t>FORRO EM FIBRA MINERAL, PARA AMBIENTES COMERCIAIS, INCLUSIVE ESTRUTURA DE FIXAÇÃO. AF_08/2023_PS</t>
  </si>
  <si>
    <t>EXECUÇÃO DE PRÉ-FURO PARA GEODRENO VERTICAL. AF_01/2026</t>
  </si>
  <si>
    <t>CORRIMÃO DUPLO FIXADO EM PAREDE, DIÂMETRO EXTERNO = 1 1/2", EM ALUMÍNIO. AF_10/2025</t>
  </si>
  <si>
    <t>CORRIMÃO DUPLO FIXADO EM PAREDE, DIÂMETRO EXTERNO = 1 1/2", EM AÇO GALVANIZADO. AF_10/2025</t>
  </si>
  <si>
    <t>GRADIL EM ALUMÍNIO FIXADO EM VÃOS DE JANELAS, FORMADO POR TUBOS DE 3/4". AF_10/2025</t>
  </si>
  <si>
    <t>GRADIL EM AÇO FIXADO EM VÃOS DE JANELAS, FORMADO POR BARRAS CHATAS DE 25X4,8 MM. AF_10/2025</t>
  </si>
  <si>
    <t>GUARDA-CORPO DE AÇO GALVANIZADO COMPLEMENTAR À ALVENARIA, 0,65 M DE ALTURA, MONTANTES TUBULARES DE 1 1/4" ESPAÇADOS DE 1,80 M, TRAVESSA SUPERIOR DE 1 1/2", GRADIL FORMADO POR TUBOS HORIZONTAIS DE 1" E VERTICAIS DE 3/4", FIXADO COM ADESIVO ESTRUTURAL EPÓXI. AF_10/2025</t>
  </si>
  <si>
    <t>GUARDA-CORPO DE AÇO GALVANIZADO COMPLEMENTAR À ALVENARIA, 0,65 M DE ALTURA, MONTANTES TUBULARES DE 1 1/4" ESPAÇADOS DE 1,80 M, TRAVESSA SUPERIOR DE 1 1/2", GRADIL FORMADO POR TUBOS HORIZONTAIS DE 3/4", FIXADO COM ADESIVO ESTRUTURAL EPÓXI. AF_10/2025</t>
  </si>
  <si>
    <t>GUARDA-CORPO DE AÇO GALVANIZADO DE 1,10M, MONTANTES TUBULARES DE 1.1/2" ESPAÇADOS 1,20M, TRAVESSA SUPERIOR DE 2", GRADIL FORMADO POR BARRAS CHATAS DE 32X4,8MM, FIXADO COM ADESIVO ESTRUTURAL EPOXI. AF_10/2025</t>
  </si>
  <si>
    <t>IMPERMEABILIZAÇÃO DE SUPERFÍCIE COM ARGAMASSA POLIMÉRICA / MEMBRANA ACRÍLICA, 4 DEMÃOS, REFORÇADA COM VÉU DE POLIÉSTER. AF_09/2023</t>
  </si>
  <si>
    <t>TRATAMENTO DE RALO OU PONTO EMERGENTE COM ARGAMASSA POLIMÉRICA / MEMBRANA ACRÍLICA REFORÇADO COM VÉU DE POLIÉSTER. AF_09/2023</t>
  </si>
  <si>
    <t>TRATAMENTO DE RODAPÉ COM VÉU DE POLIÉSTER. AF_09/2023</t>
  </si>
  <si>
    <t>CONDULETE DE ALUMÍNIO, TIPO B, PARA ELETRODUTO DE AÇO GALVANIZADO DN 20 MM (3/4''), APARENTE - FORNECIMENTO E INSTALAÇÃO. AF_01/2026</t>
  </si>
  <si>
    <t>CONDULETE DE ALUMÍNIO, TIPO B, PARA ELETRODUTO DE AÇO GALVANIZADO DN 25 MM (1''), APARENTE - FORNECIMENTO E INSTALAÇÃO. AF_01/2026</t>
  </si>
  <si>
    <t>CONDULETE DE ALUMÍNIO, TIPO C, PARA ELETRODUTO DE AÇO GALVANIZADO DN 20 MM (3/4''), APARENTE - FORNECIMENTO E INSTALAÇÃO. AF_01/2026</t>
  </si>
  <si>
    <t>CONDULETE DE ALUMÍNIO, TIPO C, PARA ELETRODUTO DE AÇO GALVANIZADO DN 25 MM (1''), APARENTE - FORNECIMENTO E INSTALAÇÃO. AF_01/2026</t>
  </si>
  <si>
    <t>CONDULETE DE ALUMÍNIO, TIPO E, ELETRODUTO DE AÇO GALVANIZADO DN 25 MM (1''), APARENTE - FORNECIMENTO E INSTALAÇÃO. AF_01/2026</t>
  </si>
  <si>
    <t>CONDULETE DE ALUMÍNIO, TIPO E, PARA ELETRODUTO DE AÇO GALVANIZADO DN 20 MM (3/4''), APARENTE - FORNECIMENTO E INSTALAÇÃO. AF_01/2026</t>
  </si>
  <si>
    <t>CONDULETE DE ALUMÍNIO, TIPO E, PARA ELETRODUTO DE AÇO GALVANIZADO DN 32 MM (1 1/4''), APARENTE - FORNECIMENTO E INSTALAÇÃO. AF_01/2026</t>
  </si>
  <si>
    <t>CONDULETE DE ALUMÍNIO, TIPO LR, PARA ELETRODUTO DE AÇO GALVANIZADO DN 20 MM (3/4''), APARENTE - FORNECIMENTO E INSTALAÇÃO. AF_01/2026</t>
  </si>
  <si>
    <t>CONDULETE DE ALUMÍNIO, TIPO LR, PARA ELETRODUTO DE AÇO GALVANIZADO DN 25 MM (1''), APARENTE - FORNECIMENTO E INSTALAÇÃO. AF_01/2026</t>
  </si>
  <si>
    <t>CONDULETE DE ALUMÍNIO, TIPO LR, PARA ELETRODUTO DE AÇO GALVANIZADO DN 32 MM (1 1/4''), APARENTE - FORNECIMENTO E INSTALAÇÃO. AF_01/2026</t>
  </si>
  <si>
    <t>CONDULETE DE ALUMÍNIO, TIPO T, PARA ELETRODUTO DE AÇO GALVANIZADO DN 20 MM (3/4''), APARENTE - FORNECIMENTO E INSTALAÇÃO. AF_01/2026</t>
  </si>
  <si>
    <t>CONDULETE DE ALUMÍNIO, TIPO T, PARA ELETRODUTO DE AÇO GALVANIZADO DN 25 MM (1''), APARENTE - FORNECIMENTO E INSTALAÇÃO. AF_01/2026</t>
  </si>
  <si>
    <t>CONDULETE DE ALUMÍNIO, TIPO T, PARA ELETRODUTO DE AÇO GALVANIZADO DN 32 MM (1 1/4''), APARENTE - FORNECIMENTO E INSTALAÇÃO. AF_01/2026</t>
  </si>
  <si>
    <t>CONDULETE DE ALUMÍNIO, TIPO X, PARA ELETRODUTO DE AÇO GALVANIZADO DN 20 MM (3/4''), APARENTE - FORNECIMENTO E INSTALAÇÃO. AF_01/2026</t>
  </si>
  <si>
    <t>CONDULETE DE ALUMÍNIO, TIPO X, PARA ELETRODUTO DE AÇO GALVANIZADO DN 25 MM (1''), APARENTE - FORNECIMENTO E INSTALAÇÃO. AF_01/2026</t>
  </si>
  <si>
    <t>CONDULETE DE ALUMÍNIO, TIPO X, PARA ELETRODUTO DE AÇO GALVANIZADO DN 32 MM (1 1/4''), APARENTE - FORNECIMENTO E INSTALAÇÃO. AF_01/2026</t>
  </si>
  <si>
    <t>CONDULETE DE PVC, TIPO B, PARA ELETRODUTO DE PVC SOLDÁVEL DN 20 MM (1/2''), APARENTE - FORNECIMENTO E INSTALAÇÃO. AF_01/2026</t>
  </si>
  <si>
    <t>CONDULETE DE PVC, TIPO B, PARA ELETRODUTO DE PVC SOLDÁVEL DN 25 MM (3/4''), APARENTE - FORNECIMENTO E INSTALAÇÃO. AF_01/2026</t>
  </si>
  <si>
    <t>CONDULETE DE PVC, TIPO B, PARA ELETRODUTO DE PVC SOLDÁVEL DN 32 MM (1''), APARENTE - FORNECIMENTO E INSTALAÇÃO. AF_01/2026</t>
  </si>
  <si>
    <t>CONDULETE DE PVC, TIPO C, PARA ELETRODUTO DE PVC SOLDÁVEL DN 20 MM (1/2''), APARENTE - FORNECIMENTO E INSTALAÇÃO. AF_01/2026</t>
  </si>
  <si>
    <t>CONDULETE DE PVC, TIPO C, PARA ELETRODUTO DE PVC SOLDÁVEL DN 25 MM (3/4''), APARENTE - FORNECIMENTO E INSTALAÇÃO. AF_01/2026</t>
  </si>
  <si>
    <t>CONDULETE DE PVC, TIPO C, PARA ELETRODUTO DE PVC SOLDÁVEL DN 32 MM (1''), APARENTE - FORNECIMENTO E INSTALAÇÃO. AF_01/2026</t>
  </si>
  <si>
    <t>CONDULETE DE PVC, TIPO E, PARA ELETRODUTO DE PVC SOLDÁVEL DN 20 MM (1/2''), APARENTE - FORNECIMENTO E INSTALAÇÃO. AF_01/2026</t>
  </si>
  <si>
    <t>CONDULETE DE PVC, TIPO E, PARA ELETRODUTO DE PVC SOLDÁVEL DN 25 MM (3/4''), APARENTE - FORNECIMENTO E INSTALAÇÃO. AF_01/2026</t>
  </si>
  <si>
    <t>CONDULETE DE PVC, TIPO E, PARA ELETRODUTO DE PVC SOLDÁVEL DN 32 MM (1''), APARENTE - FORNECIMENTO E INSTALAÇÃO. AF_01/2026</t>
  </si>
  <si>
    <t>CONDULETE DE PVC, TIPO LB, PARA ELETRODUTO DE PVC SOLDÁVEL DN 20 MM (1/2''), APARENTE - FORNECIMENTO E INSTALAÇÃO. AF_01/2026</t>
  </si>
  <si>
    <t>CONDULETE DE PVC, TIPO LB, PARA ELETRODUTO DE PVC SOLDÁVEL DN 25 MM (3/4''), APARENTE - FORNECIMENTO E INSTALAÇÃO. AF_01/2026</t>
  </si>
  <si>
    <t>CONDULETE DE PVC, TIPO LB, PARA ELETRODUTO DE PVC SOLDÁVEL DN 32 MM (1''), APARENTE - FORNECIMENTO E INSTALAÇÃO. AF_01/2026</t>
  </si>
  <si>
    <t>CONDULETE DE PVC, TIPO LL, PARA ELETRODUTO DE PVC SOLDÁVEL DN 20 MM (1/2''), APARENTE - FORNECIMENTO E INSTALAÇÃO. AF_01/2026</t>
  </si>
  <si>
    <t>CONDULETE DE PVC, TIPO LL, PARA ELETRODUTO DE PVC SOLDÁVEL DN 25 MM (3/4''), APARENTE - FORNECIMENTO E INSTALAÇÃO. AF_01/2026</t>
  </si>
  <si>
    <t>CONDULETE DE PVC, TIPO LL, PARA ELETRODUTO DE PVC SOLDÁVEL DN 32 MM (1''), APARENTE - FORNECIMENTO E INSTALAÇÃO. AF_01/2026</t>
  </si>
  <si>
    <t>CONDULETE DE PVC, TIPO LR, PARA ELETRODUTO DE PVC SOLDÁVEL DN 20 MM (1/2''), APARENTE - FORNECIMENTO E INSTALAÇÃO. AF_01/2026</t>
  </si>
  <si>
    <t>CONDULETE DE PVC, TIPO LR, PARA ELETRODUTO DE PVC SOLDÁVEL DN 25 MM (3/4''), APARENTE - FORNECIMENTO E INSTALAÇÃO. AF_01/2026</t>
  </si>
  <si>
    <t>CONDULETE DE PVC, TIPO LR, PARA ELETRODUTO DE PVC SOLDÁVEL DN 32 MM (1''), APARENTE - FORNECIMENTO E INSTALAÇÃO. AF_01/2026</t>
  </si>
  <si>
    <t>CONDULETE DE PVC, TIPO T, PARA ELETRODUTO DE PVC SOLDÁVEL DN 25 MM (3/4''), APARENTE - FORNECIMENTO E INSTALAÇÃO. AF_01/2026</t>
  </si>
  <si>
    <t>CONDULETE DE PVC, TIPO T, PARA ELETRODUTO DE PVC SOLDÁVEL DN 32 MM (1''), APARENTE - FORNECIMENTO E INSTALAÇÃO. AF_01/2026</t>
  </si>
  <si>
    <t>CONDULETE DE PVC, TIPO TB, PARA ELETRODUTO DE PVC SOLDÁVEL DN 20 MM (1/2''), APARENTE - FORNECIMENTO E INSTALAÇÃO. AF_01/2026</t>
  </si>
  <si>
    <t>CONDULETE DE PVC, TIPO TB, PARA ELETRODUTO DE PVC SOLDÁVEL DN 25 MM (3/4''), APARENTE - FORNECIMENTO E INSTALAÇÃO. AF_01/2026</t>
  </si>
  <si>
    <t>CONDULETE DE PVC, TIPO TB, PARA ELETRODUTO DE PVC SOLDÁVEL DN 32 MM (1''), APARENTE - FORNECIMENTO E INSTALAÇÃO. AF_01/2026</t>
  </si>
  <si>
    <t>CONDULETE DE PVC, TIPO X, PARA ELETRODUTO DE PVC SOLDÁVEL DN 20 MM (1/2''), APARENTE - FORNECIMENTO E INSTALAÇÃO. AF_01/2026</t>
  </si>
  <si>
    <t>CONDULETE DE PVC, TIPO X, PARA ELETRODUTO DE PVC SOLDÁVEL DN 25 MM (3/4"), APARENTE - FORNECIMENTO E INSTALAÇÃO. AF_01/2026</t>
  </si>
  <si>
    <t>CONDULETE DE PVC, TIPO X, PARA ELETRODUTO DE PVC SOLDÁVEL DN 32 MM (1''), APARENTE - FORNECIMENTO E INSTALAÇÃO. AF_01/2026</t>
  </si>
  <si>
    <t>CURVA 135 GRAUS PARA ELETRODUTO, AÇO GALVANIZADO, DN 20 MM (3/4''), APARENTE - FORNECIMENTO E INSTALAÇÃO. AF_01/2026</t>
  </si>
  <si>
    <t>CURVA 135 GRAUS PARA ELETRODUTO, AÇO GALVANIZADO, DN 25 MM (1''), APARENTE - FORNECIMENTO E INSTALAÇÃO. AF_01/2026</t>
  </si>
  <si>
    <t>CURVA 135 GRAUS PARA ELETRODUTO, AÇO GALVANIZADO, DN 32 MM (1 1/4''), APARENTE - FORNECIMENTO E INSTALAÇÃO. AF_01/2026</t>
  </si>
  <si>
    <t>CURVA 135 GRAUS PARA ELETRODUTO, AÇO GALVANIZADO, DN 40 MM (1 1/2''), APARENTE - FORNECIMENTO E INSTALAÇÃO. AF_01/2026</t>
  </si>
  <si>
    <t>CURVA 45 GRAUS PARA ELETRODUTO, AÇO GALVANIZADO, DN 20 MM (3/4''), APARENTE - FORNECIMENTO E INSTALAÇÃO. AF_01/2026</t>
  </si>
  <si>
    <t>CURVA 45 GRAUS PARA ELETRODUTO, AÇO GALVANIZADO, DN 25 MM (1''), APARENTE - FORNECIMENTO E INSTALAÇÃO. AF_01/2026</t>
  </si>
  <si>
    <t>CURVA 45 GRAUS PARA ELETRODUTO, AÇO GALVANIZADO, DN 40 MM (1 1/2''), APARENTE - FORNECIMENTO E INSTALAÇÃO. AF_01/2026</t>
  </si>
  <si>
    <t>CURVA 90 GRAUS PARA ELETRODUTO, AÇO GALVANIZADO, DN 20 MM (3/4''), APARENTE - FORNECIMENTO E INSTALAÇÃO. AF_01/2026</t>
  </si>
  <si>
    <t>CURVA 90 GRAUS PARA ELETRODUTO, AÇO GALVANIZADO, DN 25 MM (1"), APARENTE - FORNECIMENTO E INSTALAÇÃO. AF_01/2026</t>
  </si>
  <si>
    <t>CURVA 90 GRAUS PARA ELETRODUTO, AÇO GALVANIZADO, DN 32 MM (1 1/4''), APARENTE - FORNECIMENTO E INSTALAÇÃO. AF_01/2026</t>
  </si>
  <si>
    <t>CURVA 90 GRAUS PARA ELETRODUTO, AÇO GALVANIZADO, DN 40 MM (1 1/2''), APARENTE - FORNECIMENTO E INSTALAÇÃO. AF_01/2026</t>
  </si>
  <si>
    <t>ELETRODUTO METÁLICO ZINCADO FLEXÍVEL COM CAPA (SEALTUBO), DIÂMETRO 1 1/4"- FORNECIMENTO E INSTALAÇÃO. AF_01/2026</t>
  </si>
  <si>
    <t>ELETRODUTO METÁLICO ZINCADO FLEXÍVEL COM CAPA (SEALTUBO), DIÂMETRO 1"- FORNECIMENTO E INSTALAÇÃO. AF_01/2026</t>
  </si>
  <si>
    <t>ELETRODUTO METÁLICO ZINCADO FLEXÍVEL COM CAPA (SEALTUBO),  DIÂMETRO 3/4"- FORNECIMENTO E INSTALAÇÃO. AF_01/2026</t>
  </si>
  <si>
    <t>ELETRODUTO RÍGIDO SOLDÁVEL, PVC, DN 20 MM (1/2"), APARENTE - FORNECIMENTO E INSTALAÇÃO. AF_01/2026</t>
  </si>
  <si>
    <t>ELETRODUTO RÍGIDO SOLDÁVEL, PVC, DN 25 MM (3/4"), APARENTE - FORNECIMENTO E INSTALAÇÃO. AF_01/2026</t>
  </si>
  <si>
    <t>ELETRODUTO RÍGIDO SOLDÁVEL, PVC, DN 32 MM (1"), APARENTE - FORNECIMENTO E INSTALAÇÃO. AF_01/2026</t>
  </si>
  <si>
    <t>LUVA DE EMENDA PARA ELETRODUTO, AÇO GALVANIZADO, DN 20 MM (3/4''), APARENTE - FORNECIMENTO E INSTALAÇÃO. AF_01/2026</t>
  </si>
  <si>
    <t>LUVA DE EMENDA PARA ELETRODUTO, AÇO GALVANIZADO, DN 25 MM (1''), APARENTE - FORNECIMENTO E INSTALAÇÃO. AF_01/2026</t>
  </si>
  <si>
    <t>LUVA DE EMENDA PARA ELETRODUTO, AÇO GALVANIZADO, DN 32 MM (1 1/4''), APARENTE - FORNECIMENTO E INSTALAÇÃO. AF_01/2026</t>
  </si>
  <si>
    <t>LUVA DE EMENDA PARA ELETRODUTO, AÇO GALVANIZADO, DN 40 MM (1 1/2''), APARENTE - FORNECIMENTO E INSTALAÇÃO. AF_01/2026</t>
  </si>
  <si>
    <t>ALÇA PREFORMADA DE DISTRIBUIÇÃO, EM AÇO GALVANIZADO, AWG 1 - FORNECIMENTO E INSTALAÇÃO. AF_12/2025</t>
  </si>
  <si>
    <t>ALÇA PREFORMADA DE DISTRIBUIÇÃO, EM AÇO GALVANIZADO, AWG 2 - FORNECIMENTO E INSTALAÇÃO. AF_12/2025</t>
  </si>
  <si>
    <t>ALÇA PREFORMADA DE DISTRIBUIÇÃO, EM AÇO GALVANIZADO, AWG 4 - FORNECIMENTO E INSTALAÇÃO. AF_12/2025</t>
  </si>
  <si>
    <t>ALÇA PREFORMADA DE DISTRIBUIÇÃO, EM AÇO GALVANIZADO, AWG 6 - FORNECIMENTO E INSTALAÇÃO. AF_12/2025</t>
  </si>
  <si>
    <t>APARELHO SINALIZADOR DE SAÍDA DE GARAGEM, COM CÉLULA FOTOELÉTRICA - FORNECIMENTO E INSTALAÇÃO. AF_12/2025</t>
  </si>
  <si>
    <t>ARMAÇÃO SECUNDÁRIA, COM 1 ESTRIBO E 1 ISOLADOR - FORNECIMENTO E INSTALAÇÃO. AF_12/2025</t>
  </si>
  <si>
    <t>ARMAÇÃO SECUNDÁRIA, COM 1 ESTRIBO, SEM ISOLADOR - FORNECIMENTO E INSTALAÇÃO. AF_12/2025</t>
  </si>
  <si>
    <t>ARMAÇÃO SECUNDÁRIA, COM 2 ESTRIBOS E 2 ISOLADORES - FORNECIMENTO E INSTALAÇÃO. AF_12/2025</t>
  </si>
  <si>
    <t>ARMAÇÃO SECUNDÁRIA, COM 2 ESTRIBOS, SEM ISOLADOR - FORNECIMENTO E INSTALAÇÃO. AF_12/2025</t>
  </si>
  <si>
    <t>ARMAÇÃO SECUNDÁRIA, COM 3 ESTRIBOS E 3 ISOLADORES - FORNECIMENTO E INSTALAÇÃO. AF_12/2025</t>
  </si>
  <si>
    <t>ARMAÇÃO SECUNDÁRIA, COM 3 ESTRIBOS, SEM ISOLADOR - FORNECIMENTO E INSTALAÇÃO. AF_12/2025</t>
  </si>
  <si>
    <t>ARMAÇÃO SECUNDÁRIA, COM 4 ESTRIBOS E 4 ISOLADORES - FORNECIMENTO E INSTALAÇÃO. AF_12/2025</t>
  </si>
  <si>
    <t>ARMAÇÃO SECUNDÁRIA, COM 4 ESTRIBOS, SEM ISOLADOR - FORNECIMENTO E INSTALAÇÃO. AF_12/2025</t>
  </si>
  <si>
    <t>CABO DE ALUMÍNIO NÚ COM ALMA DE AÇO, BITOLA 1/0 AWG PARA REDE AÉREA DE DISTRIBUIÇÃO DE ENERGIA ELÉTRICA DE MÉDIA TENSÃO - FORNECIMENTO E INSTALAÇÃO. AF_12/2025</t>
  </si>
  <si>
    <t>CABO DE ALUMÍNIO NÚ COM ALMA DE AÇO, BITOLA 2 AWG PARA REDE AÉREA DE DISTRIBUIÇÃO DE ENERGIA ELÉTRICA DE MÉDIA TENSÃO - FORNECIMENTO E INSTALAÇÃO. AF_12/2025</t>
  </si>
  <si>
    <t>CABO DE ALUMÍNIO NÚ COM ALMA DE AÇO, BITOLA 2/0 AWG PARA REDE AÉREA DE DISTRIBUIÇÃO DE ENERGIA ELÉTRICA DE MÉDIA TENSÃO - FORNECIMENTO E INSTALAÇÃO. AF_12/2025</t>
  </si>
  <si>
    <t>CABO DE ALUMÍNIO NÚ COM ALMA DE AÇO, BITOLA 4 AWG PARA REDE AÉREA DE DISTRIBUIÇÃO DE ENERGIA ELÉTRICA DE MÉDIA TENSÃO - FORNECIMENTO E INSTALAÇÃO. AF_12/2025</t>
  </si>
  <si>
    <t>CABO DE ALUMÍNIO NÚ SEM ALMA DE AÇO, BITOLA 1/0 AWG PARA REDE AÉREA DE DISTRIBUIÇÃO DE ENERGIA ELÉTRICA DE MÉDIA TENSÃO - FORNECIMENTO E INSTALAÇÃO. AF_12/2025</t>
  </si>
  <si>
    <t>CABO DE ALUMÍNIO NÚ SEM ALMA DE AÇO, BITOLA 2 AWG PARA REDE AÉREA DE DISTRIBUIÇÃO DE ENERGIA ELÉTRICA DE MÉDIA TENSÃO - FORNECIMENTO E INSTALAÇÃO. AF_12/2025</t>
  </si>
  <si>
    <t>CABO DE ALUMÍNIO NÚ SEM ALMA DE AÇO, BITOLA 2/0 AWG PARA REDE AÉREA DE DISTRIBUIÇÃO DE ENERGIA ELÉTRICA DE MÉDIA TENSÃO - FORNECIMENTO E INSTALAÇÃO. AF_12/2025</t>
  </si>
  <si>
    <t>CABO DE ALUMÍNIO NÚ SEM ALMA DE AÇO, BITOLA 4 AWG PARA REDE AÉREA DE DISTRIBUIÇÃO DE ENERGIA ELÉTRICA DE MÉDIA TENSÃO - FORNECIMENTO E INSTALAÇÃO. AF_12/2025</t>
  </si>
  <si>
    <t>CABO DE COBRE FLEXÍVEL ISOLADO, 10 MM², 0,6/1,0 KV, PARA REDE AÉREA DE DISTRIBUIÇÃO DE ENERGIA ELÉTRICA DE BAIXA TENSÃO - FORNECIMENTO E INSTALAÇÃO. AF_12/2025</t>
  </si>
  <si>
    <t>CABO DE COBRE FLEXÍVEL ISOLADO, 120 MM², 0,6/1,0 KV, PARA REDE AÉREA DE DISTRIBUIÇÃO DE ENERGIA ELÉTRICA DE BAIXA TENSÃO - FORNECIMENTO E INSTALAÇÃO. AF_12/2025</t>
  </si>
  <si>
    <t>CABO DE COBRE FLEXÍVEL ISOLADO, 16 MM², 0,6/1,0 KV, PARA REDE AÉREA DE DISTRIBUIÇÃO DE ENERGIA ELÉTRICA DE BAIXA TENSÃO - FORNECIMENTO E INSTALAÇÃO. AF_12/2025</t>
  </si>
  <si>
    <t>CABO DE COBRE FLEXÍVEL ISOLADO, 25 MM², 0,6/1,0 KV, PARA REDE AÉREA DE DISTRIBUIÇÃO DE ENERGIA ELÉTRICA DE BAIXA TENSÃO - FORNECIMENTO E INSTALAÇÃO. AF_12/2025</t>
  </si>
  <si>
    <t>CABO DE COBRE FLEXÍVEL ISOLADO, 35 MM², 0,6/1,0 KV, PARA REDE AÉREA DE DISTRIBUIÇÃO DE ENERGIA ELÉTRICA DE BAIXA TENSÃO - FORNECIMENTO E INSTALAÇÃO. AF_12/2025</t>
  </si>
  <si>
    <t>CABO DE COBRE FLEXÍVEL ISOLADO, 50 MM², 0,6/1,0 KV, PARA REDE AÉREA DE DISTRIBUIÇÃO DE ENERGIA ELÉTRICA DE BAIXA TENSÃO - FORNECIMENTO E INSTALAÇÃO. AF_12/2025</t>
  </si>
  <si>
    <t>CABO DE COBRE FLEXÍVEL ISOLADO, 70 MM², 0,6/1,0 KV, PARA REDE AÉREA DE DISTRIBUIÇÃO DE ENERGIA ELÉTRICA DE BAIXA TENSÃO - FORNECIMENTO E INSTALAÇÃO. AF_12/2025</t>
  </si>
  <si>
    <t>CABO DE COBRE FLEXÍVEL ISOLADO, 95 MM², 0,6/1,0 KV, PARA REDE AÉREA DE DISTRIBUIÇÃO DE ENERGIA ELÉTRICA DE BAIXA TENSÃO - FORNECIMENTO E INSTALAÇÃO. AF_12/2025</t>
  </si>
  <si>
    <t>ENTRADA DE ENERGIA ELÉTRICA, AÉREA, BIFÁSICA, COM CAIXA DE EMBUTIR, CABO DE 10 MM2 E DISJUNTOR DIN 50A (NÃO INCLUSO O POSTE DE CONCRETO). AF_12/2025</t>
  </si>
  <si>
    <t>ENTRADA DE ENERGIA ELÉTRICA, AÉREA, BIFÁSICA, COM CAIXA DE EMBUTIR, CABO DE 16 MM2 E DISJUNTOR DIN 50A (NÃO INCLUSO O POSTE DE CONCRETO). AF_12/2025</t>
  </si>
  <si>
    <t>ENTRADA DE ENERGIA ELÉTRICA, AÉREA, BIFÁSICA, COM CAIXA DE EMBUTIR, CABO DE 25 MM2 E DISJUNTOR DIN 50A (NÃO INCLUSO O POSTE DE CONCRETO). AF_12/2025</t>
  </si>
  <si>
    <t>ENTRADA DE ENERGIA ELÉTRICA, AÉREA, BIFÁSICA, COM CAIXA DE EMBUTIR, CABO DE 35 MM2 E DISJUNTOR DIN 50A (NÃO INCLUSO O POSTE DE CONCRETO). AF_12/2025</t>
  </si>
  <si>
    <t>ENTRADA DE ENERGIA ELÉTRICA, AÉREA, BIFÁSICA, COM CAIXA DE SOBREPOR, CABO DE 10 MM2 E DISJUNTOR DIN 50A (NÃO INCLUSO O POSTE DE CONCRETO). AF_12/2025</t>
  </si>
  <si>
    <t>ENTRADA DE ENERGIA ELÉTRICA, AÉREA, BIFÁSICA, COM CAIXA DE SOBREPOR, CABO DE 16 MM2 E DISJUNTOR DIN 50A (NÃO INCLUSO O POSTE DE CONCRETO). AF_12/2025</t>
  </si>
  <si>
    <t>ENTRADA DE ENERGIA ELÉTRICA, AÉREA, BIFÁSICA, COM CAIXA DE SOBREPOR, CABO DE 25 MM2 E DISJUNTOR DIN 50A (NÃO INCLUSO O POSTE DE CONCRETO). AF_12/2025</t>
  </si>
  <si>
    <t>ENTRADA DE ENERGIA ELÉTRICA, AÉREA, BIFÁSICA, COM CAIXA DE SOBREPOR, CABO DE 35 MM2 E DISJUNTOR DIN 50A (NÃO INCLUSO O POSTE DE CONCRETO). AF_12/2025</t>
  </si>
  <si>
    <t>ENTRADA DE ENERGIA ELÉTRICA, AÉREA, MONOFÁSICA, COM CAIXA DE EMBUTIR, CABO DE 10 MM2 E DISJUNTOR DIN 50A (NÃO INCLUSO O POSTE DE CONCRETO). AF_12/2025</t>
  </si>
  <si>
    <t>ENTRADA DE ENERGIA ELÉTRICA, AÉREA, MONOFÁSICA, COM CAIXA DE EMBUTIR, CABO DE 16 MM2 E DISJUNTOR DIN 50A (NÃO INCLUSO O POSTE DE CONCRETO). AF_12/2025</t>
  </si>
  <si>
    <t>ENTRADA DE ENERGIA ELÉTRICA, AÉREA, MONOFÁSICA, COM CAIXA DE EMBUTIR, CABO DE 25 MM2 E DISJUNTOR DIN 50A (NÃO INCLUSO O POSTE DE CONCRETO). AF_12/2025</t>
  </si>
  <si>
    <t>ENTRADA DE ENERGIA ELÉTRICA, AÉREA, MONOFÁSICA, COM CAIXA DE EMBUTIR, CABO DE 35 MM2 E DISJUNTOR DIN 50A (NÃO INCLUSO O POSTE DE CONCRETO). AF_12/2025</t>
  </si>
  <si>
    <t>ENTRADA DE ENERGIA ELÉTRICA, AÉREA, MONOFÁSICA, COM CAIXA DE SOBREPOR, CABO DE 10 MM2 E DISJUNTOR DIN 50A (NÃO INCLUSO O POSTE DE CONCRETO). AF_12/2025</t>
  </si>
  <si>
    <t>ENTRADA DE ENERGIA ELÉTRICA, AÉREA, MONOFÁSICA, COM CAIXA DE SOBREPOR, CABO DE 16 MM2 E DISJUNTOR DIN 50A (NÃO INCLUSO O POSTE DE CONCRETO). AF_12/2025</t>
  </si>
  <si>
    <t>ENTRADA DE ENERGIA ELÉTRICA, AÉREA, MONOFÁSICA, COM CAIXA DE SOBREPOR, CABO DE 25 MM2 E DISJUNTOR DIN 50A (NÃO INCLUSO O POSTE DE CONCRETO). AF_12/2025</t>
  </si>
  <si>
    <t>ENTRADA DE ENERGIA ELÉTRICA, AÉREA, MONOFÁSICA, COM CAIXA DE SOBREPOR, CABO DE 35 MM2 E DISJUNTOR DIN 50A (NÃO INCLUSO O POSTE DE CONCRETO). AF_12/2025</t>
  </si>
  <si>
    <t>ENTRADA DE ENERGIA ELÉTRICA, AÉREA, TRIFÁSICA, COM CAIXA DE EMBUTIR, CABO DE 10 MM2 E DISJUNTOR DIN 50A (NÃO INCLUSO O POSTE DE CONCRETO). AF_12/2025</t>
  </si>
  <si>
    <t>ENTRADA DE ENERGIA ELÉTRICA, AÉREA, TRIFÁSICA, COM CAIXA DE EMBUTIR, CABO DE 16 MM2 E DISJUNTOR DIN 50A (NÃO INCLUSO O POSTE DE CONCRETO). AF_12/2025</t>
  </si>
  <si>
    <t>ENTRADA DE ENERGIA ELÉTRICA, AÉREA, TRIFÁSICA, COM CAIXA DE EMBUTIR, CABO DE 25 MM2 E DISJUNTOR DIN 50A (NÃO INCLUSO O POSTE DE CONCRETO). AF_12/2025</t>
  </si>
  <si>
    <t>ENTRADA DE ENERGIA ELÉTRICA, AÉREA, TRIFÁSICA, COM CAIXA DE EMBUTIR, CABO DE 35 MM2 E DISJUNTOR DIN 50A (NÃO INCLUSO O POSTE DE CONCRETO). AF_12/2025</t>
  </si>
  <si>
    <t>ENTRADA DE ENERGIA ELÉTRICA, AÉREA, TRIFÁSICA, COM CAIXA DE SOBREPOR, CABO DE 10 MM2 E DISJUNTOR DIN 50A (NÃO INCLUSO O POSTE DE CONCRETO). AF_12/2025</t>
  </si>
  <si>
    <t>ENTRADA DE ENERGIA ELÉTRICA, AÉREA, TRIFÁSICA, COM CAIXA DE SOBREPOR, CABO DE 16 MM2 E DISJUNTOR DIN 50A (NÃO INCLUSO O POSTE DE CONCRETO). AF_12/2025</t>
  </si>
  <si>
    <t>ENTRADA DE ENERGIA ELÉTRICA, AÉREA, TRIFÁSICA, COM CAIXA DE SOBREPOR, CABO DE 25 MM2 E DISJUNTOR DIN 50A (NÃO INCLUSO O POSTE DE CONCRETO). AF_12/2025</t>
  </si>
  <si>
    <t>ENTRADA DE ENERGIA ELÉTRICA, AÉREA, TRIFÁSICA, COM CAIXA DE SOBREPOR, CABO DE 35 MM2 E DISJUNTOR DIN 50A (NÃO INCLUSO O POSTE DE CONCRETO). AF_12/2025</t>
  </si>
  <si>
    <t>ENTRADA DE ENERGIA ELÉTRICA, SUBTERRÂNEA, BIFÁSICA, COM CAIXA DE EMBUTIR, CABO DE 10 MM2 E DISJUNTOR DIN 50A (NÃO INCLUSA MURETA DE ALVENARIA). AF_12/2025</t>
  </si>
  <si>
    <t>ENTRADA DE ENERGIA ELÉTRICA, SUBTERRÂNEA, BIFÁSICA, COM CAIXA DE EMBUTIR, CABO DE 16 MM2 E DISJUNTOR DIN 50A (NÃO INCLUSA MURETA DE ALVENARIA). AF_12/2025</t>
  </si>
  <si>
    <t>ENTRADA DE ENERGIA ELÉTRICA, SUBTERRÂNEA, BIFÁSICA, COM CAIXA DE EMBUTIR, CABO DE 25 MM2 E DISJUNTOR DIN 50A (NÃO INCLUSA MURETA DE ALVENARIA). AF_12/2025</t>
  </si>
  <si>
    <t>ENTRADA DE ENERGIA ELÉTRICA, SUBTERRÂNEA, BIFÁSICA, COM CAIXA DE EMBUTIR, CABO DE 35 MM2 E DISJUNTOR DIN 50A (NÃO INCLUSA MURETA DE ALVENARIA). AF_12/2025</t>
  </si>
  <si>
    <t>ENTRADA DE ENERGIA ELÉTRICA, SUBTERRÂNEA, BIFÁSICA, COM CAIXA DE SOBREPOR, CABO DE 10 MM2 E DISJUNTOR DIN 50A (NÃO INCLUSA MURETA DE ALVENARIA). AF_12/2025</t>
  </si>
  <si>
    <t>ENTRADA DE ENERGIA ELÉTRICA, SUBTERRÂNEA, BIFÁSICA, COM CAIXA DE SOBREPOR, CABO DE 16 MM2 E DISJUNTOR DIN 50A (NÃO INCLUSA MURETA DE ALVENARIA). AF_12/2025</t>
  </si>
  <si>
    <t>ENTRADA DE ENERGIA ELÉTRICA, SUBTERRÂNEA, BIFÁSICA, COM CAIXA DE SOBREPOR, CABO DE 25 MM2 E DISJUNTOR DIN 50A (NÃO INCLUSA MURETA DE ALVENARIA). AF_12/2025</t>
  </si>
  <si>
    <t>ENTRADA DE ENERGIA ELÉTRICA, SUBTERRÂNEA, BIFÁSICA, COM CAIXA DE SOBREPOR, CABO DE 35 MM2 E DISJUNTOR DIN 50A (NÃO INCLUSA MURETA DE ALVENARIA). AF_12/2025</t>
  </si>
  <si>
    <t>ENTRADA DE ENERGIA ELÉTRICA, SUBTERRÂNEA, MONOFÁSICA, COM CAIXA DE EMBUTIR, CABO DE 10 MM2 E DISJUNTOR DIN 50A (NÃO INCLUSA MURETA DE ALVENARIA). AF_12/2025</t>
  </si>
  <si>
    <t>ENTRADA DE ENERGIA ELÉTRICA, SUBTERRÂNEA, MONOFÁSICA, COM CAIXA DE EMBUTIR, CABO DE 16 MM2 E DISJUNTOR DIN 50A (NÃO INCLUSA MURETA DE ALVENARIA). AF_12/2025</t>
  </si>
  <si>
    <t>ENTRADA DE ENERGIA ELÉTRICA, SUBTERRÂNEA, MONOFÁSICA, COM CAIXA DE EMBUTIR, CABO DE 25 MM2 E DISJUNTOR DIN 50A (NÃO INCLUSA MURETA DE ALVENARIA). AF_12/2025</t>
  </si>
  <si>
    <t>ENTRADA DE ENERGIA ELÉTRICA, SUBTERRÂNEA, MONOFÁSICA, COM CAIXA DE EMBUTIR, CABO DE 35 MM2 E DISJUNTOR DIN 50A (NÃO INCLUSA MURETA DE ALVENARIA). AF_12/2025</t>
  </si>
  <si>
    <t>ENTRADA DE ENERGIA ELÉTRICA, SUBTERRÂNEA, MONOFÁSICA, COM CAIXA DE SOBREPOR, CABO DE 10 MM2 E DISJUNTOR DIN 50A (NÃO INCLUSA MURETA DE ALVENARIA). AF_12/2025</t>
  </si>
  <si>
    <t>ENTRADA DE ENERGIA ELÉTRICA, SUBTERRÂNEA, MONOFÁSICA, COM CAIXA DE SOBREPOR, CABO DE 16 MM2 E DISJUNTOR DIN 50A (NÃO INCLUSA MURETA DE ALVENARIA). AF_12/2025</t>
  </si>
  <si>
    <t>ENTRADA DE ENERGIA ELÉTRICA, SUBTERRÂNEA, MONOFÁSICA, COM CAIXA DE SOBREPOR, CABO DE 25 MM2 E DISJUNTOR DIN 50A (NÃO INCLUSA MURETA DE ALVENARIA). AF_12/2025</t>
  </si>
  <si>
    <t>ENTRADA DE ENERGIA ELÉTRICA, SUBTERRÂNEA, MONOFÁSICA, COM CAIXA DE SOBREPOR, CABO DE 35 MM2 E DISJUNTOR DIN 50A (NÃO INCLUSA MURETA DE ALVENARIA). AF_12/2025</t>
  </si>
  <si>
    <t>ENTRADA DE ENERGIA ELÉTRICA, SUBTERRÂNEA, TRIFÁSICA, COM CAIXA DE EMBUTIR, CABO DE 10 MM2 E DISJUNTOR DIN 50A (NÃO INCLUSA MURETA DE ALVENARIA). AF_12/2025</t>
  </si>
  <si>
    <t>ENTRADA DE ENERGIA ELÉTRICA, SUBTERRÂNEA, TRIFÁSICA, COM CAIXA DE EMBUTIR, CABO DE 16 MM2 E DISJUNTOR DIN 50A (NÃO INCLUSA MURETA DE ALVENARIA). AF_12/2025</t>
  </si>
  <si>
    <t>ENTRADA DE ENERGIA ELÉTRICA, SUBTERRÂNEA, TRIFÁSICA, COM CAIXA DE EMBUTIR, CABO DE 25 MM2 E DISJUNTOR DIN 50A (NÃO INCLUSA MURETA DE ALVENARIA). AF_12/2025</t>
  </si>
  <si>
    <t>ENTRADA DE ENERGIA ELÉTRICA, SUBTERRÂNEA, TRIFÁSICA, COM CAIXA DE EMBUTIR, CABO DE 35 MM2 E DISJUNTOR DIN 50A (NÃO INCLUSA MURETA DE ALVENARIA). AF_12/2025</t>
  </si>
  <si>
    <t>ENTRADA DE ENERGIA ELÉTRICA, SUBTERRÂNEA, TRIFÁSICA, COM CAIXA DE SOBREPOR, CABO DE 10 MM2 E DISJUNTOR DIN 50A (NÃO INCLUSA MURETA DE ALVENARIA). AF_12/2025</t>
  </si>
  <si>
    <t>ENTRADA DE ENERGIA ELÉTRICA, SUBTERRÂNEA, TRIFÁSICA, COM CAIXA DE SOBREPOR, CABO DE 16 MM2 E DISJUNTOR DIN 50A (NÃO INCLUSA MURETA DE ALVENARIA). AF_12/2025</t>
  </si>
  <si>
    <t>ENTRADA DE ENERGIA ELÉTRICA, SUBTERRÂNEA, TRIFÁSICA, COM CAIXA DE SOBREPOR, CABO DE 25 MM2 E DISJUNTOR DIN 50A (NÃO INCLUSA MURETA DE ALVENARIA). AF_12/2025</t>
  </si>
  <si>
    <t>ENTRADA DE ENERGIA ELÉTRICA, SUBTERRÂNEA, TRIFÁSICA, COM CAIXA DE SOBREPOR, CABO DE 35 MM2 E DISJUNTOR DIN 50A (NÃO INCLUSA MURETA DE ALVENARIA). AF_12/2025</t>
  </si>
  <si>
    <t>GRAMPO PARALELO METÁLICO, PARA REDES AÉREAS DE DISTRIBUIÇÃO DE ENERGIA ELÉTRICA DE BAIXA TENSÃO - FORNECIMENTO E INSTALAÇÃO. AF_12/2025</t>
  </si>
  <si>
    <t>ISOLADOR, TIPO DISCO, PARA TENSÃO 15 KV - FORNECIMENTO E INSTALAÇÃO. AF_12/2025</t>
  </si>
  <si>
    <t>ISOLADOR, TIPO PINO, PARA TENSÃO 15 KV - FORNECIMENTO E INSTALAÇÃO. AF_12/2025</t>
  </si>
  <si>
    <t>ISOLADOR, TIPO ROLDANA, PARA BAIXA TENSÃO - FORNECIMENTO E INSTALAÇÃO. AF_12/2025</t>
  </si>
  <si>
    <t>DIVISORIA SANITÁRIA, EM GRANITO CINZA POLIDO, ESP = 3CM, ASSENTADO COM ARGAMASSA COLANTE AC III-E. AF_10/2025</t>
  </si>
  <si>
    <t>DIVISORIA SANITÁRIA, EM MÁRMORE BRANCO POLIDO, ESP = 3CM, ASSENTADO COM ARGAMASSA COLANTE AC III-E. AF_10/2025</t>
  </si>
  <si>
    <t>DIVISORIA SANITÁRIA, EM PAINEL DE GRANILITE, ESP = 3CM, ASSENTADO COM ARGAMASSA COLANTE AC III-E. AF_10/2025</t>
  </si>
  <si>
    <t>DIVISÓRIA FIXA EM VIDRO TEMPERADO 10 MM, SEM ABERTURA. AF_10/2025_PS</t>
  </si>
  <si>
    <t>ABRIGO PARA HIDRANTE, 75X45X17CM, COM REGISTRO GLOBO ANGULAR 45 GRAUS 2 1/2", ADAPTADOR STORZ 2 1/2", MANGUEIRA DE INCÊNDIO 15M 2 1/2" E ESGUICHO EM LATÃO 2 1/2" - FORNECIMENTO E INSTALAÇÃO. AF_01/2026</t>
  </si>
  <si>
    <t>ABRIGO PARA HIDRANTE, 90X60X17CM, COM REGISTRO GLOBO ANGULAR 45 GRAUS 2 1/2", ADAPTADOR STORZ 2 1/2", MANGUEIRA DE INCÊNDIO 20M, REDUÇÃO 2 1/2" X 1 1/2" E ESGUICHO EM LATÃO 1 1/2" - FORNECIMENTO E INSTALAÇÃO. AF_01/2026</t>
  </si>
  <si>
    <t>ACOPLAMENTO RÍGIDO EM AÇO, CONEXÃO RANHURADA, DN 50 (2"), INSTALADO EM PRUMADAS - FORNECIMENTO E INSTALAÇÃO. AF_01/2026</t>
  </si>
  <si>
    <t>ACOPLAMENTO RÍGIDO EM AÇO, CONEXÃO RANHURADA, DN 65 (2 1/2"), INSTALADO EM PRUMADAS - FORNECIMENTO E INSTALAÇÃO. AF_01/2026</t>
  </si>
  <si>
    <t>ACOPLAMENTO RÍGIDO EM AÇO, CONEXÃO RANHURADA, DN 80 (3"), INSTALADO EM PRUMADAS - FORNECIMENTO E INSTALAÇÃO. AF_01/2026</t>
  </si>
  <si>
    <t>CAIXA DE INCÊNDIO 45X75X17CM - FORNECIMENTO E INSTALAÇÃO. AF_01/2026</t>
  </si>
  <si>
    <t>CAIXA DE INCÊNDIO 60X90X17CM - FORNECIMENTO E INSTALAÇÃO. AF_01/2026</t>
  </si>
  <si>
    <t>CONJUNTO DE MANGUEIRA PARA COMBATE A INCÊNDIO EM FIBRA DE POLIESTER PURA, COM 1.1/2", REVESTIDA INTERNAMENTE, COMPRIMENTO DE 15M - FORNECIMENTO E INSTALAÇÃO. AF_01/2026</t>
  </si>
  <si>
    <t>CURVA 45 GRAUS, EM AÇO, CONEXÃO RANHURADA, DN 50 (2"), INSTALADO EM PRUMADAS - FORNECIMENTO E INSTALAÇÃO. AF_01/2026</t>
  </si>
  <si>
    <t>CURVA 45 GRAUS, EM AÇO, CONEXÃO RANHURADA, DN 65 (2 1/2"), INSTALADO EM PRUMADAS - FORNECIMENTO E INSTALAÇÃO. AF_01/2026</t>
  </si>
  <si>
    <t>CURVA 45 GRAUS, EM AÇO, CONEXÃO RANHURADA, DN 80 (3"), INSTALADO EM PRUMADAS - FORNECIMENTO E INSTALAÇÃO. AF_01/2026</t>
  </si>
  <si>
    <t>CURVA 45 GRAUS, EM AÇO, CONEXÃO SOLDADA, DN 15 (1/2"), INSTALADO EM RAMAIS E SUB-RAMAIS DE GÁS - FORNECIMENTO E INSTALAÇÃO. AF_01/2026</t>
  </si>
  <si>
    <t>CURVA 45 GRAUS, EM AÇO, CONEXÃO SOLDADA, DN 20 (3/4"), INSTALADO EM RAMAIS E SUB-RAMAIS DE GÁS - FORNECIMENTO E INSTALAÇÃO. AF_01/2026</t>
  </si>
  <si>
    <t>CURVA 45 GRAUS, EM AÇO, CONEXÃO SOLDADA, DN 25 (1"), INSTALADO EM RAMAIS E SUB-RAMAIS DE GÁS - FORNECIMENTO E INSTALAÇÃO. AF_01/2026</t>
  </si>
  <si>
    <t>CURVA 45 GRAUS, EM AÇO, CONEXÃO SOLDADA, DN 25 (1"), INSTALADO EM REDE DE ALIMENTAÇÃO PARA HIDRANTE - FORNECIMENTO E INSTALAÇÃO. AF_01/2026</t>
  </si>
  <si>
    <t>CURVA 45 GRAUS, EM AÇO, CONEXÃO SOLDADA, DN 25 (1"), INSTALADO EM REDE DE ALIMENTAÇÃO PARA SPRINKLER - FORNECIMENTO E INSTALAÇÃO. AF_01/2026</t>
  </si>
  <si>
    <t>CURVA 45 GRAUS, EM AÇO, CONEXÃO SOLDADA, DN 32 (1 1/4"), INSTALADO EM REDE DE ALIMENTAÇÃO PARA HIDRANTE - FORNECIMENTO E INSTALAÇÃO. AF_01/2026</t>
  </si>
  <si>
    <t>CURVA 45 GRAUS, EM AÇO, CONEXÃO SOLDADA, DN 32 (1 1/4"), INSTALADO EM REDE DE ALIMENTAÇÃO PARA SPRINKLER - FORNECIMENTO E INSTALAÇÃO. AF_01/2026</t>
  </si>
  <si>
    <t>CURVA 45 GRAUS, EM AÇO, CONEXÃO SOLDADA, DN 40 (1 1/2"), INSTALADO EM REDE DE ALIMENTAÇÃO PARA HIDRANTE - FORNECIMENTO E INSTALAÇÃO. AF_01/2026</t>
  </si>
  <si>
    <t>CURVA 45 GRAUS, EM AÇO, CONEXÃO SOLDADA, DN 40 (1 1/2"), INSTALADO EM REDE DE ALIMENTAÇÃO PARA SPRINKLER - FORNECIMENTO E INSTALAÇÃO. AF_01/2026</t>
  </si>
  <si>
    <t>CURVA 45 GRAUS, EM AÇO, CONEXÃO SOLDADA, DN 50 (2"), INSTALADO EM PRUMADAS - FORNECIMENTO E INSTALAÇÃO. AF_01/2026</t>
  </si>
  <si>
    <t>CURVA 45 GRAUS, EM AÇO, CONEXÃO SOLDADA, DN 50 (2"), INSTALADO EM REDE DE ALIMENTAÇÃO PARA HIDRANTE - FORNECIMENTO E INSTALAÇÃO. AF_01/2026</t>
  </si>
  <si>
    <t>CURVA 45 GRAUS, EM AÇO, CONEXÃO SOLDADA, DN 50 (2"), INSTALADO EM REDE DE ALIMENTAÇÃO PARA SPRINKLER - FORNECIMENTO E INSTALAÇÃO. AF_01/2026</t>
  </si>
  <si>
    <t>CURVA 45 GRAUS, EM AÇO, CONEXÃO SOLDADA, DN 65 (2 1/2"), INSTALADO EM PRUMADAS - FORNECIMENTO E INSTALAÇÃO. AF_01/2026</t>
  </si>
  <si>
    <t>CURVA 45 GRAUS, EM AÇO, CONEXÃO SOLDADA, DN 65 (2 1/2"), INSTALADO EM REDE DE ALIMENTAÇÃO PARA HIDRANTE - FORNECIMENTO E INSTALAÇÃO. AF_01/2026</t>
  </si>
  <si>
    <t>CURVA 45 GRAUS, EM AÇO, CONEXÃO SOLDADA, DN 65 (2 1/2"), INSTALADO EM REDE DE ALIMENTAÇÃO PARA SPRINKLER - FORNECIMENTO E INSTALAÇÃO. AF_01/2026</t>
  </si>
  <si>
    <t>CURVA 45 GRAUS, EM AÇO, CONEXÃO SOLDADA, DN 80 (3"), INSTALADO EM PRUMADAS - FORNECIMENTO E INSTALAÇÃO. AF_01/2026</t>
  </si>
  <si>
    <t>CURVA 45 GRAUS, EM AÇO, CONEXÃO SOLDADA, DN 80 (3"), INSTALADO EM REDE DE ALIMENTAÇÃO PARA HIDRANTE - FORNECIMENTO E INSTALAÇÃO. AF_01/2026</t>
  </si>
  <si>
    <t>CURVA 45 GRAUS, EM AÇO, CONEXÃO SOLDADA, DN 80 (3"), INSTALADO EM REDE DE ALIMENTAÇÃO PARA SPRINKLER - FORNECIMENTO E INSTALAÇÃO. AF_01/2026</t>
  </si>
  <si>
    <t>CURVA 90 GRAUS, EM AÇO, CONEXÃO RANHURADA, DN 50 (2"), INSTALADO EM PRUMADAS - FORNECIMENTO E INSTALAÇÃO. AF_01/2026</t>
  </si>
  <si>
    <t>CURVA 90 GRAUS, EM AÇO, CONEXÃO RANHURADA, DN 65 (2 1/2"), INSTALADO EM PRUMADAS - FORNECIMENTO E INSTALAÇÃO. AF_01/2026</t>
  </si>
  <si>
    <t>CURVA 90 GRAUS, EM AÇO, CONEXÃO RANHURADA, DN 80 (3"), INSTALADO EM PRUMADAS - FORNECIMENTO E INSTALAÇÃO. AF_01/2026</t>
  </si>
  <si>
    <t>CURVA 90 GRAUS, EM AÇO, CONEXÃO SOLDADA, DN 15 (1/2"), INSTALADO EM RAMAIS E SUB-RAMAIS DE GÁS - FORNECIMENTO E INSTALAÇÃO. AF_01/2026</t>
  </si>
  <si>
    <t>CURVA 90 GRAUS, EM AÇO, CONEXÃO SOLDADA, DN 20 (3/4"), INSTALADO EM RAMAIS E SUB-RAMAIS DE GÁS - FORNECIMENTO E INSTALAÇÃO. AF_01/2026</t>
  </si>
  <si>
    <t>CURVA 90 GRAUS, EM AÇO, CONEXÃO SOLDADA, DN 25 (1"), INSTALADO EM RAMAIS E SUB-RAMAIS DE GÁS - FORNECIMENTO E INSTALAÇÃO. AF_01/2026</t>
  </si>
  <si>
    <t>CURVA 90 GRAUS, EM AÇO, CONEXÃO SOLDADA, DN 25 (1"), INSTALADO EM REDE DE ALIMENTAÇÃO PARA HIDRANTE - FORNECIMENTO E INSTALAÇÃO. AF_01/2026</t>
  </si>
  <si>
    <t>CURVA 90 GRAUS, EM AÇO, CONEXÃO SOLDADA, DN 25 (1"), INSTALADO EM REDE DE ALIMENTAÇÃO PARA SPRINKLER - FORNECIMENTO E INSTALAÇÃO. AF_01/2026</t>
  </si>
  <si>
    <t>CURVA 90 GRAUS, EM AÇO, CONEXÃO SOLDADA, DN 32 (1 1/4"), INSTALADO EM REDE DE ALIMENTAÇÃO PARA HIDRANTE - FORNECIMENTO E INSTALAÇÃO. AF_01/2026</t>
  </si>
  <si>
    <t>CURVA 90 GRAUS, EM AÇO, CONEXÃO SOLDADA, DN 32 (1 1/4"), INSTALADO EM REDE DE ALIMENTAÇÃO PARA SPRINKLER - FORNECIMENTO E INSTALAÇÃO. AF_01/2026</t>
  </si>
  <si>
    <t>CURVA 90 GRAUS, EM AÇO, CONEXÃO SOLDADA, DN 40 (1 1/2"), INSTALADO EM REDE DE ALIMENTAÇÃO PARA HIDRANTE - FORNECIMENTO E INSTALAÇÃO. AF_01/2026</t>
  </si>
  <si>
    <t>CURVA 90 GRAUS, EM AÇO, CONEXÃO SOLDADA, DN 40 (1 1/2"), INSTALADO EM REDE DE ALIMENTAÇÃO PARA SPRINKLER - FORNECIMENTO E INSTALAÇÃO. AF_01/2026</t>
  </si>
  <si>
    <t>CURVA 90 GRAUS, EM AÇO, CONEXÃO SOLDADA, DN 50 (2"), INSTALADO EM PRUMADAS - FORNECIMENTO E INSTALAÇÃO. AF_01/2026</t>
  </si>
  <si>
    <t>CURVA 90 GRAUS, EM AÇO, CONEXÃO SOLDADA, DN 50 (2"), INSTALADO EM REDE DE ALIMENTAÇÃO PARA HIDRANTE - FORNECIMENTO E INSTALAÇÃO. AF_01/2026</t>
  </si>
  <si>
    <t>CURVA 90 GRAUS, EM AÇO, CONEXÃO SOLDADA, DN 50 (2"), INSTALADO EM REDE DE ALIMENTAÇÃO PARA SPRINKLER - FORNECIMENTO E INSTALAÇÃO. AF_01/2026</t>
  </si>
  <si>
    <t>CURVA 90 GRAUS, EM AÇO, CONEXÃO SOLDADA, DN 65 (2 1/2"), INSTALADO EM PRUMADAS - FORNECIMENTO E INSTALAÇÃO. AF_01/2026</t>
  </si>
  <si>
    <t>CURVA 90 GRAUS, EM AÇO, CONEXÃO SOLDADA, DN 65 (2 1/2"), INSTALADO EM REDE DE ALIMENTAÇÃO PARA HIDRANTE - FORNECIMENTO E INSTALAÇÃO. AF_01/2026</t>
  </si>
  <si>
    <t>CURVA 90 GRAUS, EM AÇO, CONEXÃO SOLDADA, DN 65 (2 1/2"), INSTALADO EM REDE DE ALIMENTAÇÃO PARA SPRINKLER - FORNECIMENTO E INSTALAÇÃO. AF_01/2026</t>
  </si>
  <si>
    <t>CURVA 90 GRAUS, EM AÇO, CONEXÃO SOLDADA, DN 80 (3"), INSTALADO EM PRUMADAS - FORNECIMENTO E INSTALAÇÃO. AF_01/2026</t>
  </si>
  <si>
    <t>CURVA 90 GRAUS, EM AÇO, CONEXÃO SOLDADA, DN 80 (3"), INSTALADO EM REDE DE ALIMENTAÇÃO PARA HIDRANTE - FORNECIMENTO E INSTALAÇÃO. AF_01/2026</t>
  </si>
  <si>
    <t>CURVA 90 GRAUS, EM AÇO, CONEXÃO SOLDADA, DN 80 (3"), INSTALADO EM REDE DE ALIMENTAÇÃO PARA SPRINKLER - FORNECIMENTO E INSTALAÇÃO. AF_01/2026</t>
  </si>
  <si>
    <t>EXTINTOR DE INCÊNDIO PORTÁTIL COM CARGA DE CO2 DE 4 KG, CLASSE BC - FORNECIMENTO E INSTALAÇÃO. AF_01/2026_PE</t>
  </si>
  <si>
    <t>EXTINTOR DE INCÊNDIO PORTÁTIL COM CARGA DE CO2 DE 6 KG, CLASSE BC - FORNECIMENTO E INSTALAÇÃO. AF_01/2026_PE</t>
  </si>
  <si>
    <t>EXTINTOR DE INCÊNDIO PORTÁTIL COM CARGA DE PQS DE 12 KG, CLASSE BC - FORNECIMENTO E INSTALAÇÃO. AF_01/2026_PE</t>
  </si>
  <si>
    <t>EXTINTOR DE INCÊNDIO PORTÁTIL COM CARGA DE PQS DE 4 KG, CLASSE BC - FORNECIMENTO E INSTALAÇÃO. AF_01/2026_PE</t>
  </si>
  <si>
    <t>EXTINTOR DE INCÊNDIO PORTÁTIL COM CARGA DE PQS DE 6 KG, CLASSE BC - FORNECIMENTO E INSTALAÇÃO. AF_01/2026_PE</t>
  </si>
  <si>
    <t>EXTINTOR DE INCÊNDIO PORTÁTIL COM CARGA DE PQS DE 8 KG, CLASSE BC - FORNECIMENTO E INSTALAÇÃO. AF_01/2026_PE</t>
  </si>
  <si>
    <t>EXTINTOR DE INCÊNDIO PORTÁTIL COM CARGA DE ÁGUA PRESSURIZADA DE 10 L, CLASSE A - FORNECIMENTO E INSTALAÇÃO. AF_01/2026_PE</t>
  </si>
  <si>
    <t>JOELHO 45 GRAUS, EM FERRO GALVANIZADO, CONEXÃO ROSQUEADA, DN 15 (1/2"), INSTALADO EM RAMAIS E SUB-RAMAIS DE GÁS - FORNECIMENTO E INSTALAÇÃO. AF_01/2026</t>
  </si>
  <si>
    <t>JOELHO 45 GRAUS, EM FERRO GALVANIZADO, CONEXÃO ROSQUEADA, DN 20 (3/4"), INSTALADO EM RAMAIS E SUB-RAMAIS DE GÁS - FORNECIMENTO E INSTALAÇÃO. AF_01/2026</t>
  </si>
  <si>
    <t>JOELHO 45 GRAUS, EM FERRO GALVANIZADO, CONEXÃO ROSQUEADA, DN 25 (1"), INSTALADO EM RAMAIS E SUB-RAMAIS DE GÁS - FORNECIMENTO E INSTALAÇÃO. AF_01/2026</t>
  </si>
  <si>
    <t>JOELHO 45 GRAUS, EM FERRO GALVANIZADO, CONEXÃO ROSQUEADA, DN 25 (1"), INSTALADO EM REDE DE ALIMENTAÇÃO PARA SPRINKLER - FORNECIMENTO E INSTALAÇÃO. AF_01/2026</t>
  </si>
  <si>
    <t>JOELHO 45 GRAUS, EM FERRO GALVANIZADO, CONEXÃO ROSQUEADA, DN 32 (1 1/4"), INSTALADO EM REDE DE ALIMENTAÇÃO PARA SPRINKLER - FORNECIMENTO E INSTALAÇÃO. AF_01/2026</t>
  </si>
  <si>
    <t>JOELHO 45 GRAUS, EM FERRO GALVANIZADO, CONEXÃO ROSQUEADA, DN 40 (1 1/2"), INSTALADO EM REDE DE ALIMENTAÇÃO PARA SPRINKLER - FORNECIMENTO E INSTALAÇÃO. AF_01/2026</t>
  </si>
  <si>
    <t>JOELHO 45 GRAUS, EM FERRO GALVANIZADO, CONEXÃO ROSQUEADA, DN 50 (2"), INSTALADO EM REDE DE ALIMENTAÇÃO PARA SPRINKLER - FORNECIMENTO E INSTALAÇÃO. AF_01/2026</t>
  </si>
  <si>
    <t>JOELHO 45 GRAUS, EM FERRO GALVANIZADO, CONEXÃO ROSQUEADA, DN 65 (2 1/2"), INSTALADO EM REDE DE ALIMENTAÇÃO PARA SPRINKLER - FORNECIMENTO E INSTALAÇÃO. AF_01/2026</t>
  </si>
  <si>
    <t>JOELHO 45 GRAUS, EM FERRO GALVANIZADO, CONEXÃO ROSQUEADA, DN 80 (3"), INSTALADO EM REDE DE ALIMENTAÇÃO PARA HIDRANTE - FORNECIMENTO E INSTALAÇÃO. AF_01/2026</t>
  </si>
  <si>
    <t>JOELHO 45 GRAUS, EM FERRO GALVANIZADO, CONEXÃO ROSQUEADA, DN 80 (3"), INSTALADO EM REDE DE ALIMENTAÇÃO PARA SPRINKLER - FORNECIMENTO E INSTALAÇÃO. AF_01/2026</t>
  </si>
  <si>
    <t>JOELHO 45 GRAUS, EM FERRO GALVANIZADO, DN 25 (1"), CONEXÃO ROSQUEADA, INSTALADO EM REDE DE ALIMENTAÇÃO PARA HIDRANTE - FORNECIMENTO E INSTALAÇÃO. AF_01/2026</t>
  </si>
  <si>
    <t>JOELHO 45 GRAUS, EM FERRO GALVANIZADO, DN 32 (1 1/4"), CONEXÃO ROSQUEADA, INSTALADO EM REDE DE ALIMENTAÇÃO PARA HIDRANTE - FORNECIMENTO E INSTALAÇÃO. AF_01/2026</t>
  </si>
  <si>
    <t>JOELHO 45 GRAUS, EM FERRO GALVANIZADO, DN 40 (1 1/2"), CONEXÃO ROSQUEADA, INSTALADO EM REDE DE ALIMENTAÇÃO PARA HIDRANTE - FORNECIMENTO E INSTALAÇÃO. AF_01/2026</t>
  </si>
  <si>
    <t>JOELHO 45 GRAUS, EM FERRO GALVANIZADO, DN 50 (2"), CONEXÃO ROSQUEADA, INSTALADO EM PRUMADAS - FORNECIMENTO E INSTALAÇÃO. AF_01/2026</t>
  </si>
  <si>
    <t>JOELHO 45 GRAUS, EM FERRO GALVANIZADO, DN 50 (2"), CONEXÃO ROSQUEADA, INSTALADO EM REDE DE ALIMENTAÇÃO PARA HIDRANTE - FORNECIMENTO E INSTALAÇÃO. AF_01/2026</t>
  </si>
  <si>
    <t>JOELHO 45 GRAUS, EM FERRO GALVANIZADO, DN 65 (2 1/2"), CONEXÃO ROSQUEADA, INSTALADO EM PRUMADAS - FORNECIMENTO E INSTALAÇÃO. AF_01/2026</t>
  </si>
  <si>
    <t>JOELHO 45 GRAUS, EM FERRO GALVANIZADO, DN 65 (2 1/2"), CONEXÃO ROSQUEADA, INSTALADO EM REDE DE ALIMENTAÇÃO PARA HIDRANTE - FORNECIMENTO E INSTALAÇÃO. AF_01/2026</t>
  </si>
  <si>
    <t>JOELHO 45 GRAUS, EM FERRO GALVANIZADO, DN 80 (3"), CONEXÃO ROSQUEADA, INSTALADO EM PRUMADAS - FORNECIMENTO E INSTALAÇÃO. AF_01/2026</t>
  </si>
  <si>
    <t>JOELHO 90 GRAUS, EM FERRO GALVANIZADO, CONEXÃO ROSQUEADA, DN 15 (1/2"), INSTALADO EM RAMAIS E SUB-RAMAIS DE GÁS - FORNECIMENTO E INSTALAÇÃO. AF_01/2026</t>
  </si>
  <si>
    <t>JOELHO 90 GRAUS, EM FERRO GALVANIZADO, CONEXÃO ROSQUEADA, DN 20 (3/4"), INSTALADO EM RAMAIS E SUB-RAMAIS DE GÁS - FORNECIMENTO E INSTALAÇÃO. AF_01/2026</t>
  </si>
  <si>
    <t>JOELHO 90 GRAUS, EM FERRO GALVANIZADO, CONEXÃO ROSQUEADA, DN 25 (1"), INSTALADO EM RAMAIS E SUB-RAMAIS DE GÁS - FORNECIMENTO E INSTALAÇÃO. AF_01/2026</t>
  </si>
  <si>
    <t>JOELHO 90 GRAUS, EM FERRO GALVANIZADO, CONEXÃO ROSQUEADA, DN 25 (1"), INSTALADO EM REDE DE ALIMENTAÇÃO PARA SPRINKLER - FORNECIMENTO E INSTALAÇÃO. AF_01/2026</t>
  </si>
  <si>
    <t>JOELHO 90 GRAUS, EM FERRO GALVANIZADO, CONEXÃO ROSQUEADA, DN 32 (1 1/4"), INSTALADO EM REDE DE ALIMENTAÇÃO PARA SPRINKLER - FORNECIMENTO E INSTALAÇÃO. AF_01/2026</t>
  </si>
  <si>
    <t>JOELHO 90 GRAUS, EM FERRO GALVANIZADO, CONEXÃO ROSQUEADA, DN 40 (1 1/2"), INSTALADO EM REDE DE ALIMENTAÇÃO PARA SPRINKLER - FORNECIMENTO E INSTALAÇÃO. AF_01/2026</t>
  </si>
  <si>
    <t>JOELHO 90 GRAUS, EM FERRO GALVANIZADO, CONEXÃO ROSQUEADA, DN 50 (2"), INSTALADO EM REDE DE ALIMENTAÇÃO PARA SPRINKLER - FORNECIMENTO E INSTALAÇÃO. AF_01/2026</t>
  </si>
  <si>
    <t>JOELHO 90 GRAUS, EM FERRO GALVANIZADO, CONEXÃO ROSQUEADA, DN 65 (2 1/2"), INSTALADO EM REDE DE ALIMENTAÇÃO PARA SPRINKLER - FORNECIMENTO E INSTALAÇÃO. AF_01/2026</t>
  </si>
  <si>
    <t>JOELHO 90 GRAUS, EM FERRO GALVANIZADO, CONEXÃO ROSQUEADA, DN 80 (3"), INSTALADO EM REDE DE ALIMENTAÇÃO PARA HIDRANTE - FORNECIMENTO E INSTALAÇÃO. AF_01/2026</t>
  </si>
  <si>
    <t>JOELHO 90 GRAUS, EM FERRO GALVANIZADO, CONEXÃO ROSQUEADA, DN 80 (3"), INSTALADO EM REDE DE ALIMENTAÇÃO PARA SPRINKLER - FORNECIMENTO E INSTALAÇÃO. AF_01/2026</t>
  </si>
  <si>
    <t>JOELHO 90 GRAUS, EM FERRO GALVANIZADO, DN 25 (1"), CONEXÃO ROSQUEADA, INSTALADO EM REDE DE ALIMENTAÇÃO PARA HIDRANTE - FORNECIMENTO E INSTALAÇÃO. AF_01/2026</t>
  </si>
  <si>
    <t>JOELHO 90 GRAUS, EM FERRO GALVANIZADO, DN 32 (1 1/4"), CONEXÃO ROSQUEADA, INSTALADO EM REDE DE ALIMENTAÇÃO PARA HIDRANTE - FORNECIMENTO E INSTALAÇÃO. AF_01/2026</t>
  </si>
  <si>
    <t>JOELHO 90 GRAUS, EM FERRO GALVANIZADO, DN 40 (1 1/2"), CONEXÃO ROSQUEADA, INSTALADO EM REDE DE ALIMENTAÇÃO PARA HIDRANTE - FORNECIMENTO E INSTALAÇÃO. AF_01/2026</t>
  </si>
  <si>
    <t>JOELHO 90 GRAUS, EM FERRO GALVANIZADO, DN 50 (2"), CONEXÃO ROSQUEADA, INSTALADO EM PRUMADAS - FORNECIMENTO E INSTALAÇÃO. AF_01/2026</t>
  </si>
  <si>
    <t>JOELHO 90 GRAUS, EM FERRO GALVANIZADO, DN 50 (2"), CONEXÃO ROSQUEADA, INSTALADO EM REDE DE ALIMENTAÇÃO PARA HIDRANTE - FORNECIMENTO E INSTALAÇÃO. AF_01/2026</t>
  </si>
  <si>
    <t>JOELHO 90 GRAUS, EM FERRO GALVANIZADO, DN 65 (2 1/2"), CONEXÃO ROSQUEADA, INSTALADO EM PRUMADAS - FORNECIMENTO E INSTALAÇÃO. AF_01/2026</t>
  </si>
  <si>
    <t>JOELHO 90 GRAUS, EM FERRO GALVANIZADO, DN 65 (2 1/2"), CONEXÃO ROSQUEADA, INSTALADO EM REDE DE ALIMENTAÇÃO PARA HIDRANTE - FORNECIMENTO E INSTALAÇÃO. AF_01/2026</t>
  </si>
  <si>
    <t>JOELHO 90 GRAUS, EM FERRO GALVANIZADO, DN 80 (3"), CONEXÃO ROSQUEADA, INSTALADO EM PRUMADAS - FORNECIMENTO E INSTALAÇÃO. AF_01/2026</t>
  </si>
  <si>
    <t>JOELHO 90°, EM FERRO GALVANIZADO, 4", CONEXÃO ROSQUEADA, INSTALADO EM PRUMADAS - FORNECIMENTO E INSTALAÇÃO. AF_01/2026</t>
  </si>
  <si>
    <t>JOELHO 90°, EM FERRO GALVANIZADO, 4", CONEXÃO ROSQUEADA, INSTALADO EM REDE DE ALIMENTAÇÃO PARA HIDRANTE - FORNECIMENTO E INSTALAÇÃO. AF_01/2026</t>
  </si>
  <si>
    <t>LUVA COM REDUÇÃO, EM AÇO, CONEXÃO SOLDADA, DN 20 X 15 MM (3/4" X 1/2"), INSTALADO EM RAMAIS E SUB-RAMAIS DE GÁS - FORNECIMENTO E INSTALAÇÃO. AF_01/2026</t>
  </si>
  <si>
    <t>LUVA COM REDUÇÃO, EM AÇO, CONEXÃO SOLDADA, DN 25 X 20 MM (1 X 3/4"), INSTALADO EM REDE DE ALIMENTAÇÃO PARA HIDRANTE - FORNECIMENTO E INSTALAÇÃO. AF_01/2026</t>
  </si>
  <si>
    <t>LUVA COM REDUÇÃO, EM AÇO, CONEXÃO SOLDADA, DN 25 X 20 MM (1" X 3/4"), INSTALADO EM RAMAIS E SUB-RAMAIS DE GÁS - FORNECIMENTO E INSTALAÇÃO. AF_01/2026</t>
  </si>
  <si>
    <t>LUVA COM REDUÇÃO, EM AÇO, CONEXÃO SOLDADA, DN 25 X 20 MM (1" X 3/4"), INSTALADO EM REDE DE ALIMENTAÇÃO PARA SPRINKLER - FORNECIMENTO E INSTALAÇÃO. AF_01/2026</t>
  </si>
  <si>
    <t>LUVA COM REDUÇÃO, EM AÇO, CONEXÃO SOLDADA, DN 32 X 25 MM (1 1/4" X 1"), INSTALADO EM REDE DE ALIMENTAÇÃO PARA HIDRANTE - FORNECIMENTO E INSTALAÇÃO. AF_01/2026</t>
  </si>
  <si>
    <t>LUVA COM REDUÇÃO, EM AÇO, CONEXÃO SOLDADA, DN 32 X 25 MM (1 1/4" X 1"), INSTALADO EM REDE DE ALIMENTAÇÃO PARA SPRINKLER - FORNECIMENTO E INSTALAÇÃO. AF_01/2026</t>
  </si>
  <si>
    <t>LUVA COM REDUÇÃO, EM AÇO, CONEXÃO SOLDADA, DN 40 X 32 MM (1 1/2" X 1 1/4"), INSTALADO EM REDE DE ALIMENTAÇÃO PARA HIDRANTE - FORNECIMENTO E INSTALAÇÃO. AF_01/2026</t>
  </si>
  <si>
    <t>LUVA COM REDUÇÃO, EM AÇO, CONEXÃO SOLDADA, DN 40 X 32 MM (1 1/2" X 1 1/4"), INSTALADO EM REDE DE ALIMENTAÇÃO PARA SPRINKLER - FORNECIMENTO E INSTALAÇÃO. AF_01/2026</t>
  </si>
  <si>
    <t>LUVA COM REDUÇÃO, EM AÇO, CONEXÃO SOLDADA, DN 50 X 40 MM (2 X 1 1/2"), INSTALADO EM PRUMADAS - FORNECIMENTO E INSTALAÇÃO. AF_01/2026</t>
  </si>
  <si>
    <t>LUVA COM REDUÇÃO, EM AÇO, CONEXÃO SOLDADA, DN 50 X 40 MM (2" X 1 1/2"), INSTALADO EM REDE DE ALIMENTAÇÃO PARA HIDRANTE - FORNECIMENTO E INSTALAÇÃO. AF_01/2026</t>
  </si>
  <si>
    <t>LUVA COM REDUÇÃO, EM AÇO, CONEXÃO SOLDADA, DN 50 X 40 MM (2" X 1 1/2"), INSTALADO EM REDE DE ALIMENTAÇÃO PARA SPRINKLER - FORNECIMENTO E INSTALAÇÃO. AF_01/2026</t>
  </si>
  <si>
    <t>LUVA COM REDUÇÃO, EM AÇO, CONEXÃO SOLDADA, DN 65 X 50 MM (2 1/2" X 2"), INSTALADO EM PRUMADAS - FORNECIMENTO E INSTALAÇÃO. AF_01/2026</t>
  </si>
  <si>
    <t>LUVA COM REDUÇÃO, EM AÇO, CONEXÃO SOLDADA, DN 65 X 50 MM (2 1/2" X 2"), INSTALADO EM REDE DE ALIMENTAÇÃO PARA HIDRANTE - FORNECIMENTO E INSTALAÇÃO. AF_01/2026</t>
  </si>
  <si>
    <t>LUVA COM REDUÇÃO, EM AÇO, CONEXÃO SOLDADA, DN 65 X 50 MM (2 1/2" X 2"), INSTALADO EM REDE DE ALIMENTAÇÃO PARA SPRINKLER - FORNECIMENTO E INSTALAÇÃO. AF_01/2026</t>
  </si>
  <si>
    <t>LUVA COM REDUÇÃO, EM AÇO, CONEXÃO SOLDADA, DN 80 X 65 MM (3" X 2 1/2"), INSTALADO EM PRUMADAS - FORNECIMENTO E INSTALAÇÃO. AF_01/2026</t>
  </si>
  <si>
    <t>LUVA COM REDUÇÃO, EM AÇO, CONEXÃO SOLDADA, DN 80 X 65 MM (3" X 2 1/2"), INSTALADO EM REDE DE ALIMENTAÇÃO PARA HIDRANTE - FORNECIMENTO E INSTALAÇÃO. AF_01/2026</t>
  </si>
  <si>
    <t>LUVA COM REDUÇÃO, EM AÇO, CONEXÃO SOLDADA, DN 80 X 65 MM (3" X 2 1/2"), INSTALADO EM REDE DE ALIMENTAÇÃO PARA SPRINKLER - FORNECIMENTO E INSTALAÇÃO. AF_01/2026</t>
  </si>
  <si>
    <t>LUVA DE REDUÇÃO, EM FERRO GALVANIZADO, 1 1/2" X 1 1/4", CONEXÃO ROSQUEADA, INSTALADO EM REDE DE ALIMENTAÇÃO PARA HIDRANTE - FORNECIMENTO E INSTALAÇÃO. AF_01/2026</t>
  </si>
  <si>
    <t>LUVA DE REDUÇÃO, EM FERRO GALVANIZADO, 1 1/2" X 1 1/4", CONEXÃO ROSQUEADA, INSTALADO EM REDE DE ALIMENTAÇÃO PARA SPRINKLER - FORNECIMENTO E INSTALAÇÃO. AF_01/2026</t>
  </si>
  <si>
    <t>LUVA DE REDUÇÃO, EM FERRO GALVANIZADO, 1 1/2" X 1", CONEXÃO ROSQUEADA, INSTALADO EM REDE DE ALIMENTAÇÃO PARA HIDRANTE - FORNECIMENTO E INSTALAÇÃO. AF_01/2026</t>
  </si>
  <si>
    <t>LUVA DE REDUÇÃO, EM FERRO GALVANIZADO, 1 1/2" X 1", CONEXÃO ROSQUEADA, INSTALADO EM REDE DE ALIMENTAÇÃO PARA SPRINKLER - FORNECIMENTO E INSTALAÇÃO. AF_01/2026</t>
  </si>
  <si>
    <t>LUVA DE REDUÇÃO, EM FERRO GALVANIZADO, 1 1/2" X 3/4", CONEXÃO ROSQUEADA, INSTALADO EM REDE DE ALIMENTAÇÃO PARA HIDRANTE - FORNECIMENTO E INSTALAÇÃO. AF_01/2026</t>
  </si>
  <si>
    <t>LUVA DE REDUÇÃO, EM FERRO GALVANIZADO, 1 1/2" X 3/4", CONEXÃO ROSQUEADA, INSTALADO EM REDE DE ALIMENTAÇÃO PARA SPRINKLER - FORNECIMENTO E INSTALAÇÃO. AF_01/2026</t>
  </si>
  <si>
    <t>LUVA DE REDUÇÃO, EM FERRO GALVANIZADO, 1 1/4" X 1", CONEXÃO ROSQUEADA, INSTALADO EM REDE DE ALIMENTAÇÃO PARA HIDRANTE - FORNECIMENTO E INSTALAÇÃO. AF_01/2026</t>
  </si>
  <si>
    <t>LUVA DE REDUÇÃO, EM FERRO GALVANIZADO, 1 1/4" X 1", CONEXÃO ROSQUEADA, INSTALADO EM REDE DE ALIMENTAÇÃO PARA SPRINKLER - FORNECIMENTO E INSTALAÇÃO. AF_01/2026</t>
  </si>
  <si>
    <t>LUVA DE REDUÇÃO, EM FERRO GALVANIZADO, 1 1/4" X 1/2", CONEXÃO ROSQUEADA, INSTALADO EM REDE DE ALIMENTAÇÃO PARA HIDRANTE - FORNECIMENTO E INSTALAÇÃO. AF_01/2026</t>
  </si>
  <si>
    <t>LUVA DE REDUÇÃO, EM FERRO GALVANIZADO, 1 1/4" X 1/2", CONEXÃO ROSQUEADA, INSTALADO EM REDE DE ALIMENTAÇÃO PARA SPRINKLER - FORNECIMENTO E INSTALAÇÃO. AF_01/2026</t>
  </si>
  <si>
    <t>LUVA DE REDUÇÃO, EM FERRO GALVANIZADO, 1 1/4" X 3/4", CONEXÃO ROSQUEADA, INSTALADO EM REDE DE ALIMENTAÇÃO PARA HIDRANTE - FORNECIMENTO E INSTALAÇÃO. AF_01/2026</t>
  </si>
  <si>
    <t>LUVA DE REDUÇÃO, EM FERRO GALVANIZADO, 1 1/4" X 3/4", CONEXÃO ROSQUEADA, INSTALADO EM REDE DE ALIMENTAÇÃO PARA SPRINKLER - FORNECIMENTO E INSTALAÇÃO. AF_01/2026</t>
  </si>
  <si>
    <t>LUVA DE REDUÇÃO, EM FERRO GALVANIZADO, 1" X 1/2", CONEXÃO ROSQUEADA, INSTALADO EM REDE DE ALIMENTAÇÃO PARA HIDRANTE - FORNECIMENTO E INSTALAÇÃO. AF_01/2026</t>
  </si>
  <si>
    <t>LUVA DE REDUÇÃO, EM FERRO GALVANIZADO, 1" X 1/2", CONEXÃO ROSQUEADA, INSTALADO EM REDE DE ALIMENTAÇÃO PARA SPRINKLER - FORNECIMENTO E INSTALAÇÃO. AF_01/2026</t>
  </si>
  <si>
    <t>LUVA DE REDUÇÃO, EM FERRO GALVANIZADO, 1" X 3/4", CONEXÃO ROSQUEADA, INSTALADO EM REDE DE ALIMENTAÇÃO PARA HIDRANTE - FORNECIMENTO E INSTALAÇÃO. AF_01/2026</t>
  </si>
  <si>
    <t>LUVA DE REDUÇÃO, EM FERRO GALVANIZADO, 1" X 3/4", CONEXÃO ROSQUEADA, INSTALADO EM REDE DE ALIMENTAÇÃO PARA SPRINKLER - FORNECIMENTO E INSTALAÇÃO. AF_01/2026</t>
  </si>
  <si>
    <t>LUVA DE REDUÇÃO, EM FERRO GALVANIZADO, 2 1/2" X 1 1/2", CONEXÃO ROSQUEADA, INSTALADO EM PRUMADAS - FORNECIMENTO E INSTALAÇÃO. AF_01/2026</t>
  </si>
  <si>
    <t>LUVA DE REDUÇÃO, EM FERRO GALVANIZADO, 2 1/2" X 1 1/2", CONEXÃO ROSQUEADA, INSTALADO EM REDE DE ALIMENTAÇÃO PARA HIDRANTE - FORNECIMENTO E INSTALAÇÃO. AF_01/2026</t>
  </si>
  <si>
    <t>LUVA DE REDUÇÃO, EM FERRO GALVANIZADO, 2 1/2" X 1 1/2", CONEXÃO ROSQUEADA, INSTALADO EM REDE DE ALIMENTAÇÃO PARA SPRINKLER - FORNECIMENTO E INSTALAÇÃO. AF_01/2026</t>
  </si>
  <si>
    <t>LUVA DE REDUÇÃO, EM FERRO GALVANIZADO, 2 1/2" X 2", CONEXÃO ROSQUEADA, INSTALADO EM PRUMADAS - FORNECIMENTO E INSTALAÇÃO. AF_01/2026</t>
  </si>
  <si>
    <t>LUVA DE REDUÇÃO, EM FERRO GALVANIZADO, 2 1/2" X 2", CONEXÃO ROSQUEADA, INSTALADO EM REDE DE ALIMENTAÇÃO PARA HIDRANTE - FORNECIMENTO E INSTALAÇÃO. AF_01/2026</t>
  </si>
  <si>
    <t>LUVA DE REDUÇÃO, EM FERRO GALVANIZADO, 2 1/2" X 2", CONEXÃO ROSQUEADA, INSTALADO EM REDE DE ALIMENTAÇÃO PARA SPRINKLER - FORNECIMENTO E INSTALAÇÃO. AF_01/2026</t>
  </si>
  <si>
    <t>LUVA DE REDUÇÃO, EM FERRO GALVANIZADO, 2" X 1 1/2", CONEXÃO ROSQUEADA, INSTALADO EM PRUMADAS - FORNECIMENTO E INSTALAÇÃO. AF_01/2026</t>
  </si>
  <si>
    <t>LUVA DE REDUÇÃO, EM FERRO GALVANIZADO, 2" X 1 1/2", CONEXÃO ROSQUEADA, INSTALADO EM REDE DE ALIMENTAÇÃO PARA HIDRANTE - FORNECIMENTO E INSTALAÇÃO. AF_01/2026</t>
  </si>
  <si>
    <t>LUVA DE REDUÇÃO, EM FERRO GALVANIZADO, 2" X 1 1/2", CONEXÃO ROSQUEADA, INSTALADO EM REDE DE ALIMENTAÇÃO PARA SPRINKLER - FORNECIMENTO E INSTALAÇÃO. AF_01/2026</t>
  </si>
  <si>
    <t>LUVA DE REDUÇÃO, EM FERRO GALVANIZADO, 2" X 1 1/4", CONEXÃO ROSQUEADA, INSTALADO EM PRUMADAS - FORNECIMENTO E INSTALAÇÃO. AF_01/2026</t>
  </si>
  <si>
    <t>LUVA DE REDUÇÃO, EM FERRO GALVANIZADO, 2" X 1 1/4", CONEXÃO ROSQUEADA, INSTALADO EM REDE DE ALIMENTAÇÃO PARA HIDRANTE - FORNECIMENTO E INSTALAÇÃO. AF_01/2026</t>
  </si>
  <si>
    <t>LUVA DE REDUÇÃO, EM FERRO GALVANIZADO, 2" X 1 1/4", CONEXÃO ROSQUEADA, INSTALADO EM REDE DE ALIMENTAÇÃO PARA SPRINKLER - FORNECIMENTO E INSTALAÇÃO. AF_01/2026</t>
  </si>
  <si>
    <t>LUVA DE REDUÇÃO, EM FERRO GALVANIZADO, 2" X 1", CONEXÃO ROSQUEADA, INSTALADO EM PRUMADAS - FORNECIMENTO E INSTALAÇÃO. AF_01/2026</t>
  </si>
  <si>
    <t>LUVA DE REDUÇÃO, EM FERRO GALVANIZADO, 2" X 1", CONEXÃO ROSQUEADA, INSTALADO EM REDE DE ALIMENTAÇÃO PARA HIDRANTE - FORNECIMENTO E INSTALAÇÃO. AF_01/2026</t>
  </si>
  <si>
    <t>LUVA DE REDUÇÃO, EM FERRO GALVANIZADO, 2" X 1", CONEXÃO ROSQUEADA, INSTALADO EM REDE DE ALIMENTAÇÃO PARA SPRINKLER - FORNECIMENTO E INSTALAÇÃO. AF_01/2026</t>
  </si>
  <si>
    <t>LUVA DE REDUÇÃO, EM FERRO GALVANIZADO, 3" X 1 1/2", CONEXÃO ROSQUEADA, INSTALADO EM PRUMADAS - FORNECIMENTO E INSTALAÇÃO. AF_01/2026</t>
  </si>
  <si>
    <t>LUVA DE REDUÇÃO, EM FERRO GALVANIZADO, 3" X 2 1/2", CONEXÃO ROSQUEADA, INSTALADO EM PRUMADAS - FORNECIMENTO E INSTALAÇÃO. AF_01/2026</t>
  </si>
  <si>
    <t>LUVA DE REDUÇÃO, EM FERRO GALVANIZADO, 3" X 2 1/2", CONEXÃO ROSQUEADA, INSTALADO EM REDE DE ALIMENTAÇÃO PARA HIDRANTE - FORNECIMENTO E INSTALAÇÃO. AF_01/2026</t>
  </si>
  <si>
    <t>LUVA DE REDUÇÃO, EM FERRO GALVANIZADO, 3" X 2 1/2", CONEXÃO ROSQUEADA, INSTALADO EM REDE DE ALIMENTAÇÃO PARA SPRINKLER - FORNECIMENTO E INSTALAÇÃO. AF_01/2026</t>
  </si>
  <si>
    <t>LUVA DE REDUÇÃO, EM FERRO GALVANIZADO, 3" X 2", CONEXÃO ROSQUEADA, INSTALADO EM PRUMADAS - FORNECIMENTO E INSTALAÇÃO. AF_01/2026</t>
  </si>
  <si>
    <t>LUVA DE REDUÇÃO, EM FERRO GALVANIZADO, 3" X 2", CONEXÃO ROSQUEADA, INSTALADO EM REDE DE ALIMENTAÇÃO PARA HIDRANTE - FORNECIMENTO E INSTALAÇÃO. AF_01/2026</t>
  </si>
  <si>
    <t>LUVA DE REDUÇÃO, EM FERRO GALVANIZADO, 3" X 2", CONEXÃO ROSQUEADA, INSTALADO EM REDE DE ALIMENTAÇÃO PARA SPRINKLER - FORNECIMENTO E INSTALAÇÃO. AF_01/2026</t>
  </si>
  <si>
    <t>LUVA DE REDUÇÃO, EM FERRO GALVANIZADO, 3/4" X 1/2", CONEXÃO ROSQUEADA, INSTALADO EM RAMAIS E SUB-RAMAIS DE GÁS - FORNECIMENTO E INSTALAÇÃO. AF_01/2026</t>
  </si>
  <si>
    <t>LUVA DE REDUÇÃO, EM FERRO GALVANIZADO, 4" X 2 1/2", CONEXÃO ROSQUEADA, INSTALADO EM PRUMADAS - FORNECIMENTO E INSTALAÇÃO. AF_01/2026</t>
  </si>
  <si>
    <t>LUVA DE REDUÇÃO, EM FERRO GALVANIZADO, 4" X 2 1/2", CONEXÃO ROSQUEADA, INSTALADO EM REDE DE ALIMENTAÇÃO PARA HIDRANTE - FORNECIMENTO E INSTALAÇÃO. AF_01/2026</t>
  </si>
  <si>
    <t>LUVA DE REDUÇÃO, EM FERRO GALVANIZADO, 4" X 2", CONEXÃO ROSQUEADA, INSTALADO EM PRUMADAS - FORNECIMENTO E INSTALAÇÃO. AF_01/2026</t>
  </si>
  <si>
    <t>LUVA DE REDUÇÃO, EM FERRO GALVANIZADO, 4" X 2", CONEXÃO ROSQUEADA, INSTALADO EM REDE DE ALIMENTAÇÃO PARA HIDRANTE - FORNECIMENTO E INSTALAÇÃO. AF_01/2026</t>
  </si>
  <si>
    <t>LUVA DE REDUÇÃO, EM FERRO GALVANIZADO, 4" X 3", CONEXÃO ROSQUEADA, INSTALADO EM PRUMADAS - FORNECIMENTO E INSTALAÇÃO. AF_01/2026</t>
  </si>
  <si>
    <t>LUVA DE REDUÇÃO, EM FERRO GALVANIZADO, 4" X 3", CONEXÃO ROSQUEADA, INSTALADO EM REDE DE ALIMENTAÇÃO PARA HIDRANTE - FORNECIMENTO E INSTALAÇÃO. AF_01/2026</t>
  </si>
  <si>
    <t>LUVA, EM AÇO, CONEXÃO SOLDADA, DN 15 (1/2"), INSTALADO EM RAMAIS E SUB-RAMAIS DE GÁS - FORNECIMENTO E INSTALAÇÃO. AF_01/2026</t>
  </si>
  <si>
    <t>LUVA, EM AÇO, CONEXÃO SOLDADA, DN 20 (3/4"), INSTALADO EM RAMAIS E SUB-RAMAIS DE GÁS - FORNECIMENTO E INSTALAÇÃO. AF_01/2026</t>
  </si>
  <si>
    <t>LUVA, EM AÇO, CONEXÃO SOLDADA, DN 25 (1"), INSTALADO EM RAMAIS E SUB-RAMAIS DE GÁS - FORNECIMENTO E INSTALAÇÃO. AF_01/2026</t>
  </si>
  <si>
    <t>LUVA, EM AÇO, CONEXÃO SOLDADA, DN 25 (1"), INSTALADO EM REDE DE ALIMENTAÇÃO PARA HIDRANTE - FORNECIMENTO E INSTALAÇÃO. AF_01/2026</t>
  </si>
  <si>
    <t>LUVA, EM AÇO, CONEXÃO SOLDADA, DN 25 (1"), INSTALADO EM REDE DE ALIMENTAÇÃO PARA SPRINKLER - FORNECIMENTO E INSTALAÇÃO. AF_01/2026</t>
  </si>
  <si>
    <t>LUVA, EM AÇO, CONEXÃO SOLDADA, DN 32 (1 1/4"), INSTALADO EM REDE DE ALIMENTAÇÃO PARA HIDRANTE - FORNECIMENTO E INSTALAÇÃO. AF_01/2026</t>
  </si>
  <si>
    <t>LUVA, EM AÇO, CONEXÃO SOLDADA, DN 32 (1 1/4"), INSTALADO EM REDE DE ALIMENTAÇÃO PARA SPRINKLER - FORNECIMENTO E INSTALAÇÃO. AF_01/2026</t>
  </si>
  <si>
    <t>LUVA, EM AÇO, CONEXÃO SOLDADA, DN 40 (1 1/2"), INSTALADO EM REDE DE ALIMENTAÇÃO PARA HIDRANTE - FORNECIMENTO E INSTALAÇÃO. AF_01/2026</t>
  </si>
  <si>
    <t>LUVA, EM AÇO, CONEXÃO SOLDADA, DN 40 (1 1/2"), INSTALADO EM REDE DE ALIMENTAÇÃO PARA SPRINKLER - FORNECIMENTO E INSTALAÇÃO. AF_01/2026</t>
  </si>
  <si>
    <t>LUVA, EM AÇO, CONEXÃO SOLDADA, DN 50 (2"), INSTALADO EM PRUMADAS - FORNECIMENTO E INSTALAÇÃO. AF_01/2026</t>
  </si>
  <si>
    <t>LUVA, EM AÇO, CONEXÃO SOLDADA, DN 50 (2"), INSTALADO EM REDE DE ALIMENTAÇÃO PARA HIDRANTE - FORNECIMENTO E INSTALAÇÃO. AF_01/2026</t>
  </si>
  <si>
    <t>LUVA, EM AÇO, CONEXÃO SOLDADA, DN 50 (2"), INSTALADO EM REDE DE ALIMENTAÇÃO PARA SPRINKLER - FORNECIMENTO E INSTALAÇÃO. AF_01/2026</t>
  </si>
  <si>
    <t>LUVA, EM AÇO, CONEXÃO SOLDADA, DN 65 (2 1/2"), INSTALADO EM PRUMADAS - FORNECIMENTO E INSTALAÇÃO. AF_01/2026</t>
  </si>
  <si>
    <t>LUVA, EM AÇO, CONEXÃO SOLDADA, DN 65 (2 1/2"), INSTALADO EM REDE DE ALIMENTAÇÃO PARA HIDRANTE - FORNECIMENTO E INSTALAÇÃO. AF_01/2026</t>
  </si>
  <si>
    <t>LUVA, EM AÇO, CONEXÃO SOLDADA, DN 65 (2 1/2"), INSTALADO EM REDE DE ALIMENTAÇÃO PARA SPRINKLER - FORNECIMENTO E INSTALAÇÃO. AF_01/2026</t>
  </si>
  <si>
    <t>LUVA, EM AÇO, CONEXÃO SOLDADA, DN 80 (3"), INSTALADO EM PRUMADAS - FORNECIMENTO E INSTALAÇÃO. AF_01/2026</t>
  </si>
  <si>
    <t>LUVA, EM AÇO, CONEXÃO SOLDADA, DN 80 (3"), INSTALADO EM REDE DE ALIMENTAÇÃO PARA HIDRANTE - FORNECIMENTO E INSTALAÇÃO. AF_01/2026</t>
  </si>
  <si>
    <t>LUVA, EM AÇO, CONEXÃO SOLDADA, DN 80 (3"), INSTALADO EM REDE DE ALIMENTAÇÃO PARA SPRINKLER - FORNECIMENTO E INSTALAÇÃO. AF_01/2026</t>
  </si>
  <si>
    <t>LUVA, EM FERRO GALVANIZADO, 4", CONEXÃO ROSQUEADA, INSTALADO EM PRUMADAS - FORNECIMENTO E INSTALAÇÃO. AF_01/2026</t>
  </si>
  <si>
    <t>LUVA, EM FERRO GALVANIZADO, 4", CONEXÃO ROSQUEADA, INSTALADO EM REDE DE ALIMENTAÇÃO PARA HIDRANTE - FORNECIMENTO E INSTALAÇÃO. AF_01/2026</t>
  </si>
  <si>
    <t>LUVA, EM FERRO GALVANIZADO, CONEXÃO ROSQUEADA, DN 15 (1/2"), INSTALADO EM RAMAIS E SUB-RAMAIS DE GÁS - FORNECIMENTO E INSTALAÇÃO. AF_01/2026</t>
  </si>
  <si>
    <t>LUVA, EM FERRO GALVANIZADO, CONEXÃO ROSQUEADA, DN 20 (3/4"), INSTALADO EM RAMAIS E SUB-RAMAIS DE GÁS - FORNECIMENTO E INSTALAÇÃO. AF_01/2026</t>
  </si>
  <si>
    <t>LUVA, EM FERRO GALVANIZADO, CONEXÃO ROSQUEADA, DN 25 (1"), INSTALADO EM RAMAIS E SUB-RAMAIS DE GÁS - FORNECIMENTO E INSTALAÇÃO. AF_01/2026</t>
  </si>
  <si>
    <t>LUVA, EM FERRO GALVANIZADO, CONEXÃO ROSQUEADA, DN 25 (1"), INSTALADO EM REDE DE ALIMENTAÇÃO PARA SPRINKLER - FORNECIMENTO E INSTALAÇÃO. AF_01/2026</t>
  </si>
  <si>
    <t>LUVA, EM FERRO GALVANIZADO, CONEXÃO ROSQUEADA, DN 32 (1 1/4"), INSTALADO EM REDE DE ALIMENTAÇÃO PARA SPRINKLER - FORNECIMENTO E INSTALAÇÃO. AF_01/2026</t>
  </si>
  <si>
    <t>LUVA, EM FERRO GALVANIZADO, CONEXÃO ROSQUEADA, DN 40 (1 1/2"), INSTALADO EM REDE DE ALIMENTAÇÃO PARA SPRINKLER - FORNECIMENTO E INSTALAÇÃO. AF_01/2026</t>
  </si>
  <si>
    <t>LUVA, EM FERRO GALVANIZADO, CONEXÃO ROSQUEADA, DN 50 (2"), INSTALADO EM REDE DE ALIMENTAÇÃO PARA SPRINKLER - FORNECIMENTO E INSTALAÇÃO. AF_01/2026</t>
  </si>
  <si>
    <t>LUVA, EM FERRO GALVANIZADO, CONEXÃO ROSQUEADA, DN 65 (2 1/2"), INSTALADO EM REDE DE ALIMENTAÇÃO PARA SPRINKLER - FORNECIMENTO E INSTALAÇÃO. AF_01/2026</t>
  </si>
  <si>
    <t>LUVA, EM FERRO GALVANIZADO, CONEXÃO ROSQUEADA, DN 80 (3"), INSTALADO EM REDE DE ALIMENTAÇÃO PARA SPRINKLER - FORNECIMENTO E INSTALAÇÃO. AF_01/2026</t>
  </si>
  <si>
    <t>LUVA, EM FERRO GALVANIZADO, DN 25 (1"), CONEXÃO ROSQUEADA, INSTALADO EM REDE DE ALIMENTAÇÃO PARA HIDRANTE - FORNECIMENTO E INSTALAÇÃO. AF_01/2026</t>
  </si>
  <si>
    <t>LUVA, EM FERRO GALVANIZADO, DN 32 (1 1/4"), CONEXÃO ROSQUEADA, INSTALADO EM REDE DE ALIMENTAÇÃO PARA HIDRANTE - FORNECIMENTO E INSTALAÇÃO. AF_01/2026</t>
  </si>
  <si>
    <t>LUVA, EM FERRO GALVANIZADO, DN 40 (1 1/2"), CONEXÃO ROSQUEADA, INSTALADO EM REDE DE ALIMENTAÇÃO PARA HIDRANTE - FORNECIMENTO E INSTALAÇÃO. AF_01/2026</t>
  </si>
  <si>
    <t>LUVA, EM FERRO GALVANIZADO, DN 50 (2"), CONEXÃO ROSQUEADA, INSTALADO EM PRUMADAS - FORNECIMENTO E INSTALAÇÃO. AF_01/2026</t>
  </si>
  <si>
    <t>LUVA, EM FERRO GALVANIZADO, DN 50 (2"), CONEXÃO ROSQUEADA, INSTALADO EM REDE DE ALIMENTAÇÃO PARA HIDRANTE - FORNECIMENTO E INSTALAÇÃO. AF_01/2026</t>
  </si>
  <si>
    <t>LUVA, EM FERRO GALVANIZADO, DN 65 (2 1/2"), CONEXÃO ROSQUEADA, INSTALADO EM PRUMADAS - FORNECIMENTO E INSTALAÇÃO. AF_01/2026</t>
  </si>
  <si>
    <t>LUVA, EM FERRO GALVANIZADO, DN 65 (2 1/2"), CONEXÃO ROSQUEADA, INSTALADO EM REDE DE ALIMENTAÇÃO PARA HIDRANTE - FORNECIMENTO E INSTALAÇÃO. AF_01/2026</t>
  </si>
  <si>
    <t>LUVA, EM FERRO GALVANIZADO, DN 80 (3"), CONEXÃO ROSQUEADA, INSTALADO EM PRUMADAS - FORNECIMENTO E INSTALAÇÃO. AF_01/2026</t>
  </si>
  <si>
    <t>LUVA, EM FERRO GALVANIZADO, DN 80 (3"), CONEXÃO ROSQUEADA, INSTALADO EM REDE DE ALIMENTAÇÃO PARA HIDRANTE - FORNECIMENTO E INSTALAÇÃO. AF_01/2026</t>
  </si>
  <si>
    <t>MANÔMETRO 0 A 200 PSI (0 A 14 KGF/CM2), D = 50MM - FORNECIMENTO E INSTALAÇÃO. AF_01/2026</t>
  </si>
  <si>
    <t>NIPLE, EM FERRO GALVANIZADO, 4", CONEXÃO ROSQUEADA, INSTALADO EM PRUMADAS - FORNECIMENTO E INSTALAÇÃO. AF_01/2026</t>
  </si>
  <si>
    <t>NIPLE, EM FERRO GALVANIZADO, 4", CONEXÃO ROSQUEADA, INSTALADO EM REDE DE ALIMENTAÇÃO PARA HIDRANTE - FORNECIMENTO E INSTALAÇÃO. AF_01/2026</t>
  </si>
  <si>
    <t>NIPLE, EM FERRO GALVANIZADO, CONEXÃO ROSQUEADA, DN 15 (1/2"), INSTALADO EM RAMAIS E SUB-RAMAIS DE GÁS - FORNECIMENTO E INSTALAÇÃO. AF_01/2026</t>
  </si>
  <si>
    <t>NIPLE, EM FERRO GALVANIZADO, CONEXÃO ROSQUEADA, DN 20 (3/4"), INSTALADO EM RAMAIS E SUB-RAMAIS DE GÁS - FORNECIMENTO E INSTALAÇÃO. AF_01/2026</t>
  </si>
  <si>
    <t>NIPLE, EM FERRO GALVANIZADO, CONEXÃO ROSQUEADA, DN 25 (1"), INSTALADO EM RAMAIS E SUB-RAMAIS DE GÁS - FORNECIMENTO E INSTALAÇÃO. AF_01/2026</t>
  </si>
  <si>
    <t>NIPLE, EM FERRO GALVANIZADO, CONEXÃO ROSQUEADA, DN 25 (1"), INSTALADO EM REDE DE ALIMENTAÇÃO PARA SPRINKLER - FORNECIMENTO E INSTALAÇÃO. AF_01/2026</t>
  </si>
  <si>
    <t>NIPLE, EM FERRO GALVANIZADO, CONEXÃO ROSQUEADA, DN 32 (1 1/4"), INSTALADO EM REDE DE ALIMENTAÇÃO PARA SPRINKLER - FORNECIMENTO E INSTALAÇÃO. AF_01/2026</t>
  </si>
  <si>
    <t>NIPLE, EM FERRO GALVANIZADO, CONEXÃO ROSQUEADA, DN 40 (1 1/2"), INSTALADO EM REDE DE ALIMENTAÇÃO PARA SPRINKLER - FORNECIMENTO E INSTALAÇÃO. AF_01/2026</t>
  </si>
  <si>
    <t>NIPLE, EM FERRO GALVANIZADO, CONEXÃO ROSQUEADA, DN 50 (2"), INSTALADO EM REDE DE ALIMENTAÇÃO PARA SPRINKLER - FORNECIMENTO E INSTALAÇÃO. AF_01/2026</t>
  </si>
  <si>
    <t>NIPLE, EM FERRO GALVANIZADO, CONEXÃO ROSQUEADA, DN 65 (2 1/2"), INSTALADO EM REDE DE ALIMENTAÇÃO PARA SPRINKLER - FORNECIMENTO E INSTALAÇÃO. AF_01/2026</t>
  </si>
  <si>
    <t>NIPLE, EM FERRO GALVANIZADO, CONEXÃO ROSQUEADA, DN 80 (3"), INSTALADO EM REDE DE ALIMENTAÇÃO PARA SPRINKLER - FORNECIMENTO E INSTALAÇÃO. AF_01/2026</t>
  </si>
  <si>
    <t>NIPLE, EM FERRO GALVANIZADO, DN 25 (1"), CONEXÃO ROSQUEADA, INSTALADO EM REDE DE ALIMENTAÇÃO PARA HIDRANTE - FORNECIMENTO E INSTALAÇÃO. AF_01/2026</t>
  </si>
  <si>
    <t>NIPLE, EM FERRO GALVANIZADO, DN 32 (1 1/4"), CONEXÃO ROSQUEADA, INSTALADO EM REDE DE ALIMENTAÇÃO PARA HIDRANTE - FORNECIMENTO E INSTALAÇÃO. AF_01/2026</t>
  </si>
  <si>
    <t>NIPLE, EM FERRO GALVANIZADO, DN 40 (1 1/2"), CONEXÃO ROSQUEADA, INSTALADO EM REDE DE ALIMENTAÇÃO PARA HIDRANTE - FORNECIMENTO E INSTALAÇÃO. AF_01/2026</t>
  </si>
  <si>
    <t>NIPLE, EM FERRO GALVANIZADO, DN 50 (2"), CONEXÃO ROSQUEADA, INSTALADO EM PRUMADAS - FORNECIMENTO E INSTALAÇÃO. AF_01/2026</t>
  </si>
  <si>
    <t>NIPLE, EM FERRO GALVANIZADO, DN 50 (2"), CONEXÃO ROSQUEADA, INSTALADO EM REDE DE ALIMENTAÇÃO PARA HIDRANTE - FORNECIMENTO E INSTALAÇÃO. AF_01/2026</t>
  </si>
  <si>
    <t>NIPLE, EM FERRO GALVANIZADO, DN 65 (2 1/2"), CONEXÃO ROSQUEADA, INSTALADO EM PRUMADAS - FORNECIMENTO E INSTALAÇÃO. AF_01/2026</t>
  </si>
  <si>
    <t>NIPLE, EM FERRO GALVANIZADO, DN 65 (2 1/2"), CONEXÃO ROSQUEADA, INSTALADO EM REDE DE ALIMENTAÇÃO PARA HIDRANTE - FORNECIMENTO E INSTALAÇÃO. AF_01/2026</t>
  </si>
  <si>
    <t>NIPLE, EM FERRO GALVANIZADO, DN 80 (3"), CONEXÃO ROSQUEADA, INSTALADO EM PRUMADAS - FORNECIMENTO E INSTALAÇÃO. AF_01/2026</t>
  </si>
  <si>
    <t>NIPLE, EM FERRO GALVANIZADO, DN 80 (3"), CONEXÃO ROSQUEADA, INSTALADO EM REDE DE ALIMENTAÇÃO PARA HIDRANTE - FORNECIMENTO E INSTALAÇÃO. AF_01/2026</t>
  </si>
  <si>
    <t>REGISTRO DE RECALQUE, HIDRANTE SUBTERRÂNEO PREDIAL, 65 MM - FORNECIMENTO E INSTALAÇÃO. AF_01/2026</t>
  </si>
  <si>
    <t>SPRINKLER TIPO PENDENTE, 68 °C, UNIÃO POR ROSCA DN 15 (1/2") - FORNECIMENTO E INSTALAÇÃO. AF_01/2026</t>
  </si>
  <si>
    <t>TUBO DE AÇO GALVANIZADO COM COSTURA, CLASSE MÉDIA, CONEXÃO RANHURADA, DN 50 (2"), INSTALADO EM PRUMADAS - FORNECIMENTO E INSTALAÇÃO. AF_01/2026</t>
  </si>
  <si>
    <t>TUBO DE AÇO GALVANIZADO COM COSTURA, CLASSE MÉDIA, CONEXÃO RANHURADA, DN 65 (2 1/2"), INSTALADO EM PRUMADAS - FORNECIMENTO E INSTALAÇÃO. AF_01/2026</t>
  </si>
  <si>
    <t>TUBO DE AÇO GALVANIZADO COM COSTURA, CLASSE MÉDIA, CONEXÃO RANHURADA, DN 80 (3"), INSTALADO EM PRUMADAS - FORNECIMENTO E INSTALAÇÃO. AF_01/2026</t>
  </si>
  <si>
    <t>TUBO DE AÇO GALVANIZADO COM COSTURA, CLASSE MÉDIA, CONEXÃO ROSQUEADA, DN 15 (1/2"), INSTALADO EM RAMAIS E SUB-RAMAIS DE GÁS - FORNECIMENTO E INSTALAÇÃO. AF_01/2026</t>
  </si>
  <si>
    <t>TUBO DE AÇO GALVANIZADO COM COSTURA, CLASSE MÉDIA, CONEXÃO ROSQUEADA, DN 20 (3/4"), INSTALADO EM RAMAIS E SUB-RAMAIS DE GÁS - FORNECIMENTO E INSTALAÇÃO. AF_01/2026</t>
  </si>
  <si>
    <t>TUBO DE AÇO GALVANIZADO COM COSTURA, CLASSE MÉDIA, CONEXÃO ROSQUEADA, DN 25 (1"), INSTALADO EM RAMAIS E SUB-RAMAIS DE GÁS - FORNECIMENTO E INSTALAÇÃO. AF_01/2026</t>
  </si>
  <si>
    <t>TUBO DE AÇO GALVANIZADO COM COSTURA, CLASSE MÉDIA, CONEXÃO ROSQUEADA, DN 25 (1"), INSTALADO EM REDE DE ALIMENTAÇÃO PARA SPRINKLER - FORNECIMENTO E INSTALAÇÃO. AF_01/2026</t>
  </si>
  <si>
    <t>TUBO DE AÇO GALVANIZADO COM COSTURA, CLASSE MÉDIA, CONEXÃO ROSQUEADA, DN 32 (1 1/4"), INSTALADO EM REDE DE ALIMENTAÇÃO PARA SPRINKLER - FORNECIMENTO E INSTALAÇÃO. AF_01/2026</t>
  </si>
  <si>
    <t>TUBO DE AÇO GALVANIZADO COM COSTURA, CLASSE MÉDIA, CONEXÃO ROSQUEADA, DN 40 (1 1/2"), INSTALADO EM REDE DE ALIMENTAÇÃO PARA SPRINKLER - FORNECIMENTO E INSTALAÇÃO. AF_01/2026</t>
  </si>
  <si>
    <t>TUBO DE AÇO GALVANIZADO COM COSTURA, CLASSE MÉDIA, CONEXÃO ROSQUEADA, DN 50 (2"), INSTALADO EM REDE DE ALIMENTAÇÃO PARA SPRINKLER - FORNECIMENTO E INSTALAÇÃO. AF_01/2026</t>
  </si>
  <si>
    <t>TUBO DE AÇO GALVANIZADO COM COSTURA, CLASSE MÉDIA, CONEXÃO ROSQUEADA, DN 65 (2 1/2"), INSTALADO EM REDE DE ALIMENTAÇÃO PARA SPRINKLER - FORNECIMENTO E INSTALAÇÃO. AF_01/2026</t>
  </si>
  <si>
    <t>TUBO DE AÇO GALVANIZADO COM COSTURA, CLASSE MÉDIA, CONEXÃO ROSQUEADA, DN 80 (3"), INSTALADO EM REDE DE ALIMENTAÇÃO PARA SPRINKLER - FORNECIMENTO E INSTALAÇÃO. AF_01/2026</t>
  </si>
  <si>
    <t>TUBO DE AÇO GALVANIZADO COM COSTURA, CLASSE MÉDIA, DN 100 (4"), CONEXÃO ROSQUEADA, INSTALADO EM PRUMADAS - FORNECIMENTO E INSTALAÇÃO. AF_01/2026</t>
  </si>
  <si>
    <t>TUBO DE AÇO GALVANIZADO COM COSTURA, CLASSE MÉDIA, DN 100 (4"), CONEXÃO ROSQUEADA, INSTALADO EM REDE DE ALIMENTAÇÃO PARA HIDRANTE - FORNECIMENTO E INSTALAÇÃO. AF_01/2026</t>
  </si>
  <si>
    <t>TUBO DE AÇO GALVANIZADO COM COSTURA, CLASSE MÉDIA, DN 25 (1"), CONEXÃO ROSQUEADA, INSTALADO EM REDE DE ALIMENTAÇÃO PARA HIDRANTE - FORNECIMENTO E INSTALAÇÃO. AF_01/2026</t>
  </si>
  <si>
    <t>TUBO DE AÇO GALVANIZADO COM COSTURA, CLASSE MÉDIA, DN 32 (1 1/4"), CONEXÃO ROSQUEADA, INSTALADO EM REDE DE ALIMENTAÇÃO PARA HIDRANTE - FORNECIMENTO E INSTALAÇÃO. AF_01/2026</t>
  </si>
  <si>
    <t>TUBO DE AÇO GALVANIZADO COM COSTURA, CLASSE MÉDIA, DN 40 (1 1/2"), CONEXÃO ROSQUEADA, INSTALADO EM REDE DE ALIMENTAÇÃO PARA HIDRANTE - FORNECIMENTO E INSTALAÇÃO. AF_01/2026</t>
  </si>
  <si>
    <t>TUBO DE AÇO GALVANIZADO COM COSTURA, CLASSE MÉDIA, DN 50 (2"), CONEXÃO ROSQUEADA, INSTALADO EM PRUMADAS - FORNECIMENTO E INSTALAÇÃO. AF_01/2026</t>
  </si>
  <si>
    <t>TUBO DE AÇO GALVANIZADO COM COSTURA, CLASSE MÉDIA, DN 50 (2"), CONEXÃO ROSQUEADA, INSTALADO EM REDE DE ALIMENTAÇÃO PARA HIDRANTE - FORNECIMENTO E INSTALAÇÃO. AF_01/2026</t>
  </si>
  <si>
    <t>TUBO DE AÇO GALVANIZADO COM COSTURA, CLASSE MÉDIA, DN 65 (2 1/2"), CONEXÃO ROSQUEADA, INSTALADO EM PRUMADAS - FORNECIMENTO E INSTALAÇÃO. AF_01/2026</t>
  </si>
  <si>
    <t>TUBO DE AÇO GALVANIZADO COM COSTURA, CLASSE MÉDIA, DN 65 (2 1/2"), CONEXÃO ROSQUEADA, INSTALADO EM REDE DE ALIMENTAÇÃO PARA HIDRANTE - FORNECIMENTO E INSTALAÇÃO. AF_01/2026</t>
  </si>
  <si>
    <t>TUBO DE AÇO GALVANIZADO COM COSTURA, CLASSE MÉDIA, DN 80 (3"), CONEXÃO ROSQUEADA, INSTALADO EM PRUMADAS - FORNECIMENTO E INSTALAÇÃO. AF_01/2026</t>
  </si>
  <si>
    <t>TUBO DE AÇO GALVANIZADO COM COSTURA, CLASSE MÉDIA, DN 80 (3"), CONEXÃO ROSQUEADA, INSTALADO EM REDE DE ALIMENTAÇÃO PARA HIDRANTE - FORNECIMENTO E INSTALAÇÃO. AF_01/2026</t>
  </si>
  <si>
    <t>TUBO DE AÇO PRETO SEM COSTURA, CLASSE MÉDIA, CONEXÃO SOLDADA, DN 15 (1/2"), INSTALADO EM RAMAIS E SUB-RAMAIS DE GÁS - FORNECIMENTO E INSTALAÇÃO. AF_01/2026</t>
  </si>
  <si>
    <t>TUBO DE AÇO PRETO SEM COSTURA, CLASSE MÉDIA, CONEXÃO SOLDADA, DN 20 (3/4"), INSTALADO EM RAMAIS E SUB-RAMAIS DE GÁS - FORNECIMENTO E INSTALAÇÃO. AF_01/2026</t>
  </si>
  <si>
    <t>TUBO DE AÇO PRETO SEM COSTURA, CLASSE MÉDIA, CONEXÃO SOLDADA, DN 25 (1"), INSTALADO EM RAMAIS E SUB-RAMAIS DE GÁS - FORNECIMENTO E INSTALAÇÃO. AF_01/2026</t>
  </si>
  <si>
    <t>TUBO DE AÇO PRETO SEM COSTURA, CONEXÃO SOLDADA, DN 25 (1"), INSTALADO EM REDE DE ALIMENTAÇÃO PARA HIDRANTE - FORNECIMENTO E INSTALAÇÃO. AF_01/2026</t>
  </si>
  <si>
    <t>TUBO DE AÇO PRETO SEM COSTURA, CONEXÃO SOLDADA, DN 25 (1"), INSTALADO EM REDE DE ALIMENTAÇÃO PARA SPRINKLER - FORNECIMENTO E INSTALAÇÃO. AF_01/2026</t>
  </si>
  <si>
    <t>TUBO DE AÇO PRETO SEM COSTURA, CONEXÃO SOLDADA, DN 32 (1 1/4"), INSTALADO EM REDE DE ALIMENTAÇÃO PARA HIDRANTE - FORNECIMENTO E INSTALAÇÃO. AF_01/2026</t>
  </si>
  <si>
    <t>TUBO DE AÇO PRETO SEM COSTURA, CONEXÃO SOLDADA, DN 32 (1 1/4"), INSTALADO EM REDE DE ALIMENTAÇÃO PARA SPRINKLER - FORNECIMENTO E INSTALAÇÃO. AF_01/2026</t>
  </si>
  <si>
    <t>TUBO DE AÇO PRETO SEM COSTURA, CONEXÃO SOLDADA, DN 40 (1 1/2"), INSTALADO EM REDE DE ALIMENTAÇÃO PARA HIDRANTE - FORNECIMENTO E INSTALAÇÃO. AF_01/2026</t>
  </si>
  <si>
    <t>TUBO DE AÇO PRETO SEM COSTURA, CONEXÃO SOLDADA, DN 40 (1 1/2"), INSTALADO EM REDE DE ALIMENTAÇÃO PARA SPRINKLER - FORNECIMENTO E INSTALAÇÃO. AF_01/2026</t>
  </si>
  <si>
    <t>TUBO DE AÇO PRETO SEM COSTURA, CONEXÃO SOLDADA, DN 50 (2"), INSTALADO EM PRUMADAS - FORNECIMENTO E INSTALAÇÃO. AF_01/2026</t>
  </si>
  <si>
    <t>TUBO DE AÇO PRETO SEM COSTURA, CONEXÃO SOLDADA, DN 50 (2"), INSTALADO EM REDE DE ALIMENTAÇÃO PARA HIDRANTE - FORNECIMENTO E INSTALAÇÃO. AF_01/2026</t>
  </si>
  <si>
    <t>TUBO DE AÇO PRETO SEM COSTURA, CONEXÃO SOLDADA, DN 50 (2"), INSTALADO EM REDE DE ALIMENTAÇÃO PARA SPRINKLER - FORNECIMENTO E INSTALAÇÃO. AF_01/2026</t>
  </si>
  <si>
    <t>TUBO DE AÇO PRETO SEM COSTURA, CONEXÃO SOLDADA, DN 65 (2 1/2"), INSTALADO EM PRUMADAS - FORNECIMENTO E INSTALAÇÃO. AF_01/2026</t>
  </si>
  <si>
    <t>TUBO DE AÇO PRETO SEM COSTURA, CONEXÃO SOLDADA, DN 65 (2 1/2"), INSTALADO EM REDE DE ALIMENTAÇÃO PARA HIDRANTE - FORNECIMENTO E INSTALAÇÃO. AF_01/2026</t>
  </si>
  <si>
    <t>TUBO DE AÇO PRETO SEM COSTURA, CONEXÃO SOLDADA, DN 65 (2 1/2"), INSTALADO EM REDE DE ALIMENTAÇÃO PARA SPRINKLER - FORNECIMENTO E INSTALAÇÃO. AF_01/2026</t>
  </si>
  <si>
    <t>TUBO DE AÇO PRETO SEM COSTURA, CONEXÃO SOLDADA, DN 80 (3"), INSTALADO EM PRUMADAS - FORNECIMENTO E INSTALAÇÃO. AF_01/2026</t>
  </si>
  <si>
    <t>TUBO DE AÇO PRETO SEM COSTURA, CONEXÃO SOLDADA, DN 80 (3"), INSTALADO EM REDE DE ALIMENTAÇÃO PARA HIDRANTE - FORNECIMENTO E INSTALAÇÃO. AF_01/2026</t>
  </si>
  <si>
    <t>TUBO DE AÇO PRETO SEM COSTURA, CONEXÃO SOLDADA, DN 80 (3"), INSTALADO EM REDE DE ALIMENTAÇÃO PARA SPRINKLER - FORNECIMENTO E INSTALAÇÃO. AF_01/2026</t>
  </si>
  <si>
    <t>TÊ, EM AÇO, CONEXÃO RANHURADA, DN 50 (2"), INSTALADO EM PRUMADAS - FORNECIMENTO E INSTALAÇÃO. AF_01/2026</t>
  </si>
  <si>
    <t>TÊ, EM AÇO, CONEXÃO RANHURADA, DN 65 (2 1/2"), INSTALADO EM PRUMADAS - FORNECIMENTO E INSTALAÇÃO. AF_01/2026</t>
  </si>
  <si>
    <t>TÊ, EM AÇO, CONEXÃO RANHURADA, DN 80 (3"), INSTALADO EM PRUMADAS - FORNECIMENTO E INSTALAÇÃO. AF_01/2026</t>
  </si>
  <si>
    <t>TÊ, EM AÇO, CONEXÃO SOLDADA, DN 15 (1/2"), INSTALADO EM RAMAIS E SUB-RAMAIS DE GÁS - FORNECIMENTO E INSTALAÇÃO. AF_01/2026</t>
  </si>
  <si>
    <t>TÊ, EM AÇO, CONEXÃO SOLDADA, DN 20 (3/4"), INSTALADO EM RAMAIS E SUB-RAMAIS DE GÁS - FORNECIMENTO E INSTALAÇÃO. AF_01/2026</t>
  </si>
  <si>
    <t>TÊ, EM AÇO, CONEXÃO SOLDADA, DN 25 (1"), INSTALADO EM RAMAIS E SUB-RAMAIS DE GÁS - FORNECIMENTO E INSTALAÇÃO. AF_01/2026</t>
  </si>
  <si>
    <t>TÊ, EM AÇO, CONEXÃO SOLDADA, DN 25 (1"), INSTALADO EM REDE DE ALIMENTAÇÃO PARA HIDRANTE - FORNECIMENTO E INSTALAÇÃO. AF_01/2026</t>
  </si>
  <si>
    <t>TÊ, EM AÇO, CONEXÃO SOLDADA, DN 25 (1"), INSTALADO EM REDE DE ALIMENTAÇÃO PARA SPRINKLER - FORNECIMENTO E INSTALAÇÃO. AF_01/2026</t>
  </si>
  <si>
    <t>TÊ, EM AÇO, CONEXÃO SOLDADA, DN 32 (1 1/4"), INSTALADO EM REDE DE ALIMENTAÇÃO PARA HIDRANTE - FORNECIMENTO E INSTALAÇÃO. AF_01/2026</t>
  </si>
  <si>
    <t>TÊ, EM AÇO, CONEXÃO SOLDADA, DN 32 (1 1/4"), INSTALADO EM REDE DE ALIMENTAÇÃO PARA SPRINKLER - FORNECIMENTO E INSTALAÇÃO. AF_01/2026</t>
  </si>
  <si>
    <t>TÊ, EM AÇO, CONEXÃO SOLDADA, DN 40 (1 1/2"), INSTALADO EM REDE DE ALIMENTAÇÃO PARA HIDRANTE - FORNECIMENTO E INSTALAÇÃO. AF_01/2026</t>
  </si>
  <si>
    <t>TÊ, EM AÇO, CONEXÃO SOLDADA, DN 40 (1 1/2"), INSTALADO EM REDE DE ALIMENTAÇÃO PARA SPRINKLER - FORNECIMENTO E INSTALAÇÃO. AF_01/2026</t>
  </si>
  <si>
    <t>TÊ, EM AÇO, CONEXÃO SOLDADA, DN 50 (2"), INSTALADO EM PRUMADAS - FORNECIMENTO E INSTALAÇÃO. AF_01/2026</t>
  </si>
  <si>
    <t>TÊ, EM AÇO, CONEXÃO SOLDADA, DN 50 (2"), INSTALADO EM REDE DE ALIMENTAÇÃO PARA HIDRANTE - FORNECIMENTO E INSTALAÇÃO. AF_01/2026</t>
  </si>
  <si>
    <t>TÊ, EM AÇO, CONEXÃO SOLDADA, DN 50 (2"), INSTALADO EM REDE DE ALIMENTAÇÃO PARA SPRINKLER - FORNECIMENTO E INSTALAÇÃO. AF_01/2026</t>
  </si>
  <si>
    <t>TÊ, EM AÇO, CONEXÃO SOLDADA, DN 65 (2 1/2"), INSTALADO EM PRUMADAS - FORNECIMENTO E INSTALAÇÃO. AF_01/2026</t>
  </si>
  <si>
    <t>TÊ, EM AÇO, CONEXÃO SOLDADA, DN 65 (2 1/2"), INSTALADO EM REDE DE ALIMENTAÇÃO PARA HIDRANTE - FORNECIMENTO E INSTALAÇÃO. AF_01/2026</t>
  </si>
  <si>
    <t>TÊ, EM AÇO, CONEXÃO SOLDADA, DN 65 (2 1/2"), INSTALADO EM REDE DE ALIMENTAÇÃO PARA SPRINKLER - FORNECIMENTO E INSTALAÇÃO. AF_01/2026</t>
  </si>
  <si>
    <t>TÊ, EM AÇO, CONEXÃO SOLDADA, DN 80 (3"), INSTALADO EM PRUMADAS - FORNECIMENTO E INSTALAÇÃO. AF_01/2026</t>
  </si>
  <si>
    <t>TÊ, EM AÇO, CONEXÃO SOLDADA, DN 80 (3"), INSTALADO EM REDE DE ALIMENTAÇÃO PARA HIDRANTE - FORNECIMENTO E INSTALAÇÃO. AF_01/2026</t>
  </si>
  <si>
    <t>TÊ, EM AÇO, CONEXÃO SOLDADA, DN 80 (3"), INSTALADO EM REDE DE ALIMENTAÇÃO PARA SPRINKLER - FORNECIMENTO E INSTALAÇÃO. AF_01/2026</t>
  </si>
  <si>
    <t>TÊ, EM FERRO GALVANIZADO, 4", CONEXÃO ROSQUEADA, INSTALADO EM PRUMADAS - FORNECIMENTO E INSTALAÇÃO. AF_01/2026</t>
  </si>
  <si>
    <t>TÊ, EM FERRO GALVANIZADO, 4", CONEXÃO ROSQUEADA, INSTALADO EM REDE DE ALIMENTAÇÃO PARA HIDRANTE - FORNECIMENTO E INSTALAÇÃO. AF_01/2026</t>
  </si>
  <si>
    <t>TÊ, EM FERRO GALVANIZADO, CONEXÃO ROSQUEADA, DN 15 (1/2"), INSTALADO EM RAMAIS E SUB-RAMAIS DE GÁS - FORNECIMENTO E INSTALAÇÃO. AF_01/2026</t>
  </si>
  <si>
    <t>TÊ, EM FERRO GALVANIZADO, CONEXÃO ROSQUEADA, DN 20 (3/4"), INSTALADO EM RAMAIS E SUB-RAMAIS DE GÁS - FORNECIMENTO E INSTALAÇÃO. AF_01/2026</t>
  </si>
  <si>
    <t>TÊ, EM FERRO GALVANIZADO, CONEXÃO ROSQUEADA, DN 25 (1"), INSTALADO EM RAMAIS E SUB-RAMAIS DE GÁS - FORNECIMENTO E INSTALAÇÃO. AF_01/2026</t>
  </si>
  <si>
    <t>TÊ, EM FERRO GALVANIZADO, CONEXÃO ROSQUEADA, DN 25 (1"), INSTALADO EM REDE DE ALIMENTAÇÃO PARA HIDRANTE - FORNECIMENTO E INSTALAÇÃO. AF_01/2026</t>
  </si>
  <si>
    <t>TÊ, EM FERRO GALVANIZADO, CONEXÃO ROSQUEADA, DN 25 (1"), INSTALADO EM REDE DE ALIMENTAÇÃO PARA SPRINKLER - FORNECIMENTO E INSTALAÇÃO. AF_01/2026</t>
  </si>
  <si>
    <t>TÊ, EM FERRO GALVANIZADO, CONEXÃO ROSQUEADA, DN 32 (1 1/4"), INSTALADO EM REDE DE ALIMENTAÇÃO PARA HIDRANTE - FORNECIMENTO E INSTALAÇÃO. AF_01/2026</t>
  </si>
  <si>
    <t>TÊ, EM FERRO GALVANIZADO, CONEXÃO ROSQUEADA, DN 32 (1 1/4"), INSTALADO EM REDE DE ALIMENTAÇÃO PARA SPRINKLER - FORNECIMENTO E INSTALAÇÃO. AF_01/2026</t>
  </si>
  <si>
    <t>TÊ, EM FERRO GALVANIZADO, CONEXÃO ROSQUEADA, DN 40 (1 1/2"), INSTALADO EM REDE DE ALIMENTAÇÃO PARA HIDRANTE - FORNECIMENTO E INSTALAÇÃO. AF_01/2026</t>
  </si>
  <si>
    <t>TÊ, EM FERRO GALVANIZADO, CONEXÃO ROSQUEADA, DN 40 (1 1/2"), INSTALADO EM REDE DE ALIMENTAÇÃO PARA SPRINKLER - FORNECIMENTO E INSTALAÇÃO. AF_01/2026</t>
  </si>
  <si>
    <t>TÊ, EM FERRO GALVANIZADO, CONEXÃO ROSQUEADA, DN 50 (2"), INSTALADO EM REDE DE ALIMENTAÇÃO PARA HIDRANTE - FORNECIMENTO E INSTALAÇÃO- FORNECIMENTO E INSTALAÇÃO. AF_01/2026</t>
  </si>
  <si>
    <t>TÊ, EM FERRO GALVANIZADO, CONEXÃO ROSQUEADA, DN 50 (2"), INSTALADO EM REDE DE ALIMENTAÇÃO PARA SPRINKLER - FORNECIMENTO E INSTALAÇÃO. AF_01/2026</t>
  </si>
  <si>
    <t>TÊ, EM FERRO GALVANIZADO, CONEXÃO ROSQUEADA, DN 65 (2 1/2"), INSTALADO EM REDE DE ALIMENTAÇÃO PARA HIDRANTE - FORNECIMENTO E INSTALAÇÃO. AF_01/2026</t>
  </si>
  <si>
    <t>TÊ, EM FERRO GALVANIZADO, CONEXÃO ROSQUEADA, DN 65 (2 1/2"), INSTALADO EM REDE DE ALIMENTAÇÃO PARA SPRINKLER - FORNECIMENTO E INSTALAÇÃO. AF_01/2026</t>
  </si>
  <si>
    <t>TÊ, EM FERRO GALVANIZADO, CONEXÃO ROSQUEADA, DN 80 (3"), INSTALADO EM REDE DE ALIMENTAÇÃO PARA HIDRANTE - FORNECIMENTO E INSTALAÇÃO. AF_01/2026</t>
  </si>
  <si>
    <t>TÊ, EM FERRO GALVANIZADO, CONEXÃO ROSQUEADA, DN 80 (3"), INSTALADO EM REDE DE ALIMENTAÇÃO PARA SPRINKLER - FORNECIMENTO E INSTALAÇÃO. AF_01/2026</t>
  </si>
  <si>
    <t>TÊ, EM FERRO GALVANIZADO, DN 50 (2"), CONEXÃO ROSQUEADA, INSTALADO EM PRUMADAS - FORNECIMENTO E INSTALAÇÃO. AF_01/2026</t>
  </si>
  <si>
    <t>TÊ, EM FERRO GALVANIZADO, DN 65 (2 1/2"), CONEXÃO ROSQUEADA, INSTALADO EM PRUMADAS - FORNECIMENTO E INSTALAÇÃO. AF_01/2026</t>
  </si>
  <si>
    <t>TÊ, EM FERRO GALVANIZADO, DN 80 (3"), CONEXÃO ROSQUEADA, INSTALADO EM PRUMADAS - FORNECIMENTO E INSTALAÇÃO. AF_01/2026</t>
  </si>
  <si>
    <t>UNIÃO, EM FERRO GALVANIZADO, 4", CONEXÃO ROSQUEADA, INSTALADO EM PRUMADAS - FORNECIMENTO E INSTALAÇÃO. AF_01/2026</t>
  </si>
  <si>
    <t>UNIÃO, EM FERRO GALVANIZADO, 4", CONEXÃO ROSQUEADA, INSTALADO EM REDE DE ALIMENTAÇÃO PARA HIDRANTE - FORNECIMENTO E INSTALAÇÃO. AF_01/2026</t>
  </si>
  <si>
    <t>UNIÃO, EM FERRO GALVANIZADO, CONEXÃO ROSQUEADA, DN 15 (1/2"), INSTALADO EM RAMAIS E SUB-RAMAIS DE GÁS - FORNECIMENTO E INSTALAÇÃO. AF_01/2026</t>
  </si>
  <si>
    <t>UNIÃO, EM FERRO GALVANIZADO, CONEXÃO ROSQUEADA, DN 20 (3/4"), INSTALADO EM RAMAIS E SUB-RAMAIS DE GÁS - FORNECIMENTO E INSTALAÇÃO. AF_01/2026</t>
  </si>
  <si>
    <t>UNIÃO, EM FERRO GALVANIZADO, CONEXÃO ROSQUEADA, DN 25 (1"), INSTALADO EM RAMAIS E SUB-RAMAIS DE GÁS - FORNECIMENTO E INSTALAÇÃO. AF_01/2026</t>
  </si>
  <si>
    <t>UNIÃO, EM FERRO GALVANIZADO, CONEXÃO ROSQUEADA, DN 25 (1"), INSTALADO EM REDE DE ALIMENTAÇÃO PARA SPRINKLER - FORNECIMENTO E INSTALAÇÃO. AF_01/2026</t>
  </si>
  <si>
    <t>UNIÃO, EM FERRO GALVANIZADO, CONEXÃO ROSQUEADA, DN 32 (1 1/4"), INSTALADO EM REDE DE ALIMENTAÇÃO PARA SPRINKLER - FORNECIMENTO E INSTALAÇÃO. AF_01/2026</t>
  </si>
  <si>
    <t>UNIÃO, EM FERRO GALVANIZADO, CONEXÃO ROSQUEADA, DN 40 (1 1/2"), INSTALADO EM REDE DE ALIMENTAÇÃO PARA SPRINKLER - FORNECIMENTO E INSTALAÇÃO. AF_01/2026</t>
  </si>
  <si>
    <t>UNIÃO, EM FERRO GALVANIZADO, CONEXÃO ROSQUEADA, DN 50 (2"), INSTALADO EM REDE DE ALIMENTAÇÃO PARA SPRINKLER - FORNECIMENTO E INSTALAÇÃO. AF_01/2026</t>
  </si>
  <si>
    <t>UNIÃO, EM FERRO GALVANIZADO, CONEXÃO ROSQUEADA, DN 65 (2 1/2"), INSTALADO EM REDE DE ALIMENTAÇÃO PARA SPRINKLER - FORNECIMENTO E INSTALAÇÃO. AF_01/2026</t>
  </si>
  <si>
    <t>UNIÃO, EM FERRO GALVANIZADO, CONEXÃO ROSQUEADA, DN 80 (3"), INSTALADO EM REDE DE ALIMENTAÇÃO PARA SPRINKLER - FORNECIMENTO E INSTALAÇÃO. AF_01/2026</t>
  </si>
  <si>
    <t>UNIÃO, EM FERRO GALVANIZADO, DN 25 (1"), CONEXÃO ROSQUEADA, INSTALADO EM REDE DE ALIMENTAÇÃO PARA HIDRANTE - FORNECIMENTO E INSTALAÇÃO. AF_01/2026</t>
  </si>
  <si>
    <t>UNIÃO, EM FERRO GALVANIZADO, DN 32 (1 1/4"), CONEXÃO ROSQUEADA, INSTALADO EM REDE DE ALIMENTAÇÃO PARA HIDRANTE - FORNECIMENTO E INSTALAÇÃO. AF_01/2026</t>
  </si>
  <si>
    <t>UNIÃO, EM FERRO GALVANIZADO, DN 40 (1 1/2"), CONEXÃO ROSQUEADA, INSTALADO EM REDE DE ALIMENTAÇÃO PARA HIDRANTE - FORNECIMENTO E INSTALAÇÃO. AF_01/2026</t>
  </si>
  <si>
    <t>UNIÃO, EM FERRO GALVANIZADO, DN 50 (2"), CONEXÃO ROSQUEADA, INSTALADO EM PRUMADAS - FORNECIMENTO E INSTALAÇÃO. AF_01/2026</t>
  </si>
  <si>
    <t>UNIÃO, EM FERRO GALVANIZADO, DN 50 (2"), CONEXÃO ROSQUEADA, INSTALADO EM REDE DE ALIMENTAÇÃO PARA HIDRANTE - FORNECIMENTO E INSTALAÇÃO. AF_01/2026</t>
  </si>
  <si>
    <t>UNIÃO, EM FERRO GALVANIZADO, DN 65 (2 1/2"), CONEXÃO ROSQUEADA, INSTALADO EM PRUMADAS - FORNECIMENTO E INSTALAÇÃO. AF_01/2026</t>
  </si>
  <si>
    <t>UNIÃO, EM FERRO GALVANIZADO, DN 65 (2 1/2"), CONEXÃO ROSQUEADA, INSTALADO EM REDE DE ALIMENTAÇÃO PARA HIDRANTE - FORNECIMENTO E INSTALAÇÃO. AF_01/2026</t>
  </si>
  <si>
    <t>UNIÃO, EM FERRO GALVANIZADO, DN 80 (3"), CONEXÃO ROSQUEADA, INSTALADO EM PRUMADAS - FORNECIMENTO E INSTALAÇÃO. AF_01/2026</t>
  </si>
  <si>
    <t>UNIÃO, EM FERRO GALVANIZADO, DN 80 (3"), CONEXÃO ROSQUEADA, INSTALADO EM REDE DE ALIMENTAÇÃO PARA HIDRANTE - FORNECIMENTO E INSTALAÇÃO. AF_01/2026</t>
  </si>
  <si>
    <t>LIMPEZA DE BACIA SANITÁRIA, BIDÊ OU MICTÓRIO EM LOUÇA, INCLUSIVE METAIS CORRESPONDENTES. AF_10/2025_PS</t>
  </si>
  <si>
    <t>LIMPEZA DE BANCADA COM PLACA DE ROCHA (MÁRMORE OU GRANITO). AF_10/2025_PS</t>
  </si>
  <si>
    <t>LIMPEZA DE BANCADA COM PLACA DE ROCHA E CUBA DE LOUÇA, INCLUSIVE METAIS CORRESPONDENTES. AF_10/2025_PS</t>
  </si>
  <si>
    <t>LIMPEZA DE BANCADA DE PIA COM PLACA DE ROCHA E CUBA DE INOX, INCLUSIVE METAIS CORRESPONDENTES. AF_10/2025_PS</t>
  </si>
  <si>
    <t>LIMPEZA DE CONTRAPISO COM VASSOURA A SECO. AF_10/2025</t>
  </si>
  <si>
    <t>LIMPEZA DE FORRO REMOVÍVEL COM PANO ÚMIDO. AF_10/2025_PS</t>
  </si>
  <si>
    <t>LIMPEZA DE GRADIL. AF_10/2025_PS</t>
  </si>
  <si>
    <t>LIMPEZA DE JANELA DE VIDRO COM CAIXILHO EM AÇO/ALUMÍNIO/PVC. AF_10/2025_PS</t>
  </si>
  <si>
    <t>LIMPEZA DE JANELA INTEIRAMENTE DE VIDRO. AF_10/2025_PS</t>
  </si>
  <si>
    <t>LIMPEZA DE PISO CERÂMICO OU COM PEDRAS RÚSTICAS UTILIZANDO ÁCIDO MURIÁTICO. AF_10/2025_PS</t>
  </si>
  <si>
    <t>LIMPEZA DE PISO CERÂMICO OU PORCELANATO COM PANO ÚMIDO. AF_10/2025_PS</t>
  </si>
  <si>
    <t>LIMPEZA DE PISO CERÂMICO OU PORCELANATO COM VASSOURA A SECO. AF_10/2025</t>
  </si>
  <si>
    <t>LIMPEZA DE PISO CERÂMICO/ PORCELANATO/ MÁRMORE/ GRANITO UTILIZANDO DETERGENTE NEUTRO E ESCOVAÇÃO MANUAL. AF_10/2025_PS</t>
  </si>
  <si>
    <t>LIMPEZA DE PISO DE LADRILHO HIDRÁULICO COM PANO ÚMIDO. AF_10/2025_PS</t>
  </si>
  <si>
    <t>LIMPEZA DE PISO VINÍLICO COM VASSOURA E PANO ÚMIDO. AF_10/2025_PS</t>
  </si>
  <si>
    <t>LIMPEZA DE PORTA DE MADEIRA. AF_10/2025_PS</t>
  </si>
  <si>
    <t>LIMPEZA DE PORTA DE VIDRO COM CAIXILHO EM AÇO/ ALUMÍNIO/ PVC. AF_10/2025_PS</t>
  </si>
  <si>
    <t>LIMPEZA DE PORTA EM AÇO/ALUMÍNIO. AF_10/2025_PS</t>
  </si>
  <si>
    <t>LIMPEZA DE PORTA INTEIRAMENTE DE VIDRO. AF_10/2025_PS</t>
  </si>
  <si>
    <t>LIMPEZA DE REVESTIMENTO CERÂMICO EM PAREDE COM PANO ÚMIDO. AF_10/2025_PS</t>
  </si>
  <si>
    <t>LIMPEZA DE REVESTIMENTO CERÂMICO/ MÁRMORE/ GRANITO EM PAREDE UTILIZANDO DETERGENTE NEUTRO E ESCOVAÇÃO MANUAL. AF_10/2025_PS</t>
  </si>
  <si>
    <t>LIMPEZA DE RODAS DE CAMINHÕES COM JATO DE ALTA PRESSÃO, POR EIXO. AF_10/2025</t>
  </si>
  <si>
    <t>LIMPEZA DE RUA COM CAMINHÃO PIPA. AF_10/2025</t>
  </si>
  <si>
    <t>LIMPEZA DE RUA COM JATO DE ALTA PRESSÃO. AF_10/2025</t>
  </si>
  <si>
    <t>LIMPEZA DE SUPERFÍCIE PISO OU PAREDE COM JATO DE ALTA PRESSÃO. AF_10/2025</t>
  </si>
  <si>
    <t>LIMPEZA DE TANQUE OU LAVATÓRIO DE LOUÇA ISOLADO, INCLUSIVE METAIS CORRESPONDENTES. AF_10/2025_PS</t>
  </si>
  <si>
    <t>RETIRADA DE SALVA PISO DO CHÃO. AF_10/2025</t>
  </si>
  <si>
    <t>ACABAMENTO MONOCOMANDO PARA CHUVEIRO - FORNECIMENTO E INSTALAÇÃO. AF_02/2026</t>
  </si>
  <si>
    <t>APARELHO MISTURADOR DE MESA PARA LAVATÓRIO, PADRÃO MÉDIO - FORNECIMENTO E INSTALAÇÃO. AF_02/2026</t>
  </si>
  <si>
    <t>APARELHO MISTURADOR DE MESA PARA PIA DE COZINHA, PADRÃO MÉDIO - FORNECIMENTO E INSTALAÇÃO. AF_02/2026</t>
  </si>
  <si>
    <t>ASSENTO SANITÁRIO CONVENCIONAL - FORNECIMENTO E INSTALAÇÃO. AF_02/2026</t>
  </si>
  <si>
    <t>ASSENTO SANITÁRIO INFANTIL - FORNECIMENTO E INSTALAÇÃO. AF_02/2026</t>
  </si>
  <si>
    <t>BACIA SANITÁRIA COM CAIXA ACOPLADA LOUÇA BRANCA - FORNECIMENTO E INSTALAÇÃO. AF_02/2026</t>
  </si>
  <si>
    <t>BACIA SANITÁRIA COM CAIXA ACOPLADA LOUÇA BRANCA - PADRÃO MÉDIO, INCLUSO ENGATE FLEXÍVEL EM METAL CROMADO, 1/2" X 40 CM - FORNECIMENTO E INSTALAÇÃO. AF_02/2026</t>
  </si>
  <si>
    <t>BACIA SANITÁRIA COM CAIXA ACOPLADA LOUÇA BRANCA, INCLUSO ENGATE FLEXÍVEL EM PLÁSTICO BRANCO, 1/2" X 40 CM - FORNECIMENTO E INSTALAÇÃO. AF_02/2026</t>
  </si>
  <si>
    <t>BACIA SANITÁRIA COM CAIXA ACOPLADA, LOUÇA BRANCA - PADRÃO ALTO - FORNECIMENTO E INSTALAÇÃO. AF_02/2026</t>
  </si>
  <si>
    <t>BACIA SANITÁRIA EM LOUÇA BRANCA PARA PCD SEM FURO FRONTAL, COM TUBO DE LIGAÇÃO CROMADO, SEM ASSENTO - FORNECIMENTO E INSTALAÇÃO. AF_02/2026_PS</t>
  </si>
  <si>
    <t>BACIA SANITÁRIA EM LOUÇA BRANCA, COM TUBO DE LIGAÇÃO CROMADO - FORNECIMENTO E INSTALAÇÃO. AF_02/2026_PS</t>
  </si>
  <si>
    <t>BACIA SANITÁRIA INFANTIL LOUÇA BRANCA, COM TUBO DE LIGAÇÃO CROMADO - FORNECIMENTO E INSTALAÇÃO. AF_02/2026_PS</t>
  </si>
  <si>
    <t>BANCADA DE GRANITO CINZA POLIDO, DE 0,50 X 0,60 M, PARA LAVATÓRIO - FORNECIMENTO E INSTALAÇÃO. AF_02/2026</t>
  </si>
  <si>
    <t>BANCADA DE GRANITO CINZA POLIDO, DE 1,50 X 0,60 M, PARA PIA DE COZINHA - FORNECIMENTO E INSTALAÇÃO. AF_02/2026</t>
  </si>
  <si>
    <t>BANCADA DE GRANITO CINZA POLIDO, DE 2,00 X 0,60 M, PARA LAVATÓRIO - FORNECIMENTO E INSTALAÇÃO. AF_02/2026</t>
  </si>
  <si>
    <t>BANCADA DE GRANITO CINZA POLIDO, DE 3,00 X 0,60 M, PARA LAVATÓRIO - FORNECIMENTO E INSTALAÇÃO. AF_02/2026</t>
  </si>
  <si>
    <t>BANCADA DE MÁRMORE BRANCO POLIDO, DE 0,50 X 0,60 M, PARA LAVATÓRIO - FORNECIMENTO E INSTALAÇÃO. AF_02/2026</t>
  </si>
  <si>
    <t>BANCADA DE MÁRMORE BRANCO POLIDO, DE 1,50 X 0,60 M, PARA PIA DE COZINHA - FORNECIMENTO E INSTALAÇÃO. AF_02/2026</t>
  </si>
  <si>
    <t>BANCADA DE MÁRMORE SINTÉTICO 120 X 60CM, COM CUBA INTEGRADA, INCLUSO SIFÃO TIPO FLEXÍVEL EM PVC, VÁLVULA EM PLÁSTICO CROMADO TIPO AMERICANA E TORNEIRA CROMADA LONGA, DE PAREDE, PADRÃO POPULAR - FORNECIMENTO E INSTALAÇÃO. AF_02/2026</t>
  </si>
  <si>
    <t>BANCADA DE MÁRMORE SINTÉTICO 120 X 60CM, COM CUBA INTEGRADA, INCLUSO SIFÃO TIPO GARRAFA EM PVC, VÁLVULA EM PLÁSTICO CROMADO TIPO AMERICANA E TORNEIRA CROMADA LONGA, DE PAREDE, PADRÃO POPULAR - FORNECIMENTO E INSTALAÇÃO. AF_02/2026</t>
  </si>
  <si>
    <t>BANCADA DE MÁRMORE SINTÉTICO, DE 120 X 60CM, COM CUBA INTEGRADA - FORNECIMENTO E INSTALAÇÃO. AF_02/2026</t>
  </si>
  <si>
    <t>BANCADA GRANITO CINZA 150 X 60 CM, COM CUBA DE EMBUTIR DE AÇO, VÁLVULA AMERICANA EM METAL, SIFÃO FLEXÍVEL EM PVC, ENGATE FLEXÍVEL 30 CM, TORNEIRA CROMADA LONGA, DE PAREDE, 1/2" OU 3/4", P/ COZINHA, PADRÃO POPULAR - FORNEC. E INSTALAÇÃO. AF_02/2026</t>
  </si>
  <si>
    <t>BANCADA GRANITO CINZA, 50 X 60 CM, INCL. CUBA DE EMBUTIR OVAL LOUÇA BRANCA 35 X 50 CM, VÁLVULA METAL CROMADO, SIFÃO FLEXÍVEL PVC, ENGATE 30 CM FLEXÍVEL PLÁSTICO E TORNEIRA CROMADA DE MESA, PADRÃO POPULAR - FORNEC. E INSTALAÇÃO. AF_02/2026</t>
  </si>
  <si>
    <t>BANCADA MÁRMORE BRANCO 150 X 60 CM, COM CUBA DE EMBUTIR DE AÇO, VÁLVULA AMERICANA E SIFÃO TIPO GARRAFA EM METAL, ENGATE FLEXÍVEL 30 CM, TORNEIRA CROMADA, DE MESA, 1/2" OU 3/4", PARA PIA COZINHA, PADRÃO ALTO - FORNEC. E INSTALAÇÃO. AF_02/2026</t>
  </si>
  <si>
    <t>BANCADA MÁRMORE BRANCO, 50 X 60 CM, INCLUSO CUBA DE EMBUTIR OVAL EM LOUÇA BRANCA 35 X 50 CM, VÁLVULA, SIFÃO TIPO GARRAFA E ENGATE FLEXÍVEL 40 CM EM METAL CROMADO E APARELHO MISTURADOR DE MESA, PADRÃO MÉDIO - FORNEC. E INSTALAÇÃO. AF_02/2026</t>
  </si>
  <si>
    <t>BANCO ARTICULADO, EM AÇO INOX, PARA PCD, FIXADO NA PAREDE - FORNECIMENTO E INSTALAÇÃO. AF_02/2026</t>
  </si>
  <si>
    <t>BARRA DE APOIO EM "L", EM AÇO INOX POLIDO 70 X 70 CM, FIXADA NA PAREDE - FORNECIMENTO E INSTALAÇÃO. AF_02/2026</t>
  </si>
  <si>
    <t>BARRA DE APOIO EM "L", EM AÇO INOX POLIDO 80 X 80 CM, FIXADA NA PAREDE - FORNECIMENTO E INSTALAÇÃO. AF_02/2026</t>
  </si>
  <si>
    <t>BARRA DE APOIO LATERAL ARTICULADA, COM TRAVA, EM AÇO INOX POLIDO, FIXADA NA PAREDE - FORNECIMENTO E INSTALAÇÃO. AF_02/2026</t>
  </si>
  <si>
    <t>BARRA DE APOIO RETA, EM ALUMÍNIO, COMPRIMENTO 60 CM, FIXADA NA PAREDE - FORNECIMENTO E INSTALAÇÃO. AF_02/2026</t>
  </si>
  <si>
    <t>BARRA DE APOIO RETA, EM ALUMÍNIO, COMPRIMENTO 70 CM, FIXADA NA PAREDE - FORNECIMENTO E INSTALAÇÃO. AF_02/2026</t>
  </si>
  <si>
    <t>BARRA DE APOIO RETA, EM ALUMÍNIO, COMPRIMENTO 80 CM, FIXADA NA PAREDE - FORNECIMENTO E INSTALAÇÃO. AF_02/2026</t>
  </si>
  <si>
    <t>BARRA DE APOIO RETA, EM ALUMÍNIO, COMPRIMENTO 90 CM, FIXADA NA PAREDE - FORNECIMENTO E INSTALAÇÃO. AF_02/2026</t>
  </si>
  <si>
    <t>BARRA DE APOIO RETA, EM AÇO INOX POLIDO, COMPRIMENTO 60 CM, FIXADA NA PAREDE - FORNECIMENTO E INSTALAÇÃO. AF_02/2026</t>
  </si>
  <si>
    <t>BARRA DE APOIO RETA, EM AÇO INOX POLIDO, COMPRIMENTO 70 CM, FIXADA NA PAREDE - FORNECIMENTO E INSTALAÇÃO. AF_02/2026</t>
  </si>
  <si>
    <t>BARRA DE APOIO RETA, EM AÇO INOX POLIDO, COMPRIMENTO 80 CM, FIXADA NA PAREDE - FORNECIMENTO E INSTALAÇÃO. AF_02/2026</t>
  </si>
  <si>
    <t>BARRA DE APOIO RETA, EM AÇO INOX POLIDO, COMPRIMENTO 90 CM, FIXADA NA PAREDE - FORNECIMENTO E INSTALAÇÃO. AF_02/2026</t>
  </si>
  <si>
    <t>CABIDE METÁLICO TIPO GANCHO EM METAL CROMADO, INCLUSO FIXAÇÃO. AF_02/2026</t>
  </si>
  <si>
    <t>CHUVEIRO ELÉTRICO COMUM CORPO PLÁSTICO, TIPO DUCHA - FORNECIMENTO E INSTALAÇÃO. AF_02/2026</t>
  </si>
  <si>
    <t>CUBA DE EMBUTIR DE AÇO INOXIDÁVEL MÉDIA, INCLUSO VÁLVULA TIPO AMERICANA E SIFÃO TIPO GARRAFA EM METAL CROMADO - FORNECIMENTO E INSTALAÇÃO. AF_02/2026</t>
  </si>
  <si>
    <t>CUBA DE EMBUTIR DE AÇO INOXIDÁVEL MÉDIA, INCLUSO VÁLVULA TIPO AMERICANA EM METAL CROMADO E SIFÃO FLEXÍVEL EM PVC - FORNECIMENTO E INSTALAÇÃO. AF_02/2026</t>
  </si>
  <si>
    <t>CUBA DE EMBUTIR OVAL EM LOUÇA BRANCA, 35 X 50 CM OU EQUIVALENTE, INCLUSO VÁLVULA E SIFÃO TIPO GARRAFA EM METAL CROMADO - FORNECIMENTO E INSTALAÇÃO. AF_02/2026</t>
  </si>
  <si>
    <t>CUBA DE EMBUTIR OVAL EM LOUÇA BRANCA, 35 X 50 CM OU EQUIVALENTE, INCLUSO VÁLVULA EM METAL CROMADO E SIFÃO FLEXÍVEL EM PVC - FORNECIMENTO E INSTALAÇÃO. AF_02/2026</t>
  </si>
  <si>
    <t>CUBA DE EMBUTIR OVAL EM LOUÇA BRANCA, 35 X 50CM OU EQUIVALENTE - FORNECIMENTO E INSTALAÇÃO. AF_02/2026</t>
  </si>
  <si>
    <t>CUBA DE EMBUTIR RETANGULAR DE AÇO INOXIDÁVEL, 46 X 30 X 12 CM - FORNECIMENTO E INSTALAÇÃO. AF_02/2026</t>
  </si>
  <si>
    <t>CUBA DE EMBUTIR RETANGULAR DE AÇO INOXIDÁVEL, 56 X 33 X 12 CM - FORNECIMENTO E INSTALAÇÃO. AF_02/2026</t>
  </si>
  <si>
    <t>DISPENSER DE PLÁSTICO PARA PAPEL HIGIÊNICO, INCLUSO FIXAÇÃO. AF_02/2026</t>
  </si>
  <si>
    <t>DISPENSER DE PLÁSTICO PARA TOALHA DE PAPEL INTERFOLHADA, INCLUSO FIXAÇÃO. AF_02/2026</t>
  </si>
  <si>
    <t>ENGATE FLEXÍVEL EM INOX, 1/2" X 30 CM - FORNECIMENTO E INSTALAÇÃO. AF_02/2026</t>
  </si>
  <si>
    <t>ENGATE FLEXÍVEL EM INOX, 1/2" X 40 CM - FORNECIMENTO E INSTALAÇÃO. AF_02/2026</t>
  </si>
  <si>
    <t>ENGATE FLEXÍVEL EM PLÁSTICO BRANCO, 1/2" X 30CM - FORNECIMENTO E INSTALAÇÃO. AF_02/2026</t>
  </si>
  <si>
    <t>ENGATE FLEXÍVEL EM PLÁSTICO BRANCO, 1/2" X 40CM - FORNECIMENTO E INSTALAÇÃO. AF_02/2026</t>
  </si>
  <si>
    <t>KIT DE ACESSÓRIOS PARA BANHEIRO EM METAL CROMADO, 5 PEÇAS, INCLUSO FIXAÇÃO. AF_02/2026</t>
  </si>
  <si>
    <t>LAVATÓRIO LOUÇA BRANCA COM COLUNA, *44 X 35* CM, PADRÃO POPULAR - FORNECIMENTO E INSTALAÇÃO. AF_02/2026</t>
  </si>
  <si>
    <t>LAVATÓRIO LOUÇA BRANCA COM COLUNA, *44 X 35* CM, PADRÃO POPULAR, INCLUSO SIFÃO FLEXÍVEL EM PVC, VÁLVULA E ENGATE FLEXÍVEL 30 CM EM PLÁSTICO E COM TORNEIRA CROMADA PADRÃO POPULAR - FORNECIMENTO E INSTALAÇÃO. AF_02/2026</t>
  </si>
  <si>
    <t>LAVATÓRIO LOUÇA BRANCA COM COLUNA, *54 X 44* CM OU EQUIVALENTE, PADRÃO MÉDIO - FORNECIMENTO E INSTALAÇÃO. AF_02/2026</t>
  </si>
  <si>
    <t>LAVATÓRIO LOUÇA BRANCA COM COLUNA, 45 X 55 CM OU EQUIVALENTE, PADRÃO MÉDIO, INCLUSO SIFÃO TIPO GARRAFA, VÁLVULA E ENGATE FLEXÍVEL DE 40 CM EM METAL CROMADO, COM APARELHO MISTURADOR PADRÃO MÉDIO - FORNECIMENTO E INSTALAÇÃO. AF_02/2026</t>
  </si>
  <si>
    <t>LAVATÓRIO LOUÇA BRANCA COM COLUNA, 45 X 55 CM OU EQUIVALENTE, PADRÃO MÉDIO, INCLUSO SIFÃO TIPO GARRAFA, VÁLVULA E ENGATE FLEXÍVEL DE 40 CM EM METAL CROMADO, COM TORNEIRA CROMADA DE MESA, PADRÃO MÉDIO - FORNECIMENTO E INSTALAÇÃO. AF_02/2026</t>
  </si>
  <si>
    <t>LAVATÓRIO LOUÇA BRANCA SUSPENSO, *40 X 30* CM OU EQUIVALENTE, PADRÃO POPULAR - FORNECIMENTO E INSTALAÇÃO. AF_02/2026</t>
  </si>
  <si>
    <t>LAVATÓRIO LOUÇA BRANCA SUSPENSO, *40 X 30* CM OU EQUIVALENTE, PADRÃO POPULAR, INCLUSO SIFÃO FLEXÍVEL EM PVC, VÁLVULA E ENGATE FLEXÍVEL 30 CM EM PLÁSTICO E TORNEIRA CROMADA DE MESA, PADRÃO POPULAR - FORNECIMENTO E INSTALAÇÃO. AF_02/2026</t>
  </si>
  <si>
    <t>LAVATÓRIO LOUÇA BRANCA SUSPENSO, *40 X 30* CM OU EQUIVALENTE, PADRÃO POPULAR, INCLUSO SIFÃO TIPO GARRAFA EM PVC, VÁLVULA E ENGATE FLEXÍVEL 30 CM EM PLÁSTICO E TORNEIRA CROMADA DE MESA, PADRÃO POPULAR - FORNECIMENTO E INSTALAÇÃO. AF_02/2026</t>
  </si>
  <si>
    <t>MANOPLA E CANOPLA CROMADA - FORNECIMENTO E INSTALAÇÃO. AF_02/2026</t>
  </si>
  <si>
    <t>MICTÓRIO COLETIVO EM AÇO INOXIDÁVEL, 1,0 M - FORNECIMENTO E INSTALAÇÃO. AF_02/2026</t>
  </si>
  <si>
    <t>MICTÓRIO SIFONADO COM VÁLVULA DE DESCARGA EM LOUÇA BRANCA - PADRÃO MÉDIO - FORNECIMENTO E INSTALAÇÃO. AF_02/2026</t>
  </si>
  <si>
    <t>MICTÓRIO SIFONADO LOUÇA BRANCA PARA ENTRADA DE ÁGUA EMBUTIDA - PADRÃO ALTO - FORNECIMENTO E INSTALAÇÃO. AF_02/2026</t>
  </si>
  <si>
    <t>PAPELEIRA DE PAREDE EM METAL CROMADO SEM TAMPA, INCLUSO FIXAÇÃO. AF_02/2026</t>
  </si>
  <si>
    <t>PIA DE AÇO INOX, DE *0,55 X 1,20* M COM 1 CUBA - FORNECIMENTO E INSTALAÇÃO. AF_02/2026</t>
  </si>
  <si>
    <t>PORTA TOALHA BANHO EM METAL CROMADO, TIPO BARRA, INCLUSO FIXAÇÃO. AF_02/2026</t>
  </si>
  <si>
    <t>PORTA TOALHA ROSTO EM METAL CROMADO, TIPO ARGOLA, INCLUSO FIXAÇÃO. AF_02/2026</t>
  </si>
  <si>
    <t>PUXADOR PARA PCD, FIXADO NA PORTA - FORNECIMENTO E INSTALAÇÃO. AF_02/2026</t>
  </si>
  <si>
    <t>SABONETEIRA DE PAREDE EM METAL CROMADO, INCLUSO FIXAÇÃO. AF_02/2026</t>
  </si>
  <si>
    <t>SABONETEIRA PLÁSTICA TIPO DISPENSER PARA SABONETE LÍQUIDO COM RESERVATÓRIO 800 A 1500 ML, INCLUSO FIXAÇÃO. AF_02/2026</t>
  </si>
  <si>
    <t>SIFÃO DO TIPO FLEXÍVEL EM PVC 1" X 1.1/2" - FORNECIMENTO E INSTALAÇÃO. AF_02/2026</t>
  </si>
  <si>
    <t>SIFÃO DO TIPO GARRAFA EM METAL CROMADO 1" X 1.1/2" - FORNECIMENTO E INSTALAÇÃO. AF_02/2026</t>
  </si>
  <si>
    <t>SIFÃO DO TIPO GARRAFA/COPO EM PVC 1.1/4" X 1.1/2" - FORNECIMENTO E INSTALAÇÃO. AF_02/2026</t>
  </si>
  <si>
    <t>SUPORTE MÃO FRANCESA EM AÇO, ABAS IGUAIS 30 CM, CAPACIDADE MÍNIMA 60 KG, BRANCO - FORNECIMENTO E INSTALAÇÃO. AF_02/2026</t>
  </si>
  <si>
    <t>SUPORTE MÃO FRANCESA EM AÇO, ABAS IGUAIS 40 CM, CAPACIDADE MÍNIMA 70 KG, BRANCO - FORNECIMENTO E INSTALAÇÃO. AF_02/2026</t>
  </si>
  <si>
    <t>TANQUE DE LOUÇA BRANCA COM COLUNA, 30L OU EQUIVALENTE - FORNECIMENTO E INSTALAÇÃO. AF_02/2026</t>
  </si>
  <si>
    <t>TANQUE DE LOUÇA BRANCA COM COLUNA, 30L OU EQUIVALENTE, INCLUSO SIFÃO FLEXÍVEL EM PVC, VÁLVULA METÁLICA E TORNEIRA DE METAL CROMADO PADRÃO MÉDIO - FORNECIMENTO E INSTALAÇÃO. AF_02/2026</t>
  </si>
  <si>
    <t>TANQUE DE LOUÇA BRANCA COM COLUNA, 30L OU EQUIVALENTE, INCLUSO SIFÃO FLEXÍVEL EM PVC, VÁLVULA PLÁSTICA E TORNEIRA DE METAL CROMADO PADRÃO POPULAR - FORNECIMENTO E INSTALAÇÃO. AF_02/2026</t>
  </si>
  <si>
    <t>TANQUE DE LOUÇA BRANCA COM COLUNA, 30L OU EQUIVALENTE, INCLUSO SIFÃO FLEXÍVEL EM PVC, VÁLVULA PLÁSTICA E TORNEIRA DE PLÁSTICO - FORNECIMENTO E INSTALAÇÃO. AF_02/2026</t>
  </si>
  <si>
    <t>TANQUE DE LOUÇA BRANCA SUSPENSO, *20*L OU EQUIVALENTE - FORNECIMENTO E INSTALAÇÃO. AF_02/2026</t>
  </si>
  <si>
    <t>TANQUE DE LOUÇA BRANCA SUSPENSO, 20L OU EQUIVALENTE, INCLUSO SIFÃO TIPO GARRAFA EM METAL CROMADO, VÁLVULA METÁLICA E TORNEIRA DE METAL CROMADO PADRÃO MÉDIO - FORNECIMENTO E INSTALAÇÃO. AF_02/2026</t>
  </si>
  <si>
    <t>TANQUE DE LOUÇA BRANCA SUSPENSO, 20L OU EQUIVALENTE, INCLUSO SIFÃO TIPO GARRAFA EM PVC, VÁLVULA PLÁSTICA E TORNEIRA DE METAL CROMADO PADRÃO POPULAR - FORNECIMENTO E INSTALAÇÃO. AF_02/2026</t>
  </si>
  <si>
    <t>TANQUE DE LOUÇA BRANCA SUSPENSO, 20L OU EQUIVALENTE, INCLUSO SIFÃO TIPO GARRAFA EM PVC, VÁLVULA PLÁSTICA E TORNEIRA DE PLÁSTICO - FORNECIMENTO E INSTALAÇÃO. AF_02/2026</t>
  </si>
  <si>
    <t>TANQUE DE MÁRMORE SINTÉTICO COM COLUNA, 22L OU EQUIVALENTE FORNECIMENTO E INSTALAÇÃO. AF_02/2026</t>
  </si>
  <si>
    <t>TANQUE DE MÁRMORE SINTÉTICO COM COLUNA, 22L OU EQUIVALENTE, INCLUSO SIFÃO FLEXÍVEL EM PVC, VÁLVULA PLÁSTICA E TORNEIRA DE METAL CROMADO PADRÃO POPULAR - FORNECIMENTO E INSTALAÇÃO. AF_02/2026</t>
  </si>
  <si>
    <t>TANQUE DE MÁRMORE SINTÉTICO COM COLUNA, 22L OU EQUIVALENTE, INCLUSO SIFÃO FLEXÍVEL EM PVC, VÁLVULA PLÁSTICA E TORNEIRA DE PLÁSTICO - FORNECIMENTO E INSTALAÇÃO. AF_02/2026</t>
  </si>
  <si>
    <t>TANQUE DE MÁRMORE SINTÉTICO SUSPENSO, 22L OU EQUIVALENTE - FORNECIMENTO E INSTALAÇÃO. AF_02/2026</t>
  </si>
  <si>
    <t>TANQUE DE MÁRMORE SINTÉTICO SUSPENSO, 22L OU EQUIVALENTE, INCLUSO SIFÃO FLEXÍVEL EM PVC, VÁLVULA PLÁSTICA E TORNEIRA DE METAL CROMADO PADRÃO POPULAR - FORNECIMENTO E INSTALAÇÃO. AF_02/2026</t>
  </si>
  <si>
    <t>TANQUE DE MÁRMORE SINTÉTICO SUSPENSO, 22L OU EQUIVALENTE, INCLUSO SIFÃO FLEXÍVEL EM PVC, VÁLVULA PLÁSTICA E TORNEIRA DE PLÁSTICO - FORNECIMENTO E INSTALAÇÃO. AF_02/2026</t>
  </si>
  <si>
    <t>TANQUE DE MÁRMORE SINTÉTICO SUSPENSO, 22L OU EQUIVALENTE, INCLUSO SIFÃO TIPO GARRAFA EM PVC, VÁLVULA PLÁSTICA E TORNEIRA DE METAL CROMADO PADRÃO POPULAR - FORNEC. E INSTALAÇÃO. AF_02/2026</t>
  </si>
  <si>
    <t>TANQUE DE MÁRMORE SINTÉTICO SUSPENSO, 22L OU EQUIVALENTE, INCLUSO SIFÃO TIPO GARRAFA EM PVC, VÁLVULA PLÁSTICA E TORNEIRA DE PLÁSTICO - FORNECIMENTO E INSTALAÇÃO. AF_02/2026</t>
  </si>
  <si>
    <t>TORNEIRA CROMADA 1/2" OU 3/4" PARA TANQUE, PADRÃO MÉDIO - FORNECIMENTO E INSTALAÇÃO. AF_02/2026</t>
  </si>
  <si>
    <t>TORNEIRA CROMADA 1/2" OU 3/4" PARA TANQUE, PADRÃO POPULAR - FORNECIMENTO E INSTALAÇÃO. AF_02/2026</t>
  </si>
  <si>
    <t>TORNEIRA CROMADA DE MESA COM FECHAMENTO AUTOMÁTICO, PARA LAVATÓRIO - FORNECIMENTO E INSTALAÇÃO. AF_02/2026</t>
  </si>
  <si>
    <t>TORNEIRA CROMADA DE MESA PARA LAVATÓRIO COM SENSOR DE PRESENÇA. AF_02/2026</t>
  </si>
  <si>
    <t>TORNEIRA CROMADA DE MESA PARA LAVATÓRIO, TIPO MONOCOMANDO. AF_02/2026</t>
  </si>
  <si>
    <t>TORNEIRA CROMADA DE MESA, 1/2" OU 3/4", PARA LAVATÓRIO, PADRÃO MÉDIO - FORNECIMENTO E INSTALAÇÃO. AF_02/2026</t>
  </si>
  <si>
    <t>TORNEIRA CROMADA DE MESA, 1/2" OU 3/4", PARA LAVATÓRIO, PADRÃO POPULAR - FORNECIMENTO E INSTALAÇÃO. AF_02/2026</t>
  </si>
  <si>
    <t>TORNEIRA CROMADA LONGA, DE PAREDE, 1/2" OU 3/4", PARA PIA DE COZINHA, PADRÃO POPULAR - FORNECIMENTO E INSTALAÇÃO. AF_02/2026</t>
  </si>
  <si>
    <t>TORNEIRA CROMADA TUBO MÓVEL, DE MESA, 1/2" OU 3/4", PARA PIA DE COZINHA, PADRÃO ALTO - FORNECIMENTO E INSTALAÇÃO. AF_02/2026</t>
  </si>
  <si>
    <t>TORNEIRA CROMADA TUBO MÓVEL, DE PAREDE, 1/2" OU 3/4", PARA PIA DE COZINHA, PADRÃO MÉDIO - FORNECIMENTO E INSTALAÇÃO. AF_02/2026</t>
  </si>
  <si>
    <t>TORNEIRA PLÁSTICA 3/4" PARA TANQUE - FORNECIMENTO E INSTALAÇÃO. AF_02/2026</t>
  </si>
  <si>
    <t>VÁLVULA EM METAL CROMADO 1.1/2" X 1.1/2" PARA TANQUE OU LAVATÓRIO, COM OU SEM LADRÃO - FORNECIMENTO E INSTALAÇÃO. AF_02/2026</t>
  </si>
  <si>
    <t>VÁLVULA EM METAL CROMADO TIPO AMERICANA 3.1/2" X 1.1/2" PARA PIA - FORNECIMENTO E INSTALAÇÃO. AF_02/2026</t>
  </si>
  <si>
    <t>VÁLVULA EM PLÁSTICO 1" PARA PIA, TANQUE OU LAVATÓRIO, COM OU SEM LADRÃO - FORNECIMENTO E INSTALAÇÃO. AF_02/2026</t>
  </si>
  <si>
    <t>VÁLVULA EM PLÁSTICO CROMADO TIPO AMERICANA 3.1/2" X 1.1/2" SEM ADAPTADOR PARA PIA - FORNECIMENTO E INSTALAÇÃO. AF_02/2026</t>
  </si>
  <si>
    <t>ENSACAMENTO DE AREIA. AF_01/2026</t>
  </si>
  <si>
    <t>PENEIRAMENTO DE AREIA COM PENEIRA MANUAL. AF_01/2026</t>
  </si>
  <si>
    <t>ASSOALHO DE MADEIRA. AF_02/2026_PS</t>
  </si>
  <si>
    <t>PISO CIMENTADO, TRAÇO 1:3 (CIMENTO E AREIA), ACABAMENTO LISO, ESPESSURA 1,5 CM, PREPARO MECÂNICO DA ARGAMASSA. AF_02/2026</t>
  </si>
  <si>
    <t>PISO CIMENTADO, TRAÇO 1:3 (CIMENTO E AREIA), ACABAMENTO RUGOSO, ESPESSURA 1,5 CM, PREPARO MECÂNICO DA ARGAMASSA. AF_02/2026</t>
  </si>
  <si>
    <t>PISO CIMENTADO, TRAÇO 1:5 (CIMENTO E AREIA), ACABAMENTO LISO, ESPESSURA 2,0 CM, PREPARO MECÂNICO DA ARGAMASSA. AF_02/2026</t>
  </si>
  <si>
    <t>PISO CIMENTADO, TRAÇO 1:5 (CIMENTO E AREIA), ACABAMENTO LISO, ESPESSURA 3,0 CM, PREPARO MECÂNICO DA ARGAMASSA. AF_02/2026</t>
  </si>
  <si>
    <t>PISO CIMENTADO, TRAÇO 1:5 (CIMENTO E AREIA), ACABAMENTO LISO, ESPESSURA 4,0 CM, PREPARO MECÂNICO DA ARGAMASSA. AF_02/2026</t>
  </si>
  <si>
    <t>PISO CIMENTADO, TRAÇO 1:5 (CIMENTO E AREIA), ACABAMENTO RUGOSO, ESPESSURA 2,0 CM, PREPARO MECÂNICO DA ARGAMASSA. AF_02/2026</t>
  </si>
  <si>
    <t>PISO CIMENTADO, TRAÇO 1:5 (CIMENTO E AREIA), ACABAMENTO RUGOSO, ESPESSURA 3,0 CM, PREPARO MECÂNICO DA ARGAMASSA. AF_02/2026</t>
  </si>
  <si>
    <t>PISO CIMENTADO, TRAÇO 1:5 (CIMENTO E AREIA), ACABAMENTO RUGOSO, ESPESSURA 4,0 CM, PREPARO MECÂNICO DA ARGAMASSA. AF_02/2026</t>
  </si>
  <si>
    <t>PISO DE BORRACHA CANELADO, ESPESSURA 3,5MM, FIXADO COM ADESIVO ACRÍLICO. AF_02/2026</t>
  </si>
  <si>
    <t>PISO DE BORRACHA ESPORTIVO, ESPESSURA 15MM, ASSENTADO COM ARGAMASSA. AF_02/2026</t>
  </si>
  <si>
    <t>PISO DE BORRACHA PASTILHADO, ESPESSURA 15MM, ASSENTADO COM ARGAMASSA. AF_02/2026</t>
  </si>
  <si>
    <t>PISO DE BORRACHA PASTILHADO, ESPESSURA 3,5MM, FIXADO COM ADESIVO ACRÍLICO. AF_02/2026</t>
  </si>
  <si>
    <t>PISO DE BORRACHA PASTILHADO/FRISADO, ESPESSURA 7MM, ASSENTADO COM ARGAMASSA. AF_02/2026</t>
  </si>
  <si>
    <t>PISO EM GRANILITE, MARMORITE OU GRANITINA EM AMBIENTES INTERNOS, COM ESPESSURA DE 8 MM, INCLUSO MISTURA EM BETONEIRA, COLOCAÇÃO DAS JUNTAS, APLICAÇÃO DO PISO, 4 POLIMENTOS COM POLITRIZ, ESTUCAMENTO, SELADOR E CERA. AF_02/2026_PE</t>
  </si>
  <si>
    <t>PISO EM GRANITO APLICADO EM AMBIENTES INTERNOS. AF_02/2026</t>
  </si>
  <si>
    <t>PISO EM LADRILHO HIDRÁULICO APLICADO EM AMBIENTES INTERNOS DE ÁREA ENTRE 5 E 15 M², INCLUSO APLICAÇÃO DE RESINA. AF_02/2026</t>
  </si>
  <si>
    <t>PISO EM LADRILHO HIDRÁULICO APLICADO EM AMBIENTES INTERNOS DE ÁREA MENOR QUE 5 M², INCLUSO APLICAÇÃO DE RESINA. AF_02/2026</t>
  </si>
  <si>
    <t>PISO EM MÁRMORE APLICADO EM AMBIENTES INTERNOS. AF_02/2026</t>
  </si>
  <si>
    <t>PISO EM PEDRA ARDÓSIA ASSENTADO SOBRE ARGAMASSA 1:3 (CIMENTO E AREIA). AF_02/2026</t>
  </si>
  <si>
    <t>PISO EM PEDRA SÃO TOMÉ ASSENTADO SOBRE ARGAMASSA 1:3 (CIMENTO E AREIA). AF_02/2026</t>
  </si>
  <si>
    <t>PISO EM TACO DE MADEIRA 7X21CM, FIXADO COM COLA PU. AF_02/2026_PS</t>
  </si>
  <si>
    <t>PISO EM TACO DE MADEIRA 7X42CM, FIXADO COM COLA PU. AF_02/2026_PS</t>
  </si>
  <si>
    <t>PISO PODOTÁTIL DE ALERTA OU DIRECIONAL, DE BORRACHA, ASSENTADO SOBRE ARGAMASSA. AF_02/2026</t>
  </si>
  <si>
    <t>PISO VINÍLICO SEMI-FLEXÍVEL EM PLACAS, PADRÃO LISO, ESPESSURA 3,2 MM, FIXADO COM COLA. AF_02/2026</t>
  </si>
  <si>
    <t>PISO VINÍLICO SEMI-FLEXÍVEL EM RÉGUAS, PADRÃO LISO, ESPESSURA 4,0 MM, FIXADO COM COLA. AF_02/2026</t>
  </si>
  <si>
    <t>PREPARO DE CONTRAPISO COM MEMBRANA CIMENTÍCIA. AF_02/2026</t>
  </si>
  <si>
    <t>PREPARO DE CONTRAPISO COM POLITRIZ. AF_02/2026_PE</t>
  </si>
  <si>
    <t>REVESTIMENTO DE DEGRAUS DE ESCADA EM GRANITO. AF_02/2026</t>
  </si>
  <si>
    <t>RODAPÉ BORRACHA LISO, ALTURA = 7CM, ESPESSURA = 2 MM, FIXADO COM COLA. AF_02/2026_PS</t>
  </si>
  <si>
    <t>RODAPÉ EM ARDÓSIA ALTURA 10CM. AF_02/2026</t>
  </si>
  <si>
    <t>RODAPÉ EM GRANITO, ALTURA 10 CM. AF_02/2026</t>
  </si>
  <si>
    <t>RODAPÉ EM LADRILHO HIDRÁULICO, ALTURA 7 CM. AF_02/2026</t>
  </si>
  <si>
    <t>RODAPÉ EM MADEIRA, ALTURA 7CM, FIXADO COM COLA BASE DE POLIURETANO. AF_02/2026_PS</t>
  </si>
  <si>
    <t>RODAPÉ EM MADEIRA, ALTURA 7CM, FIXADO COM COLA PVA E PREGOS. AF_02/2026</t>
  </si>
  <si>
    <t>RODAPÉ EM MARMORITE, ALTURA 10CM. AF_02/2026_PE</t>
  </si>
  <si>
    <t>RODAPÉ EM MÁRMORE, ALTURA 7 CM. AF_02/2026</t>
  </si>
  <si>
    <t>RODAPÉ EM POLIESTIRENO, ALTURA 5 CM. AF_02/2026</t>
  </si>
  <si>
    <t>SOLEIRA EM GRANITO, LARGURA 15 CM, ESPESSURA 2,0 CM. AF_02/2026</t>
  </si>
  <si>
    <t>SOLEIRA EM MÁRMORE, LARGURA 15 CM, ESPESSURA 2,0 CM. AF_02/2026</t>
  </si>
  <si>
    <t>CONTATOR TRIPOLAR, CORRENTE DE *22* A, TENSAO NOMINAL DE *500* V, CATEGORIA AC-2 E AC-3, PARA QUADRO DE BOMBA - FORNECIMENTO E INSTALAÇÃO. AF_11/2025</t>
  </si>
  <si>
    <t>CONTATOR TRIPOLAR, CORRENTE DE *38* A, TENSAO NOMINAL DE *500* V, CATEGORIA AC-2 E AC-3, PARA QUADRO DE BOMBA - FORNECIMENTO E INSTALAÇÃO. AF_11/2025</t>
  </si>
  <si>
    <t>CONTATOR TRIPOLAR, CORRENTE DE 12 A, TENSAO NOMINAL DE *500* V, CATEGORIA AC-2 E AC-3, PARA QUADRO DE BOMBA - FORNECIMENTO E INSTALAÇÃO. AF_11/2025</t>
  </si>
  <si>
    <t>CONTATOR TRIPOLAR, CORRENTE DE 25 A, TENSAO NOMINAL DE *500* V, CATEGORIA AC-2 E AC-3, PARA QUADRO DE BOMBA - FORNECIMENTO E INSTALAÇÃO. AF_11/2025</t>
  </si>
  <si>
    <t>CONTATOR TRIPOLAR, CORRENTE DE 32 A, TENSAO NOMINAL DE *500* V, CATEGORIA AC-2 E AC-3, PARA QUADRO DE BOMBA - FORNECIMENTO E INSTALAÇÃO. AF_11/2025</t>
  </si>
  <si>
    <t>CONTATOR TRIPOLAR, CORRENTE DE 45 A, TENSAO NOMINAL DE *500* V, CATEGORIA AC-2 E AC-3, PARA QUADRO DE BOMBA - FORNECIMENTO E INSTALAÇÃO. AF_11/2025</t>
  </si>
  <si>
    <t>CONTATOR TRIPOLAR, CORRENTE DE 9 A, TENSAO NOMINAL DE *500* V, CATEGORIA AC-2 E AC-3, PARA QUADRO DE BOMBA - FORNECIMENTO E INSTALAÇÃO. AF_11/2025</t>
  </si>
  <si>
    <t>DISJUNTOR TERMOMAGNETICO PARA TRILHO DIN (IEC), TRIPOLAR, 10 A, PARA QUADRO DE BOMBA - FORNECIMENTO E INSTALAÇÃO. AF_11/2025</t>
  </si>
  <si>
    <t>DISJUNTOR TERMOMAGNETICO PARA TRILHO DIN (IEC), TRIPOLAR, 16 A, PARA QUADRO DE BOMBA - FORNECIMENTO E INSTALAÇÃO. AF_11/2025</t>
  </si>
  <si>
    <t>DISJUNTOR TERMOMAGNETICO PARA TRILHO DIN (IEC), TRIPOLAR, 20 A, PARA QUADRO DE BOMBA - FORNECIMENTO E INSTALAÇÃO. AF_11/2025</t>
  </si>
  <si>
    <t>DISJUNTOR TERMOMAGNETICO PARA TRILHO DIN (IEC), TRIPOLAR, 25 A, PARA QUADRO DE BOMBA - FORNECIMENTO E INSTALAÇÃO. AF_11/2025</t>
  </si>
  <si>
    <t>DISJUNTOR TERMOMAGNETICO PARA TRILHO DIN (IEC), TRIPOLAR, 32 A, PARA QUADRO DE BOMBA - FORNECIMENTO E INSTALAÇÃO. AF_11/2025</t>
  </si>
  <si>
    <t>DISJUNTOR TERMOMAGNETICO PARA TRILHO DIN (IEC), TRIPOLAR, 40 A, PARA QUADRO DE BOMBA - FORNECIMENTO E INSTALAÇÃO. AF_11/2025</t>
  </si>
  <si>
    <t>DISJUNTOR TERMOMAGNETICO PARA TRILHO DIN (IEC), TRIPOLAR, 50 A, PARA QUADRO DE BOMBA - FORNECIMENTO E INSTALAÇÃO. AF_11/2025</t>
  </si>
  <si>
    <t>DISJUNTOR TERMOMAGNETICO PARA TRILHO DIN (IEC), TRIPOLAR, 63 A, PARA QUADRO DE BOMBA - FORNECIMENTO E INSTALAÇÃO. AF_11/2025</t>
  </si>
  <si>
    <t>INSTALAÇÃO DE QUADRO ELÉTRICO PARA 1 BOMBA TRIFÁSICA ATÉ 25 CV CADA (NÃO INCLUI O FORNECIMENTO DO QUADRO). AF_11/2025</t>
  </si>
  <si>
    <t>INSTALAÇÃO DE QUADRO ELÉTRICO PARA 2 BOMBAS TRIFÁSICAS ATÉ 25 CV CADA (NÃO INCLUI O FORNECIMENTO DO QUADRO). AF_11/2025</t>
  </si>
  <si>
    <t>RELÉ TÉRMICO 32 A 40 A PARA 220 V OU 22 A 32 A PARA 380 V, PARA QUADRO DE BOMBA - FORNECIMENTO E INSTALAÇÃO. AF_11/2025</t>
  </si>
  <si>
    <t>RESERVATÓRIO DE CONCRETO PRÉ-FABRICADO, DIÂMETRO IGUAL A 2,5 M E ALTURA TOTAL MENOR OU IGUAL A 30,5 M - SOMENTE INSTALAÇÃO, SEM FORNECIMENTO. AF_12/2025</t>
  </si>
  <si>
    <t>RESERVATÓRIO DE CONCRETO PRÉ-FABRICADO, DIÂMETRO IGUAL A 3,0 M E ALTURA TOTAL MENOR OU IGUAL A 30,5 M - SOMENTE INSTALAÇÃO, SEM FORNECIMENTO. AF_12/2025</t>
  </si>
  <si>
    <t>TRANSPORTE HORIZONTAL COM CARREGADEIRA, DE MASSA/ GRANEL (UNIDADE: M3XKM). AF_04/2026</t>
  </si>
  <si>
    <t>TRANSPORTE HORIZONTAL COM CARRINHO DE MÃO, DE CAIXA COM REVESTIMENTO CERÂMICO (UNIDADE: M2XKM). AF_04/2026</t>
  </si>
  <si>
    <t>TRANSPORTE HORIZONTAL COM CARRINHO DE MÃO, DE SACOS DE 20 KG (UNIDADE: KGXKM). AF_04/2026</t>
  </si>
  <si>
    <t>TRANSPORTE HORIZONTAL COM CARRINHO DE MÃO, DE SACOS DE 30 KG (UNIDADE: KGXKM). AF_04/2026</t>
  </si>
  <si>
    <t>TRANSPORTE HORIZONTAL COM CARRINHO DE MÃO, DE SACOS DE 50 KG (UNIDADE: KGXKM). AF_04/2026</t>
  </si>
  <si>
    <t>TRANSPORTE HORIZONTAL COM CARRINHO MANUAL RACIONAL, DE BLOCOS CERÂMICOS FURADOS NA HORIZONTAL DE 9X19X19CM (UNIDADE: BLOCOXKM). AF_04/2026</t>
  </si>
  <si>
    <t>TRANSPORTE HORIZONTAL COM CARRINHO MANUAL RACIONAL, DE BLOCOS VAZADOS DE CONCRETO OU CERÂMICO DE 19X19X39CM (UNIDADE: BLOCOXKM). AF_04/2026</t>
  </si>
  <si>
    <t>TRANSPORTE HORIZONTAL COM CARRINHO MINI PÁLETES, DE BLOCOS CERÂMICOS FURADOS NA HORIZONTAL DE 9X19X19CM (UNIDADE: BLOCOXKM). AF_04/2026</t>
  </si>
  <si>
    <t>TRANSPORTE HORIZONTAL COM CARRINHO MINI PÁLETES, DE BLOCOS CERÂMICOS FURADOS NA VERTICAL DE 19X19X39CM (UNIDADE: BLOCOXKM). AF_04/2026</t>
  </si>
  <si>
    <t>TRANSPORTE HORIZONTAL COM CARRINHO MINI PÁLETES, DE BLOCOS VAZADOS DE CONCRETO DE 19X19X39CM (UNIDADE: BLOCOXKM). AF_04/2026</t>
  </si>
  <si>
    <t>TRANSPORTE HORIZONTAL COM CARRINHO MINI PÁLETES, DE CAIXA COM REVESTIMENTO CERÂMICO (UNIDADE: M2XKM). AF_04/2026</t>
  </si>
  <si>
    <t>TRANSPORTE HORIZONTAL COM CARRINHO PLATAFORMA, DE BACIA SANITÁRIA, CAIXA ACOPLADA, TANQUE OU PIA (UNIDADE: UNIDXKM). AF_04/2026</t>
  </si>
  <si>
    <t>TRANSPORTE HORIZONTAL COM CARRINHO PLATAFORMA, DE BANCADA DE MÁRMORE OU GRANITO PARA COZINHA/LAVATÓRIO OU MÁRMORE SINTÉTICO COM CUBA INTEGRADA (UNIDADE: UNIDXKM). AF_04/2026</t>
  </si>
  <si>
    <t>TRANSPORTE HORIZONTAL COM CARRINHO PLATAFORMA, DE BARRAMENTO BLINDADO (UNIDADE: MXKM). AF_04/2026</t>
  </si>
  <si>
    <t>TRANSPORTE HORIZONTAL COM CARRINHO PLATAFORMA, DE BLOCOS CERÂMICOS FURADOS NA HORIZONTAL DE 9X19X19CM (UNIDADE: BLOCOXKM). AF_04/2026</t>
  </si>
  <si>
    <t>TRANSPORTE HORIZONTAL COM CARRINHO PLATAFORMA, DE BLOCOS VAZADOS DE CONCRETO OU CERÂMICO DE 19X19X39CM (UNIDADE: BLOCOXKM). AF_04/2026</t>
  </si>
  <si>
    <t>TRANSPORTE HORIZONTAL COM CARRINHO PLATAFORMA, DE CAIXA COM REVESTIMENTO CERÂMICO (UNIDADE: M2XKM). AF_04/2026</t>
  </si>
  <si>
    <t>TRANSPORTE HORIZONTAL COM CARRINHO PLATAFORMA, DE LATA DE 18 LITROS (UNIDADE: LXKM). AF_04/2026</t>
  </si>
  <si>
    <t>TRANSPORTE HORIZONTAL COM CARRINHO PLATAFORMA, DE SACOS DE 20 KG (UNIDADE: KGXKM). AF_04/2026</t>
  </si>
  <si>
    <t>TRANSPORTE HORIZONTAL COM CARRINHO PLATAFORMA, DE SACOS DE 30 KG (UNIDADE: KGXKM). AF_04/2026</t>
  </si>
  <si>
    <t>TRANSPORTE HORIZONTAL COM CARRINHO PLATAFORMA, DE SACOS DE 50 KG (UNIDADE: KGXKM). AF_04/2026</t>
  </si>
  <si>
    <t>TRANSPORTE HORIZONTAL COM CARRINHO PLATAFORMA, DE TELHA DE CONCRETO OU CERÂMICA (UNIDADE: M2XKM). AF_04/2026</t>
  </si>
  <si>
    <t>TRANSPORTE HORIZONTAL COM CARRINHO PÁLETES, 50 M, DE BLOCOS CERÂMICOS FURADOS NA HORIZONTAL DE 9X19X19CM. AF_04/2026</t>
  </si>
  <si>
    <t>TRANSPORTE HORIZONTAL COM CARRINHO PÁLETES, 50 M, DE BLOCOS CERÂMICOS FURADOS NA VERTICAL DE 19X19X39CM. AF_04/2026</t>
  </si>
  <si>
    <t>TRANSPORTE HORIZONTAL COM CARRINHO PÁLETES, 50 M, DE BLOCOS VAZADOS DE CONCRETO DE 19X19X39CM. AF_04/2026</t>
  </si>
  <si>
    <t>TRANSPORTE HORIZONTAL COM CARRINHO PÁLETES, 50 M, DE CAIXA COM REVESTIMENTO CERÂMICO. AF_04/2026</t>
  </si>
  <si>
    <t>TRANSPORTE HORIZONTAL COM CARRINHO RACIONAL, DE LATA DE 18 LITROS (UNIDADE: LXKM). AF_04/2026</t>
  </si>
  <si>
    <t>TRANSPORTE HORIZONTAL COM JERICA DE 60 L, DE MASSA/ GRANEL (UNIDADE: M3XKM). AF_04/2026</t>
  </si>
  <si>
    <t>TRANSPORTE HORIZONTAL COM JERICA DE 90 L, DE MASSA/ GRANEL (UNIDADE: M3XKM). AF_04/2026</t>
  </si>
  <si>
    <t>TRANSPORTE HORIZONTAL COM MANIPULADOR TELESCÓPICO, DE BACIA SANITÁRIA, CAIXA ACOPLADA, TANQUE OU PIA (UNIDADE: UNIDXKM). AF_04/2026</t>
  </si>
  <si>
    <t>TRANSPORTE HORIZONTAL COM MANIPULADOR TELESCÓPICO, DE BLOCOS CERÂMICOS FURADOS NA HORIZONTAL DE 9X19X19CM (UNIDADE: BLOCOXKM). AF_04/2026</t>
  </si>
  <si>
    <t>TRANSPORTE HORIZONTAL COM MANIPULADOR TELESCÓPICO, DE BLOCOS CERÂMICOS FURADOS NA VERTICAL DE 19X19X39CM (UNIDADE: BLOCOXKM). AF_04/2026</t>
  </si>
  <si>
    <t>TRANSPORTE HORIZONTAL COM MANIPULADOR TELESCÓPICO, DE BLOCOS VAZADOS DE CONCRETO DE 19X19X39CM (UNIDADE: BLOCOXKM). AF_04/2026</t>
  </si>
  <si>
    <t>TRANSPORTE HORIZONTAL COM MANIPULADOR TELESCÓPICO, DE CAIXA COM REVESTIMENTO CERÂMICO (UNIDADE: M2XKM). AF_04/2026</t>
  </si>
  <si>
    <t>TRANSPORTE HORIZONTAL COM MANIPULADOR TELESCÓPICO, DE LATA DE 18 LITROS (UNIDADE: LXKM). AF_04/2026</t>
  </si>
  <si>
    <t>TRANSPORTE HORIZONTAL COM MANIPULADOR TELESCÓPICO, DE PÁLETE DE SACOS (UNIDADE: KGXKM). AF_04/2026</t>
  </si>
  <si>
    <t>TRANSPORTE HORIZONTAL COM MANIPULADOR TELESCÓPICO, DE TELHA DE CONCRETO OU CERÂMICA (UNIDADE: M2XKM). AF_04/2026</t>
  </si>
  <si>
    <t>TRANSPORTE HORIZONTAL COM MANIPULADOR TELESCÓPICO, DE TELHAS TERMOACÚSTICAS, FIBROCIMENTO, AÇO ZINCADO, FIBROCIMENTO ESTRUTURAL, CANALETE 90 OU KALHETÃO (UNIDADE: M2XKM). AF_04/2026</t>
  </si>
  <si>
    <t>TRANSPORTE HORIZONTAL MANUAL, DE BACIA SANITÁRIA, CAIXA ACOPLADA, TANQUE OU PIA (UNIDADE: UNIDXKM). AF_04/2026</t>
  </si>
  <si>
    <t>TRANSPORTE HORIZONTAL MANUAL, DE BANCADA DE MÁRMORE OU GRANITO PARA COZINHA/LAVATÓRIO OU MÁRMORE SINTÉTICO COM CUBA INTEGRADA (UNIDADE: UNIDXKM). AF_04/2026</t>
  </si>
  <si>
    <t>TRANSPORTE HORIZONTAL MANUAL, DE BARRAMENTO BLINDADO (UNIDADE: MXKM). AF_04/2026</t>
  </si>
  <si>
    <t>TRANSPORTE HORIZONTAL MANUAL, DE BLOCOS CERÂMICOS FURADOS NA HORIZONTAL DE 9X19X19CM (UNIDADE: BLOCOXKM). AF_04/2026</t>
  </si>
  <si>
    <t>TRANSPORTE HORIZONTAL MANUAL, DE BLOCOS VAZADOS DE CONCRETO OU CERÂMICO DE 19X19X39CM (UNIDADE: BLOCOXKM). AF_04/2026</t>
  </si>
  <si>
    <t>TRANSPORTE HORIZONTAL MANUAL, DE CAIBROS DE MADEIRA COM SEÇÃO TRANSVERSAL DE 7,5 X 6 CM E 6 X 8 CM (UNIDADE: MXKM). AF_04/2026</t>
  </si>
  <si>
    <t>TRANSPORTE HORIZONTAL MANUAL, DE CAIXA COM REVESTIMENTO CERÂMICO (UNIDADE: M2XKM). AF_04/2026</t>
  </si>
  <si>
    <t>TRANSPORTE HORIZONTAL MANUAL, DE CALHA QUADRADA NÚMERO 24 - CORTE 33 (UNIDADE: MXKM). AF_04/2026</t>
  </si>
  <si>
    <t>TRANSPORTE HORIZONTAL MANUAL, DE COMPENSADO DE MADEIRA (UNIDADE: M2XKM). AF_04/2026</t>
  </si>
  <si>
    <t>TRANSPORTE HORIZONTAL MANUAL, DE JANELA (UNIDADE: M2XKM). AF_04/2026</t>
  </si>
  <si>
    <t>TRANSPORTE HORIZONTAL MANUAL, DE LATA DE 18 LITROS (UNIDADE: LXKM). AF_04/2026</t>
  </si>
  <si>
    <t>TRANSPORTE HORIZONTAL MANUAL, DE PORTA (UNIDADE: UNIDXKM). AF_04/2026</t>
  </si>
  <si>
    <t>TRANSPORTE HORIZONTAL MANUAL, DE RIPAS DE MADEIRA COM SEÇÃO TRANSVERSAL DE 1 X 5 CM E 2 X 5 CM (UNIDADE: MXKM). AF_04/2026</t>
  </si>
  <si>
    <t>TRANSPORTE HORIZONTAL MANUAL, DE SACOS DE 20 KG (UNIDADE: KGXKM). AF_04/2026</t>
  </si>
  <si>
    <t>TRANSPORTE HORIZONTAL MANUAL, DE SACOS DE 30 KG (UNIDADE: KGXKM). AF_04/2026</t>
  </si>
  <si>
    <t>TRANSPORTE HORIZONTAL MANUAL, DE SACOS DE 50 KG (UNIDADE: KGXKM). AF_04/2026</t>
  </si>
  <si>
    <t>TRANSPORTE HORIZONTAL MANUAL, DE TELA DE AÇO (UNIDADE: KGXKM). AF_04/2026</t>
  </si>
  <si>
    <t>TRANSPORTE HORIZONTAL MANUAL, DE TELHA DE CONCRETO OU CERÂMICA (UNIDADE: M2XKM). AF_04/2026</t>
  </si>
  <si>
    <t>TRANSPORTE HORIZONTAL MANUAL, DE TELHA DE FIBROCIMENTO OU TELHA ESTRUTURAL DE FIBROCIMENTO, CANALETE 90 OU KALHETÃO (UNIDADE: M2XKM). AF_04/2026</t>
  </si>
  <si>
    <t>TRANSPORTE HORIZONTAL MANUAL, DE TELHA TERMOACÚSTICA OU TELHA DE AÇO ZINCADO (UNIDADE: M2XKM). AF_04/2026</t>
  </si>
  <si>
    <t>TRANSPORTE HORIZONTAL MANUAL, DE TUBO DE AÇO CARBONO LEVE OU MÉDIO, PRETO OU GALVANIZADO, COM DIÂMETRO MAIOR QUE 125 MM E MENOR OU IGUAL A 150 MM (UNIDADE: MXKM). AF_04/2026</t>
  </si>
  <si>
    <t>TRANSPORTE HORIZONTAL MANUAL, DE TUBO DE AÇO CARBONO LEVE OU MÉDIO, PRETO OU GALVANIZADO, COM DIÂMETRO MAIOR QUE 20 MM E MENOR OU IGUAL A 32 MM (UNIDADE: MXKM). AF_04/2026</t>
  </si>
  <si>
    <t>TRANSPORTE HORIZONTAL MANUAL, DE TUBO DE AÇO CARBONO LEVE OU MÉDIO, PRETO OU GALVANIZADO, COM DIÂMETRO MAIOR QUE 32 MM E MENOR OU IGUAL A 65 MM (UNIDADE: MXKM). AF_04/2026</t>
  </si>
  <si>
    <t>TRANSPORTE HORIZONTAL MANUAL, DE TUBO DE AÇO CARBONO LEVE OU MÉDIO, PRETO OU GALVANIZADO, COM DIÂMETRO MAIOR QUE 65 MM E MENOR OU IGUAL A 90 MM (UNIDADE: MXKM). AF_04/2026</t>
  </si>
  <si>
    <t>TRANSPORTE HORIZONTAL MANUAL, DE TUBO DE AÇO CARBONO LEVE OU MÉDIO, PRETO OU GALVANIZADO, COM DIÂMETRO MAIOR QUE 90 MM E MENOR OU IGUAL A 125 MM (UNIDADE: MXKM). AF_04/2026</t>
  </si>
  <si>
    <t>TRANSPORTE HORIZONTAL MANUAL, DE TUBO DE AÇO CARBONO LEVE OU MÉDIO, PRETO OU GALVANIZADO, COM DIÂMETRO MENOR OU IGUAL A 20 MM (UNIDADE: MXKM). AF_04/2026</t>
  </si>
  <si>
    <t>TRANSPORTE HORIZONTAL MANUAL, DE TUBO DE COBRE - CLASSE E - COM DIÂMETRO MAIOR QUE 54 MM E MENOR OU IGUAL A 79 MM (UNIDADE: MXKM). AF_04/2026</t>
  </si>
  <si>
    <t>TRANSPORTE HORIZONTAL MANUAL, DE TUBO DE COBRE - CLASSE E - COM DIÂMETRO MAIOR QUE 79 MM E MENOR OU IGUAL A 104 MM (UNIDADE: MXKM). AF_04/2026</t>
  </si>
  <si>
    <t>TRANSPORTE HORIZONTAL MANUAL, DE TUBO DE COBRE - CLASSE E - COM DIÂMETRO MENOR OU IGUAL A 54 MM (UNIDADE: MXKM). AF_04/2026</t>
  </si>
  <si>
    <t>TRANSPORTE HORIZONTAL MANUAL, DE TUBO DE CPVC COM DIÂMETRO MAIOR QUE 73 MM E MENOR OU IGUAL A 89 MM (UNIDADE: MXKM). AF_04/2026</t>
  </si>
  <si>
    <t>TRANSPORTE HORIZONTAL MANUAL, DE TUBO DE CPVC COM DIÂMETRO MENOR OU IGUAL A 73 MM (UNIDADE: MXKM). AF_04/2026</t>
  </si>
  <si>
    <t>TRANSPORTE HORIZONTAL MANUAL, DE TUBO DE PPR - PN12 OU PN25 - COM DIÂMETRO MAIOR QUE 50 MM E MENOR OU IGUAL A 75 MM (UNIDADE: MXKM). AF_04/2026</t>
  </si>
  <si>
    <t>TRANSPORTE HORIZONTAL MANUAL, DE TUBO DE PPR - PN12 OU PN25 - COM DIÂMETRO MAIOR QUE 75 MM E MENOR OU IGUAL A 110 MM (UNIDADE: MXKM). AF_04/2026</t>
  </si>
  <si>
    <t>TRANSPORTE HORIZONTAL MANUAL, DE TUBO DE PPR - PN12 OU PN25 - COM DIÂMETRO MENOR OU IGUAL A 50 MM (UNIDADE: MXKM). AF_04/2026</t>
  </si>
  <si>
    <t>TRANSPORTE HORIZONTAL MANUAL, DE TUBO DE PVC SOLDÁVEL COM DIÂMETRO MAIOR QUE 60 MM E MENOR OU IGUAL A 85 MM (UNIDADE: MXKM). AF_04/2026</t>
  </si>
  <si>
    <t>TRANSPORTE HORIZONTAL MANUAL, DE TUBO DE PVC SOLDÁVEL COM DIÂMETRO MENOR OU IGUAL A 60 MM (UNIDADE: MXKM). AF_04/2026</t>
  </si>
  <si>
    <t>TRANSPORTE HORIZONTAL MANUAL, DE TUBO DE PVC SÉRIE NORMAL - ESGOTO PREDIAL, OU REFORÇADO PARA ESGOTO OU ÁGUAS PLUVIAIS PREDIAL, COM DIÂMETRO MAIOR QUE 100 MM E MENOR OU IGUAL A 150 MM (UNIDADE: MXKM). AF_04/2026</t>
  </si>
  <si>
    <t>TRANSPORTE HORIZONTAL MANUAL, DE TUBO DE PVC SÉRIE NORMAL - ESGOTO PREDIAL, OU REFORÇADO PARA ESGOTO OU ÁGUAS PLUVIAIS PREDIAL, COM DIÂMETRO MAIOR QUE 75 MM E MENOR OU IGUAL A 100 MM (UNIDADE: MXKM). AF_04/2026</t>
  </si>
  <si>
    <t>TRANSPORTE HORIZONTAL MANUAL, DE TUBO DE PVC SÉRIE NORMAL - ESGOTO PREDIAL, OU REFORÇADO PARA ESGOTO OU ÁGUAS PLUVIAIS PREDIAL, COM DIÂMETRO MENOR OU IGUAL A 75 MM (UNIDADE: MXKM). AF_04/2026</t>
  </si>
  <si>
    <t>TRANSPORTE HORIZONTAL MANUAL, DE TÁBUAS DE MADEIRA COM SEÇÃO TRANSVERSAL DE 2,5 X 25 CM E 2,5 X 30 CM (UNIDADE: MXKM). AF_04/2026</t>
  </si>
  <si>
    <t>TRANSPORTE HORIZONTAL MANUAL, DE VERGALHÕES DE AÇO COM DIÂMETRO DE 10 MM; 12,5 MM; 16 MM; 20 MM; 25 MM OU 32 MM (UNIDADE: KGXKM). AF_04/2026</t>
  </si>
  <si>
    <t>TRANSPORTE HORIZONTAL MANUAL, DE VERGALHÕES DE AÇO COM DIÂMETRO DE 5 MM (UNIDADE: KGXKM). AF_04/2026</t>
  </si>
  <si>
    <t>TRANSPORTE HORIZONTAL MANUAL, DE VERGALHÕES DE AÇO COM DIÂMETRO DE 6,3 MM (UNIDADE: KGXKM). AF_04/2026</t>
  </si>
  <si>
    <t>TRANSPORTE HORIZONTAL MANUAL, DE VERGALHÕES DE AÇO COM DIÂMETRO DE 8 MM (UNIDADE: KGXKM). AF_04/2026</t>
  </si>
  <si>
    <t>TRANSPORTE HORIZONTAL MANUAL, DE VIDRO (UNIDADE: M2XKM). AF_04/2026</t>
  </si>
  <si>
    <t>TRANSPORTE HORIZONTAL MANUAL, DE VIGAS DE MADEIRA COM SEÇÃO TRANSVERSAL DE 5 X 12 CM (UNIDADE: MXKM). AF_04/2026</t>
  </si>
  <si>
    <t>TRANSPORTE HORIZONTAL MANUAL, DE VIGAS DE MADEIRA COM SEÇÃO TRANSVERSAL DE 6 X 16 CM (UNIDADE: MXKM). AF_04/2026</t>
  </si>
  <si>
    <t>TRANSPORTE VERTICAL MANUAL, 1 PAVIMENTO, DE BACIA SANITÁRIA, CAIXA ACOPLADA, TANQUE OU PIA (UNIDADE: UNID). AF_04/2026</t>
  </si>
  <si>
    <t>TRANSPORTE VERTICAL MANUAL, 1 PAVIMENTO, DE BLOCOS CERÂMICOS FURADOS NA HORIZONTAL DE 9X19X19CM (UNIDADE: BLOCO). AF_04/2026</t>
  </si>
  <si>
    <t>TRANSPORTE VERTICAL MANUAL, 1 PAVIMENTO, DE BLOCOS VAZADOS DE CONCRETO OU CERÂMICO DE 19X19X39CM (UNIDADE: BLOCO). AF_04/2026</t>
  </si>
  <si>
    <t>TRANSPORTE VERTICAL MANUAL, 1 PAVIMENTO, DE CAIXA COM REVESTIMENTO CERÂMICO (UNIDADE: M2). AF_04/2026</t>
  </si>
  <si>
    <t>TRANSPORTE VERTICAL MANUAL, 1 PAVIMENTO, DE JANELA (UNIDADE: M2). AF_04/2026</t>
  </si>
  <si>
    <t>TRANSPORTE VERTICAL MANUAL, 1 PAVIMENTO, DE LATA DE 18 LITROS (UNIDADE: L). AF_04/2026</t>
  </si>
  <si>
    <t>TRANSPORTE VERTICAL MANUAL, 1 PAVIMENTO, DE PORTA (UNIDADE: UNID). AF_04/2026</t>
  </si>
  <si>
    <t>TRANSPORTE VERTICAL MANUAL, 1 PAVIMENTO, DE SACOS DE 20 KG (UNIDADE: KG). AF_04/2026</t>
  </si>
  <si>
    <t>TRANSPORTE VERTICAL MANUAL, 1 PAVIMENTO, DE SACOS DE 30 KG (UNIDADE: KG). AF_04/2026</t>
  </si>
  <si>
    <t>TRANSPORTE VERTICAL MANUAL, 1 PAVIMENTO, DE SACOS DE 50 KG (UNIDADE: KG). AF_04/2026</t>
  </si>
  <si>
    <t>TRANSPORTE VERTICAL MANUAL, 1 PAVIMENTO, DE VIDRO (UNIDADE: M2). AF_04/2026</t>
  </si>
  <si>
    <t>TRANSPORTE VERTICAL, BANCADA DE MÁRMORE OU GRANITO PARA COZINHA/LAVATÓRIO OU MÁRMORE SINTÉTICO COM CUBA INTEGRADA, MANUAL, 1 PAVIMENTO, (UNIDADE: UNID). AF_04/2026</t>
  </si>
  <si>
    <t>CARGA DE MISTURA ASFÁLTICA EM CAMINHÃO BASCULANTE 10 M³ (UNIDADE: M3). AF_02/2026</t>
  </si>
  <si>
    <t>CARGA DE MISTURA ASFÁLTICA EM CAMINHÃO BASCULANTE 10 M³ (UNIDADE: T). AF_02/2026</t>
  </si>
  <si>
    <t>CARGA DE MISTURA ASFÁLTICA EM CAMINHÃO BASCULANTE 14 M³ (UNIDADE: M3). AF_02/2026</t>
  </si>
  <si>
    <t>CARGA DE MISTURA ASFÁLTICA EM CAMINHÃO BASCULANTE 14 M³ (UNIDADE: T). AF_02/2026</t>
  </si>
  <si>
    <t>CARGA DE MISTURA ASFÁLTICA EM CAMINHÃO BASCULANTE 18 M³ (UNIDADE: M3). AF_02/2026</t>
  </si>
  <si>
    <t>CARGA DE MISTURA ASFÁLTICA EM CAMINHÃO BASCULANTE 18 M³ (UNIDADE: T). AF_02/2026</t>
  </si>
  <si>
    <t>CARGA DE MISTURA ASFÁLTICA EM CAMINHÃO BASCULANTE 6 M³ (UNIDADE: M3). AF_02/2026</t>
  </si>
  <si>
    <t>CARGA DE MISTURA ASFÁLTICA EM CAMINHÃO BASCULANTE 6 M³ (UNIDADE: T). AF_02/2026</t>
  </si>
  <si>
    <t>CARGA DE ÁGUA EM CAMINHÃO PIPA 10 M³. AF_02/2026</t>
  </si>
  <si>
    <t>CARGA DE ÁGUA EM CAMINHÃO PIPA 14 M³. AF_02/2026</t>
  </si>
  <si>
    <t>CARGA DE ÁGUA EM CAMINHÃO PIPA 6 M³. AF_02/2026</t>
  </si>
  <si>
    <t>CARGA, MANOBRA E DESCARGA DE ENTULHO EM CAMINHÃO BASCULANTE 10 M³ - CARGA COM ESCAVADEIRA HIDRÁULICA (CAÇAMBA DE 0,80 M³ / 111 HP) E DESCARGA LIVRE (UNIDADE: M3). AF_02/2026</t>
  </si>
  <si>
    <t>CARGA, MANOBRA E DESCARGA DE ENTULHO EM CAMINHÃO BASCULANTE 10 M³ - CARGA COM ESCAVADEIRA HIDRÁULICA (CAÇAMBA DE 0,80 M³ / 111 HP) E DESCARGA LIVRE (UNIDADE: T). AF_02/2026</t>
  </si>
  <si>
    <t>CARGA, MANOBRA E DESCARGA DE ENTULHO EM CAMINHÃO BASCULANTE 14 M³ - CARGA COM ESCAVADEIRA HIDRÁULICA (CAÇAMBA DE 0,80 M³ / 111 HP) E DESCARGA LIVRE (UNIDADE: M3). AF_02/2026</t>
  </si>
  <si>
    <t>CARGA, MANOBRA E DESCARGA DE ENTULHO EM CAMINHÃO BASCULANTE 14 M³ - CARGA COM ESCAVADEIRA HIDRÁULICA (CAÇAMBA DE 0,80 M³ / 111 HP) E DESCARGA LIVRE (UNIDADE: T). AF_02/2026</t>
  </si>
  <si>
    <t>CARGA, MANOBRA E DESCARGA DE ENTULHO EM CAMINHÃO BASCULANTE 18 M³ - CARGA COM ESCAVADEIRA HIDRÁULICA (CAÇAMBA DE 0,80 M³ / 111 HP) E DESCARGA LIVRE (UNIDADE: M3). AF_02/2026</t>
  </si>
  <si>
    <t>CARGA, MANOBRA E DESCARGA DE ENTULHO EM CAMINHÃO BASCULANTE 18 M³ - CARGA COM ESCAVADEIRA HIDRÁULICA (CAÇAMBA DE 0,80 M³ / 111 HP) E DESCARGA LIVRE (UNIDADE: T). AF_02/2026</t>
  </si>
  <si>
    <t>CARGA, MANOBRA E DESCARGA DE ENTULHO EM CAMINHÃO BASCULANTE 6 M³ - CARGA COM ESCAVADEIRA HIDRÁULICA (CAÇAMBA DE 0,80 M³ / 111 HP) E DESCARGA LIVRE (UNIDADE: M3). AF_02/2026</t>
  </si>
  <si>
    <t>CARGA, MANOBRA E DESCARGA DE ENTULHO EM CAMINHÃO BASCULANTE 6 M³ - CARGA COM ESCAVADEIRA HIDRÁULICA (CAÇAMBA DE 0,80 M³ / 111 HP) E DESCARGA LIVRE (UNIDADE: T). AF_02/2026</t>
  </si>
  <si>
    <t>CARGA, MANOBRA E DESCARGA DE PERFIL METÁLICO EM CAMINHÃO CARROCERIA COM GUINDAUTO (MUNCK) 11,7 TM. AF_02/2026</t>
  </si>
  <si>
    <t>CARGA, MANOBRA E DESCARGA DE PERFIL METÁLICO EM CAMINHÃO CARROCERIA COM GUINDAUTO (MUNCK) 42,3 TM. AF_02/2026</t>
  </si>
  <si>
    <t>CARGA, MANOBRA E DESCARGA DE POSTE DE CONCRETO EM CAMINHÃO CARROCERIA COM GUINDAUTO (MUNCK) 11,7 TM. AF_02/2026</t>
  </si>
  <si>
    <t>CARGA, MANOBRA E DESCARGA DE POSTES DE CONCRETO EM CAMINHÃO CARROCERIA COM GUINDAUTO (MUNCK) 42,3 TM. AF_02/2026</t>
  </si>
  <si>
    <t>CARGA, MANOBRA E DESCARGA DE SOLOS E MATERIAIS GRANULARES EM CAMINHÃO BASCULANTE 10 M³ - CARGA COM ESCAVADEIRA HIDRÁULICA (CAÇAMBA DE 1,20 M³ / 155 HP) E DESCARGA LIVRE (UNIDADE: M3). AF_02/2026</t>
  </si>
  <si>
    <t>CARGA, MANOBRA E DESCARGA DE SOLOS E MATERIAIS GRANULARES EM CAMINHÃO BASCULANTE 10 M³ - CARGA COM ESCAVADEIRA HIDRÁULICA (CAÇAMBA DE 1,20 M³ / 155 HP) E DESCARGA LIVRE (UNIDADE: T). AF_02/2026</t>
  </si>
  <si>
    <t>CARGA, MANOBRA E DESCARGA DE SOLOS E MATERIAIS GRANULARES EM CAMINHÃO BASCULANTE 10 M³ - CARGA COM PÁ CARREGADEIRA (CAÇAMBA DE 1,7 A 2,8 M³ / 128 HP) E DESCARGA LIVRE (UNIDADE: M3). AF_02/2026</t>
  </si>
  <si>
    <t>CARGA, MANOBRA E DESCARGA DE SOLOS E MATERIAIS GRANULARES EM CAMINHÃO BASCULANTE 10 M³ - CARGA COM PÁ CARREGADEIRA (CAÇAMBA DE 1,7 A 2,8 M³ / 128 HP) E DESCARGA LIVRE (UNIDADE: T). AF_02/2026</t>
  </si>
  <si>
    <t>CARGA, MANOBRA E DESCARGA DE SOLOS E MATERIAIS GRANULARES EM CAMINHÃO BASCULANTE 14 M³ - CARGA COM ESCAVADEIRA HIDRÁULICA (CAÇAMBA DE 1,20 M³ / 155 HP) E DESCARGA LIVRE (UNIDADE: M3). AF_02/2026</t>
  </si>
  <si>
    <t>CARGA, MANOBRA E DESCARGA DE SOLOS E MATERIAIS GRANULARES EM CAMINHÃO BASCULANTE 14 M³ - CARGA COM ESCAVADEIRA HIDRÁULICA (CAÇAMBA DE 1,20 M³ / 155 HP) E DESCARGA LIVRE (UNIDADE: T). AF_02/2026</t>
  </si>
  <si>
    <t>CARGA, MANOBRA E DESCARGA DE SOLOS E MATERIAIS GRANULARES EM CAMINHÃO BASCULANTE 14 M³ - CARGA COM PÁ CARREGADEIRA (CAÇAMBA DE 1,7 A 2,8 M³ / 128 HP) E DESCARGA LIVRE (UNIDADE: M3). AF_02/2026</t>
  </si>
  <si>
    <t>CARGA, MANOBRA E DESCARGA DE SOLOS E MATERIAIS GRANULARES EM CAMINHÃO BASCULANTE 14 M³ - CARGA COM PÁ CARREGADEIRA (CAÇAMBA DE 1,7 A 2,8 M³ / 128 HP) E DESCARGA LIVRE (UNIDADE: T). AF_02/2026</t>
  </si>
  <si>
    <t>CARGA, MANOBRA E DESCARGA DE SOLOS E MATERIAIS GRANULARES EM CAMINHÃO BASCULANTE 18 M³ - CARGA COM ESCAVADEIRA HIDRÁULICA (CAÇAMBA DE 1,20 M³ / 155 HP) E DESCARGA LIVRE (UNIDADE: M3). AF_02/2026</t>
  </si>
  <si>
    <t>CARGA, MANOBRA E DESCARGA DE SOLOS E MATERIAIS GRANULARES EM CAMINHÃO BASCULANTE 18 M³ - CARGA COM ESCAVADEIRA HIDRÁULICA (CAÇAMBA DE 1,20 M³ / 155 HP) E DESCARGA LIVRE (UNIDADE: T). AF_02/2026</t>
  </si>
  <si>
    <t>CARGA, MANOBRA E DESCARGA DE SOLOS E MATERIAIS GRANULARES EM CAMINHÃO BASCULANTE 18 M³ - CARGA COM PÁ CARREGADEIRA (CAÇAMBA DE 1,7 A 2,8 M³ / 128 HP) E DESCARGA LIVRE (UNIDADE: M3). AF_02/2026</t>
  </si>
  <si>
    <t>CARGA, MANOBRA E DESCARGA DE SOLOS E MATERIAIS GRANULARES EM CAMINHÃO BASCULANTE 18 M³ - CARGA COM PÁ CARREGADEIRA (CAÇAMBA DE 1,7 A 2,8 M³ / 128 HP) E DESCARGA LIVRE (UNIDADE: T). AF_02/2026</t>
  </si>
  <si>
    <t>CARGA, MANOBRA E DESCARGA DE SOLOS E MATERIAIS GRANULARES EM CAMINHÃO BASCULANTE 6 M³ - CARGA COM ESCAVADEIRA HIDRÁULICA (CAÇAMBA DE 1,20 M³ / 155 HP) E DESCARGA LIVRE (UNIDADE: M3). AF_02/2026</t>
  </si>
  <si>
    <t>CARGA, MANOBRA E DESCARGA DE SOLOS E MATERIAIS GRANULARES EM CAMINHÃO BASCULANTE 6 M³ - CARGA COM ESCAVADEIRA HIDRÁULICA (CAÇAMBA DE 1,20 M³ / 155 HP) E DESCARGA LIVRE (UNIDADE: T). AF_02/2026</t>
  </si>
  <si>
    <t>CARGA, MANOBRA E DESCARGA DE SOLOS E MATERIAIS GRANULARES EM CAMINHÃO BASCULANTE 6 M³ - CARGA COM PÁ CARREGADEIRA (CAÇAMBA DE 1,7 A 2,8 M³ / 128 HP) E DESCARGA LIVRE (UNIDADE: M3). AF_02/2026</t>
  </si>
  <si>
    <t>CARGA, MANOBRA E DESCARGA DE SOLOS E MATERIAIS GRANULARES EM CAMINHÃO BASCULANTE 6 M³ - CARGA COM PÁ CARREGADEIRA (CAÇAMBA DE 1,7 A 2,8 M³ / 128 HP) E DESCARGA LIVRE (UNIDADE: T). AF_02/2026</t>
  </si>
  <si>
    <t>CARGA, MANOBRA E DESCARGA DE TUBOS DE CONCRETO, DN 1000 MM, EM CAMINHÃO CARROCERIA COM GUINDAUTO (MUNCK) 11,7 TM. AF_02/2026</t>
  </si>
  <si>
    <t>CARGA, MANOBRA E DESCARGA DE TUBOS DE CONCRETO, DN 1000 MM, EM CAMINHÃO CARROCERIA COM GUINDAUTO (MUNCK) 42,3 TM. AF_02/2026</t>
  </si>
  <si>
    <t>CARGA, MANOBRA E DESCARGA DE TUBOS DE CONCRETO, DN 1200 MM, EM CAMINHÃO CARROCERIA COM GUINDAUTO (MUNCK) 11,7 TM. AF_02/2026</t>
  </si>
  <si>
    <t>CARGA, MANOBRA E DESCARGA DE TUBOS DE CONCRETO, DN 1200 MM, EM CAMINHÃO CARROCERIA COM GUINDAUTO (MUNCK) 42,3 TM. AF_02/2026</t>
  </si>
  <si>
    <t>CARGA, MANOBRA E DESCARGA DE TUBOS DE CONCRETO, DN 400 MM, EM CAMINHÃO CARROCERIA COM GUINDAUTO (MUNCK) 11,7 TM. AF_02/2026</t>
  </si>
  <si>
    <t>CARGA, MANOBRA E DESCARGA DE TUBOS DE CONCRETO, DN 400 MM, EM CAMINHÃO CARROCERIA COM GUINDAUTO (MUNCK) 42,3 TM. AF_02/2026</t>
  </si>
  <si>
    <t>CARGA, MANOBRA E DESCARGA DE TUBOS DE CONCRETO, DN 500 MM, EM CAMINHÃO CARROCERIA COM GUINDAUTO (MUNCK) 11,7 TM. AF_02/2026</t>
  </si>
  <si>
    <t>CARGA, MANOBRA E DESCARGA DE TUBOS DE CONCRETO, DN 500 MM, EM CAMINHÃO CARROCERIA COM GUINDAUTO (MUNCK) 42,3 TM. AF_02/2026</t>
  </si>
  <si>
    <t>CARGA, MANOBRA E DESCARGA DE TUBOS DE CONCRETO, DN 600 MM, EM CAMINHÃO CARROCERIA COM GUINDAUTO (MUNCK) 11,7 TM. AF_02/2026</t>
  </si>
  <si>
    <t>CARGA, MANOBRA E DESCARGA DE TUBOS DE CONCRETO, DN 600 MM, EM CAMINHÃO CARROCERIA COM GUINDAUTO (MUNCK) 42,3 TM. AF_02/2026</t>
  </si>
  <si>
    <t>CARGA, MANOBRA E DESCARGA DE TUBOS DE CONCRETO, DN 700 MM, EM CAMINHÃO CARROCERIA COM GUINDAUTO (MUNCK) 11,7 TM. AF_02/2026</t>
  </si>
  <si>
    <t>CARGA, MANOBRA E DESCARGA DE TUBOS DE CONCRETO, DN 700 MM, EM CAMINHÃO CARROCERIA COM GUINDAUTO (MUNCK) 42,3 TM. AF_02/2026</t>
  </si>
  <si>
    <t>CARGA, MANOBRA E DESCARGA DE TUBOS DE CONCRETO, DN 800 MM, EM CAMINHÃO CARROCERIA COM GUINDAUTO (MUNCK) 11,7 TM. AF_02/2026</t>
  </si>
  <si>
    <t>CARGA, MANOBRA E DESCARGA DE TUBOS DE CONCRETO, DN 800 MM, EM CAMINHÃO CARROCERIA COM GUINDAUTO (MUNCK) 42,3 TM. AF_02/2026</t>
  </si>
  <si>
    <t>CARGA, MANOBRA E DESCARGA DE TUBOS DE CONCRETO, DN 900 MM, EM CAMINHÃO CARROCERIA COM GUINDAUTO (MUNCK) 11,7 TM. AF_02/2026</t>
  </si>
  <si>
    <t>CARGA, MANOBRA E DESCARGA DE TUBOS DE CONCRETO, DN 900 MM, EM CAMINHÃO CARROCERIA COM GUINDAUTO (MUNCK) 42,3 TM. AF_02/2026</t>
  </si>
  <si>
    <t>CARGA, MANOBRA E DESCARGA DE TUBOS DE CONCRETO, DN MENOR OU IGUAL A 300 MM, EM CAMINHÃO CARROCERIA COM GUINDAUTO (MUNCK) 11,7 TM. AF_02/2026</t>
  </si>
  <si>
    <t>CARGA, MANOBRA E DESCARGA DE TUBOS DE CONCRETO, DN MENOR OU IGUAL A 300 MM, EM CAMINHÃO CARROCERIA COM GUINDAUTO (MUNCK) 42,3 TM. AF_02/2026</t>
  </si>
  <si>
    <t>CARGA, MANOBRA E DESCARGA DE TUBOS METÁLICOS, DN 1000 MM, EM CAMINHÃO CARROCERIA COM GUINDAUTO (MUNCK) 11,7 TM. AF_02/2026</t>
  </si>
  <si>
    <t>CARGA, MANOBRA E DESCARGA DE TUBOS METÁLICOS, DN 1000 MM, EM CAMINHÃO CARROCERIA COM GUINDAUTO (MUNCK) 42,3 TM. AF_02/2026</t>
  </si>
  <si>
    <t>CARGA, MANOBRA E DESCARGA DE TUBOS METÁLICOS, DN 1200 MM, EM CAMINHÃO CARROCERIA COM GUINDAUTO (MUNCK) 11,7 TM. AF_02/2026</t>
  </si>
  <si>
    <t>CARGA, MANOBRA E DESCARGA DE TUBOS METÁLICOS, DN 1200 MM, EM CAMINHÃO CARROCERIA COM GUINDAUTO (MUNCK) 42,3 TM. AF_02/2026</t>
  </si>
  <si>
    <t>CARGA, MANOBRA E DESCARGA DE TUBOS METÁLICOS, DN 200 MM, EM CAMINHÃO CARROCERIA COM GUINDAUTO (MUNCK) 11,7 TM. AF_02/2026</t>
  </si>
  <si>
    <t>CARGA, MANOBRA E DESCARGA DE TUBOS METÁLICOS, DN 200 MM, EM CAMINHÃO CARROCERIA COM GUINDAUTO (MUNCK) 42,3 TM. AF_02/2026</t>
  </si>
  <si>
    <t>CARGA, MANOBRA E DESCARGA DE TUBOS METÁLICOS, DN 250 MM, EM CAMINHÃO CARROCERIA COM GUINDAUTO (MUNCK) 11,7 TM. AF_02/2026</t>
  </si>
  <si>
    <t>CARGA, MANOBRA E DESCARGA DE TUBOS METÁLICOS, DN 250 MM, EM CAMINHÃO CARROCERIA COM GUINDAUTO (MUNCK) 42,3 TM. AF_02/2026</t>
  </si>
  <si>
    <t>CARGA, MANOBRA E DESCARGA DE TUBOS METÁLICOS, DN 300 MM, EM CAMINHÃO CARROCERIA COM GUINDAUTO (MUNCK) 11,7 TM. AF_02/2026</t>
  </si>
  <si>
    <t>CARGA, MANOBRA E DESCARGA DE TUBOS METÁLICOS, DN 300 MM, EM CAMINHÃO CARROCERIA COM GUINDAUTO (MUNCK) 42,3 TM. AF_02/2026</t>
  </si>
  <si>
    <t>CARGA, MANOBRA E DESCARGA DE TUBOS METÁLICOS, DN 350 MM, EM CAMINHÃO CARROCERIA COM GUINDAUTO (MUNCK) 11,7 TM. AF_02/2026</t>
  </si>
  <si>
    <t>CARGA, MANOBRA E DESCARGA DE TUBOS METÁLICOS, DN 350 MM, EM CAMINHÃO CARROCERIA COM GUINDAUTO (MUNCK) 42,3 TM. AF_02/2026</t>
  </si>
  <si>
    <t>CARGA, MANOBRA E DESCARGA DE TUBOS METÁLICOS, DN 400 MM, EM CAMINHÃO CARROCERIA COM GUINDAUTO (MUNCK) 11,7 TM. AF_02/2026</t>
  </si>
  <si>
    <t>CARGA, MANOBRA E DESCARGA DE TUBOS METÁLICOS, DN 400 MM, EM CAMINHÃO CARROCERIA COM GUINDAUTO (MUNCK) 42,3 TM. AF_02/2026</t>
  </si>
  <si>
    <t>CARGA, MANOBRA E DESCARGA DE TUBOS METÁLICOS, DN 500 MM, EM CAMINHÃO CARROCERIA COM GUINDAUTO (MUNCK) 11,7 TM. AF_02/2026</t>
  </si>
  <si>
    <t>CARGA, MANOBRA E DESCARGA DE TUBOS METÁLICOS, DN 500 MM, EM CAMINHÃO CARROCERIA COM GUINDAUTO (MUNCK) 42,3 TM. AF_02/2026</t>
  </si>
  <si>
    <t>CARGA, MANOBRA E DESCARGA DE TUBOS METÁLICOS, DN 600 MM, EM CAMINHÃO CARROCERIA COM GUINDAUTO (MUNCK) 11,7 TM. AF_02/2026</t>
  </si>
  <si>
    <t>CARGA, MANOBRA E DESCARGA DE TUBOS METÁLICOS, DN 600 MM, EM CAMINHÃO CARROCERIA COM GUINDAUTO (MUNCK) 42,3 TM. AF_02/2026</t>
  </si>
  <si>
    <t>CARGA, MANOBRA E DESCARGA DE TUBOS METÁLICOS, DN 700 MM, EM CAMINHÃO CARROCERIA COM GUINDAUTO (MUNCK) 11,7 TM. AF_02/2026</t>
  </si>
  <si>
    <t>CARGA, MANOBRA E DESCARGA DE TUBOS METÁLICOS, DN 700 MM, EM CAMINHÃO CARROCERIA COM GUINDAUTO (MUNCK) 42,3 TM. AF_02/2026</t>
  </si>
  <si>
    <t>CARGA, MANOBRA E DESCARGA DE TUBOS METÁLICOS, DN 800 MM, EM CAMINHÃO CARROCERIA COM GUINDAUTO (MUNCK) 11,7 TM. AF_02/2026</t>
  </si>
  <si>
    <t>CARGA, MANOBRA E DESCARGA DE TUBOS METÁLICOS, DN 800 MM, EM CAMINHÃO CARROCERIA COM GUINDAUTO (MUNCK) 42,3 TM. AF_02/2026</t>
  </si>
  <si>
    <t>CARGA, MANOBRA E DESCARGA DE TUBOS METÁLICOS, DN 900 MM, EM CAMINHÃO CARROCERIA COM GUINDAUTO (MUNCK) 11,7 TM. AF_02/2026</t>
  </si>
  <si>
    <t>CARGA, MANOBRA E DESCARGA DE TUBOS METÁLICOS, DN 900 MM, EM CAMINHÃO CARROCERIA COM GUINDAUTO (MUNCK) 42,3 TM. AF_02/2026</t>
  </si>
  <si>
    <t>CARGA, MANOBRA E DESCARGA DE TUBOS METÁLICOS, DN MENOR OU IGUAL A 150 MM, EM CAMINHÃO CARROCERIA COM GUINDAUTO (MUNCK) 11,7 TM. AF_02/2026</t>
  </si>
  <si>
    <t>CARGA, MANOBRA E DESCARGA DE TUBOS METÁLICOS, DN MENOR OU IGUAL A 150 MM, EM CAMINHÃO CARROCERIA COM GUINDAUTO (MUNCK) 42,3 TM. AF_02/2026</t>
  </si>
  <si>
    <t>CARGA, MANOBRA E DESCARGA DE TUBOS PLÁSTICOS, DN 1000 MM, EM CAMINHÃO CARROCERIA COM GUINDAUTO (MUNCK) 11,7 TM. AF_02/2026</t>
  </si>
  <si>
    <t>CARGA, MANOBRA E DESCARGA DE TUBOS PLÁSTICOS, DN 1000 MM, EM CAMINHÃO CARROCERIA COM GUINDAUTO (MUNCK) 42,3 TM. AF_02/2026</t>
  </si>
  <si>
    <t>CARGA, MANOBRA E DESCARGA DE TUBOS PLÁSTICOS, DN 1200 MM, EM CAMINHÃO CARROCERIA COM GUINDAUTO (MUNCK) 11,7 TM. AF_02/2026</t>
  </si>
  <si>
    <t>CARGA, MANOBRA E DESCARGA DE TUBOS PLÁSTICOS, DN 1200 MM, EM CAMINHÃO CARROCERIA COM GUINDAUTO (MUNCK) 42,3 TM. AF_02/2026</t>
  </si>
  <si>
    <t>CARGA, MANOBRA E DESCARGA DE TUBOS PLÁSTICOS, DN 250 MM, EM CAMINHÃO CARROCERIA COM GUINDAUTO (MUNCK) 11,7 TM. AF_02/2026</t>
  </si>
  <si>
    <t>CARGA, MANOBRA E DESCARGA DE TUBOS PLÁSTICOS, DN 250 MM, EM CAMINHÃO CARROCERIA COM GUINDAUTO (MUNCK) 42,3 TM. AF_02/2026</t>
  </si>
  <si>
    <t>CARGA, MANOBRA E DESCARGA DE TUBOS PLÁSTICOS, DN 300 MM, EM CAMINHÃO CARROCERIA COM GUINDAUTO (MUNCK) 11,7 TM. AF_02/2026</t>
  </si>
  <si>
    <t>CARGA, MANOBRA E DESCARGA DE TUBOS PLÁSTICOS, DN 300 MM, EM CAMINHÃO CARROCERIA COM GUINDAUTO (MUNCK) 42,3 TM. AF_02/2026</t>
  </si>
  <si>
    <t>CARGA, MANOBRA E DESCARGA DE TUBOS PLÁSTICOS, DN 400 MM, EM CAMINHÃO CARROCERIA COM GUINDAUTO (MUNCK) 11,7 TM. AF_02/2026</t>
  </si>
  <si>
    <t>CARGA, MANOBRA E DESCARGA DE TUBOS PLÁSTICOS, DN 400 MM, EM CAMINHÃO CARROCERIA COM GUINDAUTO (MUNCK) 42,3 TM. AF_02/2026</t>
  </si>
  <si>
    <t>CARGA, MANOBRA E DESCARGA DE TUBOS PLÁSTICOS, DN 500 MM, EM CAMINHÃO CARROCERIA COM GUINDAUTO (MUNCK) 11,7 TM. AF_02/2026</t>
  </si>
  <si>
    <t>CARGA, MANOBRA E DESCARGA DE TUBOS PLÁSTICOS, DN 500 MM, EM CAMINHÃO CARROCERIA COM GUINDAUTO (MUNCK) 42,3 TM. AF_02/2026</t>
  </si>
  <si>
    <t>CARGA, MANOBRA E DESCARGA DE TUBOS PLÁSTICOS, DN 600 MM, EM CAMINHÃO CARROCERIA COM GUINDAUTO (MUNCK) 11,7 TM. AF_02/2026</t>
  </si>
  <si>
    <t>CARGA, MANOBRA E DESCARGA DE TUBOS PLÁSTICOS, DN 600 MM, EM CAMINHÃO CARROCERIA COM GUINDAUTO (MUNCK) 42,3 TM. AF_02/2026</t>
  </si>
  <si>
    <t>CARGA, MANOBRA E DESCARGA DE TUBOS PLÁSTICOS, DN 750 MM, EM CAMINHÃO CARROCERIA COM GUINDAUTO (MUNCK) 11,7 TM. AF_02/2026</t>
  </si>
  <si>
    <t>CARGA, MANOBRA E DESCARGA DE TUBOS PLÁSTICOS, DN 750 MM, EM CAMINHÃO CARROCERIA COM GUINDAUTO (MUNCK) 42,3 TM. AF_02/2026</t>
  </si>
  <si>
    <t>CARGA, MANOBRA E DESCARGA DE TUBOS PLÁSTICOS, DN 900 MM, EM CAMINHÃO CARROCERIA COM GUINDAUTO (MUNCK) 11,7 TM. AF_02/2026</t>
  </si>
  <si>
    <t>CARGA, MANOBRA E DESCARGA DE TUBOS PLÁSTICOS, DN 900 MM, EM CAMINHÃO CARROCERIA COM GUINDAUTO (MUNCK) 42,3 TM. AF_02/2026</t>
  </si>
  <si>
    <t>CARGA, MANOBRA E DESCARGA DE ÁGUA EM CAMINHÃO PIPA 10 M³. AF_02/2026</t>
  </si>
  <si>
    <t>CARGA, MANOBRA E DESCARGA DE ÁGUA EM CAMINHÃO PIPA 14 M³. AF_02/2026</t>
  </si>
  <si>
    <t>CARGA, MANOBRA E DESCARGA DE ÁGUA EM CAMINHÃO PIPA 6 M³. AF_02/2026</t>
  </si>
  <si>
    <t>CARGA, MANOBRA E DESCARGA MANUAL DE BLOCO CERAMICO FURADO NA HORIZONTAL, EM CAMINHÃO CARROCERIA 15T. AF_02/2026</t>
  </si>
  <si>
    <t>CARGA, MANOBRA E DESCARGA MANUAL DE BLOCO CERAMICO FURADO NA HORIZONTAL, EM CAMINHÃO CARROCERIA 9T. AF_02/2026</t>
  </si>
  <si>
    <t>CARGA, MANOBRA E DESCARGA MANUAL DE BLOCO CERAMICO FURADO NA VERTICAL, EM CAMINHÃO CARROCERIA 15T. AF_02/2026</t>
  </si>
  <si>
    <t>CARGA, MANOBRA E DESCARGA MANUAL DE BLOCO CERAMICO FURADO NA VERTICAL, EM CAMINHÃO CARROCERIA 9T. AF_02/2026</t>
  </si>
  <si>
    <t>CARGA, MANOBRA E DESCARGA MANUAL DE BLOCO DE CONCRETO, EM CAMINHÃO CARROCERIA 15T. AF_02/2026</t>
  </si>
  <si>
    <t>CARGA, MANOBRA E DESCARGA MANUAL DE BLOCO DE CONCRETO, EM CAMINHÃO CARROCERIA 9T. AF_02/2026</t>
  </si>
  <si>
    <t>CARGA, MANOBRA E DESCARGA MANUAL DE SACOS DE AREIA DE 25 KG, EM CAMINHÃO CARROCERIA 15T. AF_02/2026</t>
  </si>
  <si>
    <t>CARGA, MANOBRA E DESCARGA MANUAL DE SACOS DE AREIA DE 25 KG, EM CAMINHÃO CARROCERIA 9T. AF_02/2026</t>
  </si>
  <si>
    <t>CARGA, MANOBRA E DESCARGA MANUAL DE SACOS DE ARGAMASSA DE 20 KG, EM CAMINHÃO CARROCERIA 15T. AF_02/2026</t>
  </si>
  <si>
    <t>CARGA, MANOBRA E DESCARGA MANUAL DE SACOS DE ARGAMASSA DE 20 KG, EM CAMINHÃO CARROCERIA 9T. AF_02/2026</t>
  </si>
  <si>
    <t>CARGA, MANOBRA E DESCARGA MANUAL DE SACOS DE CIMENTO DE 50 KG, EM CAMINHÃO CARROCERIA 15T. AF_02/2026</t>
  </si>
  <si>
    <t>CARGA, MANOBRA E DESCARGA MANUAL DE SACOS DE CIMENTO DE 50 KG, EM CAMINHÃO CARROCERIA 9T. AF_02/2026</t>
  </si>
  <si>
    <t>CARGA, MANOBRA E DESCARGA MANUAL DE TIJOLO MACIÇO, EM CAMINHÃO CARROCERIA 15T. AF_02/2026</t>
  </si>
  <si>
    <t>CARGA, MANOBRA E DESCARGA MANUAL DE TIJOLO MACIÇO, EM CAMINHÃO CARROCERIA 9T. AF_02/2026</t>
  </si>
  <si>
    <t>CARGA, MANOBRA E DESCARGA MANUAL DE TUBOS PLÁSTICOS, DN 150 MM, EM CAMINHÃO CARROCERIA 15T. AF_02/2026</t>
  </si>
  <si>
    <t>CARGA, MANOBRA E DESCARGA MANUAL DE TUBOS PLÁSTICOS, DN 150 MM, EM CAMINHÃO CARROCERIA 9T. AF_02/2026</t>
  </si>
  <si>
    <t>CARGA, MANOBRA E DESCARGA MANUAL DE TUBOS PLÁSTICOS, DN 200 MM, EM CAMINHÃO CARROCERIA 15T. AF_02/2026</t>
  </si>
  <si>
    <t>CARGA, MANOBRA E DESCARGA MANUAL DE TUBOS PLÁSTICOS, DN 200 MM, EM CAMINHÃO CARROCERIA 9T. AF_02/2026</t>
  </si>
  <si>
    <t>CARGA, MANOBRA E DESCARGA MANUAL DE TUBOS PLÁSTICOS, DN MENOR OU IGUAL A 100 MM, EM CAMINHÃO CARROCERIA 15T. AF_02/2026</t>
  </si>
  <si>
    <t>CARGA, MANOBRA E DESCARGA MANUAL DE TUBOS PLÁSTICOS, DN MENOR OU IGUAL A 100 MM, EM CAMINHÃO CARROCERIA 9T. AF_02/2026</t>
  </si>
  <si>
    <t>CARGA, MANOBRA E DESCARGA MECANIZADA DE PALETES, EM CAMINHÃO CARROCERIA 15T. AF_02/2026</t>
  </si>
  <si>
    <t>CARGA, MANOBRA E DESCARGA MECANIZADA DE PALETES, EM CAMINHÃO CARROCERIA 9T. AF_02/2026</t>
  </si>
  <si>
    <t>TRANSPORTE COM CAMINHÃO BASCULANTE DE 10 M³, EM VIA INTERNA (DENTRO DO CANTEIRO - UNIDADE: M3XKM). AF_02/2026</t>
  </si>
  <si>
    <t>TRANSPORTE COM CAMINHÃO BASCULANTE DE 10 M³, EM VIA INTERNA A OBRA (UNIDADE: TXKM). AF_02/2026</t>
  </si>
  <si>
    <t>TRANSPORTE COM CAMINHÃO BASCULANTE DE 10 M³, EM VIA URBANA EM LEITO NATURAL (UNIDADE: M3XKM). AF_02/2026</t>
  </si>
  <si>
    <t>TRANSPORTE COM CAMINHÃO BASCULANTE DE 10 M³, EM VIA URBANA EM LEITO NATURAL (UNIDADE: TXKM). AF_02/2026</t>
  </si>
  <si>
    <t>TRANSPORTE COM CAMINHÃO BASCULANTE DE 10 M³, EM VIA URBANA EM REVESTIMENTO PRIMÁRIO (UNIDADE: M3XKM). AF_02/2026</t>
  </si>
  <si>
    <t>TRANSPORTE COM CAMINHÃO BASCULANTE DE 10 M³, EM VIA URBANA EM REVESTIMENTO PRIMÁRIO (UNIDADE: TXKM). AF_02/2026</t>
  </si>
  <si>
    <t>TRANSPORTE COM CAMINHÃO BASCULANTE DE 10 M³, EM VIA URBANA PAVIMENTADA, ADICIONAL PARA DMT EXCEDENTE A 30 KM (UNIDADE: M3XKM). AF_02/2026</t>
  </si>
  <si>
    <t>TRANSPORTE COM CAMINHÃO BASCULANTE DE 10 M³, EM VIA URBANA PAVIMENTADA, ADICIONAL PARA DMT EXCEDENTE A 30 KM (UNIDADE: TXKM). AF_02/2026</t>
  </si>
  <si>
    <t>TRANSPORTE COM CAMINHÃO BASCULANTE DE 10 M³, EM VIA URBANA PAVIMENTADA, DMT ATÉ 30 KM (UNIDADE: M3XKM). AF_02/2026</t>
  </si>
  <si>
    <t>TRANSPORTE COM CAMINHÃO BASCULANTE DE 10 M³, EM VIA URBANA PAVIMENTADA, DMT ATÉ 30 KM (UNIDADE: TXKM). AF_02/2026</t>
  </si>
  <si>
    <t>TRANSPORTE COM CAMINHÃO BASCULANTE DE 14 M³, EM VIA INTERNA (DENTRO DO CANTEIRO - UNIDADE: TXKM). AF_02/2026</t>
  </si>
  <si>
    <t>TRANSPORTE COM CAMINHÃO BASCULANTE DE 14 M³, EM VIA INTERNA (DENTRO DO CANTEIRO - UNIDADE:M3XKM). AF_02/2026</t>
  </si>
  <si>
    <t>TRANSPORTE COM CAMINHÃO BASCULANTE DE 14 M³, EM VIA URBANA EM LEITO NATURAL (UNIDADE: M3XKM). AF_02/2026</t>
  </si>
  <si>
    <t>TRANSPORTE COM CAMINHÃO BASCULANTE DE 14 M³, EM VIA URBANA EM LEITO NATURAL (UNIDADE: TXKM). AF_02/2026</t>
  </si>
  <si>
    <t>TRANSPORTE COM CAMINHÃO BASCULANTE DE 14 M³, EM VIA URBANA EM REVESTIMENTO PRIMÁRIO (UNIDADE: M3XKM). AF_02/2026</t>
  </si>
  <si>
    <t>TRANSPORTE COM CAMINHÃO BASCULANTE DE 14 M³, EM VIA URBANA EM REVESTIMENTO PRIMÁRIO (UNIDADE: TXKM). AF_02/2026</t>
  </si>
  <si>
    <t>TRANSPORTE COM CAMINHÃO BASCULANTE DE 14 M³, EM VIA URBANA PAVIMENTADA, ADICIONAL PARA DMT EXCEDENTE A 30 KM (UNIDADE: M3XKM). AF_02/2026</t>
  </si>
  <si>
    <t>TRANSPORTE COM CAMINHÃO BASCULANTE DE 14 M³, EM VIA URBANA PAVIMENTADA, ADICIONAL PARA DMT EXCEDENTE A 30 KM (UNIDADE: TXKM). AF_02/2026</t>
  </si>
  <si>
    <t>TRANSPORTE COM CAMINHÃO BASCULANTE DE 14 M³, EM VIA URBANA PAVIMENTADA, DMT ATÉ 30 KM (UNIDADE: M3XKM). AF_02/2026</t>
  </si>
  <si>
    <t>TRANSPORTE COM CAMINHÃO BASCULANTE DE 14 M³, EM VIA URBANA PAVIMENTADA, DMT ATÉ 30 KM (UNIDADE: TXKM). AF_02/2026</t>
  </si>
  <si>
    <t>TRANSPORTE COM CAMINHÃO BASCULANTE DE 18 M³, EM VIA INTERNA (DENTRO DO CANTEIRO - UNIDADE: M3XKM). AF_02/2026</t>
  </si>
  <si>
    <t>TRANSPORTE COM CAMINHÃO BASCULANTE DE 18 M³, EM VIA INTERNA (DENTRO DO CANTEIRO - UNIDADE: TXKM). AF_02/2026</t>
  </si>
  <si>
    <t>TRANSPORTE COM CAMINHÃO BASCULANTE DE 18 M³, EM VIA URBANA EM LEITO NATURAL (UNIDADE: M3XKM). AF_02/2026</t>
  </si>
  <si>
    <t>TRANSPORTE COM CAMINHÃO BASCULANTE DE 18 M³, EM VIA URBANA EM LEITO NATURAL (UNIDADE: TXKM). AF_02/2026</t>
  </si>
  <si>
    <t>TRANSPORTE COM CAMINHÃO BASCULANTE DE 18 M³, EM VIA URBANA EM REVESTIMENTO PRIMÁRIO (UNIDADE: M3XKM). AF_02/2026</t>
  </si>
  <si>
    <t>TRANSPORTE COM CAMINHÃO BASCULANTE DE 18 M³, EM VIA URBANA EM REVESTIMENTO PRIMÁRIO (UNIDADE: TXKM). AF_02/2026</t>
  </si>
  <si>
    <t>TRANSPORTE COM CAMINHÃO BASCULANTE DE 18 M³, EM VIA URBANA PAVIMENTADA, ADICIONAL PARA DMT EXCEDENTE A 30 KM (UNIDADE: M3XKM). AF_02/2026</t>
  </si>
  <si>
    <t>TRANSPORTE COM CAMINHÃO BASCULANTE DE 18 M³, EM VIA URBANA PAVIMENTADA, ADICIONAL PARA DMT EXCEDENTE A 30 KM (UNIDADE: TXKM). AF_02/2026</t>
  </si>
  <si>
    <t>TRANSPORTE COM CAMINHÃO BASCULANTE DE 18 M³, EM VIA URBANA PAVIMENTADA, DMT ATÉ 30 KM (UNIDADE: M3XKM). AF_02/2026</t>
  </si>
  <si>
    <t>TRANSPORTE COM CAMINHÃO BASCULANTE DE 18 M³, EM VIA URBANA PAVIMENTADA, DMT ATÉ 30 KM (UNIDADE: TXKM). AF_02/2026</t>
  </si>
  <si>
    <t>TRANSPORTE COM CAMINHÃO BASCULANTE DE 6 M³, EM VIA INTERNA (DENTRO DO CANTEIRO - UNIDADE: M3XKM). AF_02/2026</t>
  </si>
  <si>
    <t>TRANSPORTE COM CAMINHÃO BASCULANTE DE 6 M³, EM VIA INTERNA (DENTRO DO CANTEIRO - UNIDADE: TXKM). AF_02/2026</t>
  </si>
  <si>
    <t>TRANSPORTE COM CAMINHÃO BASCULANTE DE 6 M³, EM VIA URBANA EM LEITO NATURAL (UNIDADE: M3XKM). AF_02/2026</t>
  </si>
  <si>
    <t>TRANSPORTE COM CAMINHÃO BASCULANTE DE 6 M³, EM VIA URBANA EM LEITO NATURAL (UNIDADE: TXKM). AF_02/2026</t>
  </si>
  <si>
    <t>TRANSPORTE COM CAMINHÃO BASCULANTE DE 6 M³, EM VIA URBANA EM REVESTIMENTO PRIMÁRIO (UNIDADE: M3XKM). AF_02/2026</t>
  </si>
  <si>
    <t>TRANSPORTE COM CAMINHÃO BASCULANTE DE 6 M³, EM VIA URBANA EM REVESTIMENTO PRIMÁRIO (UNIDADE: TXKM). AF_02/2026</t>
  </si>
  <si>
    <t>TRANSPORTE COM CAMINHÃO BASCULANTE DE 6 M³, EM VIA URBANA PAVIMENTADA, ADICIONAL PARA DMT EXCEDENTE A 30 KM (UNIDADE: M3XKM). AF_02/2026</t>
  </si>
  <si>
    <t>TRANSPORTE COM CAMINHÃO BASCULANTE DE 6 M³, EM VIA URBANA PAVIMENTADA, ADICIONAL PARA DMT EXCEDENTE A 30 KM (UNIDADE: TXKM). AF_02/2026</t>
  </si>
  <si>
    <t>TRANSPORTE COM CAMINHÃO BASCULANTE DE 6 M³, EM VIA URBANA PAVIMENTADA, DMT ATÉ 30 KM (UNIDADE: M3XKM). AF_02/2026</t>
  </si>
  <si>
    <t>TRANSPORTE COM CAMINHÃO BASCULANTE DE 6 M³, EM VIA URBANA PAVIMENTADA, DMT ATÉ 30 KM (UNIDADE: TXKM). AF_02/2026</t>
  </si>
  <si>
    <t>TRANSPORTE COM CAMINHÃO CARROCERIA 15T DE 10 M³, EM VIA INTERNA (DENTRO DO CANTEIRO) (UNIDADE: TXKM). AF_02/2026</t>
  </si>
  <si>
    <t>TRANSPORTE COM CAMINHÃO CARROCERIA 15T DE 10 M³, EM VIA URBANA EM LEITO NATURAL (UNIDADE: TXKM). AF_02/2026</t>
  </si>
  <si>
    <t>TRANSPORTE COM CAMINHÃO CARROCERIA 15T DE 10 M³, EM VIA URBANA EM REVESTIMENTO PRIMÁRIO (UNIDADE: TXKM). AF_02/2026</t>
  </si>
  <si>
    <t>TRANSPORTE COM CAMINHÃO CARROCERIA 15T DE 10 M³, EM VIA URBANA PAVIMENTADA, ADICIONAL PARA DMT EXCEDENTE A 30 KM (UNIDADE: TXKM). AF_02/2026</t>
  </si>
  <si>
    <t>TRANSPORTE COM CAMINHÃO CARROCERIA 15T DE 10 M³, EM VIA URBANA PAVIMENTADA, DMT ATÉ 30KM (UNIDADE: TXKM). AF_02/2026</t>
  </si>
  <si>
    <t>TRANSPORTE COM CAMINHÃO CARROCERIA 9T, EM VIA INTERNA (DENTRO DO CANTEIRO - UNIDADE: TXKM). AF_02/2026</t>
  </si>
  <si>
    <t>TRANSPORTE COM CAMINHÃO CARROCERIA 9T, EM VIA URBANA EM LEITO NATURAL (UNIDADE: TXKM). AF_02/2026</t>
  </si>
  <si>
    <t>TRANSPORTE COM CAMINHÃO CARROCERIA 9T, EM VIA URBANA EM REVESTIMENTO PRIMÁRIO (UNIDADE: TXKM). AF_02/2026</t>
  </si>
  <si>
    <t>TRANSPORTE COM CAMINHÃO CARROCERIA 9T, EM VIA URBANA PAVIMENTADA, ADICIONAL PARA DMT EXCEDENTE A 30 KM (UNIDADE: TXKM). AF_02/2026</t>
  </si>
  <si>
    <t>TRANSPORTE COM CAMINHÃO CARROCERIA 9T, EM VIA URBANA PAVIMENTADA, DMT ATÉ 30KM (UNIDADE: TXKM). AF_02/2026</t>
  </si>
  <si>
    <t>TRANSPORTE COM CAMINHÃO CARROCERIA COM GUINDAUTO (MUNCK), MOMENTO MÁXIMO DE CARGA 11,7 TM, EM VIA INTERNA (DENTRO DO CANTEIRO - UNIDADE: TXKM). AF_02/2026</t>
  </si>
  <si>
    <t>TRANSPORTE COM CAMINHÃO CARROCERIA COM GUINDAUTO (MUNCK), MOMENTO MÁXIMO DE CARGA 11,7 TM, EM VIA URBANA EM LEITO NATURAL (UNIDADE: TXKM). AF_02/2026</t>
  </si>
  <si>
    <t>TRANSPORTE COM CAMINHÃO CARROCERIA COM GUINDAUTO (MUNCK), MOMENTO MÁXIMO DE CARGA 11,7 TM, EM VIA URBANA EM REVESTIMENTO PRIMÁRIO (UNIDADE: TXKM). AF_02/2026</t>
  </si>
  <si>
    <t>TRANSPORTE COM CAMINHÃO CARROCERIA COM GUINDAUTO (MUNCK), MOMENTO MÁXIMO DE CARGA 11,7 TM, EM VIA URBANA PAVIMENTADA, ADICIONAL PARA DMT EXCEDENTE A 30 KM (UNIDADE: TXKM). AF_02/2026</t>
  </si>
  <si>
    <t>TRANSPORTE COM CAMINHÃO CARROCERIA COM GUINDAUTO (MUNCK), MOMENTO MÁXIMO DE CARGA 11,7 TM, EM VIA URBANA PAVIMENTADA, DMT ATÉ 30KM (UNIDADE: TXKM). AF_02/2026</t>
  </si>
  <si>
    <t>TRANSPORTE COM CAMINHÃO CARROCERIA COM GUINDAUTO (MUNCK), MOMENTO MÁXIMO DE CARGA 42,3 TM, EM VIA INTERNA (DENTRO DO CANTEIRO) (UNIDADE: TXKM). AF_02/2026</t>
  </si>
  <si>
    <t>TRANSPORTE COM CAMINHÃO CARROCERIA COM GUINDAUTO (MUNCK), MOMENTO MÁXIMO DE CARGA 42,3 TM, EM VIA URBANA EM LEITO NATURAL (UNIDADE: TXKM). AF_02/2026</t>
  </si>
  <si>
    <t>TRANSPORTE COM CAMINHÃO CARROCERIA COM GUINDAUTO (MUNCK), MOMENTO MÁXIMO DE CARGA 42,3 TM, EM VIA URBANA EM REVESTIMENTO PRIMÁRIO (UNIDADE: TXKM). AF_02/2026</t>
  </si>
  <si>
    <t>TRANSPORTE COM CAMINHÃO CARROCERIA COM GUINDAUTO (MUNCK), MOMENTO MÁXIMO DE CARGA 42,3 TM, EM VIA URBANA PAVIMENTADA, ADICIONAL PARA DMT EXCEDENTE A 30 KM (UNIDADE: TXKM). AF_02/2026</t>
  </si>
  <si>
    <t>TRANSPORTE COM CAMINHÃO CARROCERIA COM GUINDAUTO (MUNCK), MOMENTO MÁXIMO DE CARGA 42,3 TM, EM VIA URBANA PAVIMENTADA, DMT ATÉ 30KM (UNIDADE: TXKM). AF_02/2026</t>
  </si>
  <si>
    <t>TRANSPORTE COM CAMINHÃO PIPA DE 10 M³, EM VIA INTERNA (DENTRO DO CANTEIRO - UNIDADE: M3XKM). AF_02/2026</t>
  </si>
  <si>
    <t>TRANSPORTE COM CAMINHÃO PIPA DE 10 M³, EM VIA URBANA EM LEITO NATURAL (UNIDADE: M3XKM). AF_02/2026</t>
  </si>
  <si>
    <t>TRANSPORTE COM CAMINHÃO PIPA DE 10 M³, EM VIA URBANA EM REVESTIMENTO PRIMÁRIO (UNIDADE: M3XKM). AF_02/2026</t>
  </si>
  <si>
    <t>TRANSPORTE COM CAMINHÃO PIPA DE 10 M³, EM VIA URBANA PAVIMENTADA, ADICIONAL PARA DMT EXCEDENTE A 30 KM (UNIDADE: M3XKM). AF_02/2026</t>
  </si>
  <si>
    <t>TRANSPORTE COM CAMINHÃO PIPA DE 10 M³, EM VIA URBANA PAVIMENTADA, DMT ATÉ 30KM (UNIDADE: M3XKM). AF_02/2026</t>
  </si>
  <si>
    <t>TRANSPORTE COM CAMINHÃO PIPA DE 14 M³, EM VIA INTERNA (DENTRO DO CANTEIRO) (UNIDADE: M³XKM). AF_02/2026</t>
  </si>
  <si>
    <t>TRANSPORTE COM CAMINHÃO PIPA DE 14 M³, EM VIA URBANA EM LEITO NATURAL (UNIDADE: M³XKM). AF_02/2026</t>
  </si>
  <si>
    <t>TRANSPORTE COM CAMINHÃO PIPA DE 14 M³, EM VIA URBANA EM REVESTIMENTO PRIMÁRIO (UNIDADE: M³XKM). AF_02/2026</t>
  </si>
  <si>
    <t>TRANSPORTE COM CAMINHÃO PIPA DE 14 M³, EM VIA URBANA PAVIMENTADA, ADICIONAL PARA DMT EXCEDENTE A 30 KM (UNIDADE: M³XKM). AF_02/2026</t>
  </si>
  <si>
    <t>TRANSPORTE COM CAMINHÃO PIPA DE 14 M³, EM VIA URBANA PAVIMENTADA, DMT ATÉ 30KM (UNIDADE: M³XKM). AF_02/2026</t>
  </si>
  <si>
    <t>TRANSPORTE COM CAMINHÃO PIPA DE 6 M³, EM VIA INTERNA (DENTRO DO CANTEIRO - UNIDADE: M3XKM). AF_02/2026</t>
  </si>
  <si>
    <t>TRANSPORTE COM CAMINHÃO PIPA DE 6 M³, EM VIA URBANA EM LEITO NATURAL (UNIDADE: M3XKM). AF_02/2026</t>
  </si>
  <si>
    <t>TRANSPORTE COM CAMINHÃO PIPA DE 6 M³, EM VIA URBANA EM REVESTIMENTO PRIMÁRIO (UNIDADE: M3XKM). AF_02/2026</t>
  </si>
  <si>
    <t>TRANSPORTE COM CAMINHÃO PIPA DE 6 M³, EM VIA URBANA PAVIMENTADA, ADICIONAL PARA DMT EXCEDENTE A 30 KM (UNIDADE: M3XKM). AF_02/2026</t>
  </si>
  <si>
    <t>TRANSPORTE COM CAMINHÃO PIPA DE 6 M³, EM VIA URBANA PAVIMENTADA, DMT ATÉ 30KM (UNIDADE: M3XKM). AF_02/2026</t>
  </si>
  <si>
    <t>TRANSPORTE COM CAMINHÃO TANQUE DE TRANSPORTE DE MATERIAL ASFÁLTICO DE 20000 L, EM VIA URBANA EM LEITO NATURAL (UNIDADE: TXKM). AF_02/2026</t>
  </si>
  <si>
    <t>TRANSPORTE COM CAMINHÃO TANQUE DE TRANSPORTE DE MATERIAL ASFÁLTICO DE 20000 L, EM VIA URBANA EM REVESTIMENTO PRIMÁRIO (UNIDADE: TXKM). AF_02/2026</t>
  </si>
  <si>
    <t>TRANSPORTE COM CAMINHÃO TANQUE DE TRANSPORTE DE MATERIAL ASFÁLTICO DE 20000 L, EM VIA URBANA PAVIMENTADA, ADICIONAL PARA DMT EXCEDENTE A 30 KM (UNIDADE: TXKM). AF_02/2026</t>
  </si>
  <si>
    <t>TRANSPORTE COM CAMINHÃO TANQUE DE TRANSPORTE DE MATERIAL ASFÁLTICO DE 20000 L, EM VIA URBANA PAVIMENTADA, DMT ATÉ 30KM (UNIDADE: TXKM). AF_02/2026</t>
  </si>
  <si>
    <t>TRANSPORTE COM CAMINHÃO TANQUE DE TRANSPORTE DE MATERIAL ASFÁLTICO DE 30000 L, EM VIA URBANA EM LEITO NATURAL (UNIDADE: TXKM). AF_02/2026</t>
  </si>
  <si>
    <t>TRANSPORTE COM CAMINHÃO TANQUE DE TRANSPORTE DE MATERIAL ASFÁLTICO DE 30000 L, EM VIA URBANA EM REVESTIMENTO PRIMÁRIO (UNIDADE: TXKM). AF_02/2026</t>
  </si>
  <si>
    <t>TRANSPORTE COM CAMINHÃO TANQUE DE TRANSPORTE DE MATERIAL ASFÁLTICO DE 30000 L, EM VIA URBANA PAVIMENTADA, ADICIONAL PARA DMT EXCEDENTE A 30 KM (UNIDADE: TXKM). AF_02/2026</t>
  </si>
  <si>
    <t>TRANSPORTE COM CAMINHÃO TANQUE DE TRANSPORTE DE MATERIAL ASFÁLTICO DE 30000 L, EM VIA URBANA PAVIMENTADA, DMT ATÉ 30KM (UNIDADE: TXKM). AF_02/2026</t>
  </si>
  <si>
    <t>ESCAVAÇÃO MANUAL DE TUNNEL LINER EM SOLO DE PRIMEIRA CATEGORIA. AF_10/2025</t>
  </si>
  <si>
    <t>ESCAVAÇÃO MANUAL DE TUNNEL LINER EM SOLO DE SEGUNDA CATEGORIA. AF_10/2025</t>
  </si>
  <si>
    <t>INSTALAÇÃO DE VIDRO ARAMADO, E = 6 MM, EM ESQUADRIA DE ALUMÍNIO OU PVC, FIXADO COM BAGUETE. AF_11/2025</t>
  </si>
  <si>
    <t>INSTALAÇÃO DE VIDRO ARAMADO, E = 7 MM, EM ESQUADRIA DE ALUMÍNIO OU PVC, FIXADO COM BAGUETE. AF_11/2025</t>
  </si>
  <si>
    <t>INSTALAÇÃO DE VIDRO IMPRESSO, E = 4 MM, EM ESQUADRIA DE ALUMÍNIO OU PVC, FIXADO COM BAGUETE. AF_11/2025</t>
  </si>
  <si>
    <t>INSTALAÇÃO DE VIDRO IMPRESSO, E = 4 MM, EM ESQUADRIA DE MADEIRA, FIXADO COM BAGUETE. AF_11/2025</t>
  </si>
  <si>
    <t>INSTALAÇÃO DE VIDRO LISO FUMÊ, E = 4 MM, EM ESQUADRIA DE ALUMÍNIO OU PVC, FIXADO COM BAGUETE. AF_11/2025</t>
  </si>
  <si>
    <t>INSTALAÇÃO DE VIDRO LISO FUMÊ, E = 4 MM, EM ESQUADRIA DE MADEIRA, FIXADO COM BAGUETE. AF_11/2025</t>
  </si>
  <si>
    <t>INSTALAÇÃO DE VIDRO LISO FUMÊ, E = 5 MM, EM ESQUADRIA DE ALUMÍNIO OU PVC, FIXADO COM BAGUETE. AF_11/2025</t>
  </si>
  <si>
    <t>INSTALAÇÃO DE VIDRO LISO FUMÊ, E = 5 MM, EM ESQUADRIA DE MADEIRA, FIXADO COM BAGUETE. AF_11/2025</t>
  </si>
  <si>
    <t>INSTALAÇÃO DE VIDRO LISO FUMÊ, E = 6 MM, EM ESQUADRIA DE ALUMÍNIO OU PVC, FIXADO COM BAGUETE. AF_11/2025</t>
  </si>
  <si>
    <t>INSTALAÇÃO DE VIDRO LISO FUMÊ, E = 6 MM, EM ESQUADRIA DE MADEIRA, FIXADO COM BAGUETE. AF_11/2025</t>
  </si>
  <si>
    <t>INSTALAÇÃO DE VIDRO LISO INCOLOR, E = 10 MM, EM ESQUADRIA DE ALUMÍNIO OU PVC, FIXADO COM BAGUETE. AF_11/2025</t>
  </si>
  <si>
    <t>INSTALAÇÃO DE VIDRO LISO INCOLOR, E = 10 MM, EM ESQUADRIA DE MADEIRA, FIXADO COM BAGUETE. AF_11/2025</t>
  </si>
  <si>
    <t>INSTALAÇÃO DE VIDRO LISO INCOLOR, E = 3 MM, EM ESQUADRIA DE ALUMÍNIO OU PVC, FIXADO COM BAGUETE. AF_11/2025</t>
  </si>
  <si>
    <t>INSTALAÇÃO DE VIDRO LISO INCOLOR, E = 3 MM, EM ESQUADRIA DE MADEIRA, FIXADO COM BAGUETE. AF_11/2025</t>
  </si>
  <si>
    <t>INSTALAÇÃO DE VIDRO LISO INCOLOR, E = 4 MM, EM ESQUADRIA DE ALUMÍNIO OU PVC, FIXADO COM BAGUETE. AF_11/2025</t>
  </si>
  <si>
    <t>INSTALAÇÃO DE VIDRO LISO INCOLOR, E = 4 MM, EM ESQUADRIA DE MADEIRA, FIXADO COM BAGUETE. AF_11/2025</t>
  </si>
  <si>
    <t>INSTALAÇÃO DE VIDRO LISO INCOLOR, E = 5 MM, EM ESQUADRIA DE ALUMÍNIO OU PVC, FIXADO COM BAGUETE. AF_11/2025</t>
  </si>
  <si>
    <t>INSTALAÇÃO DE VIDRO LISO INCOLOR, E = 5 MM, EM ESQUADRIA DE MADEIRA, FIXADO COM BAGUETE. AF_11/2025</t>
  </si>
  <si>
    <t>INSTALAÇÃO DE VIDRO LISO INCOLOR, E = 6 MM, EM ESQUADRIA DE ALUMÍNIO OU PVC, FIXADO COM BAGUETE. AF_11/2025</t>
  </si>
  <si>
    <t>INSTALAÇÃO DE VIDRO LISO INCOLOR, E = 6 MM, EM ESQUADRIA DE MADEIRA, FIXADO COM BAGUETE. AF_11/2025</t>
  </si>
  <si>
    <t>INSTALAÇÃO DE VIDRO LISO INCOLOR, E = 8 MM, EM ESQUADRIA DE ALUMÍNIO OU PVC, FIXADO COM BAGUETE. AF_11/2025</t>
  </si>
  <si>
    <t>INSTALAÇÃO DE VIDRO LISO INCOLOR, E = 8 MM, EM ESQUADRIA DE MADEIRA, FIXADO COM BAGUETE. AF_11/2025</t>
  </si>
  <si>
    <t>INSTALAÇÃO DE VIDRO TEMPERADO, E = 10 MM, ENCAIXADO EM PERFIL U. AF_11/2025</t>
  </si>
  <si>
    <t>INSTALAÇÃO DE VIDRO TEMPERADO, E = 6 MM, ENCAIXADO EM PERFIL U. AF_11/2025</t>
  </si>
  <si>
    <t>INSTALAÇÃO DE VIDRO TEMPERADO, E = 8 MM, ENCAIXADO EM PERFIL U. AF_11/2025</t>
  </si>
  <si>
    <t>JOGO DE FERRAGENS CROMADAS PARA PORTA DE VIDRO TEMPERADO, UMA FOLHA COMPOSTO DE DOBRADICAS SUPERIOR E INFERIOR, TRINCO, FECHADURA, CONTRA FECHADURA COM CAPUCHINHO SEM MOLA E PUXADOR. AF_11/2025</t>
  </si>
  <si>
    <t>MOLA HIDRAULICA DE PISO PARA PORTA DE VIDRO TEMPERADO. AF_11/2025</t>
  </si>
  <si>
    <t>PORTA DE ABRIR COM MOLA HIDRÁULICA, EM VIDRO TEMPERADO, 120X210 CM, ESPESSURA 10 MM, INCLUSIVE ACESSÓRIOS. AF_11/2025</t>
  </si>
  <si>
    <t>PORTA DE ABRIR COM MOLA HIDRÁULICA, EM VIDRO TEMPERADO, 2 FOLHAS DE 90X210 CM, ESPESSURA DE 10 MM, INCLUSIVE ACESSÓRIOS. AF_11/2025</t>
  </si>
  <si>
    <t>PORTA DE ABRIR COM MOLA HIDRÁULICA, EM VIDRO TEMPERADO, 70X210 CM, ESPESSURA 10 MM, INCLUSIVE ACESSÓRIOS. AF_11/2025</t>
  </si>
  <si>
    <t>PORTA DE ABRIR COM MOLA HIDRÁULICA, EM VIDRO TEMPERADO, 80X210 CM, ESPESSURA 10 MM, INCLUSIVE ACESSÓRIOS. AF_11/2025</t>
  </si>
  <si>
    <t>PORTA DE ABRIR COM MOLA HIDRÁULICA, EM VIDRO TEMPERADO, 90X210 CM, ESPESSURA 10 MM, INCLUSIVE ACESSÓRIOS. AF_11/2025</t>
  </si>
  <si>
    <t>PORTA PIVOTANTE DE VIDRO TEMPERADO, 2 FOLHAS DE 90X210 CM, ESPESSURA DE 10 MM, INCLUSIVE ACESSÓRIOS. AF_11/2025</t>
  </si>
  <si>
    <t>PORTA PIVOTANTE DE VIDRO TEMPERADO, 90X210 CM, ESPESSURA 10 MM, INCLUSIVE ACESSÓRIOS. AF_11/2025</t>
  </si>
  <si>
    <t>REMOÇÃO DE VIDRO LISO COMUM DE ESQUADRIA COM BAGUETE DE ALUMÍNIO OU PVC. AF_11/2025</t>
  </si>
  <si>
    <t>REMOÇÃO DE VIDRO LISO COMUM DE ESQUADRIA COM BAGUETE DE MADEIRA. AF_11/2025</t>
  </si>
  <si>
    <t>REMOÇÃO DE VIDRO TEMPERADO FIXADO EM PERFIL U. AF_11/2025</t>
  </si>
  <si>
    <t>Encargos sociais sobre a mão de obra:</t>
  </si>
  <si>
    <t>(SEM DESONERAÇÃO)</t>
  </si>
  <si>
    <t>ABRACADEIRA, GALVANIZADA/ZINCADA, ROSCA SEM FIM, PARAFUSO INOX, LARGURA FITA 19 MM, D = 1"</t>
  </si>
  <si>
    <t>AR-CONDICIONADO SPLIT INVERTER, HI-WALL (PAREDE), 12000 BTU/H, CICLO FRIO, 60HZ, CLASSIFICACAO A (SELO PROCEL), GAS HFC, CONTROLE S/FIO</t>
  </si>
  <si>
    <t>AR-CONDICIONADO SPLIT INVERTER, HI-WALL (PAREDE), 18000 BTU/H, CICLO FRIO, 60HZ, CLASSIFICACAO A (SELO PROCEL), GAS HFC, CONTROLE S/FIO</t>
  </si>
  <si>
    <t>AR-CONDICIONADO SPLIT INVERTER, HI-WALL (PAREDE), 24000 BTU/H, CICLO FRIO, 60HZ, CLASSIFICACAO A (SELO PROCEL), GAS HFC, CONTROLE S/FIO</t>
  </si>
  <si>
    <t>AR-CONDICIONADO SPLIT INVERTER, HI-WALL (PAREDE), 9000 BTU/H, CICLO FRIO, 60HZ, CLASSIFICACAO A (SELO PROCEL), GAS HFC, CONTROLE S/FIO</t>
  </si>
  <si>
    <t>AR-CONDICIONADO SPLIT INVERTER, PISO TETO, 18000 BTU/H, CICLO FRIO, 60HZ, CLASSIFICACAO ENERGETICA A OU B (SELO PROCEL), GAS HFC, CONTROLE S/FIO</t>
  </si>
  <si>
    <t>AR-CONDICIONADO SPLIT INVERTER, PISO TETO, 24000 BTU/H, CICLO FRIO, 60HZ, CLASSIFICACAO ENERGETICA A OU B (SELO PROCEL), GAS HFC, CONTROLE S/FIO</t>
  </si>
  <si>
    <t>AR-CONDICIONADO SPLIT INVERTER, PISO TETO, 36000 BTU/H, CICLO FRIO, 60HZ, CLASSIFICACAO ENERGETICA A OU B (SELO PROCEL), GAS HFC, CONTROLE S/FIO</t>
  </si>
  <si>
    <t>AR-CONDICIONADO SPLIT INVERTER, PISO TETO, 48000 BTU/H, CICLO FRIO, 60HZ, CLASSIFICACAO ENERGETICA A OU B (SELO PROCEL), GAS HFC, CONTROLE S/FIO</t>
  </si>
  <si>
    <t>AR-CONDICIONADO SPLIT INVERTER, PISO TETO, APRESENTANDO ENTRE 54000 E 58000 BTU/H, CICLO FRIO, 60HZ, CLASSIFICACAO ENERGETICA A OU B (SELO PROCEL), GAS HFC, CONTROLE S/FIO</t>
  </si>
  <si>
    <t>AR-CONDICIONADO SPLIT ON/OFF, CASSETE (TETO), 18000 BTUS/H, CICLO QUENTE/FRIO, 60 HZ, CLASSIFICACAO ENERGETICA C - SELO PROCEL, GAS HFC, CONTROLE S/ FIO</t>
  </si>
  <si>
    <t>AR-CONDICIONADO SPLIT ON/OFF, CASSETE (TETO), 24000 BTUS/H, CICLO QUENTE/FRIO, 60 HZ, CLASSIFICACAO ENERGETICA C - SELO PROCEL, GAS HFC, CONTROLE S/ FIO</t>
  </si>
  <si>
    <t>AR-CONDICIONADO SPLIT ON/OFF, CASSETE (TETO), 36000 BTUS/H, CICLO QUENTE/FRIO, 60 HZ, CLASSIFICACAO ENERGETICA A - SELO PROCEL, GAS HFC, CONTROLE S/ FIO</t>
  </si>
  <si>
    <t>AR-CONDICIONADO SPLIT ON/OFF, CASSETE (TETO), 48000 BTUS/H, CICLO QUENTE/FRIO, 60 HZ, CLASSIFICACAO ENERGETICA A - SELO PROCEL, GAS HFC, CONTROLE S/ FIO</t>
  </si>
  <si>
    <t>AR-CONDICIONADO SPLIT ON/OFF, CASSETE (TETO), 60000 BTUS/H, CICLO QUENTE/FRIO, 60 HZ, CLASSIFICACAO ENERGETICA A - SELO PROCEL, GAS HFC, CONTROLE S/ FIO</t>
  </si>
  <si>
    <t>AR-CONDICIONADO SPLIT ON/OFF, CASSETE (TETO), FRIO 4 VIAS 18000 BTUS/H, CLASSIFICACAO ENERGETICA C - SELO PROCEL, GAS HFC, CONTROLE S/ FIO</t>
  </si>
  <si>
    <t>AR-CONDICIONADO SPLIT ON/OFF, CASSETE (TETO), FRIO 4 VIAS 24000 BTUS/H, CLASSIFICACAO ENERGETICA C - SELO PROCEL, GAS HFC, CONTROLE S/ FIO</t>
  </si>
  <si>
    <t>AR-CONDICIONADO SPLIT ON/OFF, CASSETE (TETO), FRIO 4 VIAS 36000 BTUS/H, CLASSIFICACAO ENERGETICA C - SELO PROCEL, GAS HFC, CONTROLE S/ FIO</t>
  </si>
  <si>
    <t>AR-CONDICIONADO SPLIT ON/OFF, CASSETE (TETO), FRIO 4 VIAS 48000 BTUS/H, CLASSIFICACAO ENERGETICA C - SELO PROCEL, GAS HFC, CONTROLE S/ FIO</t>
  </si>
  <si>
    <t>AR-CONDICIONADO SPLIT ON/OFF, CASSETE (TETO), FRIO 4 VIAS 60000 BTUS/H, CLASSIFICACAO ENERGETICA C - SELO PROCEL, GAS HFC, CONTROLE S/ FIO</t>
  </si>
  <si>
    <t>AR-CONDICIONADO SPLIT ON/OFF, HI-WALL (PAREDE), 12000 BTUS/H, CICLO FRIO, 60 HZ, CLASSIFICACAO ENERGETICA A - SELO PROCEL, GAS HFC, CONTROLE S/ FIO</t>
  </si>
  <si>
    <t>AR-CONDICIONADO SPLIT ON/OFF, HI-WALL (PAREDE), 12000 BTUS/H, CICLO QUENTE/FRIO, 60 HZ, CLASSIFICACAO ENERGETICA A - SELO PROCEL, GAS HFC, CONTROLE S/ FIO</t>
  </si>
  <si>
    <t>AR-CONDICIONADO SPLIT ON/OFF, HI-WALL (PAREDE), 18000 BTUS/H, CICLO FRIO, 60 HZ, CLASSIFICACAO ENERGETICA A - SELO PROCEL, GAS HFC, CONTROLE S/ FIO</t>
  </si>
  <si>
    <t>AR-CONDICIONADO SPLIT ON/OFF, HI-WALL (PAREDE), 18000 BTUS/H, CICLO QUENTE/FRIO, 60 HZ, CLASSIFICACAO ENERGETICA A - SELO PROCEL, GAS HFC, CONTROLE S/ FIO</t>
  </si>
  <si>
    <t>AR-CONDICIONADO SPLIT ON/OFF, HI-WALL (PAREDE), 24000 BTUS/H, CICLO FRIO, 60 HZ, CLASSIFICACAO ENERGETICA A - SELO PROCEL, GAS HFC, CONTROLE S/ FIO</t>
  </si>
  <si>
    <t>AR-CONDICIONADO SPLIT ON/OFF, HI-WALL (PAREDE), 24000 BTUS/H, CICLO QUENTE/FRIO, 60 HZ, CLASSIFICACAO ENERGETICA A - SELO PROCEL, GAS HFC, CONTROLE S/ FIO</t>
  </si>
  <si>
    <t>AR-CONDICIONADO SPLIT ON/OFF, HI-WALL (PAREDE), 9000 BTUS/H, CICLO FRIO, 60 HZ, CLASSIFICACAO ENERGETICA A - SELO PROCEL, GAS HFC, CONTROLE S/ FIO</t>
  </si>
  <si>
    <t>AR-CONDICIONADO SPLIT ON/OFF, HI-WALL (PAREDE), 9000 BTUS/H, CICLO QUENTE/FRIO, 60 HZ, CLASSIFICACAO ENERGETICA A - SELO PROCEL, GAS HFC, CONTROLE S/ FIO</t>
  </si>
  <si>
    <t>AR-CONDICIONADO SPLIT ON/OFF, PISO TETO, 18.000 BTU/H, CICLO FRIO, 60HZ, CLASSIFICACAO ENERGETICA C - SELO PROCEL, GAS HFC, CONTROLE S/FIO</t>
  </si>
  <si>
    <t>AR-CONDICIONADO SPLIT ON/OFF, PISO TETO, 24.000 BTU/H, CICLO FRIO, 60HZ, CLASSIFICACAO ENERGETICA C - SELO PROCEL, GAS HFC, CONTROLE S/FIO</t>
  </si>
  <si>
    <t>AR-CONDICIONADO SPLIT ON/OFF, PISO TETO, 36.000 BTU/H, CICLO FRIO, 60HZ, CLASSIFICACAO ENERGETICA C - SELO PROCEL, GAS HFC, CONTROLE S/FIO</t>
  </si>
  <si>
    <t>AR-CONDICIONADO SPLIT ON/OFF, PISO TETO, 48.000 BTU/H, CICLO FRIO, 60HZ, CLASSIFICACAO ENERGETICA C - SELO PROCEL, GAS HFC, CONTROLE S/FIO</t>
  </si>
  <si>
    <t>AR-CONDICIONADO SPLIT ON/OFF, PISO TETO, 60.000 BTU/H, CICLO FRIO, 60HZ, CLASSIFICACAO ENERGETICA C - SELO PROCEL, GAS HFC, CONTROLE S/FIO</t>
  </si>
  <si>
    <t>ARRUELA EM ACO CARBONO, GALVANIZADA A FOGO (IMERSAO A QUENTE), DIAMETRO EXTERNO = 35 MM, ESPESSURA = 3 MM, DIAMETRO DO FURO = 18 MM</t>
  </si>
  <si>
    <t>ARRUELA LISA, REDONDA, ACO ZINCADO, M8, DIAMETRO EXTERNO 20 MM, DIAMETRO DO FURO 8 MM (5/16")</t>
  </si>
  <si>
    <t>ARRUELA QUADRADA EM ACO CARBONO, GALVANIZADA A FOGO (IMERSAO A QUENTE), DIMENSAO = 38 MM, ESPESSURA = 3 MM, DIAMETRO DO FURO = 18 MM</t>
  </si>
  <si>
    <t>BLOCO DE CONCRETO ESTRUTURAL 14 X 19 X 29 CM (L X A X C) - FBK 10,0 MPA</t>
  </si>
  <si>
    <t>BLOCO DE CONCRETO ESTRUTURAL 14 X 19 X 29 CM (L X A X C) - FBK 12,0 MPA</t>
  </si>
  <si>
    <t>BLOCO DE CONCRETO ESTRUTURAL 14 X 19 X 29 CM (L X A X C) - FBK 16,0 MPA</t>
  </si>
  <si>
    <t>BLOCO DE CONCRETO ESTRUTURAL 14 X 19 X 29 CM (L X A X C) - FBK 6,0 MPA</t>
  </si>
  <si>
    <t>BLOCO DE CONCRETO ESTRUTURAL 14 X 19 X 39 CM (L X A X C) - FBK 10,0 MPA</t>
  </si>
  <si>
    <t>BLOCO DE CONCRETO ESTRUTURAL 14 X 19 X 39 CM (L X A X C) - FBK 12,0 MPA</t>
  </si>
  <si>
    <t>BLOCO DE CONCRETO ESTRUTURAL 14 X 19 X 39 CM (L X A X C) - FBK 16,0 MPA</t>
  </si>
  <si>
    <t>BLOCO DE CONCRETO ESTRUTURAL 14 X 19 X 39 CM (L X A X C) - FBK 6,0 MPA</t>
  </si>
  <si>
    <t>CABO DE REDE, PAR TRANCADO U/UTP, 4 PARES, CATEGORIA 5E (CAT 5E), ISOLAMENTO LSZH</t>
  </si>
  <si>
    <t>CABO DE REDE, PAR TRANCADO UTP, 4 PARES, CATEGORIA 6 (CAT 6), ISOLAMENTO LSZH</t>
  </si>
  <si>
    <t>CHUMBADOR PONTALETE, ACO GALVANIZADO, 1" X 1", APROX. 50 CM DE COMPRIMENTO, 1 BARRA DE 5/8", PARA GUARDA-CORPO / GRADIL / CORRIMAO</t>
  </si>
  <si>
    <t>CHUMBADOR PONTALETE, ACO GALVANIZADO, 4" X 2", APROX. 50 CM DE COMPRIMENTO, 2 BARRAS DE 5/8", PARA GUARDA-CORPO / GRADIL / CORRIMAO</t>
  </si>
  <si>
    <t>CHUMBADOR TIPO BOLT FWA, PARABOLT PBA OU PARABOLT PBC, EM ACO ZINCADO, 3/8" X 3.3/4"</t>
  </si>
  <si>
    <t>FITA ADESIVA ALUMINIZADA BOPP, L = 50 MM</t>
  </si>
  <si>
    <t>FITA DE VEDACAO ADESIVA, EM ESPUMA POLIETILENO, PRETA, L = 10 MM, E = 4 MM</t>
  </si>
  <si>
    <t>FITA PLASTICA DE ARQUEAR, EM POLIPROPILENO - PP, PRETA, L = 10 MM, E = 0,65 MM</t>
  </si>
  <si>
    <t>FITA PLASTICA ZEBRADA PARA DEMARCACAO DE AREAS, LARGURA = 7 CM, SEM ADESIVO</t>
  </si>
  <si>
    <t>LAJE EM PAINEL TRELICADO L=25, COM ENCHIMENTO EM POLIESTIRENO EXPANDIDO (EPS) H13, PTN-20, TRELICA DE 16 CM, PARA PISO, UNIDIRECIONAL, SOBRECARGA DE 350 KGF/M2, VAO ATE 7,0 M, EXCLUSO CONCRETO (SEM COLOCACAO)</t>
  </si>
  <si>
    <t>LAJE EM PAINEL TRELICADO L=25, COM ENCHIMENTO EM POLIESTIRENO EXPANDIDO (EPS) H17, PTN-25, TRELICA DE 20 CM, PARA PISO, UNIDIRECIONAL, SOBRECARGA DE 350 KGF/M2, VAO ATE 8,0 M, EXCLUSO CONCRETO (SEM COLOCACAO)</t>
  </si>
  <si>
    <t>LAJE EM PAINEL TRELICADO L=25, COM ENCHIMENTO EM POLIESTIRENO EXPANDIDO (EPS) H22, PTN-30, TRELICA DE 25 CM, PARA PISO, UNIDIRECIONAL, SOBRECARGA DE 350 KGF/M2, VAO ATE 9,0 M, EXCLUSO CONCRETO (SEM COLOCACAO)</t>
  </si>
  <si>
    <t>LAJE EM PAINEL TRELICADO L=25, COM ENCHIMENTO EM POLIESTIRENO EXPANDIDO (EPS) H5, PTN-12, TRELICA DE 8 CM, PARA FORRO, UNIDIRECIONAL, SOBRECARGA DE 100 KGF/M2, VAO ATE 5,0 M, EXCLUSO CONCRETO (SEM COLOCACAO)</t>
  </si>
  <si>
    <t>LAJE EM PAINEL TRELICADO L=25, COM ENCHIMENTO EM POLIESTIRENO EXPANDIDO (EPS) H5, PTN-12, TRELICA DE 8 CM, PARA PISO, UNIDIRECIONAL, SOBRECARGA DE 350 KGF/M2, VAO ATE 4,5 M, EXCLUSO CONCRETO (SEM COLOCACAO)</t>
  </si>
  <si>
    <t>LAJE EM PAINEL TRELICADO L=25, COM ENCHIMENTO EM POLIESTIRENO EXPANDIDO (EPS) H9, PTN-*16*, TRELICA DE 12 CM, PARA PISO, UNIDIRECIONAL, SOBRECARGA DE 350 KGF/M2, VAO ATE 6,0 M, EXCLUSO CONCRETO (SEM COLOCACAO)</t>
  </si>
  <si>
    <t>LAJE EM PAINEL TRELICADO MACICO L=25 CM, PTM-*25*, COM TRELICA DE 20 CM, PARA PISO, UNIDIRECIONAL, SOBRECARGA DE 350 KGF/M2, VAO ATE 9,0 M, EXCLUSO CONCRETO (SEM COLOCACAO)</t>
  </si>
  <si>
    <t>LAJE EM PAINEL TRELICADO MACICO L=25 CM, PTM-*30*, COM TRELICA DE 25 CM, PARA PISO, UNIDIRECIONAL, SOBRECARGA DE 350 KGF/M2, VAO ATE 10,0 M, EXCLUSO CONCRETO (SEM COLOCACAO)</t>
  </si>
  <si>
    <t>LAJE EM PAINEL TRELICADO MACICO L=25 CM, PTM-12, COM TRELICA DE 8 CM, PARA FORRO, UNIDIRECIONAL, SOBRECARGA DE 100 KGF/M2, VAO ATE 6,0 M, EXCLUSO CONCRETO (SEM COLOCACAO)</t>
  </si>
  <si>
    <t>LAJE EM PAINEL TRELICADO MACICO L=25 CM, PTM-12, COM TRELICA DE 8 CM, PARA PISO, UNIDIRECIONAL, SOBRECARGA DE 350 KGF/M2, VAO ATE 5,0 M, EXCLUSO CONCRETO (SEM COLOCACAO)</t>
  </si>
  <si>
    <t>LAJE EM PAINEL TRELICADO MACICO L=25 CM, PTM-16, COM TRELICA DE 12 CM, PARA PISO, UNIDIRECIONAL, SOBRECARGA DE 350 KGF/M2, VAO ATE 6,0 M, EXCLUSO CONCRETO (SEM COLOCACAO)</t>
  </si>
  <si>
    <t>LAJE EM PAINEL TRELICADO MACICO L=25 CM, PTM-20, COM TRELICA DE 16 CM, PARA PISO, UNIDIRECIONAL, SOBRECARGA DE 350 KGF/M2, VAO ATE 8,0 M, EXCLUSO CONCRETO (SEM COLOCACAO)</t>
  </si>
  <si>
    <t>LAJE PRE-MOLDADA COM VIGOTA PROTENDIDA (LAJOTAS + VIGOTAS) COM LAJOTA CERAMICA 30 X 20 X 12 CM (L X C X A) E VIGOTA VPT 10 X 9 CM (L X A), PARA PISO, UNIDIRECIONAL, SOBRECARGA DE 350 KGF/M2, VAO ATE 5,5 M (SEM COLOCACAO)</t>
  </si>
  <si>
    <t>LAJE PRE-MOLDADA COM VIGOTA PROTENDIDA (LAJOTAS + VIGOTAS) COM LAJOTA CERAMICA 30 X 20 X 16 CM (L X C X A) E VIGOTA VPT 10 X 9 CM (L X A), PARA PISO, UNIDIRECIONAL, SOBRECARGA DE 350 KGF/M2, VAO ATE 6 M (SEM COLOCACAO)</t>
  </si>
  <si>
    <t>LAJE PRE-MOLDADA COM VIGOTA PROTENDIDA (LAJOTAS + VIGOTAS) COM LAJOTA CERAMICA 30 X 20 X 20 CM (L X C X A) E VIGOTA VPT 10 X 9 CM (L X A), PARA PISO, UNIDIRECIONAL, SOBRECARGA DE 350 KGF/M2, VAO ATE 6,5 M (SEM COLOCACAO)</t>
  </si>
  <si>
    <t>LAJE PRE-MOLDADA COM VIGOTA PROTENDIDA (LAJOTAS + VIGOTAS) COM LAJOTA CERAMICA 30 X 20 X 24 CM (L X C X A) E VIGOTA VPT 10 X 9 CM (L X A), PARA PISO, UNIDIRECIONAL, SOBRECARGA DE 350 KGF/M2, VAO ATE 7 M (SEM COLOCACAO)</t>
  </si>
  <si>
    <t>LAJE PRE-MOLDADA COM VIGOTA PROTENDIDA (LAJOTAS + VIGOTAS) COM LAJOTA CERAMICA 30 X 20 X 8 CM (L X C X A) E VIGOTA VPT 10 X 9 CM (L X A), PARA PISO, UNIDIRECIONAL, SOBRECARGA DE 350 KGF/M2, VAO ATE 4,5 M (SEM COLOCACAO)</t>
  </si>
  <si>
    <t>LAJE PRE-MOLDADA COM VIGOTA PROTENDIDA (LAJOTAS + VIGOTAS) COM LAJOTA EM POLIESTIRENO EXPANDIDO (EPS), H12, *33* X 100 X 12 CM (L X C X A) E VIGOTA VPT 10 X 9 CM (L X A), PARA PISO, UNIDIRECIONAL, SOBRECARGA DE 350 KGF/M2, VAO ATE 5,5 M (SEM COLOCACAO)</t>
  </si>
  <si>
    <t>LAJE PRE-MOLDADA COM VIGOTA PROTENDIDA (LAJOTAS + VIGOTAS) COM LAJOTA EM POLIESTIRENO EXPANDIDO (EPS), H16, *33* X 100 X 16 CM (L X C X A) E VIGOTA VPT 10 X 9 CM (L X A), PARA PISO, UNIDIRECIONAL, SOBRECARGA DE 350 KGF/M2, VAO ATE 6,5 M (SEM COLOCACAO)</t>
  </si>
  <si>
    <t>LAJE PRE-MOLDADA COM VIGOTA PROTENDIDA (LAJOTAS + VIGOTAS) COM LAJOTA EM POLIESTIRENO EXPANDIDO (EPS), H20, *33* X 100 X 20 CM (L X C X A) E VIGOTA VPT 10 X 9 CM (L X A), PARA PISO, UNIDIRECIONAL, SOBRECARGA DE 350 KGF/M2, VAO ATE 7 M (SEM COLOCACAO)</t>
  </si>
  <si>
    <t>LAJE PRE-MOLDADA COM VIGOTA PROTENDIDA (LAJOTAS + VIGOTAS) COM LAJOTA EM POLIESTIRENO EXPANDIDO (EPS), H25, *33* X 100 X 25 CM (L X C X A) E VIGOTA VPT 10 X 9 CM (L X A), PARA PISO, UNIDIRECIONAL, SOBRECARGA DE 350 KGF/M2, VAO ATE 8 M (SEM COLOCACAO)</t>
  </si>
  <si>
    <t>LAJE PRE-MOLDADA COM VIGOTA PROTENDIDA (LAJOTAS + VIGOTAS) COM LAJOTA EM POLIESTIRENO EXPANDIDO (EPS), H8, *33* X 100 X 8 CM (L X C X A) E VIGOTA VPT 10 X 9 CM (L X A), PARA PISO, UNIDIRECIONAL, SOBRECARGA DE 350 KGF/M2, VAO ATE 4,5 M (SEM COLOCACAO)</t>
  </si>
  <si>
    <t>LAJE PRE-MOLDADA TRELICADA (LAJOTAS + VIGOTAS) COM LAJOTA CERAMICA *30* X 20 X *8* CM (L X C X A) E VIGOTA VTR *12* X 8 CM (L X A), PARA PISO, UNIDIRECIONAL, SOBRECARGA DE 350 KGF/M2, VAO ATE 4 M (SEM COLOCACAO)</t>
  </si>
  <si>
    <t>LAJE PRE-MOLDADA TRELICADA (LAJOTAS + VIGOTAS) COM LAJOTA CERAMICA *30* X 20 X 12 CM (L X C X A) E VIGOTA VTR *12* X 12 CM (L X A), PARA PISO, UNIDIRECIONAL, SOBRECARGA DE 350 KGF/M2, VAO ATE 5 M (SEM COLOCACAO)</t>
  </si>
  <si>
    <t>LAJE PRE-MOLDADA TRELICADA (LAJOTAS + VIGOTAS) COM LAJOTA CERAMICA *30* X 20 X 16 CM (L X C X A) E VIGOTA VTR *12* X 16 CM (L X A), PARA PISO, UNIDIRECIONAL, SOBRECARGA DE 350 KGF/M2, VAO ATE 6 M (SEM COLOCACAO)</t>
  </si>
  <si>
    <t>LAJE PRE-MOLDADA TRELICADA (LAJOTAS + VIGOTAS) COM LAJOTA CERAMICA *30* X 20 X 20 CM (L X C X A) E VIGOTA VTR *12* X 20 CM (L X A), PARA PISO, UNIDIRECIONAL, SOBRECARGA DE 350 KGF/M2, VAO ATE 7 M (SEM COLOCACAO)</t>
  </si>
  <si>
    <t>LAJE PRE-MOLDADA TRELICADA (LAJOTAS + VIGOTAS) COM LAJOTA CERAMICA *30* X 20 X 24 CM (L X C X A) E VIGOTA VTR *12* X 25 CM (L X A), PARA PISO, UNIDIRECIONAL, SOBRECARGA DE 350 KGF/M2, VAO ATE 8 M (SEM COLOCACAO)</t>
  </si>
  <si>
    <t>LAJE PRE-MOLDADA TRELICADA (LAJOTAS + VIGOTAS) COM LAJOTA EM POLIESTIRENO EXPANDIDO (EPS), H12, *33* X 100 X 12 CM (L X C X A) E VIGOTA VTR *12* X 12 CM (L X A), PARA PISO, UNIDIRECIONAL, SOBRECARGA DE 350 KGF/M2, VAO ATE 5,5 M (SEM COLOCACAO)</t>
  </si>
  <si>
    <t>LAJE PRE-MOLDADA TRELICADA (LAJOTAS + VIGOTAS) COM LAJOTA EM POLIESTIRENO EXPANDIDO (EPS), H16, *33* X 100 X 16 CM (L X C X A) E VIGOTA VTR *12* X 16 CM (L X A), PARA PISO, UNIDIRECIONAL, SOBRECARGA DE 350 KGF/M2, VAO ATE 6,5 M (SEM COLOCACAO)</t>
  </si>
  <si>
    <t>LAJE PRE-MOLDADA TRELICADA (LAJOTAS + VIGOTAS) COM LAJOTA EM POLIESTIRENO EXPANDIDO (EPS), H20, *33* X 100 X 20 CM (L X C X A) E VIGOTA VTR *12* X 20 CM (L X A), PARA PISO, UNIDIRECIONAL, SOBRECARGA DE 350 KGF/M2, VAO ATE 8 M (SEM COLOCACAO)</t>
  </si>
  <si>
    <t>LAJE PRE-MOLDADA TRELICADA (LAJOTAS + VIGOTAS) COM LAJOTA EM POLIESTIRENO EXPANDIDO (EPS), H25,*33* X 100 X 25 CM (L X C X A) E VIGOTA VTR *12* X 25 CM (L X A), PARA PISO, UNIDIRECIONAL, SOBRECARGA DE 350 KGF/M2, VAO ATE 9 M (SEM COLOCACAO)</t>
  </si>
  <si>
    <t>LAJE PRE-MOLDADA TRELICADA (LAJOTAS + VIGOTAS) COM LAJOTA EM POLIESTIRENO EXPANDIDO (EPS), *H8*, *33* X 100 X 8 CM (L X C X A) E VIGOTA VTR *12* X 8 CM (L X A), PARA PISO, UNIDIRECIONAL, SOBRECARGA DE 250 KGF/M2, VAO ATE 4 M (SEM COLOCACAO)</t>
  </si>
  <si>
    <t>PARAFUSO AUTO BROCANTE 12 X 7/8" COM ARRUELA DE VEDACAO EPDM</t>
  </si>
  <si>
    <t>PARAFUSO CHUMBADOR - PCH 1 DO TIPO ANDORINHA (EM Y) COM PORCA INCLUSA, *12 X 80 MM*</t>
  </si>
  <si>
    <t>PARAFUSO DE ACO TIPO CHUMBADOR PARABOLT, DIAMETRO 1/2", COMPRIMENTO 100 MM</t>
  </si>
  <si>
    <t>PARAFUSO DE ACO ZINCADO, TIPO CHUMBADOR PARABOLT, DIAMETRO 5/8"</t>
  </si>
  <si>
    <t>PARAFUSO EM ACO INOX (TIPO ALLEN) M6 X 40 MM, COM CABECA BOLEADA / ABAULADA, SEXTAVADA INTERNA, COM ROSCA</t>
  </si>
  <si>
    <t>PARAFUSO M10, ACO CARBONO ZINCADO, CLASSE 5.8, SEXTAVADO, ROSCA INTEIRA, DIAMETRO 10 MM, COMPRIMENTO 30 MM</t>
  </si>
  <si>
    <t>PARAFUSO M16 EM ACO ZINCADO, CABECA SEXTAVADA, ROSCA INTEIRA, COMPRIMENTO 25 MM, DIAMETRO 16 MM</t>
  </si>
  <si>
    <t>PARAFUSO M16 INOX, CABECA SEXTAVADA, ROSCA INTEIRA, COMPRIMENTO 50 MM, DIAMETRO 16 MM</t>
  </si>
  <si>
    <t>PARAFUSO ROSCA MAQUINA, CABECA REDONDA COM FENDA SIMPLES, DIAMETRO *4,8* MM, COMPRIMENTO * 19 * MM, EM ACO CARBONO ZINCADO, COM PORCA E ARRUELA</t>
  </si>
  <si>
    <t>PARAFUSO ZINCADO, AUTO BROCANTE, FLANGEADO, 4,2 MM X 19 MM</t>
  </si>
  <si>
    <t>PARAFUSO, EM ACO ZINCADO, CABECA LENTILHA AUTO TRAVANTE DIAMETRO 5/16" X 1" COM PORCA</t>
  </si>
  <si>
    <t>PARAFUSO, EM ACO ZINCADO, CABECA LENTILHA AUTOTRAVANTE DIAMETRO 5/16" X 1"</t>
  </si>
  <si>
    <t>PATCH PANEL, 24 PORTAS, CATEGORIA 5E, PARA FIXACAO EM RACKS DE 19" DE LARGURA E 1 U DE ALTURA</t>
  </si>
  <si>
    <t>PATCH PANEL, 24 PORTAS, CATEGORIA 6, PARA FIXACAO EM RACKS DE 19" DE LARGURA E 1 U DE ALTURA</t>
  </si>
  <si>
    <t>PATCH PANEL, 48 PORTAS, CATEGORIA 5E, PARA FIXACAO EM RACKS DE 19" DE LARGURA E 2 U DE ALTURA</t>
  </si>
  <si>
    <t>PATCH PANEL, 48 PORTAS, CATEGORIA 6, PARA FIXACAO EM RACKS DE 19" DE LARGURA E 2 U DE ALTURA</t>
  </si>
  <si>
    <t>RODAPE DE BORRACHA LISO, H = *70* MM, E = *2* MM, PARA ARGAMASSA, PRETO</t>
  </si>
  <si>
    <t>SUPORTE PARA FIXACAO CORRIMAO TUBULAR NA PAREDE EM, ACO INOX POLIDO, PARA APOIO BARRA CURVA DE 1/2" E BERCO, COM CANOPLA</t>
  </si>
  <si>
    <t>SUPORTE PINO, REDONDO, DE PAREDE, PARA FIXACAO DE CORRIMAO POR SOLDAGEM, EM ACO GALVANIZADO, COM BARRA DE 1/2"</t>
  </si>
  <si>
    <t>SUPORTE TRADICIONAL PARA FIXACAO DE CORRIMAO NA PAREDE, EM ALUMINIO</t>
  </si>
  <si>
    <t>TUBO DE POLIETILENO DE ALTA DENSIDADE, PEAD, PE-80, DE = 1200 MM X 37,2 MM PAREDE (SDR 32,25 - PN 04) PARA REDE DE AGUA OU ESGOTO</t>
  </si>
  <si>
    <t>TUBO DE POLIETILENO DE ALTA DENSIDADE, PEAD, PE-80, DE = 1400 MM X 42,9 MM PAREDE, (SDR 32,25 - PN 04) PARA REDE DE AGUA OU ESGOTO</t>
  </si>
  <si>
    <t>TUBO DE POLIETILENO DE ALTA DENSIDADE, PEAD, PE-80, DE = 1600 MM X 49,0 MM PAREDE, (SDR 32,25 - PN 04) PARA REDE DE AGUA OU ESGOTO</t>
  </si>
  <si>
    <t>EXECUÇÃO DE MICRORREVESTIMENTO FAIXA 2 DNIT. AF_10/2025</t>
  </si>
  <si>
    <t>EXECUÇÃO DE MICRORREVESTIMENTO FAIXA 3 DNIT. AF_10/2025</t>
  </si>
  <si>
    <t>EXECUÇÃO DE PAVIMENTO COM APLICAÇÃO DE PRÉ-MISTURADO A FRIO, CAMADA DE BINDER - EXCLUSIVE CARGA E TRANSPORTE. AF_10/2025</t>
  </si>
  <si>
    <t>EXECUÇÃO DE PAVIMENTO COM APLICAÇÃO DE PRÉ-MISTURADO A FRIO, CAMADA DE ROLAMENTO - EXCLUSIVE CARGA E TRANSPORTE. AF_10/2025</t>
  </si>
  <si>
    <t>BOMBA CENTRÍFUGA, TRIFÁSICA, 1,5 CV OU 1,48 HP, HM 10 A 24 M, Q 6,1 A 21,9 M3/H, 2 UNIDADES, INCLUSO QUADRO ELÉTRICO - FORNECIMENTO E INSTALAÇÃO. AF_11/2025</t>
  </si>
  <si>
    <t>BOMBA CENTRÍFUGA, TRIFÁSICA, 3 CV OU 2,96 HP, HM 34 A 40 M, Q 8,6 A 14,8 M3/H, 2 UNIDADES, INCLUSO QUADRO ELÉTRICO - FORNECIMENTO E INSTALAÇÃO. AF_11/2025</t>
  </si>
  <si>
    <t>CONJUNTO FLUTUANTE DE SUCÇÃO DE 1", TECHNIK OU EQUIVALENTE - FORNECIMENTO E INSTALAÇÃO. AF_11/2025</t>
  </si>
  <si>
    <t>MOTO BOMBA HORIZONTAL ATÉ 10 CV, HM 75 A 80 M, Q 25,4 A 48 M3/H- FORNECIMENTO E INSTALAÇÃO. AF_11/2025</t>
  </si>
  <si>
    <t>MOTO BOMBA HORIZONTAL DE 12,5 A 25CV, HM 140 M - FORNECIMENTO E INSTALAÇÃO. AF_11/2025</t>
  </si>
  <si>
    <t>MOTO BOMBA SUBMERSÍVEL ATÉ 10 CV, HM 21 M - FORNECIMENTO E INSTALAÇÃO. AF_11/2025</t>
  </si>
  <si>
    <t>MOTO BOMBA SUBMERSÍVEL DE 11 A 25 CV, HM 33 M - FORNECIMENTO E INSTALAÇÃO. AF_11/2025</t>
  </si>
  <si>
    <t>ALAMBRADO EM PERFIS METÁLICOS RETANGULARES COM GRADIL METÁLICO (EXCLUSIVE MURETA EM CONCRETO). AF_12/2025</t>
  </si>
  <si>
    <t>CERCA COM MOURÕES DE CONCRETO, RETO, 15X15 CM, H= 2,30 M, ESPAÇAMENTO DE 2,5 M, CRAVADOS 0,5 M, ESCORAS DE 10X10 CM A CADA 50 M, COM 12 FIOS DE ARAME DE AÇO OVALADO 15X17 - FORNECIMENTO E INSTALAÇÃO. AF_12/2025</t>
  </si>
  <si>
    <t>CERCA COM MOURÕES DE CONCRETO, RETO, 15X15 CM,H= 2,30 M, ESPAÇAMENTO DE 2,5 M, CRAVADOS 0,5 M, ESCORAS DE 10X10 CM A CADA 50 M, COM 9 FIOS DE ARAME DE AÇO OVALADO 15X17 - FORNECIMENTO E INSTALAÇÃO. AF_12/2025</t>
  </si>
  <si>
    <t>INSTALAÇÃO DE MOURÃO DE CONCRETO RETO, SEÇÃO QUADRADA *15 X 15* CM, H= 2,30 M. AF_12/2025</t>
  </si>
  <si>
    <t>INSTALAÇÃO DE TELA DE ARAME GALVANIZADA REVESTIDA EM PVC, PARA ALAMBRADO COM TUBOS DE AÇO, QUADRANGULAR / LOSANGULAR, FIO 2,11 MM (14 BWG), MALHA 5 X 5 CM, H = 2 M. AF_12/2025</t>
  </si>
  <si>
    <t>INSTALAÇÃO DE TELA DE ARAME GALVANIZADA REVESTIDA EM PVC, PARA ALAMBRADO COM TUBOS DE AÇO, QUADRANGULAR / LOSANGULAR, FIO 2,77 MM (12 BWG), MALHA 5 X 5 CM, H = 2 M. AF_12/2025</t>
  </si>
  <si>
    <t>PORTÃO DE ABRIR/GIRO, ESTRUTURADO POR TUBOS DE AÇO GALVANIZADO, COM TELA DE ARAME, PARA PEDESTRE - COMPLETO. AF_12/2025</t>
  </si>
  <si>
    <t>CAMINHÃO BITRUCK TRAÇÃO 8X2, PBT 29.000 KG, PESO BRUTO TOTAL COMBINADO (PBTC) *36.000* KG, POTÊNCIA 321 CV, INCLUSIVE PLATAFORMA GUINCHO-SOCORRO, COMPRIMENTO ÚTIL 10 M, LARGURA 2,60 M COM GUINCHO DE ARRASTE BASCULANTE - CHI DIURNO. AF_11/2025</t>
  </si>
  <si>
    <t>CAMINHÃO BITRUCK TRAÇÃO 8X2, PBT 29.000 KG, PESO BRUTO TOTAL COMBINADO (PBTC) *36.000* KG, POTÊNCIA 321 CV, INCLUSIVE PLATAFORMA GUINCHO-SOCORRO, COMPRIMENTO ÚTIL 10 M, LARGURA 2,60 M COM GUINCHO DE ARRASTE BASCULANTE - CHP DIURNO. AF_11/2025</t>
  </si>
  <si>
    <t>CAMINHÃO BITRUCK TRAÇÃO 8X2, PBT 29.000 KG, PESO BRUTO TOTAL COMBINADO (PBTC) *36.000* KG, POTÊNCIA 321 CV, INCLUSIVE PLATAFORMA SOBRE CHASSI, COMPRIMENTO ÚTIL 10 M, LARGURA 2,60 M COM GUINCHO DE ARRASTE E RAMPA COM ACIONAMENTO ELETRO-HIDRÁULICO - CHI DIURNO. AF_11/2025</t>
  </si>
  <si>
    <t>CAMINHÃO BITRUCK TRAÇÃO 8X2, PBT 29.000 KG, PESO BRUTO TOTAL COMBINADO (PBTC) *36.000* KG, POTÊNCIA 321 CV, INCLUSIVE PLATAFORMA SOBRE CHASSI, COMPRIMENTO ÚTIL 10 M, LARGURA 2,60 M COM GUINCHO DE ARRASTE E RAMPA COM ACIONAMENTO ELETRO-HIDRÁULICO - CHP DIURNO. AF_11/2025</t>
  </si>
  <si>
    <t>CAMINHÃO TOCO, PBT 16.000 KG, CARGA ÚTIL MÁX. 10.830 KG, DIST. ENTRE EIXOS 3,56 M, POTÊNCIA 226 CV, INCLUSIVE PLATAFORMA SOBRE CHASSI, COMPRIMENTO ÚTIL 10 M, LARGURA 2,60 M COM GUINCHO DE ARRASTE E RAMPA COM ACIONAMENTO ELETRO-HIDRÁULICO - CHI DIURNO. AF_11/2025</t>
  </si>
  <si>
    <t>CAMINHÃO TOCO, PBT 16.000 KG, CARGA ÚTIL MÁX. 10.830 KG, DIST. ENTRE EIXOS 3,56 M, POTÊNCIA 226 CV, INCLUSIVE PLATAFORMA SOBRE CHASSI, COMPRIMENTO ÚTIL 10 M, LARGURA 2,60 M COM GUINCHO DE ARRASTE E RAMPA COM ACIONAMENTO ELETRO-HIDRÁULICO - CHP DIURNO. AF_11/2025</t>
  </si>
  <si>
    <t>CAMINHÃO TOCO, PBT 23.000 KG, CARGA ÚTIL MÁX. 16.540 KG, DIST. ENTRE EIXOS 4,80 M, POTÊNCIA 256 CV, INCLUSIVE PLATAFORMA GUINCHO-SOCORRO, COMPRIMENTO ÚTIL 10 M, LARGURA 2,60 M COM GUINCHO DE ARRASTE BASCULANTE - CHI DIURNO. AF_11/2025</t>
  </si>
  <si>
    <t>CAMINHÃO TOCO, PBT 23.000 KG, CARGA ÚTIL MÁX. 16.540 KG, DIST. ENTRE EIXOS 4,80 M, POTÊNCIA 256 CV, INCLUSIVE PLATAFORMA GUINCHO-SOCORRO, COMPRIMENTO ÚTIL 10 M, LARGURA 2,60 M COM GUINCHO DE ARRASTE BASCULANTE - CHP DIURNO. AF_11/2025</t>
  </si>
  <si>
    <t>CAMINHÃO TOCO, PBT 23.000 KG, CARGA ÚTIL MÁX. 16.540 KG, DIST. ENTRE EIXOS 4,80 M, POTÊNCIA 256 CV, INCLUSIVE PLATAFORMA SOBRE CHASSI, COMPRIMENTO ÚTIL 10 M, LARGURA 2,60 M COM GUINCHO DE ARRASTE E RAMPA COM ACIONAMENTO ELETRO-HIDRÁULICO - CHI DIURNO. AF_11/2025</t>
  </si>
  <si>
    <t>CAMINHÃO TOCO, PBT 23.000 KG, CARGA ÚTIL MÁX. 16.540 KG, DIST. ENTRE EIXOS 4,80 M, POTÊNCIA 256 CV, INCLUSIVE PLATAFORMA SOBRE CHASSI, COMPRIMENTO ÚTIL 10 M, LARGURA 2,60 M COM GUINCHO DE ARRASTE E RAMPA COM ACIONAMENTO ELETRO-HIDRÁULICO - CHP DIURNO. AF_11/2025</t>
  </si>
  <si>
    <t>CAVALO MECÂNICO TRAÇÃO 6X2, PBT COMBINADO 56.000 KG, CAPACIDADE MÁX. TRAÇÃO 66.000 KG, POTÊNCIA 360 CV, INCLUSIVE CARROCERIA FIXA ABERTA DE MADEIRA P/ TRANSPORTE GERAL DE CARGA SECA, DIMEN. APROX. 2,6 X 14,50 X 0,50 M - CHI DIURNO. AF_10/2025</t>
  </si>
  <si>
    <t>CAVALO MECÂNICO TRAÇÃO 6X2, PBT COMBINADO 56.000 KG, CAPACIDADE MÁX. TRAÇÃO 66.000 KG, POTÊNCIA 360 CV, INCLUSIVE CARROCERIA FIXA ABERTA DE MADEIRA P/ TRANSPORTE GERAL DE CARGA SECA, DIMEN. APROX. 2,6 X 14,50 X 0,50 M - CHP DIURNO. AF_10/2025</t>
  </si>
  <si>
    <t>CAVALO MECÂNICO TRAÇÃO 6X2, PBT COMBINADO 56.000 KG, CAPACIDADE MÁX. TRAÇÃO 66.000 KG, POTÊNCIA 360 CV, INCLUSIVE PRANCHA REBAIXADA 3 EIXOS, DIMENSÕES *17,33 X 3,00* M, COM RAMPA DE ACIONAMENTO HIDRÁULICO - CHI DIURNO. AF_11/2025</t>
  </si>
  <si>
    <t>CAVALO MECÂNICO TRAÇÃO 6X2, PBT COMBINADO 56.000 KG, CAPACIDADE MÁX. TRAÇÃO 66.000 KG, POTÊNCIA 360 CV, INCLUSIVE PRANCHA REBAIXADA 3 EIXOS, DIMENSÕES *17,33 X 3,00* M, COM RAMPA DE ACIONAMENTO HIDRÁULICO - CHP DIURNO. AF_11/2025</t>
  </si>
  <si>
    <t>CAVALO MECÂNICO TRAÇÃO 6X2, PBT COMBINADO 56.000 KG, CAPACIDADE MÁX. TRAÇÃO 66.000 KG, POTÊNCIA 360 CV, INCLUSIVE PRANCHA RETA 3 EIXOS, COMPRIMENTO ÚTIL 11,3 M, PESCOÇO DE 3,5 M, LARGURA 3,00 M, COM RAMPA DE ACIONAMENTO HIDRÁULICO - CHI DIURNO. AF_11/2025</t>
  </si>
  <si>
    <t>CAVALO MECÂNICO TRAÇÃO 6X2, PBT COMBINADO 56.000 KG, CAPACIDADE MÁX. TRAÇÃO 66.000 KG, POTÊNCIA 360 CV, INCLUSIVE PRANCHA RETA 3 EIXOS, COMPRIMENTO ÚTIL 11,3 M, PESCOÇO DE 3,5 M, LARGURA 3,00 M, COM RAMPA DE ACIONAMENTO HIDRÁULICO - CHP DIURNO. AF_11/2025</t>
  </si>
  <si>
    <t>ESCAVADEIRA HIDRÁULICA SOBRE ESTEIRA, PESO OPERACIONAL 21,00 T, POTÊNCIA NOMINAL 155 HP, COM MARTELO VIBRATÓRIO HIDRÁULICO *1200 A 2200* KG - CHI DIURNO. AF_11/2025</t>
  </si>
  <si>
    <t>ESCAVADEIRA HIDRÁULICA SOBRE ESTEIRA, PESO OPERACIONAL 21,00 T, POTÊNCIA NOMINAL 155 HP, COM MARTELO VIBRATÓRIO HIDRÁULICO *1200 A 2200* KG - CHP DIURNO. AF_11/2025</t>
  </si>
  <si>
    <t>ESCAVADEIRA HIDRÁULICA SOBRE ESTEIRA, PESO OPERACIONAL 21,00 T, POTÊNCIA NOMINAL 155 HP, COM TORRE DE CRAVAÇÃO PARA EXECUÇÃO DE GEODRENO VERTICAL, LANÇA DE 32 M, PARA DRENO FIBROQUÍMICO DE LARGURA PADRÃO (100 MM) - CHI DIURNO. AF_12/2025</t>
  </si>
  <si>
    <t>ESCAVADEIRA HIDRÁULICA SOBRE ESTEIRA, PESO OPERACIONAL 21,00 T, POTÊNCIA NOMINAL 155 HP, COM TORRE DE CRAVAÇÃO PARA EXECUÇÃO DE GEODRENO VERTICAL, LANÇA DE 32 M, PARA DRENO FIBROQUÍMICO DE LARGURA PADRÃO (100 MM)- CHP DIURNO. AF_12/2025</t>
  </si>
  <si>
    <t>PENEIRA ROTATIVA COM MOTOR ELÉTRICO MONOFÁSICO DE *0,5 A 1,0* CV, CILINDRO COM DIÂMETRO DE *0,48 A 0,85* M E COMPRIMENTO DE *1,0 A 1,65* M - CHI DIURNO. AF_11/2025</t>
  </si>
  <si>
    <t>PENEIRA ROTATIVA COM MOTOR ELÉTRICO MONOFÁSICO DE *0,5 A 1,0* CV, CILINDRO COM DIÂMETRO DE *0,48 A 0,85* M E COMPRIMENTO DE *1,0 A 1,65* M - CHP DIURNO. AF_11/2025</t>
  </si>
  <si>
    <t>POLIGUINDASTE, CAPACIDADE MÁXIMA DE CARGA 8000 KG, PARA TRANSPORTE DE CAÇAMBAS ESTACIONÁRIAS, INCLUSIVE CAMINHÃO TOCO PBT 14.300 KG, POTÊNCIA DE 185 CV - CHI DIURNO. AF_10/2025</t>
  </si>
  <si>
    <t>POLIGUINDASTE, CAPACIDADE MÁXIMA DE CARGA 8000 KG, PARA TRANSPORTE DE CAÇAMBAS ESTACIONÁRIAS, INCLUSIVE CAMINHÃO TOCO PBT 14.300 KG, POTÊNCIA DE 185 CV - CHP DIURNO. AF_10/2025</t>
  </si>
  <si>
    <t>CAMINHÃO BITRUCK TRAÇÃO 8X2, PBT 29.000 KG, PESO BRUTO TOTAL COMBINADO (PBTC) *36.000* KG, POTÊNCIA 321 CV, INCLUSIVE PLATAFORMA GUINCHO-SOCORRO, COMPRIMENTO ÚTIL 10 M, LARGURA 2,60 M COM GUINCHO DE ARRASTE BASCULANTE - DEPRECIAÇÃO. AF_11/2025</t>
  </si>
  <si>
    <t>CAMINHÃO BITRUCK TRAÇÃO 8X2, PBT 29.000 KG, PESO BRUTO TOTAL COMBINADO (PBTC) *36.000* KG, POTÊNCIA 321 CV, INCLUSIVE PLATAFORMA GUINCHO-SOCORRO, COMPRIMENTO ÚTIL 10 M, LARGURA 2,60 M COM GUINCHO DE ARRASTE BASCULANTE - IMPOSTOS E SEGUROS. AF_11/2025</t>
  </si>
  <si>
    <t>CAMINHÃO BITRUCK TRAÇÃO 8X2, PBT 29.000 KG, PESO BRUTO TOTAL COMBINADO (PBTC) *36.000* KG, POTÊNCIA 321 CV, INCLUSIVE PLATAFORMA GUINCHO-SOCORRO, COMPRIMENTO ÚTIL 10 M, LARGURA 2,60 M COM GUINCHO DE ARRASTE BASCULANTE - JUROS. AF_11/2025</t>
  </si>
  <si>
    <t>CAMINHÃO BITRUCK TRAÇÃO 8X2, PBT 29.000 KG, PESO BRUTO TOTAL COMBINADO (PBTC) *36.000* KG, POTÊNCIA 321 CV, INCLUSIVE PLATAFORMA GUINCHO-SOCORRO, COMPRIMENTO ÚTIL 10 M, LARGURA 2,60 M COM GUINCHO DE ARRASTE BASCULANTE - MANUTENÇÃO. AF_11/2025</t>
  </si>
  <si>
    <t>CAMINHÃO BITRUCK TRAÇÃO 8X2, PBT 29.000 KG, PESO BRUTO TOTAL COMBINADO (PBTC) *36.000* KG, POTÊNCIA 321 CV, INCLUSIVE PLATAFORMA SOBRE CHASSI, COMPRIMENTO ÚTIL 10 M, LARGURA 2,60 M COM GUINCHO DE ARRASTE E RAMPA COM ACIONAMENTO ELETRO-HIDRÁULICO - DEPRECIAÇÃO. AF_11/2025</t>
  </si>
  <si>
    <t>CAMINHÃO BITRUCK TRAÇÃO 8X2, PBT 29.000 KG, PESO BRUTO TOTAL COMBINADO (PBTC) *36.000* KG, POTÊNCIA 321 CV, INCLUSIVE PLATAFORMA SOBRE CHASSI, COMPRIMENTO ÚTIL 10 M, LARGURA 2,60 M COM GUINCHO DE ARRASTE E RAMPA COM ACIONAMENTO ELETRO-HIDRÁULICO - IMPOSTOS E SEGUROS. AF_11/2025</t>
  </si>
  <si>
    <t>CAMINHÃO BITRUCK TRAÇÃO 8X2, PBT 29.000 KG, PESO BRUTO TOTAL COMBINADO (PBTC) *36.000* KG, POTÊNCIA 321 CV, INCLUSIVE PLATAFORMA SOBRE CHASSI, COMPRIMENTO ÚTIL 10 M, LARGURA 2,60 M COM GUINCHO DE ARRASTE E RAMPA COM ACIONAMENTO ELETRO-HIDRÁULICO - JUROS. AF_11/2025</t>
  </si>
  <si>
    <t>CAMINHÃO BITRUCK TRAÇÃO 8X2, PBT 29.000 KG, PESO BRUTO TOTAL COMBINADO (PBTC) *36.000* KG, POTÊNCIA 321 CV, INCLUSIVE PLATAFORMA SOBRE CHASSI, COMPRIMENTO ÚTIL 10 M, LARGURA 2,60 M COM GUINCHO DE ARRASTE E RAMPA COM ACIONAMENTO ELETRO-HIDRÁULICO - MANUTENÇÃO. AF_11/2025</t>
  </si>
  <si>
    <t>CAMINHÃO TOCO, PBT 16.000 KG, CARGA ÚTIL MÁX. 10.830 KG, DIST. ENTRE EIXOS 3,56 M, POTÊNCIA 226 CV, INCLUSIVE PLATAFORMA SOBRE CHASSI, COMPRIMENTO ÚTIL 10 M, LARGURA 2,60 M COM GUINCHO DE ARRASTE E RAMPA COM ACIONAMENTO ELETRO-HIDRÁULICO - DEPRECIAÇÃO. AF_11/2025</t>
  </si>
  <si>
    <t>CAMINHÃO TOCO, PBT 16.000 KG, CARGA ÚTIL MÁX. 10.830 KG, DIST. ENTRE EIXOS 3,56 M, POTÊNCIA 226 CV, INCLUSIVE PLATAFORMA SOBRE CHASSI, COMPRIMENTO ÚTIL 10 M, LARGURA 2,60 M COM GUINCHO DE ARRASTE E RAMPA COM ACIONAMENTO ELETRO-HIDRÁULICO - IMPOSTOS E SEGUROS. AF_11/2025</t>
  </si>
  <si>
    <t>CAMINHÃO TOCO, PBT 16.000 KG, CARGA ÚTIL MÁX. 10.830 KG, DIST. ENTRE EIXOS 3,56 M, POTÊNCIA 226 CV, INCLUSIVE PLATAFORMA SOBRE CHASSI, COMPRIMENTO ÚTIL 10 M, LARGURA 2,60 M COM GUINCHO DE ARRASTE E RAMPA COM ACIONAMENTO ELETRO-HIDRÁULICO - JUROS. AF_11/2025</t>
  </si>
  <si>
    <t>CAMINHÃO TOCO, PBT 16.000 KG, CARGA ÚTIL MÁX. 10.830 KG, DIST. ENTRE EIXOS 3,56 M, POTÊNCIA 226 CV, INCLUSIVE PLATAFORMA SOBRE CHASSI, COMPRIMENTO ÚTIL 10 M, LARGURA 2,60 M COM GUINCHO DE ARRASTE E RAMPA COM ACIONAMENTO ELETRO-HIDRÁULICO - MANUTENÇÃO. AF_11/2025</t>
  </si>
  <si>
    <t>CAMINHÃO TOCO, PBT 23.000 KG, CARGA ÚTIL MÁX. 16.540 KG, DIST. ENTRE EIXOS 4,80 M, POTÊNCIA 256 CV, INCLUSIVE PLATAFORMA GUINCHO-SOCORRO, COMPRIMENTO ÚTIL 10 M, LARGURA 2,60 M COM GUINCHO DE ARRASTE BASCULANTE - DEPRECIAÇÃO. AF_11/2025</t>
  </si>
  <si>
    <t>CAMINHÃO TOCO, PBT 23.000 KG, CARGA ÚTIL MÁX. 16.540 KG, DIST. ENTRE EIXOS 4,80 M, POTÊNCIA 256 CV, INCLUSIVE PLATAFORMA GUINCHO-SOCORRO, COMPRIMENTO ÚTIL 10 M, LARGURA 2,60 M COM GUINCHO DE ARRASTE BASCULANTE - IMPOSTOS E SEGUROS. AF_11/2025</t>
  </si>
  <si>
    <t>CAMINHÃO TOCO, PBT 23.000 KG, CARGA ÚTIL MÁX. 16.540 KG, DIST. ENTRE EIXOS 4,80 M, POTÊNCIA 256 CV, INCLUSIVE PLATAFORMA GUINCHO-SOCORRO, COMPRIMENTO ÚTIL 10 M, LARGURA 2,60 M COM GUINCHO DE ARRASTE BASCULANTE - JUROS. AF_11/2025</t>
  </si>
  <si>
    <t>CAMINHÃO TOCO, PBT 23.000 KG, CARGA ÚTIL MÁX. 16.540 KG, DIST. ENTRE EIXOS 4,80 M, POTÊNCIA 256 CV, INCLUSIVE PLATAFORMA GUINCHO-SOCORRO, COMPRIMENTO ÚTIL 10 M, LARGURA 2,60 M COM GUINCHO DE ARRASTE BASCULANTE - MANUTENÇÃO. AF_11/2025</t>
  </si>
  <si>
    <t>CAMINHÃO TOCO, PBT 23.000 KG, CARGA ÚTIL MÁX. 16.540 KG, DIST. ENTRE EIXOS 4,80 M, POTÊNCIA 256 CV, INCLUSIVE PLATAFORMA SOBRE CHASSI, COMPRIMENTO ÚTIL 10 M, LARGURA 2,60 M COM GUINCHO DE ARRASTE E RAMPA COM ACIONAMENTO ELETRO-HIDRÁULICO - DEPRECIAÇÃO. AF_11/2025</t>
  </si>
  <si>
    <t>CAMINHÃO TOCO, PBT 23.000 KG, CARGA ÚTIL MÁX. 16.540 KG, DIST. ENTRE EIXOS 4,80 M, POTÊNCIA 256 CV, INCLUSIVE PLATAFORMA SOBRE CHASSI, COMPRIMENTO ÚTIL 10 M, LARGURA 2,60 M COM GUINCHO DE ARRASTE E RAMPA COM ACIONAMENTO ELETRO-HIDRÁULICO - IMPOSTOS E SEGUROS. AF_11/2025</t>
  </si>
  <si>
    <t>CAMINHÃO TOCO, PBT 23.000 KG, CARGA ÚTIL MÁX. 16.540 KG, DIST. ENTRE EIXOS 4,80 M, POTÊNCIA 256 CV, INCLUSIVE PLATAFORMA SOBRE CHASSI, COMPRIMENTO ÚTIL 10 M, LARGURA 2,60 M COM GUINCHO DE ARRASTE E RAMPA COM ACIONAMENTO ELETRO-HIDRÁULICO - JUROS. AF_11/2025</t>
  </si>
  <si>
    <t>CAMINHÃO TOCO, PBT 23.000 KG, CARGA ÚTIL MÁX. 16.540 KG, DIST. ENTRE EIXOS 4,80 M, POTÊNCIA 256 CV, INCLUSIVE PLATAFORMA SOBRE CHASSI, COMPRIMENTO ÚTIL 10 M, LARGURA 2,60 M COM GUINCHO DE ARRASTE E RAMPA COM ACIONAMENTO ELETRO-HIDRÁULICO - MANUTENÇÃO. AF_11/2025</t>
  </si>
  <si>
    <t>CAVALO MECÂNICO TRAÇÃO 6X2, PBT COMBINADO 56.000 KG, CAPACIDADE MÁX. TRAÇÃO 66.000 KG, POTÊNCIA 360 CV, INCLUSIVE CARROCERIA FIXA ABERTA DE MADEIRA P/ TRANSPORTE GERAL DE CARGA SECA, DIMEN. APROX. 2,6 X 14,50 X 0,50 M - DEPRECIAÇÃO. AF_10/2025</t>
  </si>
  <si>
    <t>CAVALO MECÂNICO TRAÇÃO 6X2, PBT COMBINADO 56.000 KG, CAPACIDADE MÁX. TRAÇÃO 66.000 KG, POTÊNCIA 360 CV, INCLUSIVE CARROCERIA FIXA ABERTA DE MADEIRA P/ TRANSPORTE GERAL DE CARGA SECA, DIMEN. APROX. 2,6 X 14,50 X 0,50 M - IMPOSTOS E SEGUROS. AF_10/2025</t>
  </si>
  <si>
    <t>CAVALO MECÂNICO TRAÇÃO 6X2, PBT COMBINADO 56.000 KG, CAPACIDADE MÁX. TRAÇÃO 66.000 KG, POTÊNCIA 360 CV, INCLUSIVE CARROCERIA FIXA ABERTA DE MADEIRA P/ TRANSPORTE GERAL DE CARGA SECA, DIMEN. APROX. 2,6 X 14,50 X 0,50 M - JUROS. AF_10/2025</t>
  </si>
  <si>
    <t>CAVALO MECÂNICO TRAÇÃO 6X2, PBT COMBINADO 56.000 KG, CAPACIDADE MÁX. TRAÇÃO 66.000 KG, POTÊNCIA 360 CV, INCLUSIVE CARROCERIA FIXA ABERTA DE MADEIRA P/ TRANSPORTE GERAL DE CARGA SECA, DIMEN. APROX. 2,6 X 14,50 X 0,50 M - MANUTENÇÃO. AF_10/2025</t>
  </si>
  <si>
    <t>CAVALO MECÂNICO TRAÇÃO 6X2, PBT COMBINADO 56.000 KG, CAPACIDADE MÁX. TRAÇÃO 66.000 KG, POTÊNCIA 360 CV, INCLUSIVE PRANCHA REBAIXADA 3 EIXOS, DIMENSÕES *17,33 X 3,00* M, COM RAMPA DE ACIONAMENTO HIDRÁULICO - DEPRECIAÇÃO. AF_11/2025</t>
  </si>
  <si>
    <t>CAVALO MECÂNICO TRAÇÃO 6X2, PBT COMBINADO 56.000 KG, CAPACIDADE MÁX. TRAÇÃO 66.000 KG, POTÊNCIA 360 CV, INCLUSIVE PRANCHA REBAIXADA 3 EIXOS, DIMENSÕES *17,33 X 3,00* M, COM RAMPA DE ACIONAMENTO HIDRÁULICO - IMPOSTOS E SEGUROS. AF_11/2025</t>
  </si>
  <si>
    <t>CAVALO MECÂNICO TRAÇÃO 6X2, PBT COMBINADO 56.000 KG, CAPACIDADE MÁX. TRAÇÃO 66.000 KG, POTÊNCIA 360 CV, INCLUSIVE PRANCHA REBAIXADA 3 EIXOS, DIMENSÕES *17,33 X 3,00* M, COM RAMPA DE ACIONAMENTO HIDRÁULICO - JUROS. AF_11/2025</t>
  </si>
  <si>
    <t>CAVALO MECÂNICO TRAÇÃO 6X2, PBT COMBINADO 56.000 KG, CAPACIDADE MÁX. TRAÇÃO 66.000 KG, POTÊNCIA 360 CV, INCLUSIVE PRANCHA REBAIXADA 3 EIXOS, DIMENSÕES *17,33 X 3,00* M, COM RAMPA DE ACIONAMENTO HIDRÁULICO - MANUTENÇÃO. AF_11/2025</t>
  </si>
  <si>
    <t>CAVALO MECÂNICO TRAÇÃO 6X2, PBT COMBINADO 56.000 KG, CAPACIDADE MÁX. TRAÇÃO 66.000 KG, POTÊNCIA 360 CV, INCLUSIVE PRANCHA RETA 3 EIXOS, COMPRIMENTO ÚTIL 11,3 M, PESCOÇO DE 3,5 M, LARGURA 3,00 M, COM RAMPA DE ACIONAMENTO HIDRÁULICO - DEPRECIAÇÃO. AF_11/2025</t>
  </si>
  <si>
    <t>CAVALO MECÂNICO TRAÇÃO 6X2, PBT COMBINADO 56.000 KG, CAPACIDADE MÁX. TRAÇÃO 66.000 KG, POTÊNCIA 360 CV, INCLUSIVE PRANCHA RETA 3 EIXOS, COMPRIMENTO ÚTIL 11,3 M, PESCOÇO DE 3,5 M, LARGURA 3,00 M, COM RAMPA DE ACIONAMENTO HIDRÁULICO - IMPOSTOS E SEGUROS. AF_11/2025</t>
  </si>
  <si>
    <t>CAVALO MECÂNICO TRAÇÃO 6X2, PBT COMBINADO 56.000 KG, CAPACIDADE MÁX. TRAÇÃO 66.000 KG, POTÊNCIA 360 CV, INCLUSIVE PRANCHA RETA 3 EIXOS, COMPRIMENTO ÚTIL 11,3 M, PESCOÇO DE 3,5 M, LARGURA 3,00 M, COM RAMPA DE ACIONAMENTO HIDRÁULICO - JUROS. AF_11/2025</t>
  </si>
  <si>
    <t>CAVALO MECÂNICO TRAÇÃO 6X2, PBT COMBINADO 56.000 KG, CAPACIDADE MÁX. TRAÇÃO 66.000 KG, POTÊNCIA 360 CV, INCLUSIVE PRANCHA RETA 3 EIXOS, COMPRIMENTO ÚTIL 11,3 M, PESCOÇO DE 3,5 M, LARGURA 3,00 M, COM RAMPA DE ACIONAMENTO HIDRÁULICO - MANUTENÇÃO. AF_11/2025</t>
  </si>
  <si>
    <t>ESCAVADEIRA HIDRÁULICA SOBRE ESTEIRA, PESO OPERACIONAL 21,00 T, POTÊNCIA NOMINAL 155 HP, COM MARTELO VIBRATÓRIO HIDRÁULICO *1200 A 2200* KG - DEPRECIAÇÃO. AF_11/2025</t>
  </si>
  <si>
    <t>ESCAVADEIRA HIDRÁULICA SOBRE ESTEIRA, PESO OPERACIONAL 21,00 T, POTÊNCIA NOMINAL 155 HP, COM MARTELO VIBRATÓRIO HIDRÁULICO *1200 A 2200* KG - JUROS. AF_11/2025</t>
  </si>
  <si>
    <t>ESCAVADEIRA HIDRÁULICA SOBRE ESTEIRA, PESO OPERACIONAL 21,00 T, POTÊNCIA NOMINAL 155 HP, COM MARTELO VIBRATÓRIO HIDRÁULICO *1200 A 2200* KG - MANUTENÇÃO. AF_11/2025</t>
  </si>
  <si>
    <t>ESCAVADEIRA HIDRÁULICA SOBRE ESTEIRA, PESO OPERACIONAL 21,00 T, POTÊNCIA NOMINAL 155 HP, COM TORRE DE CRAVAÇÃO PARA EXECUÇÃO DE GEODRENO VERTICAL, LANÇA DE 32 M, PARA DRENO FIBROQUÍMICO DE LARGURA PADRÃO (100 MM) - DEPRECIAÇÃO. AF_12/2025</t>
  </si>
  <si>
    <t>ESCAVADEIRA HIDRÁULICA SOBRE ESTEIRA, PESO OPERACIONAL 21,00 T, POTÊNCIA NOMINAL 155 HP, COM TORRE DE CRAVAÇÃO PARA EXECUÇÃO DE GEODRENO VERTICAL, LANÇA DE 32 M, PARA DRENO FIBROQUÍMICO DE LARGURA PADRÃO (100 MM) - JUROS. AF_12/2025</t>
  </si>
  <si>
    <t>ESCAVADEIRA HIDRÁULICA SOBRE ESTEIRA, PESO OPERACIONAL 21,00 T, POTÊNCIA NOMINAL 155 HP, COM TORRE DE CRAVAÇÃO PARA EXECUÇÃO DE GEODRENO VERTICAL, LANÇA DE 32 M, PARA DRENO FIBROQUÍMICO DE LARGURA PADRÃO (100 MM) - MANUTENÇÃO. AF_12/2025</t>
  </si>
  <si>
    <t>PENEIRA ROTATIVA COM MOTOR ELÉTRICO MONOFÁSICO DE *0,5 A 1,0* CV, CILINDRO COM DIÂMETRO DE *0,48 A 0,85* M E COMPRIMENTO DE *1,0 A 1,65* M - DEPRECIAÇÃO. AF_11/2025</t>
  </si>
  <si>
    <t>PENEIRA ROTATIVA COM MOTOR ELÉTRICO MONOFÁSICO DE *0,5 A 1,0* CV, CILINDRO COM DIÂMETRO DE *0,48 A 0,85* M E COMPRIMENTO DE *1,0 A 1,65* M - JUROS. AF_11/2025</t>
  </si>
  <si>
    <t>PENEIRA ROTATIVA COM MOTOR ELÉTRICO MONOFÁSICO DE *0,5 A 1,0* CV, CILINDRO COM DIÂMETRO DE *0,48 A 0,85* M E COMPRIMENTO DE *1,0 A 1,65* M - MANUTENÇÃO. AF_11/2025</t>
  </si>
  <si>
    <t>POLIGUINDASTE, CAPACIDADE MÁXIMA DE CARGA 8000 KG, PARA TRANSPORTE DE CAÇAMBAS ESTACIONÁRIAS, INCLUSIVE CAMINHÃO TOCO PBT 14.300 KG, POTÊNCIA DE 185 CV - DEPRECIAÇÃO. AF_10/2025</t>
  </si>
  <si>
    <t>POLIGUINDASTE, CAPACIDADE MÁXIMA DE CARGA 8000 KG, PARA TRANSPORTE DE CAÇAMBAS ESTACIONÁRIAS, INCLUSIVE CAMINHÃO TOCO PBT 14.300 KG, POTÊNCIA DE 185 CV - IMPOSTOS E SEGUROS. AF_10/2025</t>
  </si>
  <si>
    <t>POLIGUINDASTE, CAPACIDADE MÁXIMA DE CARGA 8000 KG, PARA TRANSPORTE DE CAÇAMBAS ESTACIONÁRIAS, INCLUSIVE CAMINHÃO TOCO PBT 14.300 KG, POTÊNCIA DE 185 CV - JUROS. AF_10/2025</t>
  </si>
  <si>
    <t>POLIGUINDASTE, CAPACIDADE MÁXIMA DE CARGA 8000 KG, PARA TRANSPORTE DE CAÇAMBAS ESTACIONÁRIAS, INCLUSIVE CAMINHÃO TOCO PBT 14.300 KG, POTÊNCIA DE 185 CV - MANUTENÇÃO. AF_10/2025</t>
  </si>
  <si>
    <t>ACIONADOR MANUAL, TIPO COM SIRENE, SISTEMA CONVENCIONAL, FORNECIMENTO E INSTALAÇÃO. AF_12/2025</t>
  </si>
  <si>
    <t>ACIONADOR MANUAL, TIPO QUEBRA VIDRO COM MARTELINHO, SISTEMA CONVENCIONAL, FORNECIMENTO E INSTALAÇÃO. AF_12/2025</t>
  </si>
  <si>
    <t>ACIONADOR MANUAL, TIPO QUEBRA VIDRO COM MARTELINHO, SISTEMA ENDEREÇÁVEL, FORNECIMENTO E INSTALAÇÃO. AF_12/2025</t>
  </si>
  <si>
    <t>ACIONADOR MANUAL, TIPO REARMÁVEL, SISTEMA CONVENCIONAL, FORNECIMENTO E INSTALAÇÃO. AF_12/2025</t>
  </si>
  <si>
    <t>ACIONADOR MANUAL, TIPO REARMÁVEL, SISTEMA ENDEREÇÁVEL, FORNECIMENTO E INSTALAÇÃO. AF_12/2025</t>
  </si>
  <si>
    <t>CENTRAL DE ALARME DE 12 LAÇOS, SISTEMA CONVENCIONAL, COM ATÉ 20 DISPOSITIVOS POR LAÇO, FORNECIMENTO E INSTALAÇÃO. AF_12/2025</t>
  </si>
  <si>
    <t>CENTRAL DE ALARME DE 24 LAÇOS, SISTEMA CONVENCIONAL, COM ATÉ 20 DISPOSITIVOS POR LAÇO, FORNECIMENTO E INSTALAÇÃO. AF_12/2025</t>
  </si>
  <si>
    <t>CENTRAL DE ALARME DE 6 LAÇOS, SISTEMA CONVENCIONAL, COM ATÉ 20 DISPOSITIVOS POR LAÇO, FORNECIMENTO E INSTALAÇÃO. AF_12/2025</t>
  </si>
  <si>
    <t>CENTRAL DE ALARME DE INCÊNDIO ENDEREÇÁVEL PARA ATÉ 500 PONTOS, FORNECIMENTO E INSTALAÇÃO. AF_12/2025</t>
  </si>
  <si>
    <t>DETECTOR DE GÁS NATURAL E GLP BIVOLT COM LED INDICADOR E SIRENE EMBUTIDA, FORNECIMENTO E INSTALAÇÃO. AF_12/2025</t>
  </si>
  <si>
    <t>DETECTOR ÓPTICO DE FUMAÇA CONVENCIONAL, FORNECIMENTO E INSTALAÇÃO. AF_12/2025</t>
  </si>
  <si>
    <t>DETECTOR ÓPTICO DE FUMAÇA ENDEREÇÁVEL, FORNECIMENTO E INSTALAÇÃO. AF_12/2025</t>
  </si>
  <si>
    <t>SIRENE AUDIOVISUAL, SISTEMA CONVENCIONAL, FORNECIMENTO E INSTALAÇÃO. AF_12/2025</t>
  </si>
  <si>
    <t>SIRENE AUDIOVISUAL, SISTEMA ENDEREÇÁVEL, FORNECIMENTO E INSTALAÇÃO. AF_12/2025</t>
  </si>
  <si>
    <t>GEOCOMPOSTO COM DUAS FACES DE GEOTÊXTIL E NÚCLEO EM PEAD COM BOLSA PARA TUBO CORRUGADO PEAD PARA TRINCHEIRA DRENANTE - FORNECIMENTO E INSTALAÇÃO. AF_01/2026</t>
  </si>
  <si>
    <t>GEOCOMPOSTO COM DUAS FACES DE GEOTÊXTIL E NÚCLEO EM PEAD HORIZONTAL - FORNECIMENTO E INSTALAÇÃO. AF_01/2026</t>
  </si>
  <si>
    <t>GEOCOMPOSTO COM DUAS FACES DE GEOTÊXTIL E NÚCLEO EM PEAD VERTICAL FIXADO POR ADESIVO CONTATO - FORNECIMENTO E INSTALAÇÃO. AF_01/2026</t>
  </si>
  <si>
    <t>GEOCOMPOSTO COM DUAS FACES DE GEOTÊXTIL E NÚCLEO EM PEAD VERTICAL FIXADO POR FINCAPINO - FORNECIMENTO E INSTALAÇÃO. AF_01/2026</t>
  </si>
  <si>
    <t>GEOCOMPOSTO COM DUAS FACES DE GEOTÊXTIL E NÚCLEO EM PEAD VERTICAL FIXADO POR MADEIRA - FORNECIMENTO E INSTALAÇÃO. AF_01/2026</t>
  </si>
  <si>
    <t>GEOCOMPOSTO COM UMA FACE DE GEOTÊXTIL E NÚCLEO EM PEAD HORIZONTAL - FORNECIMENTO E INSTALAÇÃO. AF_01/2026</t>
  </si>
  <si>
    <t>GEOCOMPOSTO COM UMA FACE DE GEOTÊXTIL E NÚCLEO EM PEAD VERTICAL FIXADO POR ADESIVO CONTATO - FORNECIMENTO E INSTALAÇÃO. AF_01/2026</t>
  </si>
  <si>
    <t>GEOCOMPOSTO COM UMA FACE DE GEOTÊXTIL E NÚCLEO EM PEAD VERTICAL FIXADO POR FINCAPINO - FORNECIMENTO E INSTALAÇÃO. AF_01/2026</t>
  </si>
  <si>
    <t>GEOCOMPOSTO COM UMA FACE DE GEOTÊXTIL E NÚCLEO EM PEAD VERTICAL FIXADO POR MADEIRA - FORNECIMENTO E INSTALAÇÃO. AF_01/2026</t>
  </si>
  <si>
    <t>GEOCOMPOSTO COM UMA FACE DE GEOTÊXTIL, NÚCLEO EM PEAD E LONA PLÁSTICA IMPERMEÁVEL HORIZONTAL - FORNECIMENTO E INSTALAÇÃO. AF_01/2026</t>
  </si>
  <si>
    <t>GEOCOMPOSTO COM UMA FACE DE GEOTÊXTIL, NÚCLEO EM PEAD E LONA PLÁSTICA IMPERMEÁVEL VERTICAL FIXADO POR ADESIVO CONTATO - FORNECIMENTO E INSTALAÇÃO. AF_01/2026</t>
  </si>
  <si>
    <t>GEOCOMPOSTO COM UMA FACE DE GEOTÊXTIL, NÚCLEO EM PEAD E LONA PLÁSTICA IMPERMEÁVEL VERTICAL FIXADO POR FINCAPINO - FORNECIMENTO E INSTALAÇÃO. AF_01/2026</t>
  </si>
  <si>
    <t>GEOCOMPOSTO COM UMA FACE DE GEOTÊXTIL, NÚCLEO EM PEAD E LONA PLÁSTICA IMPERMEÁVEL VERTICAL FIXADO POR MADEIRA - FORNECIMENTO E INSTALAÇÃO. AF_01/2026</t>
  </si>
  <si>
    <t>AQUECEDOR SOLAR COMPACTO, KIT PARA 1 COLETOR SOLAR A VÁCUO COM SUPORTE, RESERVATÓRIO, FIXAÇÕES E TUBOS - FORNECIMENTO E INSTALAÇÃO. AF_01/2026</t>
  </si>
  <si>
    <t>BOMBA DE CIRCULACAO DE ÁGUA QUENTE, 93 ATÉ 150 W - FORNECIMENTO E INSTALAÇÃO. AF_01/2026</t>
  </si>
  <si>
    <t>CABO FOTOVOLTAICO 4 MM² FORNECIMENTO E INSTALAÇÃO. AF_01/2026</t>
  </si>
  <si>
    <t>CABO FOTOVOLTAICO 6 MM² - FORNECIMENTO E INSTALAÇÃO. AF_01/2026</t>
  </si>
  <si>
    <t>COLETOR PARA AQUECIMENTO SOLAR A VÁCUO, COM SUPORTE PARA LAJE DE CONCRETO - FORNECIMENTO E INSTALAÇÃO. AF_01/2026</t>
  </si>
  <si>
    <t>COLETOR PARA AQUECIMENTO SOLAR A VÁCUO, COM SUPORTE PARA TELHA CERÂMICA - FORNECIMENTO E INSTALAÇÃO. AF_01/2026</t>
  </si>
  <si>
    <t>COLETOR PARA AQUECIMENTO SOLAR A VÁCUO, COM SUPORTE PARA TELHA METÁLICA - FORNECIMENTO E INSTALAÇÃO. AF_01/2026</t>
  </si>
  <si>
    <t>COLETOR PARA AQUECIMENTO SOLAR DE POLIPROPILENO PARA PISCINA 1,5 M2, COM SUPORTE PARA LAJE DE CONCRETO - FORNECIMENTO E INSTALAÇÃO. AF_01/2026</t>
  </si>
  <si>
    <t>COLETOR PARA AQUECIMENTO SOLAR DE POLIPROPILENO PARA PISCINA 1,5 M2, COM SUPORTE PARA TELHA CERÂMICA - FORNECIMENTO E INSTALAÇÃO. AF_01/2026</t>
  </si>
  <si>
    <t>COLETOR PARA AQUECIMENTO SOLAR DE POLIPROPILENO PARA PISCINA 1,5 M2, COM SUPORTE PARA TELHA METÁLICA - FORNECIMENTO E INSTALAÇÃO. AF_01/2026</t>
  </si>
  <si>
    <t>COLETOR PARA AQUECIMENTO SOLAR, EM VIDRO TEMPERADO E SERPENTINA EM TUBO DE COBRE, COM SUPORTE PARA LAJE DE CONCRETO - FORNECIMENTO E INSTALAÇÃO. AF_01/2026</t>
  </si>
  <si>
    <t>COLETOR PARA AQUECIMENTO SOLAR, EM VIDRO TEMPERADO E SERPENTINA EM TUBO DE COBRE, COM SUPORTE PARA TELHA CERÂMICA - FORNECIMENTO E INSTALAÇÃO. AF_01/2026</t>
  </si>
  <si>
    <t>COLETOR PARA AQUECIMENTO SOLAR, EM VIDRO TEMPERADO E SERPENTINA EM TUBO DE COBRE, COM SUPORTE PARA TELHA METÁLICA - FORNECIMENTO E INSTALAÇÃO. AF_01/2026</t>
  </si>
  <si>
    <t>CONTROLADOR POR DIFERENCIAL DE TEMPERATURA COM 2 SENSORES - FORNECIMENTO E INSTALAÇÃO. AF_01/2026</t>
  </si>
  <si>
    <t>INVERSOR SOLAR FOTOVOLTAICO 1 MPPT - FORNECIMENTO E INSTALAÇÃO. AF_01/2026</t>
  </si>
  <si>
    <t>INVERSOR SOLAR FOTOVOLTAICO 2 MPPT - FORNECIMENTO E INSTALAÇÃO. AF_01/2026</t>
  </si>
  <si>
    <t>MICRO INVERSOR SOLAR FOTOVOLTAICO - FORNECIMENTO E INSTALAÇÃO. AF_01/2026</t>
  </si>
  <si>
    <t>PAINEL SOLAR FOTOVOLTAICO, 2 X 1 M, COM SUPORTE PARA LAJE DE CONCRETO - FORNECIMENTO E INSTALAÇÃO. AF_01/2026</t>
  </si>
  <si>
    <t>PAINEL SOLAR FOTOVOLTAICO, 2 X 1 M, COM SUPORTE PARA TELHA CERÂMICA - FORNECIMENTO E INSTALAÇÃO. AF_01/2026</t>
  </si>
  <si>
    <t>PAINEL SOLAR FOTOVOLTAICO, 2 X 1 M, COM SUPORTE PARA TELHA METÁLICA - FORNECIMENTO E INSTALAÇÃO. AF_01/2026</t>
  </si>
  <si>
    <t>RESERVATÓRIO TÉRMICO/BOILER SOLAR EM AÇO INOX 1000 L - FORNECIMENTO E INSTALAÇÃO. AF_01/2026</t>
  </si>
  <si>
    <t>RESERVATÓRIO TÉRMICO/BOILER SOLAR EM AÇO INOX 200 L - FORNECIMENTO E INSTALAÇÃO. AF_01/2026</t>
  </si>
  <si>
    <t>RESERVATÓRIO TÉRMICO/BOILER SOLAR EM AÇO INOX 3000 L - FORNECIMENTO E INSTALAÇÃO. AF_01/2026</t>
  </si>
  <si>
    <t>RESERVATÓRIO TÉRMICO/BOILER SOLAR EM AÇO INOX 400 L - FORNECIMENTO E INSTALAÇÃO. AF_01/2026</t>
  </si>
  <si>
    <t>RESERVATÓRIO TÉRMICO/BOILER SOLAR EM AÇO INOX 600 L - FORNECIMENTO E INSTALAÇÃO. AF_01/2026</t>
  </si>
  <si>
    <t>RESERVATÓRIO TÉRMICO/BOILER SOLAR EM AÇO INOX 800 L - FORNECIMENTO E INSTALAÇÃO. AF_01/2026</t>
  </si>
  <si>
    <t>STRING BOX PARA SISTEMA FOTOVOLTAICO - FORNECIMENTO E INSTALAÇÃO. AF_01/2026</t>
  </si>
  <si>
    <t>SUPORTE DE 1 COLETOR SOLAR PARA LAJE DE CONCRETO - FORNECIMENTO E INSTALAÇÃO. AF_01/2026</t>
  </si>
  <si>
    <t>SUPORTE DE 1 COLETOR SOLAR PARA TELHA CERÂMICA - FORNECIMENTO E INSTALAÇÃO. AF_01/2026</t>
  </si>
  <si>
    <t>SUPORTE DE 1 COLETOR SOLAR PARA TELHA METÁLICA - FORNECIMENTO E INSTALAÇÃO. AF_01/2026</t>
  </si>
  <si>
    <t>ESCORAMENTO DE VALA, TIPO BLINDADEM, COM PROFUNDIDADE DE 0 A 1,5 M, LARGURA MAIOR OU IGUAL A 1,5 M E MENOR QUE 2,5 M - EXECUÇÃO E FORNECIMENTO, INCLUI MATERIAL. AF_01/2026</t>
  </si>
  <si>
    <t>ESCORAMENTO DE VALA, TIPO BLINDAGEM, COM PROFUNDIDADE DE 0 A 1,5 M, LARGURA MENOR QUE 1,5 M - EXECUÇÃO E FORNECIMENTO, INCLUI MATERIAL. AF_01/2026</t>
  </si>
  <si>
    <t>ESCORAMENTO DE VALA, TIPO BLINDAGEM, COM PROFUNDIDADE DE 1,5 A 3,0 M, LARGURA MAIOR OU IGUAL A 1,5 M E MENOR QUE 2,5 M - EXECUÇÃO E FORNECIMENTO, INCLUI MATERIAL. AF_01/2026</t>
  </si>
  <si>
    <t>ESCORAMENTO DE VALA, TIPO BLINDAGEM, COM PROFUNDIDADE DE 1,5 A 3,0 M, LARGURA MENOR QUE 1,5 M - EXECUÇÃO E FORNECIMENTO, INCLUI MATERIAL. AF_01/2026</t>
  </si>
  <si>
    <t>ESCORAMENTO DE VALA, TIPO BLINDAGEM, COM PROFUNDIDADE DE 3,0 A 4,5 M, LARGURA MAIOR OU IGUAL A 1,5 M E MENOR QUE 2,5 M - EXECUÇÃO E FORNECIMENTO, INCLUI MATERIAL. AF_01/2026</t>
  </si>
  <si>
    <t>ESCORAMENTO DE VALA, TIPO BLINDAGEM, COM PROFUNDIDADE DE 3,0 A 4,5 M, LARGURA MENOR QUE 1,5 M - EXECUÇÃO E FORNECIMENTO, INCLUI MATERIAL. AF_01/2026</t>
  </si>
  <si>
    <t>ESCORAMENTO DE VALA, TIPO ESTACA PRANCHA METÁLICA CRAVADA, COM PROFUNDIDADE DE 0 A 1,5 M. AF_01/2026</t>
  </si>
  <si>
    <t>ESCORAMENTO DE VALA, TIPO ESTACA PRANCHA METÁLICA CRAVADA, COM PROFUNDIDADE DE 1,5 A 3 M. AF_01/2026</t>
  </si>
  <si>
    <t>ESCORAMENTO DE VALA, TIPO ESTACA PRANCHA METÁLICA CRAVADA, COM PROFUNDIDADE DE 3 A 4,5 M. AF_01/2026</t>
  </si>
  <si>
    <t>BATENTE DE AÇO GALVANIZADO, COM PERFIL PRÉ-FABRICADO, FIXADO COM ARGAMASSA, COM SOLDA, GRAPAS E FUROS PARA FERRAGENS INCLUSOS. AF_10/2025</t>
  </si>
  <si>
    <t>PORTA CORTA-FOGO 160X210X5CM COM BARRA ANTI PÂNICO - FORNECIMENTO E INSTALAÇÃO. AF_10/2025</t>
  </si>
  <si>
    <t>PORTA CORTA-FOGO 80X210X5CM - FORNECIMENTO E INSTALAÇÃO. AF_10/2025</t>
  </si>
  <si>
    <t>PORTA CORTA-FOGO 80X210X5CM COM BARRA ANTI PÂNICO - FORNECIMENTO E INSTALAÇÃO. AF_10/2025</t>
  </si>
  <si>
    <t>PORTA DE CORRER DE MADEIRA, FECHADURA E PUXADOR, COM ALIZAR. AF_10/2025</t>
  </si>
  <si>
    <t>FABRICAÇÃO E INSTALAÇÃO DE PONTALETES DE AÇO PARA TELHADOS COM ATÉ 2 ÁGUAS E COM TELHA CERÂMICA (ENCAIXE/CAPA CANAL) OU DE CONCRETO EM EDIFÍCIO INSTITUCIONAL TÉRREO, INCLUSO TRANSPORTE VERTICAL, EXCLUSIVE PINTURA. AF_10/2025</t>
  </si>
  <si>
    <t>FABRICAÇÃO E INSTALAÇÃO DE PONTALETES DE AÇO PARA TELHADOS COM ATÉ 2 ÁGUAS E COM TELHA CERÂMICA (ENCAIXE/CAPA CANAL) OU DE CONCRETO EM EDIFÍCIO RESIDENCIAL MÚLTIPLOS PAVIMENTOS, INCLUSO TRANSPORTE VERTICAL, EXCLUSIVE PINTURA. AF_10/2025</t>
  </si>
  <si>
    <t>FABRICAÇÃO E INSTALAÇÃO DE PONTALETES DE AÇO PARA TELHADOS COM ATÉ 2 ÁGUAS E COM TELHA CERÂMICA (ENCAIXE/CAPA CANAL) OU DE CONCRETO EM EDIFÍCIO RESIDENCIAL TÉRREO/SOBRADO, INCLUSO TRANSPORTE VERTICAL, EXCLUSIVE PINTURA. AF_10/2025</t>
  </si>
  <si>
    <t>FABRICAÇÃO E INSTALAÇÃO DE PONTALETES DE AÇO PARA TELHADOS COM ATÉ 2 ÁGUAS E COM TELHA ONDULADA DE FIBROCIMENTO, ALUMÍNIO OU PLÁSTICA EM EDIFÍCIO INSTITUCIONAL TÉRREO, INCLUSO TRANSPORTE VERTICAL, EXCLUSIVE PINTURA. AF_10/2025</t>
  </si>
  <si>
    <t>FABRICAÇÃO E INSTALAÇÃO DE PONTALETES DE AÇO PARA TELHADOS COM ATÉ 2 ÁGUAS E COM TELHA ONDULADA DE FIBROCIMENTO, ALUMÍNIO OU PLÁSTICA EM EDIFÍCIO RESIDENCIAL MÚLTIPLOS PAVIMENTOS, INCLUSO TRANSPORTE VERTICAL, EXCLUSIVE PINTURA. AF_10/2025</t>
  </si>
  <si>
    <t>FABRICAÇÃO E INSTALAÇÃO DE PONTALETES DE AÇO PARA TELHADOS COM ATÉ 2 ÁGUAS E COM TELHA ONDULADA DE FIBROCIMENTO, ALUMÍNIO OU PLÁSTICA EM EDIFÍCIO RESIDENCIAL TÉRREO/SOBRADO, INCLUSO TRANSPORTE VERTICAL, EXCLUSIVE PINTURA. AF_10/2025</t>
  </si>
  <si>
    <t>FABRICAÇÃO E INSTALAÇÃO DE PONTALETES DE AÇO PARA TELHADOS COM MAIS QUE 2 ÁGUAS E COM TELHA CERÂMICA (ENCAIXE/CAPA CANAL) OU DE CONCRETO EM EDIFÍCIO INSTITUCIONAL TÉRREO, INCLUSO TRANSPORTE VERTICAL, EXCLUSIVE PINTURA. AF_10/2025</t>
  </si>
  <si>
    <t>FABRICAÇÃO E INSTALAÇÃO DE PONTALETES DE AÇO PARA TELHADOS COM MAIS QUE 2 ÁGUAS E COM TELHA CERÂMICA (ENCAIXE/CAPA CANAL) OU DE CONCRETO EM EDIFÍCIO RESIDENCIAL MÚLTIPLOS PAVIMENTOS, INCLUSO TRANSPORTE VERTICAL, EXCLUSIVE PINTURA. AF_10/2025</t>
  </si>
  <si>
    <t>FABRICAÇÃO E INSTALAÇÃO DE PONTALETES DE AÇO PARA TELHADOS COM MAIS QUE 2 ÁGUAS E COM TELHA CERÂMICA (ENCAIXE/CAPA CANAL) OU DE CONCRETO EM EDIFÍCIO RESIDENCIAL TÉRREO/SOBRADO, INCLUSO TRANSPORTE VERTICAL, EXCLUSIVE PINTURA. AF_10/2025</t>
  </si>
  <si>
    <t>FABRICAÇÃO E INSTALAÇÃO DE PONTALETES DE AÇO PARA TELHADOS COM MAIS QUE 2 ÁGUAS E COM TELHA ONDULADA DE FIBROCIMENTO, ALUMÍNIO OU PLÁSTICA EM EDIFÍCIO INSTITUCIONAL TÉRREO, INCLUSO TRANSPORTE VERTICAL, EXCLUSIVE PINTURA. AF_10/2025</t>
  </si>
  <si>
    <t>FABRICAÇÃO E INSTALAÇÃO DE PONTALETES DE AÇO PARA TELHADOS COM MAIS QUE 2 ÁGUAS E COM TELHA ONDULADA DE FIBROCIMENTO, ALUMÍNIO OU PLÁSTICA EM EDIFÍCIO RESIDENCIAL MÚLTIPLOS PAVIMENTOS, INCLUSO TRANSPORTE VERTICAL, EXCLUSIVE PINTURA. AF_10/2025</t>
  </si>
  <si>
    <t>FABRICAÇÃO E INSTALAÇÃO DE PONTALETES DE AÇO PARA TELHADOS COM MAIS QUE 2 ÁGUAS E COM TELHA ONDULADA DE FIBROCIMENTO, ALUMÍNIO OU PLÁSTICA EM EDIFÍCIO RESIDENCIAL TÉRREO/SOBRADO, INCLUSO TRANSPORTE VERTICAL, EXCLUSIVE PINTURA. AF_10/2025</t>
  </si>
  <si>
    <t>EXECUÇÃO DE GEODRENO VERTICAL, PROFUNDIDADE MAIOR QUE 10 M E MENOR OU IGUAL A 30 M. AF_01/2026</t>
  </si>
  <si>
    <t>EXECUÇÃO DE GEODRENO VERTICAL, PROFUNDIDADE MENOR OU IGUAL A 10 M. AF_01/2026</t>
  </si>
  <si>
    <t>CORRIMÃO DUPLO CENTRAL FIXADO NO PISO EM AÇO GALVANIZADO DE 1.1/2", MONTANTES TUBULARES 1.1/2" ESPAÇADOS DE 1,00M, FIXADO COM CHUMBADOR MECÂNICO. AF_10/2025</t>
  </si>
  <si>
    <t>CORRIMÃO DUPLO CENTRAL FIXADO NO PISO EM AÇO INOX DE 1.1/2", MONTANTES TUBULARES 1.1/2" ESPAÇADOS DE 1,00M, FIXADO COM CHUMBADOR MECÂNICO. AF_10/2025</t>
  </si>
  <si>
    <t>CORRIMÃO DUPLO FIXADO EM PAREDE, DIÂMETRO EXTERNO = 1 1/2", EM AÇO INOX. AF_10/2025</t>
  </si>
  <si>
    <t>CORRIMÃO DUPLO FIXADO NO PISO EM AÇO GALVANIZADO DE 1.1/2", MONTANTES TUBULARES 1.1/2" ESPAÇADOS DE 1,00M, FIXADO COM CHUMBADOR MECÂNICO. AF_10/2025</t>
  </si>
  <si>
    <t>CORRIMÃO DUPLO FIXADO NO PISO EM AÇO INOX DE 1.1/2", MONTANTES TUBULARES 1.1/2" ESPAÇADOS DE 1,00M, FIXADO COM CHUMBADOR MECÂNICO. AF_10/2025</t>
  </si>
  <si>
    <t>CORRIMÃO SIMPLES FIXADO EM PAREDE, DIÂMETRO EXTERNO = 1 1/2", EM AÇO INOX. AF_10/2025</t>
  </si>
  <si>
    <t>CORRIMÃO SIMPLES FIXADO NO PISO EM AÇO GALVANIZADO DE 1.1/2", MONTANTES TUBULARES 1.1/2" ESPAÇADOS DE 1,00M, FIXADO COM CHUMBADOR MECÂNICO. AF_10/2025</t>
  </si>
  <si>
    <t>CORRIMÃO SIMPLES FIXADO NO PISO EM AÇO INOX DE 1.1/2", MONTANTES TUBULARES 1.1/2" ESPAÇADOS DE 1,00M, FIXADO COM CHUMBADOR MECÂNICO. AF_10/2025</t>
  </si>
  <si>
    <t>GUARDA-CORPO DE AÇO GALVANIZADO 0,92 M, DUPLO CORRIMÃO, MONTANTES TUBULARES DE 1.1/4" ESPAÇADOS DE 1,20M, TRAVESSA SUPERIOR E CORRIMÃO DE 1.1/2", GRADIL FORMADO POR TUBOS HORIZONTAIS DE 3/4", FIXADO COM CHUMBADORES MECÂNICOS. AF_10/2025</t>
  </si>
  <si>
    <t>GUARDA-CORPO DE AÇO GALVANIZADO DE 1,10M, DUPLO CORRIMÃO, MONTANTES TUBULARES DE 1.1/2" ESPAÇADOS DE 1,20M, TRAVESSA SUPERIOR DE 2", GRADIL DE BARRAS CHATAS DE 32X4,8MM, FIXADO COM ADESIVO ESTRUTURAL EPOXI. AF_10/2025</t>
  </si>
  <si>
    <t>GUARDA-CORPO DE AÇO GALVANIZADO DE 1,10M, DUPLO CORRIMÃO, MONTANTES TUBULARES DE 1.1/4" ESPAÇADOS DE 1,20M, TRAVESSA SUPERIOR DE 1.1/2", GRADIL EM TUBOS HORIZONTAIS DE 1" E VERTICAIS DE 3/4", FIXADO COM ADESIVO ESTRUTURAL EPOXI. AF_10/2025</t>
  </si>
  <si>
    <t>GUARDA-CORPO DE AÇO GALVANIZADO DE 1,10M, DUPLO CORRIMÃO, MONTANTES TUBULARES DE 100X50MM ESPAÇADOS DE 1,20M, TRAVESSA SUPERIOR DE 3", GRADIL EM CANTONEIRA 51X51X4,8 MM E BARRAS CHATAS NA VERTICAL DE 32X4,8 MM, FIXADO COM ADESIVO EPOXI. AF_10/2025</t>
  </si>
  <si>
    <t>GUARDA-CORPO DE AÇO GALVANIZADO DE 1,10M, DUPLO CORRIMÃO, MONTANTES TUBULARES DE 30X30 MM ESPAÇADOS DE 1,20M, TRAVESSA SUPERIOR DE 1.1/2", GRADIL EM TUBOS HORIZONTAIS DE 25X25MM E VERTICAIS DE 20X20MM, FIXADO COM ADESIVO ESTRUTURAL EPOXI. AF_10/2025</t>
  </si>
  <si>
    <t>GUARDA-CORPO DE AÇO GALVANIZADO DE 1,10M, MONTANTES TUBULARES DE 100X50MM ESPAÇADOS DE 1,20M, TRAVESSA SUPERIOR DE 3", GRADIL EM CANTONEIRA 51X51X4,8 MM E BARRAS CHATAS NA VERTICAL DE 32X4,8 MM, FIXADO COM ADESIVO ESTRUTURAL EPOXI. AF_10/2025</t>
  </si>
  <si>
    <t>GUARDA-CORPO DE AÇO GALVANIZADO DE 1,10M, MONTANTES TUBULARES DE 30X30 MM ESPAÇADOS 1,20M, TRAVESSA SUPERIOR DE 1.1/2", GRADIL DE TUBOS HORIZONTAIS DE 25X25MM E VERTICAIS DE 20X20MM, FIXADO COM ADESIVO ESTRUTURAL EPOXI. AF_10/2025</t>
  </si>
  <si>
    <t>GUARDA-CORPO DE AÇO INOX DE 0,92 M, DUPLO CORRIMÃO, MONTANTES TUBULARES DE 1.1/4" ESPAÇADOS DE 1,20M, TRAVESSA SUPERIOR E CORRIMÃO DE 1.1/2", GRADIL FORMADO POR TUBOS HORIZONTAIS DE 3/4", FIXADO COM CHUMBADORES MECÂNICOS. AF_10/2025</t>
  </si>
  <si>
    <t>GUARDA-CORPO DE VIDRO LAMINADO 8 MM PARA ESCADAS, FIXADO NA LATERAL DOS DEGRAUS COM CHUMBADOR MECÂNICO. AF_10/2025</t>
  </si>
  <si>
    <t>GUARDA-CORPO EM AÇO INOX DE 1,10 M, COM MONTANTES TUBULARES DE 1 1/4" ESPAÇADOS DE 1,20 M, TRAVESSA SUPERIOR DE 1 1/2", PREENCHIMENTO EM VIDRO LAMINADO DE 8 MM (4+4), FIXADO COM CHUMBADOR MECÂNICO. AF_10/2025</t>
  </si>
  <si>
    <t>GUARDA-CORPO PANORÂMICO DE 1,10M, MONTANTES EM ALUMÍNIO DE 90X45 MM ESPAÇADOS DE 1,20M, TRAVESSA SUPERIOR EM ALUMÍNIO DE 120X60 MM E VIDRO LAMINADO 8 MM, FIXADO COM ADESIVO ESTRUTURAL EPOXI. AF_10/2025</t>
  </si>
  <si>
    <t>CONDULETE DE ALUMÍNIO, TIPO B, PARA ELETRODUTO DE AÇO GALVANIZADO DN 32 MM (1 1/4''), APARENTE - FORNECIMENTO E INSTALAÇÃO. AF_01/2026</t>
  </si>
  <si>
    <t>CONDULETE DE ALUMÍNIO, TIPO C, PARA ELETRODUTO DE AÇO GALVANIZADO DN 32 MM (1 1/4''), APARENTE - FORNECIMENTO E INSTALAÇÃO. AF_01/2026</t>
  </si>
  <si>
    <t>CONDULETE DE ALUMÍNIO, TIPO LB, PARA ELETRODUTO DE AÇO GALVANIZADO DN 20 MM (3/4''), APARENTE - FORNECIMENTO E INSTALAÇÃO. AF_01/2026</t>
  </si>
  <si>
    <t>CONDULETE DE ALUMÍNIO, TIPO LB, PARA ELETRODUTO DE AÇO GALVANIZADO DN 25 MM (1''), APARENTE - FORNECIMENTO E INSTALAÇÃO. AF_01/2026</t>
  </si>
  <si>
    <t>CONDULETE DE ALUMÍNIO, TIPO LB, PARA ELETRODUTO DE AÇO GALVANIZADO DN 32 MM (1 1/4''), APARENTE - FORNECIMENTO E INSTALAÇÃO. AF_01/2026</t>
  </si>
  <si>
    <t>CONDULETE DE ALUMÍNIO, TIPO LL, PARA ELETRODUTO DE AÇO GALVANIZADO DN 20 MM (3/4''), APARENTE - FORNECIMENTO E INSTALAÇÃO. AF_01/2026</t>
  </si>
  <si>
    <t>CONDULETE DE ALUMÍNIO, TIPO LL, PARA ELETRODUTO DE AÇO GALVANIZADO DN 25 MM (1''), APARENTE - FORNECIMENTO E INSTALAÇÃO. AF_01/2026</t>
  </si>
  <si>
    <t>CONDULETE DE ALUMÍNIO, TIPO LL, PARA ELETRODUTO DE AÇO GALVANIZADO DN 32 MM (1 1/4''), APARENTE - FORNECIMENTO E INSTALAÇÃO. AF_01/2026</t>
  </si>
  <si>
    <t>CONDULETE DE ALUMÍNIO, TIPO TB, PARA ELETRODUTO DE AÇO GALVANIZADO DN 20 MM (3/4''), APARENTE - FORNECIMENTO E INSTALAÇÃO. AF_01/2026</t>
  </si>
  <si>
    <t>CONDULETE DE ALUMÍNIO, TIPO TB, PARA ELETRODUTO DE AÇO GALVANIZADO DN 25 MM (1''), APARENTE - FORNECIMENTO E INSTALAÇÃO. AF_01/2026</t>
  </si>
  <si>
    <t>CONDULETE DE ALUMÍNIO, TIPO TB, PARA ELETRODUTO DE AÇO GALVANIZADO DN 32 MM (1 1/4''), APARENTE - FORNECIMENTO E INSTALAÇÃO. AF_01/2026</t>
  </si>
  <si>
    <t>CONEXÕES ROSQUEÁVEIS PARA ELETRODUTO METÁLICO FLEXÍVEL COM CAPA (SEALTUBO) TERMINAL MACHO GIRATÓRIO, DIÂMETRO 1 1/4" - FORNECIMENTO E INSTALAÇÃO. AF_01/2026</t>
  </si>
  <si>
    <t>CONEXÕES ROSQUEÁVEIS PARA ELETRODUTO METÁLICO FLEXÍVEL COM CAPA (SEALTUBO) TERMINAL MACHO GIRATÓRIO, DIÂMETRO 1" - FORNECIMENTO E INSTALAÇÃO. AF_01/2026</t>
  </si>
  <si>
    <t>CONEXÕES ROSQUEÁVEIS PARA ELETRODUTO METÁLICO FLEXÍVEL COM CAPA (SEALTUBO) TERMINAL MACHO GIRATÓRIO, DIÂMETRO 3/4"- FORNECIMENTO E INSTALAÇÃO. AF_01/2026</t>
  </si>
  <si>
    <t>CURVA 45 GRAUS PARA ELETRODUTO, AÇO GALVANIZADO, DN 32 MM (1 1/4''), APARENTE - FORNECIMENTO E INSTALAÇÃO. AF_01/2026</t>
  </si>
  <si>
    <t>CURVA 90 GRAUS PARA ELETRODUTO, PVC, SOLDÁVEL, DN 20 MM (1/2''), APARENTE - FORNECIMENTO E INSTALAÇÃO. AF_01/2026</t>
  </si>
  <si>
    <t>CURVA 90 GRAUS PARA ELETRODUTO, PVC, SOLDÁVEL, DN 25 MM (3/4''), APARENTE - FORNECIMENTO E INSTALAÇÃO. AF_01/2026</t>
  </si>
  <si>
    <t>CURVA 90 GRAUS PARA ELETRODUTO, PVC, SOLDÁVEL, DN 32 MM (1''), APARENTE - FORNECIMENTO E INSTALAÇÃO. AF_01/2026</t>
  </si>
  <si>
    <t>ELETRODUTO RÍGIDO, EM AÇO ZINCADO OU GALVANIZADO, TIPO PESADO, DN=1 1/2", APARENTE - FORNECIMENTO E INSTALAÇÃO. AF_01/2026</t>
  </si>
  <si>
    <t>ELETRODUTO RÍGIDO, EM AÇO ZINCADO OU GALVANIZADO, TIPO PESADO, DN=1 1/4", APARENTE- FORNECIMENTO E INSTALAÇÃO. AF_01/2026</t>
  </si>
  <si>
    <t>ELETRODUTO RÍGIDO, EM AÇO ZINCADO OU GALVANIZADO, TIPO PESADO, DN=1", APARENTE - FORNECIMENTO E INSTALAÇÃO. AF_01/2026</t>
  </si>
  <si>
    <t>ELETRODUTO RÍGIDO, EM AÇO ZINCADO OU GALVANIZADO, TIPO PESADO, DN=3/4", APARENTE - FORNECIMENTO E INSTALAÇÃO. AF_01/2026</t>
  </si>
  <si>
    <t>LUVA PARA ELETRODUTO, PVC, SOLDÁVEL, DN 20 MM (1/2''), APARENTE - FORNECIMENTO E INSTALAÇÃO. AF_01/2026</t>
  </si>
  <si>
    <t>LUVA PARA ELETRODUTO, PVC, SOLDÁVEL, DN 25 MM (3/4''), APARENTE - FORNECIMENTO E INSTALAÇÃO. AF_01/2026</t>
  </si>
  <si>
    <t>LUVA PARA ELETRODUTO, PVC, SOLDÁVEL, DN 32 MM (1''), APARENTE - FORNECIMENTO E INSTALAÇÃO. AF_01/2026</t>
  </si>
  <si>
    <t>CABO DE ALUMÍNIO NÚ COM ALMA DE AÇO, BITOLA 4/0 AWG PARA REDE AÉREA DE DISTRIBUIÇÃO DE ENERGIA ELÉTRICA DE MÉDIA TENSÃO - FORNECIMENTO E INSTALAÇÃO. AF_12/2025</t>
  </si>
  <si>
    <t>CABO DE ALUMÍNIO NÚ SEM ALMA DE AÇO, BITOLA 4/0 AWG PARA REDE AÉREA DE DISTRIBUIÇÃO DE ENERGIA ELÉTRICA DE MÉDIA TENSÃO - FORNECIMENTO E INSTALAÇÃO. AF_12/2025</t>
  </si>
  <si>
    <t>CABO DE ALUMÍNIO PROTEGIDO XLPE 90°C 35MM² TR 15KV AÉREO PARA REDE AÉREA COMPACTA DE DISTRIBUIÇÃO DE ENERGIA ELÉTRICA DE MÉDIA TENSÃO - FORNECIMENTO E INSTALAÇÃO. AF_12/2025</t>
  </si>
  <si>
    <t>CABO DE ALUMÍNIO PROTEGIDO XLPE 90°C 50MM² TR 15KV AÉREO PARA REDE AÉREA COMPACTA DE DISTRIBUIÇÃO DE ENERGIA ELÉTRICA DE MÉDIA TENSÃO - FORNECIMENTO E INSTALAÇÃO. AF_12/2025</t>
  </si>
  <si>
    <t>CABO DE ALUMÍNIO PROTEGIDO XLPE 90°C 70MM² TR 15KV AÉREO PARA REDE AÉREA COMPACTA DE DISTRIBUIÇÃO DE ENERGIA ELÉTRICA DE MÉDIA TENSÃO - FORNECIMENTO E INSTALAÇÃO. AF_12/2025</t>
  </si>
  <si>
    <t>CABO MENSAGEIRO PARA REDES AÉREAS COMPACTAS. AF_12/2025</t>
  </si>
  <si>
    <t>CHAVE FUSÍVEL 15KV CPF XS 100A, PARA REDES AÉREAS DE DISTRIBUIÇÃO DE ENERGIA ELÉTRICA DE MÉDIA TENSÃO - FORNECIMENTO E INSTALAÇÃO. AF_12/2025</t>
  </si>
  <si>
    <t>CONECTOR CUNHA, PARA REDES AÉREAS DE DISTRIBUIÇÃO DE ENERGIA ELÉTRICA DE BAIXA TENSÃO - FORNECIMENTO E INSTALAÇÃO. AF_12/2025</t>
  </si>
  <si>
    <t>CONECTOR H, PARA REDES AÉREAS DE DISTRIBUIÇÃO DE ENERGIA ELÉTRICA DE BAIXA TENSÃO - FORNECIMENTO E INSTALAÇÃO. AF_12/2025</t>
  </si>
  <si>
    <t>CONECTOR PERFURANTE, PARA REDES AÉREAS DE DISTRIBUIÇÃO DE ENERGIA ELÉTRICA DE BAIXA TENSÃO - FORNECIMENTO E INSTALAÇÃO. AF_12/2025</t>
  </si>
  <si>
    <t>ESTRUTURA B1 DE ACONCORAGEM EM POSTE CIRCULAR. AF_12/2025</t>
  </si>
  <si>
    <t>ESTRUTURA B1 DE ACONCORAGEM EM POSTE DUPLO T. AF_12/2025</t>
  </si>
  <si>
    <t>ESTRUTURA B2 DE ACONCORAGEM EM POSTE CIRCULAR. AF_12/2025</t>
  </si>
  <si>
    <t>ESTRUTURA B2 DE ACONCORAGEM EM POSTE DUPLO T. AF_12/2025</t>
  </si>
  <si>
    <t>ESTRUTURA B3 DE ACONCORAGEM EM POSTE CIRCULAR. AF_12/2025</t>
  </si>
  <si>
    <t>ESTRUTURA B3 DE ACONCORAGEM EM POSTE DUPLO T. AF_12/2025</t>
  </si>
  <si>
    <t>ESTRUTURA B4 DE ACONCORAGEM EM POSTE CIRCULAR. AF_12/2025</t>
  </si>
  <si>
    <t>ESTRUTURA B4 DE ACONCORAGEM EM POSTE DUPLO T. AF_12/2025</t>
  </si>
  <si>
    <t>ESTRUTURA CE1 REDE DE DISTRIBUIÇÃO COMPACTA EM POSTE CIRCULAR. AF_12/2025</t>
  </si>
  <si>
    <t>ESTRUTURA CE1 REDE DE DISTRIBUIÇÃO COMPACTA EM POSTE DUPLO T. AF_12/2025</t>
  </si>
  <si>
    <t>ESTRUTURA CE1A REDE DE DISTRIBUIÇÃO COMPACTA EM POSTE CIRCULAR. AF_12/2025</t>
  </si>
  <si>
    <t>ESTRUTURA CE1A REDE DE DISTRIBUIÇÃO COMPACTA EM POSTE DUPLO T. AF_12/2025</t>
  </si>
  <si>
    <t>ESTRUTURA CE2 REDE DE DISTRIBUIÇÃO COMPACTA EM POSTE CIRCULAR. AF_12/2025</t>
  </si>
  <si>
    <t>ESTRUTURA CE2 REDE DE DISTRIBUIÇÃO COMPACTA EM POSTE DUPLO T. AF_12/2025</t>
  </si>
  <si>
    <t>TERMINAL MUFLA 15/25KV. AF_12/2025</t>
  </si>
  <si>
    <t>DIVISORIA (N2) - PAINEL/VIDRO - PAINEL C/ MSO/COMEIA E=35MM - PERFIS SIMPLES ACO GALVANIZADO PINTADO. AF_10/2025</t>
  </si>
  <si>
    <t>DIVISORIA (N2) - PAINEL/VIDRO - PAINEL DE PVC E=35MM - PERFIS SIMPLES ACO GALVANIZADO PINTADO. AF_10/2025</t>
  </si>
  <si>
    <t>DIVISORIA (N2) - PAINEL/VIDRO - PAINEL MDF/VIDRO 6 MM, LINHA 90 MM - PERFIS DE ALUMÍNIO EXTRUDADO. AF_10/2025</t>
  </si>
  <si>
    <t>DIVISORIA (N3) - PAINEL/VIDRO/PAINEL MSO/COMEIA E=35MM - PERFIS SIMPLES ACO GALVANIZADO PINTADO. AF_10/2025</t>
  </si>
  <si>
    <t>DIVISORIA (N3) - PAINEL/VIDRO/PAINEL PVC E=35MM - PERFIS SIMPLES ACO GALVANIZADO PINTADO. AF_10/2025</t>
  </si>
  <si>
    <t>DIVISORIA CEGA (N1) - PAINEL MDF, LINHA 90 MM - PERFIS DE ALUMÍNIO EXTRUDADO. AF_10/2025</t>
  </si>
  <si>
    <t>DIVISORIA CEGA (N1) - PAINEL MSO/COMEIA E=35MM - PERFIS SIMPLES ACO GALVANIZADO PINTADO. AF_10/2025</t>
  </si>
  <si>
    <t>DIVISORIA CEGA (N1) - PAINEL PVC E=35MM - PERFIS SIMPLES ACO GALVANIZADO PINTADO. AF_10/2025</t>
  </si>
  <si>
    <t>DIVISÓRIA (N3) - PAINEL/VIDRO/PAINEL MDF, LINHA 90 MM - PERFIS DE ALUMINIO EXTRUDADO. AF_10/2025</t>
  </si>
  <si>
    <t>DIVISÓRIA EM VIDRO TEMPERADO 10 MM COM PORTA DE CORRER, INCLUSIVE FERRAGENS. AF_10/2025</t>
  </si>
  <si>
    <t>DIVISÓRIA SALA LIMPA - PAINEL PIR 50 MM, PERFIS DE AÇO GALVANIZADO E ACABAMENTO COM PERFIS DE ALUMINIO CANTO ARREDONDADO PINTADO. AF_10/2025</t>
  </si>
  <si>
    <t>DIVISÓRIA SANITÁRIA, TIPO CABINE, EM PAINÉIS DE PVC, INCLUSIVE ESTRUTURA, PORTA E FERRAGENS. AF_10/2025</t>
  </si>
  <si>
    <t>DIVISÓRIA SANITÁRIA, TIPO CABINE, EM PAINÉIS ESTRUTURAIS TS, INCLUSIVE ESTRUTURA, PORTA E FERRAGENS. AF_10/2025</t>
  </si>
  <si>
    <t>PORTA DE CABINE SANITÁRIA EM VIDRO TEMPERADO 8MM, INCLUSIVE DOBRADIÇAS, BATENTE, TRINCO E CONTRA-TRINCO. AF_10/2025</t>
  </si>
  <si>
    <t>PORTA PARA DIVISÓRIA MDF/VIDRO 6 MM, LINHA 90 MM, 0,80 X 2,10 M - PERFIS DE ALUMINIO EXTRUDADO, INCLUSO PORTAL, BATENTES, DOBRADIÇAS E FECHADURA. AF_10/2025</t>
  </si>
  <si>
    <t>PORTA SALA LIMPA COM VISOR - PAINEL PIR 50 MM. AF_10/2025</t>
  </si>
  <si>
    <t>PORTA/PAINEL CEGO PARA DIVISÓRIA (N1) - PAINEL CEGO MSO/COMEIA E=35MM, S/ BONECA, INCLUSO BATENTE, TESTEIRO, DOBRADIÇAS E FECHADURA. AF_10/2025</t>
  </si>
  <si>
    <t>PORTA/VIDRO PARA DIVISÓRIA (N2) - PAINEL DE PVC E=35MM, S/ BONECA, INCLUSO BATENTE, TESTEIRO, DOBRADIÇAS E FECHADURA. AF_10/2025</t>
  </si>
  <si>
    <t>LIMPEZA DE PISO UTILIZANDO DETERGENTE NEUTRO E ESCOVAÇÃO MECÂNICA. AF_10/2025</t>
  </si>
  <si>
    <t>ASSENTO SANITÁRIO PARA PCD - FORNECIMENTO E INSTALAÇÃO. AF_02/2026</t>
  </si>
  <si>
    <t>BACIA SANITÁRIA COM CAIXA ACOPLADA PARA PCD COM FURO FRONTAL EM LOUÇA BRANCA SEM ASSENTO - FORNECIMENTO E INSTALAÇÃO. AF_02/2026</t>
  </si>
  <si>
    <t>BARRA DE APOIO RETA, EM AÇO INOX POLIDO, COMPRIMENTO 40 CM, FIXADA NA PAREDE - FORNECIMENTO E INSTALAÇÃO. AF_02/2026</t>
  </si>
  <si>
    <t>CUBA DE EMBUTIR REDONDA EM LOUÇA BRANCA, 36 CM OU EQUIVALENTE - FORNECIMENTO E INSTALAÇÃO. AF_02/2026</t>
  </si>
  <si>
    <t>DISPENSER DE MESA, PARA SABONETE LÍQUIDO ACABAMENTO METAL CROMADO, ACIONAMENTO HIDROMECÂNICO POR LEVE PRESSÃO MANUAL. AF_02/2026</t>
  </si>
  <si>
    <t>DISPENSER DE PLÁSTICO COM ALAVANCA PARA TOALHA DE PAPEL EM BOBINA, INCLUSO FIXAÇÃO. AF_02/2026</t>
  </si>
  <si>
    <t>DUCHA HIGIÊNICA EM METAL CROMADO, COM GATILHO E REGISTRO - FORNECIMENTO E INSTALAÇÃO. AF_02/2026</t>
  </si>
  <si>
    <t>LAVATÓRIO LOUÇA BRANCA COM COLUNA SUSPENSA, PCD, *43 X 53* CM - FORNECIMENTO E INSTALAÇÃO. AF_02/2026</t>
  </si>
  <si>
    <t>PRATELEIRA DE VIDRO COM SUPORTE CROMADO, INCLUSO FIXAÇÃO. AF_02/2026</t>
  </si>
  <si>
    <t>TANQUE EM AÇO INOXIDÁVEL SUSPENSO, 30L OU EQUIVALENTE - FORNECIMENTO E INSTALAÇÃO. AF_02/2026</t>
  </si>
  <si>
    <t>TORNEIRA CROMADA DE MESA COM ALAVANCA, PARA LAVATÓRIO DE SANITÁRIO PCD - FORNECIMENTO E INSTALAÇÃO. AF_02/2026</t>
  </si>
  <si>
    <t>CARGA, MANOBRA E DESCARGA DE ESCAVADEIRA SOBRE ESTEIRAS, PESO OPERACIONAL DE 17 T, EM CAVALO MECÂNICO 6X2 COM PRANCHA RETA. AF_01/2026</t>
  </si>
  <si>
    <t>CARGA, MANOBRA E DESCARGA DE FRESADORA DE ASFALTO A FRIO SOBRE RODAS, LARGURA 1,0 M, PESO OPERACIONAL DE 14,7 T, EM CAVALO MECÂNICO 6X2 COM PRANCHA RETA. AF_01/2026</t>
  </si>
  <si>
    <t>CARGA, MANOBRA E DESCARGA DE FRESADORA DE ASFALTO A FRIO SOBRE RODAS, LARGURA 2,0 M, PESO OPERACIONAL DE 27,7 T, EM CAVALO MECÂNICO 6X2 COM PRANCHA REBAIXADA. AF_01/2026</t>
  </si>
  <si>
    <t>CARGA, MANOBRA E DESCARGA DE GUINDASTE HIDRÁULICO AUTOPROPELIDO, COM LANÇA TRELIÇADA 41 M, PESO OPERACIONAL DE 43 T, EM CAVALO MECÂNICO 6X2 COM PRANCHA REBAIXADA. AF_01/2026</t>
  </si>
  <si>
    <t>CARGA, MANOBRA E DESCARGA DE MINICARREGADEIRA SOBRE RODAS, PESO OPERACIONAL DE 2,58 T, EM CAMINHÃO GUINCHO-SOCORRO 23000 KG. AF_01/2026</t>
  </si>
  <si>
    <t>CARGA, MANOBRA E DESCARGA DE MINICARREGADEIRA SOBRE RODAS, PESO OPERACIONAL DE 2,58 T, EM CAMINHÃO PLATAFORMA 16000 KG. AF_01/2026</t>
  </si>
  <si>
    <t>CARGA, MANOBRA E DESCARGA DE MINIESCAVADEIRA SOBRE ESTEIRA, PESO OPERACIONAL DE 3,5 T, EM CAMINHÃO GUINCHO-SOCORRO 23000 KG. AF_01/2026</t>
  </si>
  <si>
    <t>CARGA, MANOBRA E DESCARGA DE MINIESCAVADEIRA SOBRE ESTEIRA, PESO OPERACIONAL DE 3,5 T, EM CAMINHÃO PLATAFORMA 16000 KG. AF_01/2026</t>
  </si>
  <si>
    <t>CARGA, MANOBRA E DESCARGA DE MOTONIVELADORA, PESO OPERACIONAL DE 13 T, EM CAMINHÃO PLATAFORMA 23000 KG. AF_01/2026</t>
  </si>
  <si>
    <t>CARGA, MANOBRA E DESCARGA DE PÁ CARREGADEIRA SOBRE RODAS, CAÇAMBA DE 1,7 A 2,8 M3, PESO OPERACIONAL DE 11,63 T, EM CAMINHÃO PLATAFORMA 23000 KG. AF_01/2026</t>
  </si>
  <si>
    <t>CARGA, MANOBRA E DESCARGA DE PÁ CARREGADEIRA SOBRE RODAS, CAÇAMBA DE 2,5 A 3,5 M3, PESO OPERACIONAL DE 18,34 T, EM CAVALO MECÂNICO 6X2 COM PRANCHA RETA. AF_01/2026</t>
  </si>
  <si>
    <t>CARGA, MANOBRA E DESCARGA DE RECICLADORA DE ASFALTO A FRIO SOBRE RODAS, LARGURA 2,0 M, PESO OPERACIONAL DE 24,2 T, EM CAVALO MECÂNICO 6X2 COM PRANCHA REBAIXADA. AF_01/2026</t>
  </si>
  <si>
    <t>CARGA, MANOBRA E DESCARGA DE RETROESCAVADEIRA SOBRE RODAS COM CARREGADEIRA E MARTELO ROMPEDOR HIDRÁULICO, PESO OPERACIONAL DE 6,67 T, EM CAMINHÃO GUINCHO-SOCORRO 23000 KG. AF_01/2026</t>
  </si>
  <si>
    <t>CARGA, MANOBRA E DESCARGA DE RETROESCAVADEIRA SOBRE RODAS COM CARREGADEIRA E MARTELO ROMPEDOR HIDRÁULICO, PESO OPERACIONAL DE 6,67 T, EM CAMINHÃO PLATAFORMA 16000 KG. AF_01/2026</t>
  </si>
  <si>
    <t>CARGA, MANOBRA E DESCARGA DE RETROESCAVADEIRA SOBRE RODAS COM CARREGADEIRA, PESO OPERACIONAL DE 7,14 T, EM CAMINHÃO GUINCHO-SOCORRO 23000 KG. AF_01/2026</t>
  </si>
  <si>
    <t>CARGA, MANOBRA E DESCARGA DE RETROESCAVADEIRA SOBRE RODAS COM CARREGADEIRA, PESO OPERACIONAL DE 7,14 T, EM CAMINHÃO PLATAFORMA 16000 KG. AF_01/2026</t>
  </si>
  <si>
    <t>CARGA, MANOBRA E DESCARGA DE ROLO COMPACTADOR DE CARNEIRO VIBRATORIO, PESO OPERACIONAL SEM LASTRO DE 11,95 T, EM CAMINHÃO PLATAFORMA 23000 KG. AF_01/2026</t>
  </si>
  <si>
    <t>CARGA, MANOBRA E DESCARGA DE ROLO COMPACTADOR DE CARNEIRO VIBRATORIO, PESO OPERACIONAL SEM LASTRO DE 7,4 T, EM CAMINHÃO GUINCHO-SOCORRO 23000 KG. AF_01/2026</t>
  </si>
  <si>
    <t>CARGA, MANOBRA E DESCARGA DE ROLO COMPACTADOR DE CARNEIRO VIBRATORIO, PESO OPERACIONAL SEM LASTRO DE 7,4 T, EM CAMINHÃO PLATAFORMA 16000 KG. AF_01/2026</t>
  </si>
  <si>
    <t>CARGA, MANOBRA E DESCARGA DE ROLO COMPACTADOR DE PNEUS, PESO OPERACIONAL SEM LASTRO DE 10,8 T, EM CAMINHÃO PLATAFORMA 23000 KG. AF_01/2026</t>
  </si>
  <si>
    <t>CARGA, MANOBRA E DESCARGA DE ROLO COMPACTADOR DE PNEUS, PESO OPERACIONAL SEM LASTRO DE 9,5 T, EM CAMINHÃO PLATAFORMA 16000 KG. AF_01/2026</t>
  </si>
  <si>
    <t>CARGA, MANOBRA E DESCARGA DE ROLO COMPACTADOR VIBRATORIO TAMDEM LISO, PESO OPERACIONAL SEM LASTRO DE 10,2 T, EM CAMINHÃO PLATAFORMA 23000 KG. AF_01/2026</t>
  </si>
  <si>
    <t>CARGA, MANOBRA E DESCARGA DE ROLO COMPACTADOR VIBRATORIO TAMDEM LISO, PESO OPERACIONAL SEM LASTRO DE 6,5 T, EM CAMINHÃO GUINCHO-SOCORRO 23000 KG. AF_01/2026</t>
  </si>
  <si>
    <t>CARGA, MANOBRA E DESCARGA DE ROLO COMPACTADOR VIBRATORIO TAMDEM LISO, PESO OPERACIONAL SEM LASTRO DE 6,5 T, EM CAMINHÃO PLATAFORMA 16000 KG. AF_01/2026</t>
  </si>
  <si>
    <t>CARGA, MANOBRA E DESCARGA DE TRATOR DE ESTEIRAS, PESO OPERACIONAL DE 12,9 T, EM CAMINHÃO PLATAFORMA 23000 KG. AF_01/2026</t>
  </si>
  <si>
    <t>CARGA, MANOBRA E DESCARGA DE TRATOR DE ESTEIRAS, PESO OPERACIONAL DE 16,7 T, EM CAVALO MECÂNICO 6X2 COM PRANCHA RETA. AF_01/2026</t>
  </si>
  <si>
    <t>CARGA, MANOBRA E DESCARGA DE TRATOR DE ESTEIRAS, PESO OPERACIONAL DE 38,5 T, EM CAVALO MECÂNICO 6X2 COM PRANCHA REBAIXADA. AF_01/2026</t>
  </si>
  <si>
    <t>CARGA, MANOBRA E DESCARGA DE TRATOR DE ESTEIRAS, PESO OPERACIONAL DE 9,4 T, EM CAMINHÃO GUINCHO-SOCORRO 23000 KG. AF_01/2026</t>
  </si>
  <si>
    <t>CARGA, MANOBRA E DESCARGA DE TRATOR DE ESTEIRAS, PESO OPERACIONAL DE 9,4 T, EM CAMINHÃO PLATAFORMA 16000 KG. AF_01/2026</t>
  </si>
  <si>
    <t>CARGA, MANOBRA E DESCARGA DE TRATOR DE PNEUS 85 CV COM GRADE DE DISCOS ACOPLADA, PESO OPERACIONAL DO CONJUNTO DE 7,018 T, EM CAVALO MECÂNICO 6X2 COM PRANCHA REBAIXADA. AF_01/2026</t>
  </si>
  <si>
    <t>CARGA, MANOBRA E DESCARGA DE TRATOR DE PNEUS 85 CV COM VASSOURA MECÂNICA ACOPLADA, PESO OPERACIONAL DO CONJUNTO DE 5,495 T, EM CAMINHÃO GUINCHO-SOCORRO 23000 KG. AF_01/2026</t>
  </si>
  <si>
    <t>CARGA, MANOBRA E DESCARGA DE TRATOR DE PNEUS 85 CV COM VASSOURA MECÂNICA ACOPLADA, PESO OPERACIONAL DO CONJUNTO DE 5,495 T, EM CAMINHÃO PLATAFORMA 16000 KG. AF_01/2026</t>
  </si>
  <si>
    <t>CARGA, MANOBRA E DESCARGA DE TRATOR DE PNEUS 85 CV, PESO COM LASTRO DE 4,675 T, EM CAMINHÃO GUINCHO-SOCORRO 23000 KG. AF_01/2026</t>
  </si>
  <si>
    <t>CARGA, MANOBRA E DESCARGA DE TRATOR DE PNEUS 85 CV, PESO COM LASTRO DE 4,675 T, EM CAMINHÃO PLATAFORMA 16000 KG. AF_01/2026</t>
  </si>
  <si>
    <t>CARGA, MANOBRA E DESCARGA DE TRATOR DE PNEUS COM ESPARGIDOR DE ASFALTO COM TANQUE 2500 L, PESO OPERACIONAL DE 9,51 T, EM CAMINHÃO GUINCHO-SOCORRO 23000 KG. AF_01/2026</t>
  </si>
  <si>
    <t>CARGA, MANOBRA E DESCARGA DE TRATOR DE PNEUS COM ESPARGIDOR DE ASFALTO COM TANQUE 2500 L, PESO OPERACIONAL DE 9,51 T, EM CAMINHÃO PLATAFORMA 16000 KG. AF_01/2026</t>
  </si>
  <si>
    <t>CARGA, MANOBRA E DESCARGA DE VIBROACABADORA DE ASFALTO SOBRE ESTEIRAS, LARGURA DE PAVIMENTAÇÃO 1,90 M A 5,30 M, PESO OPERACIONAL DE 13,575 T, EM CAMINHÃO PLATAFORMA 23000 KG. AF_01/2026</t>
  </si>
  <si>
    <t>CARGA, MANOBRA E DESCARGA DE VIBROACABADORA DE ASFALTO SOBRE ESTEIRAS, LARGURA DE PAVIMENTAÇÃO MÁXIMA 8,00 M, PESO OPERACIONAL DE 18,4 T, EM CAVALO MECÂNICO 6X2 COM PRANCHA RETA. AF_01/2026</t>
  </si>
  <si>
    <t>CARGA, MANOBRA E DESCARGA DE VIBROACABADORA DE ASFALTO SOBRE RODAS, LARGURA DE PAVIMENTAÇÃO 1,70 M A 4,20 M, PESO OPERACIONAL DE 12,5 T, EM CAMINHÃO PLATAFORMA 23000 KG. AF_01/2026</t>
  </si>
  <si>
    <t>TRANSPORTE DE EQUIPAMENTO PESADO COM CAMINHÃO GUINCHO-SOCORRO 23000 KG, EM VIA INTERNA (DENTRO DO CANTEIRO) EM LEITO NATURAL. AF_01/2026</t>
  </si>
  <si>
    <t>TRANSPORTE DE EQUIPAMENTO PESADO COM CAMINHÃO GUINCHO-SOCORRO 23000 KG, EM VIA INTERNA (DENTRO DO CANTEIRO) EM REVESTIMENTO PRIMÁRIO. AF_01/2026</t>
  </si>
  <si>
    <t>TRANSPORTE DE EQUIPAMENTO PESADO COM CAMINHÃO GUINCHO-SOCORRO 23000 KG, EM VIA INTERNA (DENTRO DO CANTEIRO) PAVIMENTADA. AF_01/2026</t>
  </si>
  <si>
    <t>TRANSPORTE DE EQUIPAMENTO PESADO COM CAMINHÃO GUINCHO-SOCORRO 23000 KG, EM VIA URBANA EM LEITO NATURAL. AF_01/2026</t>
  </si>
  <si>
    <t>TRANSPORTE DE EQUIPAMENTO PESADO COM CAMINHÃO GUINCHO-SOCORRO 23000 KG, EM VIA URBANA EM REVESTIMENTO PRIMÁRIO. AF_01/2026</t>
  </si>
  <si>
    <t>TRANSPORTE DE EQUIPAMENTO PESADO COM CAMINHÃO GUINCHO-SOCORRO 23000 KG, EM VIA URBANA PAVIMENTADA, ADICIONAL PARA DMT EXCEDENTE A 30 KM. AF_01/2026</t>
  </si>
  <si>
    <t>TRANSPORTE DE EQUIPAMENTO PESADO COM CAMINHÃO GUINCHO-SOCORRO 23000 KG, EM VIA URBANA PAVIMENTADA, DMT ATÉ 30 KM. AF_01/2026</t>
  </si>
  <si>
    <t>TRANSPORTE DE EQUIPAMENTO PESADO COM CAMINHÃO GUINCHO-SOCORRO 29000 KG, EM VIA INTERNA (DENTRO DO CANTEIRO) EM LEITO NATURAL. AF_01/2026</t>
  </si>
  <si>
    <t>TRANSPORTE DE EQUIPAMENTO PESADO COM CAMINHÃO GUINCHO-SOCORRO 29000 KG, EM VIA INTERNA (DENTRO DO CANTEIRO) EM REVESTIMENTO PRIMÁRIO. AF_01/2026</t>
  </si>
  <si>
    <t>TRANSPORTE DE EQUIPAMENTO PESADO COM CAMINHÃO GUINCHO-SOCORRO 29000 KG, EM VIA INTERNA (DENTRO DO CANTEIRO) PAVIMENTADA. AF_01/2026</t>
  </si>
  <si>
    <t>TRANSPORTE DE EQUIPAMENTO PESADO COM CAMINHÃO GUINCHO-SOCORRO 29000 KG, EM VIA URBANA EM LEITO NATURAL. AF_01/2026</t>
  </si>
  <si>
    <t>TRANSPORTE DE EQUIPAMENTO PESADO COM CAMINHÃO GUINCHO-SOCORRO 29000 KG, EM VIA URBANA EM REVESTIMENTO PRIMÁRIO. AF_01/2026</t>
  </si>
  <si>
    <t>TRANSPORTE DE EQUIPAMENTO PESADO COM CAMINHÃO GUINCHO-SOCORRO 29000 KG, EM VIA URBANA PAVIMENTADA, ADICIONAL PARA DMT EXCEDENTE A 30 KM. AF_01/2026</t>
  </si>
  <si>
    <t>TRANSPORTE DE EQUIPAMENTO PESADO COM CAMINHÃO GUINCHO-SOCORRO 29000 KG, EM VIA URBANA PAVIMENTADA, DMT ATÉ 30 KM. AF_01/2026</t>
  </si>
  <si>
    <t>TRANSPORTE DE EQUIPAMENTO PESADO COM CAMINHÃO PLATAFORMA 16000 KG, EM VIA INTERNA (DENTRO DO CANTEIRO) EM LEITO NATURAL. AF_01/2026</t>
  </si>
  <si>
    <t>TRANSPORTE DE EQUIPAMENTO PESADO COM CAMINHÃO PLATAFORMA 16000 KG, EM VIA INTERNA (DENTRO DO CANTEIRO) EM REVESTIMENTO PRIMÁRIO. AF_01/2026</t>
  </si>
  <si>
    <t>TRANSPORTE DE EQUIPAMENTO PESADO COM CAMINHÃO PLATAFORMA 16000 KG, EM VIA INTERNA (DENTRO DO CANTEIRO) PAVIMENTADA. AF_01/2026</t>
  </si>
  <si>
    <t>TRANSPORTE DE EQUIPAMENTO PESADO COM CAMINHÃO PLATAFORMA 16000 KG, EM VIA URBANA EM LEITO NATURAL. AF_01/2026</t>
  </si>
  <si>
    <t>TRANSPORTE DE EQUIPAMENTO PESADO COM CAMINHÃO PLATAFORMA 16000 KG, EM VIA URBANA EM REVESTIMENTO PRIMÁRIO. AF_01/2026</t>
  </si>
  <si>
    <t>TRANSPORTE DE EQUIPAMENTO PESADO COM CAMINHÃO PLATAFORMA 16000 KG, EM VIA URBANA PAVIMENTADA, ADICIONAL PARA DMT EXCEDENTE A 30 KM. AF_01/2026</t>
  </si>
  <si>
    <t>TRANSPORTE DE EQUIPAMENTO PESADO COM CAMINHÃO PLATAFORMA 16000 KG, EM VIA URBANA PAVIMENTADA, DMT ATÉ 30 KM. AF_01/2026</t>
  </si>
  <si>
    <t>TRANSPORTE DE EQUIPAMENTO PESADO COM CAMINHÃO PLATAFORMA 23000 KG, EM VIA INTERNA (DENTRO DO CANTEIRO) EM LEITO NATURAL. AF_01/2026</t>
  </si>
  <si>
    <t>TRANSPORTE DE EQUIPAMENTO PESADO COM CAMINHÃO PLATAFORMA 23000 KG, EM VIA INTERNA (DENTRO DO CANTEIRO) EM REVESTIMENTO PRIMÁRIO. AF_01/2026</t>
  </si>
  <si>
    <t>TRANSPORTE DE EQUIPAMENTO PESADO COM CAMINHÃO PLATAFORMA 23000 KG, EM VIA INTERNA (DENTRO DO CANTEIRO) PAVIMENTADA. AF_01/2026</t>
  </si>
  <si>
    <t>TRANSPORTE DE EQUIPAMENTO PESADO COM CAMINHÃO PLATAFORMA 23000 KG, EM VIA URBANA EM LEITO NATURAL. AF_01/2026</t>
  </si>
  <si>
    <t>TRANSPORTE DE EQUIPAMENTO PESADO COM CAMINHÃO PLATAFORMA 23000 KG, EM VIA URBANA EM REVESTIMENTO PRIMÁRIO. AF_01/2026</t>
  </si>
  <si>
    <t>TRANSPORTE DE EQUIPAMENTO PESADO COM CAMINHÃO PLATAFORMA 23000 KG, EM VIA URBANA PAVIMENTADA, ADICIONAL PARA DMT EXCEDENTE A 30 KM. AF_01/2026</t>
  </si>
  <si>
    <t>TRANSPORTE DE EQUIPAMENTO PESADO COM CAMINHÃO PLATAFORMA 23000 KG, EM VIA URBANA PAVIMENTADA, DMT ATÉ 30 KM. AF_01/2026</t>
  </si>
  <si>
    <t>TRANSPORTE DE EQUIPAMENTO PESADO COM CAMINHÃO PLATAFORMA 29000 KG, EM VIA INTERNA (DENTRO DO CANTEIRO) EM LEITO NATURAL. AF_01/2026</t>
  </si>
  <si>
    <t>TRANSPORTE DE EQUIPAMENTO PESADO COM CAMINHÃO PLATAFORMA 29000 KG, EM VIA INTERNA (DENTRO DO CANTEIRO) EM REVESTIMENTO PRIMÁRIO. AF_01/2026</t>
  </si>
  <si>
    <t>TRANSPORTE DE EQUIPAMENTO PESADO COM CAMINHÃO PLATAFORMA 29000 KG, EM VIA INTERNA (DENTRO DO CANTEIRO) PAVIMENTADA. AF_01/2026</t>
  </si>
  <si>
    <t>TRANSPORTE DE EQUIPAMENTO PESADO COM CAMINHÃO PLATAFORMA 29000 KG, EM VIA URBANA EM LEITO NATURAL. AF_01/2026</t>
  </si>
  <si>
    <t>TRANSPORTE DE EQUIPAMENTO PESADO COM CAMINHÃO PLATAFORMA 29000 KG, EM VIA URBANA EM REVESTIMENTO PRIMÁRIO. AF_01/2026</t>
  </si>
  <si>
    <t>TRANSPORTE DE EQUIPAMENTO PESADO COM CAMINHÃO PLATAFORMA 29000 KG, EM VIA URBANA PAVIMENTADA, ADICIONAL PARA DMT EXCEDENTE A 30 KM. AF_01/2026</t>
  </si>
  <si>
    <t>TRANSPORTE DE EQUIPAMENTO PESADO COM CAMINHÃO PLATAFORMA 29000 KG, EM VIA URBANA PAVIMENTADA, DMT ATÉ 30 KM. AF_01/2026</t>
  </si>
  <si>
    <t>TRANSPORTE DE EQUIPAMENTO PESADO COM CAVALO MECÂNICO 6X2 COM PRANCHA REBAIXADA KG, EM VIA INTERNA (DENTRO DO CANTEIRO) EM LEITO NATURAL. AF_01/2026</t>
  </si>
  <si>
    <t>TRANSPORTE DE EQUIPAMENTO PESADO COM CAVALO MECÂNICO 6X2 COM PRANCHA REBAIXADA KG, EM VIA INTERNA (DENTRO DO CANTEIRO) EM REVESTIMENTO PRIMÁRIO. AF_01/2026</t>
  </si>
  <si>
    <t>TRANSPORTE DE EQUIPAMENTO PESADO COM CAVALO MECÂNICO 6X2 COM PRANCHA REBAIXADA KG, EM VIA INTERNA (DENTRO DO CANTEIRO) PAVIMENTADA. AF_01/2026</t>
  </si>
  <si>
    <t>TRANSPORTE DE EQUIPAMENTO PESADO COM CAVALO MECÂNICO 6X2 COM PRANCHA REBAIXADA KG, EM VIA URBANA EM LEITO NATURAL. AF_01/2026</t>
  </si>
  <si>
    <t>TRANSPORTE DE EQUIPAMENTO PESADO COM CAVALO MECÂNICO 6X2 COM PRANCHA REBAIXADA KG, EM VIA URBANA EM REVESTIMENTO PRIMÁRIO. AF_01/2026</t>
  </si>
  <si>
    <t>TRANSPORTE DE EQUIPAMENTO PESADO COM CAVALO MECÂNICO 6X2 COM PRANCHA REBAIXADA KG, EM VIA URBANA PAVIMENTADA, ADICIONAL PARA DMT EXCEDENTE A 30 KM. AF_01/2026</t>
  </si>
  <si>
    <t>TRANSPORTE DE EQUIPAMENTO PESADO COM CAVALO MECÂNICO 6X2 COM PRANCHA REBAIXADA KG, EM VIA URBANA PAVIMENTADA, DMT ATÉ 30 KM. AF_01/2026</t>
  </si>
  <si>
    <t>TRANSPORTE DE EQUIPAMENTO PESADO COM CAVALO MECÂNICO 6X2 COM PRANCHA RETA KG, EM VIA INTERNA (DENTRO DO CANTEIRO) EM LEITO NATURAL. AF_01/2026</t>
  </si>
  <si>
    <t>TRANSPORTE DE EQUIPAMENTO PESADO COM CAVALO MECÂNICO 6X2 COM PRANCHA RETA KG, EM VIA INTERNA (DENTRO DO CANTEIRO) EM REVESTIMENTO PRIMÁRIO. AF_01/2026</t>
  </si>
  <si>
    <t>TRANSPORTE DE EQUIPAMENTO PESADO COM CAVALO MECÂNICO 6X2 COM PRANCHA RETA KG, EM VIA INTERNA (DENTRO DO CANTEIRO) PAVIMENTADA. AF_01/2026</t>
  </si>
  <si>
    <t>TRANSPORTE DE EQUIPAMENTO PESADO COM CAVALO MECÂNICO 6X2 COM PRANCHA RETA KG, EM VIA URBANA EM LEITO NATURAL. AF_01/2026</t>
  </si>
  <si>
    <t>TRANSPORTE DE EQUIPAMENTO PESADO COM CAVALO MECÂNICO 6X2 COM PRANCHA RETA KG, EM VIA URBANA EM REVESTIMENTO PRIMÁRIO. AF_01/2026</t>
  </si>
  <si>
    <t>TRANSPORTE DE EQUIPAMENTO PESADO COM CAVALO MECÂNICO 6X2 COM PRANCHA RETA KG, EM VIA URBANA PAVIMENTADA, ADICIONAL PARA DMT EXCEDENTE A 30 KM. AF_01/2026</t>
  </si>
  <si>
    <t>TRANSPORTE DE EQUIPAMENTO PESADO COM CAVALO MECÂNICO 6X2 COM PRANCHA RETA KG, EM VIA URBANA PAVIMENTADA, DMT ATÉ 30 KM. AF_01/2026</t>
  </si>
  <si>
    <t>PENEIRAMENTO DE AREIA COM PENEIRA ELÉTRICA. AF_01/2026</t>
  </si>
  <si>
    <t>ACABAMENTO PARA PISO EM TACO DE MADEIRA. AF_02/2026</t>
  </si>
  <si>
    <t>PISO DE ALTA RESISTÊNCIA TIPO "KORODUR" EM AMBIENTES INTERNOS, COM ESPESSURA DE 12 MM, INCLUSO MISTURA EM BETONEIRA, COLOCAÇÃO DAS JUNTAS, APLICAÇÃO DO PISO, 4 POLIMENTOS COM POLITRIZ, ESTUCAMENTO, SELADOR E CERA.. AF_02/2026</t>
  </si>
  <si>
    <t>PISO ELEVADO COM ESTRUTURA EM AÇO, COMPOSTO POR PEDESTAIS E PLACAS SEM ACABAMENTO. AF_02/2026</t>
  </si>
  <si>
    <t>PISO ELEVADO COM ESTRUTURA EM AÇO, COMPOSTO POR PEDESTAIS, LONGARINAS E PLACAS SEM ACABAMENTO. AF_02/2026</t>
  </si>
  <si>
    <t>PISO ELEVADO COM ESTRUTURA EM PLÁSTICO, COMPOSTO POR PEDESTAIS E PLACAS COM REVESTIMENTO EM PORCELANATO. AF_02/2026</t>
  </si>
  <si>
    <t>PISO ELEVADO COM ESTRUTURA EM PLÁSTICO, COMPOSTO POR PEDESTAIS E PLACAS SEM ACABAMENTO. AF_02/2026</t>
  </si>
  <si>
    <t>PISO EM PEDRA BASALTO POLIDO EM AMBIENTES INTERNOS. AF_02/2026</t>
  </si>
  <si>
    <t>PISO LAMINADO EM AMBIENTES INTERNOS. AF_02/2026</t>
  </si>
  <si>
    <t>PISO PODOTÁTIL DE ALERTA OU DIRECIONAL, DE BORRACHA, ASSENTADO COM COLA. AF_02/2026</t>
  </si>
  <si>
    <t>PISO PODOTÁTIL, DIRECIONAL OU ALERTA, SOLIDARIZADO AO PISO EXISTENTE (ELEMENTOS DISCRETOS) COM COLA. AF_02/2026</t>
  </si>
  <si>
    <t>PISO PODOTÁTIL, DIRECIONAL OU ALERTA, SOLIDARIZADO AO PISO EXISTENTE (ELEMENTOS DISCRETOS) COM PARAFUSO. AF_02/2026</t>
  </si>
  <si>
    <t>PISO TÊXTIL (CARPETE) EM MANTA (ROLO) E = 6 A 7 MM. AF_02/2026</t>
  </si>
  <si>
    <t>PISO TÊXTIL (CARPETE) EM MANTA (ROLO) E = 9 A 10 MM. AF_02/2026</t>
  </si>
  <si>
    <t>PISO TÊXTIL (CARPETE) EM PLACA. AF_02/2026</t>
  </si>
  <si>
    <t>PISO VINÍLICO FLEXÍVEL EM MANTA, PADRÃO LISO, ESPESSURA 2 MM, FIXADO COM COLA. AF_02/2026</t>
  </si>
  <si>
    <t>RODAPÉ VINÍLICO FLEXÍVEL EM MANTA, ALTURA 10 CM. AF_02/2026</t>
  </si>
  <si>
    <t>BORNE CONECTOR PARA CABOS DE 1,5 MM2, PARA QUADRO DE BOMBA - FORNECIMENTO E INSTALAÇÃO. AF_11/2025</t>
  </si>
  <si>
    <t>BORNE CONECTOR PARA CABOS DE 10 MM2, PARA QUADRO DE BOMBA - FORNECIMENTO E INSTALAÇÃO. AF_11/2025</t>
  </si>
  <si>
    <t>BORNE CONECTOR PARA CABOS DE 16 MM2, PARA QUADRO DE BOMBA - FORNECIMENTO E INSTALAÇÃO. AF_11/2025</t>
  </si>
  <si>
    <t>BORNE CONECTOR PARA CABOS DE 2,5 MM2, PARA QUADRO DE BOMBA - FORNECIMENTO E INSTALAÇÃO. AF_11/2025</t>
  </si>
  <si>
    <t>BORNE CONECTOR PARA CABOS DE 25 MM2, PARA QUADRO DE BOMBA - FORNECIMENTO E INSTALAÇÃO. AF_11/2025</t>
  </si>
  <si>
    <t>BORNE CONECTOR PARA CABOS DE 4 MM2, PARA QUADRO DE BOMBA - FORNECIMENTO E INSTALAÇÃO. AF_11/2025</t>
  </si>
  <si>
    <t>BORNE CONECTOR PARA CABOS DE 6 MM2, PARA QUADRO DE BOMBA - FORNECIMENTO E INSTALAÇÃO. AF_11/2025</t>
  </si>
  <si>
    <t>BOTÃO DE EMERGÊNCIA TIPO COGUMELO, PARA QUADRO DE BOMBA - FORNECIMENTO E INSTALAÇÃO. AF_11/2025</t>
  </si>
  <si>
    <t>BOTÃO LIGA/DESLIGA BOMBA VERDE E VERMELHO, PARA QUADRO DE BOMBA - FORNECIMENTO E INSTALAÇÃO. AF_11/2025</t>
  </si>
  <si>
    <t>CANALETA, PARA QUADRO DE BOMBA - FORNECIMENTO E INSTALAÇÃO. AF_11/2025</t>
  </si>
  <si>
    <t>CHAVE COMUTADORA DE 3 POSIÇÕES DE 10 A, PARA QUADRO DE BOMBA - FORNECIMENTO E INSTALAÇÃO. AF_11/2025</t>
  </si>
  <si>
    <t>CHAVE COMUTADORA DE 3 POSIÇÕES DE 20 A, PARA QUADRO DE BOMBA - FORNECIMENTO E INSTALAÇÃO. AF_11/2025</t>
  </si>
  <si>
    <t>CHAVE COMUTADORA DE 3 POSIÇÕES DE 32A, PARA QUADRO DE BOMBA - FORNECIMENTO E INSTALAÇÃO. AF_11/2025</t>
  </si>
  <si>
    <t>CHAVE COMUTADORA DE 3 POSIÇÕES DE 40 A, PARA QUADRO DE BOMBA - FORNECIMENTO E INSTALAÇÃO. AF_11/2025</t>
  </si>
  <si>
    <t>CHAVE COMUTADORA DE 3 POSIÇÕES DE 63 A, PARA QUADRO DE BOMBA - FORNECIMENTO E INSTALAÇÃO. AF_11/2025</t>
  </si>
  <si>
    <t>CHAVE COMUTADORA DE 3 POSIÇÕES DE 80 A, PARA QUADRO DE BOMBA - FORNECIMENTO E INSTALAÇÃO. AF_11/2025</t>
  </si>
  <si>
    <t>QUADRO ELÉTRICO PARA 1 BOMBA CENTRÍFUGA TRIFÁSICA 1,5 CV - FORNECIMENTO E INSTALAÇÃO. AF_11/2025</t>
  </si>
  <si>
    <t>QUADRO ELÉTRICO PARA 1 BOMBA CENTRÍFUGA TRIFÁSICA 10 CV - FORNECIMENTO E INSTALAÇÃO. AF_11/2025</t>
  </si>
  <si>
    <t>QUADRO ELÉTRICO PARA 1 BOMBA CENTRÍFUGA TRIFÁSICA 3 CV - FORNECIMENTO E INSTALAÇÃO. AF_11/2025</t>
  </si>
  <si>
    <t>QUADRO ELÉTRICO PARA 2 BOMBAS CENTRÍFUGAS TRIFÁSICAS 1,5 CV CADA - FORNECIMENTO E INSTALAÇÃO. AF_11/2025</t>
  </si>
  <si>
    <t>QUADRO ELÉTRICO PARA 2 BOMBAS CENTRÍFUGAS TRIFÁSICAS 10 CV CADA - FORNECIMENTO E INSTALAÇÃO. AF_11/2025</t>
  </si>
  <si>
    <t>QUADRO ELÉTRICO PARA 2 BOMBAS CENTRÍFUGAS TRIFÁSICAS 3 CV CADA - FORNECIMENTO E INSTALAÇÃO. AF_11/2025</t>
  </si>
  <si>
    <t>RELÉ ESTRELA TRIANGULO, PARA QUADRO DE BOMBA - FORNECIMENTO E INSTALAÇÃO. AF_11/2025</t>
  </si>
  <si>
    <t>RELÉ FALTA DE FASE PARA ATUAR NO COMANDO DO CONTATOR, PARA QUADRO DE BOMBA - FORNECIMENTO E INSTALAÇÃO. AF_11/2025</t>
  </si>
  <si>
    <t>RELÉ PARA REVEZAMENTO DE MOTORES, PARA QUADRO DE BOMBA - FORNECIMENTO E INSTALAÇÃO. AF_11/2025</t>
  </si>
  <si>
    <t>RELÉ TÉRMICO 10 A 15 A PARA 220 V OU 7 A 10 A PARA 380 V, PARA QUADRO DE BOMBA - FORNECIMENTO E INSTALAÇÃO. AF_11/2025</t>
  </si>
  <si>
    <t>RELÉ TÉRMICO 6 A 8 A PARA 220 V OU 4 A 6,3 A PARA 380 V, PARA QUADRO DE BOMBA - FORNECIMENTO E INSTALAÇÃO. AF_11/2025</t>
  </si>
  <si>
    <t>SINALEIRO LED PARA INDICAÇÃO BOMBA, PARA QUADRO DE BOMBA - FORNECIMENTO E INSTALAÇÃO. AF_11/2025</t>
  </si>
  <si>
    <t>TRILHO DIN, PARA QUADRO DE BOMBA - FORNECIMENTO E INSTALAÇÃO. AF_11/2025</t>
  </si>
  <si>
    <t>RESERVATÓRIO DE CONCRETO PRÉ-FABRICADO, DIÂMETRO IGUAL A 2,5 M E ALTURA TOTAL IGUAL A 10,5 M - FORNECIMENTO E INSTALAÇÃO. AF_12/2025</t>
  </si>
  <si>
    <t>RESERVATÓRIO DE CONCRETO PRÉ-FABRICADO, DIÂMETRO IGUAL A 2,5 M E ALTURA TOTAL IGUAL A 15,0 M - FORNECIMENTO E INSTALAÇÃO. AF_12/2025</t>
  </si>
  <si>
    <t>RESERVATÓRIO DE CONCRETO PRÉ-FABRICADO, DIÂMETRO IGUAL A 2,5 M E ALTURA TOTAL IGUAL A 20,0 M - FORNECIMENTO E INSTALAÇÃO. AF_12/2025</t>
  </si>
  <si>
    <t>RESERVATÓRIO DE CONCRETO PRÉ-FABRICADO, DIÂMETRO IGUAL A 2,5 M E ALTURA TOTAL IGUAL A 25,0 M - FORNECIMENTO E INSTALAÇÃO. AF_12/2025</t>
  </si>
  <si>
    <t>RESERVATÓRIO DE CONCRETO PRÉ-FABRICADO, DIÂMETRO IGUAL A 2,5 M E ALTURA TOTAL IGUAL A 30,5 M - FORNECIMENTO E INSTALAÇÃO. AF_12/2025</t>
  </si>
  <si>
    <t>RESERVATÓRIO DE CONCRETO PRÉ-FABRICADO, DIÂMETRO IGUAL A 3,0 M E ALTURA TOTAL IGUAL A 10,5 M - FORNECIMENTO E INSTALAÇÃO. AF_12/2025</t>
  </si>
  <si>
    <t>RESERVATÓRIO DE CONCRETO PRÉ-FABRICADO, DIÂMETRO IGUAL A 3,0 M E ALTURA TOTAL IGUAL A 15,0 M - FORNECIMENTO E INSTALAÇÃO. AF_12/2025</t>
  </si>
  <si>
    <t>RESERVATÓRIO DE CONCRETO PRÉ-FABRICADO, DIÂMETRO IGUAL A 3,0 M E ALTURA TOTAL IGUAL A 20,0 M - FORNECIMENTO E INSTALAÇÃO. AF_12/2025</t>
  </si>
  <si>
    <t>RESERVATÓRIO DE CONCRETO PRÉ-FABRICADO, DIÂMETRO IGUAL A 3,0 M E ALTURA TOTAL IGUAL A 25,0 M - FORNECIMENTO E INSTALAÇÃO. AF_12/2025</t>
  </si>
  <si>
    <t>RESERVATÓRIO DE CONCRETO PRÉ-FABRICADO, DIÂMETRO IGUAL A 3,0 M E ALTURA TOTAL IGUAL A 30,5 M - FORNECIMENTO E INSTALAÇÃO. AF_12/2025</t>
  </si>
  <si>
    <t>RESERVATÓRIO METÁLICO, TIPO TAÇA COM COLUNA SECA E CAPACIDADE IGUAL A 10.000 L - FORNECIMENTO E INSTALAÇÃO. AF_12/2025</t>
  </si>
  <si>
    <t>RESERVATÓRIO METÁLICO, TIPO TAÇA COM COLUNA SECA E CAPACIDADE IGUAL A 100.000 L - FORNECIMENTO E INSTALAÇÃO. AF_12/2025</t>
  </si>
  <si>
    <t>RESERVATÓRIO METÁLICO, TIPO TAÇA COM COLUNA SECA E CAPACIDADE IGUAL A 15.000 L - FORNECIMENTO E INSTALAÇÃO. AF_12/2025</t>
  </si>
  <si>
    <t>RESERVATÓRIO METÁLICO, TIPO TAÇA COM COLUNA SECA E CAPACIDADE IGUAL A 20.000 L - FORNECIMENTO E INSTALAÇÃO. AF_12/2025</t>
  </si>
  <si>
    <t>RESERVATÓRIO METÁLICO, TIPO TAÇA COM COLUNA SECA E CAPACIDADE IGUAL A 30.000 L - FORNECIMENTO E INSTALAÇÃO. AF_12/2025</t>
  </si>
  <si>
    <t>RESERVATÓRIO METÁLICO, TIPO TAÇA COM COLUNA SECA E CAPACIDADE IGUAL A 40.000 L - FORNECIMENTO E INSTALAÇÃO. AF_12/2025</t>
  </si>
  <si>
    <t>RESERVATÓRIO METÁLICO, TIPO TAÇA COM COLUNA SECA E CAPACIDADE IGUAL A 5.000 L - FORNECIMENTO E INSTALAÇÃO. AF_12/2025</t>
  </si>
  <si>
    <t>RESERVATÓRIO METÁLICO, TIPO TAÇA COM COLUNA SECA E CAPACIDADE IGUAL A 50.000 L - FORNECIMENTO E INSTALAÇÃO. AF_12/2025</t>
  </si>
  <si>
    <t>RESERVATÓRIO METÁLICO, TIPO TAÇA COM COLUNA SECA E CAPACIDADE IGUAL A 75.000 L - FORNECIMENTO E INSTALAÇÃO. AF_12/2025</t>
  </si>
  <si>
    <t>RESERVATÓRIO METÁLICO, TIPO TAÇA COM ÁGUA NA COLUNA E CAPACIDADE IGUAL A 10.000 L - FORNECIMENTO E INSTALAÇÃO. AF_12/2025</t>
  </si>
  <si>
    <t>RESERVATÓRIO METÁLICO, TIPO TAÇA COM ÁGUA NA COLUNA E CAPACIDADE IGUAL A 100.000 L - FORNECIMENTO E INSTALAÇÃO. AF_12/2025</t>
  </si>
  <si>
    <t>RESERVATÓRIO METÁLICO, TIPO TAÇA COM ÁGUA NA COLUNA E CAPACIDADE IGUAL A 15.000 L - FORNECIMENTO E INSTALAÇÃO. AF_12/2025</t>
  </si>
  <si>
    <t>RESERVATÓRIO METÁLICO, TIPO TAÇA COM ÁGUA NA COLUNA E CAPACIDADE IGUAL A 20.000 L - FORNECIMENTO E INSTALAÇÃO. AF_12/2025</t>
  </si>
  <si>
    <t>RESERVATÓRIO METÁLICO, TIPO TAÇA COM ÁGUA NA COLUNA E CAPACIDADE IGUAL A 30.000 L - FORNECIMENTO E INSTALAÇÃO. AF_12/2025</t>
  </si>
  <si>
    <t>RESERVATÓRIO METÁLICO, TIPO TAÇA COM ÁGUA NA COLUNA E CAPACIDADE IGUAL A 40.000 L - FORNECIMENTO E INSTALAÇÃO. AF_12/2025</t>
  </si>
  <si>
    <t>RESERVATÓRIO METÁLICO, TIPO TAÇA COM ÁGUA NA COLUNA E CAPACIDADE IGUAL A 5.000 L - FORNECIMENTO E INSTALAÇÃO. AF_12/2025</t>
  </si>
  <si>
    <t>RESERVATÓRIO METÁLICO, TIPO TAÇA COM ÁGUA NA COLUNA E CAPACIDADE IGUAL A 50.000 L - FORNECIMENTO E INSTALAÇÃO. AF_12/2025</t>
  </si>
  <si>
    <t>RESERVATÓRIO METÁLICO, TIPO TAÇA COM ÁGUA NA COLUNA E CAPACIDADE IGUAL A 75.000 L - FORNECIMENTO E INSTALAÇÃO. AF_12/2025</t>
  </si>
  <si>
    <t>RESERVATÓRIO METÁLICO, TIPO TUBULAR E CAPACIDADE IGUAL A 10.000 L - FORNECIMENTO E INSTALAÇÃO. AF_12/2025</t>
  </si>
  <si>
    <t>RESERVATÓRIO METÁLICO, TIPO TUBULAR E CAPACIDADE IGUAL A 100.000 L - FORNECIMENTO E INSTALAÇÃO. AF_12/2025</t>
  </si>
  <si>
    <t>RESERVATÓRIO METÁLICO, TIPO TUBULAR E CAPACIDADE IGUAL A 15.000 L - FORNECIMENTO E INSTALAÇÃO. AF_12/2025</t>
  </si>
  <si>
    <t>RESERVATÓRIO METÁLICO, TIPO TUBULAR E CAPACIDADE IGUAL A 20.000 L - FORNECIMENTO E INSTALAÇÃO. AF_12/2025</t>
  </si>
  <si>
    <t>RESERVATÓRIO METÁLICO, TIPO TUBULAR E CAPACIDADE IGUAL A 30.000 L - FORNECIMENTO E INSTALAÇÃO. AF_12/2025</t>
  </si>
  <si>
    <t>RESERVATÓRIO METÁLICO, TIPO TUBULAR E CAPACIDADE IGUAL A 40.000 L - FORNECIMENTO E INSTALAÇÃO. AF_12/2025</t>
  </si>
  <si>
    <t>RESERVATÓRIO METÁLICO, TIPO TUBULAR E CAPACIDADE IGUAL A 5.000 L - FORNECIMENTO E INSTALAÇÃO. AF_12/2025</t>
  </si>
  <si>
    <t>RESERVATÓRIO METÁLICO, TIPO TUBULAR E CAPACIDADE IGUAL A 50.000 L - FORNECIMENTO E INSTALAÇÃO. AF_12/2025</t>
  </si>
  <si>
    <t>RESERVATÓRIO METÁLICO, TIPO TUBULAR E CAPACIDADE IGUAL A 75.000 L - FORNECIMENTO E INSTALAÇÃO. AF_12/2025</t>
  </si>
  <si>
    <t>CARGA, MANOBRA E DESCARGA DE CAÇAMBA DE ENTULHO EM CAMINHÃO POLIGUINDASTE 8 M3. AF_02/2026</t>
  </si>
  <si>
    <t>CARGA, MANOBRA E DESCARGA DE ELEMENTOS PRÉ-FABRICADOS DE ATÉ 1,0 T EM CAMINHÃO CAVALO MECÂNICO COM SEMIRREBOQUE 30T. AF_02/2026</t>
  </si>
  <si>
    <t>CARGA, MANOBRA E DESCARGA DE ELEMENTOS PRÉ-FABRICADOS DE MAIS DE 1,0 T EM CAMINHÃO CAVALO MECÂNICO COM SEMIRREBOQUE 30T. AF_02/2026</t>
  </si>
  <si>
    <t>TRANSPORTE COM CAMINHÃO POLIGUINDASTE SIMPLES 8 T DE 8 M³, EM VIA INTERNA (DENTRO DO CANTEIRO) (UNIDADE: M³XKM). AF_02/2026</t>
  </si>
  <si>
    <t>TRANSPORTE COM CAMINHÃO POLIGUINDASTE SIMPLES 8 T DE 8 M³, EM VIA URBANA EM LEITO NATURAL (UNIDADE: M³XKM). AF_02/2026</t>
  </si>
  <si>
    <t>TRANSPORTE COM CAMINHÃO POLIGUINDASTE SIMPLES 8 T DE 8 M³, EM VIA URBANA EM REVESTIMENTO PRIMÁRIO (UNIDADE: M³XKM). AF_02/2026</t>
  </si>
  <si>
    <t>TRANSPORTE COM CAMINHÃO POLIGUINDASTE SIMPLES 8 T DE 8 M³, EM VIA URBANA PAVIMENTADA, ADICIONAL PARA DMT EXCEDENTE A 30 KM (UNIDADE: M³XKM). AF_02/2026</t>
  </si>
  <si>
    <t>TRANSPORTE COM CAMINHÃO POLIGUINDASTE SIMPLES 8 T DE 8 M³, EM VIA URBANA PAVIMENTADA, DMT ATÉ 30KM (UNIDADE: M³XKM). AF_02/2026</t>
  </si>
  <si>
    <t>TRANSPORTE COM CAVALO MECÂNICO E SEMIRREBOQUE 30 T, EM VIA INTERNA (DENTRO DO CANTEIRO) (UNIDADE: TXKM). AF_02/2026</t>
  </si>
  <si>
    <t>TRANSPORTE COM CAVALO MECÂNICO E SEMIRREBOQUE 30 T, EM VIA URBANA EM LEITO NATURAL (UNIDADE: TXKM). AF_02/2026</t>
  </si>
  <si>
    <t>TRANSPORTE COM CAVALO MECÂNICO E SEMIRREBOQUE 30 T, EM VIA URBANA EM REVESTIMENTO PRIMÁRIO (UNIDADE: TXKM). AF_02/2026</t>
  </si>
  <si>
    <t>TRANSPORTE COM CAVALO MECÂNICO E SEMIRREBOQUE 30 T, EM VIA URBANA PAVIMENTADA, ADICIONAL PARA DMT EXCEDENTE A 30 KM (UNIDADE: TXKM). AF_02/2026</t>
  </si>
  <si>
    <t>TRANSPORTE COM CAVALO MECÂNICO E SEMIRREBOQUE 30 T, EM VIA URBANA PAVIMENTADA, DMT ATÉ 30KM (UNIDADE: TXKM). AF_02/2026</t>
  </si>
  <si>
    <t>PAVIMENTO COM TRATAMENTO SUPERFICIAL DUPLO, COM CAP 150/200 E ROLO COMPACTADOR DE PNEUS. AF_11/2025</t>
  </si>
  <si>
    <t>PAVIMENTO COM TRATAMENTO SUPERFICIAL DUPLO, COM CAP 150/200 E ROLO COMPACTADOR TANDEM. AF_11/2025</t>
  </si>
  <si>
    <t>PAVIMENTO COM TRATAMENTO SUPERFICIAL DUPLO, COM EMULSÃO ASFÁLTICA RR-2C E ROLO COMPACTADOR DE PNEUS. AF_11/2025</t>
  </si>
  <si>
    <t>PAVIMENTO COM TRATAMENTO SUPERFICIAL DUPLO, COM EMULSÃO ASFÁLTICA RR-2C E ROLO COMPACTADOR TANDEM. AF_11/2025</t>
  </si>
  <si>
    <t>PAVIMENTO COM TRATAMENTO SUPERFICIAL DUPLO, COM EMULSÃO ASFÁLTICA RR-2C, COM BANHO DILUÍDO E ROLO COMPACTADOR DE PNEUS. AF_11/2025</t>
  </si>
  <si>
    <t>PAVIMENTO COM TRATAMENTO SUPERFICIAL DUPLO, COM EMULSÃO ASFÁLTICA RR-2C, COM BANHO DILUÍDO E ROLO COMPACTADOR TANDEM. AF_11/2025</t>
  </si>
  <si>
    <t>PAVIMENTO COM TRATAMENTO SUPERFICIAL DUPLO, COM EMULSÃO ASFÁLTICA RR-2C, COM CAPA SELANTE E ROLO COMPACTADOR DE PNEUS. AF_11/2025</t>
  </si>
  <si>
    <t>PAVIMENTO COM TRATAMENTO SUPERFICIAL DUPLO, COM EMULSÃO ASFÁLTICA RR-2C, COM CAPA SELANTE E ROLO COMPACTADOR TANDEM. AF_11/2025</t>
  </si>
  <si>
    <t>PAVIMENTO COM TRATAMENTO SUPERFICIAL SIMPLES, COM CAP 150/200 E ROLO COMPACTADOR DE PNEUS. AF_11/2025</t>
  </si>
  <si>
    <t>PAVIMENTO COM TRATAMENTO SUPERFICIAL SIMPLES, COM CAP 150/200 E ROLO COMPACTADOR TANDEM. AF_11/2025</t>
  </si>
  <si>
    <t>PAVIMENTO COM TRATAMENTO SUPERFICIAL SIMPLES, COM EMULSÃO ASFÁLTICA RR-2C E ROLO COMPACTADOR DE PNEUS. AF_11/2025</t>
  </si>
  <si>
    <t>PAVIMENTO COM TRATAMENTO SUPERFICIAL SIMPLES, COM EMULSÃO ASFÁLTICA RR-2C E ROLO COMPACTADOR TANDEM. AF_11/2025</t>
  </si>
  <si>
    <t>PAVIMENTO COM TRATAMENTO SUPERFICIAL SIMPLES, COM EMULSÃO ASFÁLTICA RR-2C, COM BANHO DILUÍDO E ROLO COMPACTADOR DE PNEUS. AF_11/2025</t>
  </si>
  <si>
    <t>PAVIMENTO COM TRATAMENTO SUPERFICIAL SIMPLES, COM EMULSÃO ASFÁLTICAA RR-2C, COM BANHO DILUÍDO E ROLO COMPACTADOR TANDEM. AF_11/2025</t>
  </si>
  <si>
    <t>PAVIMENTO COM TRATAMENTO SUPERFICIAL TRIPLO, COM CAP 150/200 E ROLO COMPACTADOR DE PNEUS. AF_11/2025</t>
  </si>
  <si>
    <t>PAVIMENTO COM TRATAMENTO SUPERFICIAL TRIPLO, COM CAP 150/200 E ROLO COMPACTADOR TANDEM. AF_11/2025</t>
  </si>
  <si>
    <t>PAVIMENTO COM TRATAMENTO SUPERFICIAL TRIPLO, COM EMULSÃO ASFÁLTICA RR-2C E ROLO COMPACTADOR DE PNEUS. AF_11/2025</t>
  </si>
  <si>
    <t>PAVIMENTO COM TRATAMENTO SUPERFICIAL TRIPLO, COM EMULSÃO ASFÁLTICA RR-2C E ROLO COMPACTADOR TANDEM. AF_11/2025</t>
  </si>
  <si>
    <t>PAVIMENTO COM TRATAMENTO SUPERFICIAL TRIPLO, COM EMULSÃO ASFÁLTICA RR-2C, COM BANHO DILUÍDO E ROLO COMPACTADOR DE PNEUS. AF_11/2025</t>
  </si>
  <si>
    <t>PAVIMENTO COM TRATAMENTO SUPERFICIAL TRIPLO, COM EMULSÃO ASFÁLTICA RR-2C, COM BANHO DILUÍDO E ROLO COMPACTADOR TANDEM. AF_11/2025</t>
  </si>
  <si>
    <t>PAVIMENTO COM TRATAMENTO SUPERFICIAL TRIPLO, COM EMULSÃO ASFÁLTICA RR-2C, COM CAPA SELANTE E ROLO COMPACTADOR DE PNEUS. AF_11/2025</t>
  </si>
  <si>
    <t>PAVIMENTO COM TRATAMENTO SUPERFICIAL TRIPLO, COM EMULSÃO ASFÁLTICA RR-2C, COM CAPA SELANTE E ROLO COMPACTADOR TANDEM. AF_11/2025</t>
  </si>
  <si>
    <t>ACOMPANHAMENTO TOPOGRAFICO PARA EXECUÇÃO DE TUNNEL LINER EM CHAPA GALVANIZADA. AF_10/2025</t>
  </si>
  <si>
    <t>CHAPA GALVANIZADA COM OU SEM REVESTIMENTO EPÓXI, DIÂMETRO 1,4 M, ESPESSURA DE 2,2 MM, PARA TUNNEL LINER HORIZONTAL - FORNECIMENTO E INSTALAÇÃO. AF_10/2025</t>
  </si>
  <si>
    <t>CHAPA GALVANIZADA COM OU SEM REVESTIMENTO EPÓXI, DIÂMETRO 1,4 M, ESPESSURA DE 2,7 MM, PARA TUNNEL LINER HORIZONTAL - FORNECIMENTO E INSTALAÇÃO. AF_10/2025</t>
  </si>
  <si>
    <t>CHAPA GALVANIZADA COM OU SEM REVESTIMENTO EPÓXI, DIÂMETRO 1,6 M, ESPESSURA DE 2,2 MM, PARA TUNNEL LINER HORIZONTAL - FORNECIMENTO E INSTALAÇÃO. AF_10/2025</t>
  </si>
  <si>
    <t>CHAPA GALVANIZADA COM OU SEM REVESTIMENTO EPÓXI, DIÂMETRO 1,6 M, ESPESSURA DE 2,7 MM, PARA TUNNEL LINER HORIZONTAL - FORNECIMENTO E INSTALAÇÃO. AF_10/2025</t>
  </si>
  <si>
    <t>CHAPA GALVANIZADA COM OU SEM REVESTIMENTO EPÓXI, DIÂMETRO 1,8 M, ESPESSURA DE 2,2 MM, PARA TUNNEL LINER HORIZONTAL - FORNECIMENTO E INSTALAÇÃO. AF_10/2025</t>
  </si>
  <si>
    <t>CHAPA GALVANIZADA COM OU SEM REVESTIMENTO EPÓXI, DIÂMETRO 1,8 M, ESPESSURA DE 2,7 MM, PARA TUNNEL LINER HORIZONTAL - FORNECIMENTO E INSTALAÇÃO. AF_10/2025</t>
  </si>
  <si>
    <t>CHAPA GALVANIZADA COM OU SEM REVESTIMENTO EPÓXI, DIÂMETRO 1,8 M, ESPESSURA DE 3,4 MM, PARA TUNNEL LINER HORIZONTAL - FORNECIMENTO E INSTALAÇÃO. AF_10/2025</t>
  </si>
  <si>
    <t>CHAPA GALVANIZADA COM OU SEM REVESTIMENTO EPÓXI, DIÂMETRO 2 M, ESPESSURA DE 2,2 MM, PARA TUNNEL LINER HORIZONTAL - FORNECIMENTO E INSTALAÇÃO. AF_10/2025</t>
  </si>
  <si>
    <t>CHAPA GALVANIZADA COM OU SEM REVESTIMENTO EPÓXI, DIÂMETRO 2 M, ESPESSURA DE 2,7 MM, PARA TUNNEL LINER HORIZONTAL - FORNECIMENTO E INSTALAÇÃO. AF_10/2025</t>
  </si>
  <si>
    <t>CHAPA GALVANIZADA COM OU SEM REVESTIMENTO EPÓXI, DIÂMETRO 2 M, ESPESSURA DE 3,4 MM, PARA TUNNEL LINER HORIZONTAL - FORNECIMENTO E INSTALAÇÃO. AF_10/2025</t>
  </si>
  <si>
    <t>CHAPA GALVANIZADA COM OU SEM REVESTIMENTO EPÓXI, DIÂMETRO 2,2 M, ESPESSURA DE 2,2 MM, PARA TUNNEL LINER HORIZONTAL - FORNECIMENTO E INSTALAÇÃO. AF_10/2025</t>
  </si>
  <si>
    <t>CHAPA GALVANIZADA COM OU SEM REVESTIMENTO EPÓXI, DIÂMETRO 2,2 M, ESPESSURA DE 2,7 MM, PARA TUNNEL LINER HORIZONTAL - FORNECIMENTO E INSTALAÇÃO. AF_10/2025</t>
  </si>
  <si>
    <t>CHAPA GALVANIZADA COM OU SEM REVESTIMENTO EPÓXI, DIÂMETRO 2,2 M, ESPESSURA DE 3,4 MM, PARA TUNNEL LINER HORIZONTAL - FORNECIMENTO E INSTALAÇÃO. AF_10/2025</t>
  </si>
  <si>
    <t>CHAPA GALVANIZADA COM OU SEM REVESTIMENTO EPÓXI, DIÂMETRO 2,4 M, ESPESSURA DE 2,2 MM, PARA TUNNEL LINER HORIZONTAL - FORNECIMENTO E INSTALAÇÃO. AF_10/2025</t>
  </si>
  <si>
    <t>CHAPA GALVANIZADA COM OU SEM REVESTIMENTO EPÓXI, DIÂMETRO 2,4 M, ESPESSURA DE 2,7 MM, PARA TUNNEL LINER HORIZONTAL - FORNECIMENTO E INSTALAÇÃO. AF_10/2025</t>
  </si>
  <si>
    <t>CHAPA GALVANIZADA COM OU SEM REVESTIMENTO EPÓXI, DIÂMETRO 2,4 M, ESPESSURA DE 3,4 MM, PARA TUNNEL LINER HORIZONTAL - FORNECIMENTO E INSTALAÇÃO. AF_10/2025</t>
  </si>
  <si>
    <t>CHAPA GALVANIZADA COM OU SEM REVESTIMENTO EPÓXI, DIÂMETRO 2,4 M, ESPESSURA DE 3,9 MM, PARA TUNNEL LINER HORIZONTAL - FORNECIMENTO E INSTALAÇÃO. AF_10/2025</t>
  </si>
  <si>
    <t>CHAPA GALVANIZADA COM OU SEM REVESTIMENTO EPÓXI, DIÂMETRO 2,6 M, ESPESSURA DE 2,2 MM, PARA TUNNEL LINER HORIZONTAL - FORNECIMENTO E INSTALAÇÃO. AF_10/2025</t>
  </si>
  <si>
    <t>CHAPA GALVANIZADA COM OU SEM REVESTIMENTO EPÓXI, DIÂMETRO 2,6 M, ESPESSURA DE 2,7 MM, PARA TUNNEL LINER HORIZONTAL - FORNECIMENTO E INSTALAÇÃO. AF_10/2025</t>
  </si>
  <si>
    <t>CHAPA GALVANIZADA COM OU SEM REVESTIMENTO EPÓXI, DIÂMETRO 2,6 M, ESPESSURA DE 3,4 MM, PARA TUNNEL LINER HORIZONTAL - FORNECIMENTO E INSTALAÇÃO. AF_10/2025</t>
  </si>
  <si>
    <t>CHAPA GALVANIZADA COM OU SEM REVESTIMENTO EPÓXI, DIÂMETRO 2,6 M, ESPESSURA DE 3,9 MM, PARA TUNNEL LINER HORIZONTAL - FORNECIMENTO E INSTALAÇÃO. AF_10/2025</t>
  </si>
  <si>
    <t>CHAPA GALVANIZADA COM OU SEM REVESTIMENTO EPÓXI, DIÂMETRO 2,8 M, ESPESSURA DE 2,2 MM, PARA TUNNEL LINER HORIZONTAL - FORNECIMENTO E INSTALAÇÃO. AF_10/2025</t>
  </si>
  <si>
    <t>CHAPA GALVANIZADA COM OU SEM REVESTIMENTO EPÓXI, DIÂMETRO 2,8 M, ESPESSURA DE 2,7 MM, PARA TUNNEL LINER HORIZONTAL - FORNECIMENTO E INSTALAÇÃO. AF_10/2025</t>
  </si>
  <si>
    <t>CHAPA GALVANIZADA COM OU SEM REVESTIMENTO EPÓXI, DIÂMETRO 2,8 M, ESPESSURA DE 3,4 MM, PARA TUNNEL LINER HORIZONTAL - FORNECIMENTO E INSTALAÇÃO. AF_10/2025</t>
  </si>
  <si>
    <t>CHAPA GALVANIZADA COM OU SEM REVESTIMENTO EPÓXI, DIÂMETRO 2,8 M, ESPESSURA DE 3,9 MM, PARA TUNNEL LINER HORIZONTAL - FORNECIMENTO E INSTALAÇÃO. AF_10/2025</t>
  </si>
  <si>
    <t>CHAPA GALVANIZADA COM OU SEM REVESTIMENTO EPÓXI, DIÂMETRO 3 M, ESPESSURA DE 2,2 MM, PARA TUNNEL LINER HORIZONTAL - FORNECIMENTO E INSTALAÇÃO. AF_10/2025</t>
  </si>
  <si>
    <t>CHAPA GALVANIZADA COM OU SEM REVESTIMENTO EPÓXI, DIÂMETRO 3 M, ESPESSURA DE 2,7 MM, PARA TUNNEL LINER HORIZONTAL OU VERTICAL - FORNECIMENTO E INSTALAÇÃO. AF_10/2025</t>
  </si>
  <si>
    <t>CHAPA GALVANIZADA COM OU SEM REVESTIMENTO EPÓXI, DIÂMETRO 3 M, ESPESSURA DE 3,4 MM, PARA TUNNEL LINER HORIZONTAL - FORNECIMENTO E INSTALAÇÃO. AF_10/2025</t>
  </si>
  <si>
    <t>CHAPA GALVANIZADA COM OU SEM REVESTIMENTO EPÓXI, DIÂMETRO 3 M, ESPESSURA DE 3,9 MM, PARA TUNNEL LINER HORIZONTAL - FORNECIMENTO E INSTALAÇÃO. AF_10/2025</t>
  </si>
  <si>
    <t>CHAPA GALVANIZADA COM OU SEM REVESTIMENTO EPÓXI, DIÂMETRO 3,2 M, ESPESSURA DE 2,7 MM, PARA TUNNEL LINER VERTICAL - FORNECIMENTO E INSTALAÇÃO. AF_10/2025</t>
  </si>
  <si>
    <t>CHAPA GALVANIZADA COM OU SEM REVESTIMENTO EPÓXI, DIÂMETRO 3,4 M, ESPESSURA DE 2,7 MM, PARA TUNNEL LINER VERTICAL - FORNECIMENTO E INSTALAÇÃO. AF_10/2025</t>
  </si>
  <si>
    <t>CHAPA GALVANIZADA COM OU SEM REVESTIMENTO EPÓXI, DIÂMETRO 3,6 M, ESPESSURA DE 2,7 MM, PARA TUNNEL LINER VERTICAL - FORNECIMENTO E INSTALAÇÃO. AF_10/2025</t>
  </si>
  <si>
    <t>CHAPA GALVANIZADA COM OU SEM REVESTIMENTO EPÓXI, DIÂMETRO 3,8 M, ESPESSURA DE 2,7 MM, PARA TUNNEL LINER VERTICAL - FORNECIMENTO E INSTALAÇÃO. AF_10/2025</t>
  </si>
  <si>
    <t>INJEÇÃO DE ARGAMASSA FLUIDA SOLO CIMENTO NA EXECUÇÃO DE TUNNEL LINER - EXCLUSIVE ARGAMASSA. AF_10/2025</t>
  </si>
  <si>
    <t>VEDAÇÃO COM ESPUMA DURA OU PRODUTO SIMILAR NAS JUNTAS OU EMENDAS DAS CHAPAS DE TUNNEL LINER. AF_10/2025</t>
  </si>
  <si>
    <t>BOX EM L DE CORRER, COM VIDRO TEMPERADO 8 MM, 90X90X190 CM, 2 FOLHAS FIXAS, 2 FOLHAS MÓVEIS, PERFIS E FERRAGENS EM ALUMÍNIO. AF_11/2025</t>
  </si>
  <si>
    <t>BOX FRONTAL DE CORRER, COM VIDRO TEMPERADO 8 MM, 190X100CM, 1 FOLHA FIXA, 1 FOLHA MÓVEL, PERFIS E FERRAGENS EM ALUMÍNIO. AF_11/2025</t>
  </si>
  <si>
    <t>ESPELHO CRISTAL, ESPESSURA 4 MM, ADERIDO COM ADESIVO FIXA ESPELHO E FITA DUPLA-FACE, COM MOLDURA DE MADEIRA APARAFUSADA NA PAREDE, COM ÁREA MAIOR QUE 1,0 M2. AF_11/2025</t>
  </si>
  <si>
    <t>ESPELHO CRISTAL, ESPESSURA 4 MM, ADERIDO COM ADESIVO FIXA ESPELHO FITA DUPLA-FACE, COM MOLDURA DE MADEIRA APARAFUSADA NA PAREDE, COM ÁREA MENOR OU IGUAL A 1,0 M2. AF_11/2025</t>
  </si>
  <si>
    <t>ESPELHO CRISTAL, ESPESSURA 4 MM, ADERIDO COM ADESIVO FIXA ESPELHO, COM MOLDURA DE MADEIRA APARAFUSADA NA PAREDE, COM ÁREA MAIOR QUE 1,0 M2. AF_11/2025</t>
  </si>
  <si>
    <t>ESPELHO CRISTAL, ESPESSURA 4 MM, ADERIDO COM ADESIVO FIXA ESPELHO, COM MOLDURA DE MADEIRA APARAFUSADA NA PAREDE, COM ÁREA MENOR OU IGUAL A 1,0 M2. AF_11/2025</t>
  </si>
  <si>
    <t>ESPELHO CRISTAL, ESPESSURA 4 MM, SEM MOLDURA, ADERIDO COM ADESIVO FIXA ESPELHO E FITA DUPLA-FACE. AF_11/2025</t>
  </si>
  <si>
    <t>ESPELHO CRISTAL, ESPESSURA 4 MM, SEM MOLDURA, ADERIDO COM ADESIVO FIXA ESPELHO. AF_11/2025</t>
  </si>
  <si>
    <t>ESPELHO CRISTAL, ESPESSURA 4 MM, SEM MOLDURA, APARAFUSADO COM BOTÃO DE ROSCA INTERNA, COM ÁREA MAIOR QUE 1,0 M2.. AF_11/2025</t>
  </si>
  <si>
    <t>INSTALAÇÃO DE VIDRO LAMINADO, E = 12 MM (4+4+4), ENCAIXADO EM PERFIL U. AF_11/2025</t>
  </si>
  <si>
    <t>INSTALAÇÃO DE VIDRO LAMINADO, E = 12 MM (4+4+4), FIXADO COM SILICONE ESTRUTURAL. AF_11/2025</t>
  </si>
  <si>
    <t>INSTALAÇÃO DE VIDRO LAMINADO, E = 15 MM (5+5+5), ENCAIXADO EM PERFIL U. AF_11/2025</t>
  </si>
  <si>
    <t>INSTALAÇÃO DE VIDRO LAMINADO, E = 15 MM (5+5+5), FIXADO COM SILICONE ESTRUTURAL. AF_11/2025</t>
  </si>
  <si>
    <t>INSTALAÇÃO DE VIDRO LAMINADO, E = 8 MM (4+4), ENCAIXADO EM PERFIL U. AF_11/2025</t>
  </si>
  <si>
    <t>INSTALAÇÃO DE VIDRO LAMINADO, E = 8 MM (4+4), FIXADO COM SILICONE ESTRUTURAL. AF_11/2025</t>
  </si>
  <si>
    <t>PORTA DE CORRER EM VIDRO TEMPERADO, 2 FOLHAS DE 90X210 CM, ESPESSURA 10 MM, INCLUSIVE ACESSÓRIOS. AF_11/2025</t>
  </si>
  <si>
    <t>PORTA DE CORRER EM VIDRO TEMPERADO, 90X210 CM, ESPESSURA 10 MM, INCLUSIVE ACESSÓRIOS. AF_11/2025</t>
  </si>
  <si>
    <t>INFRAESTRUTURA</t>
  </si>
  <si>
    <t>BDI INTEGRAL</t>
  </si>
  <si>
    <t>BDI DIFERENCIADO</t>
  </si>
  <si>
    <t>LOCAÇÕES NO CANTEIRO</t>
  </si>
  <si>
    <t>MOBILIZAÇÃO/DESMOBILIZAÇÃO</t>
  </si>
  <si>
    <t>SINALIZAÇÃO DE OBRAS</t>
  </si>
  <si>
    <t>CANTEIRO DE OBRAS</t>
  </si>
  <si>
    <t>SERVIÇOS INICIAIS</t>
  </si>
  <si>
    <t>ADMINISTRAÇÃO LOCAL</t>
  </si>
  <si>
    <t>TERRAPLENAGEM</t>
  </si>
  <si>
    <t>DRENAGEM - TERRAPLENAGEM</t>
  </si>
  <si>
    <t>DRENAGEM - FORNECIMENTO TUBULAÇÃO</t>
  </si>
  <si>
    <t>DRENAGEM - ASSENTAMENTO TUBULAÇÃO</t>
  </si>
  <si>
    <t>DRENAGEM - POÇOS E CAIXAS</t>
  </si>
  <si>
    <t>2.4</t>
  </si>
  <si>
    <t>2.5</t>
  </si>
  <si>
    <t>2.6</t>
  </si>
  <si>
    <t>2.7</t>
  </si>
  <si>
    <t>2.8</t>
  </si>
  <si>
    <t>1.6</t>
  </si>
  <si>
    <t>4.4</t>
  </si>
  <si>
    <t>CCU 44</t>
  </si>
  <si>
    <t>CCU 45</t>
  </si>
  <si>
    <t>SINAPI 95995</t>
  </si>
  <si>
    <t>EXECUÇÃO DE PAVIMENTO COM APLICAÇÃO DE CONCRETO ASFÁLTICO, CAMADA DE ROLAMENTO, EXCLUSIVE CARGA E TRANSPORTE</t>
  </si>
  <si>
    <t>TAB 05.03</t>
  </si>
  <si>
    <t>TAB 05.04</t>
  </si>
  <si>
    <t>ANP (**)</t>
  </si>
  <si>
    <t>DNIT</t>
  </si>
  <si>
    <t>Port. 1078/2015 DNIT</t>
  </si>
  <si>
    <t>TRANSPORTE DE CAP (Distribuidora de derivado de petróleo ate Pavimentadora)</t>
  </si>
  <si>
    <t>TAB 05.02</t>
  </si>
  <si>
    <t>IMPRIMAÇÃO ASFALTICA - TRANSPORTE</t>
  </si>
  <si>
    <t>CCU 46</t>
  </si>
  <si>
    <t/>
  </si>
  <si>
    <t>USINAGEM CBUQ, INCLUSO FORNECIMENTO DE CONCRETO ASFALTICO (EXCETO CAP) E TRANSPORTE DA JAZIDA ATE PAVIMENTADORA, EXCLUSIVE TRANSPORTE ATE OBRA</t>
  </si>
  <si>
    <t>SICRO 6416143</t>
  </si>
  <si>
    <t>SICRO 6416143 + 5,66% (retirada CAP)</t>
  </si>
  <si>
    <t>BRITA
empolamento = 30%
DMT pedreira/empreiteira</t>
  </si>
  <si>
    <t>AREIA
empolamento = 25%
DMT pedreira/empreiteira</t>
  </si>
  <si>
    <t>E9689</t>
  </si>
  <si>
    <t>USINA DE ASFALTO A QUENTE GRAVIMÉTRICA COM CAPACIDADE DE 100/140 T/H - 260 KW</t>
  </si>
  <si>
    <t>E9559</t>
  </si>
  <si>
    <t>AQUECEDOR DE FLUIDO TÉRMICO - 12 KW</t>
  </si>
  <si>
    <t>M1941</t>
  </si>
  <si>
    <t>TAB 03.03</t>
  </si>
  <si>
    <t>TAB 03.04</t>
  </si>
  <si>
    <t>TAB 03.05</t>
  </si>
  <si>
    <t>FORNECIMENTO DE CAP PARA PAVIMENTO DE CONCRETO ASFÁLTICO, INCLUSIVE TRANSPORTE ATE PAVIMENTADORA</t>
  </si>
  <si>
    <t>ENCOPAV</t>
  </si>
  <si>
    <t>TONIOLO</t>
  </si>
  <si>
    <t>GIOVANELLA</t>
  </si>
  <si>
    <t>SULTEPA</t>
  </si>
  <si>
    <t>Estr. Julio de Castilhos, 1009
São Leopoldo/RS</t>
  </si>
  <si>
    <t>DMT MÉDIO ADOTADO (KM)</t>
  </si>
  <si>
    <t>DRENAGEM - SERVIÇOS COMPLEMENTARES</t>
  </si>
  <si>
    <t>METRO ADICIONAL POÇO DE VISITA TIPO A, 0,80x0,80m EM TIJOLO MACIÇO</t>
  </si>
  <si>
    <t>POÇO DE VISITA TIPO E, 1,50x1,50x2,30m EM TIJOLO MACIÇO, SEM TAMPA (PV 04)</t>
  </si>
  <si>
    <t>SINAPI 99255 (5,17m2 / 1,92m2)</t>
  </si>
  <si>
    <t>POÇO DE VISITA TIPO E, 1,20x1,20x1,49m EM TIJOLO MACIÇO, SEM TAMPA (PV 05)</t>
  </si>
  <si>
    <t>SINAPI 99255 (2,15m2 / 1,92m2)</t>
  </si>
  <si>
    <t>POÇO DE VISITA TIPO E, 1,20x1,20x1,33m EM TIJOLO MACIÇO, SEM TAMPA (PV 06)</t>
  </si>
  <si>
    <t>SINAPI 99255 (1,92m2 / 1,92m2)</t>
  </si>
  <si>
    <t>SINAPI 99255 (1,92m2 / 1,92m2)
1,92m2 = 1,2x1,2x1,33m (projeto)
1,92m2 = 0,8x0,8x0,60m (sinapi)</t>
  </si>
  <si>
    <t>SINAPI 99255 (2,15m2 / 1,92m2)
2,15m2 = 1,2x1,2x1,49m (projeto)
1,92m2 = 0,8x0,8x0,60m (sinapi)</t>
  </si>
  <si>
    <t>SINAPI 99255 (3,35m2 / 1,92m2)
3,35m2 = 1,5x1,5x2,30m (projeto)
1,92m2 = 0,8x0,8x0,60m (sinapi)</t>
  </si>
  <si>
    <t>SINAPI 99255 (2,29m2 / 1,92m2)
2,29m2 = 1,2x1,2x1,59m (projeto)
1,92m2 = 0,8x0,8x0,60m (sinapi)</t>
  </si>
  <si>
    <t>SINAPI 99255 (2,29m2 / 1,92m2)</t>
  </si>
  <si>
    <t>POÇO DE VISITA TIPO E, 1,20x1,20x1,59m EM TIJOLO MACIÇO, SEM TAMPA (PV 07)</t>
  </si>
  <si>
    <t>POÇO DE VISITA TIPO B, 1,00x1,00x1,50m EM TIJOLO MACIÇO, SEM TAMPA (PV 03)</t>
  </si>
  <si>
    <t>CONCRETO ARMADO PARA ALA DE DRENAGEM, INCLUSO FORMA</t>
  </si>
  <si>
    <t>area de forma = 9,7m2
volume conc = 2,2m3
proporçao = 4,45m2/m3</t>
  </si>
  <si>
    <t>Execução de Obras de Pavimentação e Redes de Drenagem na Rua Giruá</t>
  </si>
  <si>
    <t>Rua Giruá, Vila Panorama, Lomba Pinheiro, Porto Alegre, RS</t>
  </si>
  <si>
    <t>Rua Giruá, 23, Porto Alegre/RS</t>
  </si>
  <si>
    <t>Rua Reinaldo Leopoldino de Souza, 555, Portão/RS</t>
  </si>
  <si>
    <t>R. Tilápia, 160, 
Estância Velha/RS</t>
  </si>
  <si>
    <t>R. Florianópolis, 1000, 
Estância Velha/RS</t>
  </si>
  <si>
    <t>QUADRO RESUMO DE TERRAPLENAGEM</t>
  </si>
  <si>
    <t>Rua Giruá</t>
  </si>
  <si>
    <t>Estaca 0 à Estaca 5+14,14</t>
  </si>
  <si>
    <t>(da interseção com a Rua Taunaí da Silva Boeira até o final)</t>
  </si>
  <si>
    <t>ÁREA (m²)</t>
  </si>
  <si>
    <t>VOLUME GEOMÉTRICO (m³)</t>
  </si>
  <si>
    <t>Material Escavado (compactado)</t>
  </si>
  <si>
    <t>CBUQ</t>
  </si>
  <si>
    <t>Base de brita graduada</t>
  </si>
  <si>
    <t>0+2,93</t>
  </si>
  <si>
    <t>Sub-base de rachão</t>
  </si>
  <si>
    <t>0+10</t>
  </si>
  <si>
    <t>Limpeza (10 cm)</t>
  </si>
  <si>
    <t>Reforço de areia</t>
  </si>
  <si>
    <t>1+10</t>
  </si>
  <si>
    <t>Limpeza e destocamento</t>
  </si>
  <si>
    <t>Regularização do subleito</t>
  </si>
  <si>
    <t>2+10</t>
  </si>
  <si>
    <t>Concreto "in loco" 6 cm + lastro de brita 5 cm</t>
  </si>
  <si>
    <t>3+10</t>
  </si>
  <si>
    <t>Concreto "in loco" 12 cm + tela Q92 + lastro de brita 5 cm</t>
  </si>
  <si>
    <t>Passeio (geométrico + reaterro)</t>
  </si>
  <si>
    <t>Rampas  de pedestres</t>
  </si>
  <si>
    <t>4+10</t>
  </si>
  <si>
    <t>Valas</t>
  </si>
  <si>
    <t>Piso podotátil 40x40</t>
  </si>
  <si>
    <t>alerta</t>
  </si>
  <si>
    <t>5+6,76</t>
  </si>
  <si>
    <t>direcional</t>
  </si>
  <si>
    <t>5+8,79</t>
  </si>
  <si>
    <t>Empolamento</t>
  </si>
  <si>
    <t>5+10</t>
  </si>
  <si>
    <t>1ª cat</t>
  </si>
  <si>
    <t>entradas de garagem</t>
  </si>
  <si>
    <t>5+11,79</t>
  </si>
  <si>
    <t>2ª cat</t>
  </si>
  <si>
    <t>transição</t>
  </si>
  <si>
    <t>5+14,14</t>
  </si>
  <si>
    <t>3ª cat</t>
  </si>
  <si>
    <t>enterrado</t>
  </si>
  <si>
    <t>15 cm</t>
  </si>
  <si>
    <t>Remoção de Elementos</t>
  </si>
  <si>
    <t>Bloco de concreto</t>
  </si>
  <si>
    <t>Árvores</t>
  </si>
  <si>
    <t xml:space="preserve">un </t>
  </si>
  <si>
    <t>Postes</t>
  </si>
  <si>
    <t>6.7</t>
  </si>
  <si>
    <t>LIMPEZA FINAL DE PAVIMENTOS</t>
  </si>
  <si>
    <t>CCU 11</t>
  </si>
  <si>
    <t>115m de pavimento + 210m redes;
baliza cada 20m com h=40cm</t>
  </si>
  <si>
    <t>8h/dia; 1x cada 2 semanas</t>
  </si>
  <si>
    <t>CADASTRO DE REDES (210m DE REDE DE DRENAGEM)</t>
  </si>
  <si>
    <t>CEHOP faixa minima</t>
  </si>
  <si>
    <t>SERVIÇO DE LOCAÇÃO/TOPOGRAFIA (115M PAVIMENTO E 210M REDE DRENAGEM)</t>
  </si>
  <si>
    <t>E9093</t>
  </si>
  <si>
    <t>VEÍCULO LEVE - 53 KW (SEM MOTORISTA)</t>
  </si>
  <si>
    <t>TAB 03.06</t>
  </si>
  <si>
    <t>1h/dia</t>
  </si>
  <si>
    <t>13.1</t>
  </si>
  <si>
    <t>13.2</t>
  </si>
  <si>
    <t>13.3</t>
  </si>
  <si>
    <t>14.1</t>
  </si>
  <si>
    <t>14.2</t>
  </si>
  <si>
    <t>14.3</t>
  </si>
  <si>
    <t>15.1</t>
  </si>
  <si>
    <t>15.2</t>
  </si>
  <si>
    <t>15.3</t>
  </si>
  <si>
    <t>CCU 12</t>
  </si>
  <si>
    <t>CCU 13</t>
  </si>
  <si>
    <t>CCU 14</t>
  </si>
  <si>
    <t>MOBILIZAÇÃO EQUIPAMENTOS AUTOPROPELIDOS E LEVES</t>
  </si>
  <si>
    <t>CCU 72</t>
  </si>
  <si>
    <t>REMOÇÃO TUBO CONCRETO ARMADO AGUAS PLUVIAIS, DN 300 MM</t>
  </si>
  <si>
    <t>13.4</t>
  </si>
  <si>
    <t>DESMOBILIZAÇÃO EQUIPAMENTOS AUTOPROPELIDOS E LEVES</t>
  </si>
  <si>
    <t>CCU 73</t>
  </si>
  <si>
    <t>CCU 74</t>
  </si>
  <si>
    <t>CCU 50</t>
  </si>
  <si>
    <t>CCU 51</t>
  </si>
  <si>
    <t>CCU 52</t>
  </si>
  <si>
    <t>CCU 53</t>
  </si>
  <si>
    <t>ÓLEO TIPO A1</t>
  </si>
  <si>
    <t>TRANSPORTE DE EMULSAO ASFALTICA (Distribuidora de derivado de petróleo ate Obra)</t>
  </si>
  <si>
    <t>DMT do CONCRETO ASFALTICO (CAP)</t>
  </si>
  <si>
    <t>CAP</t>
  </si>
  <si>
    <t>Brigadeira, Canoas - RS</t>
  </si>
  <si>
    <t>Concreto asfaltico</t>
  </si>
  <si>
    <t>DRENAGEM - SERVIÇOS INICIAIS</t>
  </si>
  <si>
    <t>CCU 54</t>
  </si>
  <si>
    <t>CCU 55</t>
  </si>
  <si>
    <t>PREPARO DE FUNDO DE VALA COM LARGURA MAIOR OU IGUAL A 1,5 M E MENOR QUE 2,5 M, COM CAMADA DE BRITA GRADUADA SIMPLES, LANÇAMENTO MECANIZADO</t>
  </si>
  <si>
    <t>PREPARO DE FUNDO DE VALA COM LARGURA MAIOR OU IGUAL A 1,5 M E MENOR QUE 2,5 M, COM CAMADA DE RACHÃO, LANÇAMENTO MECANIZADO</t>
  </si>
  <si>
    <t>11.5</t>
  </si>
  <si>
    <t>11.6</t>
  </si>
  <si>
    <t>11.7</t>
  </si>
  <si>
    <t>11.8</t>
  </si>
  <si>
    <t>11.9</t>
  </si>
  <si>
    <t>14.4</t>
  </si>
  <si>
    <t>16.1</t>
  </si>
  <si>
    <t>16.2</t>
  </si>
  <si>
    <t>16.3</t>
  </si>
  <si>
    <t>16.4</t>
  </si>
  <si>
    <t>DMT do AREIA</t>
  </si>
  <si>
    <t>DMT do BRITA/RACHÃO</t>
  </si>
  <si>
    <t>CCU 68</t>
  </si>
  <si>
    <t>SINAPI 98114</t>
  </si>
  <si>
    <t>TAMPA FOFO ARTICULADO, COM BASE / REQUADRO, CLASSE D400 CARGA MAX 40 T, REDONDO, Ø600 MM (COM INSCRICAO EM RELEVO DO TIPO DE REDE)</t>
  </si>
  <si>
    <t>CCU 60</t>
  </si>
  <si>
    <t>SINAPI 98115 (vol=0,0283m3)</t>
  </si>
  <si>
    <t>TAMPA EM CONCRETO PRÉ-MOLDADO FCK = 30MPA PARA ESGOTO E DRENAGEM</t>
  </si>
  <si>
    <t>PE 540/2025, item 9 (anexo ao lado)</t>
  </si>
  <si>
    <t>LOCAÇÃO DE BANHEIRO QUÍMICO INDIVIDUAL, INCLUSO TRANSPORTE, LIMPEZA E REPOSIÇÃO DE PAPEL HIGIENICO</t>
  </si>
  <si>
    <t>EMULSÃO ASFALTICA TIPO RR-1C, INCLUSO PIS, COFINS E ICMS</t>
  </si>
  <si>
    <t>CIMENTOS ASFÁLTICOS CAP-50-70, INCLUSO PIS, COFINS E ICMS</t>
  </si>
  <si>
    <t>(**) IMPOSTO Materiais Betuminosos:</t>
  </si>
  <si>
    <t>RR-1C</t>
  </si>
  <si>
    <t>CAP-50-70</t>
  </si>
  <si>
    <t>TAB 04.02</t>
  </si>
  <si>
    <t>BALIZADOR CÔNICO REFLETIVO EM POLIETILENO SEMIFLEXÍVEL - H = 114 CM E BASE OCTOGONAL DE D = 40 CM</t>
  </si>
  <si>
    <t>CAMINHÃO PLATAFORMA 8 X 4, PBT 29.000 KG E DISTÂNCIA ENTRE EIXOS 4,6 M - 210 KW - MOTORISTA DE CAMINHÃO</t>
  </si>
  <si>
    <t>7.3</t>
  </si>
  <si>
    <t>Item</t>
  </si>
  <si>
    <t>Un</t>
  </si>
  <si>
    <t>1. ESCAVAÇÃO</t>
  </si>
  <si>
    <t>ESCAVAÇÃO GERAL ATÉ 1,5 M</t>
  </si>
  <si>
    <t>ESCAVAÇÃO GERAL ENTRE 1,5 M E 3,0M</t>
  </si>
  <si>
    <t>ESCAVAÇÃO GERAL ACIMA DE 3,0 M</t>
  </si>
  <si>
    <t>ESCAVAÇÃO MANUAL ATÉ 1,5 M</t>
  </si>
  <si>
    <t>ESCAVAÇÃO MECANICA ATE 1,5 M</t>
  </si>
  <si>
    <t>ESCAVAÇÃO COM MINIESCAVAEIRA (BOBCAT)</t>
  </si>
  <si>
    <t>1.7</t>
  </si>
  <si>
    <t>ESCAVAÇÃO MECANICA ENTRE 1,5 M E 3,0M</t>
  </si>
  <si>
    <t>1.8</t>
  </si>
  <si>
    <t>ESCAVAÇÃO MECANICA SOLOS MOLES</t>
  </si>
  <si>
    <t>1.9</t>
  </si>
  <si>
    <t>ESCAVAÇÃO LEITO EM ROCHA</t>
  </si>
  <si>
    <t>2. REMOÇÃO DO MATERIAL ESCAVADO</t>
  </si>
  <si>
    <t xml:space="preserve">REMOÇÃO DE MATERIAL ESCAVADO </t>
  </si>
  <si>
    <t>REMOÇÃO DE MATERIAL ESCAVADO (ASFALTO)</t>
  </si>
  <si>
    <t>3. REATERRO</t>
  </si>
  <si>
    <t>REATERRO COM SOLO LOCAL</t>
  </si>
  <si>
    <t>REATERRO COM BRITA N°1 (ATÉ 1/3 ALTURA DO TUBO ATÉ DN600)</t>
  </si>
  <si>
    <t>3.3</t>
  </si>
  <si>
    <t>REATERRO COM BRITA N°1 (ATÉ 1/3 ALTURA DO TUBO MAIOR DN800)</t>
  </si>
  <si>
    <t>3.4</t>
  </si>
  <si>
    <t>REATERRO COM SAIBRO IMPORTADO ISC&gt;20% (COMPACTADO MANUALMENTE)</t>
  </si>
  <si>
    <t>3.5</t>
  </si>
  <si>
    <t>REATERRO COM SAIBRO IMPORTADO ISC&gt;20% (COMPACTADO MECANICAMENTE)</t>
  </si>
  <si>
    <t>4. ESCORAMENTO</t>
  </si>
  <si>
    <t>ESCORAMENTO DESCONTINUO MADEIRA</t>
  </si>
  <si>
    <t>ESCORAMENTO CONTINUO MADEIRA</t>
  </si>
  <si>
    <t>ESCORAMENTO METÁLICO BLINDAGEM PESADA</t>
  </si>
  <si>
    <t>ESCORAMENTO CONTINUO METALICO</t>
  </si>
  <si>
    <t>5. BASE ASSENTAMENTO DA TUBULAÇÃO</t>
  </si>
  <si>
    <t>ENROCAMENTO COM PEDRA AMARROADA (15cm) PARA VALA DESCARGA</t>
  </si>
  <si>
    <t>RADIER DE 10cm</t>
  </si>
  <si>
    <t>LASTRO BRITA (10cm) PARA TUBOS ATÉ DN600</t>
  </si>
  <si>
    <t>LASTRO BRITA (10cm) PARA TUBOS MAIOR OU IGUAL A DN800</t>
  </si>
  <si>
    <t>6. FORNECIMENTO DE TUBOS</t>
  </si>
  <si>
    <t>FORNECIMENTO TUBO CONCRETO DN 300mm</t>
  </si>
  <si>
    <t>FORNECIMENTO TUBO CONCRETO PA3 DN 400mm</t>
  </si>
  <si>
    <t>FORNECIMENTO TUBO CONCRETO DN 500mm</t>
  </si>
  <si>
    <t>FORNECIMENTO TUBO CONCRETO PA3 DN 600mm</t>
  </si>
  <si>
    <t xml:space="preserve">FORNECIMENTO TUBO DE CONCRETO PA3 DN 800mm </t>
  </si>
  <si>
    <t>FORNECIMENTO TUBO CONCRETO DN 1000mm</t>
  </si>
  <si>
    <t>FORNECIMENTO TUBO CONCRETO DN 1200mm</t>
  </si>
  <si>
    <t>6.8</t>
  </si>
  <si>
    <t>FORNECIMENTO GALERIA/ADUELA 2000x1000mm ESP. 150mm MÍSULA 150mm</t>
  </si>
  <si>
    <t>7. REMOÇÃO DE PAVIMENTAÇÃO</t>
  </si>
  <si>
    <t>REMOÇÃO - ASFALTO (vias LOCAIS e=5 cm)</t>
  </si>
  <si>
    <t>REMOÇÃO - ASFALTO (base paralelepípedo e=5cm)</t>
  </si>
  <si>
    <t>REMOÇÃO - PARALELEPIPEDO / PEDRA IRREGULAR</t>
  </si>
  <si>
    <t>REMOÇÃO - BLOCOS DE CONCRETO INTERTRAVADOS</t>
  </si>
  <si>
    <t>REMOÇÃO - BASALTO REGULAR / IRREGULAR</t>
  </si>
  <si>
    <t>REMOÇÃO - LAJE DE GRES</t>
  </si>
  <si>
    <t>REMOÇÃO - PISO CIMENTADO/DESEMPENADO</t>
  </si>
  <si>
    <t>7.8</t>
  </si>
  <si>
    <t>REMOÇÃO - GRAMA EM LEIVA</t>
  </si>
  <si>
    <t>7.9</t>
  </si>
  <si>
    <t>MEIO-FIO DE CONCRETO PRÉ-MOLDADO PARA VIAS SEM PAVIMENTO</t>
  </si>
  <si>
    <t>7.10</t>
  </si>
  <si>
    <t>REMOÇÃO PEDRA DE GRANITO (DESCARGA)</t>
  </si>
  <si>
    <t>8. EXECUÇÃO DE POÇOS DE VISITA</t>
  </si>
  <si>
    <t>PLUVIAL - PV TIPO A - 0,80x0,80x1,00 - VIA - COMPLETO</t>
  </si>
  <si>
    <t>un</t>
  </si>
  <si>
    <t>PLUVIAL - PV TIPO A - 0,80x0,80x1,50 - CALÇADA - COMPLETO</t>
  </si>
  <si>
    <t>METRO ADICIONAL DE POCO DE VISITA TIPO A</t>
  </si>
  <si>
    <t>PLUVIAL - PV TIPO B - 1,00x1,00x1,50 - VIA - COMPLETO</t>
  </si>
  <si>
    <t>PLUVIAL - PV TIPO B - 1,00x1,00x1,50 - CALÇADA COMPLETO</t>
  </si>
  <si>
    <t>METRO ADICIONAL DE POCO DE VISITA TIPO B</t>
  </si>
  <si>
    <t>PLUVIAL - PV - TIPO E - 1,50x1,50 - VIA - COMPLETO</t>
  </si>
  <si>
    <t>PLUVIAL - PV - TIPO E - 1,20x1,20 - VIA - COMPLETO</t>
  </si>
  <si>
    <t>TAMPÃO DE FERRO DN 600 - FORNEC E INSTALAÇÃO</t>
  </si>
  <si>
    <t>TAMPÃO DE FERRO DN 800 - FORNEC E INSTALAÇÃO</t>
  </si>
  <si>
    <t>BOCA DE LOBO SIMPLES</t>
  </si>
  <si>
    <t>BOCA DE LOBO DUPLA</t>
  </si>
  <si>
    <t>BOCA DE LOBO SIMPLES COMBINADA COM GRELHA</t>
  </si>
  <si>
    <t>BOCA DE LOBO DUPLA COMBINADA COM GRELHA</t>
  </si>
  <si>
    <t>GRELHA FARROUPILHA SIMPLES</t>
  </si>
  <si>
    <t>9. ENVELOPAMENTO</t>
  </si>
  <si>
    <t>ENVELOPAMENTO DE CONCRETO</t>
  </si>
  <si>
    <t>10. SINALIZAÇÃO</t>
  </si>
  <si>
    <t>EXTENSÃO DE SINALIZAÇÃO</t>
  </si>
  <si>
    <t>SINALIZAÇÃO - CARRO SETA - LOCAÇÃO</t>
  </si>
  <si>
    <t>d</t>
  </si>
  <si>
    <t>PLACA DE OBRA</t>
  </si>
  <si>
    <t>11. DIVERSOS</t>
  </si>
  <si>
    <t>EXTENSÃO DE PROJETO REDES (CADASTRO)</t>
  </si>
  <si>
    <t>ESCAVAR VALA DESCARGA REDE PLUVIAL</t>
  </si>
  <si>
    <t>ALAS DE PEDRA (paredes)</t>
  </si>
  <si>
    <t>ALAS DE PEDRA (Base concreto + viga)</t>
  </si>
  <si>
    <t xml:space="preserve">REPOSIÇÃO ASFALTO e=5cm </t>
  </si>
  <si>
    <t xml:space="preserve">IMPRIMAÇÃO ASFALTICA </t>
  </si>
  <si>
    <t xml:space="preserve">BASE DE BRITA GRADUADA e=15cm </t>
  </si>
  <si>
    <t>SUB-BASE DE RACHÃO e=15cm</t>
  </si>
  <si>
    <t>11.10</t>
  </si>
  <si>
    <t>DEMOLIÇÃO E TRANSPORTE DE ALVENARIA DE PVs TIPO A - 4 un. na Rua Tanaui da Silva Boeira</t>
  </si>
  <si>
    <t>11.11</t>
  </si>
  <si>
    <t>REMOÇÃO E TRANSPORTE TUBO CONCRETO DN300mm na Rua Tanaui</t>
  </si>
  <si>
    <t>PAVIMENTAÇÃO VIÁRIA</t>
  </si>
  <si>
    <t>PAVIMENTAÇÃO PASSEIOS</t>
  </si>
  <si>
    <t>9.8</t>
  </si>
  <si>
    <t>9.9</t>
  </si>
  <si>
    <t>12.5</t>
  </si>
  <si>
    <t>12.6</t>
  </si>
  <si>
    <t>12.7</t>
  </si>
  <si>
    <t>12.8</t>
  </si>
  <si>
    <t>12.9</t>
  </si>
  <si>
    <t>15.4</t>
  </si>
  <si>
    <t>15.5</t>
  </si>
  <si>
    <t>15.6</t>
  </si>
  <si>
    <t>15.7</t>
  </si>
  <si>
    <t>15.8</t>
  </si>
  <si>
    <t>15.9</t>
  </si>
  <si>
    <t>15.10</t>
  </si>
  <si>
    <t>15.11</t>
  </si>
  <si>
    <t>PROJETO AS BUILT (1.550m2 DE ÁREA CONSTRUÍDA)</t>
  </si>
  <si>
    <t>ENSAIOS</t>
  </si>
  <si>
    <t>6.9</t>
  </si>
  <si>
    <t>6.10</t>
  </si>
  <si>
    <t>6.11</t>
  </si>
  <si>
    <t>6.12</t>
  </si>
  <si>
    <t>6.13</t>
  </si>
  <si>
    <t>6.14</t>
  </si>
  <si>
    <t>6.15</t>
  </si>
  <si>
    <t>6.16</t>
  </si>
  <si>
    <t>6.17</t>
  </si>
  <si>
    <t>6.18</t>
  </si>
  <si>
    <t>6.19</t>
  </si>
  <si>
    <t>6.20</t>
  </si>
  <si>
    <t>6.21</t>
  </si>
  <si>
    <t>6.22</t>
  </si>
  <si>
    <t>6.23</t>
  </si>
  <si>
    <t>6.24</t>
  </si>
  <si>
    <t>6.25</t>
  </si>
  <si>
    <t>6.26</t>
  </si>
  <si>
    <t>6.27</t>
  </si>
  <si>
    <t>6.28</t>
  </si>
  <si>
    <t>6.29</t>
  </si>
  <si>
    <t>6.30</t>
  </si>
  <si>
    <t>6.31</t>
  </si>
  <si>
    <t>6.32</t>
  </si>
  <si>
    <t>6.33</t>
  </si>
  <si>
    <t>6.34</t>
  </si>
  <si>
    <t>6.35</t>
  </si>
  <si>
    <t>6.36</t>
  </si>
  <si>
    <t>9.10</t>
  </si>
  <si>
    <t>9.11</t>
  </si>
  <si>
    <t>9.12</t>
  </si>
  <si>
    <t>9.13</t>
  </si>
  <si>
    <t>9.14</t>
  </si>
  <si>
    <t>9.15</t>
  </si>
  <si>
    <t>10.7</t>
  </si>
  <si>
    <t>10.8</t>
  </si>
  <si>
    <t>10.9</t>
  </si>
  <si>
    <t>13.5</t>
  </si>
  <si>
    <t>13.6</t>
  </si>
  <si>
    <t>13.7</t>
  </si>
  <si>
    <t>13.8</t>
  </si>
  <si>
    <t>13.9</t>
  </si>
  <si>
    <t>16.5</t>
  </si>
  <si>
    <t>16.6</t>
  </si>
  <si>
    <t>16.7</t>
  </si>
  <si>
    <t>16.8</t>
  </si>
  <si>
    <t>16.9</t>
  </si>
  <si>
    <t>16.10</t>
  </si>
  <si>
    <t>16.11</t>
  </si>
  <si>
    <t>16.12</t>
  </si>
  <si>
    <t>16.13</t>
  </si>
  <si>
    <t>17.1</t>
  </si>
  <si>
    <t>17.2</t>
  </si>
  <si>
    <t>17.3</t>
  </si>
  <si>
    <t>17.4</t>
  </si>
  <si>
    <t>SUBLEITO</t>
  </si>
  <si>
    <t>2.1.1</t>
  </si>
  <si>
    <t>2.1.2</t>
  </si>
  <si>
    <t>2.1.3</t>
  </si>
  <si>
    <t>2.1.4</t>
  </si>
  <si>
    <t>2.1.5</t>
  </si>
  <si>
    <t>BASE BG</t>
  </si>
  <si>
    <t>IMPRIMAÇÃO</t>
  </si>
  <si>
    <t>2.2.1</t>
  </si>
  <si>
    <t>2.2.2</t>
  </si>
  <si>
    <t>2.2.3</t>
  </si>
  <si>
    <t>2.2.4</t>
  </si>
  <si>
    <t>2.2.5</t>
  </si>
  <si>
    <t>2.2.6</t>
  </si>
  <si>
    <t>2.3.1</t>
  </si>
  <si>
    <t>2.4.1</t>
  </si>
  <si>
    <t>2.5.1</t>
  </si>
  <si>
    <t>2.5.2</t>
  </si>
  <si>
    <t>2.5.3</t>
  </si>
  <si>
    <t>SERVIÇO DE VIGILÂNCIA NOTURNO (DIÁRIO) E DIURNO (FINAIS DE SEMANA E FERIADO)</t>
  </si>
  <si>
    <t>MEIO-FIO</t>
  </si>
  <si>
    <t>CUSTO TOTAL (MAT+EQ):</t>
  </si>
  <si>
    <t>CUSTO UNITARIO (MAT+EQ)</t>
  </si>
  <si>
    <t>CUSTO TOTAL
(MAT+EQ)</t>
  </si>
  <si>
    <t>SINAPI 74022/014</t>
  </si>
  <si>
    <t>Ensaio de Umidade “in situ”</t>
  </si>
  <si>
    <t>SINAPI 74022/024</t>
  </si>
  <si>
    <t>SINAPI 74022/007</t>
  </si>
  <si>
    <t>Ensaio de Limite de Liquidez</t>
  </si>
  <si>
    <t>SINAPI 74022/008</t>
  </si>
  <si>
    <t>Ensaio de Limite de Plasticidade</t>
  </si>
  <si>
    <t>SINAPI 74022/009</t>
  </si>
  <si>
    <t>SINAPI 74022/010</t>
  </si>
  <si>
    <t>SINAPI 74022/019</t>
  </si>
  <si>
    <t>CCU 08.a</t>
  </si>
  <si>
    <t>CCU 08.b</t>
  </si>
  <si>
    <t>CCU 08.c</t>
  </si>
  <si>
    <t>CCU 08.d</t>
  </si>
  <si>
    <t>CCU 08.e</t>
  </si>
  <si>
    <t>CCU 08.f</t>
  </si>
  <si>
    <t>CCU 08.g</t>
  </si>
  <si>
    <t>CCU 08.h</t>
  </si>
  <si>
    <t>CCU 08.i</t>
  </si>
  <si>
    <t>Ensaio de Densidade</t>
  </si>
  <si>
    <t>SINAPI 74022/016</t>
  </si>
  <si>
    <t>SINAPI 74022/027</t>
  </si>
  <si>
    <t>SINAPI 74022/012</t>
  </si>
  <si>
    <t>CCU 08.m</t>
  </si>
  <si>
    <t>SINAPI 74022/053</t>
  </si>
  <si>
    <t>CCU 08.l</t>
  </si>
  <si>
    <t>CCU 08.k</t>
  </si>
  <si>
    <t>Ensaio de Marshall</t>
  </si>
  <si>
    <t>SINAPI 74022/040</t>
  </si>
  <si>
    <t>SINAPI 74022/052</t>
  </si>
  <si>
    <t>Ensaio de Granulametria</t>
  </si>
  <si>
    <t>CCU 08.n</t>
  </si>
  <si>
    <t>SINAPI 74022/023</t>
  </si>
  <si>
    <t>SINAPI 74022/042</t>
  </si>
  <si>
    <t>CCU 08.p</t>
  </si>
  <si>
    <t>CCU 08.o</t>
  </si>
  <si>
    <t>Extração de Betume</t>
  </si>
  <si>
    <t>2.6.1</t>
  </si>
  <si>
    <t>COLETA CONJUNTO DE AMOSTRAS</t>
  </si>
  <si>
    <t>ENSAIO DE COMPRESSÃO</t>
  </si>
  <si>
    <t>ENSAIO DE TEMPERATURA INICIO ESPALHAMENTO</t>
  </si>
  <si>
    <t>ENSAIO DE EXTRAÇÃO DE BETUME / GRANULAMETRIA / MARSHALL</t>
  </si>
  <si>
    <t>ENSAIO DE DESGASTE E RESISTENCIA</t>
  </si>
  <si>
    <t>ENSAIO DE TAXA APLICAÇÃO IMPRIMAÇÃO</t>
  </si>
  <si>
    <t>ENSAIO DE COMPACTAÇÃO MÉTODO MODIFICADO</t>
  </si>
  <si>
    <t>ENSAIO DE MASSA ESPECÍFICA APARENTE</t>
  </si>
  <si>
    <t>ENSAIO DE EQUIVALENTE AREIA</t>
  </si>
  <si>
    <t>ENSAIO DE UMIDADE ANTES DA COMPACTAÇÃO</t>
  </si>
  <si>
    <t>ENSAIO DE COMPACTAÇÃO MÉTODO NORMAL</t>
  </si>
  <si>
    <t>ENSAIO DE LIMITE DE LIQUIDEZ / LIMITE DE PLASTICIDADE</t>
  </si>
  <si>
    <t>ENSAIO DE GRANULOMETRIA POR PENEIRAMENTO E SEDIMENTAÇÃO</t>
  </si>
  <si>
    <t>ENSAIO DE DENSIDADE / UMIDADE</t>
  </si>
  <si>
    <t>ENSAIO DE ÍNDICE SUPORTE CALIFORNIA</t>
  </si>
  <si>
    <t>ARMAÇÃO DE CINTA DE ALVENARIA ESTRUTURAL; DIÂMETRO DE 10,0 MM. AF_06/2026</t>
  </si>
  <si>
    <t>ARMAÇÃO DE CINTA DE ALVENARIA ESTRUTURAL; DIÂMETRO DE 12,5 MM. AF_06/2026</t>
  </si>
  <si>
    <t>ARMAÇÃO DE CINTA DE ALVENARIA ESTRUTURAL; DIÂMETRO DE 16,0 MM. AF_06/2026</t>
  </si>
  <si>
    <t>ARMAÇÃO DE CINTA DE ALVENARIA ESTRUTURAL; DIÂMETRO DE 8,0 MM. AF_06/2026</t>
  </si>
  <si>
    <t>ARMAÇÃO DE VERGA E CONTRAVERGA DE ALVENARIA ESTRUTURAL; DIÂMETRO DE 10,0 MM. AF_06/2026</t>
  </si>
  <si>
    <t>ARMAÇÃO DE VERGA E CONTRAVERGA DE ALVENARIA ESTRUTURAL; DIÂMETRO DE 12,5 MM. AF_06/2026</t>
  </si>
  <si>
    <t>ARMAÇÃO DE VERGA E CONTRAVERGA DE ALVENARIA ESTRUTURAL; DIÂMETRO DE 16,0 MM. AF_06/2026</t>
  </si>
  <si>
    <t>ARMAÇÃO DE VERGA E CONTRAVERGA DE ALVENARIA ESTRUTURAL; DIÂMETRO DE 6,3 MM. AF_06/2026</t>
  </si>
  <si>
    <t>ARMAÇÃO DE VERGA E CONTRAVERGA DE ALVENARIA ESTRUTURAL; DIÂMETRO DE 8,0 MM. AF_06/2026</t>
  </si>
  <si>
    <t>ARMAÇÃO VERTICAL DE ALVENARIA ESTRUTURAL; DIÂMETRO DE 10,0 MM. AF_06/2026</t>
  </si>
  <si>
    <t>ARMAÇÃO VERTICAL DE ALVENARIA ESTRUTURAL; DIÂMETRO DE 12,5 MM. AF_06/2026</t>
  </si>
  <si>
    <t>ARMAÇÃO VERTICAL DE ALVENARIA ESTRUTURAL; DIÂMETRO DE 16,0 MM. AF_06/2026</t>
  </si>
  <si>
    <t>GRAUTE FGK=15 MPA; TRAÇO 1:0,04:2,2:2,5 (EM MASSA SECA DE CIMENTO/CAL/AREIA GROSSA/BRITA 0) - PREPARO MECÂNICO COM BETONEIRA 400 L. AF_06/2026</t>
  </si>
  <si>
    <t>GRAUTE FGK=15 MPA; TRAÇO 1:2,2:2,5:0,4 (EM MASSA SECA DE CIMENTO/ AREIA GROSSA/ BRITA 0/ ADITIVO) - PREPARO MECÂNICO COM BETONEIRA 400 L. AF_06/2026</t>
  </si>
  <si>
    <t>GRAUTE FGK=20 MPA; TRAÇO 1:0,04:1,8:2,1 (EM MASSA SECA DE CIMENTO/ CAL/ AREIA GROSSA/ BRITA 0) - PREPARO MECÂNICO COM BETONEIRA 400 L. AF_06/2026</t>
  </si>
  <si>
    <t>GRAUTE FGK=20 MPA; TRAÇO 1:1,8:2,1:0,4 (EM MASSA SECA DE CIMENTO/ AREIA GROSSA/ BRITA 0/ ADITIVO) - PREPARO MECÂNICO COM BETONEIRA 400 L. AF_06/2026</t>
  </si>
  <si>
    <t>GRAUTE FGK=25 MPA; TRAÇO 1:0,02:1,3:1,6 (EM MASSA SECA DE CIMENTO/ CAL/ AREIA GROSSA/ BRITA 0) - PREPARO MECÂNICO COM BETONEIRA 400 L. AF_06/2026</t>
  </si>
  <si>
    <t>GRAUTE FGK=25 MPA; TRAÇO 1:1,3:1,6:0,5 (EM MASSA SECA DE CIMENTO/ AREIA GROSSA/ BRITA 0/ ADITIVO) - PREPARO MECÂNICO COM BETONEIRA 400 L. AF_06/2026</t>
  </si>
  <si>
    <t>GRAUTE FGK=30 MPA; TRAÇO 1:0,02:0,9:1,2 (EM MASSA SECA DE CIMENTO/ CAL/ AREIA GROSSA/ BRITA 0) - PREPARO MECÂNICO COM BETONEIRA 400 L. AF_06/2026</t>
  </si>
  <si>
    <t>GRAUTE FGK=30 MPA; TRAÇO 1:0,9:1,2:0,7 (EM MASSA SECA DE CIMENTO/ AREIA GROSSA/ BRITA 0/ ADITIVO) - PREPARO MECÂNICO COM BETONEIRA 400 L. AF_06/2026</t>
  </si>
  <si>
    <t>GRAUTE FGK=35 MPA; TRAÇO 1:2,5:2,0:0,4 (EM MASSA SECA DE CIMENTO/ AREIA GROSSA/ BRITA 0/ ADITIVO) - PREPARO MECÂNICO COM BETONEIRA 400 L. AF_06/2026</t>
  </si>
  <si>
    <t>GRAUTE INDUSTRIALIZADO FLUIDO DE ALTA RESISTENCIA - PREPARO MECÂNICO COM MISTURADOR 300 KG. AF_06/2026</t>
  </si>
  <si>
    <t>GRAUTEAMENTO DE CINTA INTERMEDIÁRIA OU DE CONTRAVERGA EM ALVENARIA ESTRUTURAL, COM GRAUTE INDUSTRIALIZADO. AF_06/2026</t>
  </si>
  <si>
    <t>GRAUTEAMENTO DE CINTA INTERMEDIÁRIA OU DE CONTRAVERGA EM ALVENARIA ESTRUTURAL, FGK = 15 MPA. AF_06/2026</t>
  </si>
  <si>
    <t>GRAUTEAMENTO DE CINTA INTERMEDIÁRIA OU DE CONTRAVERGA EM ALVENARIA ESTRUTURAL, FGK = 20 MPA. AF_06/2026</t>
  </si>
  <si>
    <t>GRAUTEAMENTO DE CINTA INTERMEDIÁRIA OU DE CONTRAVERGA EM ALVENARIA ESTRUTURAL, FGK = 25 MPA. AF_06/2026</t>
  </si>
  <si>
    <t>GRAUTEAMENTO DE CINTA INTERMEDIÁRIA OU DE CONTRAVERGA EM ALVENARIA ESTRUTURAL, FGK = 30 MPA. AF_06/2026</t>
  </si>
  <si>
    <t>GRAUTEAMENTO DE CINTA INTERMEDIÁRIA OU DE CONTRAVERGA EM ALVENARIA ESTRUTURAL, FGK = 35 MPA. AF_06/2026</t>
  </si>
  <si>
    <t>GRAUTEAMENTO DE CINTA SUPERIOR OU DE VERGA EM ALVENARIA ESTRUTURAL, COM GRAUTE INDUSTRIALIZADO. AF_06/2026</t>
  </si>
  <si>
    <t>GRAUTEAMENTO DE CINTA SUPERIOR OU DE VERGA EM ALVENARIA ESTRUTURAL, FGK = 15 MPA. AF_06/2026</t>
  </si>
  <si>
    <t>GRAUTEAMENTO DE CINTA SUPERIOR OU DE VERGA EM ALVENARIA ESTRUTURAL, FGK = 20 MPA. AF_06/2026</t>
  </si>
  <si>
    <t>GRAUTEAMENTO DE CINTA SUPERIOR OU DE VERGA EM ALVENARIA ESTRUTURAL, FGK = 25 MPA. AF_06/2026</t>
  </si>
  <si>
    <t>GRAUTEAMENTO DE CINTA SUPERIOR OU DE VERGA EM ALVENARIA ESTRUTURAL, FGK = 30 MPA. AF_06/2026</t>
  </si>
  <si>
    <t>GRAUTEAMENTO DE CINTA SUPERIOR OU DE VERGA EM ALVENARIA ESTRUTURAL, FGK = 35 MPA. AF_06/2026</t>
  </si>
  <si>
    <t>GRAUTEAMENTO VERTICAL EM ALVENARIA ESTRUTURAL, COM GRAUTE INDUSTRIALIZADO. AF_06/2026</t>
  </si>
  <si>
    <t>GRAUTEAMENTO VERTICAL EM ALVENARIA ESTRUTURAL, FGK = 15 MPA. AF_06/2026</t>
  </si>
  <si>
    <t>GRAUTEAMENTO VERTICAL EM ALVENARIA ESTRUTURAL, FGK = 20 MPA. AF_06/2026</t>
  </si>
  <si>
    <t>GRAUTEAMENTO VERTICAL EM ALVENARIA ESTRUTURAL, FGK = 25 MPA. AF_06/2026</t>
  </si>
  <si>
    <t>GRAUTEAMENTO VERTICAL EM ALVENARIA ESTRUTURAL, FGK = 30 MPA. AF_06/2026</t>
  </si>
  <si>
    <t>GRAUTEAMENTO VERTICAL EM ALVENARIA ESTRUTURAL, FGK = 35 MPA. AF_06/2026</t>
  </si>
  <si>
    <t>AR CONDICIONADO SPLIT INVERTER, HI-WALL (PAREDE), 12000 BTU/H, CICLO FRIO - FORNECIMENTO E INSTALAÇÃO. AF_06/2026_PE</t>
  </si>
  <si>
    <t>AR CONDICIONADO SPLIT INVERTER, HI-WALL (PAREDE), 18000 BTU/H, CICLO FRIO - FORNECIMENTO E INSTALAÇÃO. AF_06/2026_PE</t>
  </si>
  <si>
    <t>AR CONDICIONADO SPLIT INVERTER, HI-WALL (PAREDE), 24000 BTU/H, CICLO FRIO - FORNECIMENTO E INSTALAÇÃO. AF_06/2026_PE</t>
  </si>
  <si>
    <t>AR CONDICIONADO SPLIT INVERTER, HI-WALL (PAREDE), 9000 BTU/H, CICLO FRIO - FORNECIMENTO E INSTALAÇÃO. AF_06/2026_PE</t>
  </si>
  <si>
    <t>AR CONDICIONADO SPLIT INVERTER, PISO TETO, 18000 BTU/H, CICLO FRIO - FORNECIMENTO E INSTALAÇÃO. AF_06/2026_PSE</t>
  </si>
  <si>
    <t>AR CONDICIONADO SPLIT INVERTER, PISO TETO, 24000 BTU/H, CICLO FRIO - FORNECIMENTO E INSTALAÇÃO. AF_06/2026_PSE</t>
  </si>
  <si>
    <t>AR CONDICIONADO SPLIT INVERTER, PISO TETO, 24000 BTU/H, QUENTE/FRIO - FORNECIMENTO E INSTALAÇÃO. AF_06/2026_PSE</t>
  </si>
  <si>
    <t>AR CONDICIONADO SPLIT INVERTER, PISO TETO, 36000 BTU/H, CICLO FRIO - FORNECIMENTO E INSTALAÇÃO. AF_06/2026_PSE</t>
  </si>
  <si>
    <t>AR CONDICIONADO SPLIT INVERTER, PISO TETO, 36000 BTU/H, CICLO FRIO, COM CONDENSADORA IÇADA COM GUINDASTE - FORNECIMENTO E INSTALAÇÃO. AF_06/2026_PSE</t>
  </si>
  <si>
    <t>AR CONDICIONADO SPLIT INVERTER, PISO TETO, 48000 BTU/H, CICLO FRIO - FORNECIMENTO E INSTALAÇÃO. AF_06/2026_PSE</t>
  </si>
  <si>
    <t>AR CONDICIONADO SPLIT INVERTER, PISO TETO, APRESENTANDO ENTRE 54000 E 58000 BTU/H, CICLO FRIO - FORNECIMENTO E INSTALAÇÃO. AF_06/2026_PSE</t>
  </si>
  <si>
    <t>AR CONDICIONADO SPLIT ON/OFF, CASSETE (TETO), 18000 BTU/H, CICLO QUENTE/FRIO - FORNECIMENTO E INSTALAÇÃO. AF_06/2026_PE</t>
  </si>
  <si>
    <t>AR CONDICIONADO SPLIT ON/OFF, CASSETE (TETO), 24000 BTU/H, CICLO QUENTE/FRIO - FORNECIMENTO E INSTALAÇÃO. AF_06/2026_PE</t>
  </si>
  <si>
    <t>AR CONDICIONADO SPLIT ON/OFF, CASSETE (TETO), 36000 BTU/H, CICLO QUENTE/FRIO - FORNECIMENTO E INSTALAÇÃO. AF_06/2026_PE</t>
  </si>
  <si>
    <t>AR CONDICIONADO SPLIT ON/OFF, CASSETE (TETO), 36000 BTU/H, CICLO QUENTE/FRIO, COM CONDENSADORA IÇADA COM GUINDASTE - FORNECIMENTO E INSTALAÇÃO. AF_06/2026_PE</t>
  </si>
  <si>
    <t>AR CONDICIONADO SPLIT ON/OFF, CASSETE (TETO), 48000 BTU/H, CICLO QUENTE/FRIO - FORNECIMENTO E INSTALAÇÃO. AF_06/2026_PE</t>
  </si>
  <si>
    <t>AR CONDICIONADO SPLIT ON/OFF, CASSETE (TETO), 60000 BTU/H, CICLO QUENTE/FRIO - FORNECIMENTO E INSTALAÇÃO. AF_06/2026_PE</t>
  </si>
  <si>
    <t>AR CONDICIONADO SPLIT ON/OFF, CASSETE (TETO), FRIO 4 VIAS 18000 BTU/H - FORNECIMENTO E INSTALAÇÃO. AF_06/2026_PE</t>
  </si>
  <si>
    <t>AR CONDICIONADO SPLIT ON/OFF, CASSETE (TETO), FRIO 4 VIAS 24000 BTU/H - FORNECIMENTO E INSTALAÇÃO. AF_06/2026_PE</t>
  </si>
  <si>
    <t>AR CONDICIONADO SPLIT ON/OFF, CASSETE (TETO), FRIO 4 VIAS 36000 BTU/H - FORNECIMENTO E INSTALAÇÃO. AF_06/2026_PE</t>
  </si>
  <si>
    <t>AR CONDICIONADO SPLIT ON/OFF, CASSETE (TETO), FRIO 4 VIAS 36000 BTU/H, COM CONDENSADORA IÇADA COM GUINDASTE - FORNECIMENTO E INSTALAÇÃO. AF_06/2026_PE</t>
  </si>
  <si>
    <t>AR CONDICIONADO SPLIT ON/OFF, CASSETE (TETO), FRIO 4 VIAS 48000 BTU/H - FORNECIMENTO E INSTALAÇÃO. AF_06/2026_PE</t>
  </si>
  <si>
    <t>AR CONDICIONADO SPLIT ON/OFF, CASSETE (TETO), FRIO 4 VIAS 60000 BTU/H - FORNECIMENTO E INSTALAÇÃO. AF_06/2026_PE</t>
  </si>
  <si>
    <t>AR CONDICIONADO SPLIT ON/OFF, HI-WALL (PAREDE), 12000 BTUS/H, CICLO FRIO - FORNECIMENTO E INSTALAÇÃO. AF_06/2026_PE</t>
  </si>
  <si>
    <t>AR CONDICIONADO SPLIT ON/OFF, HI-WALL (PAREDE), 12000 BTUS/H, CICLO QUENTE/FRIO - FORNECIMENTO E INSTALAÇÃO. AF_06/2026_PE</t>
  </si>
  <si>
    <t>AR CONDICIONADO SPLIT ON/OFF, HI-WALL (PAREDE), 18000 BTUS/H, CICLO FRIO - FORNECIMENTO E INSTALAÇÃO. AF_06/2026_PE</t>
  </si>
  <si>
    <t>AR CONDICIONADO SPLIT ON/OFF, HI-WALL (PAREDE), 18000 BTUS/H, CICLO QUENTE/FRIO - FORNECIMENTO E INSTALAÇÃO. AF_06/2026_PE</t>
  </si>
  <si>
    <t>AR CONDICIONADO SPLIT ON/OFF, HI-WALL (PAREDE), 24000 BTUS/H, CICLO FRIO - FORNECIMENTO E INSTALAÇÃO. AF_06/2026_PE</t>
  </si>
  <si>
    <t>AR CONDICIONADO SPLIT ON/OFF, HI-WALL (PAREDE), 24000 BTUS/H, CICLO QUENTE/FRIO - FORNECIMENTO E INSTALAÇÃO. AF_06/2026_PE</t>
  </si>
  <si>
    <t>AR CONDICIONADO SPLIT ON/OFF, HI-WALL (PAREDE), 9000 BTUS/H, CICLO FRIO - FORNECIMENTO E INSTALAÇÃO. AF_06/2026_PE</t>
  </si>
  <si>
    <t>AR CONDICIONADO SPLIT ON/OFF, HI-WALL (PAREDE), 9000 BTUS/H, CICLO QUENTE/FRIO - FORNECIMENTO E INSTALAÇÃO. AF_06/2026_PE</t>
  </si>
  <si>
    <t>AR CONDICIONADO SPLIT ON/OFF, PISO TETO, 18000 BTU/H, CICLO FRIO - FORNECIMENTO E INSTALAÇÃO. AF_06/2026_PSE</t>
  </si>
  <si>
    <t>AR CONDICIONADO SPLIT ON/OFF, PISO TETO, 24000 BTU/H, CICLO FRIO - FORNECIMENTO E INSTALAÇÃO. AF_06/2026_PSE</t>
  </si>
  <si>
    <t>AR CONDICIONADO SPLIT ON/OFF, PISO TETO, 36000 BTU/H, CICLO FRIO - FORNECIMENTO E INSTALAÇÃO. AF_06/2026_PSE</t>
  </si>
  <si>
    <t>AR CONDICIONADO SPLIT ON/OFF, PISO TETO, 36000 BTU/H, CICLO FRIO, COM CONDENSADORA IÇADA COM GUINDASTE - FORNECIMENTO E INSTALAÇÃO. AF_06/2026_PSE</t>
  </si>
  <si>
    <t>AR CONDICIONADO SPLIT ON/OFF, PISO TETO, 48000 BTU/H, CICLO FRIO - FORNECIMENTO E INSTALAÇÃO. AF_06/2026_PSE</t>
  </si>
  <si>
    <t>AR CONDICIONADO SPLIT ON/OFF, PISO TETO, 60000 BTU/H, CICLO FRIO - FORNECIMENTO E INSTALAÇÃO. AF_06/2026_PSE</t>
  </si>
  <si>
    <t>AR CONDICIONADO SPLITÃO 10 TR - FORNECIMENTO E INSTALAÇÃO. AF_06/2026_PE</t>
  </si>
  <si>
    <t>AR CONDICIONADO SPLITÃO 15 TR - FORNECIMENTO E INSTALAÇÃO. AF_06/2026_PE</t>
  </si>
  <si>
    <t>AR CONDICIONADO SPLITÃO 20 TR - FORNECIMENTO E INSTALAÇÃO. AF_06/2026_PE</t>
  </si>
  <si>
    <t>CARGA DE FLUIDO REFRIGERANTE PARA INSTALAÇÕES ACIMA DE 48000 BTUS. AF_06/2026</t>
  </si>
  <si>
    <t>CARGA DE FLUIDO REFRIGERANTE PARA INSTALAÇÕES ATÉ 24000 BTUS. AF_06/2026</t>
  </si>
  <si>
    <t>CARGA DE FLUIDO REFRIGERANTE PARA INSTALAÇÕES DE 30000 A 36000BTUS. AF_06/2026</t>
  </si>
  <si>
    <t>PROCEDIMENTO DE VÁCUO EM LINHA FRIGORÍGENA. AF_06/2026</t>
  </si>
  <si>
    <t>AMARRAÇÃO DE TELHAS CERÂMICAS OU DE CONCRETO. AF_06/2026</t>
  </si>
  <si>
    <t>CALHA DE BEIRAL, SEMICIRCULAR DE PVC, DIAMETRO 125 MM, INCLUINDO CABECEIRAS, EMENDAS, BOCAIS, SUPORTES E VEDAÇÕES, EXCLUINDO CONDUTORES, INCLUSO TRANSPORTE VERTICAL. AF_06/2026</t>
  </si>
  <si>
    <t>CALHA EM CHAPA DE AÇO GALVANIZADO NÚMERO 24, DESENVOLVIMENTO DE 100 CM, INCLUSO TRANSPORTE VERTICAL. AF_06/2026</t>
  </si>
  <si>
    <t>CALHA EM CHAPA DE AÇO GALVANIZADO NÚMERO 24, DESENVOLVIMENTO DE 33 CM, INCLUSO TRANSPORTE VERTICAL. AF_06/2026</t>
  </si>
  <si>
    <t>CALHA EM CHAPA DE AÇO GALVANIZADO NÚMERO 24, DESENVOLVIMENTO DE 50 CM, INCLUSO TRANSPORTE VERTICAL. AF_06/2026</t>
  </si>
  <si>
    <t>CUMEEIRA E ESPIGÃO PARA TELHA CERÂMICA EMBOÇADA COM ARGAMASSA TRAÇO 1:2:9 (CIMENTO, CAL E AREIA), PARA TELHADOS COM MAIS DE 2 ÁGUAS, INCLUSO TRANSPORTE VERTICAL. AF_06/2026</t>
  </si>
  <si>
    <t>CUMEEIRA E ESPIGÃO PARA TELHA DE CONCRETO EMBOÇADA COM ARGAMASSA TRAÇO 1:2:9 (CIMENTO, CAL E AREIA), PARA TELHADOS COM MAIS DE 2 ÁGUAS, INCLUSO TRANSPORTE VERTICAL. AF_06/2026</t>
  </si>
  <si>
    <t>CUMEEIRA PARA TELHA CERÂMICA EMBOÇADA COM ARGAMASSA TRAÇO 1:2:9 (CIMENTO, CAL E AREIA) PARA TELHADOS COM ATÉ 2 ÁGUAS, INCLUSO TRANSPORTE VERTICAL. AF_06/2026</t>
  </si>
  <si>
    <t>CUMEEIRA PARA TELHA DE CONCRETO EMBOÇADA COM ARGAMASSA TRAÇO 1:2:9 (CIMENTO, CAL E AREIA) PARA TELHADOS COM ATÉ 2 ÁGUAS, INCLUSO TRANSPORTE VERTICAL. AF_06/2026</t>
  </si>
  <si>
    <t>CUMEEIRA PARA TELHA DE FIBROCIMENTO ESTRUTURAL E = 6 MM, INCLUSO ACESSÓRIOS DE FIXAÇÃO E IÇAMENTO. AF_06/2026</t>
  </si>
  <si>
    <t>CUMEEIRA PARA TELHA DE FIBROCIMENTO ONDULADA E = 6 MM, INCLUSO ACESSÓRIOS DE FIXAÇÃO E IÇAMENTO. AF_06/2026</t>
  </si>
  <si>
    <t>CUMEEIRA SHED PARA TELHA ONDULADA DE FIBROCIMENTO, E = 6 MM, INCLUSO ACESSÓRIOS DE FIXAÇÃO E IÇAMENTO. AF_06/2026</t>
  </si>
  <si>
    <t>EMBOÇAMENTO COM ARGAMASSA TRAÇO 1:2:9 (CIMENTO, CAL E AREIA). AF_06/2026</t>
  </si>
  <si>
    <t>RETIRADA E RECOLOCAÇÃO DE TELHA CERÂMICA CAPA-CANAL, COM ATÉ DUAS ÁGUAS, INCLUSO IÇAMENTO. AF_06/2026</t>
  </si>
  <si>
    <t>RETIRADA E RECOLOCAÇÃO DE TELHA CERÂMICA CAPA-CANAL, COM MAIS DE DUAS ÁGUAS, INCLUSO IÇAMENTO. AF_06/2026</t>
  </si>
  <si>
    <t>RETIRADA E RECOLOCAÇÃO DE TELHA CERÂMICA DE ENCAIXE, COM ATÉ DUAS ÁGUAS, INCLUSO IÇAMENTO. AF_06/2026</t>
  </si>
  <si>
    <t>RETIRADA E RECOLOCAÇÃO DE TELHA CERÂMICA DE ENCAIXE, COM MAIS DE DUAS ÁGUAS, INCLUSO IÇAMENTO. AF_06/2026</t>
  </si>
  <si>
    <t>RUFO EM CHAPA DE AÇO GALVANIZADO NÚMERO 24, CORTE DE 25 CM, INCLUSO TRANSPORTE VERTICAL. AF_06/2026</t>
  </si>
  <si>
    <t>RUFO EM FIBROCIMENTO PARA TELHA ONDULADA E = 6 MM, ABA DE 26 CM, INCLUSO TRANSPORTE VERTICAL, EXCETO CONTRARRUFO. AF_06/2026</t>
  </si>
  <si>
    <t>RUFO EXTERNO/INTERNO EM CHAPA DE AÇO GALVANIZADO NÚMERO 26, CORTE DE 33 CM, INCLUSO IÇAMENTO. AF_06/2026</t>
  </si>
  <si>
    <t>SUBCOBERTURA COM MANTA PLÁSTICA REVESTIDA POR PELÍCULA DE ALUMÍNO, INCLUSO TRANSPORTE VERTICAL. AF_06/2026</t>
  </si>
  <si>
    <t>TELHAMENTO COM TELHA CERÂMICA CAPA-CANAL, TIPO COLONIAL, COM ATÉ 2 ÁGUAS, INCLUSO TRANSPORTE VERTICAL. AF_06/2026</t>
  </si>
  <si>
    <t>TELHAMENTO COM TELHA CERÂMICA CAPA-CANAL, TIPO COLONIAL, COM MAIS DE 2 ÁGUAS, INCLUSO TRANSPORTE VERTICAL. AF_06/2026</t>
  </si>
  <si>
    <t>TELHAMENTO COM TELHA CERÂMICA CAPA-CANAL, TIPO PAULISTA, COM ATÉ 2 ÁGUAS, INCLUSO TRANSPORTE VERTICAL. AF_06/2026</t>
  </si>
  <si>
    <t>TELHAMENTO COM TELHA CERÂMICA CAPA-CANAL, TIPO PAULISTA, COM MAIS DE 2 ÁGUAS, INCLUSO TRANSPORTE VERTICAL. AF_06/2026</t>
  </si>
  <si>
    <t>TELHAMENTO COM TELHA CERÂMICA CAPA-CANAL, TIPO PLAN, COM ATÉ 2 ÁGUAS, INCLUSO TRANSPORTE VERTICAL. AF_06/2026</t>
  </si>
  <si>
    <t>TELHAMENTO COM TELHA CERÂMICA CAPA-CANAL, TIPO PLAN, COM MAIS DE 2 ÁGUAS, INCLUSO TRANSPORTE VERTICAL. AF_06/2026</t>
  </si>
  <si>
    <t>TELHAMENTO COM TELHA CERÂMICA DE ENCAIXE, TIPO FRANCESA, COM ATÉ 2 ÁGUAS, INCLUSO TRANSPORTE VERTICAL. AF_06/2026</t>
  </si>
  <si>
    <t>TELHAMENTO COM TELHA CERÂMICA DE ENCAIXE, TIPO FRANCESA, COM MAIS DE 2 ÁGUAS, INCLUSO TRANSPORTE VERTICAL. AF_06/2026</t>
  </si>
  <si>
    <t>TELHAMENTO COM TELHA CERÂMICA DE ENCAIXE, TIPO PORTUGUESA, COM ATÉ 2 ÁGUAS, INCLUSO TRANSPORTE VERTICAL. AF_06/2026</t>
  </si>
  <si>
    <t>TELHAMENTO COM TELHA CERÂMICA DE ENCAIXE, TIPO PORTUGUESA, COM MAIS DE 2 ÁGUAS, INCLUSO TRANSPORTE VERTICAL. AF_06/2026</t>
  </si>
  <si>
    <t>TELHAMENTO COM TELHA CERÂMICA DE ENCAIXE, TIPO ROMANA, COM ATÉ 2 ÁGUAS, INCLUSO TRANSPORTE VERTICAL. AF_06/2026</t>
  </si>
  <si>
    <t>TELHAMENTO COM TELHA CERÂMICA DE ENCAIXE, TIPO ROMANA, COM MAIS DE 2 ÁGUAS, INCLUSO TRANSPORTE VERTICAL. AF_06/2026</t>
  </si>
  <si>
    <t>TELHAMENTO COM TELHA DE AÇO/ALUMÍNIO E = 0,5 MM, COM ATÉ 2 ÁGUAS, INCLUSO IÇAMENTO. AF_06/2026</t>
  </si>
  <si>
    <t>TELHAMENTO COM TELHA DE CONCRETO DE ENCAIXE, COM ATÉ 2 ÁGUAS, INCLUSO TRANSPORTE VERTICAL. AF_06/2026</t>
  </si>
  <si>
    <t>TELHAMENTO COM TELHA DE CONCRETO DE ENCAIXE, COM MAIS DE 2 ÁGUAS, INCLUSO TRANSPORTE VERTICAL. AF_06/2026</t>
  </si>
  <si>
    <t>TELHAMENTO COM TELHA DE ENCAIXE, TIPO FRANCESA DE VIDRO, COM ATÉ 2 ÁGUAS, INCLUSO TRANSPORTE VERTICAL. AF_06/2026</t>
  </si>
  <si>
    <t>TELHAMENTO COM TELHA ESTRUTURAL DE FIBROCIMENTO E= 8 MM, COM ATÉ 2 ÁGUAS, INCLUSO IÇAMENTO. AF_06/2026</t>
  </si>
  <si>
    <t>TELHAMENTO COM TELHA METÁLICA TERMOACÚSTICA E = 30 MM, COM ATÉ 2 ÁGUAS, INCLUSO IÇAMENTO. AF_06/2026</t>
  </si>
  <si>
    <t>TELHAMENTO COM TELHA ONDULADA DE FIBRA DE VIDRO E = 0,6 MM, PARA TELHADO COM INCLINAÇÃO MAIOR QUE 10°, COM ATÉ 2 ÁGUAS, INCLUSO IÇAMENTO. AF_06/2026</t>
  </si>
  <si>
    <t>TELHAMENTO COM TELHA ONDULADA DE FIBROCIMENTO E = 6 MM, COM RECOBRIMENTO LATERAL DE 1 1/4 DE ONDA PARA TELHADO COM INCLINAÇÃO MÁXIMA DE 10°, COM ATÉ 2 ÁGUAS, INCLUSO IÇAMENTO. AF_06/2026</t>
  </si>
  <si>
    <t>TELHAMENTO COM TELHA ONDULADA DE FIBROCIMENTO E = 6 MM, COM RECOBRIMENTO LATERAL DE 1/4 DE ONDA PARA TELHADO COM INCLINAÇÃO MAIOR QUE 10°, COM ATÉ 2 ÁGUAS, INCLUSO IÇAMENTO. AF_06/2026</t>
  </si>
  <si>
    <t>AR CONDICIONADO JANELA, 10000 BTU/H, CICLO FRIO - FORNECIMENTO E INSTALAÇÃO. AF_06/2026</t>
  </si>
  <si>
    <t>AR CONDICIONADO JANELA, 12000 BTU/H, CICLO FRIO - FORNECIMENTO E INSTALAÇÃO. AF_06/2026</t>
  </si>
  <si>
    <t>AR CONDICIONADO JANELA, 7500 BTU/H, CICLO FRIO - FORNECIMENTO E INSTALAÇÃO. AF_06/2026</t>
  </si>
  <si>
    <t>AR CONDICIONADO SPLIT DUTO, 18000 BTU/H, CICLO QUENTE/FRIO - FORNECIMENTO E INSTALAÇÃO. AF_06/2026</t>
  </si>
  <si>
    <t>AR CONDICIONADO SPLIT DUTO, 24000 BTU/H, CICLO QUENTE/FRIO - FORNECIMENTO E INSTALAÇÃO. AF_06/2026</t>
  </si>
  <si>
    <t>AR CONDICIONADO SPLIT DUTO, 36000 BTU/H, CICLO QUENTE/FRIO - FORNECIMENTO E INSTALAÇÃO. AF_06/2026</t>
  </si>
  <si>
    <t>AR CONDICIONADO SPLIT DUTO, 36000 BTU/H, CICLO QUENTE/FRIO, COM CONDENSADORA IÇADA COM GUINDASTE - FORNECIMENTO E INSTALAÇÃO. AF_06/2026</t>
  </si>
  <si>
    <t>AR CONDICIONADO SPLIT INVERTER PISO/TETO, 30000 BTU/H, QUENTE/FRIO - FORNECIMENTO E INSTALAÇÃO. AF_06/2026</t>
  </si>
  <si>
    <t>AR CONDICIONADO SPLIT INVERTER, HI-WALL (PAREDE), 12000 BTU/H, CICLO QUENTE/FRIO - FORNECIMENTO E INSTALAÇÃO. AF_06/2026</t>
  </si>
  <si>
    <t>AR CONDICIONADO SPLIT INVERTER, HI-WALL (PAREDE), 18000 BTU/H, CICLO QUENTE/FRIO - FORNECIMENTO E INSTALAÇÃO. AF_06/2026</t>
  </si>
  <si>
    <t>AR CONDICIONADO SPLIT INVERTER, HI-WALL (PAREDE), 24000 BTU/H, CICLO QUENTE/FRIO - FORNECIMENTO E INSTALAÇÃO. AF_06/2026</t>
  </si>
  <si>
    <t>AR CONDICIONADO SPLIT INVERTER, HI-WALL (PAREDE), 36000 BTUS/H, CICLO QUENTE/FRIO, 60 HZ, CLASSIFICACAO ENERGETICA A - SELO PROCEL, GAS HFC, CONTROLE S/ FIO. AF_06/2026</t>
  </si>
  <si>
    <t>AR CONDICIONADO SPLIT INVERTER, HI-WALL (PAREDE), 9000 BTU/H, CICLO QUENTE/FRIO - FORNECIMENTO E INSTALAÇÃO. AF_06/2026</t>
  </si>
  <si>
    <t>AR CONDICIONADO SPLIT INVERTER, PISO TETO, 30000 BTU/H, CICLO FRIO - FORNECIMENTO E INSTALAÇÃO. AF_06/2026</t>
  </si>
  <si>
    <t>AR CONDICIONADO SPLIT ON/OFF, HI-WALL (PAREDE), 30000 BTUS/H, CICLO FRIO - FORNECIMENTO E INSTALAÇÃO. AF_06/2026</t>
  </si>
  <si>
    <t>AR CONDICIONADO SPLIT ON/OFF, PISO TETO, 80000 BTUS, CICLO FRIO - FORNECIMENTO E INSTALAÇÃO. AF_06/2026</t>
  </si>
  <si>
    <t>DAMPER DE REGULAGEM PARA SISTEMA DE AR CONDICIONADO, 1000X500 MM - FORNECIMENTO E INSTALAÇÃO. AF_06/2026</t>
  </si>
  <si>
    <t>DIFUSOR PARA SISTEMA DE AR CONDICIONADO, 400X400 MM - FORNECIMENTO E INSTALAÇÃO. AF_06/2026</t>
  </si>
  <si>
    <t>GRELHA PARA SISTEMA DE AR CONDICIONADO, 400X400 MM - FORNECIMENTO E INSTALAÇÃO. AF_06/2026</t>
  </si>
  <si>
    <t>PROCEDIMENTO DE LIMPEZA DE LINHA FRIGORÍGENA. AF_06/2026</t>
  </si>
  <si>
    <t>TESTE DE VAZAMENTO POR PRESSURIZAÇÃO DE GÁS NITROGÊNIO. AF_06/2026</t>
  </si>
  <si>
    <t>ACABAMENTO FRONTAL DE AÇO GALVANIZADO PARA TELHAS TERMOACÚSTICAS. AF_06/2026</t>
  </si>
  <si>
    <t>CUMEEIRA NORMAL PARA TELHA TRAPEZOIDAL DE AÇO, E = 0,5 MM, INCLUSO ACESSÓRIOS DE FIXAÇÃO E IÇAMENTO. AF_06/2026</t>
  </si>
  <si>
    <t>ISOLAMENTO TERMOACÚSTICO COM LÃ MINERAL NA SUBCOBERTURA, INCLUSO TRANSPORTE VERTICAL. AF_06/2026</t>
  </si>
  <si>
    <t>PERFIL U (CANTONEIRA DE ACABAMENTO) PARA TELHAMENTO COM TELHA DE POLICARBONATO. AF_06/2026</t>
  </si>
  <si>
    <t>PERFIL U PINGADEIRA PARA TELHAMENTO COM TELHA DE POLICARBONATO. AF_06/2026</t>
  </si>
  <si>
    <t>TELHAMENTO COM TELHA DE POLICARBONATO, E=6MM. AF_06/2026</t>
  </si>
  <si>
    <t>TELHAMENTO COM TELHA DE PVC COM ATÉ 2 ÁGUAS, INCLUSO TRANSPORTE VERTICAL. AF_06/2026</t>
  </si>
  <si>
    <t>TELHAMENTO COM TELHA DE PVC COM MAIS DE 2 ÁGUAS, INCLUSO TRANSPORTE VERTICAL. AF_06/2026</t>
  </si>
  <si>
    <t>TAB 07.01</t>
  </si>
  <si>
    <t>SBC</t>
  </si>
  <si>
    <t>TUBO CONCRETO ARMADO AGUAS PLUVIAIS, CLASSE PA-3, DN 300 MM</t>
  </si>
  <si>
    <t>COLETA DE ENSAIOS</t>
  </si>
  <si>
    <t>TUBO CONCRETO ARMADO AGUAS PLUVIAIS, CLASSE PA-3, ENCAIXE PONTA E BOLSA, DN 400 MM - ASSENTAMENTO, INCLUSO ANEL DE VEDAÇÃO</t>
  </si>
  <si>
    <t>TUBO CONCRETO ARMADO AGUAS PLUVIAIS, CLASSE PA-3, ENCAIXE PONTA E BOLSA, DN 500 MM - ASSENTAMENTO, INCLUSO ANEL DE VEDAÇÃO</t>
  </si>
  <si>
    <t>TUBO CONCRETO ARMADO AGUAS PLUVIAIS, CLASSE PA-3, ENCAIXE PONTA E BOLSA, DN 800 MM - ASSENTAMENTO, INCLUSO ANEL DE VEDAÇÃO</t>
  </si>
  <si>
    <t>TUBO CONCRETO ARMADO AGUAS PLUVIAIS, CLASSE PA-3, ENCAIXE PONTA E BOLSA, DN 300 MM - ASSENAMENTO, INCLUSO ANEL DE VEDAÇÃO</t>
  </si>
  <si>
    <t>ENVELOPAMENTO EM CONCRETO USINADO FCK = 20MPA</t>
  </si>
  <si>
    <t>ADMINISTRAÇÃO DA OBRA</t>
  </si>
  <si>
    <t>Consultoria</t>
  </si>
  <si>
    <t>Administração Local</t>
  </si>
  <si>
    <t>Mobilização e Desmobilização</t>
  </si>
  <si>
    <t>Sinalização Vertical</t>
  </si>
  <si>
    <t>Índice Nacional de Custo da Construção</t>
  </si>
  <si>
    <t>Terraplenagem</t>
  </si>
  <si>
    <t>Pavimentos de Concreto de Cimento Portland</t>
  </si>
  <si>
    <t>Drenagem</t>
  </si>
  <si>
    <t>* Índices retirados da tabela DNIT/FGV:</t>
  </si>
  <si>
    <t>https://www.gov.br/dnit/pt-br/assuntos/planejamento-e-pesquisa/custos-e-pagamentos/custos-e-pagamentos-dnit/indices-de-reajustamentos/indices-de-reajustamentos-de-obras-rodoviario</t>
  </si>
  <si>
    <t>Item do Orçamento</t>
  </si>
  <si>
    <t>Índice de Reajuste (*)</t>
  </si>
  <si>
    <t>SERVIÇOS FINAIS E DESMOBILIZAÇÃO</t>
  </si>
  <si>
    <t>Cimento Asfáltico Petróleo - CAP</t>
  </si>
  <si>
    <t>FORNECIMENTO CAP</t>
  </si>
  <si>
    <t>9 (exceto 9.10)</t>
  </si>
  <si>
    <t>16 (exceto 16.10)</t>
  </si>
  <si>
    <t>07/2026</t>
  </si>
  <si>
    <t>11/08/2026</t>
  </si>
  <si>
    <t>ALVENARIA ESTRUTURAL DE BLOCOS CERÂMICOS 14X19X29 CM (ESPESSURA 14 CM), FBK = 6 MPA, UTILIZANDO COLHER DE PEDREIRO. AF_07/2026</t>
  </si>
  <si>
    <t>ALVENARIA ESTRUTURAL DE BLOCOS CERÂMICOS 14X19X29 CM (ESPESSURA 14 CM), FBK = 6 MPA, UTILIZANDO PALHETA. AF_07/2026</t>
  </si>
  <si>
    <t>ALVENARIA ESTRUTURAL DE BLOCOS CERÂMICOS 14X19X39 CM (ESPESSURA 14 CM), FBK = 6 MPA, UTILIZANDO COLHER DE PEDREIRO. AF_07/2026</t>
  </si>
  <si>
    <t>ALVENARIA ESTRUTURAL DE BLOCOS CERÂMICOS 14X19X39 CM (ESPESSURA 14 CM), FBK = 6 MPA, UTILIZANDO PALHETA. AF_07/2026</t>
  </si>
  <si>
    <t>ALVENARIA DE BLOCOS DE CONCRETO ESTRUTURAL 14X19X29 CM (ESPESSURA 14 CM), FBK = 14 MPA, UTILIZANDO COLHER DE PEDREIRO. AF_07/2026</t>
  </si>
  <si>
    <t>ALVENARIA DE BLOCOS DE CONCRETO ESTRUTURAL 14X19X29 CM (ESPESSURA 14 CM), FBK = 14 MPA, UTILIZANDO PALHETA. AF_07/2026</t>
  </si>
  <si>
    <t>ALVENARIA DE BLOCOS DE CONCRETO ESTRUTURAL 14X19X29 CM (ESPESSURA 14 CM), FBK = 4,5 MPA, UTILIZANDO COLHER DE PEDREIRO. AF_07/2026</t>
  </si>
  <si>
    <t>ALVENARIA DE BLOCOS DE CONCRETO ESTRUTURAL 14X19X29 CM (ESPESSURA 14 CM), FBK = 4,5 MPA, UTILIZANDO PALHETA. AF_07/2026</t>
  </si>
  <si>
    <t>ALVENARIA DE BLOCOS DE CONCRETO ESTRUTURAL 14X19X39 CM (ESPESSURA 14 CM), FBK = 14 MPA, UTILIZANDO COLHER DE PEDREIRO. AF_07/2026</t>
  </si>
  <si>
    <t>ALVENARIA DE BLOCOS DE CONCRETO ESTRUTURAL 14X19X39 CM (ESPESSURA 14 CM), FBK = 14 MPA, UTILIZANDO PALHETA. AF_07/2026</t>
  </si>
  <si>
    <t>ALVENARIA DE BLOCOS DE CONCRETO ESTRUTURAL 14X19X39 CM (ESPESSURA 14 CM), FBK = 4,5 MPA, UTILIZANDO COLHER DE PEDREIRO. AF_07/2026</t>
  </si>
  <si>
    <t>ALVENARIA DE BLOCOS DE CONCRETO ESTRUTURAL 14X19X39 CM (ESPESSURA 14 CM), FBK = 4,5 MPA, UTILIZANDO PALHETA. AF_07/2026</t>
  </si>
  <si>
    <t>ARGAMASSA INDUSTRIALIZADA MULTIUSO PARA REVESTIMENTOS E ASSENTAMENTO DA ALVENARIA, PREPARO COM MISTURADOR DE EIXO HORIZONTAL DE ATÉ 600 KG. AF_07/2026</t>
  </si>
  <si>
    <t>ARGAMASSA INDUSTRIALIZADA MULTIUSO PARA REVESTIMENTOS E ASSENTAMENTO DA ALVENARIA, PREPARO MANUAL. AF_07/2026</t>
  </si>
  <si>
    <t>ARGAMASSA INDUSTRIALIZADA PARA CHAPISCO COLANTE, PREPARO COM MISTURADOR DE EIXO HORIZONTAL DE ATÉ 600 KG. AF_07/2026</t>
  </si>
  <si>
    <t>ARGAMASSA INDUSTRIALIZADA PARA CHAPISCO COLANTE, PREPARO MANUAL. AF_07/2026</t>
  </si>
  <si>
    <t>ARGAMASSA INDUSTRIALIZADA PARA CHAPISCO ROLADO, PREPARO COM MISTURADOR DE EIXO HORIZONTAL DE ATÉ 600 KG. AF_07/2026</t>
  </si>
  <si>
    <t>ARGAMASSA INDUSTRIALIZADA PARA CHAPISCO ROLADO, PREPARO MANUAL. AF_07/2026</t>
  </si>
  <si>
    <t>ARGAMASSA INDUSTRIALIZADA PARA REVESTIMENTOS, MISTURA E PROJEÇÃO DE ATÉ 2 M³/H DE ARGAMASSA. AF_07/2026</t>
  </si>
  <si>
    <t>ARGAMASSA PARA REVESTIMENTO DECORATIVO MONOCAMADA (MONOCAPA), MISTURA E PROJEÇÃO DE ATÉ 2 M3/H DE ARGAMASSA. AF_07/2026</t>
  </si>
  <si>
    <t>ARGAMASSA PARA REVESTIMENTO DECORATIVO MONOCAMADA (MONOCAPA), PREPARO COM MISTURADOR DE EIXO HORIZONTAL DE ATÉ 600 KG. AF_07/2026</t>
  </si>
  <si>
    <t>ARGAMASSA PRONTA PARA CONTRAPISO, PREPARO COM MISTURADOR DE EIXO HORIZONTAL DE ATÉ 600 KG. AF_07/2026</t>
  </si>
  <si>
    <t>ARGAMASSA PRONTA PARA CONTRAPISO, PREPARO MANUAL. AF_07/2026</t>
  </si>
  <si>
    <t>ARGAMASSA TRAÇO 1:0,25:3 (EM VOLUME DE CIMENTO, CAL E AREIA MÉDIA ÚMIDA) PARA EMBOÇO/MASSA ÚNICA/ASSENTAMENTO DE ALVENARIA DE VEDAÇÃO, PREPARO MANUAL. AF_07/2026</t>
  </si>
  <si>
    <t>ARGAMASSA TRAÇO 1:0,25:3 (EM VOLUME DE CIMENTO, CAL E AREIA MÉDIA ÚMIDA) PARA EMBOÇO/MASSA ÚNICA/ASSENTAMENTO DE ALVENARIA DE VEDAÇÃO, PREPARO MECÂNICO COM BETONEIRA ATÉ 600 L. AF_07/2026</t>
  </si>
  <si>
    <t>ARGAMASSA TRAÇO 1:0,25:3 (EM VOLUME DE CIMENTO, CAL E AREIA MÉDIA ÚMIDA) PARA EMBOÇO/MASSA ÚNICA/ASSENTAMENTO DE ALVENARIA DE VEDAÇÃO, PREPARO MECÂNICO COM MISTURADOR DE EIXO HORIZONTAL DE 160 KG. AF_07/2026</t>
  </si>
  <si>
    <t>ARGAMASSA TRAÇO 1:0,25:3 (EM VOLUME DE CIMENTO, CAL E AREIA MÉDIA ÚMIDA) PARA EMBOÇO/MASSA ÚNICA/ASSENTAMENTO DE ALVENARIA DE VEDAÇÃO, PREPARO MECÂNICO COM MISTURADOR DE EIXO HORIZONTAL DE 300 KG. AF_07/2026</t>
  </si>
  <si>
    <t>ARGAMASSA TRAÇO 1:0,25:3 (EM VOLUME DE CIMENTO, CAL E AREIA MÉDIA ÚMIDA) PARA EMBOÇO/MASSA ÚNICA/ASSENTAMENTO DE ALVENARIA DE VEDAÇÃO, PREPARO MECÂNICO COM MISTURADOR DE EIXO HORIZONTAL DE 600 KG. AF_07/2026</t>
  </si>
  <si>
    <t>ARGAMASSA TRAÇO 1:0,5:4,5 (EM VOLUME DE CIMENTO, CAL E AREIA MÉDIA ÚMIDA) PARA ASSENTAMENTO DE ALVENARIA, PREPARO MANUAL. AF_07/2026</t>
  </si>
  <si>
    <t>ARGAMASSA TRAÇO 1:0,5:4,5 (EM VOLUME DE CIMENTO, CAL E AREIA MÉDIA ÚMIDA), PREPARO MECÂNICO COM BETONEIRA ATÉ 600 L. AF_07/2026</t>
  </si>
  <si>
    <t>ARGAMASSA TRAÇO 1:0,5:4,5 (EM VOLUME DE CIMENTO, CAL E AREIA MÉDIA ÚMIDA), PREPARO MECÂNICO COM MISTURADOR DE EIXO HORIZONTAL DE 160 KG. AF_07/2026</t>
  </si>
  <si>
    <t>ARGAMASSA TRAÇO 1:0,5:4,5 (EM VOLUME DE CIMENTO, CAL E AREIA MÉDIA ÚMIDA), PREPARO MECÂNICO COM MISTURADOR DE EIXO HORIZONTAL DE 300 KG. AF_07/2026</t>
  </si>
  <si>
    <t>ARGAMASSA TRAÇO 1:0,5:4,5 (EM VOLUME DE CIMENTO, CAL E AREIA MÉDIA ÚMIDA), PREPARO MECÂNICO COM MISTURADOR DE EIXO HORIZONTAL DE 600 KG. AF_07/2026</t>
  </si>
  <si>
    <t>ARGAMASSA TRAÇO 1:1,5:7,5 (EM VOLUME DE CIMENTO, CAL E AREIA MÉDIA ÚMIDA) PARA EMBOÇO/MASSA ÚNICA/ASSENTAMENTO DE ALVENARIA DE VEDAÇÃO, PREPARO MANUAL. AF_07/2026</t>
  </si>
  <si>
    <t>ARGAMASSA TRAÇO 1:1,5:7,5 (EM VOLUME DE CIMENTO, CAL E AREIA MÉDIA ÚMIDA) PARA EMBOÇO/MASSA ÚNICA/ASSENTAMENTO DE ALVENARIA DE VEDAÇÃO, PREPARO MECÂNICO COM BETONEIRA ATÉ 600 L. AF_07/2026</t>
  </si>
  <si>
    <t>ARGAMASSA TRAÇO 1:1,5:7,5 (EM VOLUME DE CIMENTO, CAL E AREIA MÉDIA ÚMIDA) PARA EMBOÇO/MASSA ÚNICA/ASSENTAMENTO DE ALVENARIA DE VEDAÇÃO, PREPARO MECÂNICO COM MISTURADOR DE EIXO HORIZONTAL DE 300 KG. AF_07/2026</t>
  </si>
  <si>
    <t>ARGAMASSA TRAÇO 1:1,5:7,5 (EM VOLUME DE CIMENTO, CAL E AREIA MÉDIA ÚMIDA) PARA EMBOÇO/MASSA ÚNICA/ASSENTAMENTO DE ALVENARIA DE VEDAÇÃO, PREPARO MECÂNICO COM MISTURADOR DE EIXO HORIZONTAL DE 600 KG. AF_07/2026</t>
  </si>
  <si>
    <t>ARGAMASSA TRAÇO 1:1,93 (EM VOLUME DE CIMENTO E AREIA MÉDIA ÚMIDA), FCK 20MPA, PREPARO MECÂNICO COM MISTURADOR DUPLO HORIZONTAL DE ALTA TURBULÊNCIA. AF_07/2026</t>
  </si>
  <si>
    <t>ARGAMASSA TRAÇO 1:1:6 (EM VOLUME DE CIMENTO, CAL E AREIA MÉDIA ÚMIDA) PARA EMBOÇO/MASSA ÚNICA/ASSENTAMENTO DE ALVENARIA DE VEDAÇÃO, PREPARO MANUAL. AF_07/2026</t>
  </si>
  <si>
    <t>ARGAMASSA TRAÇO 1:1:6 (EM VOLUME DE CIMENTO, CAL E AREIA MÉDIA ÚMIDA) PARA EMBOÇO/MASSA ÚNICA/ASSENTAMENTO DE ALVENARIA DE VEDAÇÃO, PREPARO MECÂNICO COM BETONEIRA ATÉ 600 L. AF_07/2026</t>
  </si>
  <si>
    <t>ARGAMASSA TRAÇO 1:1:6 (EM VOLUME DE CIMENTO, CAL E AREIA MÉDIA ÚMIDA) PARA EMBOÇO/MASSA ÚNICA/ASSENTAMENTO DE ALVENARIA DE VEDAÇÃO, PREPARO MECÂNICO COM MISTURADOR DE EIXO HORIZONTAL DE 300 KG. AF_07/2026</t>
  </si>
  <si>
    <t>ARGAMASSA TRAÇO 1:1:6 (EM VOLUME DE CIMENTO, CAL E AREIA MÉDIA ÚMIDA) PARA EMBOÇO/MASSA ÚNICA/ASSENTAMENTO DE ALVENARIA DE VEDAÇÃO, PREPARO MECÂNICO COM MISTURADOR DE EIXO HORIZONTAL DE 600 KG. AF_07/2026</t>
  </si>
  <si>
    <t>ARGAMASSA TRAÇO 1:2:8 (EM VOLUME DE CIMENTO, CAL E AREIA MÉDIA ÚMIDA) PARA EMBOÇO/MASSA ÚNICA/ASSENTAMENTO DE ALVENARIA DE VEDAÇÃO, PREPARO MANUAL. AF_07/2026</t>
  </si>
  <si>
    <t>ARGAMASSA TRAÇO 1:2:8 (EM VOLUME DE CIMENTO, CAL E AREIA MÉDIA ÚMIDA) PARA EMBOÇO/MASSA ÚNICA/ASSENTAMENTO DE ALVENARIA DE VEDAÇÃO, PREPARO MECÂNICO COM BETONEIRA ATÉ 600 L. AF_07/2026</t>
  </si>
  <si>
    <t>ARGAMASSA TRAÇO 1:2:8 (EM VOLUME DE CIMENTO, CAL E AREIA MÉDIA ÚMIDA) PARA EMBOÇO/MASSA ÚNICA/ASSENTAMENTO DE ALVENARIA DE VEDAÇÃO, PREPARO MECÂNICO COM MISTURADOR DE EIXO HORIZONTAL DE 300 KG. AF_07/2026</t>
  </si>
  <si>
    <t>ARGAMASSA TRAÇO 1:2:8 (EM VOLUME DE CIMENTO, CAL E AREIA MÉDIA ÚMIDA) PARA EMBOÇO/MASSA ÚNICA/ASSENTAMENTO DE ALVENARIA DE VEDAÇÃO, PREPARO MECÂNICO COM MISTURADOR DE EIXO HORIZONTAL DE 600 KG. AF_07/2026</t>
  </si>
  <si>
    <t>ARGAMASSA TRAÇO 1:2:9 (EM VOLUME DE CIMENTO, CAL E AREIA MÉDIA ÚMIDA) PARA EMBOÇO/MASSA ÚNICA/ASSENTAMENTO DE ALVENARIA DE VEDAÇÃO, PREPARO MANUAL. AF_07/2026</t>
  </si>
  <si>
    <t>ARGAMASSA TRAÇO 1:2:9 (EM VOLUME DE CIMENTO, CAL E AREIA MÉDIA ÚMIDA) PARA EMBOÇO/MASSA ÚNICA/ASSENTAMENTO DE ALVENARIA DE VEDAÇÃO, PREPARO MECÂNICO COM BETONEIRA ATÉ 600 L. AF_07/2026</t>
  </si>
  <si>
    <t>ARGAMASSA TRAÇO 1:2:9 (EM VOLUME DE CIMENTO, CAL E AREIA MÉDIA ÚMIDA) PARA EMBOÇO/MASSA ÚNICA/ASSENTAMENTO DE ALVENARIA DE VEDAÇÃO, PREPARO MECÂNICO COM MISTURADOR DE EIXO HORIZONTAL DE 300 KG. AF_07/2026</t>
  </si>
  <si>
    <t>ARGAMASSA TRAÇO 1:2:9 (EM VOLUME DE CIMENTO, CAL E AREIA MÉDIA ÚMIDA) PARA EMBOÇO/MASSA ÚNICA/ASSENTAMENTO DE ALVENARIA DE VEDAÇÃO, PREPARO MECÂNICO COM MISTURADOR DE EIXO HORIZONTAL DE 600 KG. AF_07/2026</t>
  </si>
  <si>
    <t>ARGAMASSA TRAÇO 1:3 (EM VOLUME DE CIMENTO E AREIA GROSSA ÚMIDA) COM ADIÇÃO DE EMULSÃO POLIMÉRICA PARA CHAPISCO ROLADO, PREPARO MANUAL. AF_07/2026</t>
  </si>
  <si>
    <t>ARGAMASSA TRAÇO 1:3 (EM VOLUME DE CIMENTO E AREIA GROSSA ÚMIDA) COM ADIÇÃO DE EMULSÃO POLIMÉRICA PARA CHAPISCO ROLADO, PREPARO MECÂNICO COM BETONEIRA ATÉ 600 L. AF_07/2026</t>
  </si>
  <si>
    <t>ARGAMASSA TRAÇO 1:3 (EM VOLUME DE CIMENTO E AREIA GROSSA ÚMIDA) COM ADIÇÃO DE EMULSÃO POLIMÉRICA PARA CHAPISCO ROLADO, PREPARO MECÂNICO COM MISTURADOR DE EIXO HORIZONTAL DE 160 KG. AF_07/2026</t>
  </si>
  <si>
    <t>ARGAMASSA TRAÇO 1:3 (EM VOLUME DE CIMENTO E AREIA GROSSA ÚMIDA) COM ADIÇÃO DE EMULSÃO POLIMÉRICA PARA CHAPISCO ROLADO, PREPARO MECÂNICO COM MISTURADOR DE EIXO HORIZONTAL DE 300 KG. AF_07/2026</t>
  </si>
  <si>
    <t>ARGAMASSA TRAÇO 1:3 (EM VOLUME DE CIMENTO E AREIA GROSSA ÚMIDA) COM ADIÇÃO DE EMULSÃO POLIMÉRICA PARA CHAPISCO ROLADO, PREPARO MECÂNICO COM MISTURADOR DE EIXO HORIZONTAL DE 600 KG. AF_07/2026</t>
  </si>
  <si>
    <t>ARGAMASSA TRAÇO 1:3 (EM VOLUME DE CIMENTO E AREIA GROSSA ÚMIDA) PARA CHAPISCO CONVENCIONAL, PREPARO MANUAL. AF_07/2026</t>
  </si>
  <si>
    <t>ARGAMASSA TRAÇO 1:3 (EM VOLUME DE CIMENTO E AREIA GROSSA ÚMIDA) PARA CHAPISCO CONVENCIONAL, PREPARO MECÂNICO COM BETONEIRA ATÉ 600 L. AF_07/2026</t>
  </si>
  <si>
    <t>ARGAMASSA TRAÇO 1:3 (EM VOLUME DE CIMENTO E AREIA GROSSA ÚMIDA) PARA CHAPISCO CONVENCIONAL, PREPARO MECÂNICO COM MISTURADOR DE EIXO HORIZONTAL DE 160 KG. AF_07/2026</t>
  </si>
  <si>
    <t>ARGAMASSA TRAÇO 1:3 (EM VOLUME DE CIMENTO E AREIA GROSSA ÚMIDA) PARA CHAPISCO CONVENCIONAL, PREPARO MECÂNICO COM MISTURADOR DE EIXO HORIZONTAL DE 300 KG. AF_07/2026</t>
  </si>
  <si>
    <t>ARGAMASSA TRAÇO 1:3 (EM VOLUME DE CIMENTO E AREIA GROSSA ÚMIDA) PARA CHAPISCO CONVENCIONAL, PREPARO MECÂNICO COM MISTURADOR DE EIXO HORIZONTAL DE 600 KG. AF_07/2026</t>
  </si>
  <si>
    <t>ARGAMASSA TRAÇO 1:3 (EM VOLUME DE CIMENTO E AREIA MÉDIA ÚMIDA) COM ADIÇÃO DE IMPERMEABILIZANTE, PREPARO MANUAL. AF_07/2026</t>
  </si>
  <si>
    <t>ARGAMASSA TRAÇO 1:3 (EM VOLUME DE CIMENTO E AREIA MÉDIA ÚMIDA) COM ADIÇÃO DE IMPERMEABILIZANTE, PREPARO MECÂNICO COM BETONEIRA ATÉ 600 L. AF_07/2026</t>
  </si>
  <si>
    <t>ARGAMASSA TRAÇO 1:3 (EM VOLUME DE CIMENTO E AREIA MÉDIA ÚMIDA) COM ADIÇÃO DE IMPERMEABILIZANTE, PREPARO MECÂNICO COM MISTURADOR DE EIXO HORIZONTAL DE 160 KG. AF_07/2026</t>
  </si>
  <si>
    <t>ARGAMASSA TRAÇO 1:3 (EM VOLUME DE CIMENTO E AREIA MÉDIA ÚMIDA) COM ADIÇÃO DE IMPERMEABILIZANTE, PREPARO MECÂNICO COM MISTURADOR DE EIXO HORIZONTAL DE 300 KG. AF_07/2026</t>
  </si>
  <si>
    <t>ARGAMASSA TRAÇO 1:3 (EM VOLUME DE CIMENTO E AREIA MÉDIA ÚMIDA) COM ADIÇÃO DE IMPERMEABILIZANTE, PREPARO MECÂNICO COM MISTURADOR DE EIXO HORIZONTAL DE 600 KG. AF_07/2026</t>
  </si>
  <si>
    <t>ARGAMASSA TRAÇO 1:3 (EM VOLUME DE CIMENTO E AREIA MÉDIA ÚMIDA) COM ADIÇÃO DE PLASTIFICANTE PARA EMBOÇO/MASSA ÚNICA/ASSENTAMENTO DE ALVENARIA DE VEDAÇÃO, PREPARO MANUAL. AF_07/2026</t>
  </si>
  <si>
    <t>ARGAMASSA TRAÇO 1:3 (EM VOLUME DE CIMENTO E AREIA MÉDIA ÚMIDA) COM ADIÇÃO DE PLASTIFICANTE PARA EMBOÇO/MASSA ÚNICA/ASSENTAMENTO DE ALVENARIA DE VEDAÇÃO, PREPARO MECÂNICO COM BETONEIRA ATÉ 600 L. AF_07/2026</t>
  </si>
  <si>
    <t>ARGAMASSA TRAÇO 1:3 (EM VOLUME DE CIMENTO E AREIA MÉDIA ÚMIDA) COM ADIÇÃO DE PLASTIFICANTE PARA EMBOÇO/MASSA ÚNICA/ASSENTAMENTO DE ALVENARIA DE VEDAÇÃO, PREPARO MECÂNICO COM MISTURADOR DE EIXO HORIZONTAL DE 160 KG. AF_07/2026</t>
  </si>
  <si>
    <t>ARGAMASSA TRAÇO 1:3 (EM VOLUME DE CIMENTO E AREIA MÉDIA ÚMIDA) COM ADIÇÃO DE PLASTIFICANTE PARA EMBOÇO/MASSA ÚNICA/ASSENTAMENTO DE ALVENARIA DE VEDAÇÃO, PREPARO MECÂNICO COM MISTURADOR DE EIXO HORIZONTAL DE 300 KG. AF_07/2026</t>
  </si>
  <si>
    <t>ARGAMASSA TRAÇO 1:3 (EM VOLUME DE CIMENTO E AREIA MÉDIA ÚMIDA) COM ADIÇÃO DE PLASTIFICANTE PARA EMBOÇO/MASSA ÚNICA/ASSENTAMENTO DE ALVENARIA DE VEDAÇÃO, PREPARO MECÂNICO COM MISTURADOR DE EIXO HORIZONTAL DE 600 KG. AF_07/2026</t>
  </si>
  <si>
    <t>ARGAMASSA TRAÇO 1:3 (EM VOLUME DE CIMENTO E AREIA MÉDIA ÚMIDA) PARA CONTRAPISO, PREPARO MANUAL. AF_07/2026</t>
  </si>
  <si>
    <t>ARGAMASSA TRAÇO 1:3 (EM VOLUME DE CIMENTO E AREIA MÉDIA ÚMIDA) PARA CONTRAPISO, PREPARO MECÂNICO COM BETONEIRA ATÉ 600 L. AF_07/2026</t>
  </si>
  <si>
    <t>ARGAMASSA TRAÇO 1:3 (EM VOLUME DE CIMENTO E AREIA MÉDIA ÚMIDA) PARA CONTRAPISO, PREPARO MECÂNICO COM MISTURADOR DE EIXO HORIZONTAL DE 160 KG. AF_07/2026</t>
  </si>
  <si>
    <t>ARGAMASSA TRAÇO 1:3 (EM VOLUME DE CIMENTO E AREIA MÉDIA ÚMIDA) PARA CONTRAPISO, PREPARO MECÂNICO COM MISTURADOR DE EIXO HORIZONTAL DE 300 KG. AF_07/2026</t>
  </si>
  <si>
    <t>ARGAMASSA TRAÇO 1:3 (EM VOLUME DE CIMENTO E AREIA MÉDIA ÚMIDA) PARA CONTRAPISO, PREPARO MECÂNICO COM MISTURADOR DE EIXO HORIZONTAL DE 600 KG. AF_07/2026</t>
  </si>
  <si>
    <t>ARGAMASSA TRAÇO 1:3 (EM VOLUME DE CIMENTO E AREIA MÉDIA ÚMIDA), PREPARO MANUAL. AF_07/2026</t>
  </si>
  <si>
    <t>ARGAMASSA TRAÇO 1:3 (EM VOLUME DE CIMENTO E AREIA MÉDIA ÚMIDA), PREPARO MECÂNICO COM BETONEIRA ATÉ 600 L. AF_07/2026</t>
  </si>
  <si>
    <t>ARGAMASSA TRAÇO 1:3 (EM VOLUME DE CIMENTO E AREIA MÉDIA ÚMIDA), PREPARO MECÂNICO COM MISTURADOR DE EIXO HORIZONTAL DE 160 KG. AF_07/2026</t>
  </si>
  <si>
    <t>ARGAMASSA TRAÇO 1:3 (EM VOLUME DE CIMENTO E AREIA MÉDIA ÚMIDA), PREPARO MECÂNICO COM MISTURADOR DE EIXO HORIZONTAL DE 300 KG. AF_07/2026</t>
  </si>
  <si>
    <t>ARGAMASSA TRAÇO 1:3 (EM VOLUME DE CIMENTO E AREIA MÉDIA ÚMIDA), PREPARO MECÂNICO COM MISTURADOR DE EIXO HORIZONTAL DE 600 KG. AF_07/2026</t>
  </si>
  <si>
    <t>ARGAMASSA TRAÇO 1:3:12 (EM VOLUME DE CIMENTO, CAL E AREIA MÉDIA ÚMIDA) PARA EMBOÇO/MASSA ÚNICA/ASSENTAMENTO DE ALVENARIA DE VEDAÇÃO, PREPARO MANUAL. AF_07/2026</t>
  </si>
  <si>
    <t>ARGAMASSA TRAÇO 1:3:12 (EM VOLUME DE CIMENTO, CAL E AREIA MÉDIA ÚMIDA) PARA EMBOÇO/MASSA ÚNICA/ASSENTAMENTO DE ALVENARIA DE VEDAÇÃO, PREPARO MECÂNICO COM BETONEIRA ATÉ 600 L. AF_07/2026</t>
  </si>
  <si>
    <t>ARGAMASSA TRAÇO 1:3:12 (EM VOLUME DE CIMENTO, CAL E AREIA MÉDIA ÚMIDA) PARA EMBOÇO/MASSA ÚNICA/ASSENTAMENTO DE ALVENARIA DE VEDAÇÃO, PREPARO MECÂNICO COM MISTURADOR DE EIXO HORIZONTAL DE 600 KG. AF_07/2026</t>
  </si>
  <si>
    <t>ARGAMASSA TRAÇO 1:4 (CIMENTO E AREIA MÉDIA), PREPARO MECÂNICO COM BETONEIRA ATÉ 600 L. AF_07/2026</t>
  </si>
  <si>
    <t>ARGAMASSA TRAÇO 1:4 (EM VOLUME DE CIMENTO E AREIA GROSSA ÚMIDA) COM ADIÇÃO DE EMULSÃO POLIMÉRICA PARA CHAPISCO ROLADO, PREPARO MANUAL. AF_07/2026</t>
  </si>
  <si>
    <t>ARGAMASSA TRAÇO 1:4 (EM VOLUME DE CIMENTO E AREIA GROSSA ÚMIDA) COM ADIÇÃO DE EMULSÃO POLIMÉRICA PARA CHAPISCO ROLADO, PREPARO MECÂNICO COM BETONEIRA ATÉ 600 L. AF_07/2026</t>
  </si>
  <si>
    <t>ARGAMASSA TRAÇO 1:4 (EM VOLUME DE CIMENTO E AREIA GROSSA ÚMIDA) COM ADIÇÃO DE EMULSÃO POLIMÉRICA PARA CHAPISCO ROLADO, PREPARO MECÂNICO COM MISTURADOR DE EIXO HORIZONTAL DE 300 KG. AF_07/2026</t>
  </si>
  <si>
    <t>ARGAMASSA TRAÇO 1:4 (EM VOLUME DE CIMENTO E AREIA GROSSA ÚMIDA) COM ADIÇÃO DE EMULSÃO POLIMÉRICA PARA CHAPISCO ROLADO, PREPARO MECÂNICO COM MISTURADOR DE EIXO HORIZONTAL DE 600 KG. AF_07/2026</t>
  </si>
  <si>
    <t>ARGAMASSA TRAÇO 1:4 (EM VOLUME DE CIMENTO E AREIA GROSSA ÚMIDA) PARA CHAPISCO CONVENCIONAL, PREPARO MANUAL. AF_07/2026</t>
  </si>
  <si>
    <t>ARGAMASSA TRAÇO 1:4 (EM VOLUME DE CIMENTO E AREIA GROSSA ÚMIDA) PARA CHAPISCO CONVENCIONAL, PREPARO MECÂNICO COM BETONEIRA ATÉ 600 L. AF_07/2026</t>
  </si>
  <si>
    <t>ARGAMASSA TRAÇO 1:4 (EM VOLUME DE CIMENTO E AREIA GROSSA ÚMIDA) PARA CHAPISCO CONVENCIONAL, PREPARO MECÂNICO COM MISTURADOR DE EIXO HORIZONTAL DE 160 KG. AF_07/2026</t>
  </si>
  <si>
    <t>ARGAMASSA TRAÇO 1:4 (EM VOLUME DE CIMENTO E AREIA GROSSA ÚMIDA) PARA CHAPISCO CONVENCIONAL, PREPARO MECÂNICO COM MISTURADOR DE EIXO HORIZONTAL DE 300 KG. AF_07/2026</t>
  </si>
  <si>
    <t>ARGAMASSA TRAÇO 1:4 (EM VOLUME DE CIMENTO E AREIA GROSSA ÚMIDA) PARA CHAPISCO CONVENCIONAL, PREPARO MECÂNICO COM MISTURADOR DE EIXO HORIZONTAL DE 600 KG. AF_07/2026</t>
  </si>
  <si>
    <t>ARGAMASSA TRAÇO 1:4 (EM VOLUME DE CIMENTO E AREIA MÉDIA ÚMIDA) COM ADIÇÃO DE IMPERMEABILIZANTE, PREPARO MANUAL. AF_07/2026</t>
  </si>
  <si>
    <t>ARGAMASSA TRAÇO 1:4 (EM VOLUME DE CIMENTO E AREIA MÉDIA ÚMIDA) COM ADIÇÃO DE IMPERMEABILIZANTE, PREPARO MECÂNICO COM BETONEIRA ATÉ 600 L. AF_07/2026</t>
  </si>
  <si>
    <t>ARGAMASSA TRAÇO 1:4 (EM VOLUME DE CIMENTO E AREIA MÉDIA ÚMIDA) COM ADIÇÃO DE IMPERMEABILIZANTE, PREPARO MECÂNICO COM MISTURADOR DE EIXO HORIZONTAL DE 160 KG. AF_07/2026</t>
  </si>
  <si>
    <t>ARGAMASSA TRAÇO 1:4 (EM VOLUME DE CIMENTO E AREIA MÉDIA ÚMIDA) COM ADIÇÃO DE IMPERMEABILIZANTE, PREPARO MECÂNICO COM MISTURADOR DE EIXO HORIZONTAL DE 300 KG. AF_07/2026</t>
  </si>
  <si>
    <t>ARGAMASSA TRAÇO 1:4 (EM VOLUME DE CIMENTO E AREIA MÉDIA ÚMIDA) COM ADIÇÃO DE IMPERMEABILIZANTE, PREPARO MECÂNICO COM MISTURADOR DE EIXO HORIZONTAL DE 600 KG. AF_07/2026</t>
  </si>
  <si>
    <t>ARGAMASSA TRAÇO 1:4 (EM VOLUME DE CIMENTO E AREIA MÉDIA ÚMIDA) PARA CONTRAPISO, PREPARO MANUAL. AF_07/2026</t>
  </si>
  <si>
    <t>ARGAMASSA TRAÇO 1:4 (EM VOLUME DE CIMENTO E AREIA MÉDIA ÚMIDA) PARA CONTRAPISO, PREPARO MECÂNICO COM BETONEIRA ATÉ 600 L. AF_07/2026</t>
  </si>
  <si>
    <t>ARGAMASSA TRAÇO 1:4 (EM VOLUME DE CIMENTO E AREIA MÉDIA ÚMIDA) PARA CONTRAPISO, PREPARO MECÂNICO COM MISTURADOR DE EIXO HORIZONTAL DE 160 KG. AF_07/2026</t>
  </si>
  <si>
    <t>ARGAMASSA TRAÇO 1:4 (EM VOLUME DE CIMENTO E AREIA MÉDIA ÚMIDA) PARA CONTRAPISO, PREPARO MECÂNICO COM MISTURADOR DE EIXO HORIZONTAL DE 300 KG. AF_07/2026</t>
  </si>
  <si>
    <t>ARGAMASSA TRAÇO 1:4 (EM VOLUME DE CIMENTO E AREIA MÉDIA ÚMIDA) PARA CONTRAPISO, PREPARO MECÂNICO COM MISTURADOR DE EIXO HORIZONTAL DE 600 KG. AF_07/2026</t>
  </si>
  <si>
    <t>ARGAMASSA TRAÇO 1:4 (EM VOLUME DE CIMENTO E AREIA MÉDIA ÚMIDA), PREPARO MANUAL. AF_07/2026</t>
  </si>
  <si>
    <t>ARGAMASSA TRAÇO 1:4 (EM VOLUME DE CIMENTO E AREIA MÉDIA ÚMIDA), PREPARO MECÂNICO COM MISTURADOR DE EIXO HORIZONTAL DE 160 KG. AF_07/2026</t>
  </si>
  <si>
    <t>ARGAMASSA TRAÇO 1:4 (EM VOLUME DE CIMENTO E AREIA MÉDIA ÚMIDA), PREPARO MECÂNICO COM MISTURADOR DE EIXO HORIZONTAL DE 300 KG. AF_07/2026</t>
  </si>
  <si>
    <t>ARGAMASSA TRAÇO 1:4 (EM VOLUME DE CIMENTO E AREIA MÉDIA ÚMIDA), PREPARO MECÂNICO COM MISTURADOR DE EIXO HORIZONTAL DE 600 KG. AF_07/2026</t>
  </si>
  <si>
    <t>ARGAMASSA TRAÇO 1:5 (EM VOLUME DE CIMENTO E AREIA GROSSA ÚMIDA) COM ADIÇÃO DE EMULSÃO POLIMÉRICA PARA CHAPISCO ROLADO, PREPARO MANUAL. AF_07/2026</t>
  </si>
  <si>
    <t>ARGAMASSA TRAÇO 1:5 (EM VOLUME DE CIMENTO E AREIA GROSSA ÚMIDA) COM ADIÇÃO DE EMULSÃO POLIMÉRICA PARA CHAPISCO ROLADO, PREPARO MECÂNICO COM BETONEIRA ATÉ 600 L. AF_07/2026</t>
  </si>
  <si>
    <t>ARGAMASSA TRAÇO 1:5 (EM VOLUME DE CIMENTO E AREIA GROSSA ÚMIDA) COM ADIÇÃO DE EMULSÃO POLIMÉRICA PARA CHAPISCO ROLADO, PREPARO MECÂNICO COM MISTURADOR DE EIXO HORIZONTAL DE 300 KG. AF_07/2026</t>
  </si>
  <si>
    <t>ARGAMASSA TRAÇO 1:5 (EM VOLUME DE CIMENTO E AREIA GROSSA ÚMIDA) COM ADIÇÃO DE EMULSÃO POLIMÉRICA PARA CHAPISCO ROLADO, PREPARO MECÂNICO COM MISTURADOR DE EIXO HORIZONTAL DE 600 KG. AF_07/2026</t>
  </si>
  <si>
    <t>ARGAMASSA TRAÇO 1:5 (EM VOLUME DE CIMENTO E AREIA GROSSA ÚMIDA) PARA CHAPISCO CONVENCIONAL, PREPARO MANUAL. AF_07/2026</t>
  </si>
  <si>
    <t>ARGAMASSA TRAÇO 1:5 (EM VOLUME DE CIMENTO E AREIA GROSSA ÚMIDA) PARA CHAPISCO CONVENCIONAL, PREPARO MECÂNICO COM BETONEIRA ATÉ 600 L. AF_07/2026</t>
  </si>
  <si>
    <t>ARGAMASSA TRAÇO 1:5 (EM VOLUME DE CIMENTO E AREIA GROSSA ÚMIDA) PARA CHAPISCO CONVENCIONAL, PREPARO MECÂNICO COM MISTURADOR DE EIXO HORIZONTAL DE 300 KG. AF_07/2026</t>
  </si>
  <si>
    <t>ARGAMASSA TRAÇO 1:5 (EM VOLUME DE CIMENTO E AREIA GROSSA ÚMIDA) PARA CHAPISCO CONVENCIONAL, PREPARO MECÂNICO COM MISTURADOR DE EIXO HORIZONTAL DE 600 KG. AF_07/2026</t>
  </si>
  <si>
    <t>ARGAMASSA TRAÇO 1:5 (EM VOLUME DE CIMENTO E AREIA MÉDIA ÚMIDA) PARA CONTRAPISO, PREPARO MANUAL. AF_07/2026</t>
  </si>
  <si>
    <t>ARGAMASSA TRAÇO 1:5 (EM VOLUME DE CIMENTO E AREIA MÉDIA ÚMIDA) PARA CONTRAPISO, PREPARO MECÂNICO COM BETONEIRA ATÉ 600 L. AF_07/2026</t>
  </si>
  <si>
    <t>ARGAMASSA TRAÇO 1:5 (EM VOLUME DE CIMENTO E AREIA MÉDIA ÚMIDA) PARA CONTRAPISO, PREPARO MECÂNICO COM MISTURADOR DE EIXO HORIZONTAL DE 160 KG. AF_07/2026</t>
  </si>
  <si>
    <t>ARGAMASSA TRAÇO 1:5 (EM VOLUME DE CIMENTO E AREIA MÉDIA ÚMIDA) PARA CONTRAPISO, PREPARO MECÂNICO COM MISTURADOR DE EIXO HORIZONTAL DE 300 KG. AF_07/2026</t>
  </si>
  <si>
    <t>ARGAMASSA TRAÇO 1:5 (EM VOLUME DE CIMENTO E AREIA MÉDIA ÚMIDA) PARA CONTRAPISO, PREPARO MECÂNICO COM MISTURADOR DE EIXO HORIZONTAL DE 600 KG. AF_07/2026</t>
  </si>
  <si>
    <t>ARGAMASSA TRAÇO 1:6 (EM VOLUME DE CIMENTO E AREIA MÉDIA ÚMIDA) COM ADIÇÃO DE PLASTIFICANTE PARA EMBOÇO/MASSA ÚNICA/ASSENTAMENTO DE ALVENARIA DE VEDAÇÃO, PREPARO MANUAL. AF_07/2026</t>
  </si>
  <si>
    <t>ARGAMASSA TRAÇO 1:6 (EM VOLUME DE CIMENTO E AREIA MÉDIA ÚMIDA) COM ADIÇÃO DE PLASTIFICANTE PARA EMBOÇO/MASSA ÚNICA/ASSENTAMENTO DE ALVENARIA DE VEDAÇÃO, PREPARO MECÂNICO COM BETONEIRA ATÉ 600 L. AF_07/2026</t>
  </si>
  <si>
    <t>ARGAMASSA TRAÇO 1:6 (EM VOLUME DE CIMENTO E AREIA MÉDIA ÚMIDA) COM ADIÇÃO DE PLASTIFICANTE PARA EMBOÇO/MASSA ÚNICA/ASSENTAMENTO DE ALVENARIA DE VEDAÇÃO, PREPARO MECÂNICO COM MISTURADOR DE EIXO HORIZONTAL DE 300 KG. AF_07/2026</t>
  </si>
  <si>
    <t>ARGAMASSA TRAÇO 1:6 (EM VOLUME DE CIMENTO E AREIA MÉDIA ÚMIDA) COM ADIÇÃO DE PLASTIFICANTE PARA EMBOÇO/MASSA ÚNICA/ASSENTAMENTO DE ALVENARIA DE VEDAÇÃO, PREPARO MECÂNICO COM MISTURADOR DE EIXO HORIZONTAL DE 600 KG. AF_07/2026</t>
  </si>
  <si>
    <t>ARGAMASSA TRAÇO 1:6 (EM VOLUME DE CIMENTO E AREIA MÉDIA ÚMIDA) PARA CONTRAPISO, PREPARO MANUAL. AF_07/2026</t>
  </si>
  <si>
    <t>ARGAMASSA TRAÇO 1:6 (EM VOLUME DE CIMENTO E AREIA MÉDIA ÚMIDA) PARA CONTRAPISO, PREPARO MECÂNICO COM BETONEIRA ATÉ 600 L. AF_07/2026</t>
  </si>
  <si>
    <t>ARGAMASSA TRAÇO 1:6 (EM VOLUME DE CIMENTO E AREIA MÉDIA ÚMIDA) PARA CONTRAPISO, PREPARO MECÂNICO COM MISTURADOR DE EIXO HORIZONTAL DE 160 KG. AF_07/2026</t>
  </si>
  <si>
    <t>ARGAMASSA TRAÇO 1:6 (EM VOLUME DE CIMENTO E AREIA MÉDIA ÚMIDA) PARA CONTRAPISO, PREPARO MECÂNICO COM MISTURADOR DE EIXO HORIZONTAL DE 600 KG. AF_07/2026</t>
  </si>
  <si>
    <t>ARGAMASSA TRAÇO 1:7 (EM VOLUME DE CIMENTO E AREIA MÉDIA ÚMIDA) COM ADIÇÃO DE PLASTIFICANTE PARA EMBOÇO/MASSA ÚNICA/ASSENTAMENTO DE ALVENARIA DE VEDAÇÃO, PREPARO MANUAL. AF_07/2026</t>
  </si>
  <si>
    <t>ARGAMASSA TRAÇO 1:7 (EM VOLUME DE CIMENTO E AREIA MÉDIA ÚMIDA) COM ADIÇÃO DE PLASTIFICANTE PARA EMBOÇO/MASSA ÚNICA/ASSENTAMENTO DE ALVENARIA DE VEDAÇÃO, PREPARO MECÂNICO COM BETONEIRA ATÉ 600 L. AF_07/2026</t>
  </si>
  <si>
    <t>ARGAMASSA TRAÇO 1:7 (EM VOLUME DE CIMENTO E AREIA MÉDIA ÚMIDA) COM ADIÇÃO DE PLASTIFICANTE PARA EMBOÇO/MASSA ÚNICA/ASSENTAMENTO DE ALVENARIA DE VEDAÇÃO, PREPARO MECÂNICO COM MISTURADOR DE EIXO HORIZONTAL DE 300 KG. AF_07/2026</t>
  </si>
  <si>
    <t>ARGAMASSA TRAÇO 1:7 (EM VOLUME DE CIMENTO E AREIA MÉDIA ÚMIDA) COM ADIÇÃO DE PLASTIFICANTE PARA EMBOÇO/MASSA ÚNICA/ASSENTAMENTO DE ALVENARIA DE VEDAÇÃO, PREPARO MECÂNICO COM MISTURADOR DE EIXO HORIZONTAL DE 600 KG. AF_07/2026</t>
  </si>
  <si>
    <t>ARGAMASSA À BASE DE GESSO, MISTURA E PROJEÇÃO DE ATÉ 2 M³/H DE ARGAMASSA. AF_07/2026</t>
  </si>
  <si>
    <t>CORTE E DOBRA DE AÇO CA-50, DIÂMETRO DE 6,3 MM, UTILIZADO EM ESTRIBO CONTÍNUO HELICOIDAL. AF_09/2021</t>
  </si>
  <si>
    <t>CORTE E DOBRA DE AÇO CA-60, DIÂMETRO DE 5,0 MM, UTILIZADO EM ESTRIBO CONTÍNUO HELICOIDAL. AF_09/2021</t>
  </si>
  <si>
    <t>EXECUÇÃO DE CORTINA DE CONCRETO PROJETADO COM ESPESSURA DE 10 CM, FCK MAIOR OU IGUAL A 30 MPA. AF_07/2026</t>
  </si>
  <si>
    <t>EXECUÇÃO DE CORTINA DE CONCRETO PROJETADO COM ESPESSURA DE 15 CM, FCK MAIOR OU IGUAL A 30 MPA. AF_07/2026</t>
  </si>
  <si>
    <t>EXECUÇÃO DE CORTINA DE CONCRETO PROJETADO COM ESPESSURA DE 20 CM, FCK MAIOR OU IGUAL A 30 MPA. AF_07/2026</t>
  </si>
  <si>
    <t>EXECUÇÃO DE CORTINA DE CONCRETO PROJETADO COM ESPESSURA DE 5 CM, FCK MAIOR OU IGUAL A 30 MPA. AF_07/2026</t>
  </si>
  <si>
    <t>EXECUÇÃO DE REVESTIMENTO DE CONCRETO PROJETADO COM ESPESSURA DE 10 CM, ARMADO COM FIBRAS DE AÇO, INCLINAÇÃO DE 90°, APLICAÇÃO CONTÍNUA, UTILIZANDO EQUIPAMENTO DE PROJEÇÃO COM 3 M3/H DE CAPACIDADE. AF_07/2026</t>
  </si>
  <si>
    <t>EXECUÇÃO DE REVESTIMENTO DE CONCRETO PROJETADO COM ESPESSURA DE 10 CM, ARMADO COM FIBRAS DE AÇO, INCLINAÇÃO DE 90°, APLICAÇÃO CONTÍNUA, UTILIZANDO EQUIPAMENTO DE PROJEÇÃO COM 6 M3/H DE CAPACIDADE. AF_07/2026</t>
  </si>
  <si>
    <t>EXECUÇÃO DE REVESTIMENTO DE CONCRETO PROJETADO COM ESPESSURA DE 10 CM, ARMADO COM FIBRAS DE AÇO, INCLINAÇÃO DE 90°, APLICAÇÃO DESCONTÍNUA, UTILIZANDO EQUIPAMENTO DE PROJEÇÃO COM 3 M3/H DE CAPACIDADE. AF_07/2026</t>
  </si>
  <si>
    <t>EXECUÇÃO DE REVESTIMENTO DE CONCRETO PROJETADO COM ESPESSURA DE 10 CM, ARMADO COM FIBRAS DE AÇO, INCLINAÇÃO DE 90°, APLICAÇÃO DESCONTÍNUA, UTILIZANDO EQUIPAMENTO DE PROJEÇÃO COM 6 M3/H DE CAPACIDADE. AF_07/2026</t>
  </si>
  <si>
    <t>EXECUÇÃO DE REVESTIMENTO DE CONCRETO PROJETADO COM ESPESSURA DE 10 CM, ARMADO COM FIBRAS DE AÇO, INCLINAÇÃO MENOR QUE 90°, APLICAÇÃO CONTÍNUA, UTILIZANDO EQUIPAMENTO DE PROJEÇÃO COM 3 M3/H DE CAPACIDADE. AF_07/2026</t>
  </si>
  <si>
    <t>EXECUÇÃO DE REVESTIMENTO DE CONCRETO PROJETADO COM ESPESSURA DE 10 CM, ARMADO COM FIBRAS DE AÇO, INCLINAÇÃO MENOR QUE 90°, APLICAÇÃO CONTÍNUA, UTILIZANDO EQUIPAMENTO DE PROJEÇÃO COM 6 M3/H DE CAPACIDADE. AF_07/2026</t>
  </si>
  <si>
    <t>EXECUÇÃO DE REVESTIMENTO DE CONCRETO PROJETADO COM ESPESSURA DE 10 CM, ARMADO COM FIBRAS DE AÇO, INCLINAÇÃO MENOR QUE 90°, APLICAÇÃO DESCONTÍNUA, UTILIZANDO EQUIPAMENTO DE PROJEÇÃO COM 3 M3/H DE CAPACIDADE. AF_07/2026</t>
  </si>
  <si>
    <t>EXECUÇÃO DE REVESTIMENTO DE CONCRETO PROJETADO COM ESPESSURA DE 10 CM, ARMADO COM FIBRAS DE AÇO, INCLINAÇÃO MENOR QUE 90°, APLICAÇÃO DESCONTÍNUA, UTILIZANDO EQUIPAMENTO DE PROJEÇÃO COM 6 M3/H DE CAPACIDADE. AF_07/2026</t>
  </si>
  <si>
    <t>EXECUÇÃO DE REVESTIMENTO DE CONCRETO PROJETADO COM ESPESSURA DE 10 CM, ARMADO COM TELA, INCLINAÇÃO DE 90°, APLICAÇÃO CONTÍNUA, UTILIZANDO EQUIPAMENTO DE PROJEÇÃO COM 3 M3/H DE CAPACIDADE. AF_07/2026</t>
  </si>
  <si>
    <t>EXECUÇÃO DE REVESTIMENTO DE CONCRETO PROJETADO COM ESPESSURA DE 10 CM, ARMADO COM TELA, INCLINAÇÃO DE 90°, APLICAÇÃO CONTÍNUA, UTILIZANDO EQUIPAMENTO DE PROJEÇÃO COM 6 M3/H DE CAPACIDADE. AF_07/2026</t>
  </si>
  <si>
    <t>EXECUÇÃO DE REVESTIMENTO DE CONCRETO PROJETADO COM ESPESSURA DE 10 CM, ARMADO COM TELA, INCLINAÇÃO DE 90°, APLICAÇÃO DESCONTÍNUA, UTILIZANDO EQUIPAMENTO DE PROJEÇÃO COM 3 M3/H DE CAPACIDADE. AF_07/2026</t>
  </si>
  <si>
    <t>EXECUÇÃO DE REVESTIMENTO DE CONCRETO PROJETADO COM ESPESSURA DE 10 CM, ARMADO COM TELA, INCLINAÇÃO DE 90°, APLICAÇÃO DESCONTÍNUA, UTILIZANDO EQUIPAMENTO DE PROJEÇÃO COM 6 M3/H DE CAPACIDADE. AF_07/2026</t>
  </si>
  <si>
    <t>EXECUÇÃO DE REVESTIMENTO DE CONCRETO PROJETADO COM ESPESSURA DE 10 CM, ARMADO COM TELA, INCLINAÇÃO MENOR QUE 90°, APLICAÇÃO CONTÍNUA, UTILIZANDO EQUIPAMENTO DE PROJEÇÃO COM 3 M3/H DE CAPACIDADE. AF_07/2026</t>
  </si>
  <si>
    <t>EXECUÇÃO DE REVESTIMENTO DE CONCRETO PROJETADO COM ESPESSURA DE 10 CM, ARMADO COM TELA, INCLINAÇÃO MENOR QUE 90°, APLICAÇÃO CONTÍNUA, UTILIZANDO EQUIPAMENTO DE PROJEÇÃO COM 6 M3/H DE CAPACIDADE. AF_07/2026</t>
  </si>
  <si>
    <t>EXECUÇÃO DE REVESTIMENTO DE CONCRETO PROJETADO COM ESPESSURA DE 10 CM, ARMADO COM TELA, INCLINAÇÃO MENOR QUE 90°, APLICAÇÃO DESCONTÍNUA, UTILIZANDO EQUIPAMENTO DE PROJEÇÃO COM 3 M3/H DE CAPACIDADE. AF_07/2026</t>
  </si>
  <si>
    <t>EXECUÇÃO DE REVESTIMENTO DE CONCRETO PROJETADO COM ESPESSURA DE 10 CM, ARMADO COM TELA, INCLINAÇÃO MENOR QUE 90°, APLICAÇÃO DESCONTÍNUA, UTILIZANDO EQUIPAMENTO DE PROJEÇÃO COM 6 M3/H DE CAPACIDADE. AF_07/2026</t>
  </si>
  <si>
    <t>EXECUÇÃO DE REVESTIMENTO DE CONCRETO PROJETADO COM ESPESSURA DE 7 CM, ARMADO COM FIBRAS DE AÇO, INCLINAÇÃO DE 90°, APLICAÇÃO CONTÍNUA, UTILIZANDO EQUIPAMENTO DE PROJEÇÃO COM 3 M3/H DE CAPACIDADE. AF_07/2026</t>
  </si>
  <si>
    <t>EXECUÇÃO DE REVESTIMENTO DE CONCRETO PROJETADO COM ESPESSURA DE 7 CM, ARMADO COM FIBRAS DE AÇO, INCLINAÇÃO DE 90°, APLICAÇÃO CONTÍNUA, UTILIZANDO EQUIPAMENTO DE PROJEÇÃO COM 6 M3/H DE CAPACIDADE. AF_07/2026</t>
  </si>
  <si>
    <t>EXECUÇÃO DE REVESTIMENTO DE CONCRETO PROJETADO COM ESPESSURA DE 7 CM, ARMADO COM FIBRAS DE AÇO, INCLINAÇÃO DE 90°, APLICAÇÃO DESCONTÍNUA, UTILIZANDO EQUIPAMENTO DE PROJEÇÃO COM 3 M3/H DE CAPACIDADE. AF_07/2026</t>
  </si>
  <si>
    <t>EXECUÇÃO DE REVESTIMENTO DE CONCRETO PROJETADO COM ESPESSURA DE 7 CM, ARMADO COM FIBRAS DE AÇO, INCLINAÇÃO DE 90°, APLICAÇÃO DESCONTÍNUA, UTILIZANDO EQUIPAMENTO DE PROJEÇÃO COM 6 M3/H DE CAPACIDADE. AF_07/2026</t>
  </si>
  <si>
    <t>EXECUÇÃO DE REVESTIMENTO DE CONCRETO PROJETADO COM ESPESSURA DE 7 CM, ARMADO COM FIBRAS DE AÇO, INCLINAÇÃO MENOR QUE 90°, APLICAÇÃO CONTÍNUA, UTILIZANDO EQUIPAMENTO DE PROJEÇÃO COM 3 M3/H DE CAPACIDADE. AF_07/2026</t>
  </si>
  <si>
    <t>EXECUÇÃO DE REVESTIMENTO DE CONCRETO PROJETADO COM ESPESSURA DE 7 CM, ARMADO COM FIBRAS DE AÇO, INCLINAÇÃO MENOR QUE 90°, APLICAÇÃO CONTÍNUA, UTILIZANDO EQUIPAMENTO DE PROJEÇÃO COM 6 M3/H DE CAPACIDADE. AF_07/2026</t>
  </si>
  <si>
    <t>EXECUÇÃO DE REVESTIMENTO DE CONCRETO PROJETADO COM ESPESSURA DE 7 CM, ARMADO COM FIBRAS DE AÇO, INCLINAÇÃO MENOR QUE 90°, APLICAÇÃO DESCONTÍNUA, UTILIZANDO EQUIPAMENTO DE PROJEÇÃO COM 3 M3/H DE CAPACIDADE. AF_07/2026</t>
  </si>
  <si>
    <t>EXECUÇÃO DE REVESTIMENTO DE CONCRETO PROJETADO COM ESPESSURA DE 7 CM, ARMADO COM FIBRAS DE AÇO, INCLINAÇÃO MENOR QUE 90°, APLICAÇÃO DESCONTÍNUA, UTILIZANDO EQUIPAMENTO DE PROJEÇÃO COM 6 M3/H DE CAPACIDADE. AF_07/2026</t>
  </si>
  <si>
    <t>EXECUÇÃO DE REVESTIMENTO DE CONCRETO PROJETADO COM ESPESSURA DE 7 CM, ARMADO COM TELA, INCLINAÇÃO DE 90°, APLICAÇÃO CONTÍNUA, UTILIZANDO EQUIPAMENTO DE PROJEÇÃO COM 3 M3/H DE CAPACIDADE. AF_07/2026</t>
  </si>
  <si>
    <t>EXECUÇÃO DE REVESTIMENTO DE CONCRETO PROJETADO COM ESPESSURA DE 7 CM, ARMADO COM TELA, INCLINAÇÃO DE 90°, APLICAÇÃO CONTÍNUA, UTILIZANDO EQUIPAMENTO DE PROJEÇÃO COM 6 M3/H DE CAPACIDADE. AF_07/2026</t>
  </si>
  <si>
    <t>EXECUÇÃO DE REVESTIMENTO DE CONCRETO PROJETADO COM ESPESSURA DE 7 CM, ARMADO COM TELA, INCLINAÇÃO DE 90°, APLICAÇÃO DESCONTÍNUA, UTILIZANDO EQUIPAMENTO DE PROJEÇÃO COM 3 M3/H DE CAPACIDADE. AF_07/2026</t>
  </si>
  <si>
    <t>EXECUÇÃO DE REVESTIMENTO DE CONCRETO PROJETADO COM ESPESSURA DE 7 CM, ARMADO COM TELA, INCLINAÇÃO DE 90°, APLICAÇÃO DESCONTÍNUA, UTILIZANDO EQUIPAMENTO DE PROJEÇÃO COM 6 M3/H DE CAPACIDADE. AF_07/2026</t>
  </si>
  <si>
    <t>EXECUÇÃO DE REVESTIMENTO DE CONCRETO PROJETADO COM ESPESSURA DE 7 CM, ARMADO COM TELA, INCLINAÇÃO MENOR QUE 90°, APLICAÇÃO CONTÍNUA, UTILIZANDO EQUIPAMENTO DE PROJEÇÃO COM 3 M3/H DE CAPACIDADE. AF_07/2026</t>
  </si>
  <si>
    <t>EXECUÇÃO DE REVESTIMENTO DE CONCRETO PROJETADO COM ESPESSURA DE 7 CM, ARMADO COM TELA, INCLINAÇÃO MENOR QUE 90°, APLICAÇÃO CONTÍNUA, UTILIZANDO EQUIPAMENTO DE PROJEÇÃO COM 6 M3/H DE CAPACIDADE. AF_07/2026</t>
  </si>
  <si>
    <t>EXECUÇÃO DE REVESTIMENTO DE CONCRETO PROJETADO COM ESPESSURA DE 7 CM, ARMADO COM TELA, INCLINAÇÃO MENOR QUE 90°, APLICAÇÃO DESCONTÍNUA, UTILIZANDO EQUIPAMENTO DE PROJEÇÃO COM 3 M3/H DE CAPACIDADE. AF_07/2026</t>
  </si>
  <si>
    <t>EXECUÇÃO DE REVESTIMENTO DE CONCRETO PROJETADO COM ESPESSURA DE 7 CM, ARMADO COM TELA, INCLINAÇÃO MENOR QUE 90°, APLICAÇÃO DESCONTÍNUA, UTILIZANDO EQUIPAMENTO DE PROJEÇÃO COM 6 M3/H DE CAPACIDADE. AF_07/2026</t>
  </si>
  <si>
    <t>INSTALAÇÃO DE TELA METÁLICA Q-138, PARA CORTINA DE CONCRETO PROJETADO. AF_07/2026</t>
  </si>
  <si>
    <t>INSTALAÇÃO DE TELA METÁLICA Q-196, PARA CORTINA DE CONCRETO PROJETADO. AF_07/2026</t>
  </si>
  <si>
    <t>INSTALAÇÃO DE TELA METÁLICA Q-283, PARA CORTINA DE CONCRETO PROJETADO. AF_07/2026</t>
  </si>
  <si>
    <t>CORRIMÃO SIMPLES FIXADO EM PAREDE, DIÂMETRO EXTERNO = 1 1/2", EM ALUMÍNIO. AF_10/2025</t>
  </si>
  <si>
    <t>CORRIMÃO SIMPLES FIXADO EM PAREDE, DIÂMETRO EXTERNO = 1 1/2", EM AÇO GALVANIZADO. AF_10/2025</t>
  </si>
  <si>
    <t>GUARDA-CORPO DE AÇO GALVANIZADO DE 1,10M, MONTANTES TUBULARES DE 1.1/4" ESPAÇADOS 1,20M, TRAVESSA SUPERIOR DE 1.1/2", GRADIL FORMADO POR TUBOS HORIZONTAIS DE 1" E VERTICAIS DE 3/4", FIXADO COM ADESIVO ESTRUTURAL EPOXI. AF_10/2025</t>
  </si>
  <si>
    <t>PINTURA COM TINTA ACRILICA DE ACABAMENTO PULVERIZADA SOBRE SUPERFICIES METALICAS (EXCETO PERFIL) EXECUTADO EM OBRA (02 DEMAOS). AF_01/2020</t>
  </si>
  <si>
    <t>PINTURA COM TINTA ACRILICA DE ACABAMENTO PULVERIZADA SOBRE SUPERFICIES METALICAS (EXCETO PERFIL) EXECUTADO EM OBRA (POR DEMAO). AF_01/2020</t>
  </si>
  <si>
    <t>PINTURA COM TINTA ACRILICA DE FUNDO PULVERIZADA SOBRE SUPERFICIES METALICAS (EXCETO PERFIL) EXECUTADO EM OBRA (POR DEMAO). AF_01/2020</t>
  </si>
  <si>
    <t>PINTURA COM TINTA ALQUIDICA DE ACABAMENTO (ESMALTE SINTETICO ACETINADO) PULVERIZADA SOBRE PERFIL METALICO EXECUTADO EM FABRICA (POR DEMAO). AF_01/2020</t>
  </si>
  <si>
    <t>PINTURA COM TINTA ALQUIDICA DE ACABAMENTO (ESMALTE SINTETICO ACETINADO) PULVERIZADA SOBRE SUPERFICIES METALICAS (EXCETO PERFIL) EXECUTADO EM OBRA (02 DEMAOS). AF_01/2020</t>
  </si>
  <si>
    <t>PINTURA COM TINTA ALQUIDICA DE ACABAMENTO (ESMALTE SINTETICO ACETINADO) PULVERIZADA SOBRE SUPERFICIES METALICAS (EXCETO PERFIL) EXECUTADO EM OBRA (POR DEMAO). AF_01/2020</t>
  </si>
  <si>
    <t>PINTURA COM TINTA ALQUIDICA DE ACABAMENTO (ESMALTE SINTETICO BRILHANTE) PULVERIZADA SOBRE PERFIL METALICO EXECUTADO EM FABRICA (POR DEMAO). AF_01/2020</t>
  </si>
  <si>
    <t>PINTURA COM TINTA ALQUIDICA DE ACABAMENTO (ESMALTE SINTETICO BRILHANTE) PULVERIZADA SOBRE SUPERFICIES METALICAS (EXCETO PERFIL) EXECUTADO EM OBRA (02 DEMAOS). AF_01/2020</t>
  </si>
  <si>
    <t>PINTURA COM TINTA ALQUIDICA DE ACABAMENTO (ESMALTE SINTETICO BRILHANTE) PULVERIZADA SOBRE SUPERFICIES METALICAS (EXCETO PERFIL) EXECUTADO EM OBRA (POR DEMAO). AF_01/2020</t>
  </si>
  <si>
    <t>PINTURA COM TINTA ALQUIDICA DE ACABAMENTO (ESMALTE SINTETICO FOSCO) PULVERIZADA SOBRE PERFIL METALICO EXECUTADO EM FABRICA (POR DEMAO). AF_01/2020</t>
  </si>
  <si>
    <t>PINTURA COM TINTA ALQUIDICA DE ACABAMENTO (ESMALTE SINTETICO FOSCO) PULVERIZADA SOBRE SUPERFICIES METALICAS (EXCETO PERFIL) EXECUTADO EM OBRA (02 DEMAOS). AF_01/2020</t>
  </si>
  <si>
    <t>PINTURA COM TINTA ALQUIDICA DE ACABAMENTO (ESMALTE SINTETICO FOSCO) PULVERIZADA SOBRE SUPERFICIES METALICAS (EXCETO PERFIL) EXECUTADO EM OBRA (POR DEMAO). AF_01/2020</t>
  </si>
  <si>
    <t>PINTURA COM TINTA ALQUIDICA DE FUNDO (TIPO ZARCAO) PULVERIZADA SOBRE PERFIL METALICO EXECUTADO EM FABRICA (POR DEMAO). AF_01/2020</t>
  </si>
  <si>
    <t>PINTURA COM TINTA ALQUIDICA DE FUNDO (TIPO ZARCAO) PULVERIZADA SOBRE SUPERFICIES METALICAS (EXCETO PERFIL) EXECUTADO EM OBRA (POR DEMAO). AF_01/2020</t>
  </si>
  <si>
    <t>PINTURA COM TINTA ALQUIDICA DE FUNDO E ACABAMENTO (ESMALTE SINTETICO GRAFITE) PULVERIZADA SOBRE PERFIL METALICO EXECUTADO EM FABRICA (POR DEMAO). AF_01/2020</t>
  </si>
  <si>
    <t>PINTURA COM TINTA ALQUIDICA DE FUNDO E ACABAMENTO (ESMALTE SINTETICO GRAFITE) PULVERIZADA SOBRE SUPERFICIES METALICAS (EXCETO PERFIL) EXECUTADO EM OBRA (POR DEMAO). AF_01/2020</t>
  </si>
  <si>
    <t>PINTURA COM TINTA EPOXIDICA DE ACABAMENTO PULVERIZADA SOBRE PERFIL METALICO EXECUTADO EM FABRICA (02 DEMAOS). AF_01/2020</t>
  </si>
  <si>
    <t>PINTURA COM TINTA EPOXIDICA DE ACABAMENTO PULVERIZADA SOBRE PERFIL METALICO EXECUTADO EM FABRICA (POR DEMAO). AF_01/2020</t>
  </si>
  <si>
    <t>PINTURA COM TINTA EPOXIDICA DE FUNDO PULVERIZADA SOBRE PERFIL METALICO EXECUTADO EM FABRICA (POR DEMAO). AF_01/2020</t>
  </si>
  <si>
    <t>ACABAMENTO POLIDO PARA PISO DE CONCRETO ARMADO DE ALTA RESISTÊNCIA. AF_07/2026</t>
  </si>
  <si>
    <t>ARMAÇÃO PARA EXECUÇÃO DE RADIER, PISO DE CONCRETO OU LAJE SOBRE SOLO, COM USO DE TELA Q-113. AF_07/2026</t>
  </si>
  <si>
    <t>ARMAÇÃO PARA EXECUÇÃO DE RADIER, PISO DE CONCRETO OU LAJE SOBRE SOLO, COM USO DE TELA Q-138. AF_07/2026</t>
  </si>
  <si>
    <t>ARMAÇÃO PARA EXECUÇÃO DE RADIER, PISO DE CONCRETO OU LAJE SOBRE SOLO, COM USO DE TELA Q-159. AF_07/2026</t>
  </si>
  <si>
    <t>ARMAÇÃO PARA EXECUÇÃO DE RADIER, PISO DE CONCRETO OU LAJE SOBRE SOLO, COM USO DE TELA Q-196. AF_07/2026</t>
  </si>
  <si>
    <t>ARMAÇÃO PARA EXECUÇÃO DE RADIER, PISO DE CONCRETO OU LAJE SOBRE SOLO, COM USO DE TELA Q-283. AF_07/2026</t>
  </si>
  <si>
    <t>ARMAÇÃO PARA EXECUÇÃO DE RADIER, PISO DE CONCRETO OU LAJE SOBRE SOLO, COM USO DE TELA Q-92. AF_07/2026</t>
  </si>
  <si>
    <t>ARMAÇÃO PARA EXECUÇÃO DE RADIER, PISO DE CONCRETO OU LAJE SOBRE SOLO, COM USO DE VERGALHÃO AÇO CA-50 DE 10,0 MM - MONTAGEM. AF_07/2026</t>
  </si>
  <si>
    <t>ARMAÇÃO PARA EXECUÇÃO DE RADIER, PISO DE CONCRETO OU LAJE SOBRE SOLO, COM USO DE VERGALHÃO AÇO CA-50 DE 12,5 MM - MONTAGEM. AF_07/2026</t>
  </si>
  <si>
    <t>ARMAÇÃO PARA EXECUÇÃO DE RADIER, PISO DE CONCRETO OU LAJE SOBRE SOLO, COM USO DE VERGALHÃO AÇO CA-50 DE 8,0 MM - MONTAGEM. AF_07/2026</t>
  </si>
  <si>
    <t>CAMADA SEPARADORA PARA EXECUÇÃO DE RADIER, PISO DE CONCRETO OU LAJE SOBRE SOLO, EM LONA PLÁSTICA. AF_07/2026</t>
  </si>
  <si>
    <t>COMPACTAÇÃO MECÂNICA DE SOLO PARA EXECUÇÃO DE RADIER, PISO DE CONCRETO OU LAJE SOBRE SOLO, COM COMPACTADOR DE SOLOS A PERCUSSÃO. AF_07/2026</t>
  </si>
  <si>
    <t>COMPACTAÇÃO MECÂNICA DE SOLO PARA EXECUÇÃO DE RADIER, PISO DE CONCRETO OU LAJE SOBRE SOLO, COM COMPACTADOR DE SOLOS TIPO PLACA VIBRATÓRIA. AF_07/2026</t>
  </si>
  <si>
    <t>CONCRETAGEM DE RADIER, PISO OU LAJE SOBRE SOLO, FCK 25 MPA - LANÇAMENTO, ADENSAMENTO E ACABAMENTO. AF_07/2026</t>
  </si>
  <si>
    <t>CONCRETAGEM DE RADIER, PISO OU LAJE SOBRE SOLO, FCK 30 MPA - LANÇAMENTO, ADENSAMENTO E ACABAMENTO. AF_07/2026</t>
  </si>
  <si>
    <t>CONCRETAGEM DE RADIER, PISO OU LAJE SOBRE SOLO, FCK 35 MPA - LANÇAMENTO, ADENSAMENTO E ACABAMENTO. AF_07/2026</t>
  </si>
  <si>
    <t>ESCAVAÇÃO MANUAL DE VIGA DE BORDA PARA RADIER. AF_07/2026</t>
  </si>
  <si>
    <t>EXECUÇÃO DE LAJE SOBRE SOLO, ESPESSURA DE 10 CM, FCK = 30 MPA, COM USO DE FORMAS EM MADEIRA SERRADA. AF_07/2026</t>
  </si>
  <si>
    <t>EXECUÇÃO DE LAJE SOBRE SOLO, ESPESSURA DE 15 CM, FCK = 30 MPA, COM USO DE FORMAS EM MADEIRA SERRADA. AF_07/2026</t>
  </si>
  <si>
    <t>EXECUÇÃO DE LAJE SOBRE SOLO, ESPESSURA DE 20 CM, FCK = 30 MPA, COM USO DE FORMAS EM MADEIRA SERRADA. AF_07/2026</t>
  </si>
  <si>
    <t>EXECUÇÃO DE LAJE SOBRE SOLO, ESPESSURA DE 25 CM, FCK = 30 MPA, COM USO DE FORMAS EM MADEIRA SERRADA. AF_07/2026</t>
  </si>
  <si>
    <t>EXECUÇÃO DE LAJE SOBRE SOLO, ESPESSURA DE 30 CM, FCK = 30 MPA, COM USO DE FORMAS EM MADEIRA SERRADA. AF_07/2026</t>
  </si>
  <si>
    <t>EXECUÇÃO DE PISO DE CONCRETO, COM ACABAMENTO SUPERFICIAL, ESPESSURA DE 15 CM, FCK = 30 MPA, COM USO DE FORMAS EM MADEIRA SERRADA. AF_07/2026</t>
  </si>
  <si>
    <t>EXECUÇÃO DE PISO DE CONCRETO, SEM ACABAMENTO SUPERFICIAL, ESPESSURA DE 15 CM, FCK = 30 MPA, COM USO DE FORMAS EM MADEIRA SERRADA. AF_07/2026</t>
  </si>
  <si>
    <t>EXECUÇÃO DE RADIER, ESPESSURA DE 10 CM, FCK = 30 MPA, COM USO DE FORMAS EM MADEIRA SERRADA. AF_07/2026</t>
  </si>
  <si>
    <t>EXECUÇÃO DE RADIER, ESPESSURA DE 15 CM, FCK = 30 MPA, COM USO DE FORMAS EM MADEIRA SERRADA. AF_07/2026</t>
  </si>
  <si>
    <t>EXECUÇÃO DE RADIER, ESPESSURA DE 20 CM, FCK = 30 MPA, COM USO DE FORMAS EM MADEIRA SERRADA. AF_07/2026</t>
  </si>
  <si>
    <t>EXECUÇÃO DE RADIER, ESPESSURA DE 25 CM, FCK = 30 MPA, COM USO DE FORMAS EM MADEIRA SERRADA. AF_07/2026</t>
  </si>
  <si>
    <t>EXECUÇÃO DE RADIER, ESPESSURA DE 30 CM, FCK = 30 MPA, COM USO DE FORMAS EM MADEIRA SERRADA. AF_07/2026</t>
  </si>
  <si>
    <t>FABRICAÇÃO, MONTAGEM E DESMONTAGEM DE FORMA PARA RADIER, PISO DE CONCRETO OU LAJE SOBRE SOLO, EM COMPENSADO RESINADO, 4 UTILIZAÇÕES. AF_07/2026</t>
  </si>
  <si>
    <t>FABRICAÇÃO, MONTAGEM E DESMONTAGEM DE FORMA PARA RADIER, PISO DE CONCRETO OU LAJE SOBRE SOLO, EM MADEIRA SERRADA, 4 UTILIZAÇÕES. AF_07/2026</t>
  </si>
  <si>
    <t>INSTALAÇÃO DE ABRIGO METÁLICO DE SOBREPOR PARA ATÉ 16 MEDIDORES DE GÁS (SOMENTE INSTALAÇÃO, EXCLUSIVE ABRIGO). AF_07/2026</t>
  </si>
  <si>
    <t>INSTALAÇÃO DE ABRIGO METÁLICO DE SOBREPOR PARA ATÉ 8 MEDIDORES DE GÁS (SOMENTE INSTALAÇÃO, EXCLUSIVE ABRIGO). AF_07/2026</t>
  </si>
  <si>
    <t>INSTALAÇÃO DE TUBOS E CONEXÕES, EM AÇO/FERRO GALVANIZADO, PARA O CENTRO DE MEDIÇÃO DE GÁS DE EDIFÍCIO RESIDENCIAL, COM 4 PAVIMENTOS, 16 UNIDADES HABITACIONAIS, DN 32 (1 1/4") - FORNECIMENTO E INSTALAÇÃO. AF_07/2026</t>
  </si>
  <si>
    <t>INSTALAÇÃO DE TUBOS E CONEXÕES, EM AÇO/FERRO GALVANIZADO, PARA O CENTRO DE MEDIÇÃO DE GÁS DE EDIFÍCIO RESIDENCIAL, COM 4 PAVIMENTOS, 16 UNIDADES HABITACIONAIS, DN 50 (2") - FORNECIMENTO E INSTALAÇÃO. AF_07/2026</t>
  </si>
  <si>
    <t>INSTALAÇÃO DE TUBOS E CONEXÕES, EM AÇO/FERRO GALVANIZADO, PARA O CENTRO DE MEDIÇÃO DE GÁS, COM 16 MEDIDORES, DN 15 MM (1/2") - FORNECIMENTO E INSTALAÇÃO. AF_07/2026</t>
  </si>
  <si>
    <t>INSTALAÇÃO DE TUBOS E CONEXÕES, EM AÇO/FERRO GALVANIZADO, PARA O CENTRO DE MEDIÇÃO DE GÁS, COM 16 MEDIDORES, DN 20 MM (3/4") - FORNECIMENTO E INSTALAÇÃO. AF_07/2026</t>
  </si>
  <si>
    <t>INSTALAÇÃO DE TUBOS E CONEXÕES, EM AÇO/FERRO GALVANIZADO, PARA O CENTRO DE MEDIÇÃO DE GÁS, COM 16 MEDIDORES, DN 25 MM (1") - FORNECIMENTO E INSTALAÇÃO. AF_07/2026</t>
  </si>
  <si>
    <t>KIT CAVALETE PARA GÁS - SEM MEDIDOR E SEM REGULADOR - ENTRADA INDIVIDUAL PRINCIPAL, EM AÇO GALVANIZADO DN 15 E 25 MM (1/2" E 1") - FORNECIMENTO E INSTALAÇÃO. AF_07/2026</t>
  </si>
  <si>
    <t>REGULADOR DE PRESSÃO PARA GÁS LIQUEFEITO DE PETRÓLEO, DN 15 MM (1/2") - FORNECIMENTO E INSTALAÇÃO. AF_07/2026</t>
  </si>
  <si>
    <t>TESTE DE ESTANQUEIDADE PARA GÁS. AF_07/2026</t>
  </si>
  <si>
    <t>ALVENARIA ESTRUTURAL DE BLOCOS CERÂMICOS 14X19X29 CM (ESPESSURA 14 CM), FBK = 10 MPA, UTILIZANDO COLHER DE PEDREIRO. AF_07/2026</t>
  </si>
  <si>
    <t>ALVENARIA ESTRUTURAL DE BLOCOS CERÂMICOS 14X19X29 CM (ESPESSURA 14 CM), FBK = 10 MPA, UTILIZANDO PALHETA. AF_07/2026</t>
  </si>
  <si>
    <t>ALVENARIA ESTRUTURAL DE BLOCOS CERÂMICOS 14X19X29 CM (ESPESSURA 14 CM), FBK = 12 MPA, UTILIZANDO COLHER DE PEDREIRO. AF_07/2026</t>
  </si>
  <si>
    <t>ALVENARIA ESTRUTURAL DE BLOCOS CERÂMICOS 14X19X29 CM (ESPESSURA 14 CM), FBK = 12 MPA, UTILIZANDO PALHETA. AF_07/2026</t>
  </si>
  <si>
    <t>ALVENARIA ESTRUTURAL DE BLOCOS CERÂMICOS 14X19X29 CM (ESPESSURA 14 CM), FBK = 14 MPA, UTILIZANDO COLHER DE PEDREIRO. AF_07/2026</t>
  </si>
  <si>
    <t>ALVENARIA ESTRUTURAL DE BLOCOS CERÂMICOS 14X19X29 CM (ESPESSURA 14 CM), FBK = 14 MPA, UTILIZANDO PALHETA. AF_07/2026</t>
  </si>
  <si>
    <t>ALVENARIA ESTRUTURAL DE BLOCOS CERÂMICOS 14X19X29 CM (ESPESSURA 14 CM), FBK = 16 MPA, UTILIZANDO COLHER DE PEDREIRO. AF_07/2026</t>
  </si>
  <si>
    <t>ALVENARIA ESTRUTURAL DE BLOCOS CERÂMICOS 14X19X29 CM (ESPESSURA 14 CM), FBK = 16 MPA, UTILIZANDO PALHETA. AF_07/2026</t>
  </si>
  <si>
    <t>ALVENARIA ESTRUTURAL DE BLOCOS CERÂMICOS 14X19X29 CM (ESPESSURA 14 CM), FBK = 18 MPA, UTILIZANDO COLHER DE PEDREIRO. AF_07/2026</t>
  </si>
  <si>
    <t>ALVENARIA ESTRUTURAL DE BLOCOS CERÂMICOS 14X19X29 CM (ESPESSURA 14 CM), FBK = 18 MPA, UTILIZANDO PALHETA. AF_07/2026</t>
  </si>
  <si>
    <t>ALVENARIA ESTRUTURAL DE BLOCOS CERÂMICOS 14X19X29 CM (ESPESSURA 14 CM), FBK = 4 MPA, UTILIZANDO COLHER DE PEDREIRO. AF_07/2026</t>
  </si>
  <si>
    <t>ALVENARIA ESTRUTURAL DE BLOCOS CERÂMICOS 14X19X29 CM (ESPESSURA 14 CM), FBK = 4 MPA, UTILIZANDO PALHETA. AF_07/2026</t>
  </si>
  <si>
    <t>ALVENARIA ESTRUTURAL DE BLOCOS CERÂMICOS 14X19X29 CM (ESPESSURA 14 CM), FBK = 8 MPA, UTILIZANDO COLHER DE PEDREIRO. AF_07/2026</t>
  </si>
  <si>
    <t>ALVENARIA ESTRUTURAL DE BLOCOS CERÂMICOS 14X19X29 CM (ESPESSURA 14 CM), FBK = 8 MPA, UTILIZANDO PALHETA. AF_07/2026</t>
  </si>
  <si>
    <t>ALVENARIA ESTRUTURAL DE BLOCOS CERÂMICOS 14X19X39 CM (ESPESSURA 14 CM), FBK = 10 MPA, UTILIZANDO COLHER DE PEDREIRO. AF_07/2026</t>
  </si>
  <si>
    <t>ALVENARIA ESTRUTURAL DE BLOCOS CERÂMICOS 14X19X39 CM (ESPESSURA 14 CM), FBK = 10 MPA, UTILIZANDO PALHETA. AF_07/2026</t>
  </si>
  <si>
    <t>ALVENARIA ESTRUTURAL DE BLOCOS CERÂMICOS 14X19X39 CM (ESPESSURA 14 CM), FBK = 12 MPA, UTILIZANDO COLHER DE PEDREIRO. AF_07/2026</t>
  </si>
  <si>
    <t>ALVENARIA ESTRUTURAL DE BLOCOS CERÂMICOS 14X19X39 CM (ESPESSURA 14 CM), FBK = 12 MPA, UTILIZANDO PALHETA. AF_07/2026</t>
  </si>
  <si>
    <t>ALVENARIA ESTRUTURAL DE BLOCOS CERÂMICOS 14X19X39 CM (ESPESSURA 14 CM), FBK = 4 MPA, UTILIZANDO COLHER DE PEDREIRO. AF_07/2026</t>
  </si>
  <si>
    <t>ALVENARIA ESTRUTURAL DE BLOCOS CERÂMICOS 14X19X39 CM (ESPESSURA 14 CM), FBK = 4 MPA, UTILIZANDO PALHETA. AF_07/2026</t>
  </si>
  <si>
    <t>ALVENARIA ESTRUTURAL DE BLOCOS CERÂMICOS 14X19X39 CM (ESPESSURA 14 CM), FBK = 8 MPA, UTILIZANDO COLHER DE PEDREIRO. AF_07/2026</t>
  </si>
  <si>
    <t>ALVENARIA ESTRUTURAL DE BLOCOS CERÂMICOS 14X19X39 CM (ESPESSURA 14 CM), FBK = 8 MPA, UTILIZANDO PALHETA. AF_07/2026</t>
  </si>
  <si>
    <t>MURO DE ALVENARIA ESTRUTURAL DE BLOCOS CERÂMICOS 14X19X29 CM (ESPESSURA 14 CM), FBK = 8 MPA, UTILIZANDO COLHER DE PEDREIRO. AF_07/2026</t>
  </si>
  <si>
    <t>MURO DE ALVENARIA ESTRUTURAL DE BLOCOS CERÂMICOS 14X19X29 CM (ESPESSURA 14 CM), FBK = 8 MPA, UTILIZANDO PALHETA. AF_07/2026</t>
  </si>
  <si>
    <t>MURO DE ALVENARIA ESTRUTURAL DE BLOCOS CERÂMICOS 14X19X39 CM (ESPESSURA 14 CM), FBK = 8 MPA, UTILIZANDO COLHER DE PEDREIRO. AF_07/2026</t>
  </si>
  <si>
    <t>MURO DE ALVENARIA ESTRUTURAL DE BLOCOS CERÂMICOS 14X19X39 CM (ESPESSURA 14 CM), FBK = 8 MPA, UTILIZANDO PALHETA. AF_07/2026</t>
  </si>
  <si>
    <t>ALVENARIA DE BLOCOS DE CONCRETO ESTRUTURAL 14X19X29 CM (ESPESSURA 14 CM), FBK = 10 MPA, UTILIZANDO COLHER DE PEDREIRO. AF_07/2026</t>
  </si>
  <si>
    <t>ALVENARIA DE BLOCOS DE CONCRETO ESTRUTURAL 14X19X29 CM (ESPESSURA 14 CM), FBK = 10 MPA, UTILIZANDO PALHETA. AF_07/2026</t>
  </si>
  <si>
    <t>ALVENARIA DE BLOCOS DE CONCRETO ESTRUTURAL 14X19X29 CM (ESPESSURA 14 CM), FBK = 12 MPA, UTILIZANDO COLHER DE PEDREIRO. AF_07/2026</t>
  </si>
  <si>
    <t>ALVENARIA DE BLOCOS DE CONCRETO ESTRUTURAL 14X19X29 CM (ESPESSURA 14 CM), FBK = 12 MPA, UTILIZANDO PALHETA. AF_07/2026</t>
  </si>
  <si>
    <t>ALVENARIA DE BLOCOS DE CONCRETO ESTRUTURAL 14X19X29 CM (ESPESSURA 14 CM), FBK = 16 MPA, UTILIZANDO COLHER DE PEDREIRO. AF_07/2026</t>
  </si>
  <si>
    <t>ALVENARIA DE BLOCOS DE CONCRETO ESTRUTURAL 14X19X29 CM (ESPESSURA 14 CM), FBK = 16 MPA, UTILIZANDO PALHETA. AF_07/2026</t>
  </si>
  <si>
    <t>ALVENARIA DE BLOCOS DE CONCRETO ESTRUTURAL 14X19X29 CM (ESPESSURA 14 CM), FBK = 18 MPA, UTILIZANDO COLHER DE PEDREIRO. AF_07/2026</t>
  </si>
  <si>
    <t>ALVENARIA DE BLOCOS DE CONCRETO ESTRUTURAL 14X19X29 CM (ESPESSURA 14 CM), FBK = 18 MPA, UTILIZANDO PALHETA. AF_07/2026</t>
  </si>
  <si>
    <t>ALVENARIA DE BLOCOS DE CONCRETO ESTRUTURAL 14X19X29 CM (ESPESSURA 14 CM), FBK = 20 MPA, UTILIZANDO COLHER DE PEDREIRO. AF_07/2026</t>
  </si>
  <si>
    <t>ALVENARIA DE BLOCOS DE CONCRETO ESTRUTURAL 14X19X29 CM (ESPESSURA 14 CM), FBK = 20 MPA, UTILIZANDO PALHETA. AF_07/2026</t>
  </si>
  <si>
    <t>ALVENARIA DE BLOCOS DE CONCRETO ESTRUTURAL 14X19X29 CM (ESPESSURA 14 CM), FBK = 3 MPA, UTILIZANDO COLHER DE PEDREIRO. AF_07/2026</t>
  </si>
  <si>
    <t>ALVENARIA DE BLOCOS DE CONCRETO ESTRUTURAL 14X19X29 CM (ESPESSURA 14 CM), FBK = 3 MPA, UTILIZANDO PALHETA. AF_07/2026</t>
  </si>
  <si>
    <t>ALVENARIA DE BLOCOS DE CONCRETO ESTRUTURAL 14X19X29 CM (ESPESSURA 14 CM), FBK = 6 MPA, UTILIZANDO COLHER DE PEDREIRO. AF_07/2026</t>
  </si>
  <si>
    <t>ALVENARIA DE BLOCOS DE CONCRETO ESTRUTURAL 14X19X29 CM (ESPESSURA 14 CM), FBK = 6 MPA, UTILIZANDO PALHETA. AF_07/2026</t>
  </si>
  <si>
    <t>ALVENARIA DE BLOCOS DE CONCRETO ESTRUTURAL 14X19X29 CM (ESPESSURA 14 CM), FBK = 8 MPA, UTILIZANDO COLHER DE PEDREIRO. AF_07/2026</t>
  </si>
  <si>
    <t>ALVENARIA DE BLOCOS DE CONCRETO ESTRUTURAL 14X19X29 CM (ESPESSURA 14 CM), FBK = 8 MPA, UTILIZANDO PALHETA. AF_07/2026</t>
  </si>
  <si>
    <t>ALVENARIA DE BLOCOS DE CONCRETO ESTRUTURAL 14X19X39 CM (ESPESSURA 14 CM), FBK = 10 MPA, UTILIZANDO COLHER DE PEDREIRO. AF_07/2026</t>
  </si>
  <si>
    <t>ALVENARIA DE BLOCOS DE CONCRETO ESTRUTURAL 14X19X39 CM (ESPESSURA 14 CM), FBK = 10 MPA, UTILIZANDO PALHETA. AF_07/2026</t>
  </si>
  <si>
    <t>ALVENARIA DE BLOCOS DE CONCRETO ESTRUTURAL 14X19X39 CM (ESPESSURA 14 CM), FBK = 12 MPA, UTILIZANDO COLHER DE PEDREIRO. AF_07/2026</t>
  </si>
  <si>
    <t>ALVENARIA DE BLOCOS DE CONCRETO ESTRUTURAL 14X19X39 CM (ESPESSURA 14 CM), FBK = 12 MPA, UTILIZANDO PALHETA. AF_07/2026</t>
  </si>
  <si>
    <t>ALVENARIA DE BLOCOS DE CONCRETO ESTRUTURAL 14X19X39 CM (ESPESSURA 14 CM), FBK = 16 MPA, UTILIZANDO COLHER DE PEDREIRO. AF_07/2026</t>
  </si>
  <si>
    <t>ALVENARIA DE BLOCOS DE CONCRETO ESTRUTURAL 14X19X39 CM (ESPESSURA 14 CM), FBK = 16 MPA, UTILIZANDO PALHETA. AF_07/2026</t>
  </si>
  <si>
    <t>ALVENARIA DE BLOCOS DE CONCRETO ESTRUTURAL 14X19X39 CM (ESPESSURA 14 CM), FBK = 18 MPA, UTILIZANDO COLHER DE PEDREIRO. AF_07/2026</t>
  </si>
  <si>
    <t>ALVENARIA DE BLOCOS DE CONCRETO ESTRUTURAL 14X19X39 CM (ESPESSURA 14 CM), FBK = 18 MPA, UTILIZANDO PALHETA. AF_07/2026</t>
  </si>
  <si>
    <t>ALVENARIA DE BLOCOS DE CONCRETO ESTRUTURAL 14X19X39 CM (ESPESSURA 14 CM), FBK = 20 MPA, UTILIZANDO COLHER DE PEDREIRO. AF_07/2026</t>
  </si>
  <si>
    <t>ALVENARIA DE BLOCOS DE CONCRETO ESTRUTURAL 14X19X39 CM (ESPESSURA 14 CM), FBK = 20 MPA, UTILIZANDO PALHETA. AF_07/2026</t>
  </si>
  <si>
    <t>ALVENARIA DE BLOCOS DE CONCRETO ESTRUTURAL 14X19X39 CM (ESPESSURA 14 CM), FBK = 3 MPA, UTILIZANDO COLHER DE PEDREIRO. AF_07/2026</t>
  </si>
  <si>
    <t>ALVENARIA DE BLOCOS DE CONCRETO ESTRUTURAL 14X19X39 CM (ESPESSURA 14 CM), FBK = 3 MPA, UTILIZANDO PALHETA. AF_07/2026</t>
  </si>
  <si>
    <t>ALVENARIA DE BLOCOS DE CONCRETO ESTRUTURAL 14X19X39 CM (ESPESSURA 14 CM), FBK = 6 MPA, UTILIZANDO COLHER DE PEDREIRO. AF_07/2026</t>
  </si>
  <si>
    <t>ALVENARIA DE BLOCOS DE CONCRETO ESTRUTURAL 14X19X39 CM (ESPESSURA 14 CM), FBK = 6 MPA, UTILIZANDO PALHETA. AF_07/2026</t>
  </si>
  <si>
    <t>ALVENARIA DE BLOCOS DE CONCRETO ESTRUTURAL 14X19X39 CM (ESPESSURA 14 CM), FBK = 8 MPA, UTILIZANDO COLHER DE PEDREIRO. AF_07/2026</t>
  </si>
  <si>
    <t>ALVENARIA DE BLOCOS DE CONCRETO ESTRUTURAL 14X19X39 CM (ESPESSURA 14 CM), FBK = 8 MPA, UTILIZANDO PALHETA. AF_07/2026</t>
  </si>
  <si>
    <t>MURO DE ALVENARIA COM BLOCOS DE CONCRETO ESTRUTURAL 14X19X29 CM (ESPESSURA 14 CM), FBK = 8 MPA, UTILIZANDO COLHER DE PEDREIRO, ALTURA = 2,20 M. AF_07/2026</t>
  </si>
  <si>
    <t>MURO DE ALVENARIA COM BLOCOS DE CONCRETO ESTRUTURAL 14X19X29 CM (ESPESSURA 14 CM), FBK = 8 MPA, UTILIZANDO PALHETA, ALTURA = 2,20 M. AF_07/2026</t>
  </si>
  <si>
    <t>MURO DE ALVENARIA COM BLOCOS DE CONCRETO ESTRUTURAL 14X19X39 CM (ESPESSURA 14 CM), FBK = 8 MPA, UTILIZANDO COLHER DE PEDREIRO, ALTURA = 2,20 M. AF_07/2026</t>
  </si>
  <si>
    <t>MURO DE ALVENARIA COM BLOCOS DE CONCRETO ESTRUTURAL 14X19X39 CM (ESPESSURA 14 CM), FBK = 8 MPA, UTILIZANDO PALHETA, ALTURA = 2,20 M. AF_07/2026</t>
  </si>
  <si>
    <t>ARGAMASSA BARITADA, PREPARO MANUAL. AF_07/2026</t>
  </si>
  <si>
    <t>ARGAMASSA BARITADA, PREPARO MECÂNICO COM BETONEIRA ATÉ 600 L. AF_07/2026</t>
  </si>
  <si>
    <t>ARGAMASSA BARITADA, PREPARO MECÂNICO COM MISTURADOR DE EIXO HORIZONTAL DE ATÉ 600 KG. AF_07/2026</t>
  </si>
  <si>
    <t>ARGAMASSA TRAÇO 1:0,25:3 (EM VOLUME DE CIMENTO, CAL E AREIA MÉDIA ÚMIDA) PARA EMBOÇO/MASSA ÚNICA/ASSENTAMENTO DE ALVENARIA DE VEDAÇÃO, PREPARO MECÂNICO COM BETONEIRA 250 L. AF_07/2026</t>
  </si>
  <si>
    <t>ARGAMASSA TRAÇO 1:0,5:4,5 (EM VOLUME DE CIMENTO, CAL E AREIA MÉDIA ÚMIDA), PREPARO MECÂNICO COM BETONEIRA 250 L. AF_07/2026</t>
  </si>
  <si>
    <t>ARGAMASSA TRAÇO 1:1,5:7,5 (EM VOLUME DE CIMENTO, CAL E AREIA MÉDIA ÚMIDA) PARA EMBOÇO/MASSA ÚNICA/ASSENTAMENTO DE ALVENARIA DE VEDAÇÃO, PREPARO MECÂNICO COM BETONEIRA 250 L. AF_07/2026</t>
  </si>
  <si>
    <t>ARGAMASSA TRAÇO 1:1:6 (EM VOLUME DE CIMENTO, CAL E AREIA MÉDIA ÚMIDA) PARA EMBOÇO/MASSA ÚNICA/ASSENTAMENTO DE ALVENARIA DE VEDAÇÃO, PREPARO MECÂNICO COM BETONEIRA 250 L. AF_07/2026</t>
  </si>
  <si>
    <t>ARGAMASSA TRAÇO 1:2:8 (EM VOLUME DE CIMENTO, CAL E AREIA MÉDIA ÚMIDA) PARA EMBOÇO/MASSA ÚNICA/ASSENTAMENTO DE ALVENARIA DE VEDAÇÃO, PREPARO MECÂNICO COM BETONEIRA 250 L. AF_07/2026</t>
  </si>
  <si>
    <t>ARGAMASSA TRAÇO 1:2:9 (EM VOLUME DE CIMENTO, CAL E AREIA MÉDIA ÚMIDA) PARA EMBOÇO/MASSA ÚNICA/ASSENTAMENTO DE ALVENARIA DE VEDAÇÃO, PREPARO MECÂNICO COM BETONEIRA 250 L. AF_07/2026</t>
  </si>
  <si>
    <t>ARGAMASSA TRAÇO 1:3 (EM VOLUME DE CIMENTO E AREIA GROSSA ÚMIDA) COM ADIÇÃO DE EMULSÃO POLIMÉRICA PARA CHAPISCO ROLADO, PREPARO MECÂNICO COM BETONEIRA 250 L. AF_07/2026</t>
  </si>
  <si>
    <t>ARGAMASSA TRAÇO 1:3 (EM VOLUME DE CIMENTO E AREIA GROSSA ÚMIDA) PARA CHAPISCO CONVENCIONAL, PREPARO MECÂNICO COM BETONEIRA 250 L. AF_07/2026</t>
  </si>
  <si>
    <t>ARGAMASSA TRAÇO 1:3 (EM VOLUME DE CIMENTO E AREIA MÉDIA ÚMIDA) COM ADIÇÃO DE IMPERMEABILIZANTE, PREPARO MECÂNICO COM BETONEIRA 250 L. AF_07/2026</t>
  </si>
  <si>
    <t>ARGAMASSA TRAÇO 1:3 (EM VOLUME DE CIMENTO E AREIA MÉDIA ÚMIDA) COM ADIÇÃO DE PLASTIFICANTE PARA EMBOÇO/MASSA ÚNICA/ASSENTAMENTO DE ALVENARIA DE VEDAÇÃO, PREPARO MECÂNICO COM BETONEIRA 250 L. AF_07/2026</t>
  </si>
  <si>
    <t>ARGAMASSA TRAÇO 1:3 (EM VOLUME DE CIMENTO E AREIA MÉDIA ÚMIDA) PARA CONTRAPISO, PREPARO MECÂNICO COM BETONEIRA 250 L. AF_07/2026</t>
  </si>
  <si>
    <t>ARGAMASSA TRAÇO 1:3 (EM VOLUME DE CIMENTO E AREIA MÉDIA ÚMIDA), PREPARO MECÂNICO COM BETONEIRA 250 L. AF_07/2026</t>
  </si>
  <si>
    <t>ARGAMASSA TRAÇO 1:4 (EM VOLUME DE CIMENTO E AREIA GROSSA ÚMIDA) COM ADIÇÃO DE EMULSÃO POLIMÉRICA PARA CHAPISCO ROLADO, PREPARO MECÂNICO COM BETONEIRA 250 L. AF_07/2026</t>
  </si>
  <si>
    <t>ARGAMASSA TRAÇO 1:4 (EM VOLUME DE CIMENTO E AREIA GROSSA ÚMIDA) PARA CHAPISCO CONVENCIONAL, PREPARO MECÂNICO COM BETONEIRA 250 L. AF_07/2026</t>
  </si>
  <si>
    <t>ARGAMASSA TRAÇO 1:4 (EM VOLUME DE CIMENTO E AREIA MÉDIA ÚMIDA) COM ADIÇÃO DE IMPERMEABILIZANTE, PREPARO MECÂNICO COM BETONEIRA 250 L. AF_07/2026</t>
  </si>
  <si>
    <t>ARGAMASSA TRAÇO 1:4 (EM VOLUME DE CIMENTO E AREIA MÉDIA ÚMIDA) PARA CONTRAPISO, PREPARO MECÂNICO COM BETONEIRA 250 L. AF_07/2026</t>
  </si>
  <si>
    <t>ARGAMASSA TRAÇO 1:4 (EM VOLUME DE CIMENTO E AREIA MÉDIA ÚMIDA), PREPARO MECÂNICO COM BETONEIRA 250 L. AF_07/2026</t>
  </si>
  <si>
    <t>ARGAMASSA TRAÇO 1:5 (EM VOLUME DE CIMENTO E AREIA GROSSA ÚMIDA) COM ADIÇÃO DE EMULSÃO POLIMÉRICA PARA CHAPISCO ROLADO, PREPARO MECÂNICO COM BETONEIRA 250 L. AF_07/2026</t>
  </si>
  <si>
    <t>ARGAMASSA TRAÇO 1:5 (EM VOLUME DE CIMENTO E AREIA GROSSA ÚMIDA) PARA CHAPISCO CONVENCIONAL, PREPARO MECÂNICO COM BETONEIRA 250 L. AF_07/2026</t>
  </si>
  <si>
    <t>ARGAMASSA TRAÇO 1:5 (EM VOLUME DE CIMENTO E AREIA MÉDIA ÚMIDA) PARA CONTRAPISO, PREPARO MECÂNICO COM BETONEIRA 250 L. AF_07/2026</t>
  </si>
  <si>
    <t>ARGAMASSA TRAÇO 1:6 (EM VOLUME DE CIMENTO E AREIA MÉDIA ÚMIDA) COM ADIÇÃO DE PLASTIFICANTE PARA EMBOÇO/MASSA ÚNICA/ASSENTAMENTO DE ALVENARIA DE VEDAÇÃO, PREPARO MECÂNICO COM BETONEIRA 250 L. AF_07/2026</t>
  </si>
  <si>
    <t>ARGAMASSA TRAÇO 1:6 (EM VOLUME DE CIMENTO E AREIA MÉDIA ÚMIDA) PARA CONTRAPISO, PREPARO MECÂNICO COM BETONEIRA 250 L. AF_07/2026</t>
  </si>
  <si>
    <t>ARGAMASSA TRAÇO 1:7 (EM VOLUME DE CIMENTO E AREIA MÉDIA ÚMIDA) COM ADIÇÃO DE PLASTIFICANTE PARA EMBOÇO/MASSA ÚNICA/ASSENTAMENTO DE ALVENARIA DE VEDAÇÃO, PREPARO MECÂNICO COM BETONEIRA 250 L. AF_07/2026</t>
  </si>
  <si>
    <t>INSTALAÇÃO DE TELA METÁLICA Q-503, PARA CORTINA DE CONCRETO PROJETADO. AF_07/2026</t>
  </si>
  <si>
    <t>REVESTIMENTO VEGETAL PARA SOLO GRAMPEADO VERDE, ATRAVÉS DE HIDROSSEMEADURA. AF_07/2026</t>
  </si>
  <si>
    <t>ARMAÇÃO PARA EXECUÇÃO DE RADIER, PISO DE CONCRETO OU LAJE SOBRE SOLO, COM USO DE TELA Q-246. AF_07/2026</t>
  </si>
  <si>
    <t>ARMAÇÃO PARA EXECUÇÃO DE RADIER, PISO DE CONCRETO OU LAJE SOBRE SOLO, COM USO DE TELA Q-396. AF_07/2026</t>
  </si>
  <si>
    <t>ARMAÇÃO PARA EXECUÇÃO DE RADIER, PISO DE CONCRETO OU LAJE SOBRE SOLO, COM USO DE TELA Q-503. AF_07/2026</t>
  </si>
  <si>
    <t>ARMAÇÃO PARA EXECUÇÃO DE RADIER, PISO DE CONCRETO OU LAJE SOBRE SOLO, COM USO DE TELA Q-636. AF_07/2026</t>
  </si>
  <si>
    <t>EXECUÇÃO DE LAJE SOBRE SOLO, ESPESSURA DE 10 CM, FCK = 30 MPA, COM USO DE FORMAS METÁLICAS. AF_07/2026</t>
  </si>
  <si>
    <t>EXECUÇÃO DE LAJE SOBRE SOLO, ESPESSURA DE 15 CM, FCK = 30 MPA, COM USO DE FORMAS METÁLICAS. AF_07/2026</t>
  </si>
  <si>
    <t>EXECUÇÃO DE LAJE SOBRE SOLO, ESPESSURA DE 20 CM, FCK = 30 MPA, COM USO DE FORMAS METÁLICAS. AF_07/2026</t>
  </si>
  <si>
    <t>EXECUÇÃO DE LAJE SOBRE SOLO, ESPESSURA DE 25 CM, FCK = 30 MPA, COM USO DE FORMAS METÁLICAS. AF_07/2026</t>
  </si>
  <si>
    <t>EXECUÇÃO DE LAJE SOBRE SOLO, ESPESSURA DE 30 CM, FCK = 30 MPA, COM USO DE FORMAS METÁLICAS. AF_07/2026</t>
  </si>
  <si>
    <t>EXECUÇÃO DE PISO DE CONCRETO, COM ACABAMENTO SUPERFICIAL, ESPESSURA DE 15 CM, FCK = 30 MPA, COM USO DE FORMAS METÁLICAS. AF_07/2026</t>
  </si>
  <si>
    <t>EXECUÇÃO DE PISO DE CONCRETO, COM ACABAMENTO SUPERFICIAL, ESPESSURA DE 20 CM, FCK = 30 MPA, COM USO DE FORMAS EM MADEIRA SERRADA. AF_07/2026</t>
  </si>
  <si>
    <t>EXECUÇÃO DE PISO DE CONCRETO, COM ACABAMENTO SUPERFICIAL, ESPESSURA DE 20 CM, FCK = 30 MPA, COM USO DE FORMAS METÁLICAS. AF_07/2026</t>
  </si>
  <si>
    <t>EXECUÇÃO DE PISO DE CONCRETO, COM ACABAMENTO SUPERFICIAL, ESPESSURA DE 25 CM, FCK = 30 MPA, COM USO DE FORMAS EM MADEIRA SERRADA. AF_07/2026</t>
  </si>
  <si>
    <t>EXECUÇÃO DE PISO DE CONCRETO, COM ACABAMENTO SUPERFICIAL, ESPESSURA DE 25 CM, FCK = 30 MPA, COM USO DE FORMAS METÁLICAS. AF_07/2026</t>
  </si>
  <si>
    <t>EXECUÇÃO DE PISO DE CONCRETO, SEM ACABAMENTO SUPERFICIAL, ESPESSURA DE 15 CM, FCK = 30 MPA, COM USO DE FORMAS METÁLICAS. AF_07/2026</t>
  </si>
  <si>
    <t>EXECUÇÃO DE PISO DE CONCRETO, SEM ACABAMENTO SUPERFICIAL, ESPESSURA DE 20 CM, FCK = 30 MPA, COM USO DE FORMAS EM MADEIRA SERRADA. AF_07/2026</t>
  </si>
  <si>
    <t>EXECUÇÃO DE PISO DE CONCRETO, SEM ACABAMENTO SUPERFICIAL, ESPESSURA DE 20 CM, FCK = 30 MPA, COM USO DE FORMAS METÁLICAS. AF_07/2026</t>
  </si>
  <si>
    <t>EXECUÇÃO DE PISO DE CONCRETO, SEM ACABAMENTO SUPERFICIAL, ESPESSURA DE 25 CM, FCK = 30 MPA, COM USO DE FORMAS EM MADEIRA SERRADA. AF_07/2026</t>
  </si>
  <si>
    <t>EXECUÇÃO DE PISO DE CONCRETO, SEM ACABAMENTO SUPERFICIAL, ESPESSURA DE 25 CM, FCK = 30 MPA, COM USO DE FORMAS METÁLICAS. AF_07/2026</t>
  </si>
  <si>
    <t>EXECUÇÃO DE RADIER, ESPESSURA DE 10 CM, FCK = 30 MPA, COM USO DE FORMAS METÁLICAS. AF_07/2026</t>
  </si>
  <si>
    <t>EXECUÇÃO DE RADIER, ESPESSURA DE 15 CM, FCK = 30 MPA, COM USO DE FORMAS METÁLICAS. AF_07/2026</t>
  </si>
  <si>
    <t>EXECUÇÃO DE RADIER, ESPESSURA DE 20 CM, FCK = 30 MPA, COM USO DE FORMAS METÁLICAS. AF_07/2026</t>
  </si>
  <si>
    <t>EXECUÇÃO DE RADIER, ESPESSURA DE 25 CM, FCK = 30 MPA, COM USO DE FORMAS METÁLICAS. AF_07/2026</t>
  </si>
  <si>
    <t>EXECUÇÃO DE RADIER, ESPESSURA DE 30 CM, FCK = 30 MPA, COM USO DE FORMAS METÁLICAS. AF_07/2026</t>
  </si>
  <si>
    <t>MONTAGEM E DESMONTAGEM DE FORMA PARA RADIER, PISO DE CONCRETO OU LAJE SOBRE SOLO, COM SISTEMA DE FORMAS MANUSEÁVEIS METÁLICAS. AF_07/2026</t>
  </si>
  <si>
    <t>ABRIGO METÁLICO DE EMBUTIR PARA 1 MEDIDOR DE GÁS - FORNECIMENTO E INSTALAÇÃO. AF_07/2026</t>
  </si>
  <si>
    <t>ABRIGO METÁLICO DE EMBUTIR PARA ATÉ 2 MEDIDORES DE GÁS - FORNECIMENTO E INSTALAÇÃO. AF_07/2026</t>
  </si>
  <si>
    <t>ABRIGO METÁLICO DE EMBUTIR PARA ATÉ 4 MEDIDORES DE GÁS - FORNECIMENTO E INSTALAÇÃO. AF_07/2026</t>
  </si>
  <si>
    <t>ABRIGO METÁLICO DE SOBREPOR PARA 1 MEDIDOR DE GÁS - FORNECIMENTO E INSTALAÇÃO. AF_07/2026</t>
  </si>
  <si>
    <t>ABRIGO METÁLICO DE SOBREPOR PARA ATÉ 2 MEDIDORES DE GÁS - FORNECIMENTO E INSTALAÇÃO. AF_07/2026</t>
  </si>
  <si>
    <t>ABRIGO METÁLICO DE SOBREPOR PARA ATÉ 4 MEDIDORES DE GÁS - FORNECIMENTO E INSTALAÇÃO. AF_07/2026</t>
  </si>
  <si>
    <t>INSTALAÇÃO DE TUBOS E CONEXÕES, EM AÇO/FERRO GALVANIZADO, PARA O CENTRO COM 20 CILINDROS GLP 45 KG - FORNECIMENTO E INSTALAÇÃO. AF_07/2026</t>
  </si>
  <si>
    <t>INSTALAÇÃO DE TUBOS E CONEXÕES, EM AÇO/FERRO GALVANIZADO, PARA O CENTRO COM 4 CILINDROS GLP 190 KG - FORNECIMENTO E INSTALAÇÃO. AF_07/2026</t>
  </si>
  <si>
    <t>INSTALAÇÃO DE TUBOS E CONEXÕES, EM COBRE, PARA O CENTRO DE MEDIÇÃO DE GÁS, COM 16 MEDIDORES, DN 15 MM (1/2") - FORNECIMENTO E INSTALAÇÃO. AF_07/2026</t>
  </si>
  <si>
    <t>INSTALAÇÃO DE TUBOS E CONEXÕES, EM COBRE, PARA O CENTRO DE MEDIÇÃO DE GÁS, COM 16 MEDIDORES, DN 22 MM (3/4") - FORNECIMENTO E INSTALAÇÃO. AF_07/2026</t>
  </si>
  <si>
    <t>INSTALAÇÃO DE TUBOS E CONEXÕES, EM COBRE, PARA O CENTRO DE MEDIÇÃO DE GÁS, COM 16 MEDIDORES, DN 28 MM (1") - FORNECIMENTO E INSTALAÇÃO. AF_07/2026</t>
  </si>
  <si>
    <t>INSTALAÇÃO DE TUBOS E CONEXÕES, EM MULTICAMADA, PARA O CENTRO DE MEDIÇÃO DE GÁS, COM 16 MEDIDORES, DN 16 MM (1/2") - FORNECIMENTO E INSTALAÇÃO. AF_07/2026</t>
  </si>
  <si>
    <t>INSTALAÇÃO DE TUBOS E CONEXÕES, EM MULTICAMADA, PARA O CENTRO DE MEDIÇÃO DE GÁS, COM 16 MEDIDORES, DN 20 MM (3/4") - FORNECIMENTO E INSTALAÇÃO. AF_07/2026</t>
  </si>
  <si>
    <t>INSTALAÇÃO DE TUBOS E CONEXÕES, EM MULTICAMADA, PARA O CENTRO DE MEDIÇÃO DE GÁS, COM 16 MEDIDORES, DN 26 MM (1") - FORNECIMENTO E INSTALAÇÃO. AF_07/2026</t>
  </si>
  <si>
    <t>KIT CAVALETE PARA GÁS - COM MEDIDOR E REGULADOR - ENTRADA INDIVIDUAL PRINCIPAL, EM AÇO GALVANIZADO DN 15 E 25 MM (1/2" E 1") - FORNECIMENTO E INSTALAÇÃO. AF_07/2026</t>
  </si>
  <si>
    <t>KIT CAVALETE PARA GÁS - SEM MEDIDOR COM REGULADOR - ENTRADA INDIVIDUAL PRINCIPAL, EM AÇO GALVANIZADO DN 15 E 25 MM (1/2" E 1") - FORNECIMENTO E INSTALAÇÃO. AF_07/2026</t>
  </si>
  <si>
    <t>MEDIDOR DE GÁS, MODELO DE LEITURA REMOTA, G1.6, DN 20 MM (3/4") - FORNECIMENTO E INSTALAÇÃO. AF_07/2026</t>
  </si>
  <si>
    <t>MEDIDOR DE GÁS, MODELO DIAFRAGMA, G1.6, DN 15 MM (1/2") - FORNECIMENTO E INSTALAÇÃO. AF_07/2026</t>
  </si>
  <si>
    <t>MEDIDOR DE GÁS, MODELO DIAFRAGMA, G1.6, DN 20 MM (3/4") - FORNECIMENTO E INSTALAÇÃO. AF_07/2026</t>
  </si>
  <si>
    <t>MEDIDOR DE GÁS, MODELO DIAFRAGMA, G2.5, DN 15 MM (1/2") - FORNECIMENTO E INSTALAÇÃO. AF_07/2026</t>
  </si>
  <si>
    <t>MEDIDOR DE GÁS, MODELO DIAFRAGMA, G2.5, DN 20 MM (3/4") - FORNECIMENTO E INSTALAÇÃO. AF_07/2026</t>
  </si>
  <si>
    <t>REGULADOR DE PRESSÃO PARA AR COMPRIMIDO, DN 15 MM (1/2") - FORNECIMENTO E INSTALAÇÃO. AF_07/2026</t>
  </si>
  <si>
    <t>REGULADOR DE PRESSÃO PARA GÁS, DN 15 MM (1/2") - FORNECIMENTO E INSTALAÇÃO. AF_07/2026</t>
  </si>
  <si>
    <t>REGULADOR DE PRESSÃO PARA GÁS, DN 20 MM (3/4") - FORNECIMENTO E INSTALAÇÃO. AF_07/2026</t>
  </si>
  <si>
    <t>REGULADOR DE PRESSÃO PARA GÁS, DN 25 MM (1") - FORNECIMENTO E INSTALAÇÃO. AF_07/2026</t>
  </si>
  <si>
    <t>REGULADOR DE PRESSÃO PARA GÁS, DN 32 MM (1 1/4") - FORNECIMENTO E INSTALAÇÃO. AF_07/2026</t>
  </si>
  <si>
    <t>REGULADOR DE PRESSÃO PARA OXIGÊNIO, DN 15 MM (1/2") - FORNECIMENTO E INSTALAÇÃO. AF_07/2026</t>
  </si>
  <si>
    <t>TUBO FLEXÍVEL PARA GÁS, 15 MM - FORNECIMENTO E INSTALAÇÃO. AF_07/2026</t>
  </si>
  <si>
    <t>TUBO FLEXÍVEL PARA GÁS, 20 MM - FORNECIMENTO E INSTALAÇÃO. AF_07/2026</t>
  </si>
  <si>
    <t>Ii (JUL/2026)</t>
  </si>
  <si>
    <t>SINAPI 96557</t>
  </si>
  <si>
    <t>TUBO DE CONCRETO ARMADO PARA AGUAS PLUVIAIS, CLASSE PA-3, COM ENCAIXE PONTA E BOLSA, COM ENCAIXE PARA ANEL DE VEDAÇÃO, DIAMETRO NOMINAL DE 800 MM - FORNECIMENTO</t>
  </si>
  <si>
    <t>TUBO DE CONCRETO ARMADO PARA AGUAS PLUVIAIS, CLASSE PA-3, COM ENCAIXE PONTA E BOLSA, COM ENCAIXE PARA ANEL DE VEDAÇÃO, DIAMETRO NOMINAL DE 500 MM - FORNECIMENTO</t>
  </si>
  <si>
    <t>TUBO DE CONCRETO ARMADO PARA AGUAS PLUVIAIS, CLASSE PA-3, COM ENCAIXE PONTA E BOLSA, COM ENCAIXE PARA ANEL DE VEDAÇÃO, DIAMETRO NOMINAL DE 400 MM - FORNECIMENTO</t>
  </si>
  <si>
    <t>TUBO DE CONCRETO ARMADO PARA AGUAS PLUVIAIS, CLASSE PA-3, COM ENCAIXE PONTA E BOLSA, COM ENCAIXE PARA ANEL DE VEDAÇÃO, DIAMETRO NOMINAL DE 300 MM - FORNECIMENTO</t>
  </si>
  <si>
    <t>CCU 75</t>
  </si>
  <si>
    <t>SUDECAP 40.43.01</t>
  </si>
  <si>
    <t>CORTE MEÂNICO DE ASFALTO</t>
  </si>
  <si>
    <t>10.3 e 10.5</t>
  </si>
  <si>
    <t>10 (exceto 10.3 e 10.5)</t>
  </si>
  <si>
    <t>PASSEIO EM CONCRETO E PISO TATIL</t>
  </si>
  <si>
    <t>B8957</t>
  </si>
  <si>
    <t>SICRO CONSULTORIA</t>
  </si>
  <si>
    <t>Laboratório de solos</t>
  </si>
  <si>
    <t>TAB 03.07</t>
  </si>
  <si>
    <t>TAB 03.08</t>
  </si>
  <si>
    <t>TAB 03.09</t>
  </si>
  <si>
    <t>B8955</t>
  </si>
  <si>
    <t>Laboratório de asfalto</t>
  </si>
  <si>
    <t>Laboratório de concreto</t>
  </si>
  <si>
    <t>B8956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</si>
</sst>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5">
    <numFmt numFmtId="44" formatCode="_-&quot;R$&quot;\ * #,##0.00_-;\-&quot;R$&quot;\ * #,##0.00_-;_-&quot;R$&quot;\ * &quot;-&quot;??_-;_-@_-"/>
    <numFmt numFmtId="43" formatCode="_-* #,##0.00_-;\-* #,##0.00_-;_-* &quot;-&quot;??_-;_-@_-"/>
    <numFmt numFmtId="164" formatCode="_-&quot;R$ &quot;* #,##0.00_-;&quot;-R$ &quot;* #,##0.00_-;_-&quot;R$ &quot;* \-??_-;_-@_-"/>
    <numFmt numFmtId="165" formatCode="_(&quot;R$ &quot;* #,##0.00_);_(&quot;R$ &quot;* \(#,##0.00\);_(&quot;R$ &quot;* \-??_);_(@_)"/>
    <numFmt numFmtId="166" formatCode="_(* #,##0.00_);_(* \(#,##0.00\);_(* \-??_);_(@_)"/>
    <numFmt numFmtId="167" formatCode="d/m/yyyy"/>
    <numFmt numFmtId="168" formatCode="00#"/>
    <numFmt numFmtId="169" formatCode="_-[$R$-416]\ * #,##0.00_-;\-[$R$-416]\ * #,##0.00_-;_-[$R$-416]\ * \-??_-;_-@_-"/>
    <numFmt numFmtId="170" formatCode="_-* #,##0.00_-;\-* #,##0.00_-;_-* \-??_-;_-@_-"/>
    <numFmt numFmtId="171" formatCode="_-* #,##0.0000_-;\-* #,##0.0000_-;_-* \-??_-;_-@_-"/>
    <numFmt numFmtId="172" formatCode="0.0"/>
    <numFmt numFmtId="173" formatCode="_-&quot;R$ &quot;* #,##0.0000_-;&quot;-R$ &quot;* #,##0.0000_-;_-&quot;R$ &quot;* \-??_-;_-@_-"/>
    <numFmt numFmtId="174" formatCode="_-* #,##0.00000_-;\-* #,##0.00000_-;_-* \-??_-;_-@_-"/>
    <numFmt numFmtId="175" formatCode="#,##0.0000"/>
    <numFmt numFmtId="176" formatCode="_-&quot;R$ &quot;* #,##0.00000000000000_-;&quot;-R$ &quot;* #,##0.00000000000000_-;_-&quot;R$ &quot;* \-??_-;_-@_-"/>
    <numFmt numFmtId="177" formatCode="#,##0.0000_ ;\-#,##0.0000\ "/>
    <numFmt numFmtId="178" formatCode="0.0000"/>
    <numFmt numFmtId="179" formatCode="0.0000%"/>
    <numFmt numFmtId="180" formatCode="0.000"/>
    <numFmt numFmtId="181" formatCode="0\ ;\(0\)"/>
    <numFmt numFmtId="182" formatCode="#,##0.000;[Red]\-#,##0.000"/>
    <numFmt numFmtId="183" formatCode="General&quot; x D&quot;"/>
    <numFmt numFmtId="184" formatCode="_(* #,##0.000_);_(* \(#,##0.000\);_(* \-??_);_(@_)"/>
    <numFmt numFmtId="185" formatCode="General&quot; km&quot;"/>
    <numFmt numFmtId="186" formatCode="&quot;R$ &quot;#,##0.00"/>
    <numFmt numFmtId="187" formatCode="0%;\-0%;\-"/>
    <numFmt numFmtId="188" formatCode="_-&quot;R$ &quot;* #,##0.00_-;&quot;-R$ &quot;* #,##0.00_-;_-&quot;R$ &quot;* \-??_-;_-@"/>
    <numFmt numFmtId="189" formatCode="dd/mm/yy"/>
    <numFmt numFmtId="190" formatCode="_-* #,##0.0000_-;\-* #,##0.0000_-;_-* &quot;-&quot;??_-;_-@_-"/>
    <numFmt numFmtId="191" formatCode="_-&quot;R$&quot;\ * #,##0.0000_-;\-&quot;R$&quot;\ * #,##0.0000_-;_-&quot;R$&quot;\ * &quot;-&quot;??_-;_-@_-"/>
    <numFmt numFmtId="192" formatCode="_(&quot;R$ &quot;* #,##0.0000_);_(&quot;R$ &quot;* \(#,##0.0000\);_(&quot;R$ &quot;* &quot;-&quot;??_);_(@_)"/>
    <numFmt numFmtId="193" formatCode="_-* #,##0.0000_-;\-* #,##0.0000_-;_-* &quot;-&quot;????_-;_-@_-"/>
    <numFmt numFmtId="194" formatCode="#,##0.00_ ;[Red]\-#,##0.00\ "/>
    <numFmt numFmtId="195" formatCode="#,##0.00;\-\ #,##0.00;\-"/>
    <numFmt numFmtId="196" formatCode="0.0%"/>
  </numFmts>
  <fonts count="70" x14ac:knownFonts="1">
    <font>
      <sz val="11"/>
      <color rgb="FF000000"/>
      <name val="Calibri"/>
      <family val="2"/>
      <charset val="1"/>
    </font>
    <font>
      <sz val="11"/>
      <color theme="1"/>
      <name val="Calibri"/>
      <family val="2"/>
      <scheme val="minor"/>
    </font>
    <font>
      <u/>
      <sz val="11"/>
      <color rgb="FF0000FF"/>
      <name val="Arial"/>
      <family val="2"/>
      <charset val="1"/>
    </font>
    <font>
      <sz val="12"/>
      <name val="Arial"/>
      <family val="2"/>
      <charset val="1"/>
    </font>
    <font>
      <sz val="10"/>
      <name val="Arial"/>
      <family val="2"/>
      <charset val="1"/>
    </font>
    <font>
      <sz val="11"/>
      <color rgb="FF000000"/>
      <name val="Arial"/>
      <family val="2"/>
      <charset val="1"/>
    </font>
    <font>
      <b/>
      <sz val="11"/>
      <color rgb="FF000000"/>
      <name val="Calibri"/>
      <family val="2"/>
      <charset val="1"/>
    </font>
    <font>
      <b/>
      <sz val="11"/>
      <name val="Arial"/>
      <family val="2"/>
      <charset val="1"/>
    </font>
    <font>
      <b/>
      <sz val="11"/>
      <color rgb="FF000000"/>
      <name val="Arial"/>
      <family val="2"/>
      <charset val="1"/>
    </font>
    <font>
      <sz val="11"/>
      <name val="Arial"/>
      <family val="2"/>
      <charset val="1"/>
    </font>
    <font>
      <b/>
      <sz val="16"/>
      <name val="Arial"/>
      <family val="2"/>
      <charset val="1"/>
    </font>
    <font>
      <b/>
      <sz val="14"/>
      <name val="Arial"/>
      <family val="2"/>
      <charset val="1"/>
    </font>
    <font>
      <b/>
      <u/>
      <sz val="14"/>
      <name val="Arial"/>
      <family val="2"/>
      <charset val="1"/>
    </font>
    <font>
      <sz val="10"/>
      <name val="Times New Roman"/>
      <family val="1"/>
      <charset val="1"/>
    </font>
    <font>
      <b/>
      <u/>
      <sz val="10"/>
      <name val="Arial"/>
      <family val="2"/>
      <charset val="1"/>
    </font>
    <font>
      <sz val="10"/>
      <color rgb="FF000000"/>
      <name val="Arial"/>
      <family val="2"/>
      <charset val="1"/>
    </font>
    <font>
      <sz val="16"/>
      <name val="Arial"/>
      <family val="2"/>
      <charset val="1"/>
    </font>
    <font>
      <sz val="14"/>
      <name val="Arial"/>
      <family val="2"/>
      <charset val="1"/>
    </font>
    <font>
      <sz val="11"/>
      <name val="Calibri"/>
      <family val="2"/>
      <charset val="1"/>
    </font>
    <font>
      <u/>
      <sz val="11"/>
      <name val="Calibri"/>
      <family val="2"/>
      <charset val="1"/>
    </font>
    <font>
      <b/>
      <sz val="11"/>
      <name val="Calibri"/>
      <family val="2"/>
      <charset val="1"/>
    </font>
    <font>
      <b/>
      <sz val="12"/>
      <name val="Calibri"/>
      <family val="2"/>
      <charset val="1"/>
    </font>
    <font>
      <b/>
      <sz val="12"/>
      <color rgb="FF000000"/>
      <name val="Calibri"/>
      <family val="2"/>
      <charset val="1"/>
    </font>
    <font>
      <sz val="12"/>
      <color rgb="FF000000"/>
      <name val="Calibri"/>
      <family val="2"/>
      <charset val="1"/>
    </font>
    <font>
      <b/>
      <sz val="20"/>
      <color rgb="FF000000"/>
      <name val="Calibri"/>
      <family val="2"/>
      <charset val="1"/>
    </font>
    <font>
      <sz val="10"/>
      <color rgb="FF000000"/>
      <name val="Calibri"/>
      <family val="2"/>
      <charset val="1"/>
    </font>
    <font>
      <b/>
      <sz val="10"/>
      <name val="Arial"/>
      <family val="2"/>
      <charset val="1"/>
    </font>
    <font>
      <b/>
      <vertAlign val="subscript"/>
      <sz val="10"/>
      <name val="Arial"/>
      <family val="2"/>
      <charset val="1"/>
    </font>
    <font>
      <b/>
      <sz val="10"/>
      <color rgb="FF000000"/>
      <name val="Arial"/>
      <family val="2"/>
      <charset val="1"/>
    </font>
    <font>
      <sz val="10"/>
      <name val="Courier New"/>
      <family val="3"/>
      <charset val="1"/>
    </font>
    <font>
      <b/>
      <sz val="10"/>
      <color rgb="FFFFFFFF"/>
      <name val="Arial"/>
      <family val="2"/>
      <charset val="1"/>
    </font>
    <font>
      <u/>
      <sz val="11"/>
      <color rgb="FF0563C1"/>
      <name val="Calibri"/>
      <family val="2"/>
      <charset val="1"/>
    </font>
    <font>
      <b/>
      <sz val="10"/>
      <color rgb="FF005CA9"/>
      <name val="Arial"/>
      <family val="2"/>
      <charset val="1"/>
    </font>
    <font>
      <b/>
      <sz val="11"/>
      <color rgb="FFFFFFFF"/>
      <name val="Calibri"/>
      <family val="2"/>
      <charset val="1"/>
    </font>
    <font>
      <sz val="11"/>
      <color rgb="FFFFFFFF"/>
      <name val="Calibri"/>
      <family val="2"/>
      <charset val="1"/>
    </font>
    <font>
      <sz val="11"/>
      <color rgb="FFFF0000"/>
      <name val="Calibri"/>
      <family val="2"/>
      <charset val="1"/>
    </font>
    <font>
      <sz val="11"/>
      <color rgb="FF000000"/>
      <name val="Calibri"/>
      <family val="2"/>
      <charset val="1"/>
    </font>
    <font>
      <b/>
      <sz val="10"/>
      <color rgb="FFFFFFFF"/>
      <name val="Arial"/>
      <family val="2"/>
    </font>
    <font>
      <sz val="11"/>
      <color theme="1"/>
      <name val="Calibri"/>
      <family val="2"/>
    </font>
    <font>
      <sz val="11"/>
      <color indexed="8"/>
      <name val="Arial"/>
      <family val="2"/>
    </font>
    <font>
      <sz val="11"/>
      <name val="Arial"/>
      <family val="2"/>
    </font>
    <font>
      <sz val="11"/>
      <color theme="1"/>
      <name val="Arial"/>
      <family val="2"/>
    </font>
    <font>
      <b/>
      <sz val="11"/>
      <name val="Arial"/>
      <family val="2"/>
    </font>
    <font>
      <b/>
      <sz val="11"/>
      <color rgb="FF000000"/>
      <name val="Arial"/>
      <family val="2"/>
    </font>
    <font>
      <sz val="11"/>
      <color rgb="FF000000"/>
      <name val="Arial"/>
      <family val="2"/>
    </font>
    <font>
      <b/>
      <sz val="10"/>
      <name val="Arial"/>
      <family val="2"/>
    </font>
    <font>
      <sz val="10"/>
      <color theme="1"/>
      <name val="Arial"/>
      <family val="2"/>
    </font>
    <font>
      <b/>
      <sz val="10"/>
      <color theme="1"/>
      <name val="Arial"/>
      <family val="2"/>
    </font>
    <font>
      <sz val="10"/>
      <color theme="1"/>
      <name val="Calibri"/>
      <family val="2"/>
      <scheme val="minor"/>
    </font>
    <font>
      <b/>
      <sz val="14"/>
      <name val="Arial"/>
      <family val="2"/>
    </font>
    <font>
      <b/>
      <sz val="18"/>
      <name val="Calibri"/>
      <family val="2"/>
      <scheme val="minor"/>
    </font>
    <font>
      <sz val="12"/>
      <name val="Calibri"/>
      <family val="2"/>
      <scheme val="minor"/>
    </font>
    <font>
      <b/>
      <sz val="18"/>
      <color theme="1"/>
      <name val="Calibri"/>
      <family val="2"/>
      <scheme val="minor"/>
    </font>
    <font>
      <b/>
      <sz val="16"/>
      <color theme="1"/>
      <name val="Calibri"/>
      <family val="2"/>
      <scheme val="minor"/>
    </font>
    <font>
      <b/>
      <sz val="14"/>
      <name val="Calibri"/>
      <family val="2"/>
      <scheme val="minor"/>
    </font>
    <font>
      <b/>
      <sz val="14"/>
      <color theme="1"/>
      <name val="Calibri"/>
      <family val="2"/>
      <scheme val="minor"/>
    </font>
    <font>
      <b/>
      <sz val="12"/>
      <name val="Calibri"/>
      <family val="2"/>
      <scheme val="minor"/>
    </font>
    <font>
      <b/>
      <sz val="12"/>
      <color theme="1"/>
      <name val="Calibri"/>
      <family val="2"/>
      <scheme val="minor"/>
    </font>
    <font>
      <sz val="12"/>
      <color theme="1"/>
      <name val="Calibri"/>
      <family val="2"/>
      <scheme val="minor"/>
    </font>
    <font>
      <sz val="11"/>
      <name val="Calibri"/>
      <family val="2"/>
      <scheme val="minor"/>
    </font>
    <font>
      <sz val="7"/>
      <name val="Arial"/>
      <family val="2"/>
    </font>
    <font>
      <b/>
      <sz val="9"/>
      <name val="Arial"/>
      <family val="2"/>
    </font>
    <font>
      <b/>
      <sz val="7"/>
      <name val="Arial"/>
      <family val="2"/>
    </font>
    <font>
      <sz val="8"/>
      <name val="Arial"/>
      <family val="2"/>
    </font>
    <font>
      <b/>
      <sz val="8"/>
      <name val="Arial"/>
      <family val="2"/>
    </font>
    <font>
      <b/>
      <sz val="11"/>
      <color theme="1"/>
      <name val="Arial"/>
      <family val="2"/>
    </font>
    <font>
      <sz val="11"/>
      <color rgb="FFFF0000"/>
      <name val="Arial"/>
      <family val="2"/>
    </font>
    <font>
      <b/>
      <sz val="11"/>
      <color rgb="FF000000"/>
      <name val="Calibri"/>
      <family val="2"/>
    </font>
    <font>
      <sz val="11"/>
      <color rgb="FF000000"/>
      <name val="Calibri"/>
      <family val="2"/>
    </font>
    <font>
      <sz val="10"/>
      <color rgb="FF000000"/>
      <name val="Calibri"/>
      <family val="2"/>
    </font>
  </fonts>
  <fills count="19">
    <fill>
      <patternFill patternType="none"/>
    </fill>
    <fill>
      <patternFill patternType="gray125"/>
    </fill>
    <fill>
      <patternFill patternType="solid">
        <fgColor rgb="FFA6A6A6"/>
        <bgColor rgb="FFBFBFBF"/>
      </patternFill>
    </fill>
    <fill>
      <patternFill patternType="solid">
        <fgColor rgb="FFFFFFFF"/>
        <bgColor rgb="FFF2F2F2"/>
      </patternFill>
    </fill>
    <fill>
      <patternFill patternType="solid">
        <fgColor rgb="FFBFBFBF"/>
        <bgColor rgb="FF9DC3E6"/>
      </patternFill>
    </fill>
    <fill>
      <patternFill patternType="solid">
        <fgColor rgb="FFD9D9D9"/>
        <bgColor rgb="FFD8D8D8"/>
      </patternFill>
    </fill>
    <fill>
      <patternFill patternType="solid">
        <fgColor rgb="FFF2F2F2"/>
        <bgColor rgb="FFFFFFFF"/>
      </patternFill>
    </fill>
    <fill>
      <patternFill patternType="solid">
        <fgColor rgb="FF005CA9"/>
        <bgColor rgb="FF0563C1"/>
      </patternFill>
    </fill>
    <fill>
      <patternFill patternType="solid">
        <fgColor rgb="FF00B050"/>
        <bgColor rgb="FF008080"/>
      </patternFill>
    </fill>
    <fill>
      <patternFill patternType="solid">
        <fgColor rgb="FF366092"/>
        <bgColor rgb="FF4472C4"/>
      </patternFill>
    </fill>
    <fill>
      <patternFill patternType="solid">
        <fgColor rgb="FFD8D8D8"/>
        <bgColor rgb="FFD9D9D9"/>
      </patternFill>
    </fill>
    <fill>
      <patternFill patternType="solid">
        <fgColor rgb="FF938953"/>
        <bgColor rgb="FF808080"/>
      </patternFill>
    </fill>
    <fill>
      <patternFill patternType="solid">
        <fgColor rgb="FF005CA9"/>
        <bgColor indexed="64"/>
      </patternFill>
    </fill>
    <fill>
      <patternFill patternType="solid">
        <fgColor rgb="FFBFBFBF"/>
        <bgColor rgb="FFC0C0C0"/>
      </patternFill>
    </fill>
    <fill>
      <patternFill patternType="solid">
        <fgColor theme="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tint="-0.14999847407452621"/>
        <bgColor rgb="FFF2F2F2"/>
      </patternFill>
    </fill>
    <fill>
      <patternFill patternType="solid">
        <fgColor theme="0" tint="-4.9989318521683403E-2"/>
        <bgColor indexed="64"/>
      </patternFill>
    </fill>
  </fills>
  <borders count="54">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medium">
        <color auto="1"/>
      </left>
      <right/>
      <top/>
      <bottom/>
      <diagonal/>
    </border>
    <border>
      <left/>
      <right style="medium">
        <color auto="1"/>
      </right>
      <top/>
      <bottom/>
      <diagonal/>
    </border>
    <border>
      <left style="hair">
        <color auto="1"/>
      </left>
      <right style="hair">
        <color auto="1"/>
      </right>
      <top style="hair">
        <color auto="1"/>
      </top>
      <bottom/>
      <diagonal/>
    </border>
    <border>
      <left style="thin">
        <color auto="1"/>
      </left>
      <right style="hair">
        <color auto="1"/>
      </right>
      <top style="thin">
        <color auto="1"/>
      </top>
      <bottom style="thin">
        <color auto="1"/>
      </bottom>
      <diagonal/>
    </border>
    <border>
      <left style="hair">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style="thin">
        <color auto="1"/>
      </left>
      <right style="hair">
        <color auto="1"/>
      </right>
      <top style="thin">
        <color auto="1"/>
      </top>
      <bottom style="hair">
        <color auto="1"/>
      </bottom>
      <diagonal/>
    </border>
    <border>
      <left style="hair">
        <color auto="1"/>
      </left>
      <right style="hair">
        <color auto="1"/>
      </right>
      <top style="thin">
        <color auto="1"/>
      </top>
      <bottom style="hair">
        <color auto="1"/>
      </bottom>
      <diagonal/>
    </border>
    <border>
      <left style="hair">
        <color auto="1"/>
      </left>
      <right style="thin">
        <color auto="1"/>
      </right>
      <top style="thin">
        <color auto="1"/>
      </top>
      <bottom style="hair">
        <color auto="1"/>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medium">
        <color auto="1"/>
      </top>
      <bottom/>
      <diagonal/>
    </border>
    <border>
      <left/>
      <right style="medium">
        <color auto="1"/>
      </right>
      <top/>
      <bottom style="medium">
        <color auto="1"/>
      </bottom>
      <diagonal/>
    </border>
    <border>
      <left/>
      <right/>
      <top style="medium">
        <color auto="1"/>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hair">
        <color indexed="8"/>
      </left>
      <right style="hair">
        <color indexed="8"/>
      </right>
      <top style="hair">
        <color indexed="8"/>
      </top>
      <bottom style="hair">
        <color indexed="8"/>
      </bottom>
      <diagonal/>
    </border>
    <border>
      <left style="hair">
        <color indexed="8"/>
      </left>
      <right/>
      <top style="hair">
        <color indexed="8"/>
      </top>
      <bottom/>
      <diagonal/>
    </border>
    <border>
      <left/>
      <right/>
      <top style="hair">
        <color indexed="8"/>
      </top>
      <bottom/>
      <diagonal/>
    </border>
    <border>
      <left/>
      <right style="hair">
        <color indexed="8"/>
      </right>
      <top style="hair">
        <color indexed="8"/>
      </top>
      <bottom/>
      <diagonal/>
    </border>
    <border>
      <left style="hair">
        <color indexed="8"/>
      </left>
      <right/>
      <top style="hair">
        <color indexed="8"/>
      </top>
      <bottom style="hair">
        <color indexed="8"/>
      </bottom>
      <diagonal/>
    </border>
    <border>
      <left/>
      <right/>
      <top style="hair">
        <color indexed="8"/>
      </top>
      <bottom style="hair">
        <color indexed="8"/>
      </bottom>
      <diagonal/>
    </border>
    <border>
      <left/>
      <right style="hair">
        <color indexed="8"/>
      </right>
      <top style="hair">
        <color indexed="8"/>
      </top>
      <bottom style="hair">
        <color indexed="8"/>
      </bottom>
      <diagonal/>
    </border>
    <border>
      <left style="hair">
        <color indexed="8"/>
      </left>
      <right style="hair">
        <color indexed="8"/>
      </right>
      <top style="hair">
        <color indexed="8"/>
      </top>
      <bottom/>
      <diagonal/>
    </border>
    <border>
      <left style="hair">
        <color indexed="8"/>
      </left>
      <right style="hair">
        <color indexed="8"/>
      </right>
      <top/>
      <bottom style="hair">
        <color indexed="8"/>
      </bottom>
      <diagonal/>
    </border>
    <border>
      <left style="hair">
        <color indexed="64"/>
      </left>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s>
  <cellStyleXfs count="51">
    <xf numFmtId="0" fontId="0" fillId="0" borderId="0"/>
    <xf numFmtId="170" fontId="36" fillId="0" borderId="0" applyBorder="0" applyProtection="0"/>
    <xf numFmtId="164" fontId="36" fillId="0" borderId="0" applyBorder="0" applyProtection="0"/>
    <xf numFmtId="9" fontId="36" fillId="0" borderId="0" applyBorder="0" applyProtection="0"/>
    <xf numFmtId="0" fontId="31" fillId="0" borderId="0" applyBorder="0" applyProtection="0"/>
    <xf numFmtId="0" fontId="36" fillId="0" borderId="0" applyBorder="0" applyProtection="0"/>
    <xf numFmtId="0" fontId="36" fillId="0" borderId="0" applyBorder="0" applyProtection="0"/>
    <xf numFmtId="0" fontId="36" fillId="0" borderId="0" applyBorder="0" applyProtection="0">
      <alignment horizontal="left"/>
    </xf>
    <xf numFmtId="0" fontId="2" fillId="0" borderId="0" applyBorder="0" applyProtection="0"/>
    <xf numFmtId="164" fontId="36" fillId="0" borderId="0" applyBorder="0" applyProtection="0"/>
    <xf numFmtId="165" fontId="36" fillId="0" borderId="0" applyBorder="0" applyProtection="0"/>
    <xf numFmtId="165" fontId="36" fillId="0" borderId="0" applyBorder="0" applyProtection="0"/>
    <xf numFmtId="165" fontId="36" fillId="0" borderId="0" applyBorder="0" applyProtection="0"/>
    <xf numFmtId="165" fontId="36" fillId="0" borderId="0" applyBorder="0" applyProtection="0"/>
    <xf numFmtId="164" fontId="36" fillId="0" borderId="0" applyBorder="0" applyProtection="0"/>
    <xf numFmtId="164" fontId="36" fillId="0" borderId="0" applyBorder="0" applyProtection="0"/>
    <xf numFmtId="164" fontId="36" fillId="0" borderId="0" applyBorder="0" applyProtection="0"/>
    <xf numFmtId="0" fontId="36" fillId="0" borderId="0"/>
    <xf numFmtId="0" fontId="3" fillId="0" borderId="0"/>
    <xf numFmtId="0" fontId="4" fillId="0" borderId="0"/>
    <xf numFmtId="0" fontId="4" fillId="0" borderId="0"/>
    <xf numFmtId="0" fontId="4" fillId="0" borderId="0"/>
    <xf numFmtId="0" fontId="4" fillId="0" borderId="0"/>
    <xf numFmtId="0" fontId="36" fillId="0" borderId="0"/>
    <xf numFmtId="0" fontId="4" fillId="0" borderId="0"/>
    <xf numFmtId="0" fontId="4" fillId="0" borderId="0"/>
    <xf numFmtId="0" fontId="4" fillId="0" borderId="0"/>
    <xf numFmtId="0" fontId="4" fillId="0" borderId="0"/>
    <xf numFmtId="0" fontId="4" fillId="0" borderId="0"/>
    <xf numFmtId="0" fontId="4" fillId="0" borderId="0"/>
    <xf numFmtId="0" fontId="36" fillId="0" borderId="0"/>
    <xf numFmtId="0" fontId="4" fillId="0" borderId="0"/>
    <xf numFmtId="0" fontId="4" fillId="0" borderId="0"/>
    <xf numFmtId="0" fontId="4" fillId="0" borderId="0"/>
    <xf numFmtId="0" fontId="5" fillId="0" borderId="0"/>
    <xf numFmtId="0" fontId="36" fillId="0" borderId="0"/>
    <xf numFmtId="9" fontId="36" fillId="0" borderId="0" applyBorder="0" applyProtection="0"/>
    <xf numFmtId="9" fontId="4" fillId="0" borderId="0" applyBorder="0" applyProtection="0"/>
    <xf numFmtId="9" fontId="4" fillId="0" borderId="0" applyBorder="0" applyProtection="0"/>
    <xf numFmtId="9" fontId="36" fillId="0" borderId="0" applyBorder="0" applyProtection="0"/>
    <xf numFmtId="0" fontId="6" fillId="0" borderId="0" applyBorder="0" applyProtection="0"/>
    <xf numFmtId="166" fontId="4" fillId="0" borderId="0" applyBorder="0" applyProtection="0"/>
    <xf numFmtId="166" fontId="4" fillId="0" borderId="0"/>
    <xf numFmtId="0" fontId="6" fillId="0" borderId="0" applyBorder="0" applyProtection="0">
      <alignment horizontal="left"/>
    </xf>
    <xf numFmtId="0" fontId="36" fillId="0" borderId="0" applyBorder="0" applyProtection="0"/>
    <xf numFmtId="166" fontId="36" fillId="0" borderId="0" applyBorder="0" applyProtection="0"/>
    <xf numFmtId="166" fontId="36" fillId="0" borderId="0" applyBorder="0" applyProtection="0"/>
    <xf numFmtId="0" fontId="36" fillId="0" borderId="0"/>
    <xf numFmtId="0" fontId="36" fillId="0" borderId="0"/>
    <xf numFmtId="0" fontId="36" fillId="0" borderId="0"/>
    <xf numFmtId="0" fontId="4" fillId="0" borderId="0"/>
  </cellStyleXfs>
  <cellXfs count="830">
    <xf numFmtId="0" fontId="0" fillId="0" borderId="0" xfId="0"/>
    <xf numFmtId="0" fontId="7" fillId="2" borderId="1" xfId="47" applyFont="1" applyFill="1" applyBorder="1" applyAlignment="1">
      <alignment horizontal="left" vertical="center"/>
    </xf>
    <xf numFmtId="0" fontId="7" fillId="2" borderId="2" xfId="47" applyFont="1" applyFill="1" applyBorder="1" applyAlignment="1">
      <alignment horizontal="left" vertical="center"/>
    </xf>
    <xf numFmtId="0" fontId="8" fillId="2" borderId="3" xfId="0" applyFont="1" applyFill="1" applyBorder="1"/>
    <xf numFmtId="0" fontId="9" fillId="0" borderId="4" xfId="47" applyFont="1" applyBorder="1" applyAlignment="1">
      <alignment horizontal="left" vertical="center"/>
    </xf>
    <xf numFmtId="0" fontId="7" fillId="0" borderId="5" xfId="47" applyFont="1" applyBorder="1" applyAlignment="1">
      <alignment horizontal="left" vertical="center"/>
    </xf>
    <xf numFmtId="0" fontId="4" fillId="3" borderId="6" xfId="0" applyFont="1" applyFill="1" applyBorder="1" applyAlignment="1">
      <alignment horizontal="center" vertical="center"/>
    </xf>
    <xf numFmtId="0" fontId="9" fillId="0" borderId="0" xfId="0" applyFont="1"/>
    <xf numFmtId="0" fontId="9" fillId="0" borderId="7" xfId="47" applyFont="1" applyBorder="1" applyAlignment="1">
      <alignment horizontal="left" vertical="center"/>
    </xf>
    <xf numFmtId="0" fontId="7" fillId="0" borderId="0" xfId="47" applyFont="1" applyAlignment="1">
      <alignment horizontal="left" vertical="center" wrapText="1"/>
    </xf>
    <xf numFmtId="0" fontId="4" fillId="3" borderId="8" xfId="0" applyFont="1" applyFill="1" applyBorder="1" applyAlignment="1">
      <alignment horizontal="center" vertical="center"/>
    </xf>
    <xf numFmtId="0" fontId="9" fillId="0" borderId="9" xfId="47" applyFont="1" applyBorder="1" applyAlignment="1">
      <alignment horizontal="left" vertical="center"/>
    </xf>
    <xf numFmtId="0" fontId="7" fillId="0" borderId="10" xfId="47" applyFont="1" applyBorder="1" applyAlignment="1">
      <alignment horizontal="left" vertical="center" wrapText="1"/>
    </xf>
    <xf numFmtId="0" fontId="4" fillId="3" borderId="11" xfId="0" applyFont="1" applyFill="1" applyBorder="1" applyAlignment="1">
      <alignment horizontal="center" vertical="center"/>
    </xf>
    <xf numFmtId="0" fontId="5" fillId="0" borderId="6" xfId="0" applyFont="1" applyBorder="1" applyAlignment="1">
      <alignment horizontal="right"/>
    </xf>
    <xf numFmtId="0" fontId="7" fillId="0" borderId="0" xfId="47" applyFont="1" applyAlignment="1">
      <alignment horizontal="left" vertical="center"/>
    </xf>
    <xf numFmtId="0" fontId="5" fillId="0" borderId="8" xfId="0" applyFont="1" applyBorder="1" applyAlignment="1">
      <alignment horizontal="right"/>
    </xf>
    <xf numFmtId="167" fontId="7" fillId="0" borderId="5" xfId="47" applyNumberFormat="1" applyFont="1" applyBorder="1" applyAlignment="1">
      <alignment horizontal="left" vertical="center"/>
    </xf>
    <xf numFmtId="167" fontId="5" fillId="0" borderId="6" xfId="0" applyNumberFormat="1" applyFont="1" applyBorder="1"/>
    <xf numFmtId="0" fontId="9" fillId="0" borderId="7" xfId="48" applyFont="1" applyBorder="1" applyAlignment="1">
      <alignment horizontal="left" vertical="center"/>
    </xf>
    <xf numFmtId="17" fontId="7" fillId="0" borderId="0" xfId="48" applyNumberFormat="1" applyFont="1" applyAlignment="1">
      <alignment horizontal="left" vertical="center" wrapText="1"/>
    </xf>
    <xf numFmtId="0" fontId="5" fillId="0" borderId="8" xfId="48" applyFont="1" applyBorder="1" applyAlignment="1">
      <alignment vertical="center"/>
    </xf>
    <xf numFmtId="0" fontId="9" fillId="0" borderId="10" xfId="47" applyFont="1" applyBorder="1" applyAlignment="1">
      <alignment horizontal="left" vertical="center"/>
    </xf>
    <xf numFmtId="10" fontId="8" fillId="0" borderId="11" xfId="3" applyNumberFormat="1" applyFont="1" applyBorder="1" applyAlignment="1" applyProtection="1">
      <alignment horizontal="right" vertical="center"/>
    </xf>
    <xf numFmtId="0" fontId="0" fillId="0" borderId="0" xfId="0" applyAlignment="1">
      <alignment vertical="center"/>
    </xf>
    <xf numFmtId="4" fontId="0" fillId="0" borderId="0" xfId="0" applyNumberFormat="1" applyAlignment="1">
      <alignment horizontal="right"/>
    </xf>
    <xf numFmtId="164" fontId="0" fillId="0" borderId="0" xfId="0" applyNumberFormat="1"/>
    <xf numFmtId="0" fontId="10" fillId="3" borderId="4" xfId="0" applyFont="1" applyFill="1" applyBorder="1" applyAlignment="1">
      <alignment vertical="center"/>
    </xf>
    <xf numFmtId="0" fontId="10" fillId="3" borderId="5" xfId="0" applyFont="1" applyFill="1" applyBorder="1" applyAlignment="1">
      <alignment vertical="center"/>
    </xf>
    <xf numFmtId="0" fontId="10" fillId="3" borderId="5" xfId="0" applyFont="1" applyFill="1" applyBorder="1" applyAlignment="1">
      <alignment horizontal="left" vertical="center"/>
    </xf>
    <xf numFmtId="4" fontId="10" fillId="3" borderId="5" xfId="0" applyNumberFormat="1" applyFont="1" applyFill="1" applyBorder="1" applyAlignment="1">
      <alignment vertical="center"/>
    </xf>
    <xf numFmtId="164" fontId="10" fillId="3" borderId="5" xfId="0" applyNumberFormat="1" applyFont="1" applyFill="1" applyBorder="1" applyAlignment="1">
      <alignment vertical="center"/>
    </xf>
    <xf numFmtId="10" fontId="10" fillId="3" borderId="5" xfId="0" applyNumberFormat="1" applyFont="1" applyFill="1" applyBorder="1" applyAlignment="1">
      <alignment vertical="center"/>
    </xf>
    <xf numFmtId="0" fontId="10" fillId="3" borderId="6" xfId="0" applyFont="1" applyFill="1" applyBorder="1" applyAlignment="1">
      <alignment vertical="center"/>
    </xf>
    <xf numFmtId="0" fontId="11" fillId="3" borderId="7" xfId="0" applyFont="1" applyFill="1" applyBorder="1" applyAlignment="1">
      <alignment vertical="center"/>
    </xf>
    <xf numFmtId="0" fontId="11" fillId="3" borderId="0" xfId="0" applyFont="1" applyFill="1" applyAlignment="1">
      <alignment vertical="center"/>
    </xf>
    <xf numFmtId="0" fontId="11" fillId="3" borderId="0" xfId="0" applyFont="1" applyFill="1" applyAlignment="1">
      <alignment horizontal="left" vertical="center"/>
    </xf>
    <xf numFmtId="4" fontId="11" fillId="3" borderId="0" xfId="0" applyNumberFormat="1" applyFont="1" applyFill="1" applyAlignment="1">
      <alignment vertical="center"/>
    </xf>
    <xf numFmtId="164" fontId="11" fillId="3" borderId="0" xfId="0" applyNumberFormat="1" applyFont="1" applyFill="1" applyAlignment="1">
      <alignment vertical="center"/>
    </xf>
    <xf numFmtId="0" fontId="11" fillId="3" borderId="8" xfId="0" applyFont="1" applyFill="1" applyBorder="1" applyAlignment="1">
      <alignment vertical="center"/>
    </xf>
    <xf numFmtId="0" fontId="4" fillId="3" borderId="7" xfId="0" applyFont="1" applyFill="1" applyBorder="1" applyAlignment="1">
      <alignment horizontal="center" vertical="center" wrapText="1"/>
    </xf>
    <xf numFmtId="0" fontId="4" fillId="3" borderId="0" xfId="0" applyFont="1" applyFill="1" applyAlignment="1">
      <alignment horizontal="center" vertical="center" wrapText="1"/>
    </xf>
    <xf numFmtId="0" fontId="4" fillId="3" borderId="0" xfId="0" applyFont="1" applyFill="1" applyAlignment="1">
      <alignment horizontal="center" vertical="center"/>
    </xf>
    <xf numFmtId="0" fontId="5" fillId="3" borderId="0" xfId="0" applyFont="1" applyFill="1" applyAlignment="1">
      <alignment horizontal="left" vertical="center"/>
    </xf>
    <xf numFmtId="9" fontId="4" fillId="3" borderId="0" xfId="3" applyFont="1" applyFill="1" applyBorder="1" applyAlignment="1" applyProtection="1">
      <alignment horizontal="center" vertical="center" wrapText="1"/>
    </xf>
    <xf numFmtId="4" fontId="4" fillId="3" borderId="0" xfId="3" applyNumberFormat="1" applyFont="1" applyFill="1" applyBorder="1" applyAlignment="1" applyProtection="1">
      <alignment horizontal="center" vertical="center" wrapText="1"/>
    </xf>
    <xf numFmtId="164" fontId="4" fillId="3" borderId="0" xfId="3" applyNumberFormat="1" applyFont="1" applyFill="1" applyBorder="1" applyAlignment="1" applyProtection="1">
      <alignment horizontal="center" vertical="center" wrapText="1"/>
    </xf>
    <xf numFmtId="9" fontId="4" fillId="3" borderId="8" xfId="3" applyFont="1" applyFill="1" applyBorder="1" applyAlignment="1" applyProtection="1">
      <alignment horizontal="center" vertical="center" wrapText="1"/>
    </xf>
    <xf numFmtId="4" fontId="4" fillId="3" borderId="0" xfId="0" applyNumberFormat="1" applyFont="1" applyFill="1" applyAlignment="1">
      <alignment horizontal="center" vertical="center" wrapText="1"/>
    </xf>
    <xf numFmtId="164" fontId="4" fillId="3" borderId="0" xfId="0" applyNumberFormat="1" applyFont="1" applyFill="1" applyAlignment="1">
      <alignment horizontal="center" vertical="center" wrapText="1"/>
    </xf>
    <xf numFmtId="0" fontId="12" fillId="3" borderId="0" xfId="0" applyFont="1" applyFill="1" applyAlignment="1">
      <alignment vertical="center"/>
    </xf>
    <xf numFmtId="0" fontId="12" fillId="3" borderId="0" xfId="0" applyFont="1" applyFill="1" applyAlignment="1">
      <alignment horizontal="center" vertical="center"/>
    </xf>
    <xf numFmtId="4" fontId="12" fillId="3" borderId="0" xfId="0" applyNumberFormat="1" applyFont="1" applyFill="1" applyAlignment="1">
      <alignment vertical="center"/>
    </xf>
    <xf numFmtId="164" fontId="12" fillId="3" borderId="0" xfId="0" applyNumberFormat="1" applyFont="1" applyFill="1" applyAlignment="1">
      <alignment vertical="center"/>
    </xf>
    <xf numFmtId="0" fontId="12" fillId="3" borderId="8" xfId="0" applyFont="1" applyFill="1" applyBorder="1" applyAlignment="1">
      <alignment vertical="center"/>
    </xf>
    <xf numFmtId="0" fontId="13" fillId="0" borderId="0" xfId="0" applyFont="1"/>
    <xf numFmtId="0" fontId="14" fillId="3" borderId="9" xfId="0" applyFont="1" applyFill="1" applyBorder="1" applyAlignment="1">
      <alignment horizontal="center" vertical="center"/>
    </xf>
    <xf numFmtId="0" fontId="14" fillId="3" borderId="10" xfId="0" applyFont="1" applyFill="1" applyBorder="1" applyAlignment="1">
      <alignment horizontal="center" vertical="center"/>
    </xf>
    <xf numFmtId="9" fontId="14" fillId="3" borderId="10" xfId="3" applyFont="1" applyFill="1" applyBorder="1" applyAlignment="1" applyProtection="1">
      <alignment horizontal="center" vertical="center"/>
    </xf>
    <xf numFmtId="4" fontId="14" fillId="3" borderId="10" xfId="0" applyNumberFormat="1" applyFont="1" applyFill="1" applyBorder="1" applyAlignment="1">
      <alignment horizontal="center" vertical="center"/>
    </xf>
    <xf numFmtId="164" fontId="14" fillId="3" borderId="10" xfId="3" applyNumberFormat="1" applyFont="1" applyFill="1" applyBorder="1" applyAlignment="1" applyProtection="1">
      <alignment horizontal="center" vertical="center"/>
    </xf>
    <xf numFmtId="9" fontId="14" fillId="3" borderId="11" xfId="3" applyFont="1" applyFill="1" applyBorder="1" applyAlignment="1" applyProtection="1">
      <alignment horizontal="center" vertical="center"/>
    </xf>
    <xf numFmtId="0" fontId="5" fillId="0" borderId="0" xfId="0" applyFont="1"/>
    <xf numFmtId="0" fontId="7" fillId="2" borderId="12" xfId="0" applyFont="1" applyFill="1" applyBorder="1" applyAlignment="1">
      <alignment horizontal="left" vertical="center"/>
    </xf>
    <xf numFmtId="1" fontId="7" fillId="2" borderId="6" xfId="0" applyNumberFormat="1" applyFont="1" applyFill="1" applyBorder="1" applyAlignment="1">
      <alignment horizontal="center" vertical="center" wrapText="1"/>
    </xf>
    <xf numFmtId="1" fontId="7" fillId="2" borderId="12" xfId="0" applyNumberFormat="1" applyFont="1" applyFill="1" applyBorder="1" applyAlignment="1">
      <alignment horizontal="center" vertical="center"/>
    </xf>
    <xf numFmtId="0" fontId="7" fillId="2" borderId="4" xfId="0" applyFont="1" applyFill="1" applyBorder="1" applyAlignment="1">
      <alignment horizontal="center" vertical="center"/>
    </xf>
    <xf numFmtId="0" fontId="7" fillId="2" borderId="12" xfId="0" applyFont="1" applyFill="1" applyBorder="1" applyAlignment="1">
      <alignment horizontal="center" vertical="center" wrapText="1"/>
    </xf>
    <xf numFmtId="4" fontId="7" fillId="2" borderId="12" xfId="0" applyNumberFormat="1" applyFont="1" applyFill="1" applyBorder="1" applyAlignment="1">
      <alignment horizontal="center" vertical="center"/>
    </xf>
    <xf numFmtId="0" fontId="7" fillId="2" borderId="9" xfId="0" applyFont="1" applyFill="1" applyBorder="1" applyAlignment="1">
      <alignment horizontal="center" vertical="center"/>
    </xf>
    <xf numFmtId="0" fontId="7" fillId="2" borderId="10" xfId="0" applyFont="1" applyFill="1" applyBorder="1" applyAlignment="1">
      <alignment horizontal="center" vertical="center"/>
    </xf>
    <xf numFmtId="0" fontId="7" fillId="2" borderId="11" xfId="0" applyFont="1" applyFill="1" applyBorder="1" applyAlignment="1">
      <alignment horizontal="center" vertical="center"/>
    </xf>
    <xf numFmtId="4" fontId="7" fillId="2" borderId="13" xfId="0" applyNumberFormat="1" applyFont="1" applyFill="1" applyBorder="1" applyAlignment="1">
      <alignment horizontal="center" vertical="center" wrapText="1"/>
    </xf>
    <xf numFmtId="0" fontId="7" fillId="2" borderId="13" xfId="0" applyFont="1" applyFill="1" applyBorder="1" applyAlignment="1">
      <alignment horizontal="center" vertical="center"/>
    </xf>
    <xf numFmtId="4" fontId="7" fillId="2" borderId="8" xfId="0" applyNumberFormat="1" applyFont="1" applyFill="1" applyBorder="1" applyAlignment="1">
      <alignment horizontal="center" vertical="center" wrapText="1"/>
    </xf>
    <xf numFmtId="0" fontId="7" fillId="2" borderId="14" xfId="0" applyFont="1" applyFill="1" applyBorder="1" applyAlignment="1">
      <alignment horizontal="left" vertical="center"/>
    </xf>
    <xf numFmtId="1" fontId="7" fillId="2" borderId="10" xfId="0" applyNumberFormat="1" applyFont="1" applyFill="1" applyBorder="1" applyAlignment="1">
      <alignment horizontal="center" vertical="center" wrapText="1"/>
    </xf>
    <xf numFmtId="0" fontId="7" fillId="2" borderId="14" xfId="0" applyFont="1" applyFill="1" applyBorder="1" applyAlignment="1">
      <alignment horizontal="center" vertical="center" wrapText="1"/>
    </xf>
    <xf numFmtId="4" fontId="7" fillId="2" borderId="14" xfId="0" applyNumberFormat="1" applyFont="1" applyFill="1" applyBorder="1" applyAlignment="1">
      <alignment horizontal="center" vertical="center"/>
    </xf>
    <xf numFmtId="4" fontId="7" fillId="2" borderId="14" xfId="0" applyNumberFormat="1" applyFont="1" applyFill="1" applyBorder="1" applyAlignment="1">
      <alignment horizontal="center" vertical="center" wrapText="1"/>
    </xf>
    <xf numFmtId="0" fontId="7" fillId="2" borderId="11" xfId="0" applyFont="1" applyFill="1" applyBorder="1" applyAlignment="1">
      <alignment horizontal="center" vertical="center" wrapText="1"/>
    </xf>
    <xf numFmtId="4" fontId="7" fillId="2" borderId="15" xfId="0" applyNumberFormat="1" applyFont="1" applyFill="1" applyBorder="1" applyAlignment="1">
      <alignment horizontal="center" vertical="center" wrapText="1"/>
    </xf>
    <xf numFmtId="3" fontId="7" fillId="4" borderId="1" xfId="49" applyNumberFormat="1" applyFont="1" applyFill="1" applyBorder="1" applyAlignment="1">
      <alignment horizontal="left" vertical="center" wrapText="1"/>
    </xf>
    <xf numFmtId="3" fontId="9" fillId="4" borderId="2" xfId="49" applyNumberFormat="1" applyFont="1" applyFill="1" applyBorder="1" applyAlignment="1">
      <alignment horizontal="center" vertical="center" wrapText="1"/>
    </xf>
    <xf numFmtId="3" fontId="9" fillId="4" borderId="2" xfId="49" applyNumberFormat="1" applyFont="1" applyFill="1" applyBorder="1" applyAlignment="1">
      <alignment horizontal="center" vertical="center"/>
    </xf>
    <xf numFmtId="0" fontId="7" fillId="4" borderId="1" xfId="0" applyFont="1" applyFill="1" applyBorder="1" applyAlignment="1">
      <alignment vertical="center"/>
    </xf>
    <xf numFmtId="0" fontId="7" fillId="4" borderId="2" xfId="49" applyFont="1" applyFill="1" applyBorder="1" applyAlignment="1">
      <alignment vertical="center" wrapText="1"/>
    </xf>
    <xf numFmtId="4" fontId="7" fillId="4" borderId="2" xfId="49" applyNumberFormat="1" applyFont="1" applyFill="1" applyBorder="1" applyAlignment="1">
      <alignment horizontal="right" vertical="center" wrapText="1"/>
    </xf>
    <xf numFmtId="10" fontId="9" fillId="4" borderId="2" xfId="3" applyNumberFormat="1" applyFont="1" applyFill="1" applyBorder="1" applyAlignment="1" applyProtection="1">
      <alignment horizontal="center" vertical="center" wrapText="1"/>
    </xf>
    <xf numFmtId="4" fontId="7" fillId="4" borderId="3" xfId="49" applyNumberFormat="1" applyFont="1" applyFill="1" applyBorder="1" applyAlignment="1">
      <alignment horizontal="right" vertical="center" wrapText="1"/>
    </xf>
    <xf numFmtId="3" fontId="5" fillId="3" borderId="15" xfId="0" applyNumberFormat="1" applyFont="1" applyFill="1" applyBorder="1" applyAlignment="1">
      <alignment horizontal="left" vertical="center"/>
    </xf>
    <xf numFmtId="168" fontId="9" fillId="3" borderId="3" xfId="47" applyNumberFormat="1" applyFont="1" applyFill="1" applyBorder="1" applyAlignment="1">
      <alignment horizontal="left" vertical="center" wrapText="1"/>
    </xf>
    <xf numFmtId="0" fontId="9" fillId="3" borderId="1" xfId="0" applyFont="1" applyFill="1" applyBorder="1" applyAlignment="1">
      <alignment horizontal="left" vertical="center"/>
    </xf>
    <xf numFmtId="0" fontId="9" fillId="0" borderId="15" xfId="2" applyNumberFormat="1" applyFont="1" applyBorder="1" applyAlignment="1" applyProtection="1">
      <alignment vertical="center" wrapText="1"/>
    </xf>
    <xf numFmtId="164" fontId="9" fillId="0" borderId="15" xfId="2" applyFont="1" applyBorder="1" applyAlignment="1" applyProtection="1">
      <alignment horizontal="center" vertical="center" wrapText="1"/>
    </xf>
    <xf numFmtId="4" fontId="9" fillId="3" borderId="3" xfId="0" applyNumberFormat="1" applyFont="1" applyFill="1" applyBorder="1" applyAlignment="1">
      <alignment horizontal="right" vertical="center" wrapText="1"/>
    </xf>
    <xf numFmtId="164" fontId="9" fillId="0" borderId="15" xfId="2" applyFont="1" applyBorder="1" applyAlignment="1" applyProtection="1">
      <alignment horizontal="right" vertical="center"/>
    </xf>
    <xf numFmtId="169" fontId="5" fillId="3" borderId="15" xfId="0" applyNumberFormat="1" applyFont="1" applyFill="1" applyBorder="1" applyAlignment="1">
      <alignment horizontal="right" vertical="center" wrapText="1"/>
    </xf>
    <xf numFmtId="10" fontId="5" fillId="3" borderId="15" xfId="3" applyNumberFormat="1" applyFont="1" applyFill="1" applyBorder="1" applyAlignment="1" applyProtection="1">
      <alignment horizontal="center" vertical="center" wrapText="1"/>
    </xf>
    <xf numFmtId="164" fontId="5" fillId="0" borderId="15" xfId="2" applyFont="1" applyBorder="1" applyAlignment="1" applyProtection="1">
      <alignment vertical="center"/>
    </xf>
    <xf numFmtId="164" fontId="5" fillId="0" borderId="15" xfId="2" applyFont="1" applyBorder="1" applyAlignment="1" applyProtection="1">
      <alignment horizontal="left" vertical="center"/>
    </xf>
    <xf numFmtId="164" fontId="9" fillId="3" borderId="15" xfId="2" applyFont="1" applyFill="1" applyBorder="1" applyAlignment="1" applyProtection="1">
      <alignment vertical="center"/>
    </xf>
    <xf numFmtId="169" fontId="9" fillId="0" borderId="15" xfId="0" applyNumberFormat="1" applyFont="1" applyBorder="1" applyAlignment="1">
      <alignment horizontal="left" vertical="center" wrapText="1"/>
    </xf>
    <xf numFmtId="0" fontId="9" fillId="3" borderId="3" xfId="47" applyFont="1" applyFill="1" applyBorder="1" applyAlignment="1">
      <alignment horizontal="left" vertical="center" wrapText="1"/>
    </xf>
    <xf numFmtId="4" fontId="9" fillId="0" borderId="15" xfId="0" applyNumberFormat="1" applyFont="1" applyBorder="1" applyAlignment="1">
      <alignment horizontal="right" vertical="center" wrapText="1"/>
    </xf>
    <xf numFmtId="4" fontId="9" fillId="3" borderId="15" xfId="0" applyNumberFormat="1" applyFont="1" applyFill="1" applyBorder="1" applyAlignment="1">
      <alignment horizontal="right" vertical="center" wrapText="1"/>
    </xf>
    <xf numFmtId="0" fontId="9" fillId="3" borderId="15" xfId="2" applyNumberFormat="1" applyFont="1" applyFill="1" applyBorder="1" applyAlignment="1" applyProtection="1">
      <alignment vertical="center" wrapText="1"/>
    </xf>
    <xf numFmtId="164" fontId="9" fillId="3" borderId="15" xfId="2" applyFont="1" applyFill="1" applyBorder="1" applyAlignment="1" applyProtection="1">
      <alignment horizontal="center" vertical="center" wrapText="1"/>
    </xf>
    <xf numFmtId="164" fontId="9" fillId="3" borderId="14" xfId="2" applyFont="1" applyFill="1" applyBorder="1" applyAlignment="1" applyProtection="1">
      <alignment horizontal="center" vertical="center"/>
    </xf>
    <xf numFmtId="169" fontId="5" fillId="3" borderId="14" xfId="0" applyNumberFormat="1" applyFont="1" applyFill="1" applyBorder="1" applyAlignment="1">
      <alignment horizontal="right" vertical="center" wrapText="1"/>
    </xf>
    <xf numFmtId="0" fontId="9" fillId="0" borderId="3" xfId="47" applyFont="1" applyBorder="1" applyAlignment="1">
      <alignment horizontal="left" vertical="center" wrapText="1"/>
    </xf>
    <xf numFmtId="0" fontId="9" fillId="0" borderId="1" xfId="0" applyFont="1" applyBorder="1" applyAlignment="1">
      <alignment horizontal="left" vertical="center"/>
    </xf>
    <xf numFmtId="168" fontId="9" fillId="0" borderId="3" xfId="47" applyNumberFormat="1" applyFont="1" applyBorder="1" applyAlignment="1">
      <alignment horizontal="left" vertical="center" wrapText="1"/>
    </xf>
    <xf numFmtId="0" fontId="9" fillId="3" borderId="0" xfId="48" applyFont="1" applyFill="1" applyAlignment="1">
      <alignment vertical="center"/>
    </xf>
    <xf numFmtId="0" fontId="5" fillId="3" borderId="0" xfId="0" applyFont="1" applyFill="1"/>
    <xf numFmtId="0" fontId="9" fillId="3" borderId="0" xfId="0" applyFont="1" applyFill="1" applyAlignment="1">
      <alignment vertical="center" wrapText="1"/>
    </xf>
    <xf numFmtId="4" fontId="9" fillId="3" borderId="0" xfId="48" applyNumberFormat="1" applyFont="1" applyFill="1" applyAlignment="1">
      <alignment horizontal="right" vertical="center"/>
    </xf>
    <xf numFmtId="164" fontId="9" fillId="3" borderId="0" xfId="48" applyNumberFormat="1" applyFont="1" applyFill="1" applyAlignment="1">
      <alignment vertical="center"/>
    </xf>
    <xf numFmtId="164" fontId="5" fillId="3" borderId="0" xfId="48" applyNumberFormat="1" applyFont="1" applyFill="1" applyAlignment="1">
      <alignment vertical="center"/>
    </xf>
    <xf numFmtId="0" fontId="5" fillId="3" borderId="0" xfId="0" applyFont="1" applyFill="1" applyAlignment="1">
      <alignment horizontal="center"/>
    </xf>
    <xf numFmtId="164" fontId="7" fillId="4" borderId="9" xfId="2" applyFont="1" applyFill="1" applyBorder="1" applyAlignment="1" applyProtection="1">
      <alignment horizontal="left"/>
    </xf>
    <xf numFmtId="164" fontId="7" fillId="4" borderId="14" xfId="2" applyFont="1" applyFill="1" applyBorder="1" applyProtection="1"/>
    <xf numFmtId="170" fontId="0" fillId="0" borderId="0" xfId="0" applyNumberFormat="1"/>
    <xf numFmtId="0" fontId="5" fillId="0" borderId="0" xfId="0" applyFont="1" applyAlignment="1">
      <alignment vertical="center"/>
    </xf>
    <xf numFmtId="171" fontId="5" fillId="0" borderId="0" xfId="0" applyNumberFormat="1" applyFont="1" applyAlignment="1">
      <alignment horizontal="center" vertical="center"/>
    </xf>
    <xf numFmtId="0" fontId="5" fillId="0" borderId="0" xfId="0" applyFont="1" applyAlignment="1">
      <alignment horizontal="left" vertical="center"/>
    </xf>
    <xf numFmtId="171" fontId="10" fillId="3" borderId="5" xfId="0" applyNumberFormat="1" applyFont="1" applyFill="1" applyBorder="1" applyAlignment="1">
      <alignment horizontal="left" vertical="center"/>
    </xf>
    <xf numFmtId="0" fontId="9" fillId="0" borderId="0" xfId="0" applyFont="1" applyAlignment="1">
      <alignment vertical="center"/>
    </xf>
    <xf numFmtId="171" fontId="11" fillId="3" borderId="0" xfId="0" applyNumberFormat="1" applyFont="1" applyFill="1" applyAlignment="1">
      <alignment horizontal="left" vertical="center"/>
    </xf>
    <xf numFmtId="0" fontId="4" fillId="3" borderId="0" xfId="0" applyFont="1" applyFill="1" applyAlignment="1">
      <alignment horizontal="left" vertical="center"/>
    </xf>
    <xf numFmtId="171" fontId="5" fillId="3" borderId="0" xfId="0" applyNumberFormat="1" applyFont="1" applyFill="1" applyAlignment="1">
      <alignment horizontal="left" vertical="center"/>
    </xf>
    <xf numFmtId="171" fontId="4" fillId="3" borderId="0" xfId="0" applyNumberFormat="1" applyFont="1" applyFill="1" applyAlignment="1">
      <alignment horizontal="center" vertical="center" wrapText="1"/>
    </xf>
    <xf numFmtId="171" fontId="12" fillId="3" borderId="0" xfId="0" applyNumberFormat="1" applyFont="1" applyFill="1" applyAlignment="1">
      <alignment horizontal="center" vertical="center"/>
    </xf>
    <xf numFmtId="0" fontId="4" fillId="0" borderId="0" xfId="0" applyFont="1" applyAlignment="1">
      <alignment vertical="center"/>
    </xf>
    <xf numFmtId="171" fontId="14" fillId="3" borderId="10" xfId="0" applyNumberFormat="1" applyFont="1" applyFill="1" applyBorder="1" applyAlignment="1">
      <alignment horizontal="center" vertical="center"/>
    </xf>
    <xf numFmtId="0" fontId="9" fillId="0" borderId="0" xfId="0" applyFont="1" applyAlignment="1">
      <alignment horizontal="left" vertical="center"/>
    </xf>
    <xf numFmtId="0" fontId="7" fillId="4" borderId="14" xfId="19" applyFont="1" applyFill="1" applyBorder="1" applyAlignment="1">
      <alignment horizontal="center" vertical="center"/>
    </xf>
    <xf numFmtId="0" fontId="7" fillId="4" borderId="10" xfId="19" applyFont="1" applyFill="1" applyBorder="1" applyAlignment="1">
      <alignment vertical="center"/>
    </xf>
    <xf numFmtId="0" fontId="7" fillId="4" borderId="10" xfId="19" applyFont="1" applyFill="1" applyBorder="1" applyAlignment="1">
      <alignment vertical="center" wrapText="1"/>
    </xf>
    <xf numFmtId="171" fontId="7" fillId="4" borderId="10" xfId="19" applyNumberFormat="1" applyFont="1" applyFill="1" applyBorder="1" applyAlignment="1">
      <alignment horizontal="right" vertical="center" wrapText="1"/>
    </xf>
    <xf numFmtId="172" fontId="7" fillId="4" borderId="10" xfId="0" applyNumberFormat="1" applyFont="1" applyFill="1" applyBorder="1" applyAlignment="1">
      <alignment horizontal="center" vertical="center"/>
    </xf>
    <xf numFmtId="9" fontId="7" fillId="4" borderId="9" xfId="19" applyNumberFormat="1" applyFont="1" applyFill="1" applyBorder="1" applyAlignment="1">
      <alignment horizontal="center" vertical="center"/>
    </xf>
    <xf numFmtId="172" fontId="7" fillId="4" borderId="14" xfId="0" applyNumberFormat="1" applyFont="1" applyFill="1" applyBorder="1" applyAlignment="1">
      <alignment horizontal="center" vertical="center"/>
    </xf>
    <xf numFmtId="164" fontId="7" fillId="4" borderId="14" xfId="2" applyFont="1" applyFill="1" applyBorder="1" applyAlignment="1" applyProtection="1">
      <alignment vertical="center"/>
    </xf>
    <xf numFmtId="0" fontId="9" fillId="5" borderId="15" xfId="19" applyFont="1" applyFill="1" applyBorder="1" applyAlignment="1">
      <alignment vertical="center" wrapText="1"/>
    </xf>
    <xf numFmtId="0" fontId="9" fillId="5" borderId="15" xfId="19" applyFont="1" applyFill="1" applyBorder="1" applyAlignment="1">
      <alignment horizontal="center" vertical="center"/>
    </xf>
    <xf numFmtId="171" fontId="9" fillId="5" borderId="15" xfId="1" applyNumberFormat="1" applyFont="1" applyFill="1" applyBorder="1" applyAlignment="1" applyProtection="1">
      <alignment horizontal="center" vertical="center"/>
    </xf>
    <xf numFmtId="0" fontId="9" fillId="5" borderId="15" xfId="19" applyFont="1" applyFill="1" applyBorder="1" applyAlignment="1">
      <alignment horizontal="left" vertical="center"/>
    </xf>
    <xf numFmtId="166" fontId="9" fillId="5" borderId="15" xfId="41" applyFont="1" applyFill="1" applyBorder="1" applyAlignment="1" applyProtection="1">
      <alignment horizontal="center" vertical="center" wrapText="1"/>
    </xf>
    <xf numFmtId="0" fontId="9" fillId="5" borderId="1" xfId="19" applyFont="1" applyFill="1" applyBorder="1" applyAlignment="1">
      <alignment horizontal="left" vertical="center"/>
    </xf>
    <xf numFmtId="0" fontId="9" fillId="5" borderId="3" xfId="19" applyFont="1" applyFill="1" applyBorder="1" applyAlignment="1">
      <alignment horizontal="center" vertical="center"/>
    </xf>
    <xf numFmtId="0" fontId="5" fillId="3" borderId="15" xfId="0" applyFont="1" applyFill="1" applyBorder="1" applyAlignment="1">
      <alignment horizontal="center" vertical="center"/>
    </xf>
    <xf numFmtId="0" fontId="5" fillId="3" borderId="15" xfId="0" applyFont="1" applyFill="1" applyBorder="1" applyAlignment="1">
      <alignment vertical="center" wrapText="1"/>
    </xf>
    <xf numFmtId="171" fontId="9" fillId="3" borderId="15" xfId="1" applyNumberFormat="1" applyFont="1" applyFill="1" applyBorder="1" applyAlignment="1" applyProtection="1">
      <alignment horizontal="right" vertical="center"/>
    </xf>
    <xf numFmtId="0" fontId="5" fillId="3" borderId="15" xfId="0" applyFont="1" applyFill="1" applyBorder="1" applyAlignment="1">
      <alignment horizontal="left" vertical="center"/>
    </xf>
    <xf numFmtId="173" fontId="9" fillId="0" borderId="15" xfId="2" applyNumberFormat="1" applyFont="1" applyBorder="1" applyAlignment="1" applyProtection="1">
      <alignment horizontal="left" vertical="center" wrapText="1"/>
    </xf>
    <xf numFmtId="173" fontId="9" fillId="0" borderId="15" xfId="14" applyNumberFormat="1" applyFont="1" applyBorder="1" applyAlignment="1" applyProtection="1">
      <alignment horizontal="right" vertical="center" wrapText="1"/>
    </xf>
    <xf numFmtId="0" fontId="5" fillId="3" borderId="1" xfId="0" applyFont="1" applyFill="1" applyBorder="1" applyAlignment="1">
      <alignment vertical="center"/>
    </xf>
    <xf numFmtId="0" fontId="9" fillId="3" borderId="3" xfId="0" applyFont="1" applyFill="1" applyBorder="1" applyAlignment="1">
      <alignment horizontal="left" vertical="center" wrapText="1"/>
    </xf>
    <xf numFmtId="173" fontId="9" fillId="3" borderId="15" xfId="2" applyNumberFormat="1" applyFont="1" applyFill="1" applyBorder="1" applyAlignment="1" applyProtection="1">
      <alignment vertical="center"/>
    </xf>
    <xf numFmtId="0" fontId="9" fillId="3" borderId="15" xfId="0" applyFont="1" applyFill="1" applyBorder="1" applyAlignment="1">
      <alignment vertical="center" wrapText="1"/>
    </xf>
    <xf numFmtId="0" fontId="9" fillId="3" borderId="15" xfId="0" applyFont="1" applyFill="1" applyBorder="1" applyAlignment="1">
      <alignment horizontal="center" vertical="center"/>
    </xf>
    <xf numFmtId="0" fontId="9" fillId="3" borderId="15" xfId="0" applyFont="1" applyFill="1" applyBorder="1" applyAlignment="1">
      <alignment horizontal="left" vertical="center"/>
    </xf>
    <xf numFmtId="171" fontId="9" fillId="0" borderId="15" xfId="1" applyNumberFormat="1" applyFont="1" applyBorder="1" applyAlignment="1" applyProtection="1">
      <alignment horizontal="right" vertical="center"/>
    </xf>
    <xf numFmtId="0" fontId="9" fillId="3" borderId="15" xfId="0" applyFont="1" applyFill="1" applyBorder="1" applyAlignment="1">
      <alignment vertical="center"/>
    </xf>
    <xf numFmtId="0" fontId="9" fillId="0" borderId="15" xfId="0" applyFont="1" applyBorder="1" applyAlignment="1">
      <alignment horizontal="left" vertical="center" wrapText="1"/>
    </xf>
    <xf numFmtId="0" fontId="5" fillId="0" borderId="15" xfId="0" applyFont="1" applyBorder="1" applyAlignment="1">
      <alignment horizontal="center" vertical="center"/>
    </xf>
    <xf numFmtId="173" fontId="5" fillId="0" borderId="15" xfId="2" applyNumberFormat="1" applyFont="1" applyBorder="1" applyAlignment="1" applyProtection="1">
      <alignment vertical="center"/>
    </xf>
    <xf numFmtId="0" fontId="9" fillId="3" borderId="2" xfId="0" applyFont="1" applyFill="1" applyBorder="1" applyAlignment="1">
      <alignment horizontal="left" vertical="center" wrapText="1"/>
    </xf>
    <xf numFmtId="0" fontId="5" fillId="0" borderId="0" xfId="0" applyFont="1" applyAlignment="1">
      <alignment horizontal="center" vertical="center"/>
    </xf>
    <xf numFmtId="171" fontId="5" fillId="0" borderId="0" xfId="1" applyNumberFormat="1" applyFont="1" applyBorder="1" applyAlignment="1" applyProtection="1">
      <alignment horizontal="right" vertical="center"/>
    </xf>
    <xf numFmtId="0" fontId="5" fillId="3" borderId="15" xfId="0" applyFont="1" applyFill="1" applyBorder="1" applyAlignment="1">
      <alignment horizontal="left" vertical="center" wrapText="1"/>
    </xf>
    <xf numFmtId="174" fontId="9" fillId="3" borderId="15" xfId="1" applyNumberFormat="1" applyFont="1" applyFill="1" applyBorder="1" applyAlignment="1" applyProtection="1">
      <alignment horizontal="right" vertical="center"/>
    </xf>
    <xf numFmtId="0" fontId="7" fillId="4" borderId="10" xfId="19" applyFont="1" applyFill="1" applyBorder="1" applyAlignment="1">
      <alignment horizontal="center" vertical="center" wrapText="1"/>
    </xf>
    <xf numFmtId="171" fontId="7" fillId="4" borderId="10" xfId="1" applyNumberFormat="1" applyFont="1" applyFill="1" applyBorder="1" applyAlignment="1" applyProtection="1">
      <alignment horizontal="right" vertical="center" wrapText="1"/>
    </xf>
    <xf numFmtId="172" fontId="7" fillId="4" borderId="11" xfId="0" applyNumberFormat="1" applyFont="1" applyFill="1" applyBorder="1" applyAlignment="1">
      <alignment horizontal="center" vertical="center"/>
    </xf>
    <xf numFmtId="0" fontId="9" fillId="5" borderId="12" xfId="19" applyFont="1" applyFill="1" applyBorder="1" applyAlignment="1">
      <alignment horizontal="center" vertical="center" wrapText="1"/>
    </xf>
    <xf numFmtId="4" fontId="9" fillId="3" borderId="15" xfId="0" applyNumberFormat="1" applyFont="1" applyFill="1" applyBorder="1" applyAlignment="1">
      <alignment horizontal="left" vertical="center"/>
    </xf>
    <xf numFmtId="0" fontId="8" fillId="3" borderId="15" xfId="0" applyFont="1" applyFill="1" applyBorder="1" applyAlignment="1">
      <alignment vertical="center" wrapText="1"/>
    </xf>
    <xf numFmtId="0" fontId="9" fillId="0" borderId="15" xfId="0" applyFont="1" applyBorder="1" applyAlignment="1">
      <alignment horizontal="center" vertical="center"/>
    </xf>
    <xf numFmtId="0" fontId="9" fillId="0" borderId="15" xfId="0" applyFont="1" applyBorder="1" applyAlignment="1">
      <alignment vertical="center"/>
    </xf>
    <xf numFmtId="0" fontId="9" fillId="0" borderId="1" xfId="0" applyFont="1" applyBorder="1" applyAlignment="1">
      <alignment vertical="center"/>
    </xf>
    <xf numFmtId="0" fontId="9" fillId="0" borderId="3" xfId="0" applyFont="1" applyBorder="1" applyAlignment="1">
      <alignment horizontal="left" vertical="center"/>
    </xf>
    <xf numFmtId="173" fontId="9" fillId="0" borderId="15" xfId="2" applyNumberFormat="1" applyFont="1" applyBorder="1" applyAlignment="1" applyProtection="1">
      <alignment vertical="center"/>
    </xf>
    <xf numFmtId="175" fontId="9" fillId="0" borderId="15" xfId="0" applyNumberFormat="1" applyFont="1" applyBorder="1" applyAlignment="1">
      <alignment horizontal="left" vertical="center" wrapText="1"/>
    </xf>
    <xf numFmtId="176" fontId="10" fillId="3" borderId="6" xfId="0" applyNumberFormat="1" applyFont="1" applyFill="1" applyBorder="1" applyAlignment="1">
      <alignment vertical="center"/>
    </xf>
    <xf numFmtId="176" fontId="11" fillId="3" borderId="8" xfId="0" applyNumberFormat="1" applyFont="1" applyFill="1" applyBorder="1" applyAlignment="1">
      <alignment vertical="center"/>
    </xf>
    <xf numFmtId="176" fontId="4" fillId="3" borderId="8" xfId="0" applyNumberFormat="1" applyFont="1" applyFill="1" applyBorder="1" applyAlignment="1">
      <alignment horizontal="center" vertical="center" wrapText="1"/>
    </xf>
    <xf numFmtId="0" fontId="12" fillId="3" borderId="0" xfId="0" applyFont="1" applyFill="1" applyAlignment="1">
      <alignment horizontal="left" vertical="center"/>
    </xf>
    <xf numFmtId="176" fontId="12" fillId="3" borderId="8" xfId="0" applyNumberFormat="1" applyFont="1" applyFill="1" applyBorder="1" applyAlignment="1">
      <alignment vertical="center"/>
    </xf>
    <xf numFmtId="176" fontId="14" fillId="3" borderId="11" xfId="0" applyNumberFormat="1" applyFont="1" applyFill="1" applyBorder="1" applyAlignment="1">
      <alignment horizontal="center" vertical="center"/>
    </xf>
    <xf numFmtId="0" fontId="7" fillId="2" borderId="1" xfId="0" applyFont="1" applyFill="1" applyBorder="1" applyAlignment="1">
      <alignment horizontal="center" vertical="center"/>
    </xf>
    <xf numFmtId="0" fontId="7" fillId="2" borderId="2" xfId="0" applyFont="1" applyFill="1" applyBorder="1" applyAlignment="1">
      <alignment horizontal="right" vertical="center"/>
    </xf>
    <xf numFmtId="17" fontId="7" fillId="2" borderId="2" xfId="0" applyNumberFormat="1" applyFont="1" applyFill="1" applyBorder="1" applyAlignment="1">
      <alignment horizontal="left" vertical="center"/>
    </xf>
    <xf numFmtId="0" fontId="7" fillId="2" borderId="3" xfId="0" applyFont="1" applyFill="1" applyBorder="1" applyAlignment="1">
      <alignment horizontal="center" vertical="center"/>
    </xf>
    <xf numFmtId="0" fontId="9" fillId="0" borderId="15" xfId="48" applyFont="1" applyBorder="1" applyAlignment="1">
      <alignment horizontal="left" vertical="center"/>
    </xf>
    <xf numFmtId="0" fontId="9" fillId="0" borderId="15" xfId="48" applyFont="1" applyBorder="1" applyAlignment="1">
      <alignment horizontal="left" vertical="center" wrapText="1"/>
    </xf>
    <xf numFmtId="0" fontId="5" fillId="0" borderId="15" xfId="48" applyFont="1" applyBorder="1" applyAlignment="1">
      <alignment vertical="center" wrapText="1"/>
    </xf>
    <xf numFmtId="10" fontId="5" fillId="0" borderId="15" xfId="3" applyNumberFormat="1" applyFont="1" applyBorder="1" applyAlignment="1" applyProtection="1">
      <alignment horizontal="center" vertical="center" wrapText="1"/>
    </xf>
    <xf numFmtId="17" fontId="5" fillId="0" borderId="15" xfId="0" applyNumberFormat="1" applyFont="1" applyBorder="1" applyAlignment="1">
      <alignment horizontal="center" vertical="center"/>
    </xf>
    <xf numFmtId="173" fontId="5" fillId="0" borderId="15" xfId="2" applyNumberFormat="1" applyFont="1" applyBorder="1" applyAlignment="1" applyProtection="1">
      <alignment horizontal="center" vertical="center"/>
    </xf>
    <xf numFmtId="0" fontId="5" fillId="0" borderId="15" xfId="0" applyFont="1" applyBorder="1" applyAlignment="1">
      <alignment horizontal="right" vertical="center"/>
    </xf>
    <xf numFmtId="0" fontId="9" fillId="0" borderId="15" xfId="49" applyFont="1" applyBorder="1" applyAlignment="1">
      <alignment horizontal="left" vertical="center"/>
    </xf>
    <xf numFmtId="0" fontId="9" fillId="0" borderId="15" xfId="49" applyFont="1" applyBorder="1" applyAlignment="1">
      <alignment horizontal="center" vertical="center" wrapText="1"/>
    </xf>
    <xf numFmtId="0" fontId="9" fillId="0" borderId="15" xfId="49" applyFont="1" applyBorder="1" applyAlignment="1">
      <alignment horizontal="left" vertical="center" wrapText="1"/>
    </xf>
    <xf numFmtId="0" fontId="9" fillId="0" borderId="1" xfId="47" applyFont="1" applyBorder="1" applyAlignment="1">
      <alignment horizontal="left" vertical="center"/>
    </xf>
    <xf numFmtId="0" fontId="9" fillId="0" borderId="2" xfId="47" applyFont="1" applyBorder="1" applyAlignment="1">
      <alignment horizontal="left" vertical="center"/>
    </xf>
    <xf numFmtId="0" fontId="9" fillId="0" borderId="2" xfId="47" applyFont="1" applyBorder="1" applyAlignment="1">
      <alignment horizontal="left" vertical="center" wrapText="1"/>
    </xf>
    <xf numFmtId="0" fontId="5" fillId="0" borderId="2" xfId="0" applyFont="1" applyBorder="1" applyAlignment="1">
      <alignment vertical="center" wrapText="1"/>
    </xf>
    <xf numFmtId="0" fontId="5" fillId="0" borderId="2" xfId="0" applyFont="1" applyBorder="1" applyAlignment="1">
      <alignment horizontal="center" vertical="center" wrapText="1"/>
    </xf>
    <xf numFmtId="17" fontId="5" fillId="0" borderId="2" xfId="0" applyNumberFormat="1" applyFont="1" applyBorder="1" applyAlignment="1">
      <alignment horizontal="center" vertical="center"/>
    </xf>
    <xf numFmtId="173" fontId="5" fillId="0" borderId="2" xfId="2" applyNumberFormat="1" applyFont="1" applyBorder="1" applyAlignment="1" applyProtection="1">
      <alignment horizontal="center" vertical="center"/>
    </xf>
    <xf numFmtId="164" fontId="9" fillId="3" borderId="2" xfId="2" applyFont="1" applyFill="1" applyBorder="1" applyAlignment="1" applyProtection="1">
      <alignment horizontal="center" vertical="center"/>
    </xf>
    <xf numFmtId="177" fontId="9" fillId="3" borderId="2" xfId="2" applyNumberFormat="1" applyFont="1" applyFill="1" applyBorder="1" applyAlignment="1" applyProtection="1">
      <alignment horizontal="right" vertical="center"/>
    </xf>
    <xf numFmtId="10" fontId="5" fillId="0" borderId="2" xfId="3" applyNumberFormat="1" applyFont="1" applyBorder="1" applyAlignment="1" applyProtection="1">
      <alignment horizontal="right" vertical="center"/>
    </xf>
    <xf numFmtId="0" fontId="9" fillId="0" borderId="15" xfId="47" applyFont="1" applyBorder="1" applyAlignment="1">
      <alignment horizontal="left" vertical="center"/>
    </xf>
    <xf numFmtId="0" fontId="9" fillId="0" borderId="15" xfId="47" applyFont="1" applyBorder="1" applyAlignment="1">
      <alignment horizontal="left" vertical="center" wrapText="1"/>
    </xf>
    <xf numFmtId="0" fontId="5" fillId="0" borderId="15" xfId="0" applyFont="1" applyBorder="1" applyAlignment="1">
      <alignment vertical="center" wrapText="1"/>
    </xf>
    <xf numFmtId="0" fontId="5" fillId="0" borderId="15" xfId="0" applyFont="1" applyBorder="1" applyAlignment="1">
      <alignment horizontal="center" vertical="center" wrapText="1"/>
    </xf>
    <xf numFmtId="164" fontId="9" fillId="3" borderId="15" xfId="2" applyFont="1" applyFill="1" applyBorder="1" applyAlignment="1" applyProtection="1">
      <alignment horizontal="center" vertical="center"/>
    </xf>
    <xf numFmtId="177" fontId="9" fillId="3" borderId="15" xfId="2" applyNumberFormat="1" applyFont="1" applyFill="1" applyBorder="1" applyAlignment="1" applyProtection="1">
      <alignment horizontal="right" vertical="center"/>
    </xf>
    <xf numFmtId="10" fontId="5" fillId="0" borderId="15" xfId="3" applyNumberFormat="1" applyFont="1" applyBorder="1" applyAlignment="1" applyProtection="1">
      <alignment horizontal="right" vertical="center"/>
    </xf>
    <xf numFmtId="0" fontId="0" fillId="0" borderId="15" xfId="0" applyBorder="1" applyAlignment="1">
      <alignment wrapText="1"/>
    </xf>
    <xf numFmtId="173" fontId="9" fillId="0" borderId="15" xfId="2" applyNumberFormat="1" applyFont="1" applyBorder="1" applyAlignment="1" applyProtection="1">
      <alignment horizontal="center" vertical="center"/>
    </xf>
    <xf numFmtId="177" fontId="9" fillId="0" borderId="15" xfId="2" applyNumberFormat="1" applyFont="1" applyBorder="1" applyAlignment="1" applyProtection="1">
      <alignment horizontal="right" vertical="center"/>
    </xf>
    <xf numFmtId="164" fontId="0" fillId="0" borderId="0" xfId="2" applyFont="1" applyBorder="1" applyProtection="1"/>
    <xf numFmtId="0" fontId="5" fillId="4" borderId="1" xfId="0" applyFont="1" applyFill="1" applyBorder="1" applyAlignment="1">
      <alignment vertical="center" wrapText="1"/>
    </xf>
    <xf numFmtId="0" fontId="0" fillId="4" borderId="3" xfId="0" applyFill="1" applyBorder="1"/>
    <xf numFmtId="0" fontId="0" fillId="0" borderId="1" xfId="0" applyBorder="1" applyAlignment="1">
      <alignment wrapText="1"/>
    </xf>
    <xf numFmtId="10" fontId="0" fillId="0" borderId="3" xfId="3" applyNumberFormat="1" applyFont="1" applyBorder="1" applyProtection="1"/>
    <xf numFmtId="10" fontId="0" fillId="0" borderId="3" xfId="3" applyNumberFormat="1" applyFont="1" applyBorder="1" applyAlignment="1" applyProtection="1">
      <alignment vertical="center"/>
    </xf>
    <xf numFmtId="0" fontId="0" fillId="0" borderId="1" xfId="0" applyBorder="1"/>
    <xf numFmtId="0" fontId="15" fillId="0" borderId="0" xfId="0" applyFont="1" applyAlignment="1" applyProtection="1">
      <alignment horizontal="left" vertical="center" wrapText="1"/>
      <protection locked="0"/>
    </xf>
    <xf numFmtId="0" fontId="15" fillId="0" borderId="0" xfId="0" applyFont="1" applyAlignment="1" applyProtection="1">
      <alignment horizontal="center" vertical="center" wrapText="1"/>
      <protection locked="0"/>
    </xf>
    <xf numFmtId="49" fontId="0" fillId="0" borderId="0" xfId="0" applyNumberFormat="1"/>
    <xf numFmtId="0" fontId="0" fillId="0" borderId="0" xfId="0" applyAlignment="1">
      <alignment horizontal="right"/>
    </xf>
    <xf numFmtId="0" fontId="16" fillId="3" borderId="4" xfId="0" applyFont="1" applyFill="1" applyBorder="1" applyAlignment="1">
      <alignment vertical="center"/>
    </xf>
    <xf numFmtId="49" fontId="10" fillId="3" borderId="5" xfId="0" applyNumberFormat="1" applyFont="1" applyFill="1" applyBorder="1" applyAlignment="1">
      <alignment vertical="center"/>
    </xf>
    <xf numFmtId="0" fontId="16" fillId="3" borderId="5" xfId="0" applyFont="1" applyFill="1" applyBorder="1" applyAlignment="1">
      <alignment vertical="center"/>
    </xf>
    <xf numFmtId="49" fontId="16" fillId="3" borderId="5" xfId="0" applyNumberFormat="1" applyFont="1" applyFill="1" applyBorder="1" applyAlignment="1">
      <alignment horizontal="left" vertical="center"/>
    </xf>
    <xf numFmtId="176" fontId="16" fillId="3" borderId="6" xfId="0" applyNumberFormat="1" applyFont="1" applyFill="1" applyBorder="1" applyAlignment="1">
      <alignment vertical="center"/>
    </xf>
    <xf numFmtId="0" fontId="17" fillId="3" borderId="7" xfId="0" applyFont="1" applyFill="1" applyBorder="1" applyAlignment="1">
      <alignment vertical="center"/>
    </xf>
    <xf numFmtId="49" fontId="11" fillId="3" borderId="0" xfId="0" applyNumberFormat="1" applyFont="1" applyFill="1" applyAlignment="1">
      <alignment vertical="center"/>
    </xf>
    <xf numFmtId="0" fontId="17" fillId="3" borderId="0" xfId="0" applyFont="1" applyFill="1" applyAlignment="1">
      <alignment vertical="center"/>
    </xf>
    <xf numFmtId="49" fontId="17" fillId="3" borderId="0" xfId="0" applyNumberFormat="1" applyFont="1" applyFill="1" applyAlignment="1">
      <alignment horizontal="left" vertical="center"/>
    </xf>
    <xf numFmtId="176" fontId="17" fillId="3" borderId="8" xfId="0" applyNumberFormat="1" applyFont="1" applyFill="1" applyBorder="1" applyAlignment="1">
      <alignment vertical="center"/>
    </xf>
    <xf numFmtId="49" fontId="4" fillId="3" borderId="0" xfId="0" applyNumberFormat="1" applyFont="1" applyFill="1" applyAlignment="1">
      <alignment horizontal="left" vertical="center"/>
    </xf>
    <xf numFmtId="49" fontId="5" fillId="3" borderId="0" xfId="0" applyNumberFormat="1" applyFont="1" applyFill="1" applyAlignment="1">
      <alignment horizontal="left" vertical="center"/>
    </xf>
    <xf numFmtId="49" fontId="4" fillId="3" borderId="0" xfId="0" applyNumberFormat="1" applyFont="1" applyFill="1" applyAlignment="1">
      <alignment horizontal="center" vertical="center"/>
    </xf>
    <xf numFmtId="49" fontId="4" fillId="3" borderId="0" xfId="0" applyNumberFormat="1" applyFont="1" applyFill="1" applyAlignment="1">
      <alignment horizontal="center" vertical="center" wrapText="1"/>
    </xf>
    <xf numFmtId="49" fontId="12" fillId="3" borderId="0" xfId="0" applyNumberFormat="1" applyFont="1" applyFill="1" applyAlignment="1">
      <alignment horizontal="left" vertical="center"/>
    </xf>
    <xf numFmtId="49" fontId="17" fillId="3" borderId="0" xfId="0" applyNumberFormat="1" applyFont="1" applyFill="1" applyAlignment="1">
      <alignment horizontal="center" vertical="center"/>
    </xf>
    <xf numFmtId="0" fontId="4" fillId="3" borderId="9" xfId="0" applyFont="1" applyFill="1" applyBorder="1" applyAlignment="1">
      <alignment horizontal="center" vertical="center"/>
    </xf>
    <xf numFmtId="49" fontId="4" fillId="3" borderId="10" xfId="0" applyNumberFormat="1" applyFont="1" applyFill="1" applyBorder="1" applyAlignment="1">
      <alignment horizontal="center" vertical="center"/>
    </xf>
    <xf numFmtId="0" fontId="4" fillId="3" borderId="10" xfId="0" applyFont="1" applyFill="1" applyBorder="1" applyAlignment="1">
      <alignment horizontal="center" vertical="center"/>
    </xf>
    <xf numFmtId="9" fontId="4" fillId="3" borderId="10" xfId="3" applyFont="1" applyFill="1" applyBorder="1" applyAlignment="1" applyProtection="1">
      <alignment horizontal="center" vertical="center"/>
    </xf>
    <xf numFmtId="10" fontId="4" fillId="3" borderId="10" xfId="3" applyNumberFormat="1" applyFont="1" applyFill="1" applyBorder="1" applyAlignment="1" applyProtection="1">
      <alignment horizontal="center" vertical="center"/>
    </xf>
    <xf numFmtId="176" fontId="4" fillId="3" borderId="11" xfId="0" applyNumberFormat="1" applyFont="1" applyFill="1" applyBorder="1" applyAlignment="1">
      <alignment horizontal="center" vertical="center"/>
    </xf>
    <xf numFmtId="0" fontId="7" fillId="2" borderId="12" xfId="0" applyFont="1" applyFill="1" applyBorder="1" applyAlignment="1">
      <alignment vertical="center"/>
    </xf>
    <xf numFmtId="49" fontId="7" fillId="2" borderId="12" xfId="0" applyNumberFormat="1" applyFont="1" applyFill="1" applyBorder="1" applyAlignment="1">
      <alignment vertical="center"/>
    </xf>
    <xf numFmtId="4" fontId="7" fillId="2" borderId="12" xfId="0" applyNumberFormat="1" applyFont="1" applyFill="1" applyBorder="1" applyAlignment="1">
      <alignment vertical="center" wrapText="1"/>
    </xf>
    <xf numFmtId="4" fontId="7" fillId="2" borderId="3" xfId="0" applyNumberFormat="1" applyFont="1" applyFill="1" applyBorder="1" applyAlignment="1">
      <alignment vertical="center" wrapText="1"/>
    </xf>
    <xf numFmtId="0" fontId="7" fillId="2" borderId="14" xfId="0" applyFont="1" applyFill="1" applyBorder="1" applyAlignment="1">
      <alignment vertical="center"/>
    </xf>
    <xf numFmtId="49" fontId="7" fillId="2" borderId="14" xfId="0" applyNumberFormat="1" applyFont="1" applyFill="1" applyBorder="1" applyAlignment="1">
      <alignment vertical="center"/>
    </xf>
    <xf numFmtId="4" fontId="7" fillId="2" borderId="14" xfId="0" applyNumberFormat="1" applyFont="1" applyFill="1" applyBorder="1" applyAlignment="1">
      <alignment vertical="center" wrapText="1"/>
    </xf>
    <xf numFmtId="0" fontId="8" fillId="4" borderId="15" xfId="0" applyFont="1" applyFill="1" applyBorder="1" applyAlignment="1">
      <alignment horizontal="left" vertical="center"/>
    </xf>
    <xf numFmtId="4" fontId="7" fillId="4" borderId="2" xfId="0" applyNumberFormat="1" applyFont="1" applyFill="1" applyBorder="1" applyAlignment="1">
      <alignment vertical="center" wrapText="1"/>
    </xf>
    <xf numFmtId="49" fontId="8" fillId="4" borderId="2" xfId="0" applyNumberFormat="1" applyFont="1" applyFill="1" applyBorder="1" applyAlignment="1">
      <alignment horizontal="center" vertical="center"/>
    </xf>
    <xf numFmtId="164" fontId="8" fillId="4" borderId="2" xfId="2" applyFont="1" applyFill="1" applyBorder="1" applyAlignment="1" applyProtection="1">
      <alignment vertical="center"/>
    </xf>
    <xf numFmtId="10" fontId="5" fillId="4" borderId="2" xfId="3" applyNumberFormat="1" applyFont="1" applyFill="1" applyBorder="1" applyProtection="1"/>
    <xf numFmtId="2" fontId="8" fillId="4" borderId="2" xfId="3" applyNumberFormat="1" applyFont="1" applyFill="1" applyBorder="1" applyAlignment="1" applyProtection="1">
      <alignment horizontal="right" vertical="center"/>
    </xf>
    <xf numFmtId="2" fontId="8" fillId="4" borderId="3" xfId="0" applyNumberFormat="1" applyFont="1" applyFill="1" applyBorder="1" applyAlignment="1">
      <alignment horizontal="right" vertical="center"/>
    </xf>
    <xf numFmtId="0" fontId="9" fillId="0" borderId="1" xfId="0" applyFont="1" applyBorder="1" applyAlignment="1">
      <alignment vertical="center" wrapText="1"/>
    </xf>
    <xf numFmtId="4" fontId="9" fillId="5" borderId="1" xfId="0" applyNumberFormat="1" applyFont="1" applyFill="1" applyBorder="1" applyAlignment="1">
      <alignment vertical="center" wrapText="1"/>
    </xf>
    <xf numFmtId="49" fontId="5" fillId="5" borderId="15" xfId="0" applyNumberFormat="1" applyFont="1" applyFill="1" applyBorder="1" applyAlignment="1">
      <alignment horizontal="center" vertical="center"/>
    </xf>
    <xf numFmtId="164" fontId="5" fillId="5" borderId="12" xfId="2" applyFont="1" applyFill="1" applyBorder="1" applyAlignment="1" applyProtection="1">
      <alignment vertical="center"/>
    </xf>
    <xf numFmtId="164" fontId="5" fillId="0" borderId="6" xfId="2" applyFont="1" applyBorder="1" applyAlignment="1" applyProtection="1">
      <alignment vertical="center"/>
    </xf>
    <xf numFmtId="2" fontId="9" fillId="0" borderId="15" xfId="3" applyNumberFormat="1" applyFont="1" applyBorder="1" applyAlignment="1" applyProtection="1">
      <alignment horizontal="right" vertical="center"/>
    </xf>
    <xf numFmtId="164" fontId="9" fillId="0" borderId="6" xfId="2" applyFont="1" applyBorder="1" applyAlignment="1" applyProtection="1">
      <alignment vertical="center"/>
    </xf>
    <xf numFmtId="164" fontId="5" fillId="4" borderId="12" xfId="2" applyFont="1" applyFill="1" applyBorder="1" applyAlignment="1" applyProtection="1">
      <alignment vertical="center"/>
    </xf>
    <xf numFmtId="2" fontId="5" fillId="4" borderId="15" xfId="0" applyNumberFormat="1" applyFont="1" applyFill="1" applyBorder="1" applyAlignment="1">
      <alignment horizontal="right" vertical="center"/>
    </xf>
    <xf numFmtId="2" fontId="5" fillId="0" borderId="15" xfId="3" applyNumberFormat="1" applyFont="1" applyBorder="1" applyAlignment="1" applyProtection="1">
      <alignment horizontal="right" vertical="center"/>
    </xf>
    <xf numFmtId="164" fontId="5" fillId="0" borderId="15" xfId="2" applyFont="1" applyBorder="1" applyAlignment="1" applyProtection="1">
      <alignment horizontal="right" vertical="center"/>
    </xf>
    <xf numFmtId="3" fontId="8" fillId="4" borderId="15" xfId="0" applyNumberFormat="1" applyFont="1" applyFill="1" applyBorder="1" applyAlignment="1">
      <alignment horizontal="left" vertical="center"/>
    </xf>
    <xf numFmtId="164" fontId="8" fillId="4" borderId="2" xfId="2" applyFont="1" applyFill="1" applyBorder="1" applyAlignment="1" applyProtection="1">
      <alignment horizontal="right" vertical="center"/>
    </xf>
    <xf numFmtId="49" fontId="7" fillId="4" borderId="4" xfId="0" applyNumberFormat="1" applyFont="1" applyFill="1" applyBorder="1" applyAlignment="1">
      <alignment vertical="center"/>
    </xf>
    <xf numFmtId="0" fontId="7" fillId="4" borderId="5" xfId="0" applyFont="1" applyFill="1" applyBorder="1" applyAlignment="1">
      <alignment vertical="center"/>
    </xf>
    <xf numFmtId="49" fontId="7" fillId="4" borderId="5" xfId="0" applyNumberFormat="1" applyFont="1" applyFill="1" applyBorder="1" applyAlignment="1">
      <alignment vertical="center"/>
    </xf>
    <xf numFmtId="0" fontId="7" fillId="4" borderId="6" xfId="0" applyFont="1" applyFill="1" applyBorder="1" applyAlignment="1">
      <alignment vertical="center"/>
    </xf>
    <xf numFmtId="49" fontId="7" fillId="4" borderId="9" xfId="0" applyNumberFormat="1" applyFont="1" applyFill="1" applyBorder="1" applyAlignment="1">
      <alignment vertical="center"/>
    </xf>
    <xf numFmtId="0" fontId="7" fillId="4" borderId="10" xfId="0" applyFont="1" applyFill="1" applyBorder="1" applyAlignment="1">
      <alignment vertical="center"/>
    </xf>
    <xf numFmtId="49" fontId="7" fillId="4" borderId="10" xfId="0" applyNumberFormat="1" applyFont="1" applyFill="1" applyBorder="1" applyAlignment="1">
      <alignment vertical="center"/>
    </xf>
    <xf numFmtId="0" fontId="7" fillId="4" borderId="11" xfId="0" applyFont="1" applyFill="1" applyBorder="1" applyAlignment="1">
      <alignment vertical="center"/>
    </xf>
    <xf numFmtId="0" fontId="9" fillId="3" borderId="0" xfId="0" applyFont="1" applyFill="1"/>
    <xf numFmtId="0" fontId="4" fillId="3" borderId="7" xfId="0" applyFont="1" applyFill="1" applyBorder="1" applyAlignment="1">
      <alignment horizontal="left" vertical="center" wrapText="1"/>
    </xf>
    <xf numFmtId="164" fontId="7" fillId="2" borderId="13" xfId="2" applyFont="1" applyFill="1" applyBorder="1" applyAlignment="1" applyProtection="1">
      <alignment horizontal="center" vertical="center" wrapText="1"/>
    </xf>
    <xf numFmtId="0" fontId="9" fillId="5" borderId="15" xfId="2" applyNumberFormat="1" applyFont="1" applyFill="1" applyBorder="1" applyAlignment="1" applyProtection="1">
      <alignment vertical="center" wrapText="1"/>
    </xf>
    <xf numFmtId="169" fontId="9" fillId="5" borderId="15" xfId="0" applyNumberFormat="1" applyFont="1" applyFill="1" applyBorder="1" applyAlignment="1">
      <alignment horizontal="left" vertical="center" wrapText="1"/>
    </xf>
    <xf numFmtId="179" fontId="0" fillId="5" borderId="15" xfId="3" applyNumberFormat="1" applyFont="1" applyFill="1" applyBorder="1" applyAlignment="1" applyProtection="1">
      <alignment horizontal="center" vertical="center"/>
    </xf>
    <xf numFmtId="179" fontId="0" fillId="5" borderId="15" xfId="0" applyNumberFormat="1" applyFill="1" applyBorder="1" applyAlignment="1">
      <alignment horizontal="center" vertical="center"/>
    </xf>
    <xf numFmtId="0" fontId="9" fillId="6" borderId="15" xfId="2" applyNumberFormat="1" applyFont="1" applyFill="1" applyBorder="1" applyAlignment="1" applyProtection="1">
      <alignment vertical="center" wrapText="1"/>
    </xf>
    <xf numFmtId="169" fontId="9" fillId="6" borderId="15" xfId="0" applyNumberFormat="1" applyFont="1" applyFill="1" applyBorder="1" applyAlignment="1">
      <alignment horizontal="left" vertical="center" wrapText="1"/>
    </xf>
    <xf numFmtId="179" fontId="0" fillId="6" borderId="15" xfId="3" applyNumberFormat="1" applyFont="1" applyFill="1" applyBorder="1" applyAlignment="1" applyProtection="1">
      <alignment horizontal="center" vertical="center"/>
    </xf>
    <xf numFmtId="179" fontId="0" fillId="6" borderId="15" xfId="0" applyNumberFormat="1" applyFill="1" applyBorder="1" applyAlignment="1">
      <alignment horizontal="center" vertical="center"/>
    </xf>
    <xf numFmtId="179" fontId="0" fillId="0" borderId="15" xfId="3" applyNumberFormat="1" applyFont="1" applyBorder="1" applyAlignment="1" applyProtection="1">
      <alignment horizontal="center" vertical="center"/>
    </xf>
    <xf numFmtId="179" fontId="0" fillId="0" borderId="15" xfId="0" applyNumberFormat="1" applyBorder="1" applyAlignment="1">
      <alignment horizontal="center" vertical="center"/>
    </xf>
    <xf numFmtId="0" fontId="6" fillId="4" borderId="14" xfId="0" applyFont="1" applyFill="1" applyBorder="1" applyAlignment="1">
      <alignment horizontal="left" vertical="center" wrapText="1"/>
    </xf>
    <xf numFmtId="164" fontId="6" fillId="4" borderId="14" xfId="2" applyFont="1" applyFill="1" applyBorder="1" applyAlignment="1" applyProtection="1">
      <alignment horizontal="center" vertical="center"/>
    </xf>
    <xf numFmtId="0" fontId="0" fillId="3" borderId="0" xfId="0" applyFill="1"/>
    <xf numFmtId="164" fontId="0" fillId="3" borderId="0" xfId="2" applyFont="1" applyFill="1" applyBorder="1" applyProtection="1"/>
    <xf numFmtId="0" fontId="0" fillId="0" borderId="15" xfId="0" applyBorder="1" applyAlignment="1">
      <alignment horizontal="left" vertical="center"/>
    </xf>
    <xf numFmtId="10" fontId="0" fillId="0" borderId="15" xfId="3" applyNumberFormat="1" applyFont="1" applyBorder="1" applyAlignment="1" applyProtection="1">
      <alignment horizontal="center" vertical="center"/>
    </xf>
    <xf numFmtId="0" fontId="6" fillId="0" borderId="15" xfId="0" applyFont="1" applyBorder="1" applyAlignment="1">
      <alignment horizontal="left" vertical="center" wrapText="1"/>
    </xf>
    <xf numFmtId="0" fontId="4" fillId="3" borderId="0" xfId="22" applyFill="1"/>
    <xf numFmtId="0" fontId="0" fillId="3" borderId="0" xfId="0" applyFill="1" applyAlignment="1">
      <alignment wrapText="1"/>
    </xf>
    <xf numFmtId="0" fontId="18" fillId="3" borderId="0" xfId="22" applyFont="1" applyFill="1" applyAlignment="1">
      <alignment horizontal="center"/>
    </xf>
    <xf numFmtId="10" fontId="0" fillId="3" borderId="0" xfId="38" applyNumberFormat="1" applyFont="1" applyFill="1" applyBorder="1" applyAlignment="1" applyProtection="1">
      <alignment horizontal="center"/>
    </xf>
    <xf numFmtId="0" fontId="18" fillId="0" borderId="0" xfId="22" applyFont="1"/>
    <xf numFmtId="10" fontId="0" fillId="0" borderId="0" xfId="37" applyNumberFormat="1" applyFont="1" applyBorder="1" applyProtection="1"/>
    <xf numFmtId="0" fontId="18" fillId="3" borderId="0" xfId="22" applyFont="1" applyFill="1"/>
    <xf numFmtId="0" fontId="18" fillId="4" borderId="15" xfId="22" applyFont="1" applyFill="1" applyBorder="1"/>
    <xf numFmtId="10" fontId="20" fillId="5" borderId="15" xfId="37" applyNumberFormat="1" applyFont="1" applyFill="1" applyBorder="1" applyAlignment="1" applyProtection="1">
      <alignment horizontal="center"/>
    </xf>
    <xf numFmtId="0" fontId="18" fillId="0" borderId="15" xfId="22" applyFont="1" applyBorder="1"/>
    <xf numFmtId="0" fontId="18" fillId="0" borderId="14" xfId="22" applyFont="1" applyBorder="1"/>
    <xf numFmtId="0" fontId="18" fillId="4" borderId="1" xfId="22" applyFont="1" applyFill="1" applyBorder="1"/>
    <xf numFmtId="0" fontId="20" fillId="4" borderId="2" xfId="22" applyFont="1" applyFill="1" applyBorder="1"/>
    <xf numFmtId="10" fontId="0" fillId="3" borderId="0" xfId="37" applyNumberFormat="1" applyFont="1" applyFill="1" applyBorder="1" applyProtection="1"/>
    <xf numFmtId="0" fontId="25" fillId="0" borderId="0" xfId="32" applyFont="1"/>
    <xf numFmtId="0" fontId="26" fillId="6" borderId="12" xfId="33" applyFont="1" applyFill="1" applyBorder="1" applyAlignment="1">
      <alignment vertical="center"/>
    </xf>
    <xf numFmtId="0" fontId="26" fillId="6" borderId="5" xfId="33" applyFont="1" applyFill="1" applyBorder="1"/>
    <xf numFmtId="0" fontId="26" fillId="6" borderId="6" xfId="33" applyFont="1" applyFill="1" applyBorder="1"/>
    <xf numFmtId="0" fontId="4" fillId="0" borderId="0" xfId="33"/>
    <xf numFmtId="0" fontId="26" fillId="6" borderId="9" xfId="33" applyFont="1" applyFill="1" applyBorder="1"/>
    <xf numFmtId="0" fontId="26" fillId="6" borderId="0" xfId="33" applyFont="1" applyFill="1"/>
    <xf numFmtId="0" fontId="26" fillId="6" borderId="8" xfId="33" applyFont="1" applyFill="1" applyBorder="1"/>
    <xf numFmtId="0" fontId="26" fillId="6" borderId="4" xfId="33" applyFont="1" applyFill="1" applyBorder="1" applyAlignment="1">
      <alignment vertical="center" wrapText="1"/>
    </xf>
    <xf numFmtId="0" fontId="26" fillId="6" borderId="6" xfId="33" applyFont="1" applyFill="1" applyBorder="1" applyAlignment="1">
      <alignment vertical="center" wrapText="1"/>
    </xf>
    <xf numFmtId="0" fontId="26" fillId="6" borderId="9" xfId="33" applyFont="1" applyFill="1" applyBorder="1" applyAlignment="1">
      <alignment vertical="center" wrapText="1"/>
    </xf>
    <xf numFmtId="0" fontId="26" fillId="6" borderId="11" xfId="33" applyFont="1" applyFill="1" applyBorder="1" applyAlignment="1">
      <alignment vertical="center" wrapText="1"/>
    </xf>
    <xf numFmtId="0" fontId="4" fillId="6" borderId="1" xfId="33" applyFill="1" applyBorder="1" applyAlignment="1">
      <alignment vertical="center"/>
    </xf>
    <xf numFmtId="0" fontId="4" fillId="6" borderId="3" xfId="33" applyFill="1" applyBorder="1" applyAlignment="1">
      <alignment vertical="center" wrapText="1"/>
    </xf>
    <xf numFmtId="0" fontId="4" fillId="0" borderId="1" xfId="33" applyBorder="1" applyAlignment="1">
      <alignment vertical="center" wrapText="1"/>
    </xf>
    <xf numFmtId="0" fontId="4" fillId="0" borderId="2" xfId="33" applyBorder="1" applyAlignment="1">
      <alignment horizontal="center" vertical="center" wrapText="1"/>
    </xf>
    <xf numFmtId="183" fontId="4" fillId="0" borderId="3" xfId="33" applyNumberFormat="1" applyBorder="1" applyAlignment="1">
      <alignment horizontal="left" vertical="center" wrapText="1"/>
    </xf>
    <xf numFmtId="0" fontId="4" fillId="6" borderId="15" xfId="33" applyFill="1" applyBorder="1" applyAlignment="1">
      <alignment horizontal="center" vertical="center"/>
    </xf>
    <xf numFmtId="0" fontId="4" fillId="0" borderId="15" xfId="33" applyBorder="1" applyAlignment="1">
      <alignment horizontal="center" vertical="center"/>
    </xf>
    <xf numFmtId="184" fontId="18" fillId="0" borderId="15" xfId="42" applyNumberFormat="1" applyFont="1" applyBorder="1" applyAlignment="1">
      <alignment horizontal="center" vertical="center"/>
    </xf>
    <xf numFmtId="178" fontId="18" fillId="0" borderId="15" xfId="42" applyNumberFormat="1" applyFont="1" applyBorder="1" applyAlignment="1">
      <alignment horizontal="center" vertical="center"/>
    </xf>
    <xf numFmtId="0" fontId="26" fillId="6" borderId="1" xfId="33" applyFont="1" applyFill="1" applyBorder="1"/>
    <xf numFmtId="0" fontId="26" fillId="6" borderId="2" xfId="33" applyFont="1" applyFill="1" applyBorder="1"/>
    <xf numFmtId="0" fontId="26" fillId="6" borderId="3" xfId="33" applyFont="1" applyFill="1" applyBorder="1"/>
    <xf numFmtId="0" fontId="4" fillId="0" borderId="0" xfId="33" applyAlignment="1">
      <alignment horizontal="center"/>
    </xf>
    <xf numFmtId="0" fontId="4" fillId="0" borderId="15" xfId="33" applyBorder="1"/>
    <xf numFmtId="0" fontId="4" fillId="0" borderId="15" xfId="33" applyBorder="1" applyAlignment="1">
      <alignment horizontal="center"/>
    </xf>
    <xf numFmtId="0" fontId="26" fillId="6" borderId="12" xfId="33" applyFont="1" applyFill="1" applyBorder="1" applyAlignment="1">
      <alignment horizontal="center" vertical="center" wrapText="1"/>
    </xf>
    <xf numFmtId="185" fontId="4" fillId="0" borderId="3" xfId="33" applyNumberFormat="1" applyBorder="1" applyAlignment="1">
      <alignment horizontal="center" vertical="center" wrapText="1"/>
    </xf>
    <xf numFmtId="0" fontId="26" fillId="4" borderId="1" xfId="20" applyFont="1" applyFill="1" applyBorder="1" applyAlignment="1">
      <alignment horizontal="left" vertical="center"/>
    </xf>
    <xf numFmtId="0" fontId="26" fillId="4" borderId="2" xfId="0" applyFont="1" applyFill="1" applyBorder="1" applyAlignment="1">
      <alignment horizontal="center" vertical="center" wrapText="1"/>
    </xf>
    <xf numFmtId="0" fontId="26" fillId="4" borderId="2" xfId="20" applyFont="1" applyFill="1" applyBorder="1" applyAlignment="1">
      <alignment horizontal="center" vertical="center"/>
    </xf>
    <xf numFmtId="0" fontId="26" fillId="4" borderId="5" xfId="0" applyFont="1" applyFill="1" applyBorder="1" applyAlignment="1">
      <alignment horizontal="center" vertical="center" wrapText="1"/>
    </xf>
    <xf numFmtId="0" fontId="26" fillId="4" borderId="5" xfId="20" applyFont="1" applyFill="1" applyBorder="1" applyAlignment="1">
      <alignment horizontal="center" vertical="center"/>
    </xf>
    <xf numFmtId="0" fontId="26" fillId="4" borderId="3" xfId="20" applyFont="1" applyFill="1" applyBorder="1" applyAlignment="1">
      <alignment horizontal="center" vertical="center"/>
    </xf>
    <xf numFmtId="0" fontId="15" fillId="0" borderId="0" xfId="0" applyFont="1" applyAlignment="1">
      <alignment vertical="center"/>
    </xf>
    <xf numFmtId="0" fontId="26" fillId="6" borderId="7" xfId="19" applyFont="1" applyFill="1" applyBorder="1" applyAlignment="1">
      <alignment vertical="center"/>
    </xf>
    <xf numFmtId="0" fontId="26" fillId="6" borderId="0" xfId="19" applyFont="1" applyFill="1" applyAlignment="1">
      <alignment vertical="center"/>
    </xf>
    <xf numFmtId="0" fontId="26" fillId="6" borderId="8" xfId="19" applyFont="1" applyFill="1" applyBorder="1" applyAlignment="1">
      <alignment vertical="center"/>
    </xf>
    <xf numFmtId="0" fontId="26" fillId="6" borderId="1" xfId="19" applyFont="1" applyFill="1" applyBorder="1" applyAlignment="1">
      <alignment vertical="center"/>
    </xf>
    <xf numFmtId="0" fontId="26" fillId="6" borderId="2" xfId="19" applyFont="1" applyFill="1" applyBorder="1" applyAlignment="1">
      <alignment vertical="center"/>
    </xf>
    <xf numFmtId="0" fontId="26" fillId="6" borderId="3" xfId="19" applyFont="1" applyFill="1" applyBorder="1" applyAlignment="1">
      <alignment vertical="center"/>
    </xf>
    <xf numFmtId="0" fontId="4" fillId="6" borderId="15" xfId="20" applyFill="1" applyBorder="1" applyAlignment="1">
      <alignment horizontal="center" vertical="center" wrapText="1"/>
    </xf>
    <xf numFmtId="0" fontId="4" fillId="6" borderId="15" xfId="0" applyFont="1" applyFill="1" applyBorder="1" applyAlignment="1">
      <alignment horizontal="center" vertical="center" wrapText="1"/>
    </xf>
    <xf numFmtId="4" fontId="26" fillId="0" borderId="15" xfId="0" applyNumberFormat="1" applyFont="1" applyBorder="1" applyAlignment="1">
      <alignment horizontal="center" vertical="center"/>
    </xf>
    <xf numFmtId="0" fontId="26" fillId="6" borderId="15" xfId="20" applyFont="1" applyFill="1" applyBorder="1" applyAlignment="1">
      <alignment horizontal="center" vertical="center"/>
    </xf>
    <xf numFmtId="4" fontId="4" fillId="0" borderId="15" xfId="17" applyNumberFormat="1" applyFont="1" applyBorder="1" applyAlignment="1">
      <alignment horizontal="center" vertical="center"/>
    </xf>
    <xf numFmtId="4" fontId="26" fillId="0" borderId="15" xfId="17" applyNumberFormat="1" applyFont="1" applyBorder="1" applyAlignment="1">
      <alignment horizontal="center" vertical="center"/>
    </xf>
    <xf numFmtId="4" fontId="28" fillId="5" borderId="15" xfId="0" applyNumberFormat="1" applyFont="1" applyFill="1" applyBorder="1" applyAlignment="1">
      <alignment horizontal="center" vertical="center"/>
    </xf>
    <xf numFmtId="0" fontId="25" fillId="0" borderId="0" xfId="0" applyFont="1"/>
    <xf numFmtId="4" fontId="4" fillId="0" borderId="0" xfId="33" applyNumberFormat="1"/>
    <xf numFmtId="0" fontId="26" fillId="4" borderId="1" xfId="21" applyFont="1" applyFill="1" applyBorder="1" applyAlignment="1">
      <alignment horizontal="left" vertical="center"/>
    </xf>
    <xf numFmtId="0" fontId="26" fillId="4" borderId="2" xfId="32" applyFont="1" applyFill="1" applyBorder="1" applyAlignment="1">
      <alignment horizontal="center" vertical="center" wrapText="1"/>
    </xf>
    <xf numFmtId="0" fontId="26" fillId="4" borderId="3" xfId="21" applyFont="1" applyFill="1" applyBorder="1" applyAlignment="1">
      <alignment horizontal="center" vertical="center"/>
    </xf>
    <xf numFmtId="0" fontId="15" fillId="0" borderId="0" xfId="32" applyFont="1" applyAlignment="1">
      <alignment vertical="center"/>
    </xf>
    <xf numFmtId="0" fontId="26" fillId="6" borderId="15" xfId="21" applyFont="1" applyFill="1" applyBorder="1" applyAlignment="1">
      <alignment vertical="center"/>
    </xf>
    <xf numFmtId="0" fontId="4" fillId="6" borderId="15" xfId="21" applyFill="1" applyBorder="1" applyAlignment="1">
      <alignment vertical="center" wrapText="1"/>
    </xf>
    <xf numFmtId="0" fontId="26" fillId="6" borderId="15" xfId="20" applyFont="1" applyFill="1" applyBorder="1" applyAlignment="1">
      <alignment horizontal="left" vertical="center"/>
    </xf>
    <xf numFmtId="0" fontId="4" fillId="6" borderId="15" xfId="21" applyFill="1" applyBorder="1" applyAlignment="1">
      <alignment horizontal="left" vertical="center" wrapText="1"/>
    </xf>
    <xf numFmtId="4" fontId="28" fillId="5" borderId="15" xfId="32" applyNumberFormat="1" applyFont="1" applyFill="1" applyBorder="1" applyAlignment="1">
      <alignment horizontal="center" vertical="center"/>
    </xf>
    <xf numFmtId="0" fontId="26" fillId="6" borderId="15" xfId="21" applyFont="1" applyFill="1" applyBorder="1" applyAlignment="1">
      <alignment vertical="center" wrapText="1"/>
    </xf>
    <xf numFmtId="0" fontId="4" fillId="6" borderId="15" xfId="21" applyFill="1" applyBorder="1" applyAlignment="1">
      <alignment horizontal="center" vertical="center" wrapText="1"/>
    </xf>
    <xf numFmtId="0" fontId="0" fillId="0" borderId="0" xfId="0" applyAlignment="1">
      <alignment horizontal="center"/>
    </xf>
    <xf numFmtId="0" fontId="0" fillId="4" borderId="15" xfId="0" applyFill="1" applyBorder="1"/>
    <xf numFmtId="0" fontId="0" fillId="4" borderId="15" xfId="0" applyFill="1" applyBorder="1" applyAlignment="1">
      <alignment horizontal="center"/>
    </xf>
    <xf numFmtId="0" fontId="0" fillId="0" borderId="15" xfId="0" applyBorder="1"/>
    <xf numFmtId="10" fontId="0" fillId="0" borderId="15" xfId="0" applyNumberFormat="1" applyBorder="1" applyAlignment="1">
      <alignment horizontal="center"/>
    </xf>
    <xf numFmtId="0" fontId="0" fillId="0" borderId="15" xfId="0" applyBorder="1" applyAlignment="1">
      <alignment horizontal="center"/>
    </xf>
    <xf numFmtId="0" fontId="28" fillId="0" borderId="0" xfId="0" applyFont="1"/>
    <xf numFmtId="0" fontId="29" fillId="0" borderId="0" xfId="0" applyFont="1" applyAlignment="1">
      <alignment horizontal="left"/>
    </xf>
    <xf numFmtId="0" fontId="15" fillId="0" borderId="0" xfId="0" applyFont="1"/>
    <xf numFmtId="0" fontId="30" fillId="7" borderId="15" xfId="0" applyFont="1" applyFill="1" applyBorder="1" applyAlignment="1">
      <alignment horizontal="center" vertical="center" wrapText="1"/>
    </xf>
    <xf numFmtId="0" fontId="26" fillId="8" borderId="15" xfId="0" applyFont="1" applyFill="1" applyBorder="1" applyAlignment="1">
      <alignment horizontal="center" vertical="center" wrapText="1"/>
    </xf>
    <xf numFmtId="0" fontId="31" fillId="0" borderId="0" xfId="4" applyBorder="1" applyProtection="1"/>
    <xf numFmtId="0" fontId="15" fillId="0" borderId="0" xfId="0" applyFont="1" applyAlignment="1">
      <alignment horizontal="center"/>
    </xf>
    <xf numFmtId="0" fontId="0" fillId="0" borderId="0" xfId="0" applyAlignment="1">
      <alignment horizontal="justify"/>
    </xf>
    <xf numFmtId="4" fontId="0" fillId="0" borderId="0" xfId="0" applyNumberFormat="1"/>
    <xf numFmtId="0" fontId="32" fillId="0" borderId="0" xfId="0" applyFont="1"/>
    <xf numFmtId="164" fontId="6" fillId="8" borderId="7" xfId="2" applyFont="1" applyFill="1" applyBorder="1" applyAlignment="1" applyProtection="1">
      <alignment vertical="center"/>
    </xf>
    <xf numFmtId="0" fontId="33" fillId="9" borderId="26" xfId="0" applyFont="1" applyFill="1" applyBorder="1"/>
    <xf numFmtId="0" fontId="33" fillId="9" borderId="27" xfId="0" applyFont="1" applyFill="1" applyBorder="1" applyAlignment="1">
      <alignment horizontal="right"/>
    </xf>
    <xf numFmtId="1" fontId="6" fillId="0" borderId="27" xfId="0" applyNumberFormat="1" applyFont="1" applyBorder="1" applyAlignment="1">
      <alignment horizontal="center"/>
    </xf>
    <xf numFmtId="0" fontId="33" fillId="9" borderId="27" xfId="0" applyFont="1" applyFill="1" applyBorder="1"/>
    <xf numFmtId="0" fontId="6" fillId="0" borderId="28" xfId="0" applyFont="1" applyBorder="1" applyAlignment="1">
      <alignment horizontal="center"/>
    </xf>
    <xf numFmtId="0" fontId="33" fillId="9" borderId="29" xfId="0" applyFont="1" applyFill="1" applyBorder="1"/>
    <xf numFmtId="49" fontId="0" fillId="0" borderId="28" xfId="0" applyNumberFormat="1" applyBorder="1" applyAlignment="1">
      <alignment horizontal="left"/>
    </xf>
    <xf numFmtId="0" fontId="0" fillId="0" borderId="30" xfId="0" applyBorder="1" applyAlignment="1">
      <alignment horizontal="left"/>
    </xf>
    <xf numFmtId="188" fontId="0" fillId="10" borderId="28" xfId="0" applyNumberFormat="1" applyFill="1" applyBorder="1" applyAlignment="1">
      <alignment horizontal="center"/>
    </xf>
    <xf numFmtId="0" fontId="0" fillId="0" borderId="0" xfId="0" applyAlignment="1">
      <alignment wrapText="1"/>
    </xf>
    <xf numFmtId="1" fontId="0" fillId="0" borderId="0" xfId="0" applyNumberFormat="1"/>
    <xf numFmtId="170" fontId="0" fillId="0" borderId="0" xfId="0" applyNumberFormat="1" applyAlignment="1">
      <alignment wrapText="1"/>
    </xf>
    <xf numFmtId="0" fontId="0" fillId="10" borderId="28" xfId="0" applyFill="1" applyBorder="1" applyAlignment="1">
      <alignment horizontal="right"/>
    </xf>
    <xf numFmtId="0" fontId="6" fillId="0" borderId="0" xfId="0" applyFont="1"/>
    <xf numFmtId="188" fontId="0" fillId="0" borderId="0" xfId="0" applyNumberFormat="1" applyAlignment="1">
      <alignment horizontal="center"/>
    </xf>
    <xf numFmtId="1" fontId="33" fillId="9" borderId="15" xfId="0" applyNumberFormat="1" applyFont="1" applyFill="1" applyBorder="1" applyAlignment="1">
      <alignment horizontal="center" vertical="center" wrapText="1"/>
    </xf>
    <xf numFmtId="0" fontId="33" fillId="9" borderId="15" xfId="0" applyFont="1" applyFill="1" applyBorder="1" applyAlignment="1">
      <alignment horizontal="center" vertical="center" wrapText="1"/>
    </xf>
    <xf numFmtId="0" fontId="0" fillId="11" borderId="0" xfId="0" applyFill="1"/>
    <xf numFmtId="186" fontId="33" fillId="9" borderId="15" xfId="0" applyNumberFormat="1" applyFont="1" applyFill="1" applyBorder="1" applyAlignment="1">
      <alignment vertical="center" wrapText="1"/>
    </xf>
    <xf numFmtId="186" fontId="0" fillId="11" borderId="0" xfId="0" applyNumberFormat="1" applyFill="1"/>
    <xf numFmtId="1" fontId="0" fillId="0" borderId="15" xfId="0" applyNumberFormat="1" applyBorder="1" applyAlignment="1">
      <alignment horizontal="center" vertical="center"/>
    </xf>
    <xf numFmtId="0" fontId="0" fillId="0" borderId="1" xfId="0" applyBorder="1" applyAlignment="1">
      <alignment vertical="center" wrapText="1"/>
    </xf>
    <xf numFmtId="4" fontId="0" fillId="10" borderId="15" xfId="0" applyNumberFormat="1" applyFill="1" applyBorder="1" applyAlignment="1">
      <alignment vertical="center"/>
    </xf>
    <xf numFmtId="0" fontId="0" fillId="11" borderId="0" xfId="0" applyFill="1" applyAlignment="1">
      <alignment vertical="center"/>
    </xf>
    <xf numFmtId="186" fontId="0" fillId="11" borderId="0" xfId="0" applyNumberFormat="1" applyFill="1" applyAlignment="1">
      <alignment vertical="center"/>
    </xf>
    <xf numFmtId="1" fontId="0" fillId="0" borderId="15" xfId="0" applyNumberFormat="1" applyBorder="1" applyAlignment="1">
      <alignment vertical="center"/>
    </xf>
    <xf numFmtId="186" fontId="0" fillId="0" borderId="0" xfId="0" applyNumberFormat="1"/>
    <xf numFmtId="0" fontId="0" fillId="0" borderId="0" xfId="0" applyAlignment="1">
      <alignment horizontal="left"/>
    </xf>
    <xf numFmtId="10" fontId="0" fillId="0" borderId="0" xfId="0" applyNumberFormat="1" applyAlignment="1">
      <alignment wrapText="1"/>
    </xf>
    <xf numFmtId="10" fontId="0" fillId="0" borderId="0" xfId="0" applyNumberFormat="1"/>
    <xf numFmtId="0" fontId="33" fillId="9" borderId="31" xfId="0" applyFont="1" applyFill="1" applyBorder="1"/>
    <xf numFmtId="0" fontId="33" fillId="9" borderId="31" xfId="0" applyFont="1" applyFill="1" applyBorder="1" applyAlignment="1">
      <alignment horizontal="right"/>
    </xf>
    <xf numFmtId="0" fontId="6" fillId="10" borderId="31" xfId="0" applyFont="1" applyFill="1" applyBorder="1" applyAlignment="1">
      <alignment horizontal="left"/>
    </xf>
    <xf numFmtId="10" fontId="34" fillId="0" borderId="0" xfId="0" applyNumberFormat="1" applyFont="1"/>
    <xf numFmtId="0" fontId="34" fillId="0" borderId="0" xfId="0" applyFont="1"/>
    <xf numFmtId="1" fontId="0" fillId="10" borderId="28" xfId="0" applyNumberFormat="1" applyFill="1" applyBorder="1" applyAlignment="1">
      <alignment horizontal="left"/>
    </xf>
    <xf numFmtId="0" fontId="35" fillId="0" borderId="0" xfId="0" applyFont="1" applyAlignment="1">
      <alignment horizontal="left"/>
    </xf>
    <xf numFmtId="0" fontId="33" fillId="0" borderId="0" xfId="0" applyFont="1"/>
    <xf numFmtId="10" fontId="0" fillId="0" borderId="0" xfId="0" applyNumberFormat="1" applyAlignment="1">
      <alignment horizontal="center"/>
    </xf>
    <xf numFmtId="0" fontId="33" fillId="9" borderId="27" xfId="0" applyFont="1" applyFill="1" applyBorder="1" applyAlignment="1">
      <alignment horizontal="left"/>
    </xf>
    <xf numFmtId="0" fontId="33" fillId="0" borderId="0" xfId="0" applyFont="1" applyAlignment="1">
      <alignment horizontal="center"/>
    </xf>
    <xf numFmtId="1" fontId="0" fillId="0" borderId="0" xfId="0" applyNumberFormat="1" applyAlignment="1">
      <alignment horizontal="left"/>
    </xf>
    <xf numFmtId="0" fontId="33" fillId="0" borderId="0" xfId="0" applyFont="1" applyAlignment="1">
      <alignment horizontal="left"/>
    </xf>
    <xf numFmtId="0" fontId="34" fillId="0" borderId="0" xfId="0" applyFont="1" applyAlignment="1">
      <alignment horizontal="left"/>
    </xf>
    <xf numFmtId="4" fontId="0" fillId="0" borderId="0" xfId="0" applyNumberFormat="1" applyAlignment="1">
      <alignment horizontal="center"/>
    </xf>
    <xf numFmtId="167" fontId="33" fillId="9" borderId="15" xfId="0" applyNumberFormat="1" applyFont="1" applyFill="1" applyBorder="1" applyAlignment="1">
      <alignment horizontal="center" vertical="center" wrapText="1"/>
    </xf>
    <xf numFmtId="186" fontId="33" fillId="9" borderId="15" xfId="0" applyNumberFormat="1" applyFont="1" applyFill="1" applyBorder="1" applyAlignment="1">
      <alignment horizontal="center" vertical="center" wrapText="1"/>
    </xf>
    <xf numFmtId="10" fontId="33" fillId="9" borderId="15" xfId="0" applyNumberFormat="1" applyFont="1" applyFill="1" applyBorder="1" applyAlignment="1">
      <alignment horizontal="center" vertical="center" wrapText="1"/>
    </xf>
    <xf numFmtId="1" fontId="0" fillId="10" borderId="15" xfId="0" applyNumberFormat="1" applyFill="1" applyBorder="1"/>
    <xf numFmtId="1" fontId="0" fillId="0" borderId="15" xfId="0" applyNumberFormat="1" applyBorder="1"/>
    <xf numFmtId="186" fontId="0" fillId="0" borderId="15" xfId="0" applyNumberFormat="1" applyBorder="1"/>
    <xf numFmtId="0" fontId="0" fillId="0" borderId="15" xfId="0" applyBorder="1" applyAlignment="1">
      <alignment horizontal="left"/>
    </xf>
    <xf numFmtId="189" fontId="0" fillId="0" borderId="15" xfId="0" applyNumberFormat="1" applyBorder="1"/>
    <xf numFmtId="3" fontId="0" fillId="0" borderId="15" xfId="0" applyNumberFormat="1" applyBorder="1"/>
    <xf numFmtId="4" fontId="0" fillId="0" borderId="15" xfId="0" applyNumberFormat="1" applyBorder="1"/>
    <xf numFmtId="4" fontId="0" fillId="10" borderId="15" xfId="0" applyNumberFormat="1" applyFill="1" applyBorder="1"/>
    <xf numFmtId="10" fontId="0" fillId="0" borderId="15" xfId="0" applyNumberFormat="1" applyBorder="1"/>
    <xf numFmtId="0" fontId="0" fillId="10" borderId="15" xfId="0" applyFill="1" applyBorder="1" applyAlignment="1">
      <alignment wrapText="1"/>
    </xf>
    <xf numFmtId="0" fontId="33" fillId="9" borderId="16" xfId="0" applyFont="1" applyFill="1" applyBorder="1"/>
    <xf numFmtId="0" fontId="33" fillId="9" borderId="0" xfId="0" applyFont="1" applyFill="1"/>
    <xf numFmtId="0" fontId="33" fillId="9" borderId="0" xfId="0" applyFont="1" applyFill="1" applyAlignment="1">
      <alignment horizontal="right"/>
    </xf>
    <xf numFmtId="0" fontId="6" fillId="10" borderId="0" xfId="0" applyFont="1" applyFill="1" applyAlignment="1">
      <alignment horizontal="left"/>
    </xf>
    <xf numFmtId="0" fontId="6" fillId="10" borderId="17" xfId="0" applyFont="1" applyFill="1" applyBorder="1" applyAlignment="1">
      <alignment horizontal="center"/>
    </xf>
    <xf numFmtId="49" fontId="0" fillId="0" borderId="25" xfId="0" applyNumberFormat="1" applyBorder="1" applyAlignment="1">
      <alignment horizontal="center"/>
    </xf>
    <xf numFmtId="1" fontId="0" fillId="0" borderId="0" xfId="0" applyNumberFormat="1" applyAlignment="1">
      <alignment horizontal="center"/>
    </xf>
    <xf numFmtId="0" fontId="33" fillId="9" borderId="26" xfId="0" applyFont="1" applyFill="1" applyBorder="1" applyAlignment="1">
      <alignment horizontal="left"/>
    </xf>
    <xf numFmtId="0" fontId="6" fillId="0" borderId="0" xfId="0" applyFont="1" applyAlignment="1">
      <alignment horizontal="left"/>
    </xf>
    <xf numFmtId="0" fontId="33" fillId="9" borderId="3" xfId="0" applyFont="1" applyFill="1" applyBorder="1" applyAlignment="1">
      <alignment horizontal="center" vertical="center" wrapText="1"/>
    </xf>
    <xf numFmtId="3" fontId="0" fillId="10" borderId="15" xfId="0" applyNumberFormat="1" applyFill="1" applyBorder="1" applyAlignment="1">
      <alignment horizontal="center" vertical="center"/>
    </xf>
    <xf numFmtId="3" fontId="0" fillId="10" borderId="15" xfId="0" applyNumberFormat="1" applyFill="1" applyBorder="1"/>
    <xf numFmtId="164" fontId="5" fillId="0" borderId="15" xfId="0" applyNumberFormat="1" applyFont="1" applyBorder="1"/>
    <xf numFmtId="0" fontId="37" fillId="12" borderId="15" xfId="0" applyFont="1" applyFill="1" applyBorder="1" applyAlignment="1">
      <alignment horizontal="centerContinuous" vertical="center" wrapText="1"/>
    </xf>
    <xf numFmtId="10" fontId="0" fillId="0" borderId="15" xfId="37" applyNumberFormat="1" applyFont="1" applyBorder="1" applyProtection="1"/>
    <xf numFmtId="10" fontId="0" fillId="5" borderId="4" xfId="37" applyNumberFormat="1" applyFont="1" applyFill="1" applyBorder="1" applyProtection="1"/>
    <xf numFmtId="10" fontId="0" fillId="5" borderId="6" xfId="37" applyNumberFormat="1" applyFont="1" applyFill="1" applyBorder="1" applyProtection="1"/>
    <xf numFmtId="10" fontId="0" fillId="0" borderId="15" xfId="37" applyNumberFormat="1" applyFont="1" applyBorder="1" applyAlignment="1" applyProtection="1">
      <alignment horizontal="right"/>
    </xf>
    <xf numFmtId="10" fontId="0" fillId="0" borderId="3" xfId="37" applyNumberFormat="1" applyFont="1" applyBorder="1" applyProtection="1"/>
    <xf numFmtId="10" fontId="0" fillId="0" borderId="3" xfId="37" applyNumberFormat="1" applyFont="1" applyBorder="1" applyAlignment="1" applyProtection="1">
      <alignment horizontal="right"/>
    </xf>
    <xf numFmtId="10" fontId="0" fillId="5" borderId="9" xfId="37" applyNumberFormat="1" applyFont="1" applyFill="1" applyBorder="1" applyProtection="1"/>
    <xf numFmtId="10" fontId="0" fillId="5" borderId="11" xfId="37" applyNumberFormat="1" applyFont="1" applyFill="1" applyBorder="1" applyProtection="1"/>
    <xf numFmtId="10" fontId="38" fillId="0" borderId="32" xfId="0" applyNumberFormat="1" applyFont="1" applyBorder="1" applyAlignment="1">
      <alignment horizontal="right" vertical="center"/>
    </xf>
    <xf numFmtId="10" fontId="38" fillId="0" borderId="33" xfId="0" applyNumberFormat="1" applyFont="1" applyBorder="1" applyAlignment="1">
      <alignment horizontal="right" vertical="center"/>
    </xf>
    <xf numFmtId="10" fontId="0" fillId="0" borderId="12" xfId="37" applyNumberFormat="1" applyFont="1" applyBorder="1" applyProtection="1"/>
    <xf numFmtId="10" fontId="0" fillId="0" borderId="6" xfId="37" applyNumberFormat="1" applyFont="1" applyBorder="1" applyProtection="1"/>
    <xf numFmtId="10" fontId="6" fillId="13" borderId="15" xfId="37" applyNumberFormat="1" applyFont="1" applyFill="1" applyBorder="1" applyProtection="1"/>
    <xf numFmtId="0" fontId="6" fillId="13" borderId="15" xfId="0" applyFont="1" applyFill="1" applyBorder="1" applyAlignment="1">
      <alignment horizontal="center" vertical="center" wrapText="1"/>
    </xf>
    <xf numFmtId="0" fontId="6" fillId="13" borderId="15" xfId="0" applyFont="1" applyFill="1" applyBorder="1" applyAlignment="1">
      <alignment horizontal="left" vertical="center" wrapText="1"/>
    </xf>
    <xf numFmtId="10" fontId="6" fillId="13" borderId="15" xfId="3" applyNumberFormat="1" applyFont="1" applyFill="1" applyBorder="1" applyAlignment="1" applyProtection="1">
      <alignment horizontal="center" vertical="center"/>
    </xf>
    <xf numFmtId="0" fontId="41" fillId="0" borderId="0" xfId="0" applyFont="1"/>
    <xf numFmtId="0" fontId="40" fillId="0" borderId="2" xfId="0" applyFont="1" applyBorder="1" applyAlignment="1">
      <alignment horizontal="left" vertical="center" wrapText="1"/>
    </xf>
    <xf numFmtId="0" fontId="41" fillId="14" borderId="15" xfId="0" applyFont="1" applyFill="1" applyBorder="1" applyAlignment="1">
      <alignment vertical="center" wrapText="1"/>
    </xf>
    <xf numFmtId="0" fontId="41" fillId="14" borderId="15" xfId="0" applyFont="1" applyFill="1" applyBorder="1" applyAlignment="1">
      <alignment horizontal="center" vertical="center"/>
    </xf>
    <xf numFmtId="190" fontId="40" fillId="14" borderId="15" xfId="1" applyNumberFormat="1" applyFont="1" applyFill="1" applyBorder="1" applyAlignment="1">
      <alignment horizontal="right" vertical="center"/>
    </xf>
    <xf numFmtId="175" fontId="40" fillId="0" borderId="15" xfId="0" applyNumberFormat="1" applyFont="1" applyBorder="1" applyAlignment="1">
      <alignment horizontal="left" vertical="center" wrapText="1"/>
    </xf>
    <xf numFmtId="191" fontId="40" fillId="0" borderId="15" xfId="2" applyNumberFormat="1" applyFont="1" applyBorder="1" applyAlignment="1">
      <alignment horizontal="left" vertical="center" wrapText="1"/>
    </xf>
    <xf numFmtId="191" fontId="41" fillId="0" borderId="15" xfId="2" applyNumberFormat="1" applyFont="1" applyBorder="1" applyAlignment="1">
      <alignment vertical="center"/>
    </xf>
    <xf numFmtId="0" fontId="40" fillId="0" borderId="3" xfId="0" applyFont="1" applyBorder="1" applyAlignment="1">
      <alignment horizontal="left" vertical="center" wrapText="1"/>
    </xf>
    <xf numFmtId="0" fontId="40" fillId="0" borderId="15" xfId="49" applyFont="1" applyBorder="1" applyAlignment="1">
      <alignment horizontal="left" vertical="center"/>
    </xf>
    <xf numFmtId="0" fontId="40" fillId="0" borderId="15" xfId="47" applyFont="1" applyBorder="1" applyAlignment="1">
      <alignment horizontal="left" vertical="center"/>
    </xf>
    <xf numFmtId="0" fontId="41" fillId="0" borderId="15" xfId="0" applyFont="1" applyBorder="1" applyAlignment="1">
      <alignment vertical="center" wrapText="1"/>
    </xf>
    <xf numFmtId="0" fontId="41" fillId="0" borderId="15" xfId="0" applyFont="1" applyBorder="1" applyAlignment="1">
      <alignment horizontal="center" vertical="center" wrapText="1"/>
    </xf>
    <xf numFmtId="191" fontId="41" fillId="0" borderId="15" xfId="2" applyNumberFormat="1" applyFont="1" applyBorder="1" applyAlignment="1">
      <alignment horizontal="center" vertical="center"/>
    </xf>
    <xf numFmtId="164" fontId="40" fillId="0" borderId="15" xfId="2" applyFont="1" applyBorder="1" applyAlignment="1">
      <alignment horizontal="center" vertical="center"/>
    </xf>
    <xf numFmtId="177" fontId="40" fillId="14" borderId="15" xfId="2" applyNumberFormat="1" applyFont="1" applyFill="1" applyBorder="1" applyAlignment="1">
      <alignment horizontal="right" vertical="center"/>
    </xf>
    <xf numFmtId="10" fontId="39" fillId="0" borderId="15" xfId="3" applyNumberFormat="1" applyFont="1" applyBorder="1" applyAlignment="1">
      <alignment horizontal="right" vertical="center"/>
    </xf>
    <xf numFmtId="0" fontId="40" fillId="15" borderId="5" xfId="19" applyFont="1" applyFill="1" applyBorder="1" applyAlignment="1">
      <alignment horizontal="left" vertical="center"/>
    </xf>
    <xf numFmtId="0" fontId="40" fillId="15" borderId="12" xfId="19" applyFont="1" applyFill="1" applyBorder="1" applyAlignment="1">
      <alignment horizontal="center" vertical="center"/>
    </xf>
    <xf numFmtId="0" fontId="42" fillId="15" borderId="14" xfId="19" applyFont="1" applyFill="1" applyBorder="1" applyAlignment="1">
      <alignment horizontal="center" vertical="center"/>
    </xf>
    <xf numFmtId="0" fontId="42" fillId="15" borderId="10" xfId="19" applyFont="1" applyFill="1" applyBorder="1" applyAlignment="1">
      <alignment vertical="center"/>
    </xf>
    <xf numFmtId="0" fontId="42" fillId="15" borderId="10" xfId="19" applyFont="1" applyFill="1" applyBorder="1" applyAlignment="1">
      <alignment vertical="center" wrapText="1"/>
    </xf>
    <xf numFmtId="190" fontId="42" fillId="15" borderId="10" xfId="19" applyNumberFormat="1" applyFont="1" applyFill="1" applyBorder="1" applyAlignment="1">
      <alignment vertical="center" wrapText="1"/>
    </xf>
    <xf numFmtId="172" fontId="42" fillId="15" borderId="10" xfId="0" applyNumberFormat="1" applyFont="1" applyFill="1" applyBorder="1" applyAlignment="1">
      <alignment horizontal="center"/>
    </xf>
    <xf numFmtId="9" fontId="42" fillId="15" borderId="9" xfId="19" applyNumberFormat="1" applyFont="1" applyFill="1" applyBorder="1" applyAlignment="1">
      <alignment horizontal="center" vertical="center"/>
    </xf>
    <xf numFmtId="172" fontId="42" fillId="15" borderId="11" xfId="0" applyNumberFormat="1" applyFont="1" applyFill="1" applyBorder="1" applyAlignment="1">
      <alignment horizontal="center"/>
    </xf>
    <xf numFmtId="44" fontId="42" fillId="15" borderId="14" xfId="2" applyNumberFormat="1" applyFont="1" applyFill="1" applyBorder="1"/>
    <xf numFmtId="0" fontId="40" fillId="0" borderId="0" xfId="0" applyFont="1"/>
    <xf numFmtId="0" fontId="40" fillId="16" borderId="15" xfId="19" applyFont="1" applyFill="1" applyBorder="1" applyAlignment="1">
      <alignment horizontal="center" vertical="center" wrapText="1"/>
    </xf>
    <xf numFmtId="0" fontId="40" fillId="16" borderId="15" xfId="19" applyFont="1" applyFill="1" applyBorder="1" applyAlignment="1">
      <alignment vertical="center" wrapText="1"/>
    </xf>
    <xf numFmtId="0" fontId="40" fillId="16" borderId="15" xfId="19" applyFont="1" applyFill="1" applyBorder="1" applyAlignment="1">
      <alignment horizontal="center" vertical="center"/>
    </xf>
    <xf numFmtId="0" fontId="40" fillId="16" borderId="15" xfId="19" applyFont="1" applyFill="1" applyBorder="1" applyAlignment="1">
      <alignment horizontal="left" vertical="center"/>
    </xf>
    <xf numFmtId="0" fontId="40" fillId="0" borderId="1" xfId="0" applyFont="1" applyBorder="1" applyAlignment="1">
      <alignment horizontal="center" vertical="center"/>
    </xf>
    <xf numFmtId="191" fontId="40" fillId="14" borderId="15" xfId="2" applyNumberFormat="1" applyFont="1" applyFill="1" applyBorder="1" applyAlignment="1">
      <alignment vertical="center"/>
    </xf>
    <xf numFmtId="0" fontId="41" fillId="0" borderId="0" xfId="0" applyFont="1" applyAlignment="1">
      <alignment horizontal="center"/>
    </xf>
    <xf numFmtId="49" fontId="43" fillId="0" borderId="0" xfId="0" applyNumberFormat="1" applyFont="1" applyAlignment="1" applyProtection="1">
      <alignment vertical="center" wrapText="1"/>
      <protection locked="0"/>
    </xf>
    <xf numFmtId="49" fontId="44" fillId="0" borderId="0" xfId="0" applyNumberFormat="1" applyFont="1" applyAlignment="1" applyProtection="1">
      <alignment horizontal="center" vertical="center"/>
      <protection locked="0"/>
    </xf>
    <xf numFmtId="190" fontId="44" fillId="0" borderId="0" xfId="0" applyNumberFormat="1" applyFont="1" applyAlignment="1" applyProtection="1">
      <alignment horizontal="center" vertical="center"/>
      <protection locked="0"/>
    </xf>
    <xf numFmtId="0" fontId="44" fillId="0" borderId="0" xfId="0" applyFont="1" applyAlignment="1" applyProtection="1">
      <alignment horizontal="center" vertical="center"/>
      <protection locked="0"/>
    </xf>
    <xf numFmtId="192" fontId="44" fillId="0" borderId="0" xfId="2" applyNumberFormat="1" applyFont="1" applyBorder="1" applyAlignment="1" applyProtection="1">
      <alignment horizontal="center" vertical="center"/>
      <protection locked="0"/>
    </xf>
    <xf numFmtId="0" fontId="44" fillId="0" borderId="0" xfId="0" applyFont="1" applyAlignment="1" applyProtection="1">
      <alignment vertical="center"/>
      <protection locked="0"/>
    </xf>
    <xf numFmtId="193" fontId="44" fillId="0" borderId="0" xfId="0" applyNumberFormat="1" applyFont="1" applyAlignment="1" applyProtection="1">
      <alignment horizontal="center" vertical="center"/>
      <protection locked="0"/>
    </xf>
    <xf numFmtId="0" fontId="40" fillId="0" borderId="15" xfId="47" applyFont="1" applyBorder="1" applyAlignment="1">
      <alignment horizontal="left" vertical="center" wrapText="1"/>
    </xf>
    <xf numFmtId="17" fontId="41" fillId="0" borderId="15" xfId="0" applyNumberFormat="1" applyFont="1" applyBorder="1" applyAlignment="1">
      <alignment horizontal="center" vertical="center"/>
    </xf>
    <xf numFmtId="191" fontId="40" fillId="0" borderId="15" xfId="2" applyNumberFormat="1" applyFont="1" applyBorder="1" applyAlignment="1">
      <alignment horizontal="center" vertical="center"/>
    </xf>
    <xf numFmtId="0" fontId="40" fillId="0" borderId="15" xfId="49" applyFont="1" applyBorder="1" applyAlignment="1">
      <alignment horizontal="center" vertical="center" wrapText="1"/>
    </xf>
    <xf numFmtId="0" fontId="45" fillId="15" borderId="1" xfId="19" applyFont="1" applyFill="1" applyBorder="1" applyAlignment="1">
      <alignment horizontal="left" vertical="center"/>
    </xf>
    <xf numFmtId="0" fontId="45" fillId="15" borderId="2" xfId="0" applyFont="1" applyFill="1" applyBorder="1" applyAlignment="1">
      <alignment horizontal="centerContinuous" vertical="center" wrapText="1"/>
    </xf>
    <xf numFmtId="0" fontId="45" fillId="15" borderId="3" xfId="19" applyFont="1" applyFill="1" applyBorder="1" applyAlignment="1">
      <alignment horizontal="centerContinuous" vertical="center"/>
    </xf>
    <xf numFmtId="0" fontId="46" fillId="0" borderId="0" xfId="0" applyFont="1" applyAlignment="1">
      <alignment vertical="center"/>
    </xf>
    <xf numFmtId="4" fontId="47" fillId="16" borderId="15" xfId="0" applyNumberFormat="1" applyFont="1" applyFill="1" applyBorder="1" applyAlignment="1">
      <alignment horizontal="center" vertical="center"/>
    </xf>
    <xf numFmtId="0" fontId="48" fillId="0" borderId="0" xfId="0" applyFont="1"/>
    <xf numFmtId="43" fontId="40" fillId="0" borderId="1" xfId="0" applyNumberFormat="1" applyFont="1" applyBorder="1" applyAlignment="1">
      <alignment horizontal="left" vertical="center" wrapText="1"/>
    </xf>
    <xf numFmtId="0" fontId="40" fillId="14" borderId="1" xfId="1" applyNumberFormat="1" applyFont="1" applyFill="1" applyBorder="1" applyAlignment="1">
      <alignment horizontal="left" vertical="center"/>
    </xf>
    <xf numFmtId="0" fontId="40" fillId="14" borderId="3" xfId="1" applyNumberFormat="1" applyFont="1" applyFill="1" applyBorder="1" applyAlignment="1">
      <alignment horizontal="left" vertical="center"/>
    </xf>
    <xf numFmtId="190" fontId="41" fillId="0" borderId="0" xfId="0" applyNumberFormat="1" applyFont="1"/>
    <xf numFmtId="190" fontId="0" fillId="0" borderId="0" xfId="0" applyNumberFormat="1"/>
    <xf numFmtId="0" fontId="11" fillId="5" borderId="15" xfId="20" applyFont="1" applyFill="1" applyBorder="1" applyAlignment="1">
      <alignment horizontal="left" vertical="center"/>
    </xf>
    <xf numFmtId="180" fontId="26" fillId="6" borderId="15" xfId="33" applyNumberFormat="1" applyFont="1" applyFill="1" applyBorder="1" applyAlignment="1">
      <alignment horizontal="center" vertical="center" wrapText="1"/>
    </xf>
    <xf numFmtId="0" fontId="51" fillId="0" borderId="16" xfId="32" applyFont="1" applyBorder="1" applyAlignment="1">
      <alignment vertical="center"/>
    </xf>
    <xf numFmtId="0" fontId="51" fillId="0" borderId="17" xfId="32" applyFont="1" applyBorder="1" applyAlignment="1">
      <alignment vertical="center"/>
    </xf>
    <xf numFmtId="0" fontId="51" fillId="0" borderId="0" xfId="32" applyFont="1" applyAlignment="1">
      <alignment vertical="center"/>
    </xf>
    <xf numFmtId="0" fontId="53" fillId="0" borderId="0" xfId="32" applyFont="1" applyAlignment="1">
      <alignment vertical="center"/>
    </xf>
    <xf numFmtId="0" fontId="55" fillId="0" borderId="0" xfId="32" applyFont="1" applyAlignment="1">
      <alignment vertical="center"/>
    </xf>
    <xf numFmtId="0" fontId="51" fillId="0" borderId="16" xfId="32" applyFont="1" applyBorder="1" applyAlignment="1">
      <alignment horizontal="left" vertical="center"/>
    </xf>
    <xf numFmtId="0" fontId="51" fillId="0" borderId="17" xfId="32" applyFont="1" applyBorder="1" applyAlignment="1">
      <alignment horizontal="left" vertical="center"/>
    </xf>
    <xf numFmtId="0" fontId="51" fillId="0" borderId="0" xfId="32" applyFont="1" applyAlignment="1">
      <alignment horizontal="left" vertical="center"/>
    </xf>
    <xf numFmtId="0" fontId="56" fillId="0" borderId="0" xfId="32" applyFont="1" applyAlignment="1">
      <alignment vertical="center"/>
    </xf>
    <xf numFmtId="0" fontId="57" fillId="0" borderId="0" xfId="32" quotePrefix="1" applyFont="1" applyAlignment="1">
      <alignment vertical="center"/>
    </xf>
    <xf numFmtId="0" fontId="56" fillId="0" borderId="0" xfId="32" applyFont="1" applyAlignment="1">
      <alignment horizontal="center" vertical="center"/>
    </xf>
    <xf numFmtId="0" fontId="56" fillId="0" borderId="0" xfId="32" applyFont="1" applyAlignment="1">
      <alignment horizontal="right" vertical="center"/>
    </xf>
    <xf numFmtId="0" fontId="56" fillId="0" borderId="0" xfId="32" applyFont="1" applyAlignment="1">
      <alignment horizontal="left" vertical="center"/>
    </xf>
    <xf numFmtId="0" fontId="51" fillId="14" borderId="0" xfId="32" applyFont="1" applyFill="1" applyAlignment="1">
      <alignment horizontal="center" vertical="center"/>
    </xf>
    <xf numFmtId="0" fontId="58" fillId="0" borderId="0" xfId="32" applyFont="1" applyAlignment="1">
      <alignment horizontal="left" vertical="center"/>
    </xf>
    <xf numFmtId="0" fontId="51" fillId="14" borderId="0" xfId="32" applyFont="1" applyFill="1" applyAlignment="1">
      <alignment horizontal="left" vertical="center"/>
    </xf>
    <xf numFmtId="0" fontId="57" fillId="14" borderId="0" xfId="32" applyFont="1" applyFill="1" applyAlignment="1">
      <alignment horizontal="center" vertical="center"/>
    </xf>
    <xf numFmtId="0" fontId="57" fillId="0" borderId="0" xfId="32" applyFont="1" applyAlignment="1">
      <alignment horizontal="center" vertical="center"/>
    </xf>
    <xf numFmtId="0" fontId="58" fillId="14" borderId="0" xfId="32" applyFont="1" applyFill="1" applyAlignment="1">
      <alignment horizontal="center" vertical="center"/>
    </xf>
    <xf numFmtId="0" fontId="56" fillId="14" borderId="0" xfId="32" applyFont="1" applyFill="1" applyAlignment="1">
      <alignment horizontal="center" vertical="center" wrapText="1"/>
    </xf>
    <xf numFmtId="0" fontId="55" fillId="14" borderId="1" xfId="32" applyFont="1" applyFill="1" applyBorder="1" applyAlignment="1">
      <alignment vertical="center"/>
    </xf>
    <xf numFmtId="0" fontId="55" fillId="14" borderId="2" xfId="32" applyFont="1" applyFill="1" applyBorder="1" applyAlignment="1">
      <alignment vertical="center"/>
    </xf>
    <xf numFmtId="0" fontId="58" fillId="0" borderId="0" xfId="32" applyFont="1" applyAlignment="1">
      <alignment horizontal="center" vertical="center"/>
    </xf>
    <xf numFmtId="2" fontId="56" fillId="0" borderId="15" xfId="32" applyNumberFormat="1" applyFont="1" applyBorder="1" applyAlignment="1">
      <alignment horizontal="center" vertical="center"/>
    </xf>
    <xf numFmtId="0" fontId="56" fillId="0" borderId="15" xfId="32" applyFont="1" applyBorder="1" applyAlignment="1">
      <alignment horizontal="center" vertical="center"/>
    </xf>
    <xf numFmtId="0" fontId="56" fillId="14" borderId="34" xfId="32" applyFont="1" applyFill="1" applyBorder="1" applyAlignment="1">
      <alignment horizontal="center" vertical="center" wrapText="1"/>
    </xf>
    <xf numFmtId="0" fontId="51" fillId="0" borderId="19" xfId="32" applyFont="1" applyBorder="1" applyAlignment="1">
      <alignment vertical="center"/>
    </xf>
    <xf numFmtId="2" fontId="51" fillId="0" borderId="21" xfId="32" applyNumberFormat="1" applyFont="1" applyBorder="1" applyAlignment="1">
      <alignment horizontal="center" vertical="center"/>
    </xf>
    <xf numFmtId="0" fontId="56" fillId="14" borderId="0" xfId="32" applyFont="1" applyFill="1" applyAlignment="1">
      <alignment vertical="center"/>
    </xf>
    <xf numFmtId="0" fontId="58" fillId="14" borderId="23" xfId="32" applyFont="1" applyFill="1" applyBorder="1" applyAlignment="1">
      <alignment horizontal="center" vertical="center"/>
    </xf>
    <xf numFmtId="40" fontId="58" fillId="14" borderId="43" xfId="32" applyNumberFormat="1" applyFont="1" applyFill="1" applyBorder="1" applyAlignment="1">
      <alignment horizontal="center" vertical="center"/>
    </xf>
    <xf numFmtId="4" fontId="58" fillId="14" borderId="22" xfId="32" applyNumberFormat="1" applyFont="1" applyFill="1" applyBorder="1" applyAlignment="1">
      <alignment horizontal="center" vertical="center"/>
    </xf>
    <xf numFmtId="4" fontId="58" fillId="14" borderId="24" xfId="32" applyNumberFormat="1" applyFont="1" applyFill="1" applyBorder="1" applyAlignment="1">
      <alignment horizontal="center" vertical="center"/>
    </xf>
    <xf numFmtId="40" fontId="58" fillId="0" borderId="0" xfId="32" applyNumberFormat="1" applyFont="1" applyAlignment="1">
      <alignment horizontal="left" vertical="center"/>
    </xf>
    <xf numFmtId="0" fontId="51" fillId="0" borderId="19" xfId="32" applyFont="1" applyBorder="1" applyAlignment="1">
      <alignment horizontal="left" vertical="center"/>
    </xf>
    <xf numFmtId="2" fontId="51" fillId="0" borderId="20" xfId="32" applyNumberFormat="1" applyFont="1" applyBorder="1" applyAlignment="1">
      <alignment horizontal="center" vertical="center"/>
    </xf>
    <xf numFmtId="182" fontId="58" fillId="14" borderId="0" xfId="32" applyNumberFormat="1" applyFont="1" applyFill="1" applyAlignment="1">
      <alignment horizontal="center" vertical="center"/>
    </xf>
    <xf numFmtId="40" fontId="58" fillId="14" borderId="34" xfId="32" applyNumberFormat="1" applyFont="1" applyFill="1" applyBorder="1" applyAlignment="1">
      <alignment horizontal="center" vertical="center"/>
    </xf>
    <xf numFmtId="40" fontId="58" fillId="14" borderId="0" xfId="32" applyNumberFormat="1" applyFont="1" applyFill="1" applyAlignment="1">
      <alignment horizontal="center" vertical="center"/>
    </xf>
    <xf numFmtId="40" fontId="58" fillId="16" borderId="34" xfId="32" applyNumberFormat="1" applyFont="1" applyFill="1" applyBorder="1" applyAlignment="1">
      <alignment horizontal="center" vertical="center"/>
    </xf>
    <xf numFmtId="0" fontId="58" fillId="14" borderId="45" xfId="32" applyFont="1" applyFill="1" applyBorder="1" applyAlignment="1">
      <alignment horizontal="center" vertical="center"/>
    </xf>
    <xf numFmtId="40" fontId="58" fillId="14" borderId="46" xfId="32" applyNumberFormat="1" applyFont="1" applyFill="1" applyBorder="1" applyAlignment="1">
      <alignment horizontal="center" vertical="center"/>
    </xf>
    <xf numFmtId="4" fontId="58" fillId="14" borderId="44" xfId="32" applyNumberFormat="1" applyFont="1" applyFill="1" applyBorder="1" applyAlignment="1">
      <alignment horizontal="center" vertical="center"/>
    </xf>
    <xf numFmtId="4" fontId="58" fillId="14" borderId="47" xfId="32" applyNumberFormat="1" applyFont="1" applyFill="1" applyBorder="1" applyAlignment="1">
      <alignment horizontal="center" vertical="center"/>
    </xf>
    <xf numFmtId="0" fontId="58" fillId="14" borderId="49" xfId="32" applyFont="1" applyFill="1" applyBorder="1" applyAlignment="1">
      <alignment horizontal="center" vertical="center"/>
    </xf>
    <xf numFmtId="40" fontId="58" fillId="14" borderId="50" xfId="32" applyNumberFormat="1" applyFont="1" applyFill="1" applyBorder="1" applyAlignment="1">
      <alignment horizontal="center" vertical="center"/>
    </xf>
    <xf numFmtId="4" fontId="58" fillId="14" borderId="48" xfId="32" applyNumberFormat="1" applyFont="1" applyFill="1" applyBorder="1" applyAlignment="1">
      <alignment horizontal="center" vertical="center"/>
    </xf>
    <xf numFmtId="4" fontId="58" fillId="14" borderId="51" xfId="32" applyNumberFormat="1" applyFont="1" applyFill="1" applyBorder="1" applyAlignment="1">
      <alignment horizontal="center" vertical="center"/>
    </xf>
    <xf numFmtId="0" fontId="57" fillId="14" borderId="15" xfId="32" applyFont="1" applyFill="1" applyBorder="1" applyAlignment="1">
      <alignment horizontal="center" vertical="center"/>
    </xf>
    <xf numFmtId="40" fontId="57" fillId="14" borderId="1" xfId="32" applyNumberFormat="1" applyFont="1" applyFill="1" applyBorder="1" applyAlignment="1">
      <alignment horizontal="center" vertical="center"/>
    </xf>
    <xf numFmtId="4" fontId="57" fillId="14" borderId="15" xfId="32" applyNumberFormat="1" applyFont="1" applyFill="1" applyBorder="1" applyAlignment="1">
      <alignment horizontal="center" vertical="center"/>
    </xf>
    <xf numFmtId="2" fontId="51" fillId="0" borderId="0" xfId="32" applyNumberFormat="1" applyFont="1" applyAlignment="1">
      <alignment horizontal="center" vertical="center"/>
    </xf>
    <xf numFmtId="0" fontId="57" fillId="14" borderId="0" xfId="32" applyFont="1" applyFill="1" applyAlignment="1">
      <alignment horizontal="right" vertical="center"/>
    </xf>
    <xf numFmtId="4" fontId="57" fillId="14" borderId="0" xfId="32" applyNumberFormat="1" applyFont="1" applyFill="1" applyAlignment="1">
      <alignment horizontal="center" vertical="center"/>
    </xf>
    <xf numFmtId="4" fontId="57" fillId="0" borderId="0" xfId="32" applyNumberFormat="1" applyFont="1" applyAlignment="1">
      <alignment horizontal="center" vertical="center"/>
    </xf>
    <xf numFmtId="2" fontId="51" fillId="16" borderId="0" xfId="32" applyNumberFormat="1" applyFont="1" applyFill="1" applyAlignment="1">
      <alignment horizontal="right" vertical="center"/>
    </xf>
    <xf numFmtId="2" fontId="51" fillId="0" borderId="0" xfId="32" applyNumberFormat="1" applyFont="1" applyAlignment="1">
      <alignment horizontal="left" vertical="center"/>
    </xf>
    <xf numFmtId="4" fontId="58" fillId="0" borderId="0" xfId="32" applyNumberFormat="1" applyFont="1" applyAlignment="1">
      <alignment horizontal="center" vertical="center"/>
    </xf>
    <xf numFmtId="2" fontId="51" fillId="0" borderId="0" xfId="32" applyNumberFormat="1" applyFont="1" applyAlignment="1">
      <alignment horizontal="right" vertical="center"/>
    </xf>
    <xf numFmtId="2" fontId="51" fillId="0" borderId="0" xfId="32" applyNumberFormat="1" applyFont="1" applyAlignment="1">
      <alignment vertical="center"/>
    </xf>
    <xf numFmtId="4" fontId="58" fillId="14" borderId="43" xfId="32" applyNumberFormat="1" applyFont="1" applyFill="1" applyBorder="1" applyAlignment="1">
      <alignment horizontal="center" vertical="center"/>
    </xf>
    <xf numFmtId="4" fontId="58" fillId="14" borderId="46" xfId="32" applyNumberFormat="1" applyFont="1" applyFill="1" applyBorder="1" applyAlignment="1">
      <alignment horizontal="center" vertical="center"/>
    </xf>
    <xf numFmtId="0" fontId="51" fillId="0" borderId="0" xfId="32" applyFont="1" applyAlignment="1">
      <alignment horizontal="right" vertical="center"/>
    </xf>
    <xf numFmtId="4" fontId="58" fillId="14" borderId="50" xfId="32" applyNumberFormat="1" applyFont="1" applyFill="1" applyBorder="1" applyAlignment="1">
      <alignment horizontal="center" vertical="center"/>
    </xf>
    <xf numFmtId="4" fontId="57" fillId="14" borderId="1" xfId="32" applyNumberFormat="1" applyFont="1" applyFill="1" applyBorder="1" applyAlignment="1">
      <alignment horizontal="center" vertical="center"/>
    </xf>
    <xf numFmtId="40" fontId="56" fillId="14" borderId="45" xfId="21" applyNumberFormat="1" applyFont="1" applyFill="1" applyBorder="1" applyAlignment="1">
      <alignment horizontal="center" vertical="center"/>
    </xf>
    <xf numFmtId="0" fontId="23" fillId="0" borderId="0" xfId="50" applyFont="1" applyAlignment="1">
      <alignment horizontal="center" vertical="center"/>
    </xf>
    <xf numFmtId="0" fontId="21" fillId="0" borderId="45" xfId="50" applyFont="1" applyBorder="1" applyAlignment="1">
      <alignment horizontal="center" vertical="center" wrapText="1"/>
    </xf>
    <xf numFmtId="194" fontId="51" fillId="0" borderId="0" xfId="32" applyNumberFormat="1" applyFont="1" applyAlignment="1">
      <alignment vertical="center"/>
    </xf>
    <xf numFmtId="49" fontId="51" fillId="0" borderId="44" xfId="32" applyNumberFormat="1" applyFont="1" applyBorder="1" applyAlignment="1">
      <alignment horizontal="center" vertical="center"/>
    </xf>
    <xf numFmtId="49" fontId="51" fillId="0" borderId="45" xfId="32" applyNumberFormat="1" applyFont="1" applyBorder="1" applyAlignment="1">
      <alignment horizontal="center" vertical="center"/>
    </xf>
    <xf numFmtId="2" fontId="51" fillId="16" borderId="47" xfId="32" applyNumberFormat="1" applyFont="1" applyFill="1" applyBorder="1" applyAlignment="1">
      <alignment horizontal="center" vertical="center"/>
    </xf>
    <xf numFmtId="0" fontId="59" fillId="0" borderId="0" xfId="32" applyFont="1" applyAlignment="1">
      <alignment vertical="center"/>
    </xf>
    <xf numFmtId="0" fontId="59" fillId="0" borderId="16" xfId="32" applyFont="1" applyBorder="1" applyAlignment="1">
      <alignment vertical="center"/>
    </xf>
    <xf numFmtId="0" fontId="1" fillId="0" borderId="0" xfId="32" applyFont="1" applyAlignment="1">
      <alignment horizontal="center" vertical="center"/>
    </xf>
    <xf numFmtId="1" fontId="51" fillId="16" borderId="47" xfId="32" applyNumberFormat="1" applyFont="1" applyFill="1" applyBorder="1" applyAlignment="1">
      <alignment horizontal="center" vertical="center"/>
    </xf>
    <xf numFmtId="49" fontId="51" fillId="0" borderId="48" xfId="32" applyNumberFormat="1" applyFont="1" applyBorder="1" applyAlignment="1">
      <alignment horizontal="center" vertical="center"/>
    </xf>
    <xf numFmtId="49" fontId="51" fillId="0" borderId="49" xfId="32" applyNumberFormat="1" applyFont="1" applyBorder="1" applyAlignment="1">
      <alignment horizontal="center" vertical="center"/>
    </xf>
    <xf numFmtId="1" fontId="51" fillId="16" borderId="51" xfId="32" applyNumberFormat="1" applyFont="1" applyFill="1" applyBorder="1" applyAlignment="1">
      <alignment horizontal="center" vertical="center"/>
    </xf>
    <xf numFmtId="0" fontId="56" fillId="14" borderId="0" xfId="32" applyFont="1" applyFill="1" applyAlignment="1">
      <alignment horizontal="left" vertical="center"/>
    </xf>
    <xf numFmtId="181" fontId="58" fillId="16" borderId="34" xfId="32" applyNumberFormat="1" applyFont="1" applyFill="1" applyBorder="1" applyAlignment="1">
      <alignment horizontal="left" vertical="center"/>
    </xf>
    <xf numFmtId="181" fontId="58" fillId="14" borderId="0" xfId="32" applyNumberFormat="1" applyFont="1" applyFill="1" applyAlignment="1">
      <alignment horizontal="left" vertical="center"/>
    </xf>
    <xf numFmtId="0" fontId="56" fillId="0" borderId="0" xfId="32" quotePrefix="1" applyFont="1" applyAlignment="1">
      <alignment vertical="center"/>
    </xf>
    <xf numFmtId="0" fontId="50" fillId="0" borderId="0" xfId="32" applyFont="1" applyAlignment="1">
      <alignment vertical="center"/>
    </xf>
    <xf numFmtId="0" fontId="54" fillId="0" borderId="0" xfId="32" applyFont="1" applyAlignment="1">
      <alignment vertical="center"/>
    </xf>
    <xf numFmtId="0" fontId="52" fillId="14" borderId="0" xfId="32" applyFont="1" applyFill="1" applyAlignment="1">
      <alignment vertical="center"/>
    </xf>
    <xf numFmtId="0" fontId="24" fillId="0" borderId="0" xfId="50" applyFont="1" applyAlignment="1">
      <alignment horizontal="left" vertical="center"/>
    </xf>
    <xf numFmtId="0" fontId="57" fillId="14" borderId="0" xfId="32" quotePrefix="1" applyFont="1" applyFill="1" applyAlignment="1">
      <alignment vertical="center"/>
    </xf>
    <xf numFmtId="0" fontId="57" fillId="14" borderId="0" xfId="32" applyFont="1" applyFill="1" applyAlignment="1">
      <alignment vertical="center"/>
    </xf>
    <xf numFmtId="0" fontId="55" fillId="14" borderId="0" xfId="32" applyFont="1" applyFill="1" applyAlignment="1">
      <alignment vertical="center"/>
    </xf>
    <xf numFmtId="0" fontId="53" fillId="14" borderId="0" xfId="32" applyFont="1" applyFill="1" applyAlignment="1">
      <alignment vertical="center"/>
    </xf>
    <xf numFmtId="0" fontId="56" fillId="0" borderId="10" xfId="32" applyFont="1" applyBorder="1" applyAlignment="1">
      <alignment vertical="center"/>
    </xf>
    <xf numFmtId="180" fontId="51" fillId="0" borderId="20" xfId="32" applyNumberFormat="1" applyFont="1" applyBorder="1" applyAlignment="1">
      <alignment horizontal="center" vertical="center"/>
    </xf>
    <xf numFmtId="4" fontId="9" fillId="0" borderId="3" xfId="0" applyNumberFormat="1" applyFont="1" applyBorder="1" applyAlignment="1">
      <alignment horizontal="right" vertical="center" wrapText="1"/>
    </xf>
    <xf numFmtId="43" fontId="0" fillId="0" borderId="0" xfId="0" applyNumberFormat="1"/>
    <xf numFmtId="2" fontId="5" fillId="0" borderId="15" xfId="3" quotePrefix="1" applyNumberFormat="1" applyFont="1" applyBorder="1" applyAlignment="1" applyProtection="1">
      <alignment horizontal="right" vertical="center"/>
    </xf>
    <xf numFmtId="0" fontId="26" fillId="4" borderId="15" xfId="33" applyFont="1" applyFill="1" applyBorder="1" applyAlignment="1">
      <alignment vertical="center" wrapText="1"/>
    </xf>
    <xf numFmtId="164" fontId="26" fillId="4" borderId="15" xfId="2" applyFont="1" applyFill="1" applyBorder="1" applyAlignment="1" applyProtection="1">
      <alignment vertical="center"/>
    </xf>
    <xf numFmtId="9" fontId="0" fillId="0" borderId="15" xfId="0" applyNumberFormat="1" applyBorder="1" applyAlignment="1">
      <alignment horizontal="center"/>
    </xf>
    <xf numFmtId="178" fontId="7" fillId="4" borderId="10" xfId="19" applyNumberFormat="1" applyFont="1" applyFill="1" applyBorder="1" applyAlignment="1">
      <alignment vertical="center" wrapText="1"/>
    </xf>
    <xf numFmtId="193" fontId="5" fillId="0" borderId="0" xfId="0" applyNumberFormat="1" applyFont="1" applyAlignment="1">
      <alignment vertical="center"/>
    </xf>
    <xf numFmtId="164" fontId="5" fillId="0" borderId="15" xfId="2" applyFont="1" applyBorder="1" applyAlignment="1" applyProtection="1">
      <alignment horizontal="center" vertical="center"/>
    </xf>
    <xf numFmtId="164" fontId="9" fillId="0" borderId="15" xfId="49" applyNumberFormat="1" applyFont="1" applyBorder="1" applyAlignment="1">
      <alignment horizontal="center" vertical="center" wrapText="1"/>
    </xf>
    <xf numFmtId="164" fontId="5" fillId="0" borderId="3" xfId="2" applyFont="1" applyBorder="1" applyAlignment="1" applyProtection="1">
      <alignment horizontal="center" vertical="center"/>
    </xf>
    <xf numFmtId="164" fontId="41" fillId="0" borderId="15" xfId="2" applyFont="1" applyBorder="1" applyAlignment="1">
      <alignment horizontal="center" vertical="center"/>
    </xf>
    <xf numFmtId="4" fontId="7" fillId="2" borderId="1" xfId="0" applyNumberFormat="1" applyFont="1" applyFill="1" applyBorder="1" applyAlignment="1">
      <alignment horizontal="center" vertical="center" wrapText="1"/>
    </xf>
    <xf numFmtId="4" fontId="7" fillId="2" borderId="3" xfId="0" applyNumberFormat="1" applyFont="1" applyFill="1" applyBorder="1" applyAlignment="1">
      <alignment horizontal="center" vertical="center" wrapText="1"/>
    </xf>
    <xf numFmtId="0" fontId="60" fillId="14" borderId="0" xfId="0" applyFont="1" applyFill="1" applyAlignment="1" applyProtection="1">
      <alignment horizontal="justify" vertical="center"/>
      <protection locked="0"/>
    </xf>
    <xf numFmtId="0" fontId="60" fillId="14" borderId="0" xfId="0" applyFont="1" applyFill="1" applyAlignment="1" applyProtection="1">
      <alignment horizontal="left" vertical="center"/>
      <protection locked="0"/>
    </xf>
    <xf numFmtId="0" fontId="61" fillId="14" borderId="2" xfId="0" applyFont="1" applyFill="1" applyBorder="1" applyAlignment="1" applyProtection="1">
      <alignment horizontal="left" vertical="center"/>
      <protection locked="0"/>
    </xf>
    <xf numFmtId="0" fontId="61" fillId="14" borderId="2" xfId="0" applyFont="1" applyFill="1" applyBorder="1" applyAlignment="1" applyProtection="1">
      <alignment horizontal="center" vertical="center"/>
      <protection locked="0"/>
    </xf>
    <xf numFmtId="0" fontId="18" fillId="0" borderId="0" xfId="0" applyFont="1"/>
    <xf numFmtId="0" fontId="62" fillId="14" borderId="0" xfId="0" applyFont="1" applyFill="1" applyAlignment="1" applyProtection="1">
      <alignment horizontal="left" vertical="center"/>
      <protection locked="0"/>
    </xf>
    <xf numFmtId="0" fontId="60" fillId="14" borderId="0" xfId="0" applyFont="1" applyFill="1" applyAlignment="1" applyProtection="1">
      <alignment horizontal="left" vertical="center" wrapText="1"/>
      <protection locked="0"/>
    </xf>
    <xf numFmtId="4" fontId="63" fillId="14" borderId="0" xfId="0" applyNumberFormat="1" applyFont="1" applyFill="1" applyAlignment="1" applyProtection="1">
      <alignment horizontal="right" vertical="center"/>
      <protection locked="0"/>
    </xf>
    <xf numFmtId="0" fontId="63" fillId="14" borderId="0" xfId="0" applyFont="1" applyFill="1" applyAlignment="1" applyProtection="1">
      <alignment horizontal="center" vertical="center"/>
      <protection locked="0"/>
    </xf>
    <xf numFmtId="4" fontId="63" fillId="0" borderId="0" xfId="0" applyNumberFormat="1" applyFont="1" applyAlignment="1" applyProtection="1">
      <alignment horizontal="right" vertical="center"/>
      <protection locked="0"/>
    </xf>
    <xf numFmtId="0" fontId="62" fillId="14" borderId="0" xfId="0" applyFont="1" applyFill="1" applyAlignment="1" applyProtection="1">
      <alignment horizontal="right" vertical="center" wrapText="1"/>
      <protection locked="0"/>
    </xf>
    <xf numFmtId="4" fontId="64" fillId="14" borderId="0" xfId="0" applyNumberFormat="1" applyFont="1" applyFill="1" applyAlignment="1" applyProtection="1">
      <alignment horizontal="right" vertical="center"/>
      <protection locked="0"/>
    </xf>
    <xf numFmtId="0" fontId="64" fillId="14" borderId="0" xfId="0" applyFont="1" applyFill="1" applyAlignment="1" applyProtection="1">
      <alignment horizontal="center" vertical="center"/>
      <protection locked="0"/>
    </xf>
    <xf numFmtId="0" fontId="60" fillId="14" borderId="0" xfId="0" applyFont="1" applyFill="1" applyAlignment="1" applyProtection="1">
      <alignment horizontal="justify" vertical="center" wrapText="1"/>
      <protection locked="0"/>
    </xf>
    <xf numFmtId="0" fontId="40" fillId="15" borderId="4" xfId="19" applyFont="1" applyFill="1" applyBorder="1" applyAlignment="1">
      <alignment vertical="center"/>
    </xf>
    <xf numFmtId="0" fontId="40" fillId="15" borderId="5" xfId="19" applyFont="1" applyFill="1" applyBorder="1" applyAlignment="1">
      <alignment vertical="center"/>
    </xf>
    <xf numFmtId="0" fontId="40" fillId="15" borderId="4" xfId="19" applyFont="1" applyFill="1" applyBorder="1" applyAlignment="1">
      <alignment horizontal="center" vertical="center"/>
    </xf>
    <xf numFmtId="0" fontId="40" fillId="15" borderId="6" xfId="19" applyFont="1" applyFill="1" applyBorder="1" applyAlignment="1">
      <alignment horizontal="center" vertical="center"/>
    </xf>
    <xf numFmtId="0" fontId="42" fillId="15" borderId="9" xfId="0" applyFont="1" applyFill="1" applyBorder="1"/>
    <xf numFmtId="0" fontId="42" fillId="15" borderId="10" xfId="19" applyFont="1" applyFill="1" applyBorder="1" applyAlignment="1">
      <alignment horizontal="left" vertical="center" wrapText="1"/>
    </xf>
    <xf numFmtId="9" fontId="42" fillId="15" borderId="11" xfId="19" applyNumberFormat="1" applyFont="1" applyFill="1" applyBorder="1" applyAlignment="1">
      <alignment horizontal="center" vertical="center"/>
    </xf>
    <xf numFmtId="0" fontId="65" fillId="0" borderId="0" xfId="0" applyFont="1"/>
    <xf numFmtId="175" fontId="40" fillId="16" borderId="15" xfId="19" applyNumberFormat="1" applyFont="1" applyFill="1" applyBorder="1" applyAlignment="1">
      <alignment horizontal="center" vertical="center"/>
    </xf>
    <xf numFmtId="191" fontId="40" fillId="16" borderId="15" xfId="2" applyNumberFormat="1" applyFont="1" applyFill="1" applyBorder="1" applyAlignment="1">
      <alignment horizontal="center" vertical="center" wrapText="1"/>
    </xf>
    <xf numFmtId="166" fontId="40" fillId="5" borderId="15" xfId="41" applyFont="1" applyFill="1" applyBorder="1" applyAlignment="1" applyProtection="1">
      <alignment horizontal="center" vertical="center" wrapText="1"/>
    </xf>
    <xf numFmtId="0" fontId="40" fillId="5" borderId="1" xfId="19" applyFont="1" applyFill="1" applyBorder="1" applyAlignment="1">
      <alignment horizontal="left" vertical="center"/>
    </xf>
    <xf numFmtId="0" fontId="40" fillId="5" borderId="3" xfId="19" applyFont="1" applyFill="1" applyBorder="1" applyAlignment="1">
      <alignment horizontal="center" vertical="center"/>
    </xf>
    <xf numFmtId="0" fontId="40" fillId="0" borderId="0" xfId="19" applyFont="1"/>
    <xf numFmtId="0" fontId="40" fillId="0" borderId="15" xfId="19" applyFont="1" applyBorder="1" applyAlignment="1">
      <alignment horizontal="center" vertical="center"/>
    </xf>
    <xf numFmtId="0" fontId="40" fillId="0" borderId="15" xfId="19" applyFont="1" applyBorder="1" applyAlignment="1">
      <alignment vertical="center" wrapText="1"/>
    </xf>
    <xf numFmtId="178" fontId="40" fillId="0" borderId="15" xfId="19" applyNumberFormat="1" applyFont="1" applyBorder="1" applyAlignment="1">
      <alignment horizontal="center" vertical="center"/>
    </xf>
    <xf numFmtId="0" fontId="40" fillId="0" borderId="15" xfId="19" applyFont="1" applyBorder="1" applyAlignment="1">
      <alignment horizontal="left" vertical="center" wrapText="1"/>
    </xf>
    <xf numFmtId="164" fontId="40" fillId="0" borderId="15" xfId="2" applyFont="1" applyBorder="1" applyAlignment="1">
      <alignment horizontal="left" vertical="center" wrapText="1"/>
    </xf>
    <xf numFmtId="0" fontId="40" fillId="0" borderId="1" xfId="19" applyFont="1" applyBorder="1" applyAlignment="1">
      <alignment horizontal="left" vertical="center" wrapText="1"/>
    </xf>
    <xf numFmtId="0" fontId="40" fillId="0" borderId="3" xfId="2" applyNumberFormat="1" applyFont="1" applyBorder="1" applyAlignment="1">
      <alignment horizontal="left" vertical="center"/>
    </xf>
    <xf numFmtId="191" fontId="40" fillId="0" borderId="15" xfId="2" applyNumberFormat="1" applyFont="1" applyBorder="1" applyAlignment="1">
      <alignment vertical="center"/>
    </xf>
    <xf numFmtId="0" fontId="40" fillId="0" borderId="1" xfId="1" applyNumberFormat="1" applyFont="1" applyBorder="1" applyAlignment="1">
      <alignment horizontal="left" vertical="center" wrapText="1"/>
    </xf>
    <xf numFmtId="164" fontId="40" fillId="14" borderId="15" xfId="2" applyFont="1" applyFill="1" applyBorder="1" applyAlignment="1">
      <alignment horizontal="center" vertical="center"/>
    </xf>
    <xf numFmtId="44" fontId="41" fillId="0" borderId="15" xfId="2" applyNumberFormat="1" applyFont="1" applyBorder="1" applyAlignment="1">
      <alignment horizontal="center" vertical="center"/>
    </xf>
    <xf numFmtId="0" fontId="66" fillId="0" borderId="15" xfId="19" applyFont="1" applyBorder="1" applyAlignment="1">
      <alignment horizontal="left" vertical="center" wrapText="1"/>
    </xf>
    <xf numFmtId="3" fontId="5" fillId="17" borderId="15" xfId="0" applyNumberFormat="1" applyFont="1" applyFill="1" applyBorder="1" applyAlignment="1">
      <alignment horizontal="left" vertical="center"/>
    </xf>
    <xf numFmtId="0" fontId="42" fillId="4" borderId="14" xfId="19" applyFont="1" applyFill="1" applyBorder="1" applyAlignment="1">
      <alignment horizontal="center" vertical="center"/>
    </xf>
    <xf numFmtId="0" fontId="42" fillId="0" borderId="0" xfId="0" applyFont="1"/>
    <xf numFmtId="0" fontId="40" fillId="3" borderId="15" xfId="0" applyFont="1" applyFill="1" applyBorder="1" applyAlignment="1">
      <alignment vertical="center" wrapText="1"/>
    </xf>
    <xf numFmtId="0" fontId="40" fillId="3" borderId="15" xfId="0" applyFont="1" applyFill="1" applyBorder="1" applyAlignment="1">
      <alignment horizontal="center" vertical="center"/>
    </xf>
    <xf numFmtId="173" fontId="40" fillId="0" borderId="15" xfId="2" applyNumberFormat="1" applyFont="1" applyBorder="1" applyAlignment="1" applyProtection="1">
      <alignment horizontal="left" vertical="center" wrapText="1"/>
    </xf>
    <xf numFmtId="173" fontId="40" fillId="0" borderId="15" xfId="14" applyNumberFormat="1" applyFont="1" applyBorder="1" applyAlignment="1" applyProtection="1">
      <alignment horizontal="right" vertical="center" wrapText="1"/>
    </xf>
    <xf numFmtId="0" fontId="40" fillId="0" borderId="0" xfId="0" applyFont="1" applyAlignment="1">
      <alignment horizontal="center"/>
    </xf>
    <xf numFmtId="0" fontId="47" fillId="0" borderId="0" xfId="0" applyFont="1" applyAlignment="1">
      <alignment horizontal="center"/>
    </xf>
    <xf numFmtId="0" fontId="46" fillId="0" borderId="0" xfId="0" applyFont="1" applyAlignment="1">
      <alignment horizontal="center"/>
    </xf>
    <xf numFmtId="0" fontId="46" fillId="0" borderId="0" xfId="0" applyFont="1"/>
    <xf numFmtId="10" fontId="36" fillId="0" borderId="0" xfId="3" applyNumberFormat="1"/>
    <xf numFmtId="0" fontId="46" fillId="0" borderId="0" xfId="0" applyFont="1" applyAlignment="1">
      <alignment horizontal="right"/>
    </xf>
    <xf numFmtId="0" fontId="47" fillId="0" borderId="0" xfId="0" applyFont="1" applyAlignment="1">
      <alignment horizontal="right"/>
    </xf>
    <xf numFmtId="0" fontId="46" fillId="0" borderId="0" xfId="0" applyFont="1" applyAlignment="1">
      <alignment horizontal="centerContinuous"/>
    </xf>
    <xf numFmtId="10" fontId="46" fillId="0" borderId="0" xfId="0" applyNumberFormat="1" applyFont="1" applyAlignment="1">
      <alignment horizontal="centerContinuous"/>
    </xf>
    <xf numFmtId="195" fontId="46" fillId="0" borderId="0" xfId="0" applyNumberFormat="1" applyFont="1"/>
    <xf numFmtId="187" fontId="46" fillId="0" borderId="0" xfId="0" applyNumberFormat="1" applyFont="1" applyAlignment="1">
      <alignment horizontal="left"/>
    </xf>
    <xf numFmtId="0" fontId="9" fillId="16" borderId="1" xfId="2" applyNumberFormat="1" applyFont="1" applyFill="1" applyBorder="1" applyAlignment="1" applyProtection="1">
      <alignment vertical="center" wrapText="1"/>
    </xf>
    <xf numFmtId="164" fontId="9" fillId="16" borderId="2" xfId="2" applyFont="1" applyFill="1" applyBorder="1" applyAlignment="1" applyProtection="1">
      <alignment horizontal="center" vertical="center" wrapText="1"/>
    </xf>
    <xf numFmtId="4" fontId="9" fillId="17" borderId="2" xfId="0" applyNumberFormat="1" applyFont="1" applyFill="1" applyBorder="1" applyAlignment="1">
      <alignment horizontal="right" vertical="center" wrapText="1"/>
    </xf>
    <xf numFmtId="164" fontId="9" fillId="16" borderId="2" xfId="2" applyFont="1" applyFill="1" applyBorder="1" applyAlignment="1" applyProtection="1">
      <alignment horizontal="right" vertical="center"/>
    </xf>
    <xf numFmtId="169" fontId="5" fillId="17" borderId="2" xfId="0" applyNumberFormat="1" applyFont="1" applyFill="1" applyBorder="1" applyAlignment="1">
      <alignment horizontal="right" vertical="center" wrapText="1"/>
    </xf>
    <xf numFmtId="10" fontId="5" fillId="17" borderId="2" xfId="3" applyNumberFormat="1" applyFont="1" applyFill="1" applyBorder="1" applyAlignment="1" applyProtection="1">
      <alignment horizontal="center" vertical="center" wrapText="1"/>
    </xf>
    <xf numFmtId="164" fontId="5" fillId="16" borderId="2" xfId="2" applyFont="1" applyFill="1" applyBorder="1" applyAlignment="1" applyProtection="1">
      <alignment vertical="center"/>
    </xf>
    <xf numFmtId="164" fontId="5" fillId="16" borderId="2" xfId="2" applyFont="1" applyFill="1" applyBorder="1" applyAlignment="1" applyProtection="1">
      <alignment horizontal="left" vertical="center"/>
    </xf>
    <xf numFmtId="164" fontId="9" fillId="17" borderId="2" xfId="2" applyFont="1" applyFill="1" applyBorder="1" applyAlignment="1" applyProtection="1">
      <alignment vertical="center"/>
    </xf>
    <xf numFmtId="169" fontId="9" fillId="16" borderId="3" xfId="0" applyNumberFormat="1" applyFont="1" applyFill="1" applyBorder="1" applyAlignment="1">
      <alignment horizontal="left" vertical="center" wrapText="1"/>
    </xf>
    <xf numFmtId="0" fontId="9" fillId="17" borderId="1" xfId="47" applyFont="1" applyFill="1" applyBorder="1" applyAlignment="1">
      <alignment horizontal="left" vertical="center" wrapText="1"/>
    </xf>
    <xf numFmtId="0" fontId="9" fillId="17" borderId="3" xfId="0" applyFont="1" applyFill="1" applyBorder="1" applyAlignment="1">
      <alignment horizontal="left" vertical="center"/>
    </xf>
    <xf numFmtId="0" fontId="7" fillId="0" borderId="0" xfId="48" applyFont="1" applyAlignment="1">
      <alignment horizontal="left" vertical="center" wrapText="1"/>
    </xf>
    <xf numFmtId="196" fontId="14" fillId="3" borderId="11" xfId="3" applyNumberFormat="1" applyFont="1" applyFill="1" applyBorder="1" applyAlignment="1" applyProtection="1">
      <alignment horizontal="center" vertical="center"/>
    </xf>
    <xf numFmtId="0" fontId="67" fillId="13" borderId="15" xfId="0" applyFont="1" applyFill="1" applyBorder="1" applyAlignment="1">
      <alignment horizontal="center" vertical="center" wrapText="1"/>
    </xf>
    <xf numFmtId="0" fontId="68" fillId="0" borderId="0" xfId="0" applyFont="1"/>
    <xf numFmtId="0" fontId="69" fillId="0" borderId="15" xfId="0" applyFont="1" applyBorder="1" applyAlignment="1">
      <alignment horizontal="center" vertical="center" wrapText="1"/>
    </xf>
    <xf numFmtId="0" fontId="69" fillId="0" borderId="15" xfId="0" applyFont="1" applyBorder="1" applyAlignment="1">
      <alignment vertical="center"/>
    </xf>
    <xf numFmtId="0" fontId="69" fillId="0" borderId="15" xfId="0" applyFont="1" applyBorder="1" applyAlignment="1">
      <alignment horizontal="left" vertical="center" wrapText="1"/>
    </xf>
    <xf numFmtId="0" fontId="68" fillId="3" borderId="0" xfId="0" applyFont="1" applyFill="1"/>
    <xf numFmtId="0" fontId="9" fillId="18" borderId="15" xfId="2" applyNumberFormat="1" applyFont="1" applyFill="1" applyBorder="1" applyAlignment="1" applyProtection="1">
      <alignment vertical="center" wrapText="1"/>
    </xf>
    <xf numFmtId="169" fontId="9" fillId="18" borderId="15" xfId="0" applyNumberFormat="1" applyFont="1" applyFill="1" applyBorder="1" applyAlignment="1">
      <alignment horizontal="left" vertical="center" wrapText="1"/>
    </xf>
    <xf numFmtId="179" fontId="0" fillId="18" borderId="15" xfId="3" applyNumberFormat="1" applyFont="1" applyFill="1" applyBorder="1" applyAlignment="1" applyProtection="1">
      <alignment horizontal="center" vertical="center"/>
    </xf>
    <xf numFmtId="179" fontId="0" fillId="18" borderId="15" xfId="0" applyNumberFormat="1" applyFill="1" applyBorder="1" applyAlignment="1">
      <alignment horizontal="center" vertical="center"/>
    </xf>
    <xf numFmtId="0" fontId="7" fillId="2" borderId="15" xfId="0" applyFont="1" applyFill="1" applyBorder="1" applyAlignment="1">
      <alignment horizontal="center" vertical="center" wrapText="1"/>
    </xf>
    <xf numFmtId="4" fontId="7" fillId="2" borderId="15" xfId="0" applyNumberFormat="1" applyFont="1" applyFill="1" applyBorder="1" applyAlignment="1">
      <alignment horizontal="center" vertical="center" wrapText="1"/>
    </xf>
    <xf numFmtId="10" fontId="7" fillId="4" borderId="15" xfId="3" applyNumberFormat="1" applyFont="1" applyFill="1" applyBorder="1" applyAlignment="1" applyProtection="1">
      <alignment horizontal="right" vertical="center"/>
    </xf>
    <xf numFmtId="164" fontId="7" fillId="4" borderId="15" xfId="2" applyFont="1" applyFill="1" applyBorder="1" applyAlignment="1" applyProtection="1">
      <alignment horizontal="center" vertical="center"/>
    </xf>
    <xf numFmtId="0" fontId="67" fillId="15" borderId="15" xfId="0" applyFont="1" applyFill="1" applyBorder="1" applyAlignment="1">
      <alignment horizontal="center" vertical="center"/>
    </xf>
    <xf numFmtId="0" fontId="6" fillId="13" borderId="15" xfId="0" applyFont="1" applyFill="1" applyBorder="1" applyAlignment="1">
      <alignment horizontal="left" vertical="center"/>
    </xf>
    <xf numFmtId="0" fontId="6" fillId="13" borderId="1" xfId="0" applyFont="1" applyFill="1" applyBorder="1" applyAlignment="1">
      <alignment horizontal="center" vertical="center" wrapText="1"/>
    </xf>
    <xf numFmtId="0" fontId="6" fillId="13" borderId="3" xfId="0" applyFont="1" applyFill="1" applyBorder="1" applyAlignment="1">
      <alignment horizontal="center" vertical="center" wrapText="1"/>
    </xf>
    <xf numFmtId="0" fontId="20" fillId="0" borderId="15" xfId="22" applyFont="1" applyBorder="1" applyAlignment="1">
      <alignment horizontal="left"/>
    </xf>
    <xf numFmtId="0" fontId="20" fillId="5" borderId="15" xfId="22" applyFont="1" applyFill="1" applyBorder="1" applyAlignment="1">
      <alignment horizontal="left"/>
    </xf>
    <xf numFmtId="0" fontId="20" fillId="0" borderId="12" xfId="22" applyFont="1" applyBorder="1" applyAlignment="1">
      <alignment horizontal="left"/>
    </xf>
    <xf numFmtId="0" fontId="20" fillId="2" borderId="15" xfId="22" applyFont="1" applyFill="1" applyBorder="1" applyAlignment="1">
      <alignment horizontal="center"/>
    </xf>
    <xf numFmtId="0" fontId="18" fillId="4" borderId="15" xfId="22" applyFont="1" applyFill="1" applyBorder="1" applyAlignment="1">
      <alignment horizontal="center"/>
    </xf>
    <xf numFmtId="0" fontId="28" fillId="5" borderId="15" xfId="32" applyFont="1" applyFill="1" applyBorder="1" applyAlignment="1">
      <alignment horizontal="center" vertical="center" wrapText="1"/>
    </xf>
    <xf numFmtId="0" fontId="26" fillId="6" borderId="15" xfId="33" applyFont="1" applyFill="1" applyBorder="1" applyAlignment="1">
      <alignment horizontal="center" vertical="center" wrapText="1"/>
    </xf>
    <xf numFmtId="0" fontId="26" fillId="0" borderId="15" xfId="33" applyFont="1" applyBorder="1" applyAlignment="1">
      <alignment horizontal="center"/>
    </xf>
    <xf numFmtId="0" fontId="4" fillId="0" borderId="15" xfId="33" applyBorder="1" applyAlignment="1">
      <alignment horizontal="center"/>
    </xf>
    <xf numFmtId="0" fontId="28" fillId="5" borderId="15" xfId="0" applyFont="1" applyFill="1" applyBorder="1" applyAlignment="1">
      <alignment horizontal="center" vertical="center" wrapText="1"/>
    </xf>
    <xf numFmtId="0" fontId="47" fillId="16" borderId="15" xfId="0" applyFont="1" applyFill="1" applyBorder="1" applyAlignment="1">
      <alignment horizontal="center" vertical="center" wrapText="1"/>
    </xf>
    <xf numFmtId="0" fontId="47" fillId="16" borderId="15" xfId="0" applyFont="1" applyFill="1" applyBorder="1" applyAlignment="1">
      <alignment horizontal="center" vertical="center"/>
    </xf>
    <xf numFmtId="0" fontId="49" fillId="5" borderId="1" xfId="21" applyFont="1" applyFill="1" applyBorder="1" applyAlignment="1">
      <alignment horizontal="center" vertical="center" wrapText="1"/>
    </xf>
    <xf numFmtId="0" fontId="49" fillId="5" borderId="2" xfId="21" applyFont="1" applyFill="1" applyBorder="1" applyAlignment="1">
      <alignment horizontal="center" vertical="center" wrapText="1"/>
    </xf>
    <xf numFmtId="0" fontId="49" fillId="5" borderId="3" xfId="21" applyFont="1" applyFill="1" applyBorder="1" applyAlignment="1">
      <alignment horizontal="center" vertical="center" wrapText="1"/>
    </xf>
    <xf numFmtId="0" fontId="4" fillId="0" borderId="15" xfId="33" applyBorder="1" applyAlignment="1">
      <alignment horizontal="left"/>
    </xf>
    <xf numFmtId="0" fontId="56" fillId="0" borderId="10" xfId="32" applyFont="1" applyBorder="1" applyAlignment="1">
      <alignment horizontal="center" vertical="center"/>
    </xf>
    <xf numFmtId="40" fontId="56" fillId="14" borderId="46" xfId="21" applyNumberFormat="1" applyFont="1" applyFill="1" applyBorder="1" applyAlignment="1">
      <alignment horizontal="right" vertical="center"/>
    </xf>
    <xf numFmtId="40" fontId="56" fillId="14" borderId="52" xfId="21" applyNumberFormat="1" applyFont="1" applyFill="1" applyBorder="1" applyAlignment="1">
      <alignment horizontal="right" vertical="center"/>
    </xf>
    <xf numFmtId="40" fontId="56" fillId="14" borderId="53" xfId="21" applyNumberFormat="1" applyFont="1" applyFill="1" applyBorder="1" applyAlignment="1">
      <alignment horizontal="right" vertical="center"/>
    </xf>
    <xf numFmtId="0" fontId="21" fillId="0" borderId="45" xfId="50" applyFont="1" applyBorder="1" applyAlignment="1">
      <alignment horizontal="left" vertical="center"/>
    </xf>
    <xf numFmtId="0" fontId="21" fillId="0" borderId="18" xfId="50" applyFont="1" applyBorder="1" applyAlignment="1">
      <alignment horizontal="center" vertical="center"/>
    </xf>
    <xf numFmtId="0" fontId="21" fillId="0" borderId="18" xfId="50" applyFont="1" applyBorder="1" applyAlignment="1">
      <alignment horizontal="center" vertical="center" wrapText="1"/>
    </xf>
    <xf numFmtId="0" fontId="21" fillId="0" borderId="45" xfId="50" applyFont="1" applyBorder="1" applyAlignment="1">
      <alignment horizontal="center" vertical="center"/>
    </xf>
    <xf numFmtId="0" fontId="21" fillId="0" borderId="45" xfId="50" applyFont="1" applyBorder="1" applyAlignment="1">
      <alignment horizontal="center" vertical="center" wrapText="1"/>
    </xf>
    <xf numFmtId="0" fontId="58" fillId="14" borderId="22" xfId="32" applyFont="1" applyFill="1" applyBorder="1" applyAlignment="1">
      <alignment horizontal="left" vertical="center"/>
    </xf>
    <xf numFmtId="0" fontId="58" fillId="14" borderId="23" xfId="32" applyFont="1" applyFill="1" applyBorder="1" applyAlignment="1">
      <alignment horizontal="left" vertical="center"/>
    </xf>
    <xf numFmtId="0" fontId="58" fillId="14" borderId="44" xfId="32" applyFont="1" applyFill="1" applyBorder="1" applyAlignment="1">
      <alignment horizontal="left" vertical="center"/>
    </xf>
    <xf numFmtId="0" fontId="58" fillId="14" borderId="45" xfId="32" applyFont="1" applyFill="1" applyBorder="1" applyAlignment="1">
      <alignment horizontal="left" vertical="center"/>
    </xf>
    <xf numFmtId="0" fontId="58" fillId="14" borderId="48" xfId="32" applyFont="1" applyFill="1" applyBorder="1" applyAlignment="1">
      <alignment horizontal="left" vertical="center"/>
    </xf>
    <xf numFmtId="0" fontId="58" fillId="14" borderId="49" xfId="32" applyFont="1" applyFill="1" applyBorder="1" applyAlignment="1">
      <alignment horizontal="left" vertical="center"/>
    </xf>
    <xf numFmtId="0" fontId="57" fillId="14" borderId="15" xfId="32" applyFont="1" applyFill="1" applyBorder="1" applyAlignment="1">
      <alignment horizontal="right" vertical="center"/>
    </xf>
    <xf numFmtId="0" fontId="51" fillId="0" borderId="0" xfId="32" applyFont="1" applyAlignment="1">
      <alignment horizontal="right" vertical="center"/>
    </xf>
    <xf numFmtId="0" fontId="55" fillId="14" borderId="1" xfId="32" applyFont="1" applyFill="1" applyBorder="1" applyAlignment="1">
      <alignment horizontal="center" vertical="center"/>
    </xf>
    <xf numFmtId="0" fontId="55" fillId="14" borderId="3" xfId="32" applyFont="1" applyFill="1" applyBorder="1" applyAlignment="1">
      <alignment horizontal="center" vertical="center"/>
    </xf>
    <xf numFmtId="0" fontId="57" fillId="14" borderId="15" xfId="32" applyFont="1" applyFill="1" applyBorder="1" applyAlignment="1">
      <alignment horizontal="center" vertical="center"/>
    </xf>
    <xf numFmtId="4" fontId="57" fillId="14" borderId="1" xfId="32" applyNumberFormat="1" applyFont="1" applyFill="1" applyBorder="1" applyAlignment="1">
      <alignment horizontal="center" vertical="center"/>
    </xf>
    <xf numFmtId="4" fontId="57" fillId="14" borderId="15" xfId="32" applyNumberFormat="1" applyFont="1" applyFill="1" applyBorder="1" applyAlignment="1">
      <alignment horizontal="center" vertical="center" wrapText="1"/>
    </xf>
    <xf numFmtId="0" fontId="51" fillId="14" borderId="22" xfId="32" applyFont="1" applyFill="1" applyBorder="1" applyAlignment="1">
      <alignment horizontal="left" vertical="center"/>
    </xf>
    <xf numFmtId="0" fontId="51" fillId="14" borderId="23" xfId="32" applyFont="1" applyFill="1" applyBorder="1" applyAlignment="1">
      <alignment horizontal="left" vertical="center"/>
    </xf>
    <xf numFmtId="0" fontId="51" fillId="14" borderId="44" xfId="32" applyFont="1" applyFill="1" applyBorder="1" applyAlignment="1">
      <alignment horizontal="left" vertical="center"/>
    </xf>
    <xf numFmtId="0" fontId="51" fillId="14" borderId="45" xfId="32" applyFont="1" applyFill="1" applyBorder="1" applyAlignment="1">
      <alignment horizontal="left" vertical="center"/>
    </xf>
    <xf numFmtId="0" fontId="55" fillId="14" borderId="1" xfId="32" applyFont="1" applyFill="1" applyBorder="1" applyAlignment="1">
      <alignment horizontal="left" vertical="center"/>
    </xf>
    <xf numFmtId="0" fontId="55" fillId="14" borderId="2" xfId="32" applyFont="1" applyFill="1" applyBorder="1" applyAlignment="1">
      <alignment horizontal="left" vertical="center"/>
    </xf>
    <xf numFmtId="0" fontId="56" fillId="14" borderId="35" xfId="32" applyFont="1" applyFill="1" applyBorder="1" applyAlignment="1">
      <alignment horizontal="center" vertical="center" wrapText="1"/>
    </xf>
    <xf numFmtId="0" fontId="56" fillId="14" borderId="37" xfId="32" applyFont="1" applyFill="1" applyBorder="1" applyAlignment="1">
      <alignment horizontal="center" vertical="center" wrapText="1"/>
    </xf>
    <xf numFmtId="0" fontId="56" fillId="14" borderId="38" xfId="32" applyFont="1" applyFill="1" applyBorder="1" applyAlignment="1">
      <alignment horizontal="center" vertical="center"/>
    </xf>
    <xf numFmtId="0" fontId="56" fillId="14" borderId="39" xfId="32" applyFont="1" applyFill="1" applyBorder="1" applyAlignment="1">
      <alignment horizontal="center" vertical="center"/>
    </xf>
    <xf numFmtId="0" fontId="56" fillId="14" borderId="40" xfId="32" applyFont="1" applyFill="1" applyBorder="1" applyAlignment="1">
      <alignment horizontal="center" vertical="center"/>
    </xf>
    <xf numFmtId="0" fontId="56" fillId="14" borderId="41" xfId="32" applyFont="1" applyFill="1" applyBorder="1" applyAlignment="1">
      <alignment horizontal="center" vertical="center" wrapText="1"/>
    </xf>
    <xf numFmtId="0" fontId="56" fillId="14" borderId="42" xfId="32" applyFont="1" applyFill="1" applyBorder="1" applyAlignment="1">
      <alignment horizontal="center" vertical="center" wrapText="1"/>
    </xf>
    <xf numFmtId="0" fontId="56" fillId="14" borderId="34" xfId="32" applyFont="1" applyFill="1" applyBorder="1" applyAlignment="1">
      <alignment horizontal="left" vertical="center"/>
    </xf>
    <xf numFmtId="0" fontId="56" fillId="14" borderId="35" xfId="32" applyFont="1" applyFill="1" applyBorder="1" applyAlignment="1">
      <alignment horizontal="center" vertical="center"/>
    </xf>
    <xf numFmtId="0" fontId="56" fillId="14" borderId="36" xfId="32" applyFont="1" applyFill="1" applyBorder="1" applyAlignment="1">
      <alignment horizontal="center" vertical="center"/>
    </xf>
    <xf numFmtId="0" fontId="56" fillId="14" borderId="37" xfId="32" applyFont="1" applyFill="1" applyBorder="1" applyAlignment="1">
      <alignment horizontal="center" vertical="center"/>
    </xf>
    <xf numFmtId="0" fontId="56" fillId="14" borderId="34" xfId="32" applyFont="1" applyFill="1" applyBorder="1" applyAlignment="1">
      <alignment horizontal="center" vertical="center" wrapText="1"/>
    </xf>
    <xf numFmtId="0" fontId="55" fillId="14" borderId="15" xfId="32" applyFont="1" applyFill="1" applyBorder="1" applyAlignment="1">
      <alignment horizontal="center" vertical="center"/>
    </xf>
    <xf numFmtId="0" fontId="57" fillId="14" borderId="1" xfId="32" applyFont="1" applyFill="1" applyBorder="1" applyAlignment="1">
      <alignment horizontal="center" vertical="center" wrapText="1"/>
    </xf>
    <xf numFmtId="1" fontId="33" fillId="9" borderId="15" xfId="0" applyNumberFormat="1" applyFont="1" applyFill="1" applyBorder="1" applyAlignment="1">
      <alignment horizontal="center" vertical="center" wrapText="1"/>
    </xf>
    <xf numFmtId="0" fontId="33" fillId="9" borderId="1" xfId="0" applyFont="1" applyFill="1" applyBorder="1" applyAlignment="1">
      <alignment horizontal="center" vertical="center" wrapText="1"/>
    </xf>
    <xf numFmtId="1" fontId="22" fillId="0" borderId="25" xfId="0" applyNumberFormat="1" applyFont="1" applyBorder="1" applyAlignment="1">
      <alignment horizontal="center"/>
    </xf>
    <xf numFmtId="0" fontId="6" fillId="0" borderId="27" xfId="0" applyFont="1" applyBorder="1" applyAlignment="1">
      <alignment horizontal="left"/>
    </xf>
    <xf numFmtId="0" fontId="0" fillId="0" borderId="28" xfId="0" applyBorder="1" applyAlignment="1">
      <alignment horizontal="left" vertical="top" wrapText="1"/>
    </xf>
    <xf numFmtId="0" fontId="0" fillId="0" borderId="28" xfId="0" applyBorder="1" applyAlignment="1">
      <alignment horizontal="left"/>
    </xf>
    <xf numFmtId="49" fontId="0" fillId="0" borderId="28" xfId="0" applyNumberFormat="1" applyBorder="1" applyAlignment="1">
      <alignment horizontal="left"/>
    </xf>
    <xf numFmtId="167" fontId="33" fillId="9" borderId="15" xfId="0" applyNumberFormat="1" applyFont="1" applyFill="1" applyBorder="1" applyAlignment="1">
      <alignment horizontal="center" vertical="center" wrapText="1"/>
    </xf>
    <xf numFmtId="0" fontId="33" fillId="9" borderId="15" xfId="0" applyFont="1" applyFill="1" applyBorder="1" applyAlignment="1">
      <alignment horizontal="center" vertical="center" wrapText="1"/>
    </xf>
    <xf numFmtId="0" fontId="0" fillId="10" borderId="28" xfId="0" applyFill="1" applyBorder="1" applyAlignment="1">
      <alignment horizontal="left"/>
    </xf>
    <xf numFmtId="188" fontId="0" fillId="10" borderId="28" xfId="0" applyNumberFormat="1" applyFill="1" applyBorder="1" applyAlignment="1">
      <alignment horizontal="left"/>
    </xf>
    <xf numFmtId="49" fontId="33" fillId="9" borderId="15" xfId="0" applyNumberFormat="1" applyFont="1" applyFill="1" applyBorder="1" applyAlignment="1">
      <alignment horizontal="left" vertical="center" wrapText="1"/>
    </xf>
    <xf numFmtId="0" fontId="22" fillId="0" borderId="25" xfId="0" applyFont="1" applyBorder="1" applyAlignment="1">
      <alignment horizontal="center"/>
    </xf>
    <xf numFmtId="0" fontId="6" fillId="10" borderId="27" xfId="0" applyFont="1" applyFill="1" applyBorder="1" applyAlignment="1">
      <alignment horizontal="center"/>
    </xf>
    <xf numFmtId="0" fontId="33" fillId="9" borderId="26" xfId="0" applyFont="1" applyFill="1" applyBorder="1" applyAlignment="1">
      <alignment horizontal="left" wrapText="1"/>
    </xf>
    <xf numFmtId="0" fontId="0" fillId="10" borderId="28" xfId="0" applyFill="1" applyBorder="1" applyAlignment="1">
      <alignment horizontal="left" vertical="top" wrapText="1"/>
    </xf>
    <xf numFmtId="0" fontId="0" fillId="10" borderId="27" xfId="0" applyFill="1" applyBorder="1" applyAlignment="1">
      <alignment horizontal="left"/>
    </xf>
    <xf numFmtId="1" fontId="33" fillId="9" borderId="9" xfId="0" applyNumberFormat="1" applyFont="1" applyFill="1" applyBorder="1" applyAlignment="1">
      <alignment horizontal="center" vertical="center" wrapText="1"/>
    </xf>
    <xf numFmtId="2" fontId="0" fillId="10" borderId="28" xfId="0" applyNumberFormat="1" applyFill="1" applyBorder="1" applyAlignment="1">
      <alignment horizontal="left"/>
    </xf>
    <xf numFmtId="188" fontId="0" fillId="10" borderId="28" xfId="0" applyNumberFormat="1" applyFill="1" applyBorder="1" applyAlignment="1">
      <alignment horizontal="center"/>
    </xf>
    <xf numFmtId="0" fontId="6" fillId="10" borderId="27" xfId="0" applyFont="1" applyFill="1" applyBorder="1" applyAlignment="1">
      <alignment horizontal="left"/>
    </xf>
    <xf numFmtId="0" fontId="0" fillId="0" borderId="27" xfId="0" applyBorder="1" applyAlignment="1">
      <alignment horizontal="left"/>
    </xf>
  </cellXfs>
  <cellStyles count="51">
    <cellStyle name="Campo da tabela dinâmica" xfId="5" xr:uid="{00000000-0005-0000-0000-000006000000}"/>
    <cellStyle name="Canto da tabela dinâmica" xfId="6" xr:uid="{00000000-0005-0000-0000-000007000000}"/>
    <cellStyle name="Categoria da tabela dinâmica" xfId="7" xr:uid="{00000000-0005-0000-0000-000008000000}"/>
    <cellStyle name="Excel Built-in Normal" xfId="48" xr:uid="{00000000-0005-0000-0000-000031000000}"/>
    <cellStyle name="Excel Built-in Normal 1 2" xfId="49" xr:uid="{00000000-0005-0000-0000-000032000000}"/>
    <cellStyle name="Excel Built-in Normal 4" xfId="47" xr:uid="{00000000-0005-0000-0000-000030000000}"/>
    <cellStyle name="Hiperlink" xfId="4" builtinId="8"/>
    <cellStyle name="Hiperlink 2" xfId="8" xr:uid="{00000000-0005-0000-0000-000009000000}"/>
    <cellStyle name="Moeda" xfId="2" builtinId="4"/>
    <cellStyle name="Moeda 11" xfId="9" xr:uid="{00000000-0005-0000-0000-00000A000000}"/>
    <cellStyle name="Moeda 2 2" xfId="10" xr:uid="{00000000-0005-0000-0000-00000B000000}"/>
    <cellStyle name="Moeda 2 2 2" xfId="11" xr:uid="{00000000-0005-0000-0000-00000C000000}"/>
    <cellStyle name="Moeda 2 2 3" xfId="12" xr:uid="{00000000-0005-0000-0000-00000D000000}"/>
    <cellStyle name="Moeda 2 2 4" xfId="13" xr:uid="{00000000-0005-0000-0000-00000E000000}"/>
    <cellStyle name="Moeda 2 4" xfId="14" xr:uid="{00000000-0005-0000-0000-00000F000000}"/>
    <cellStyle name="Moeda 3" xfId="15" xr:uid="{00000000-0005-0000-0000-000010000000}"/>
    <cellStyle name="Moeda 3 3" xfId="16" xr:uid="{00000000-0005-0000-0000-000011000000}"/>
    <cellStyle name="Normal" xfId="0" builtinId="0"/>
    <cellStyle name="Normal 11 2" xfId="17" xr:uid="{00000000-0005-0000-0000-000012000000}"/>
    <cellStyle name="Normal 17" xfId="18" xr:uid="{00000000-0005-0000-0000-000013000000}"/>
    <cellStyle name="Normal 2" xfId="19" xr:uid="{00000000-0005-0000-0000-000014000000}"/>
    <cellStyle name="Normal 2 10 2" xfId="20" xr:uid="{00000000-0005-0000-0000-000015000000}"/>
    <cellStyle name="Normal 2 2" xfId="21" xr:uid="{00000000-0005-0000-0000-000016000000}"/>
    <cellStyle name="Normal 2 2 2" xfId="22" xr:uid="{00000000-0005-0000-0000-000017000000}"/>
    <cellStyle name="Normal 2 3" xfId="23" xr:uid="{00000000-0005-0000-0000-000018000000}"/>
    <cellStyle name="Normal 2 4" xfId="24" xr:uid="{00000000-0005-0000-0000-000019000000}"/>
    <cellStyle name="Normal 3" xfId="25" xr:uid="{00000000-0005-0000-0000-00001A000000}"/>
    <cellStyle name="Normal 3 2" xfId="26" xr:uid="{00000000-0005-0000-0000-00001B000000}"/>
    <cellStyle name="Normal 3 3" xfId="27" xr:uid="{00000000-0005-0000-0000-00001C000000}"/>
    <cellStyle name="Normal 3 3 2" xfId="28" xr:uid="{00000000-0005-0000-0000-00001D000000}"/>
    <cellStyle name="Normal 3 3 3" xfId="29" xr:uid="{00000000-0005-0000-0000-00001E000000}"/>
    <cellStyle name="Normal 3 4" xfId="30" xr:uid="{00000000-0005-0000-0000-00001F000000}"/>
    <cellStyle name="Normal 3 5" xfId="31" xr:uid="{00000000-0005-0000-0000-000020000000}"/>
    <cellStyle name="Normal 4" xfId="32" xr:uid="{00000000-0005-0000-0000-000021000000}"/>
    <cellStyle name="Normal 4 2" xfId="50" xr:uid="{A56A5065-E006-4CF4-918F-505889BC2CEB}"/>
    <cellStyle name="Normal 43" xfId="33" xr:uid="{00000000-0005-0000-0000-000022000000}"/>
    <cellStyle name="Normal 5" xfId="34" xr:uid="{00000000-0005-0000-0000-000023000000}"/>
    <cellStyle name="Normal 5 2" xfId="35" xr:uid="{00000000-0005-0000-0000-000024000000}"/>
    <cellStyle name="Porcentagem" xfId="3" builtinId="5"/>
    <cellStyle name="Porcentagem 2" xfId="36" xr:uid="{00000000-0005-0000-0000-000025000000}"/>
    <cellStyle name="Porcentagem 2 2" xfId="37" xr:uid="{00000000-0005-0000-0000-000026000000}"/>
    <cellStyle name="Porcentagem 2 4" xfId="38" xr:uid="{00000000-0005-0000-0000-000027000000}"/>
    <cellStyle name="Porcentagem 4" xfId="39" xr:uid="{00000000-0005-0000-0000-000028000000}"/>
    <cellStyle name="Resultado da tabela dinâmica" xfId="40" xr:uid="{00000000-0005-0000-0000-000029000000}"/>
    <cellStyle name="Separador de milhares 3_PEDRO BOÉSSIO ORÇAMENTO - CAIXA - REV 01" xfId="41" xr:uid="{00000000-0005-0000-0000-00002A000000}"/>
    <cellStyle name="Separador de milhares_PATO BR 242 - KM 0,0 - 18,4" xfId="42" xr:uid="{00000000-0005-0000-0000-00002B000000}"/>
    <cellStyle name="Título da tabela dinâmica" xfId="43" xr:uid="{00000000-0005-0000-0000-00002C000000}"/>
    <cellStyle name="Valor da tabela dinâmica" xfId="44" xr:uid="{00000000-0005-0000-0000-00002D000000}"/>
    <cellStyle name="Vírgula" xfId="1" builtinId="3"/>
    <cellStyle name="Vírgula 3" xfId="45" xr:uid="{00000000-0005-0000-0000-00002E000000}"/>
    <cellStyle name="Vírgula 6 3" xfId="46" xr:uid="{00000000-0005-0000-0000-00002F000000}"/>
  </cellStyles>
  <dxfs count="3">
    <dxf>
      <font>
        <color rgb="FFFF0000"/>
      </font>
    </dxf>
    <dxf>
      <font>
        <color rgb="FFFF0000"/>
      </font>
    </dxf>
    <dxf>
      <font>
        <color rgb="FFFF0000"/>
      </font>
    </dxf>
  </dxfs>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9C0006"/>
      <rgbColor rgb="FF008000"/>
      <rgbColor rgb="FF000080"/>
      <rgbColor rgb="FF938953"/>
      <rgbColor rgb="FF800080"/>
      <rgbColor rgb="FF005CA9"/>
      <rgbColor rgb="FFBFBFBF"/>
      <rgbColor rgb="FF808080"/>
      <rgbColor rgb="FF9999FF"/>
      <rgbColor rgb="FF595959"/>
      <rgbColor rgb="FFF2F2F2"/>
      <rgbColor rgb="FFCCFFFF"/>
      <rgbColor rgb="FF660066"/>
      <rgbColor rgb="FFFF8080"/>
      <rgbColor rgb="FF0563C1"/>
      <rgbColor rgb="FFD8D8D8"/>
      <rgbColor rgb="FF000080"/>
      <rgbColor rgb="FFFF00FF"/>
      <rgbColor rgb="FFFFFF00"/>
      <rgbColor rgb="FF00FFFF"/>
      <rgbColor rgb="FF800080"/>
      <rgbColor rgb="FF800000"/>
      <rgbColor rgb="FF008080"/>
      <rgbColor rgb="FF0000FF"/>
      <rgbColor rgb="FF00CCFF"/>
      <rgbColor rgb="FFCCFFFF"/>
      <rgbColor rgb="FFD9D9D9"/>
      <rgbColor rgb="FFFFFF99"/>
      <rgbColor rgb="FF9DC3E6"/>
      <rgbColor rgb="FFFF99CC"/>
      <rgbColor rgb="FFCC99FF"/>
      <rgbColor rgb="FFFFD966"/>
      <rgbColor rgb="FF4472C4"/>
      <rgbColor rgb="FF33CCCC"/>
      <rgbColor rgb="FFA9D18E"/>
      <rgbColor rgb="FFFFCC00"/>
      <rgbColor rgb="FFFF9900"/>
      <rgbColor rgb="FFED7D31"/>
      <rgbColor rgb="FF606060"/>
      <rgbColor rgb="FFA6A6A6"/>
      <rgbColor rgb="FF003366"/>
      <rgbColor rgb="FF00B050"/>
      <rgbColor rgb="FF003300"/>
      <rgbColor rgb="FF333300"/>
      <rgbColor rgb="FF993300"/>
      <rgbColor rgb="FF993366"/>
      <rgbColor rgb="FF366092"/>
      <rgbColor rgb="FF404040"/>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g"/><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editAs="oneCell">
    <xdr:from>
      <xdr:col>12</xdr:col>
      <xdr:colOff>67236</xdr:colOff>
      <xdr:row>13</xdr:row>
      <xdr:rowOff>302559</xdr:rowOff>
    </xdr:from>
    <xdr:to>
      <xdr:col>19</xdr:col>
      <xdr:colOff>50704</xdr:colOff>
      <xdr:row>30</xdr:row>
      <xdr:rowOff>183621</xdr:rowOff>
    </xdr:to>
    <xdr:pic>
      <xdr:nvPicPr>
        <xdr:cNvPr id="3" name="Imagem 2">
          <a:extLst>
            <a:ext uri="{FF2B5EF4-FFF2-40B4-BE49-F238E27FC236}">
              <a16:creationId xmlns:a16="http://schemas.microsoft.com/office/drawing/2014/main" id="{3FC22E2A-5A68-46F3-9843-333FED9CEE0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808824" y="3227294"/>
          <a:ext cx="3983968" cy="4531503"/>
        </a:xfrm>
        <a:prstGeom prst="rect">
          <a:avLst/>
        </a:prstGeom>
      </xdr:spPr>
    </xdr:pic>
    <xdr:clientData/>
  </xdr:twoCellAnchor>
  <xdr:twoCellAnchor editAs="oneCell">
    <xdr:from>
      <xdr:col>12</xdr:col>
      <xdr:colOff>65669</xdr:colOff>
      <xdr:row>31</xdr:row>
      <xdr:rowOff>78442</xdr:rowOff>
    </xdr:from>
    <xdr:to>
      <xdr:col>19</xdr:col>
      <xdr:colOff>89646</xdr:colOff>
      <xdr:row>47</xdr:row>
      <xdr:rowOff>93569</xdr:rowOff>
    </xdr:to>
    <xdr:pic>
      <xdr:nvPicPr>
        <xdr:cNvPr id="7" name="Imagem 6">
          <a:extLst>
            <a:ext uri="{FF2B5EF4-FFF2-40B4-BE49-F238E27FC236}">
              <a16:creationId xmlns:a16="http://schemas.microsoft.com/office/drawing/2014/main" id="{A9ACD8BD-48EF-40E3-8986-F687B4DDE4AE}"/>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6807257" y="7844118"/>
          <a:ext cx="4024477" cy="3231216"/>
        </a:xfrm>
        <a:prstGeom prst="rect">
          <a:avLst/>
        </a:prstGeom>
      </xdr:spPr>
    </xdr:pic>
    <xdr:clientData/>
  </xdr:twoCellAnchor>
  <xdr:twoCellAnchor editAs="oneCell">
    <xdr:from>
      <xdr:col>12</xdr:col>
      <xdr:colOff>82716</xdr:colOff>
      <xdr:row>0</xdr:row>
      <xdr:rowOff>190500</xdr:rowOff>
    </xdr:from>
    <xdr:to>
      <xdr:col>19</xdr:col>
      <xdr:colOff>88631</xdr:colOff>
      <xdr:row>13</xdr:row>
      <xdr:rowOff>136629</xdr:rowOff>
    </xdr:to>
    <xdr:pic>
      <xdr:nvPicPr>
        <xdr:cNvPr id="6" name="Imagem 5">
          <a:extLst>
            <a:ext uri="{FF2B5EF4-FFF2-40B4-BE49-F238E27FC236}">
              <a16:creationId xmlns:a16="http://schemas.microsoft.com/office/drawing/2014/main" id="{EA29AE3F-AD0F-4966-A79B-75027855CE41}"/>
            </a:ext>
          </a:extLst>
        </xdr:cNvPr>
        <xdr:cNvPicPr>
          <a:picLocks noChangeAspect="1"/>
        </xdr:cNvPicPr>
      </xdr:nvPicPr>
      <xdr:blipFill>
        <a:blip xmlns:r="http://schemas.openxmlformats.org/officeDocument/2006/relationships" r:embed="rId3"/>
        <a:stretch>
          <a:fillRect/>
        </a:stretch>
      </xdr:blipFill>
      <xdr:spPr>
        <a:xfrm>
          <a:off x="16824304" y="190500"/>
          <a:ext cx="4006415" cy="287086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21</xdr:col>
      <xdr:colOff>439920</xdr:colOff>
      <xdr:row>29</xdr:row>
      <xdr:rowOff>114120</xdr:rowOff>
    </xdr:from>
    <xdr:to>
      <xdr:col>24</xdr:col>
      <xdr:colOff>446760</xdr:colOff>
      <xdr:row>36</xdr:row>
      <xdr:rowOff>275736</xdr:rowOff>
    </xdr:to>
    <xdr:pic>
      <xdr:nvPicPr>
        <xdr:cNvPr id="6" name="Imagem 6">
          <a:extLst>
            <a:ext uri="{FF2B5EF4-FFF2-40B4-BE49-F238E27FC236}">
              <a16:creationId xmlns:a16="http://schemas.microsoft.com/office/drawing/2014/main" id="{00000000-0008-0000-0D00-000006000000}"/>
            </a:ext>
          </a:extLst>
        </xdr:cNvPr>
        <xdr:cNvPicPr/>
      </xdr:nvPicPr>
      <xdr:blipFill>
        <a:blip xmlns:r="http://schemas.openxmlformats.org/officeDocument/2006/relationships" r:embed="rId1"/>
        <a:stretch/>
      </xdr:blipFill>
      <xdr:spPr>
        <a:xfrm>
          <a:off x="22732920" y="4857480"/>
          <a:ext cx="1940400" cy="2009160"/>
        </a:xfrm>
        <a:prstGeom prst="rect">
          <a:avLst/>
        </a:prstGeom>
        <a:ln w="0">
          <a:noFill/>
        </a:ln>
      </xdr:spPr>
    </xdr:pic>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11"/>
  <sheetViews>
    <sheetView showGridLines="0" tabSelected="1" zoomScaleNormal="100" workbookViewId="0">
      <selection activeCell="F15" sqref="F15"/>
    </sheetView>
  </sheetViews>
  <sheetFormatPr defaultColWidth="8.5546875" defaultRowHeight="14.4" x14ac:dyDescent="0.3"/>
  <cols>
    <col min="1" max="1" width="24.5546875" customWidth="1"/>
    <col min="2" max="2" width="82" customWidth="1"/>
  </cols>
  <sheetData>
    <row r="1" spans="1:3" ht="19.5" customHeight="1" x14ac:dyDescent="0.3">
      <c r="A1" s="1" t="s">
        <v>0</v>
      </c>
      <c r="B1" s="2"/>
      <c r="C1" s="3"/>
    </row>
    <row r="2" spans="1:3" s="7" customFormat="1" ht="19.5" customHeight="1" x14ac:dyDescent="0.25">
      <c r="A2" s="4" t="s">
        <v>1</v>
      </c>
      <c r="B2" s="5" t="s">
        <v>2</v>
      </c>
      <c r="C2" s="6"/>
    </row>
    <row r="3" spans="1:3" s="7" customFormat="1" ht="13.8" x14ac:dyDescent="0.25">
      <c r="A3" s="8" t="s">
        <v>3</v>
      </c>
      <c r="B3" s="9" t="s">
        <v>15475</v>
      </c>
      <c r="C3" s="10"/>
    </row>
    <row r="4" spans="1:3" s="7" customFormat="1" ht="13.8" x14ac:dyDescent="0.25">
      <c r="A4" s="11" t="s">
        <v>4</v>
      </c>
      <c r="B4" s="12" t="s">
        <v>15476</v>
      </c>
      <c r="C4" s="13"/>
    </row>
    <row r="5" spans="1:3" ht="19.5" customHeight="1" x14ac:dyDescent="0.3">
      <c r="A5" s="4" t="s">
        <v>5</v>
      </c>
      <c r="B5" s="5" t="s">
        <v>6</v>
      </c>
      <c r="C5" s="14"/>
    </row>
    <row r="6" spans="1:3" ht="19.5" customHeight="1" x14ac:dyDescent="0.3">
      <c r="A6" s="8" t="s">
        <v>7</v>
      </c>
      <c r="B6" s="15" t="s">
        <v>8</v>
      </c>
      <c r="C6" s="16"/>
    </row>
    <row r="7" spans="1:3" ht="19.5" customHeight="1" x14ac:dyDescent="0.3">
      <c r="A7" s="8" t="s">
        <v>9</v>
      </c>
      <c r="B7" s="15" t="s">
        <v>10</v>
      </c>
      <c r="C7" s="16"/>
    </row>
    <row r="8" spans="1:3" ht="19.5" customHeight="1" x14ac:dyDescent="0.3">
      <c r="A8" s="4" t="s">
        <v>11</v>
      </c>
      <c r="B8" s="17">
        <v>46265</v>
      </c>
      <c r="C8" s="18"/>
    </row>
    <row r="9" spans="1:3" ht="19.5" customHeight="1" x14ac:dyDescent="0.3">
      <c r="A9" s="19" t="s">
        <v>12</v>
      </c>
      <c r="B9" s="20">
        <v>46204</v>
      </c>
      <c r="C9" s="21"/>
    </row>
    <row r="10" spans="1:3" ht="19.5" customHeight="1" x14ac:dyDescent="0.3">
      <c r="A10" s="19" t="s">
        <v>13</v>
      </c>
      <c r="B10" s="730" t="s">
        <v>14</v>
      </c>
      <c r="C10" s="21"/>
    </row>
    <row r="11" spans="1:3" ht="19.5" customHeight="1" x14ac:dyDescent="0.3">
      <c r="A11" s="11" t="s">
        <v>15</v>
      </c>
      <c r="B11" s="22"/>
      <c r="C11" s="23">
        <f>SUM(orcamento!L10:L192)/orcamento!N193</f>
        <v>0.36552040763689347</v>
      </c>
    </row>
  </sheetData>
  <pageMargins left="0.51180555555555596" right="0.51180555555555596" top="0.78749999999999998" bottom="0.78749999999999998" header="0.511811023622047" footer="0.511811023622047"/>
  <pageSetup paperSize="9" fitToHeight="0" orientation="portrait"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O198"/>
  <sheetViews>
    <sheetView showGridLines="0" topLeftCell="A164" zoomScale="85" zoomScaleNormal="85" workbookViewId="0">
      <selection activeCell="P196" sqref="P196"/>
    </sheetView>
  </sheetViews>
  <sheetFormatPr defaultColWidth="8.5546875" defaultRowHeight="14.4" x14ac:dyDescent="0.3"/>
  <cols>
    <col min="1" max="1" width="9.6640625" customWidth="1"/>
    <col min="2" max="2" width="12.5546875" customWidth="1"/>
    <col min="3" max="3" width="14.6640625" customWidth="1"/>
    <col min="4" max="4" width="96.44140625" customWidth="1"/>
    <col min="5" max="5" width="10" style="24" customWidth="1"/>
    <col min="6" max="6" width="11.5546875" style="25" customWidth="1"/>
    <col min="7" max="7" width="17.44140625" style="26" customWidth="1"/>
    <col min="8" max="8" width="18.44140625" style="26" customWidth="1"/>
    <col min="9" max="9" width="17.6640625" style="26" bestFit="1" customWidth="1"/>
    <col min="10" max="10" width="9.5546875" customWidth="1"/>
    <col min="11" max="11" width="20.33203125" customWidth="1"/>
    <col min="12" max="12" width="20.5546875" customWidth="1"/>
    <col min="13" max="13" width="17.33203125" customWidth="1"/>
    <col min="14" max="14" width="20.88671875" customWidth="1"/>
  </cols>
  <sheetData>
    <row r="1" spans="1:14" s="7" customFormat="1" ht="21" x14ac:dyDescent="0.25">
      <c r="A1" s="27"/>
      <c r="B1" s="28"/>
      <c r="C1" s="28"/>
      <c r="D1" s="29" t="s">
        <v>16</v>
      </c>
      <c r="E1" s="28"/>
      <c r="F1" s="30"/>
      <c r="G1" s="31"/>
      <c r="H1" s="31"/>
      <c r="I1" s="31"/>
      <c r="J1" s="32"/>
      <c r="K1" s="32"/>
      <c r="L1" s="28"/>
      <c r="M1" s="28"/>
      <c r="N1" s="33"/>
    </row>
    <row r="2" spans="1:14" s="7" customFormat="1" ht="17.399999999999999" x14ac:dyDescent="0.25">
      <c r="A2" s="34"/>
      <c r="B2" s="35"/>
      <c r="C2" s="35"/>
      <c r="D2" s="36" t="str">
        <f>dados!B2</f>
        <v>SECRETARIA MUNICIPAL DE OBRAS E INFRAESTRUTURA</v>
      </c>
      <c r="E2" s="35"/>
      <c r="F2" s="37"/>
      <c r="G2" s="38"/>
      <c r="H2" s="38"/>
      <c r="I2" s="38"/>
      <c r="J2" s="35"/>
      <c r="K2" s="35"/>
      <c r="L2" s="35"/>
      <c r="M2" s="35"/>
      <c r="N2" s="39"/>
    </row>
    <row r="3" spans="1:14" s="7" customFormat="1" ht="13.8" x14ac:dyDescent="0.25">
      <c r="A3" s="40"/>
      <c r="B3" s="41"/>
      <c r="C3" s="42"/>
      <c r="D3" s="43" t="str">
        <f>"Objeto: "&amp;dados!B3</f>
        <v>Objeto: Execução de Obras de Pavimentação e Redes de Drenagem na Rua Giruá</v>
      </c>
      <c r="E3" s="44"/>
      <c r="F3" s="45"/>
      <c r="G3" s="46"/>
      <c r="H3" s="46"/>
      <c r="I3" s="46"/>
      <c r="J3" s="44"/>
      <c r="K3" s="44"/>
      <c r="L3" s="44"/>
      <c r="M3" s="44"/>
      <c r="N3" s="47"/>
    </row>
    <row r="4" spans="1:14" s="7" customFormat="1" ht="13.8" x14ac:dyDescent="0.25">
      <c r="A4" s="40"/>
      <c r="B4" s="41"/>
      <c r="C4" s="42"/>
      <c r="D4" s="43" t="str">
        <f>"Endereço: "&amp;dados!B4</f>
        <v>Endereço: Rua Giruá, Vila Panorama, Lomba Pinheiro, Porto Alegre, RS</v>
      </c>
      <c r="E4" s="41"/>
      <c r="F4" s="48"/>
      <c r="G4" s="49"/>
      <c r="H4" s="49"/>
      <c r="I4" s="49"/>
      <c r="J4" s="41"/>
      <c r="K4" s="41"/>
      <c r="L4" s="44"/>
      <c r="M4" s="44"/>
      <c r="N4" s="47"/>
    </row>
    <row r="5" spans="1:14" s="7" customFormat="1" ht="13.8" x14ac:dyDescent="0.25">
      <c r="A5" s="40"/>
      <c r="B5" s="41"/>
      <c r="C5" s="42"/>
      <c r="D5" s="41"/>
      <c r="E5" s="44"/>
      <c r="F5" s="48"/>
      <c r="G5" s="46"/>
      <c r="H5" s="46"/>
      <c r="I5" s="46"/>
      <c r="J5" s="41"/>
      <c r="K5" s="41"/>
      <c r="L5" s="44"/>
      <c r="M5" s="44"/>
      <c r="N5" s="47"/>
    </row>
    <row r="6" spans="1:14" s="55" customFormat="1" ht="17.399999999999999" x14ac:dyDescent="0.25">
      <c r="A6" s="40"/>
      <c r="B6" s="50"/>
      <c r="C6" s="42"/>
      <c r="D6" s="51" t="str">
        <f>"Orçamento ("&amp;dados!B10&amp;")"</f>
        <v>Orçamento (Não Desonerado)</v>
      </c>
      <c r="E6" s="50"/>
      <c r="F6" s="52"/>
      <c r="G6" s="53"/>
      <c r="H6" s="53"/>
      <c r="I6" s="53"/>
      <c r="J6" s="50"/>
      <c r="K6" s="50"/>
      <c r="L6" s="50"/>
      <c r="M6" s="50"/>
      <c r="N6" s="54"/>
    </row>
    <row r="7" spans="1:14" s="62" customFormat="1" ht="13.8" x14ac:dyDescent="0.25">
      <c r="A7" s="56"/>
      <c r="B7" s="57"/>
      <c r="C7" s="57"/>
      <c r="D7" s="57"/>
      <c r="E7" s="58"/>
      <c r="F7" s="59"/>
      <c r="G7" s="60"/>
      <c r="H7" s="60"/>
      <c r="I7" s="60"/>
      <c r="J7" s="57"/>
      <c r="K7" s="57"/>
      <c r="L7" s="58"/>
      <c r="M7" s="58"/>
      <c r="N7" s="731"/>
    </row>
    <row r="8" spans="1:14" s="62" customFormat="1" ht="13.8" x14ac:dyDescent="0.25">
      <c r="A8" s="63"/>
      <c r="B8" s="64" t="s">
        <v>17</v>
      </c>
      <c r="C8" s="65" t="s">
        <v>18</v>
      </c>
      <c r="D8" s="66" t="s">
        <v>19</v>
      </c>
      <c r="E8" s="67" t="s">
        <v>20</v>
      </c>
      <c r="F8" s="68" t="s">
        <v>21</v>
      </c>
      <c r="G8" s="69"/>
      <c r="H8" s="70" t="s">
        <v>22</v>
      </c>
      <c r="I8" s="71"/>
      <c r="J8" s="72" t="s">
        <v>23</v>
      </c>
      <c r="K8" s="73" t="s">
        <v>24</v>
      </c>
      <c r="L8" s="70"/>
      <c r="M8" s="70" t="s">
        <v>25</v>
      </c>
      <c r="N8" s="74"/>
    </row>
    <row r="9" spans="1:14" s="62" customFormat="1" ht="13.8" x14ac:dyDescent="0.25">
      <c r="A9" s="75"/>
      <c r="B9" s="76"/>
      <c r="C9" s="75"/>
      <c r="D9" s="69"/>
      <c r="E9" s="77"/>
      <c r="F9" s="78"/>
      <c r="G9" s="77" t="s">
        <v>26</v>
      </c>
      <c r="H9" s="77" t="s">
        <v>27</v>
      </c>
      <c r="I9" s="77" t="s">
        <v>28</v>
      </c>
      <c r="J9" s="79"/>
      <c r="K9" s="77"/>
      <c r="L9" s="80" t="s">
        <v>26</v>
      </c>
      <c r="M9" s="77" t="s">
        <v>27</v>
      </c>
      <c r="N9" s="81" t="s">
        <v>28</v>
      </c>
    </row>
    <row r="10" spans="1:14" s="62" customFormat="1" ht="13.8" x14ac:dyDescent="0.25">
      <c r="A10" s="82">
        <v>1</v>
      </c>
      <c r="B10" s="83"/>
      <c r="C10" s="84"/>
      <c r="D10" s="85" t="s">
        <v>15411</v>
      </c>
      <c r="E10" s="86"/>
      <c r="F10" s="87"/>
      <c r="G10" s="87"/>
      <c r="H10" s="87"/>
      <c r="I10" s="87"/>
      <c r="J10" s="88"/>
      <c r="K10" s="88"/>
      <c r="L10" s="87"/>
      <c r="M10" s="87"/>
      <c r="N10" s="89"/>
    </row>
    <row r="11" spans="1:14" s="62" customFormat="1" ht="13.8" x14ac:dyDescent="0.25">
      <c r="A11" s="90" t="s">
        <v>29</v>
      </c>
      <c r="B11" s="91" t="s">
        <v>30</v>
      </c>
      <c r="C11" s="92" t="s">
        <v>31</v>
      </c>
      <c r="D11" s="93" t="str">
        <f>VLOOKUP(B11,composicoes!$A:$K,2,0)</f>
        <v>EQUIPE E CONSUMOS DE ADMINISTRAÇÃO LOCAL</v>
      </c>
      <c r="E11" s="94" t="str">
        <f>VLOOKUP(B11,composicoes!$A:$K,8,0)</f>
        <v>UN</v>
      </c>
      <c r="F11" s="95">
        <v>1</v>
      </c>
      <c r="G11" s="96">
        <f>VLOOKUP(B11,composicoes!$A:$K,10,0)</f>
        <v>121481.36</v>
      </c>
      <c r="H11" s="96">
        <f>VLOOKUP(B11,composicoes!$A:$K,11,0)</f>
        <v>7031.44</v>
      </c>
      <c r="I11" s="97">
        <f>G11+H11</f>
        <v>128512.8</v>
      </c>
      <c r="J11" s="98">
        <v>0.24229999999999999</v>
      </c>
      <c r="K11" s="99">
        <f t="shared" ref="K11:K15" si="0">I11+ROUND(I11*J11,2)</f>
        <v>159651.45000000001</v>
      </c>
      <c r="L11" s="100">
        <f t="shared" ref="L11:L15" si="1">TRUNC(TRUNC(G11*(1+J11),2)*F11,2)</f>
        <v>150916.29</v>
      </c>
      <c r="M11" s="101">
        <f t="shared" ref="M11:M15" si="2">N11-L11</f>
        <v>8735.1600000000035</v>
      </c>
      <c r="N11" s="102">
        <f t="shared" ref="N11:N15" si="3">ROUND(F11*K11,2)</f>
        <v>159651.45000000001</v>
      </c>
    </row>
    <row r="12" spans="1:14" s="62" customFormat="1" ht="13.8" x14ac:dyDescent="0.25">
      <c r="A12" s="90" t="s">
        <v>32</v>
      </c>
      <c r="B12" s="91" t="s">
        <v>33</v>
      </c>
      <c r="C12" s="92" t="s">
        <v>31</v>
      </c>
      <c r="D12" s="93" t="str">
        <f>VLOOKUP(B12,composicoes!$A:$K,2,0)</f>
        <v>SERVIÇO DE VIGILÂNCIA NOTURNO (DIÁRIO) E DIURNO (FINAIS DE SEMANA E FERIADO)</v>
      </c>
      <c r="E12" s="94" t="str">
        <f>VLOOKUP(B12,composicoes!$A:$K,8,0)</f>
        <v>UN</v>
      </c>
      <c r="F12" s="95">
        <v>1</v>
      </c>
      <c r="G12" s="96">
        <f>VLOOKUP(B12,composicoes!$A:$K,10,0)</f>
        <v>31048.31</v>
      </c>
      <c r="H12" s="96">
        <f>VLOOKUP(B12,composicoes!$A:$K,11,0)</f>
        <v>4400.3599999999997</v>
      </c>
      <c r="I12" s="97">
        <f>G12+H12</f>
        <v>35448.67</v>
      </c>
      <c r="J12" s="98">
        <v>0.24229999999999999</v>
      </c>
      <c r="K12" s="99">
        <f t="shared" si="0"/>
        <v>44037.88</v>
      </c>
      <c r="L12" s="100">
        <f t="shared" si="1"/>
        <v>38571.31</v>
      </c>
      <c r="M12" s="101">
        <f t="shared" si="2"/>
        <v>5466.57</v>
      </c>
      <c r="N12" s="102">
        <f t="shared" si="3"/>
        <v>44037.88</v>
      </c>
    </row>
    <row r="13" spans="1:14" x14ac:dyDescent="0.3">
      <c r="A13" s="90" t="s">
        <v>34</v>
      </c>
      <c r="B13" s="112" t="s">
        <v>152</v>
      </c>
      <c r="C13" s="111" t="s">
        <v>42</v>
      </c>
      <c r="D13" s="106" t="str">
        <f>VLOOKUP(B13,tabelas!$A:$L,4,0)</f>
        <v>DOCUMENTO DE RESPONSABILIDADE TÉCNICA</v>
      </c>
      <c r="E13" s="107" t="str">
        <f>VLOOKUP(B13,tabelas!$A:$L,5,0)</f>
        <v>UN</v>
      </c>
      <c r="F13" s="95">
        <v>1</v>
      </c>
      <c r="G13" s="108">
        <v>0</v>
      </c>
      <c r="H13" s="108">
        <f>VLOOKUP($B13,tabelas!$A:$L,12,0)</f>
        <v>285.58999999999997</v>
      </c>
      <c r="I13" s="97">
        <f t="shared" ref="I13" si="4">G13+H13</f>
        <v>285.58999999999997</v>
      </c>
      <c r="J13" s="98">
        <v>0.24229999999999999</v>
      </c>
      <c r="K13" s="99">
        <f t="shared" si="0"/>
        <v>354.78999999999996</v>
      </c>
      <c r="L13" s="100">
        <f t="shared" si="1"/>
        <v>0</v>
      </c>
      <c r="M13" s="101">
        <f t="shared" si="2"/>
        <v>354.79</v>
      </c>
      <c r="N13" s="102">
        <f t="shared" si="3"/>
        <v>354.79</v>
      </c>
    </row>
    <row r="14" spans="1:14" x14ac:dyDescent="0.3">
      <c r="A14" s="90" t="s">
        <v>36</v>
      </c>
      <c r="B14" s="103" t="s">
        <v>35</v>
      </c>
      <c r="C14" s="92" t="s">
        <v>31</v>
      </c>
      <c r="D14" s="93" t="str">
        <f>VLOOKUP(B14,composicoes!$A:$K,2,0)</f>
        <v>PROJETO AS BUILT (1.550m2 DE ÁREA CONSTRUÍDA)</v>
      </c>
      <c r="E14" s="94" t="str">
        <f>VLOOKUP(B14,composicoes!$A:$K,8,0)</f>
        <v>UN</v>
      </c>
      <c r="F14" s="105">
        <v>1</v>
      </c>
      <c r="G14" s="96">
        <f>VLOOKUP(B14,composicoes!$A:$K,10,0)</f>
        <v>1588.41</v>
      </c>
      <c r="H14" s="96">
        <f>VLOOKUP(B14,composicoes!$A:$K,11,0)</f>
        <v>0</v>
      </c>
      <c r="I14" s="97">
        <f>G14+H14</f>
        <v>1588.41</v>
      </c>
      <c r="J14" s="98">
        <v>0.24229999999999999</v>
      </c>
      <c r="K14" s="99">
        <f t="shared" si="0"/>
        <v>1973.2800000000002</v>
      </c>
      <c r="L14" s="100">
        <f t="shared" si="1"/>
        <v>1973.28</v>
      </c>
      <c r="M14" s="101">
        <f t="shared" si="2"/>
        <v>0</v>
      </c>
      <c r="N14" s="102">
        <f t="shared" si="3"/>
        <v>1973.28</v>
      </c>
    </row>
    <row r="15" spans="1:14" x14ac:dyDescent="0.3">
      <c r="A15" s="90" t="s">
        <v>428</v>
      </c>
      <c r="B15" s="103" t="s">
        <v>37</v>
      </c>
      <c r="C15" s="92" t="s">
        <v>31</v>
      </c>
      <c r="D15" s="93" t="str">
        <f>VLOOKUP(B15,composicoes!$A:$K,2,0)</f>
        <v>CADASTRO DE REDES (210m DE REDE DE DRENAGEM)</v>
      </c>
      <c r="E15" s="94" t="str">
        <f>VLOOKUP(B15,composicoes!$A:$K,8,0)</f>
        <v>UN</v>
      </c>
      <c r="F15" s="105">
        <v>1</v>
      </c>
      <c r="G15" s="96">
        <f>VLOOKUP(B15,composicoes!$A:$K,10,0)</f>
        <v>1588.41</v>
      </c>
      <c r="H15" s="96">
        <f>VLOOKUP(B15,composicoes!$A:$K,11,0)</f>
        <v>0</v>
      </c>
      <c r="I15" s="97">
        <f>G15+H15</f>
        <v>1588.41</v>
      </c>
      <c r="J15" s="98">
        <v>0.24229999999999999</v>
      </c>
      <c r="K15" s="99">
        <f t="shared" si="0"/>
        <v>1973.2800000000002</v>
      </c>
      <c r="L15" s="100">
        <f t="shared" si="1"/>
        <v>1973.28</v>
      </c>
      <c r="M15" s="101">
        <f t="shared" si="2"/>
        <v>0</v>
      </c>
      <c r="N15" s="102">
        <f t="shared" si="3"/>
        <v>1973.28</v>
      </c>
    </row>
    <row r="16" spans="1:14" s="62" customFormat="1" ht="13.8" x14ac:dyDescent="0.25">
      <c r="A16" s="90" t="s">
        <v>15422</v>
      </c>
      <c r="B16" s="103" t="s">
        <v>44</v>
      </c>
      <c r="C16" s="92" t="s">
        <v>31</v>
      </c>
      <c r="D16" s="93" t="str">
        <f>VLOOKUP(B16,composicoes!$A:$K,2,0)</f>
        <v>SERVIÇO DE LOCAÇÃO/TOPOGRAFIA (115M PAVIMENTO E 210M REDE DRENAGEM)</v>
      </c>
      <c r="E16" s="94" t="str">
        <f>VLOOKUP(B16,composicoes!$A:$K,8,0)</f>
        <v>UN</v>
      </c>
      <c r="F16" s="104">
        <v>1</v>
      </c>
      <c r="G16" s="96">
        <f>VLOOKUP(B16,composicoes!$A:$K,10,0)</f>
        <v>4620.16</v>
      </c>
      <c r="H16" s="96">
        <f>VLOOKUP(B16,composicoes!$A:$K,11,0)</f>
        <v>228.13</v>
      </c>
      <c r="I16" s="97">
        <f>G16+H16</f>
        <v>4848.29</v>
      </c>
      <c r="J16" s="98">
        <v>0.24229999999999999</v>
      </c>
      <c r="K16" s="99">
        <f>I16+ROUND(I16*J16,2)</f>
        <v>6023.03</v>
      </c>
      <c r="L16" s="100">
        <f>TRUNC(TRUNC(G16*(1+J16),2)*F16,2)</f>
        <v>5739.62</v>
      </c>
      <c r="M16" s="101">
        <f>N16-L16</f>
        <v>283.40999999999985</v>
      </c>
      <c r="N16" s="102">
        <f>ROUND(F16*K16,2)</f>
        <v>6023.03</v>
      </c>
    </row>
    <row r="17" spans="1:14" s="62" customFormat="1" ht="13.8" x14ac:dyDescent="0.25">
      <c r="A17" s="82">
        <v>2</v>
      </c>
      <c r="B17" s="83"/>
      <c r="C17" s="84"/>
      <c r="D17" s="85" t="s">
        <v>15718</v>
      </c>
      <c r="E17" s="86"/>
      <c r="F17" s="87"/>
      <c r="G17" s="87"/>
      <c r="H17" s="87"/>
      <c r="I17" s="87"/>
      <c r="J17" s="88"/>
      <c r="K17" s="88"/>
      <c r="L17" s="87"/>
      <c r="M17" s="87"/>
      <c r="N17" s="89"/>
    </row>
    <row r="18" spans="1:14" x14ac:dyDescent="0.3">
      <c r="A18" s="700" t="s">
        <v>38</v>
      </c>
      <c r="B18" s="728"/>
      <c r="C18" s="729"/>
      <c r="D18" s="718" t="s">
        <v>15774</v>
      </c>
      <c r="E18" s="719"/>
      <c r="F18" s="720"/>
      <c r="G18" s="721"/>
      <c r="H18" s="721"/>
      <c r="I18" s="722"/>
      <c r="J18" s="723"/>
      <c r="K18" s="724"/>
      <c r="L18" s="725"/>
      <c r="M18" s="726"/>
      <c r="N18" s="727"/>
    </row>
    <row r="19" spans="1:14" x14ac:dyDescent="0.3">
      <c r="A19" s="90" t="s">
        <v>15775</v>
      </c>
      <c r="B19" s="103" t="s">
        <v>15808</v>
      </c>
      <c r="C19" s="92" t="s">
        <v>31</v>
      </c>
      <c r="D19" s="93" t="str">
        <f>VLOOKUP(B19,composicoes!$A:$K,2,0)</f>
        <v>ENSAIO DE ÍNDICE SUPORTE CALIFORNIA</v>
      </c>
      <c r="E19" s="94" t="str">
        <f>VLOOKUP(B19,composicoes!$A:$K,8,0)</f>
        <v>UN</v>
      </c>
      <c r="F19" s="105">
        <v>1</v>
      </c>
      <c r="G19" s="96">
        <f>VLOOKUP(B19,composicoes!$A:$K,10,0)</f>
        <v>258.17</v>
      </c>
      <c r="H19" s="96">
        <f>VLOOKUP(B19,composicoes!$A:$K,11,0)</f>
        <v>50.46</v>
      </c>
      <c r="I19" s="97">
        <f t="shared" ref="I19:I32" si="5">G19+H19</f>
        <v>308.63</v>
      </c>
      <c r="J19" s="98">
        <v>0.24229999999999999</v>
      </c>
      <c r="K19" s="99">
        <f t="shared" ref="K19:K32" si="6">I19+ROUND(I19*J19,2)</f>
        <v>383.40999999999997</v>
      </c>
      <c r="L19" s="100">
        <f t="shared" ref="L19:L32" si="7">TRUNC(TRUNC(G19*(1+J19),2)*F19,2)</f>
        <v>320.72000000000003</v>
      </c>
      <c r="M19" s="101">
        <f t="shared" ref="M19:M32" si="8">N19-L19</f>
        <v>62.69</v>
      </c>
      <c r="N19" s="102">
        <f t="shared" ref="N19:N32" si="9">ROUND(F19*K19,2)</f>
        <v>383.41</v>
      </c>
    </row>
    <row r="20" spans="1:14" x14ac:dyDescent="0.3">
      <c r="A20" s="90" t="s">
        <v>15776</v>
      </c>
      <c r="B20" s="103" t="s">
        <v>15809</v>
      </c>
      <c r="C20" s="92" t="s">
        <v>31</v>
      </c>
      <c r="D20" s="93" t="str">
        <f>VLOOKUP(B20,composicoes!$A:$K,2,0)</f>
        <v>ENSAIO DE DENSIDADE / UMIDADE</v>
      </c>
      <c r="E20" s="94" t="str">
        <f>VLOOKUP(B20,composicoes!$A:$K,8,0)</f>
        <v>UN</v>
      </c>
      <c r="F20" s="105">
        <v>3</v>
      </c>
      <c r="G20" s="96">
        <f>VLOOKUP(B20,composicoes!$A:$K,10,0)</f>
        <v>190.82</v>
      </c>
      <c r="H20" s="96">
        <f>VLOOKUP(B20,composicoes!$A:$K,11,0)</f>
        <v>23.29</v>
      </c>
      <c r="I20" s="97">
        <f t="shared" si="5"/>
        <v>214.10999999999999</v>
      </c>
      <c r="J20" s="98">
        <v>0.24229999999999999</v>
      </c>
      <c r="K20" s="99">
        <f t="shared" si="6"/>
        <v>265.99</v>
      </c>
      <c r="L20" s="100">
        <f t="shared" si="7"/>
        <v>711.15</v>
      </c>
      <c r="M20" s="101">
        <f t="shared" si="8"/>
        <v>86.82000000000005</v>
      </c>
      <c r="N20" s="102">
        <f t="shared" si="9"/>
        <v>797.97</v>
      </c>
    </row>
    <row r="21" spans="1:14" x14ac:dyDescent="0.3">
      <c r="A21" s="90" t="s">
        <v>15777</v>
      </c>
      <c r="B21" s="103" t="s">
        <v>15810</v>
      </c>
      <c r="C21" s="92" t="s">
        <v>31</v>
      </c>
      <c r="D21" s="93" t="str">
        <f>VLOOKUP(B21,composicoes!$A:$K,2,0)</f>
        <v>ENSAIO DE GRANULOMETRIA POR PENEIRAMENTO E SEDIMENTAÇÃO</v>
      </c>
      <c r="E21" s="94" t="str">
        <f>VLOOKUP(B21,composicoes!$A:$K,8,0)</f>
        <v>UN</v>
      </c>
      <c r="F21" s="105">
        <v>2</v>
      </c>
      <c r="G21" s="96">
        <f>VLOOKUP(B21,composicoes!$A:$K,10,0)</f>
        <v>213.27</v>
      </c>
      <c r="H21" s="96">
        <f>VLOOKUP(B21,composicoes!$A:$K,11,0)</f>
        <v>41.53</v>
      </c>
      <c r="I21" s="97">
        <f t="shared" si="5"/>
        <v>254.8</v>
      </c>
      <c r="J21" s="98">
        <v>0.24229999999999999</v>
      </c>
      <c r="K21" s="99">
        <f t="shared" si="6"/>
        <v>316.54000000000002</v>
      </c>
      <c r="L21" s="100">
        <f t="shared" si="7"/>
        <v>529.88</v>
      </c>
      <c r="M21" s="101">
        <f t="shared" si="8"/>
        <v>103.20000000000005</v>
      </c>
      <c r="N21" s="102">
        <f t="shared" si="9"/>
        <v>633.08000000000004</v>
      </c>
    </row>
    <row r="22" spans="1:14" x14ac:dyDescent="0.3">
      <c r="A22" s="90" t="s">
        <v>15778</v>
      </c>
      <c r="B22" s="103" t="s">
        <v>15811</v>
      </c>
      <c r="C22" s="92" t="s">
        <v>31</v>
      </c>
      <c r="D22" s="93" t="str">
        <f>VLOOKUP(B22,composicoes!$A:$K,2,0)</f>
        <v>ENSAIO DE LIMITE DE LIQUIDEZ / LIMITE DE PLASTICIDADE</v>
      </c>
      <c r="E22" s="94" t="str">
        <f>VLOOKUP(B22,composicoes!$A:$K,8,0)</f>
        <v>UN</v>
      </c>
      <c r="F22" s="105">
        <v>1</v>
      </c>
      <c r="G22" s="96">
        <f>VLOOKUP(B22,composicoes!$A:$K,10,0)</f>
        <v>213.27</v>
      </c>
      <c r="H22" s="96">
        <f>VLOOKUP(B22,composicoes!$A:$K,11,0)</f>
        <v>41.53</v>
      </c>
      <c r="I22" s="97">
        <f t="shared" si="5"/>
        <v>254.8</v>
      </c>
      <c r="J22" s="98">
        <v>0.24229999999999999</v>
      </c>
      <c r="K22" s="99">
        <f t="shared" si="6"/>
        <v>316.54000000000002</v>
      </c>
      <c r="L22" s="100">
        <f t="shared" si="7"/>
        <v>264.94</v>
      </c>
      <c r="M22" s="101">
        <f t="shared" si="8"/>
        <v>51.600000000000023</v>
      </c>
      <c r="N22" s="102">
        <f t="shared" si="9"/>
        <v>316.54000000000002</v>
      </c>
    </row>
    <row r="23" spans="1:14" x14ac:dyDescent="0.3">
      <c r="A23" s="90" t="s">
        <v>15779</v>
      </c>
      <c r="B23" s="103" t="s">
        <v>15812</v>
      </c>
      <c r="C23" s="92" t="s">
        <v>31</v>
      </c>
      <c r="D23" s="93" t="str">
        <f>VLOOKUP(B23,composicoes!$A:$K,2,0)</f>
        <v>ENSAIO DE COMPACTAÇÃO MÉTODO NORMAL</v>
      </c>
      <c r="E23" s="94" t="str">
        <f>VLOOKUP(B23,composicoes!$A:$K,8,0)</f>
        <v>UN</v>
      </c>
      <c r="F23" s="105">
        <v>3</v>
      </c>
      <c r="G23" s="96">
        <f>VLOOKUP(B23,composicoes!$A:$K,10,0)</f>
        <v>213.27</v>
      </c>
      <c r="H23" s="96">
        <f>VLOOKUP(B23,composicoes!$A:$K,11,0)</f>
        <v>41.53</v>
      </c>
      <c r="I23" s="97">
        <f t="shared" si="5"/>
        <v>254.8</v>
      </c>
      <c r="J23" s="98">
        <v>0.24229999999999999</v>
      </c>
      <c r="K23" s="99">
        <f t="shared" si="6"/>
        <v>316.54000000000002</v>
      </c>
      <c r="L23" s="100">
        <f t="shared" si="7"/>
        <v>794.82</v>
      </c>
      <c r="M23" s="101">
        <f t="shared" si="8"/>
        <v>154.79999999999995</v>
      </c>
      <c r="N23" s="102">
        <f t="shared" si="9"/>
        <v>949.62</v>
      </c>
    </row>
    <row r="24" spans="1:14" x14ac:dyDescent="0.3">
      <c r="A24" s="700" t="s">
        <v>39</v>
      </c>
      <c r="B24" s="728"/>
      <c r="C24" s="729"/>
      <c r="D24" s="718" t="s">
        <v>15780</v>
      </c>
      <c r="E24" s="719"/>
      <c r="F24" s="720"/>
      <c r="G24" s="721"/>
      <c r="H24" s="721"/>
      <c r="I24" s="722"/>
      <c r="J24" s="723"/>
      <c r="K24" s="724"/>
      <c r="L24" s="725"/>
      <c r="M24" s="726"/>
      <c r="N24" s="727"/>
    </row>
    <row r="25" spans="1:14" x14ac:dyDescent="0.3">
      <c r="A25" s="90" t="s">
        <v>15782</v>
      </c>
      <c r="B25" s="103" t="s">
        <v>15813</v>
      </c>
      <c r="C25" s="92" t="s">
        <v>31</v>
      </c>
      <c r="D25" s="93" t="str">
        <f>VLOOKUP(B25,composicoes!$A:$K,2,0)</f>
        <v>ENSAIO DE UMIDADE ANTES DA COMPACTAÇÃO</v>
      </c>
      <c r="E25" s="94" t="str">
        <f>VLOOKUP(B25,composicoes!$A:$K,8,0)</f>
        <v>UN</v>
      </c>
      <c r="F25" s="105">
        <v>2</v>
      </c>
      <c r="G25" s="96">
        <f>VLOOKUP(B25,composicoes!$A:$K,10,0)</f>
        <v>92.2</v>
      </c>
      <c r="H25" s="96">
        <f>VLOOKUP(B25,composicoes!$A:$K,11,0)</f>
        <v>13.19</v>
      </c>
      <c r="I25" s="97">
        <f t="shared" si="5"/>
        <v>105.39</v>
      </c>
      <c r="J25" s="98">
        <v>0.24229999999999999</v>
      </c>
      <c r="K25" s="99">
        <f t="shared" si="6"/>
        <v>130.93</v>
      </c>
      <c r="L25" s="100">
        <f t="shared" si="7"/>
        <v>229.08</v>
      </c>
      <c r="M25" s="101">
        <f t="shared" si="8"/>
        <v>32.78</v>
      </c>
      <c r="N25" s="102">
        <f t="shared" si="9"/>
        <v>261.86</v>
      </c>
    </row>
    <row r="26" spans="1:14" x14ac:dyDescent="0.3">
      <c r="A26" s="90" t="s">
        <v>15783</v>
      </c>
      <c r="B26" s="103" t="s">
        <v>15808</v>
      </c>
      <c r="C26" s="92" t="s">
        <v>31</v>
      </c>
      <c r="D26" s="93" t="str">
        <f>VLOOKUP(B26,composicoes!$A:$K,2,0)</f>
        <v>ENSAIO DE ÍNDICE SUPORTE CALIFORNIA</v>
      </c>
      <c r="E26" s="94" t="str">
        <f>VLOOKUP(B26,composicoes!$A:$K,8,0)</f>
        <v>UN</v>
      </c>
      <c r="F26" s="105">
        <v>1</v>
      </c>
      <c r="G26" s="96">
        <f>VLOOKUP(B26,composicoes!$A:$K,10,0)</f>
        <v>258.17</v>
      </c>
      <c r="H26" s="96">
        <f>VLOOKUP(B26,composicoes!$A:$K,11,0)</f>
        <v>50.46</v>
      </c>
      <c r="I26" s="97">
        <f t="shared" si="5"/>
        <v>308.63</v>
      </c>
      <c r="J26" s="98">
        <v>0.24229999999999999</v>
      </c>
      <c r="K26" s="99">
        <f t="shared" si="6"/>
        <v>383.40999999999997</v>
      </c>
      <c r="L26" s="100">
        <f t="shared" si="7"/>
        <v>320.72000000000003</v>
      </c>
      <c r="M26" s="101">
        <f t="shared" si="8"/>
        <v>62.69</v>
      </c>
      <c r="N26" s="102">
        <f t="shared" si="9"/>
        <v>383.41</v>
      </c>
    </row>
    <row r="27" spans="1:14" x14ac:dyDescent="0.3">
      <c r="A27" s="90" t="s">
        <v>15784</v>
      </c>
      <c r="B27" s="103" t="s">
        <v>15814</v>
      </c>
      <c r="C27" s="92" t="s">
        <v>31</v>
      </c>
      <c r="D27" s="93" t="str">
        <f>VLOOKUP(B27,composicoes!$A:$K,2,0)</f>
        <v>ENSAIO DE EQUIVALENTE AREIA</v>
      </c>
      <c r="E27" s="94" t="str">
        <f>VLOOKUP(B27,composicoes!$A:$K,8,0)</f>
        <v>UN</v>
      </c>
      <c r="F27" s="105">
        <v>1</v>
      </c>
      <c r="G27" s="96">
        <f>VLOOKUP(B27,composicoes!$A:$K,10,0)</f>
        <v>101.02</v>
      </c>
      <c r="H27" s="96">
        <f>VLOOKUP(B27,composicoes!$A:$K,11,0)</f>
        <v>19.79</v>
      </c>
      <c r="I27" s="97">
        <f t="shared" si="5"/>
        <v>120.81</v>
      </c>
      <c r="J27" s="98">
        <v>0.24229999999999999</v>
      </c>
      <c r="K27" s="99">
        <f t="shared" si="6"/>
        <v>150.08000000000001</v>
      </c>
      <c r="L27" s="100">
        <f t="shared" si="7"/>
        <v>125.49</v>
      </c>
      <c r="M27" s="101">
        <f t="shared" si="8"/>
        <v>24.590000000000018</v>
      </c>
      <c r="N27" s="102">
        <f t="shared" si="9"/>
        <v>150.08000000000001</v>
      </c>
    </row>
    <row r="28" spans="1:14" x14ac:dyDescent="0.3">
      <c r="A28" s="90" t="s">
        <v>15785</v>
      </c>
      <c r="B28" s="103" t="s">
        <v>15815</v>
      </c>
      <c r="C28" s="92" t="s">
        <v>31</v>
      </c>
      <c r="D28" s="93" t="str">
        <f>VLOOKUP(B28,composicoes!$A:$K,2,0)</f>
        <v>ENSAIO DE MASSA ESPECÍFICA APARENTE</v>
      </c>
      <c r="E28" s="94" t="str">
        <f>VLOOKUP(B28,composicoes!$A:$K,8,0)</f>
        <v>UN</v>
      </c>
      <c r="F28" s="105">
        <v>4</v>
      </c>
      <c r="G28" s="96">
        <f>VLOOKUP(B28,composicoes!$A:$K,10,0)</f>
        <v>78.569999999999993</v>
      </c>
      <c r="H28" s="96">
        <f>VLOOKUP(B28,composicoes!$A:$K,11,0)</f>
        <v>15.13</v>
      </c>
      <c r="I28" s="97">
        <f t="shared" si="5"/>
        <v>93.699999999999989</v>
      </c>
      <c r="J28" s="98">
        <v>0.24229999999999999</v>
      </c>
      <c r="K28" s="99">
        <f t="shared" si="6"/>
        <v>116.39999999999999</v>
      </c>
      <c r="L28" s="100">
        <f t="shared" si="7"/>
        <v>390.4</v>
      </c>
      <c r="M28" s="101">
        <f t="shared" si="8"/>
        <v>75.200000000000045</v>
      </c>
      <c r="N28" s="102">
        <f t="shared" si="9"/>
        <v>465.6</v>
      </c>
    </row>
    <row r="29" spans="1:14" x14ac:dyDescent="0.3">
      <c r="A29" s="90" t="s">
        <v>15786</v>
      </c>
      <c r="B29" s="103" t="s">
        <v>15811</v>
      </c>
      <c r="C29" s="92" t="s">
        <v>31</v>
      </c>
      <c r="D29" s="93" t="str">
        <f>VLOOKUP(B29,composicoes!$A:$K,2,0)</f>
        <v>ENSAIO DE LIMITE DE LIQUIDEZ / LIMITE DE PLASTICIDADE</v>
      </c>
      <c r="E29" s="94" t="str">
        <f>VLOOKUP(B29,composicoes!$A:$K,8,0)</f>
        <v>UN</v>
      </c>
      <c r="F29" s="105">
        <v>2</v>
      </c>
      <c r="G29" s="96">
        <f>VLOOKUP(B29,composicoes!$A:$K,10,0)</f>
        <v>213.27</v>
      </c>
      <c r="H29" s="96">
        <f>VLOOKUP(B29,composicoes!$A:$K,11,0)</f>
        <v>41.53</v>
      </c>
      <c r="I29" s="97">
        <f t="shared" si="5"/>
        <v>254.8</v>
      </c>
      <c r="J29" s="98">
        <v>0.24229999999999999</v>
      </c>
      <c r="K29" s="99">
        <f t="shared" si="6"/>
        <v>316.54000000000002</v>
      </c>
      <c r="L29" s="100">
        <f t="shared" si="7"/>
        <v>529.88</v>
      </c>
      <c r="M29" s="101">
        <f t="shared" si="8"/>
        <v>103.20000000000005</v>
      </c>
      <c r="N29" s="102">
        <f t="shared" si="9"/>
        <v>633.08000000000004</v>
      </c>
    </row>
    <row r="30" spans="1:14" x14ac:dyDescent="0.3">
      <c r="A30" s="90" t="s">
        <v>15787</v>
      </c>
      <c r="B30" s="103" t="s">
        <v>15816</v>
      </c>
      <c r="C30" s="92" t="s">
        <v>31</v>
      </c>
      <c r="D30" s="93" t="str">
        <f>VLOOKUP(B30,composicoes!$A:$K,2,0)</f>
        <v>ENSAIO DE COMPACTAÇÃO MÉTODO MODIFICADO</v>
      </c>
      <c r="E30" s="94" t="str">
        <f>VLOOKUP(B30,composicoes!$A:$K,8,0)</f>
        <v>UN</v>
      </c>
      <c r="F30" s="105">
        <v>2</v>
      </c>
      <c r="G30" s="96">
        <f>VLOOKUP(B30,composicoes!$A:$K,10,0)</f>
        <v>426.55</v>
      </c>
      <c r="H30" s="96">
        <f>VLOOKUP(B30,composicoes!$A:$K,11,0)</f>
        <v>83.46</v>
      </c>
      <c r="I30" s="97">
        <f t="shared" si="5"/>
        <v>510.01</v>
      </c>
      <c r="J30" s="98">
        <v>0.24229999999999999</v>
      </c>
      <c r="K30" s="99">
        <f t="shared" si="6"/>
        <v>633.59</v>
      </c>
      <c r="L30" s="100">
        <f t="shared" si="7"/>
        <v>1059.8</v>
      </c>
      <c r="M30" s="101">
        <f t="shared" si="8"/>
        <v>207.38000000000011</v>
      </c>
      <c r="N30" s="102">
        <f t="shared" si="9"/>
        <v>1267.18</v>
      </c>
    </row>
    <row r="31" spans="1:14" x14ac:dyDescent="0.3">
      <c r="A31" s="700" t="s">
        <v>40</v>
      </c>
      <c r="B31" s="728"/>
      <c r="C31" s="729"/>
      <c r="D31" s="718" t="s">
        <v>15781</v>
      </c>
      <c r="E31" s="719"/>
      <c r="F31" s="720"/>
      <c r="G31" s="721"/>
      <c r="H31" s="721"/>
      <c r="I31" s="722"/>
      <c r="J31" s="723"/>
      <c r="K31" s="724"/>
      <c r="L31" s="725"/>
      <c r="M31" s="726"/>
      <c r="N31" s="727"/>
    </row>
    <row r="32" spans="1:14" x14ac:dyDescent="0.3">
      <c r="A32" s="90" t="s">
        <v>15788</v>
      </c>
      <c r="B32" s="103" t="s">
        <v>15824</v>
      </c>
      <c r="C32" s="92" t="s">
        <v>31</v>
      </c>
      <c r="D32" s="93" t="str">
        <f>VLOOKUP(B32,composicoes!$A:$K,2,0)</f>
        <v>ENSAIO DE TAXA APLICAÇÃO IMPRIMAÇÃO</v>
      </c>
      <c r="E32" s="94" t="str">
        <f>VLOOKUP(B32,composicoes!$A:$K,8,0)</f>
        <v>UN</v>
      </c>
      <c r="F32" s="105">
        <v>1</v>
      </c>
      <c r="G32" s="96">
        <f>VLOOKUP(B32,composicoes!$A:$K,10,0)</f>
        <v>78.569999999999993</v>
      </c>
      <c r="H32" s="96">
        <f>VLOOKUP(B32,composicoes!$A:$K,11,0)</f>
        <v>22.42</v>
      </c>
      <c r="I32" s="97">
        <f t="shared" si="5"/>
        <v>100.99</v>
      </c>
      <c r="J32" s="98">
        <v>0.24229999999999999</v>
      </c>
      <c r="K32" s="99">
        <f t="shared" si="6"/>
        <v>125.46</v>
      </c>
      <c r="L32" s="100">
        <f t="shared" si="7"/>
        <v>97.6</v>
      </c>
      <c r="M32" s="101">
        <f t="shared" si="8"/>
        <v>27.86</v>
      </c>
      <c r="N32" s="102">
        <f t="shared" si="9"/>
        <v>125.46</v>
      </c>
    </row>
    <row r="33" spans="1:14" x14ac:dyDescent="0.3">
      <c r="A33" s="700" t="s">
        <v>15417</v>
      </c>
      <c r="B33" s="728"/>
      <c r="C33" s="729"/>
      <c r="D33" s="718" t="s">
        <v>15794</v>
      </c>
      <c r="E33" s="719"/>
      <c r="F33" s="720"/>
      <c r="G33" s="721"/>
      <c r="H33" s="721"/>
      <c r="I33" s="722"/>
      <c r="J33" s="723"/>
      <c r="K33" s="724"/>
      <c r="L33" s="725"/>
      <c r="M33" s="726"/>
      <c r="N33" s="727"/>
    </row>
    <row r="34" spans="1:14" x14ac:dyDescent="0.3">
      <c r="A34" s="90" t="s">
        <v>15789</v>
      </c>
      <c r="B34" s="103" t="s">
        <v>15823</v>
      </c>
      <c r="C34" s="92" t="s">
        <v>31</v>
      </c>
      <c r="D34" s="93" t="str">
        <f>VLOOKUP(B34,composicoes!$A:$K,2,0)</f>
        <v>ENSAIO DE DESGASTE E RESISTENCIA</v>
      </c>
      <c r="E34" s="94" t="str">
        <f>VLOOKUP(B34,composicoes!$A:$K,8,0)</f>
        <v>UN</v>
      </c>
      <c r="F34" s="105">
        <v>2</v>
      </c>
      <c r="G34" s="96">
        <f>VLOOKUP(B34,composicoes!$A:$K,10,0)</f>
        <v>145.91999999999999</v>
      </c>
      <c r="H34" s="96">
        <f>VLOOKUP(B34,composicoes!$A:$K,11,0)</f>
        <v>36.619999999999997</v>
      </c>
      <c r="I34" s="97">
        <f t="shared" ref="I34:I38" si="10">G34+H34</f>
        <v>182.54</v>
      </c>
      <c r="J34" s="98">
        <v>0.24229999999999999</v>
      </c>
      <c r="K34" s="99">
        <f t="shared" ref="K34:K38" si="11">I34+ROUND(I34*J34,2)</f>
        <v>226.76999999999998</v>
      </c>
      <c r="L34" s="100">
        <f t="shared" ref="L34:L38" si="12">TRUNC(TRUNC(G34*(1+J34),2)*F34,2)</f>
        <v>362.54</v>
      </c>
      <c r="M34" s="101">
        <f t="shared" ref="M34:M38" si="13">N34-L34</f>
        <v>91</v>
      </c>
      <c r="N34" s="102">
        <f t="shared" ref="N34:N38" si="14">ROUND(F34*K34,2)</f>
        <v>453.54</v>
      </c>
    </row>
    <row r="35" spans="1:14" x14ac:dyDescent="0.3">
      <c r="A35" s="700" t="s">
        <v>15418</v>
      </c>
      <c r="B35" s="728"/>
      <c r="C35" s="729"/>
      <c r="D35" s="718" t="s">
        <v>15488</v>
      </c>
      <c r="E35" s="719"/>
      <c r="F35" s="720"/>
      <c r="G35" s="721"/>
      <c r="H35" s="721"/>
      <c r="I35" s="722"/>
      <c r="J35" s="723"/>
      <c r="K35" s="724"/>
      <c r="L35" s="725"/>
      <c r="M35" s="726"/>
      <c r="N35" s="727"/>
    </row>
    <row r="36" spans="1:14" x14ac:dyDescent="0.3">
      <c r="A36" s="90" t="s">
        <v>15790</v>
      </c>
      <c r="B36" s="103" t="s">
        <v>15821</v>
      </c>
      <c r="C36" s="92" t="s">
        <v>31</v>
      </c>
      <c r="D36" s="93" t="str">
        <f>VLOOKUP(B36,composicoes!$A:$K,2,0)</f>
        <v>ENSAIO DE EXTRAÇÃO DE BETUME / GRANULAMETRIA / MARSHALL</v>
      </c>
      <c r="E36" s="94" t="str">
        <f>VLOOKUP(B36,composicoes!$A:$K,8,0)</f>
        <v>UN</v>
      </c>
      <c r="F36" s="105">
        <v>2</v>
      </c>
      <c r="G36" s="96">
        <f>VLOOKUP(B36,composicoes!$A:$K,10,0)</f>
        <v>617.37</v>
      </c>
      <c r="H36" s="96">
        <f>VLOOKUP(B36,composicoes!$A:$K,11,0)</f>
        <v>178.24</v>
      </c>
      <c r="I36" s="97">
        <f t="shared" si="10"/>
        <v>795.61</v>
      </c>
      <c r="J36" s="98">
        <v>0.24229999999999999</v>
      </c>
      <c r="K36" s="99">
        <f t="shared" si="11"/>
        <v>988.39</v>
      </c>
      <c r="L36" s="100">
        <f t="shared" si="12"/>
        <v>1533.9</v>
      </c>
      <c r="M36" s="101">
        <f t="shared" si="13"/>
        <v>442.87999999999988</v>
      </c>
      <c r="N36" s="102">
        <f t="shared" si="14"/>
        <v>1976.78</v>
      </c>
    </row>
    <row r="37" spans="1:14" x14ac:dyDescent="0.3">
      <c r="A37" s="90" t="s">
        <v>15791</v>
      </c>
      <c r="B37" s="103" t="s">
        <v>15829</v>
      </c>
      <c r="C37" s="92" t="s">
        <v>31</v>
      </c>
      <c r="D37" s="93" t="str">
        <f>VLOOKUP(B37,composicoes!$A:$K,2,0)</f>
        <v>ENSAIO DE TEMPERATURA INICIO ESPALHAMENTO</v>
      </c>
      <c r="E37" s="94" t="str">
        <f>VLOOKUP(B37,composicoes!$A:$K,8,0)</f>
        <v>UN</v>
      </c>
      <c r="F37" s="105">
        <v>4</v>
      </c>
      <c r="G37" s="96">
        <f>VLOOKUP(B37,composicoes!$A:$K,10,0)</f>
        <v>56.12</v>
      </c>
      <c r="H37" s="96">
        <f>VLOOKUP(B37,composicoes!$A:$K,11,0)</f>
        <v>16.09</v>
      </c>
      <c r="I37" s="97">
        <f t="shared" si="10"/>
        <v>72.209999999999994</v>
      </c>
      <c r="J37" s="98">
        <v>0.24229999999999999</v>
      </c>
      <c r="K37" s="99">
        <f t="shared" si="11"/>
        <v>89.71</v>
      </c>
      <c r="L37" s="100">
        <f t="shared" si="12"/>
        <v>278.83999999999997</v>
      </c>
      <c r="M37" s="101">
        <f t="shared" si="13"/>
        <v>80</v>
      </c>
      <c r="N37" s="102">
        <f t="shared" si="14"/>
        <v>358.84</v>
      </c>
    </row>
    <row r="38" spans="1:14" x14ac:dyDescent="0.3">
      <c r="A38" s="90" t="s">
        <v>15792</v>
      </c>
      <c r="B38" s="103" t="s">
        <v>15833</v>
      </c>
      <c r="C38" s="92" t="s">
        <v>31</v>
      </c>
      <c r="D38" s="93" t="str">
        <f>VLOOKUP(B38,composicoes!$A:$K,2,0)</f>
        <v>ENSAIO DE COMPRESSÃO</v>
      </c>
      <c r="E38" s="94" t="str">
        <f>VLOOKUP(B38,composicoes!$A:$K,8,0)</f>
        <v>UN</v>
      </c>
      <c r="F38" s="105">
        <v>2</v>
      </c>
      <c r="G38" s="96">
        <f>VLOOKUP(B38,composicoes!$A:$K,10,0)</f>
        <v>101.02</v>
      </c>
      <c r="H38" s="96">
        <f>VLOOKUP(B38,composicoes!$A:$K,11,0)</f>
        <v>25.58</v>
      </c>
      <c r="I38" s="97">
        <f t="shared" si="10"/>
        <v>126.6</v>
      </c>
      <c r="J38" s="98">
        <v>0.24229999999999999</v>
      </c>
      <c r="K38" s="99">
        <f t="shared" si="11"/>
        <v>157.28</v>
      </c>
      <c r="L38" s="100">
        <f t="shared" si="12"/>
        <v>250.98</v>
      </c>
      <c r="M38" s="101">
        <f t="shared" si="13"/>
        <v>63.580000000000013</v>
      </c>
      <c r="N38" s="102">
        <f t="shared" si="14"/>
        <v>314.56</v>
      </c>
    </row>
    <row r="39" spans="1:14" x14ac:dyDescent="0.3">
      <c r="A39" s="700" t="s">
        <v>15419</v>
      </c>
      <c r="B39" s="728"/>
      <c r="C39" s="729"/>
      <c r="D39" s="718" t="s">
        <v>16009</v>
      </c>
      <c r="E39" s="719"/>
      <c r="F39" s="720"/>
      <c r="G39" s="721"/>
      <c r="H39" s="721"/>
      <c r="I39" s="722"/>
      <c r="J39" s="723"/>
      <c r="K39" s="724"/>
      <c r="L39" s="725"/>
      <c r="M39" s="726"/>
      <c r="N39" s="727"/>
    </row>
    <row r="40" spans="1:14" x14ac:dyDescent="0.3">
      <c r="A40" s="90" t="s">
        <v>15835</v>
      </c>
      <c r="B40" s="103" t="s">
        <v>15832</v>
      </c>
      <c r="C40" s="92" t="s">
        <v>31</v>
      </c>
      <c r="D40" s="93" t="str">
        <f>VLOOKUP(B40,composicoes!$A:$K,2,0)</f>
        <v>COLETA CONJUNTO DE AMOSTRAS</v>
      </c>
      <c r="E40" s="94" t="str">
        <f>VLOOKUP(B40,composicoes!$A:$K,8,0)</f>
        <v>UN</v>
      </c>
      <c r="F40" s="105">
        <v>9</v>
      </c>
      <c r="G40" s="96">
        <f>VLOOKUP(B40,composicoes!$A:$K,10,0)</f>
        <v>46.1</v>
      </c>
      <c r="H40" s="96">
        <f>VLOOKUP(B40,composicoes!$A:$K,11,0)</f>
        <v>11.29</v>
      </c>
      <c r="I40" s="97">
        <f t="shared" ref="I40" si="15">G40+H40</f>
        <v>57.39</v>
      </c>
      <c r="J40" s="98">
        <v>0.24229999999999999</v>
      </c>
      <c r="K40" s="99">
        <f t="shared" ref="K40" si="16">I40+ROUND(I40*J40,2)</f>
        <v>71.3</v>
      </c>
      <c r="L40" s="100">
        <f t="shared" ref="L40" si="17">TRUNC(TRUNC(G40*(1+J40),2)*F40,2)</f>
        <v>515.42999999999995</v>
      </c>
      <c r="M40" s="101">
        <f t="shared" ref="M40" si="18">N40-L40</f>
        <v>126.2700000000001</v>
      </c>
      <c r="N40" s="102">
        <f t="shared" ref="N40" si="19">ROUND(F40*K40,2)</f>
        <v>641.70000000000005</v>
      </c>
    </row>
    <row r="41" spans="1:14" s="62" customFormat="1" ht="13.8" x14ac:dyDescent="0.25">
      <c r="A41" s="82">
        <v>3</v>
      </c>
      <c r="B41" s="83"/>
      <c r="C41" s="84"/>
      <c r="D41" s="85" t="s">
        <v>15406</v>
      </c>
      <c r="E41" s="86"/>
      <c r="F41" s="87"/>
      <c r="G41" s="87"/>
      <c r="H41" s="87"/>
      <c r="I41" s="87"/>
      <c r="J41" s="88"/>
      <c r="K41" s="88"/>
      <c r="L41" s="87"/>
      <c r="M41" s="87"/>
      <c r="N41" s="89"/>
    </row>
    <row r="42" spans="1:14" s="62" customFormat="1" ht="27.6" x14ac:dyDescent="0.25">
      <c r="A42" s="90" t="s">
        <v>43</v>
      </c>
      <c r="B42" s="103">
        <v>10776</v>
      </c>
      <c r="C42" s="111" t="s">
        <v>53</v>
      </c>
      <c r="D42" s="93" t="str">
        <f>IF(C42="SINAPI",IFERROR(VLOOKUP(B42,'SINAPI-comp'!$B:$H,2,0),VLOOKUP(B42,'SINAPI-insumo'!$B:$H,2,0)))</f>
        <v>LOCACAO DE CONTAINER 2,30 X 6,00 M, ALT. 2,50 M, PARA ESCRITORIO, SEM DIVISORIAS INTERNAS E SEM SANITARIO (NAO INCLUI MOBILIZACAO/DESMOBILIZACAO)</v>
      </c>
      <c r="E42" s="94" t="str">
        <f>IF(C42="SINAPI",IFERROR(VLOOKUP(B42,'SINAPI-comp'!$B:$H,3,0),VLOOKUP(B42,'SINAPI-insumo'!$B:$H,3,0)))</f>
        <v>MES</v>
      </c>
      <c r="F42" s="104">
        <v>4</v>
      </c>
      <c r="G42" s="96">
        <f>IFERROR(VLOOKUP(B42,'SINAPI-comp'!$B:$H,4,0)-H42,0)</f>
        <v>0</v>
      </c>
      <c r="H42" s="96">
        <f>IF(C42="SINAPI",IFERROR(VLOOKUP(B42,'SINAPI-comp'!$B:$H,7,0),VLOOKUP(B42,'SINAPI-insumo'!$B:$H,7,0)))</f>
        <v>908.2</v>
      </c>
      <c r="I42" s="97">
        <f>G42+H42</f>
        <v>908.2</v>
      </c>
      <c r="J42" s="98">
        <v>0.16980000000000001</v>
      </c>
      <c r="K42" s="99">
        <f>I42+ROUND(I42*J42,2)</f>
        <v>1062.4100000000001</v>
      </c>
      <c r="L42" s="100">
        <f>TRUNC(TRUNC(G42*(1+J42),2)*F42,2)</f>
        <v>0</v>
      </c>
      <c r="M42" s="101">
        <f>N42-L42</f>
        <v>4249.6400000000003</v>
      </c>
      <c r="N42" s="102">
        <f>ROUND(F42*K42,2)</f>
        <v>4249.6400000000003</v>
      </c>
    </row>
    <row r="43" spans="1:14" s="62" customFormat="1" ht="27.6" x14ac:dyDescent="0.25">
      <c r="A43" s="90" t="s">
        <v>45</v>
      </c>
      <c r="B43" s="103" t="s">
        <v>15598</v>
      </c>
      <c r="C43" s="92" t="s">
        <v>42</v>
      </c>
      <c r="D43" s="106" t="str">
        <f>VLOOKUP(B43,tabelas!$A:$L,4,0)</f>
        <v>LOCAÇÃO DE BANHEIRO QUÍMICO INDIVIDUAL, INCLUSO TRANSPORTE, LIMPEZA E REPOSIÇÃO DE PAPEL HIGIENICO</v>
      </c>
      <c r="E43" s="107" t="str">
        <f>VLOOKUP(B43,tabelas!$A:$L,5,0)</f>
        <v>MES</v>
      </c>
      <c r="F43" s="105">
        <v>4</v>
      </c>
      <c r="G43" s="108">
        <v>0</v>
      </c>
      <c r="H43" s="108">
        <f>VLOOKUP($B43,tabelas!$A:$L,12,0)</f>
        <v>1590</v>
      </c>
      <c r="I43" s="109">
        <f>G43+H43</f>
        <v>1590</v>
      </c>
      <c r="J43" s="98">
        <v>0.16980000000000001</v>
      </c>
      <c r="K43" s="99">
        <f>I43+ROUND(I43*J43,2)</f>
        <v>1859.98</v>
      </c>
      <c r="L43" s="100">
        <f>TRUNC(TRUNC(G43*(1+J43),2)*F43,2)</f>
        <v>0</v>
      </c>
      <c r="M43" s="101">
        <f>N43-L43</f>
        <v>7439.92</v>
      </c>
      <c r="N43" s="102">
        <f>ROUND(F43*K43,2)</f>
        <v>7439.92</v>
      </c>
    </row>
    <row r="44" spans="1:14" s="62" customFormat="1" ht="13.8" x14ac:dyDescent="0.25">
      <c r="A44" s="82">
        <v>4</v>
      </c>
      <c r="B44" s="83"/>
      <c r="C44" s="84"/>
      <c r="D44" s="85" t="s">
        <v>15407</v>
      </c>
      <c r="E44" s="86"/>
      <c r="F44" s="87"/>
      <c r="G44" s="87"/>
      <c r="H44" s="87"/>
      <c r="I44" s="87"/>
      <c r="J44" s="88"/>
      <c r="K44" s="88"/>
      <c r="L44" s="87"/>
      <c r="M44" s="87"/>
      <c r="N44" s="89"/>
    </row>
    <row r="45" spans="1:14" s="62" customFormat="1" ht="13.8" x14ac:dyDescent="0.25">
      <c r="A45" s="90" t="s">
        <v>47</v>
      </c>
      <c r="B45" s="110" t="s">
        <v>49</v>
      </c>
      <c r="C45" s="92" t="s">
        <v>31</v>
      </c>
      <c r="D45" s="93" t="str">
        <f>VLOOKUP(B45,composicoes!$A:$K,2,0)</f>
        <v>MOBILIZAÇÃO EQUIPAMENTOS AUTOPROPELIDOS E LEVES</v>
      </c>
      <c r="E45" s="94" t="str">
        <f>VLOOKUP(B45,composicoes!$A:$K,8,0)</f>
        <v>UN</v>
      </c>
      <c r="F45" s="95">
        <v>1</v>
      </c>
      <c r="G45" s="96">
        <f>VLOOKUP(B45,composicoes!$A:$K,10,0)</f>
        <v>525.71</v>
      </c>
      <c r="H45" s="96">
        <f>VLOOKUP(B45,composicoes!$A:$K,11,0)</f>
        <v>2904.58</v>
      </c>
      <c r="I45" s="97">
        <f>G45+H45</f>
        <v>3430.29</v>
      </c>
      <c r="J45" s="98">
        <v>0.24229999999999999</v>
      </c>
      <c r="K45" s="99">
        <f>I45+ROUND(I45*J45,2)</f>
        <v>4261.45</v>
      </c>
      <c r="L45" s="100">
        <f>TRUNC(TRUNC(G45*(1+J45),2)*F45,2)</f>
        <v>653.08000000000004</v>
      </c>
      <c r="M45" s="101">
        <f>N45-L45</f>
        <v>3608.37</v>
      </c>
      <c r="N45" s="102">
        <f>ROUND(F45*K45,2)</f>
        <v>4261.45</v>
      </c>
    </row>
    <row r="46" spans="1:14" s="62" customFormat="1" ht="13.8" x14ac:dyDescent="0.25">
      <c r="A46" s="90" t="s">
        <v>48</v>
      </c>
      <c r="B46" s="103" t="s">
        <v>46</v>
      </c>
      <c r="C46" s="92" t="s">
        <v>31</v>
      </c>
      <c r="D46" s="93" t="str">
        <f>VLOOKUP(B46,composicoes!$A:$K,2,0)</f>
        <v>FRETE CONTAINER</v>
      </c>
      <c r="E46" s="94" t="str">
        <f>VLOOKUP(B46,composicoes!$A:$K,8,0)</f>
        <v>UN</v>
      </c>
      <c r="F46" s="105">
        <v>1</v>
      </c>
      <c r="G46" s="96">
        <f>VLOOKUP(B46,composicoes!$A:$K,10,0)</f>
        <v>92.37</v>
      </c>
      <c r="H46" s="96">
        <f>VLOOKUP(B46,composicoes!$A:$K,11,0)</f>
        <v>536.26</v>
      </c>
      <c r="I46" s="109">
        <f>G46+H46</f>
        <v>628.63</v>
      </c>
      <c r="J46" s="98">
        <v>0.24229999999999999</v>
      </c>
      <c r="K46" s="99">
        <f>I46+ROUND(I46*J46,2)</f>
        <v>780.95</v>
      </c>
      <c r="L46" s="100">
        <f>TRUNC(TRUNC(G46*(1+J46),2)*F46,2)</f>
        <v>114.75</v>
      </c>
      <c r="M46" s="101">
        <f>N46-L46</f>
        <v>666.2</v>
      </c>
      <c r="N46" s="102">
        <f>ROUND(F46*K46,2)</f>
        <v>780.95</v>
      </c>
    </row>
    <row r="47" spans="1:14" s="62" customFormat="1" ht="27.6" x14ac:dyDescent="0.25">
      <c r="A47" s="90" t="s">
        <v>50</v>
      </c>
      <c r="B47" s="103">
        <v>105115</v>
      </c>
      <c r="C47" s="111" t="s">
        <v>53</v>
      </c>
      <c r="D47" s="93" t="str">
        <f>IF(C47="SINAPI",IFERROR(VLOOKUP(B47,'SINAPI-comp'!$B:$H,2,0),VLOOKUP(B47,'SINAPI-insumo'!$B:$H,2,0)))</f>
        <v>INSTALAÇÃO E DESINSTALAÇÃO MECANIZADA DE CONTÊINER OU MÓDULO HABITÁVEL DE USOS DIVERSOS. AF_03/2024</v>
      </c>
      <c r="E47" s="94" t="str">
        <f>IF(C47="SINAPI",IFERROR(VLOOKUP(B47,'SINAPI-comp'!$B:$H,3,0),VLOOKUP(B47,'SINAPI-insumo'!$B:$H,3,0)))</f>
        <v>UN</v>
      </c>
      <c r="F47" s="104">
        <v>1</v>
      </c>
      <c r="G47" s="96">
        <f>IFERROR(VLOOKUP(B47,'SINAPI-comp'!$B:$H,4,0)-H47,0)</f>
        <v>73.709999999999994</v>
      </c>
      <c r="H47" s="96">
        <f>IF(C47="SINAPI",IFERROR(VLOOKUP(B47,'SINAPI-comp'!$B:$H,7,0),VLOOKUP(B47,'SINAPI-insumo'!$B:$H,7,0)))</f>
        <v>65.489999999999995</v>
      </c>
      <c r="I47" s="97">
        <f>G47+H47</f>
        <v>139.19999999999999</v>
      </c>
      <c r="J47" s="98">
        <v>0.16980000000000001</v>
      </c>
      <c r="K47" s="99">
        <f>I47+ROUND(I47*J47,2)</f>
        <v>162.83999999999997</v>
      </c>
      <c r="L47" s="100">
        <f>TRUNC(TRUNC(G47*(1+J47),2)*F47,2)</f>
        <v>86.22</v>
      </c>
      <c r="M47" s="101">
        <f>N47-L47</f>
        <v>76.62</v>
      </c>
      <c r="N47" s="102">
        <f>ROUND(F47*K47,2)</f>
        <v>162.84</v>
      </c>
    </row>
    <row r="48" spans="1:14" s="62" customFormat="1" ht="13.8" x14ac:dyDescent="0.25">
      <c r="A48" s="82">
        <v>5</v>
      </c>
      <c r="B48" s="83"/>
      <c r="C48" s="84"/>
      <c r="D48" s="85" t="s">
        <v>15408</v>
      </c>
      <c r="E48" s="86"/>
      <c r="F48" s="87"/>
      <c r="G48" s="87"/>
      <c r="H48" s="87"/>
      <c r="I48" s="87"/>
      <c r="J48" s="88"/>
      <c r="K48" s="88"/>
      <c r="L48" s="87"/>
      <c r="M48" s="87"/>
      <c r="N48" s="89"/>
    </row>
    <row r="49" spans="1:14" s="62" customFormat="1" ht="13.8" x14ac:dyDescent="0.25">
      <c r="A49" s="90" t="s">
        <v>52</v>
      </c>
      <c r="B49" s="103" t="s">
        <v>15529</v>
      </c>
      <c r="C49" s="92" t="s">
        <v>31</v>
      </c>
      <c r="D49" s="93" t="str">
        <f>VLOOKUP(B49,composicoes!$A:$K,2,0)</f>
        <v>CONE DE SINALIZACAO EM PVC FLEXIVEL, H = 70 / 76 CM - FORNECIMENTO E INSTALAÇÃO</v>
      </c>
      <c r="E49" s="94" t="str">
        <f>VLOOKUP(B49,composicoes!$A:$K,8,0)</f>
        <v>UN</v>
      </c>
      <c r="F49" s="104">
        <v>9</v>
      </c>
      <c r="G49" s="96">
        <f>VLOOKUP(B49,composicoes!$A:$K,10,0)</f>
        <v>2.58</v>
      </c>
      <c r="H49" s="96">
        <f>VLOOKUP(B49,composicoes!$A:$K,11,0)</f>
        <v>123.29</v>
      </c>
      <c r="I49" s="97">
        <f>G49+H49</f>
        <v>125.87</v>
      </c>
      <c r="J49" s="98">
        <v>0.24229999999999999</v>
      </c>
      <c r="K49" s="99">
        <f>I49+ROUND(I49*J49,2)</f>
        <v>156.37</v>
      </c>
      <c r="L49" s="100">
        <f>TRUNC(TRUNC(G49*(1+J49),2)*F49,2)</f>
        <v>28.8</v>
      </c>
      <c r="M49" s="101">
        <f>N49-L49</f>
        <v>1378.53</v>
      </c>
      <c r="N49" s="102">
        <f>ROUND(F49*K49,2)</f>
        <v>1407.33</v>
      </c>
    </row>
    <row r="50" spans="1:14" s="62" customFormat="1" ht="13.8" x14ac:dyDescent="0.25">
      <c r="A50" s="90" t="s">
        <v>54</v>
      </c>
      <c r="B50" s="103" t="s">
        <v>15548</v>
      </c>
      <c r="C50" s="92" t="s">
        <v>31</v>
      </c>
      <c r="D50" s="93" t="str">
        <f>VLOOKUP(B50,composicoes!$A:$K,2,0)</f>
        <v>TELA TAPUME LARANJA - FORNECIMENTO E INSTALAÇÃO COM MADEIRA</v>
      </c>
      <c r="E50" s="94" t="str">
        <f>VLOOKUP(B50,composicoes!$A:$K,8,0)</f>
        <v>M</v>
      </c>
      <c r="F50" s="105">
        <v>300</v>
      </c>
      <c r="G50" s="96">
        <f>VLOOKUP(B50,composicoes!$A:$K,10,0)</f>
        <v>7.84</v>
      </c>
      <c r="H50" s="96">
        <f>VLOOKUP(B50,composicoes!$A:$K,11,0)</f>
        <v>10.79</v>
      </c>
      <c r="I50" s="109">
        <f>G50+H50</f>
        <v>18.63</v>
      </c>
      <c r="J50" s="98">
        <v>0.24229999999999999</v>
      </c>
      <c r="K50" s="99">
        <f>I50+ROUND(I50*J50,2)</f>
        <v>23.14</v>
      </c>
      <c r="L50" s="100">
        <f>TRUNC(TRUNC(G50*(1+J50),2)*F50,2)</f>
        <v>2919</v>
      </c>
      <c r="M50" s="101">
        <f>N50-L50</f>
        <v>4023</v>
      </c>
      <c r="N50" s="102">
        <f>ROUND(F50*K50,2)</f>
        <v>6942</v>
      </c>
    </row>
    <row r="51" spans="1:14" s="62" customFormat="1" ht="13.8" x14ac:dyDescent="0.25">
      <c r="A51" s="90" t="s">
        <v>55</v>
      </c>
      <c r="B51" s="103" t="s">
        <v>15549</v>
      </c>
      <c r="C51" s="92" t="s">
        <v>31</v>
      </c>
      <c r="D51" s="93" t="str">
        <f>VLOOKUP(B51,composicoes!$A:$K,2,0)</f>
        <v>BALIZADOR REFLETIVO - FORNECIMENTO E MANUTENÇÃO</v>
      </c>
      <c r="E51" s="94" t="str">
        <f>VLOOKUP(B51,composicoes!$A:$K,8,0)</f>
        <v>UN</v>
      </c>
      <c r="F51" s="105">
        <v>9</v>
      </c>
      <c r="G51" s="96">
        <f>VLOOKUP(B51,composicoes!$A:$K,10,0)</f>
        <v>5.04</v>
      </c>
      <c r="H51" s="96">
        <f>VLOOKUP(B51,composicoes!$A:$K,11,0)</f>
        <v>199.33</v>
      </c>
      <c r="I51" s="109">
        <f>G51+H51</f>
        <v>204.37</v>
      </c>
      <c r="J51" s="98">
        <v>0.24229999999999999</v>
      </c>
      <c r="K51" s="99">
        <f>I51+ROUND(I51*J51,2)</f>
        <v>253.89000000000001</v>
      </c>
      <c r="L51" s="100">
        <f>TRUNC(TRUNC(G51*(1+J51),2)*F51,2)</f>
        <v>56.34</v>
      </c>
      <c r="M51" s="101">
        <f>N51-L51</f>
        <v>2228.67</v>
      </c>
      <c r="N51" s="102">
        <f>ROUND(F51*K51,2)</f>
        <v>2285.0100000000002</v>
      </c>
    </row>
    <row r="52" spans="1:14" s="62" customFormat="1" ht="27.6" x14ac:dyDescent="0.25">
      <c r="A52" s="90" t="s">
        <v>56</v>
      </c>
      <c r="B52" s="103" t="s">
        <v>15550</v>
      </c>
      <c r="C52" s="92" t="s">
        <v>31</v>
      </c>
      <c r="D52" s="93" t="str">
        <f>VLOOKUP(B52,composicoes!$A:$K,2,0)</f>
        <v>PASSADICOS C/ TÁBUAS DE MADEIRA P/ PEDESTRES - FORNEC., INST. E DESLOCAMENTOS AO LONGO DA OBRA</v>
      </c>
      <c r="E52" s="94" t="str">
        <f>VLOOKUP(B52,composicoes!$A:$K,8,0)</f>
        <v>M2</v>
      </c>
      <c r="F52" s="105">
        <v>20</v>
      </c>
      <c r="G52" s="96">
        <f>VLOOKUP(B52,composicoes!$A:$K,10,0)</f>
        <v>53.94</v>
      </c>
      <c r="H52" s="96">
        <f>VLOOKUP(B52,composicoes!$A:$K,11,0)</f>
        <v>42.45</v>
      </c>
      <c r="I52" s="109">
        <f>G52+H52</f>
        <v>96.39</v>
      </c>
      <c r="J52" s="98">
        <v>0.24229999999999999</v>
      </c>
      <c r="K52" s="99">
        <f>I52+ROUND(I52*J52,2)</f>
        <v>119.75</v>
      </c>
      <c r="L52" s="100">
        <f>TRUNC(TRUNC(G52*(1+J52),2)*F52,2)</f>
        <v>1340</v>
      </c>
      <c r="M52" s="101">
        <f>N52-L52</f>
        <v>1055</v>
      </c>
      <c r="N52" s="102">
        <f>ROUND(F52*K52,2)</f>
        <v>2395</v>
      </c>
    </row>
    <row r="53" spans="1:14" s="62" customFormat="1" ht="13.8" x14ac:dyDescent="0.25">
      <c r="A53" s="82">
        <v>6</v>
      </c>
      <c r="B53" s="83"/>
      <c r="C53" s="84"/>
      <c r="D53" s="85" t="s">
        <v>15409</v>
      </c>
      <c r="E53" s="86"/>
      <c r="F53" s="87"/>
      <c r="G53" s="87"/>
      <c r="H53" s="87"/>
      <c r="I53" s="87"/>
      <c r="J53" s="88"/>
      <c r="K53" s="88"/>
      <c r="L53" s="87"/>
      <c r="M53" s="87"/>
      <c r="N53" s="89"/>
    </row>
    <row r="54" spans="1:14" s="62" customFormat="1" ht="27.6" x14ac:dyDescent="0.25">
      <c r="A54" s="90" t="s">
        <v>57</v>
      </c>
      <c r="B54" s="103">
        <v>103689</v>
      </c>
      <c r="C54" s="111" t="s">
        <v>53</v>
      </c>
      <c r="D54" s="93" t="str">
        <f>IF(C54="SINAPI",IFERROR(VLOOKUP(B54,'SINAPI-comp'!$B:$H,2,0),VLOOKUP(B54,'SINAPI-insumo'!$B:$H,2,0)))</f>
        <v>FORNECIMENTO E INSTALAÇÃO DE PLACA DE OBRA COM CHAPA GALVANIZADA E ESTRUTURA DE MADEIRA. AF_03/2022_PS</v>
      </c>
      <c r="E54" s="94" t="str">
        <f>IF(C54="SINAPI",IFERROR(VLOOKUP(B54,'SINAPI-comp'!$B:$H,3,0),VLOOKUP(B54,'SINAPI-insumo'!$B:$H,3,0)))</f>
        <v>M2</v>
      </c>
      <c r="F54" s="105">
        <f>2*3+0.6*0.8*2</f>
        <v>6.96</v>
      </c>
      <c r="G54" s="96">
        <f>IFERROR(VLOOKUP(B54,'SINAPI-comp'!$B:$H,4,0)-H54,0)</f>
        <v>47.650000000000034</v>
      </c>
      <c r="H54" s="96">
        <f>IF(C54="SINAPI",IFERROR(VLOOKUP(B54,'SINAPI-comp'!$B:$H,7,0),VLOOKUP(B54,'SINAPI-insumo'!$B:$H,7,0)))</f>
        <v>449.14</v>
      </c>
      <c r="I54" s="109">
        <f t="shared" ref="I54:I58" si="20">G54+H54</f>
        <v>496.79</v>
      </c>
      <c r="J54" s="98">
        <v>0.24229999999999999</v>
      </c>
      <c r="K54" s="99">
        <f t="shared" ref="K54:K58" si="21">I54+ROUND(I54*J54,2)</f>
        <v>617.16000000000008</v>
      </c>
      <c r="L54" s="100">
        <f t="shared" ref="L54:L58" si="22">TRUNC(TRUNC(G54*(1+J54),2)*F54,2)</f>
        <v>411.96</v>
      </c>
      <c r="M54" s="101">
        <f t="shared" ref="M54:M58" si="23">N54-L54</f>
        <v>3883.4700000000003</v>
      </c>
      <c r="N54" s="102">
        <f t="shared" ref="N54:N58" si="24">ROUND(F54*K54,2)</f>
        <v>4295.43</v>
      </c>
    </row>
    <row r="55" spans="1:14" s="62" customFormat="1" ht="27.6" x14ac:dyDescent="0.25">
      <c r="A55" s="90" t="s">
        <v>58</v>
      </c>
      <c r="B55" s="103">
        <v>101905</v>
      </c>
      <c r="C55" s="111" t="s">
        <v>53</v>
      </c>
      <c r="D55" s="93" t="str">
        <f>IF(C55="SINAPI",IFERROR(VLOOKUP(B55,'SINAPI-comp'!$B:$H,2,0),VLOOKUP(B55,'SINAPI-insumo'!$B:$H,2,0)))</f>
        <v>EXTINTOR DE INCÊNDIO PORTÁTIL COM CARGA DE ÁGUA PRESSURIZADA DE 10 L, CLASSE A - FORNECIMENTO E INSTALAÇÃO. AF_01/2026_PE</v>
      </c>
      <c r="E55" s="94" t="str">
        <f>IF(C55="SINAPI",IFERROR(VLOOKUP(B55,'SINAPI-comp'!$B:$H,3,0),VLOOKUP(B55,'SINAPI-insumo'!$B:$H,3,0)))</f>
        <v>UN</v>
      </c>
      <c r="F55" s="104">
        <v>1</v>
      </c>
      <c r="G55" s="96">
        <f>IFERROR(VLOOKUP(B55,'SINAPI-comp'!$B:$H,4,0)-H55,0)</f>
        <v>24.759999999999991</v>
      </c>
      <c r="H55" s="96">
        <f>IF(C55="SINAPI",IFERROR(VLOOKUP(B55,'SINAPI-comp'!$B:$H,7,0),VLOOKUP(B55,'SINAPI-insumo'!$B:$H,7,0)))</f>
        <v>200.33</v>
      </c>
      <c r="I55" s="97">
        <f t="shared" si="20"/>
        <v>225.09</v>
      </c>
      <c r="J55" s="98">
        <v>0.24229999999999999</v>
      </c>
      <c r="K55" s="99">
        <f t="shared" si="21"/>
        <v>279.63</v>
      </c>
      <c r="L55" s="100">
        <f t="shared" si="22"/>
        <v>30.75</v>
      </c>
      <c r="M55" s="101">
        <f t="shared" si="23"/>
        <v>248.88</v>
      </c>
      <c r="N55" s="102">
        <f t="shared" si="24"/>
        <v>279.63</v>
      </c>
    </row>
    <row r="56" spans="1:14" s="62" customFormat="1" ht="27.6" x14ac:dyDescent="0.25">
      <c r="A56" s="90" t="s">
        <v>59</v>
      </c>
      <c r="B56" s="103">
        <v>101910</v>
      </c>
      <c r="C56" s="111" t="s">
        <v>53</v>
      </c>
      <c r="D56" s="93" t="str">
        <f>IF(C56="SINAPI",IFERROR(VLOOKUP(B56,'SINAPI-comp'!$B:$H,2,0),VLOOKUP(B56,'SINAPI-insumo'!$B:$H,2,0)))</f>
        <v>EXTINTOR DE INCÊNDIO PORTÁTIL COM CARGA DE PQS DE 8 KG, CLASSE BC - FORNECIMENTO E INSTALAÇÃO. AF_01/2026_PE</v>
      </c>
      <c r="E56" s="94" t="str">
        <f>IF(C56="SINAPI",IFERROR(VLOOKUP(B56,'SINAPI-comp'!$B:$H,3,0),VLOOKUP(B56,'SINAPI-insumo'!$B:$H,3,0)))</f>
        <v>UN</v>
      </c>
      <c r="F56" s="104">
        <v>1</v>
      </c>
      <c r="G56" s="96">
        <f>IFERROR(VLOOKUP(B56,'SINAPI-comp'!$B:$H,4,0)-H56,0)</f>
        <v>24.770000000000039</v>
      </c>
      <c r="H56" s="96">
        <f>IF(C56="SINAPI",IFERROR(VLOOKUP(B56,'SINAPI-comp'!$B:$H,7,0),VLOOKUP(B56,'SINAPI-insumo'!$B:$H,7,0)))</f>
        <v>272.52999999999997</v>
      </c>
      <c r="I56" s="97">
        <f t="shared" si="20"/>
        <v>297.3</v>
      </c>
      <c r="J56" s="98">
        <v>0.24229999999999999</v>
      </c>
      <c r="K56" s="99">
        <f t="shared" si="21"/>
        <v>369.34000000000003</v>
      </c>
      <c r="L56" s="100">
        <f t="shared" si="22"/>
        <v>30.77</v>
      </c>
      <c r="M56" s="101">
        <f t="shared" si="23"/>
        <v>338.57</v>
      </c>
      <c r="N56" s="102">
        <f t="shared" si="24"/>
        <v>369.34</v>
      </c>
    </row>
    <row r="57" spans="1:14" s="62" customFormat="1" ht="27.6" x14ac:dyDescent="0.25">
      <c r="A57" s="90" t="s">
        <v>60</v>
      </c>
      <c r="B57" s="103">
        <v>98525</v>
      </c>
      <c r="C57" s="111" t="s">
        <v>53</v>
      </c>
      <c r="D57" s="93" t="str">
        <f>IF(C57="SINAPI",IFERROR(VLOOKUP(B57,'SINAPI-comp'!$B:$H,2,0),VLOOKUP(B57,'SINAPI-insumo'!$B:$H,2,0)))</f>
        <v>LIMPEZA MECANIZADA DE CAMADA VEGETAL, VEGETAÇÃO E PEQUENAS ÁRVORES (DIÂMETRO DE TRONCO MENOR QUE 0,20 M), COM TRATOR DE ESTEIRAS. AF_03/2024</v>
      </c>
      <c r="E57" s="94" t="str">
        <f>IF(C57="SINAPI",IFERROR(VLOOKUP(B57,'SINAPI-comp'!$B:$H,3,0),VLOOKUP(B57,'SINAPI-insumo'!$B:$H,3,0)))</f>
        <v>M2</v>
      </c>
      <c r="F57" s="104">
        <v>165</v>
      </c>
      <c r="G57" s="96">
        <f>IFERROR(VLOOKUP(B57,'SINAPI-comp'!$B:$H,4,0)-H57,0)</f>
        <v>0.27999999999999997</v>
      </c>
      <c r="H57" s="96">
        <f>IF(C57="SINAPI",IFERROR(VLOOKUP(B57,'SINAPI-comp'!$B:$H,7,0),VLOOKUP(B57,'SINAPI-insumo'!$B:$H,7,0)))</f>
        <v>0.42</v>
      </c>
      <c r="I57" s="97">
        <f t="shared" si="20"/>
        <v>0.7</v>
      </c>
      <c r="J57" s="98">
        <v>0.24229999999999999</v>
      </c>
      <c r="K57" s="99">
        <f t="shared" si="21"/>
        <v>0.87</v>
      </c>
      <c r="L57" s="100">
        <f t="shared" si="22"/>
        <v>56.1</v>
      </c>
      <c r="M57" s="101">
        <f t="shared" si="23"/>
        <v>87.450000000000017</v>
      </c>
      <c r="N57" s="102">
        <f t="shared" si="24"/>
        <v>143.55000000000001</v>
      </c>
    </row>
    <row r="58" spans="1:14" s="62" customFormat="1" ht="27.6" x14ac:dyDescent="0.25">
      <c r="A58" s="90" t="s">
        <v>61</v>
      </c>
      <c r="B58" s="103" t="s">
        <v>126</v>
      </c>
      <c r="C58" s="92" t="s">
        <v>31</v>
      </c>
      <c r="D58" s="93" t="str">
        <f>VLOOKUP(B58,composicoes!$A:$K,2,0)</f>
        <v>FORNECIMENTO DE ENERGIA PARA INÍCIO DE INSTALAÇÃO DE CANTEIRO POR MEIO DE GRUPO GERADOR REBOCÁVEL, POTÊNCIA 66 KVA, MOTOR A DIESEL</v>
      </c>
      <c r="E58" s="94" t="str">
        <f>VLOOKUP(B58,composicoes!$A:$K,8,0)</f>
        <v>UN</v>
      </c>
      <c r="F58" s="104">
        <v>1</v>
      </c>
      <c r="G58" s="96">
        <f>VLOOKUP(B58,composicoes!$A:$K,10,0)</f>
        <v>0</v>
      </c>
      <c r="H58" s="96">
        <f>VLOOKUP(B58,composicoes!$A:$K,11,0)</f>
        <v>1655.4</v>
      </c>
      <c r="I58" s="97">
        <f t="shared" si="20"/>
        <v>1655.4</v>
      </c>
      <c r="J58" s="98">
        <v>0.24229999999999999</v>
      </c>
      <c r="K58" s="99">
        <f t="shared" si="21"/>
        <v>2056.5</v>
      </c>
      <c r="L58" s="100">
        <f t="shared" si="22"/>
        <v>0</v>
      </c>
      <c r="M58" s="101">
        <f t="shared" si="23"/>
        <v>2056.5</v>
      </c>
      <c r="N58" s="102">
        <f t="shared" si="24"/>
        <v>2056.5</v>
      </c>
    </row>
    <row r="59" spans="1:14" s="62" customFormat="1" ht="41.4" x14ac:dyDescent="0.25">
      <c r="A59" s="90" t="s">
        <v>15527</v>
      </c>
      <c r="B59" s="103">
        <v>100604</v>
      </c>
      <c r="C59" s="111" t="s">
        <v>53</v>
      </c>
      <c r="D59" s="93" t="str">
        <f>IF(C59="SINAPI",IFERROR(VLOOKUP(B59,'SINAPI-comp'!$B:$H,2,0),VLOOKUP(B59,'SINAPI-insumo'!$B:$H,2,0)))</f>
        <v>ASSENTAMENTO DE POSTE DE CONCRETO COM COMPRIMENTO NOMINAL DE 10 M, CARGA NOMINAL DE 300 DAN, ENGASTAMENTO BASE CONCRETADA COM 1 M DE CONCRETO E 0,6 M DE SOLO (NÃO INCLUI FORNECIMENTO). AF_04/2025</v>
      </c>
      <c r="E59" s="94" t="str">
        <f>IF(C59="SINAPI",IFERROR(VLOOKUP(B59,'SINAPI-comp'!$B:$H,3,0),VLOOKUP(B59,'SINAPI-insumo'!$B:$H,3,0)))</f>
        <v>UN</v>
      </c>
      <c r="F59" s="105">
        <v>1</v>
      </c>
      <c r="G59" s="96">
        <f>IFERROR(VLOOKUP(B59,'SINAPI-comp'!$B:$H,4,0)-H59,0)</f>
        <v>235.89</v>
      </c>
      <c r="H59" s="96">
        <f>IF(C59="SINAPI",IFERROR(VLOOKUP(B59,'SINAPI-comp'!$B:$H,7,0),VLOOKUP(B59,'SINAPI-insumo'!$B:$H,7,0)))</f>
        <v>583.14</v>
      </c>
      <c r="I59" s="109">
        <f t="shared" ref="I59:I72" si="25">G59+H59</f>
        <v>819.03</v>
      </c>
      <c r="J59" s="98">
        <v>0.24229999999999999</v>
      </c>
      <c r="K59" s="99">
        <f t="shared" ref="K59:K72" si="26">I59+ROUND(I59*J59,2)</f>
        <v>1017.48</v>
      </c>
      <c r="L59" s="100">
        <f t="shared" ref="L59:L72" si="27">TRUNC(TRUNC(G59*(1+J59),2)*F59,2)</f>
        <v>293.04000000000002</v>
      </c>
      <c r="M59" s="101">
        <f t="shared" ref="M59:M72" si="28">N59-L59</f>
        <v>724.44</v>
      </c>
      <c r="N59" s="102">
        <f t="shared" ref="N59:N72" si="29">ROUND(F59*K59,2)</f>
        <v>1017.48</v>
      </c>
    </row>
    <row r="60" spans="1:14" s="62" customFormat="1" ht="27.6" x14ac:dyDescent="0.25">
      <c r="A60" s="90" t="s">
        <v>15647</v>
      </c>
      <c r="B60" s="103">
        <v>12366</v>
      </c>
      <c r="C60" s="111" t="s">
        <v>53</v>
      </c>
      <c r="D60" s="93" t="str">
        <f>IF(C60="SINAPI",IFERROR(VLOOKUP(B60,'SINAPI-comp'!$B:$H,2,0),VLOOKUP(B60,'SINAPI-insumo'!$B:$H,2,0)))</f>
        <v>POSTE DE CONCRETO ARMADO DE SECAO CIRCULAR, EXTENSAO DE 10,00 M, RESISTENCIA DE 150 A 200 DAN, TIPO C-14</v>
      </c>
      <c r="E60" s="94" t="str">
        <f>IF(C60="SINAPI",IFERROR(VLOOKUP(B60,'SINAPI-comp'!$B:$H,3,0),VLOOKUP(B60,'SINAPI-insumo'!$B:$H,3,0)))</f>
        <v>UN</v>
      </c>
      <c r="F60" s="105">
        <v>1</v>
      </c>
      <c r="G60" s="96">
        <f>IFERROR(VLOOKUP(B60,'SINAPI-comp'!$B:$H,4,0)-H60,0)</f>
        <v>0</v>
      </c>
      <c r="H60" s="96">
        <f>IF(C60="SINAPI",IFERROR(VLOOKUP(B60,'SINAPI-comp'!$B:$H,7,0),VLOOKUP(B60,'SINAPI-insumo'!$B:$H,7,0)))</f>
        <v>1443.57</v>
      </c>
      <c r="I60" s="109">
        <f t="shared" si="25"/>
        <v>1443.57</v>
      </c>
      <c r="J60" s="98">
        <v>0.24229999999999999</v>
      </c>
      <c r="K60" s="99">
        <f t="shared" si="26"/>
        <v>1793.35</v>
      </c>
      <c r="L60" s="100">
        <f t="shared" si="27"/>
        <v>0</v>
      </c>
      <c r="M60" s="101">
        <f t="shared" si="28"/>
        <v>1793.35</v>
      </c>
      <c r="N60" s="102">
        <f t="shared" si="29"/>
        <v>1793.35</v>
      </c>
    </row>
    <row r="61" spans="1:14" s="62" customFormat="1" ht="27.6" x14ac:dyDescent="0.25">
      <c r="A61" s="90" t="s">
        <v>15719</v>
      </c>
      <c r="B61" s="103">
        <v>101497</v>
      </c>
      <c r="C61" s="111" t="s">
        <v>53</v>
      </c>
      <c r="D61" s="93" t="str">
        <f>IF(C61="SINAPI",IFERROR(VLOOKUP(B61,'SINAPI-comp'!$B:$H,2,0),VLOOKUP(B61,'SINAPI-insumo'!$B:$H,2,0)))</f>
        <v>ENTRADA DE ENERGIA ELÉTRICA, AÉREA, BIFÁSICA, COM CAIXA DE SOBREPOR, CABO DE 10 MM2 E DISJUNTOR DIN 50A (NÃO INCLUSO O POSTE DE CONCRETO). AF_12/2025</v>
      </c>
      <c r="E61" s="94" t="str">
        <f>IF(C61="SINAPI",IFERROR(VLOOKUP(B61,'SINAPI-comp'!$B:$H,3,0),VLOOKUP(B61,'SINAPI-insumo'!$B:$H,3,0)))</f>
        <v>UN</v>
      </c>
      <c r="F61" s="105">
        <v>1</v>
      </c>
      <c r="G61" s="96">
        <f>IFERROR(VLOOKUP(B61,'SINAPI-comp'!$B:$H,4,0)-H61,0)</f>
        <v>568.82999999999993</v>
      </c>
      <c r="H61" s="96">
        <f>IF(C61="SINAPI",IFERROR(VLOOKUP(B61,'SINAPI-comp'!$B:$H,7,0),VLOOKUP(B61,'SINAPI-insumo'!$B:$H,7,0)))</f>
        <v>1439.74</v>
      </c>
      <c r="I61" s="109">
        <f t="shared" si="25"/>
        <v>2008.57</v>
      </c>
      <c r="J61" s="98">
        <v>0.24229999999999999</v>
      </c>
      <c r="K61" s="99">
        <f t="shared" si="26"/>
        <v>2495.25</v>
      </c>
      <c r="L61" s="100">
        <f t="shared" si="27"/>
        <v>706.65</v>
      </c>
      <c r="M61" s="101">
        <f t="shared" si="28"/>
        <v>1788.6</v>
      </c>
      <c r="N61" s="102">
        <f t="shared" si="29"/>
        <v>2495.25</v>
      </c>
    </row>
    <row r="62" spans="1:14" s="62" customFormat="1" ht="27.6" x14ac:dyDescent="0.25">
      <c r="A62" s="90" t="s">
        <v>15720</v>
      </c>
      <c r="B62" s="103">
        <v>91933</v>
      </c>
      <c r="C62" s="111" t="s">
        <v>53</v>
      </c>
      <c r="D62" s="93" t="str">
        <f>IF(C62="SINAPI",IFERROR(VLOOKUP(B62,'SINAPI-comp'!$B:$H,2,0),VLOOKUP(B62,'SINAPI-insumo'!$B:$H,2,0)))</f>
        <v>CABO DE COBRE FLEXÍVEL ISOLADO, 10 MM², ANTI-CHAMA 0,6/1,0 KV, PARA CIRCUITOS TERMINAIS - FORNECIMENTO E INSTALAÇÃO. AF_03/2023</v>
      </c>
      <c r="E62" s="94" t="str">
        <f>IF(C62="SINAPI",IFERROR(VLOOKUP(B62,'SINAPI-comp'!$B:$H,3,0),VLOOKUP(B62,'SINAPI-insumo'!$B:$H,3,0)))</f>
        <v>M</v>
      </c>
      <c r="F62" s="105">
        <v>180</v>
      </c>
      <c r="G62" s="96">
        <f>IFERROR(VLOOKUP(B62,'SINAPI-comp'!$B:$H,4,0)-H62,0)</f>
        <v>4.5400000000000009</v>
      </c>
      <c r="H62" s="96">
        <f>IF(C62="SINAPI",IFERROR(VLOOKUP(B62,'SINAPI-comp'!$B:$H,7,0),VLOOKUP(B62,'SINAPI-insumo'!$B:$H,7,0)))</f>
        <v>14.08</v>
      </c>
      <c r="I62" s="109">
        <f t="shared" si="25"/>
        <v>18.62</v>
      </c>
      <c r="J62" s="98">
        <v>0.24229999999999999</v>
      </c>
      <c r="K62" s="99">
        <f t="shared" si="26"/>
        <v>23.130000000000003</v>
      </c>
      <c r="L62" s="100">
        <f t="shared" si="27"/>
        <v>1015.2</v>
      </c>
      <c r="M62" s="101">
        <f t="shared" si="28"/>
        <v>3148.2</v>
      </c>
      <c r="N62" s="102">
        <f t="shared" si="29"/>
        <v>4163.3999999999996</v>
      </c>
    </row>
    <row r="63" spans="1:14" s="62" customFormat="1" ht="27.6" x14ac:dyDescent="0.25">
      <c r="A63" s="90" t="s">
        <v>15721</v>
      </c>
      <c r="B63" s="103">
        <v>91929</v>
      </c>
      <c r="C63" s="111" t="s">
        <v>53</v>
      </c>
      <c r="D63" s="93" t="str">
        <f>IF(C63="SINAPI",IFERROR(VLOOKUP(B63,'SINAPI-comp'!$B:$H,2,0),VLOOKUP(B63,'SINAPI-insumo'!$B:$H,2,0)))</f>
        <v>CABO DE COBRE FLEXÍVEL ISOLADO, 4 MM², ANTI-CHAMA 0,6/1,0 KV, PARA CIRCUITOS TERMINAIS - FORNECIMENTO E INSTALAÇÃO. AF_03/2023</v>
      </c>
      <c r="E63" s="94" t="str">
        <f>IF(C63="SINAPI",IFERROR(VLOOKUP(B63,'SINAPI-comp'!$B:$H,3,0),VLOOKUP(B63,'SINAPI-insumo'!$B:$H,3,0)))</f>
        <v>M</v>
      </c>
      <c r="F63" s="105">
        <v>15</v>
      </c>
      <c r="G63" s="96">
        <f>IFERROR(VLOOKUP(B63,'SINAPI-comp'!$B:$H,4,0)-H63,0)</f>
        <v>2.3199999999999994</v>
      </c>
      <c r="H63" s="96">
        <f>IF(C63="SINAPI",IFERROR(VLOOKUP(B63,'SINAPI-comp'!$B:$H,7,0),VLOOKUP(B63,'SINAPI-insumo'!$B:$H,7,0)))</f>
        <v>5.95</v>
      </c>
      <c r="I63" s="109">
        <f t="shared" si="25"/>
        <v>8.27</v>
      </c>
      <c r="J63" s="98">
        <v>0.24229999999999999</v>
      </c>
      <c r="K63" s="99">
        <f t="shared" si="26"/>
        <v>10.27</v>
      </c>
      <c r="L63" s="100">
        <f t="shared" si="27"/>
        <v>43.2</v>
      </c>
      <c r="M63" s="101">
        <f t="shared" si="28"/>
        <v>110.85000000000001</v>
      </c>
      <c r="N63" s="102">
        <f t="shared" si="29"/>
        <v>154.05000000000001</v>
      </c>
    </row>
    <row r="64" spans="1:14" s="62" customFormat="1" ht="27.6" x14ac:dyDescent="0.25">
      <c r="A64" s="90" t="s">
        <v>15722</v>
      </c>
      <c r="B64" s="103">
        <v>91927</v>
      </c>
      <c r="C64" s="111" t="s">
        <v>53</v>
      </c>
      <c r="D64" s="93" t="str">
        <f>IF(C64="SINAPI",IFERROR(VLOOKUP(B64,'SINAPI-comp'!$B:$H,2,0),VLOOKUP(B64,'SINAPI-insumo'!$B:$H,2,0)))</f>
        <v>CABO DE COBRE FLEXÍVEL ISOLADO, 2,5 MM², ANTI-CHAMA 0,6/1,0 KV, PARA CIRCUITOS TERMINAIS - FORNECIMENTO E INSTALAÇÃO. AF_03/2023</v>
      </c>
      <c r="E64" s="94" t="str">
        <f>IF(C64="SINAPI",IFERROR(VLOOKUP(B64,'SINAPI-comp'!$B:$H,3,0),VLOOKUP(B64,'SINAPI-insumo'!$B:$H,3,0)))</f>
        <v>M</v>
      </c>
      <c r="F64" s="105">
        <v>60</v>
      </c>
      <c r="G64" s="96">
        <f>IFERROR(VLOOKUP(B64,'SINAPI-comp'!$B:$H,4,0)-H64,0)</f>
        <v>1.7200000000000002</v>
      </c>
      <c r="H64" s="96">
        <f>IF(C64="SINAPI",IFERROR(VLOOKUP(B64,'SINAPI-comp'!$B:$H,7,0),VLOOKUP(B64,'SINAPI-insumo'!$B:$H,7,0)))</f>
        <v>3.9</v>
      </c>
      <c r="I64" s="109">
        <f t="shared" si="25"/>
        <v>5.62</v>
      </c>
      <c r="J64" s="98">
        <v>0.24229999999999999</v>
      </c>
      <c r="K64" s="99">
        <f t="shared" si="26"/>
        <v>6.98</v>
      </c>
      <c r="L64" s="100">
        <f t="shared" si="27"/>
        <v>127.8</v>
      </c>
      <c r="M64" s="101">
        <f t="shared" si="28"/>
        <v>291</v>
      </c>
      <c r="N64" s="102">
        <f t="shared" si="29"/>
        <v>418.8</v>
      </c>
    </row>
    <row r="65" spans="1:14" s="62" customFormat="1" ht="27.6" x14ac:dyDescent="0.25">
      <c r="A65" s="90" t="s">
        <v>15723</v>
      </c>
      <c r="B65" s="103">
        <v>91839</v>
      </c>
      <c r="C65" s="111" t="s">
        <v>53</v>
      </c>
      <c r="D65" s="93" t="str">
        <f>IF(C65="SINAPI",IFERROR(VLOOKUP(B65,'SINAPI-comp'!$B:$H,2,0),VLOOKUP(B65,'SINAPI-insumo'!$B:$H,2,0)))</f>
        <v>ELETRODUTO FLEXÍVEL LISO, PEAD, DN 32 MM (1"), PARA CIRCUITOS TERMINAIS, INSTALADO EM FORRO - FORNECIMENTO E INSTALAÇÃO. AF_03/2023</v>
      </c>
      <c r="E65" s="94" t="str">
        <f>IF(C65="SINAPI",IFERROR(VLOOKUP(B65,'SINAPI-comp'!$B:$H,3,0),VLOOKUP(B65,'SINAPI-insumo'!$B:$H,3,0)))</f>
        <v>M</v>
      </c>
      <c r="F65" s="105">
        <v>25</v>
      </c>
      <c r="G65" s="96">
        <f>IFERROR(VLOOKUP(B65,'SINAPI-comp'!$B:$H,4,0)-H65,0)</f>
        <v>14.040000000000001</v>
      </c>
      <c r="H65" s="96">
        <f>IF(C65="SINAPI",IFERROR(VLOOKUP(B65,'SINAPI-comp'!$B:$H,7,0),VLOOKUP(B65,'SINAPI-insumo'!$B:$H,7,0)))</f>
        <v>6.67</v>
      </c>
      <c r="I65" s="109">
        <f t="shared" si="25"/>
        <v>20.71</v>
      </c>
      <c r="J65" s="98">
        <v>0.24229999999999999</v>
      </c>
      <c r="K65" s="99">
        <f t="shared" si="26"/>
        <v>25.73</v>
      </c>
      <c r="L65" s="100">
        <f t="shared" si="27"/>
        <v>436</v>
      </c>
      <c r="M65" s="101">
        <f t="shared" si="28"/>
        <v>207.25</v>
      </c>
      <c r="N65" s="102">
        <f t="shared" si="29"/>
        <v>643.25</v>
      </c>
    </row>
    <row r="66" spans="1:14" s="62" customFormat="1" ht="41.4" x14ac:dyDescent="0.25">
      <c r="A66" s="90" t="s">
        <v>15724</v>
      </c>
      <c r="B66" s="103">
        <v>101875</v>
      </c>
      <c r="C66" s="111" t="s">
        <v>53</v>
      </c>
      <c r="D66" s="93" t="str">
        <f>IF(C66="SINAPI",IFERROR(VLOOKUP(B66,'SINAPI-comp'!$B:$H,2,0),VLOOKUP(B66,'SINAPI-insumo'!$B:$H,2,0)))</f>
        <v>QUADRO DE DISTRIBUIÇÃO DE ENERGIA EM CHAPA DE AÇO GALVANIZADO, DE EMBUTIR, COM BARRAMENTO TRIFÁSICO, PARA 12 DISJUNTORES DIN 100A - FORNECIMENTO E INSTALAÇÃO. AF_07/2025</v>
      </c>
      <c r="E66" s="94" t="str">
        <f>IF(C66="SINAPI",IFERROR(VLOOKUP(B66,'SINAPI-comp'!$B:$H,3,0),VLOOKUP(B66,'SINAPI-insumo'!$B:$H,3,0)))</f>
        <v>UN</v>
      </c>
      <c r="F66" s="105">
        <v>1</v>
      </c>
      <c r="G66" s="96">
        <f>IFERROR(VLOOKUP(B66,'SINAPI-comp'!$B:$H,4,0)-H66,0)</f>
        <v>90.409999999999968</v>
      </c>
      <c r="H66" s="96">
        <f>IF(C66="SINAPI",IFERROR(VLOOKUP(B66,'SINAPI-comp'!$B:$H,7,0),VLOOKUP(B66,'SINAPI-insumo'!$B:$H,7,0)))</f>
        <v>345.49</v>
      </c>
      <c r="I66" s="109">
        <f t="shared" si="25"/>
        <v>435.9</v>
      </c>
      <c r="J66" s="98">
        <v>0.24229999999999999</v>
      </c>
      <c r="K66" s="99">
        <f t="shared" si="26"/>
        <v>541.52</v>
      </c>
      <c r="L66" s="100">
        <f t="shared" si="27"/>
        <v>112.31</v>
      </c>
      <c r="M66" s="101">
        <f t="shared" si="28"/>
        <v>429.21</v>
      </c>
      <c r="N66" s="102">
        <f t="shared" si="29"/>
        <v>541.52</v>
      </c>
    </row>
    <row r="67" spans="1:14" s="62" customFormat="1" ht="27.6" x14ac:dyDescent="0.25">
      <c r="A67" s="90" t="s">
        <v>15725</v>
      </c>
      <c r="B67" s="103">
        <v>93659</v>
      </c>
      <c r="C67" s="111" t="s">
        <v>53</v>
      </c>
      <c r="D67" s="93" t="str">
        <f>IF(C67="SINAPI",IFERROR(VLOOKUP(B67,'SINAPI-comp'!$B:$H,2,0),VLOOKUP(B67,'SINAPI-insumo'!$B:$H,2,0)))</f>
        <v>DISJUNTOR MONOPOLAR TIPO DIN, CORRENTE NOMINAL DE 50A - FORNECIMENTO E INSTALAÇÃO. AF_07/2025</v>
      </c>
      <c r="E67" s="94" t="str">
        <f>IF(C67="SINAPI",IFERROR(VLOOKUP(B67,'SINAPI-comp'!$B:$H,3,0),VLOOKUP(B67,'SINAPI-insumo'!$B:$H,3,0)))</f>
        <v>UN</v>
      </c>
      <c r="F67" s="105">
        <v>1</v>
      </c>
      <c r="G67" s="96">
        <f>IFERROR(VLOOKUP(B67,'SINAPI-comp'!$B:$H,4,0)-H67,0)</f>
        <v>10.540000000000001</v>
      </c>
      <c r="H67" s="96">
        <f>IF(C67="SINAPI",IFERROR(VLOOKUP(B67,'SINAPI-comp'!$B:$H,7,0),VLOOKUP(B67,'SINAPI-insumo'!$B:$H,7,0)))</f>
        <v>13.56</v>
      </c>
      <c r="I67" s="109">
        <f t="shared" si="25"/>
        <v>24.1</v>
      </c>
      <c r="J67" s="98">
        <v>0.24229999999999999</v>
      </c>
      <c r="K67" s="99">
        <f t="shared" si="26"/>
        <v>29.94</v>
      </c>
      <c r="L67" s="100">
        <f t="shared" si="27"/>
        <v>13.09</v>
      </c>
      <c r="M67" s="101">
        <f t="shared" si="28"/>
        <v>16.850000000000001</v>
      </c>
      <c r="N67" s="102">
        <f t="shared" si="29"/>
        <v>29.94</v>
      </c>
    </row>
    <row r="68" spans="1:14" s="62" customFormat="1" ht="27.6" x14ac:dyDescent="0.25">
      <c r="A68" s="90" t="s">
        <v>15726</v>
      </c>
      <c r="B68" s="103">
        <v>93657</v>
      </c>
      <c r="C68" s="111" t="s">
        <v>53</v>
      </c>
      <c r="D68" s="93" t="str">
        <f>IF(C68="SINAPI",IFERROR(VLOOKUP(B68,'SINAPI-comp'!$B:$H,2,0),VLOOKUP(B68,'SINAPI-insumo'!$B:$H,2,0)))</f>
        <v>DISJUNTOR MONOPOLAR TIPO DIN, CORRENTE NOMINAL DE 32A - FORNECIMENTO E INSTALAÇÃO. AF_07/2025</v>
      </c>
      <c r="E68" s="94" t="str">
        <f>IF(C68="SINAPI",IFERROR(VLOOKUP(B68,'SINAPI-comp'!$B:$H,3,0),VLOOKUP(B68,'SINAPI-insumo'!$B:$H,3,0)))</f>
        <v>UN</v>
      </c>
      <c r="F68" s="105">
        <v>4</v>
      </c>
      <c r="G68" s="96">
        <f>IFERROR(VLOOKUP(B68,'SINAPI-comp'!$B:$H,4,0)-H68,0)</f>
        <v>5.23</v>
      </c>
      <c r="H68" s="96">
        <f>IF(C68="SINAPI",IFERROR(VLOOKUP(B68,'SINAPI-comp'!$B:$H,7,0),VLOOKUP(B68,'SINAPI-insumo'!$B:$H,7,0)))</f>
        <v>9.41</v>
      </c>
      <c r="I68" s="109">
        <f t="shared" si="25"/>
        <v>14.64</v>
      </c>
      <c r="J68" s="98">
        <v>0.24229999999999999</v>
      </c>
      <c r="K68" s="99">
        <f t="shared" si="26"/>
        <v>18.190000000000001</v>
      </c>
      <c r="L68" s="100">
        <f t="shared" si="27"/>
        <v>25.96</v>
      </c>
      <c r="M68" s="101">
        <f t="shared" si="28"/>
        <v>46.800000000000004</v>
      </c>
      <c r="N68" s="102">
        <f t="shared" si="29"/>
        <v>72.760000000000005</v>
      </c>
    </row>
    <row r="69" spans="1:14" s="62" customFormat="1" ht="27.6" x14ac:dyDescent="0.25">
      <c r="A69" s="90" t="s">
        <v>15727</v>
      </c>
      <c r="B69" s="103">
        <v>91953</v>
      </c>
      <c r="C69" s="111" t="s">
        <v>53</v>
      </c>
      <c r="D69" s="93" t="str">
        <f>IF(C69="SINAPI",IFERROR(VLOOKUP(B69,'SINAPI-comp'!$B:$H,2,0),VLOOKUP(B69,'SINAPI-insumo'!$B:$H,2,0)))</f>
        <v>INTERRUPTOR SIMPLES (1 MÓDULO), 10A/250V, INCLUINDO SUPORTE E PLACA - FORNECIMENTO E INSTALAÇÃO. AF_03/2023</v>
      </c>
      <c r="E69" s="94" t="str">
        <f>IF(C69="SINAPI",IFERROR(VLOOKUP(B69,'SINAPI-comp'!$B:$H,3,0),VLOOKUP(B69,'SINAPI-insumo'!$B:$H,3,0)))</f>
        <v>UN</v>
      </c>
      <c r="F69" s="105">
        <v>3</v>
      </c>
      <c r="G69" s="96">
        <f>IFERROR(VLOOKUP(B69,'SINAPI-comp'!$B:$H,4,0)-H69,0)</f>
        <v>21.5</v>
      </c>
      <c r="H69" s="96">
        <f>IF(C69="SINAPI",IFERROR(VLOOKUP(B69,'SINAPI-comp'!$B:$H,7,0),VLOOKUP(B69,'SINAPI-insumo'!$B:$H,7,0)))</f>
        <v>12.71</v>
      </c>
      <c r="I69" s="109">
        <f t="shared" si="25"/>
        <v>34.21</v>
      </c>
      <c r="J69" s="98">
        <v>0.24229999999999999</v>
      </c>
      <c r="K69" s="99">
        <f t="shared" si="26"/>
        <v>42.5</v>
      </c>
      <c r="L69" s="100">
        <f t="shared" si="27"/>
        <v>80.099999999999994</v>
      </c>
      <c r="M69" s="101">
        <f t="shared" si="28"/>
        <v>47.400000000000006</v>
      </c>
      <c r="N69" s="102">
        <f t="shared" si="29"/>
        <v>127.5</v>
      </c>
    </row>
    <row r="70" spans="1:14" s="62" customFormat="1" ht="27.6" x14ac:dyDescent="0.25">
      <c r="A70" s="90" t="s">
        <v>15728</v>
      </c>
      <c r="B70" s="103">
        <v>91997</v>
      </c>
      <c r="C70" s="111" t="s">
        <v>53</v>
      </c>
      <c r="D70" s="93" t="str">
        <f>IF(C70="SINAPI",IFERROR(VLOOKUP(B70,'SINAPI-comp'!$B:$H,2,0),VLOOKUP(B70,'SINAPI-insumo'!$B:$H,2,0)))</f>
        <v>TOMADA MÉDIA DE EMBUTIR (1 MÓDULO), 2P+T 20 A, INCLUINDO SUPORTE E PLACA - FORNECIMENTO E INSTALAÇÃO. AF_03/2023</v>
      </c>
      <c r="E70" s="94" t="str">
        <f>IF(C70="SINAPI",IFERROR(VLOOKUP(B70,'SINAPI-comp'!$B:$H,3,0),VLOOKUP(B70,'SINAPI-insumo'!$B:$H,3,0)))</f>
        <v>UN</v>
      </c>
      <c r="F70" s="105">
        <v>1</v>
      </c>
      <c r="G70" s="96">
        <f>IFERROR(VLOOKUP(B70,'SINAPI-comp'!$B:$H,4,0)-H70,0)</f>
        <v>26.57</v>
      </c>
      <c r="H70" s="96">
        <f>IF(C70="SINAPI",IFERROR(VLOOKUP(B70,'SINAPI-comp'!$B:$H,7,0),VLOOKUP(B70,'SINAPI-insumo'!$B:$H,7,0)))</f>
        <v>16.25</v>
      </c>
      <c r="I70" s="109">
        <f t="shared" si="25"/>
        <v>42.82</v>
      </c>
      <c r="J70" s="98">
        <v>0.24229999999999999</v>
      </c>
      <c r="K70" s="99">
        <f t="shared" si="26"/>
        <v>53.2</v>
      </c>
      <c r="L70" s="100">
        <f t="shared" si="27"/>
        <v>33</v>
      </c>
      <c r="M70" s="101">
        <f t="shared" si="28"/>
        <v>20.200000000000003</v>
      </c>
      <c r="N70" s="102">
        <f t="shared" si="29"/>
        <v>53.2</v>
      </c>
    </row>
    <row r="71" spans="1:14" s="62" customFormat="1" ht="27.6" x14ac:dyDescent="0.25">
      <c r="A71" s="90" t="s">
        <v>15729</v>
      </c>
      <c r="B71" s="103">
        <v>91996</v>
      </c>
      <c r="C71" s="111" t="s">
        <v>53</v>
      </c>
      <c r="D71" s="93" t="str">
        <f>IF(C71="SINAPI",IFERROR(VLOOKUP(B71,'SINAPI-comp'!$B:$H,2,0),VLOOKUP(B71,'SINAPI-insumo'!$B:$H,2,0)))</f>
        <v>TOMADA MÉDIA DE EMBUTIR (1 MÓDULO), 2P+T 10 A, INCLUINDO SUPORTE E PLACA - FORNECIMENTO E INSTALAÇÃO. AF_03/2023</v>
      </c>
      <c r="E71" s="94" t="str">
        <f>IF(C71="SINAPI",IFERROR(VLOOKUP(B71,'SINAPI-comp'!$B:$H,3,0),VLOOKUP(B71,'SINAPI-insumo'!$B:$H,3,0)))</f>
        <v>UN</v>
      </c>
      <c r="F71" s="105">
        <v>6</v>
      </c>
      <c r="G71" s="96">
        <f>IFERROR(VLOOKUP(B71,'SINAPI-comp'!$B:$H,4,0)-H71,0)</f>
        <v>26.57</v>
      </c>
      <c r="H71" s="96">
        <f>IF(C71="SINAPI",IFERROR(VLOOKUP(B71,'SINAPI-comp'!$B:$H,7,0),VLOOKUP(B71,'SINAPI-insumo'!$B:$H,7,0)))</f>
        <v>13.79</v>
      </c>
      <c r="I71" s="109">
        <f t="shared" si="25"/>
        <v>40.36</v>
      </c>
      <c r="J71" s="98">
        <v>0.24229999999999999</v>
      </c>
      <c r="K71" s="99">
        <f t="shared" si="26"/>
        <v>50.14</v>
      </c>
      <c r="L71" s="100">
        <f t="shared" si="27"/>
        <v>198</v>
      </c>
      <c r="M71" s="101">
        <f t="shared" si="28"/>
        <v>102.83999999999997</v>
      </c>
      <c r="N71" s="102">
        <f t="shared" si="29"/>
        <v>300.83999999999997</v>
      </c>
    </row>
    <row r="72" spans="1:14" s="62" customFormat="1" ht="27.6" x14ac:dyDescent="0.25">
      <c r="A72" s="90" t="s">
        <v>15730</v>
      </c>
      <c r="B72" s="103">
        <v>103782</v>
      </c>
      <c r="C72" s="111" t="s">
        <v>53</v>
      </c>
      <c r="D72" s="93" t="str">
        <f>IF(C72="SINAPI",IFERROR(VLOOKUP(B72,'SINAPI-comp'!$B:$H,2,0),VLOOKUP(B72,'SINAPI-insumo'!$B:$H,2,0)))</f>
        <v>LUMINÁRIA TIPO PLAFON CIRCULAR, DE SOBREPOR, COM LED DE 12/13 W - FORNECIMENTO E INSTALAÇÃO. AF_09/2024</v>
      </c>
      <c r="E72" s="94" t="str">
        <f>IF(C72="SINAPI",IFERROR(VLOOKUP(B72,'SINAPI-comp'!$B:$H,3,0),VLOOKUP(B72,'SINAPI-insumo'!$B:$H,3,0)))</f>
        <v>UN</v>
      </c>
      <c r="F72" s="105">
        <v>4</v>
      </c>
      <c r="G72" s="96">
        <f>IFERROR(VLOOKUP(B72,'SINAPI-comp'!$B:$H,4,0)-H72,0)</f>
        <v>19.64</v>
      </c>
      <c r="H72" s="96">
        <f>IF(C72="SINAPI",IFERROR(VLOOKUP(B72,'SINAPI-comp'!$B:$H,7,0),VLOOKUP(B72,'SINAPI-insumo'!$B:$H,7,0)))</f>
        <v>9.84</v>
      </c>
      <c r="I72" s="109">
        <f t="shared" si="25"/>
        <v>29.48</v>
      </c>
      <c r="J72" s="98">
        <v>0.24229999999999999</v>
      </c>
      <c r="K72" s="99">
        <f t="shared" si="26"/>
        <v>36.619999999999997</v>
      </c>
      <c r="L72" s="100">
        <f t="shared" si="27"/>
        <v>97.56</v>
      </c>
      <c r="M72" s="101">
        <f t="shared" si="28"/>
        <v>48.919999999999987</v>
      </c>
      <c r="N72" s="102">
        <f t="shared" si="29"/>
        <v>146.47999999999999</v>
      </c>
    </row>
    <row r="73" spans="1:14" s="62" customFormat="1" ht="13.8" x14ac:dyDescent="0.25">
      <c r="A73" s="90" t="s">
        <v>15731</v>
      </c>
      <c r="B73" s="103">
        <v>102608</v>
      </c>
      <c r="C73" s="111" t="s">
        <v>53</v>
      </c>
      <c r="D73" s="93" t="str">
        <f>IF(C73="SINAPI",IFERROR(VLOOKUP(B73,'SINAPI-comp'!$B:$H,2,0),VLOOKUP(B73,'SINAPI-insumo'!$B:$H,2,0)))</f>
        <v>CAIXA D´ÁGUA EM POLIETILENO, 1500 LITROS - FORNECIMENTO E INSTALAÇÃO. AF_06/2021</v>
      </c>
      <c r="E73" s="94" t="str">
        <f>IF(C73="SINAPI",IFERROR(VLOOKUP(B73,'SINAPI-comp'!$B:$H,3,0),VLOOKUP(B73,'SINAPI-insumo'!$B:$H,3,0)))</f>
        <v>UN</v>
      </c>
      <c r="F73" s="105">
        <v>1</v>
      </c>
      <c r="G73" s="96">
        <f>IFERROR(VLOOKUP(B73,'SINAPI-comp'!$B:$H,4,0)-H73,0)</f>
        <v>11.540000000000191</v>
      </c>
      <c r="H73" s="96">
        <f>IF(C73="SINAPI",IFERROR(VLOOKUP(B73,'SINAPI-comp'!$B:$H,7,0),VLOOKUP(B73,'SINAPI-insumo'!$B:$H,7,0)))</f>
        <v>1153.8599999999999</v>
      </c>
      <c r="I73" s="109">
        <f t="shared" ref="I73:I88" si="30">G73+H73</f>
        <v>1165.4000000000001</v>
      </c>
      <c r="J73" s="98">
        <v>0.24229999999999999</v>
      </c>
      <c r="K73" s="99">
        <f t="shared" ref="K73:K88" si="31">I73+ROUND(I73*J73,2)</f>
        <v>1447.7800000000002</v>
      </c>
      <c r="L73" s="100">
        <f t="shared" ref="L73:L88" si="32">TRUNC(TRUNC(G73*(1+J73),2)*F73,2)</f>
        <v>14.33</v>
      </c>
      <c r="M73" s="101">
        <f t="shared" ref="M73:M88" si="33">N73-L73</f>
        <v>1433.45</v>
      </c>
      <c r="N73" s="102">
        <f t="shared" ref="N73:N88" si="34">ROUND(F73*K73,2)</f>
        <v>1447.78</v>
      </c>
    </row>
    <row r="74" spans="1:14" s="62" customFormat="1" ht="27.6" x14ac:dyDescent="0.25">
      <c r="A74" s="90" t="s">
        <v>15732</v>
      </c>
      <c r="B74" s="103">
        <v>37460</v>
      </c>
      <c r="C74" s="111" t="s">
        <v>53</v>
      </c>
      <c r="D74" s="93" t="str">
        <f>IF(C74="SINAPI",IFERROR(VLOOKUP(B74,'SINAPI-comp'!$B:$H,2,0),VLOOKUP(B74,'SINAPI-insumo'!$B:$H,2,0)))</f>
        <v>MANGUEIRA CRISTAL TRANCADA, PVC COM REFORCO, PRESSAO DE TRABALHO (PT) 250 LBS/POL2, DE 1" X *3,1* MM</v>
      </c>
      <c r="E74" s="94" t="str">
        <f>IF(C74="SINAPI",IFERROR(VLOOKUP(B74,'SINAPI-comp'!$B:$H,3,0),VLOOKUP(B74,'SINAPI-insumo'!$B:$H,3,0)))</f>
        <v>M</v>
      </c>
      <c r="F74" s="105">
        <v>30</v>
      </c>
      <c r="G74" s="96">
        <f>IFERROR(VLOOKUP(B74,'SINAPI-comp'!$B:$H,4,0)-H74,0)</f>
        <v>0</v>
      </c>
      <c r="H74" s="96">
        <f>IF(C74="SINAPI",IFERROR(VLOOKUP(B74,'SINAPI-comp'!$B:$H,7,0),VLOOKUP(B74,'SINAPI-insumo'!$B:$H,7,0)))</f>
        <v>21.56</v>
      </c>
      <c r="I74" s="109">
        <f t="shared" si="30"/>
        <v>21.56</v>
      </c>
      <c r="J74" s="98">
        <v>0.24229999999999999</v>
      </c>
      <c r="K74" s="99">
        <f t="shared" si="31"/>
        <v>26.779999999999998</v>
      </c>
      <c r="L74" s="100">
        <f t="shared" si="32"/>
        <v>0</v>
      </c>
      <c r="M74" s="101">
        <f t="shared" si="33"/>
        <v>803.4</v>
      </c>
      <c r="N74" s="102">
        <f t="shared" si="34"/>
        <v>803.4</v>
      </c>
    </row>
    <row r="75" spans="1:14" s="62" customFormat="1" ht="27.6" x14ac:dyDescent="0.25">
      <c r="A75" s="90" t="s">
        <v>15733</v>
      </c>
      <c r="B75" s="103">
        <v>89357</v>
      </c>
      <c r="C75" s="111" t="s">
        <v>53</v>
      </c>
      <c r="D75" s="93" t="str">
        <f>IF(C75="SINAPI",IFERROR(VLOOKUP(B75,'SINAPI-comp'!$B:$H,2,0),VLOOKUP(B75,'SINAPI-insumo'!$B:$H,2,0)))</f>
        <v>TUBO, PVC, SOLDÁVEL, DE 32MM, INSTALADO EM RAMAL OU SUB-RAMAL DE ÁGUA - FORNECIMENTO E INSTALAÇÃO. AF_06/2022</v>
      </c>
      <c r="E75" s="94" t="str">
        <f>IF(C75="SINAPI",IFERROR(VLOOKUP(B75,'SINAPI-comp'!$B:$H,3,0),VLOOKUP(B75,'SINAPI-insumo'!$B:$H,3,0)))</f>
        <v>M</v>
      </c>
      <c r="F75" s="105">
        <v>12</v>
      </c>
      <c r="G75" s="96">
        <f>IFERROR(VLOOKUP(B75,'SINAPI-comp'!$B:$H,4,0)-H75,0)</f>
        <v>26.04</v>
      </c>
      <c r="H75" s="96">
        <f>IF(C75="SINAPI",IFERROR(VLOOKUP(B75,'SINAPI-comp'!$B:$H,7,0),VLOOKUP(B75,'SINAPI-insumo'!$B:$H,7,0)))</f>
        <v>11.83</v>
      </c>
      <c r="I75" s="109">
        <f t="shared" si="30"/>
        <v>37.869999999999997</v>
      </c>
      <c r="J75" s="98">
        <v>0.24229999999999999</v>
      </c>
      <c r="K75" s="99">
        <f t="shared" si="31"/>
        <v>47.05</v>
      </c>
      <c r="L75" s="100">
        <f t="shared" si="32"/>
        <v>388.08</v>
      </c>
      <c r="M75" s="101">
        <f t="shared" si="33"/>
        <v>176.52000000000004</v>
      </c>
      <c r="N75" s="102">
        <f t="shared" si="34"/>
        <v>564.6</v>
      </c>
    </row>
    <row r="76" spans="1:14" s="62" customFormat="1" ht="27.6" x14ac:dyDescent="0.25">
      <c r="A76" s="90" t="s">
        <v>15734</v>
      </c>
      <c r="B76" s="103">
        <v>89356</v>
      </c>
      <c r="C76" s="111" t="s">
        <v>53</v>
      </c>
      <c r="D76" s="93" t="str">
        <f>IF(C76="SINAPI",IFERROR(VLOOKUP(B76,'SINAPI-comp'!$B:$H,2,0),VLOOKUP(B76,'SINAPI-insumo'!$B:$H,2,0)))</f>
        <v>TUBO, PVC, SOLDÁVEL, DE 25MM, INSTALADO EM RAMAL OU SUB-RAMAL DE ÁGUA - FORNECIMENTO E INSTALAÇÃO. AF_06/2022</v>
      </c>
      <c r="E76" s="94" t="str">
        <f>IF(C76="SINAPI",IFERROR(VLOOKUP(B76,'SINAPI-comp'!$B:$H,3,0),VLOOKUP(B76,'SINAPI-insumo'!$B:$H,3,0)))</f>
        <v>M</v>
      </c>
      <c r="F76" s="105">
        <v>12</v>
      </c>
      <c r="G76" s="96">
        <f>IFERROR(VLOOKUP(B76,'SINAPI-comp'!$B:$H,4,0)-H76,0)</f>
        <v>21.83</v>
      </c>
      <c r="H76" s="96">
        <f>IF(C76="SINAPI",IFERROR(VLOOKUP(B76,'SINAPI-comp'!$B:$H,7,0),VLOOKUP(B76,'SINAPI-insumo'!$B:$H,7,0)))</f>
        <v>5.57</v>
      </c>
      <c r="I76" s="109">
        <f t="shared" si="30"/>
        <v>27.4</v>
      </c>
      <c r="J76" s="98">
        <v>0.24229999999999999</v>
      </c>
      <c r="K76" s="99">
        <f t="shared" si="31"/>
        <v>34.04</v>
      </c>
      <c r="L76" s="100">
        <f t="shared" si="32"/>
        <v>325.32</v>
      </c>
      <c r="M76" s="101">
        <f t="shared" si="33"/>
        <v>83.160000000000025</v>
      </c>
      <c r="N76" s="102">
        <f t="shared" si="34"/>
        <v>408.48</v>
      </c>
    </row>
    <row r="77" spans="1:14" s="62" customFormat="1" ht="27.6" x14ac:dyDescent="0.25">
      <c r="A77" s="90" t="s">
        <v>15735</v>
      </c>
      <c r="B77" s="103">
        <v>89364</v>
      </c>
      <c r="C77" s="111" t="s">
        <v>53</v>
      </c>
      <c r="D77" s="93" t="str">
        <f>IF(C77="SINAPI",IFERROR(VLOOKUP(B77,'SINAPI-comp'!$B:$H,2,0),VLOOKUP(B77,'SINAPI-insumo'!$B:$H,2,0)))</f>
        <v>CURVA 90 GRAUS, PVC, SOLDÁVEL, DN 25MM, INSTALADO EM RAMAL OU SUB-RAMAL DE ÁGUA - FORNECIMENTO E INSTALAÇÃO. AF_06/2022</v>
      </c>
      <c r="E77" s="94" t="str">
        <f>IF(C77="SINAPI",IFERROR(VLOOKUP(B77,'SINAPI-comp'!$B:$H,3,0),VLOOKUP(B77,'SINAPI-insumo'!$B:$H,3,0)))</f>
        <v>UN</v>
      </c>
      <c r="F77" s="105">
        <v>3</v>
      </c>
      <c r="G77" s="96">
        <f>IFERROR(VLOOKUP(B77,'SINAPI-comp'!$B:$H,4,0)-H77,0)</f>
        <v>8.73</v>
      </c>
      <c r="H77" s="96">
        <f>IF(C77="SINAPI",IFERROR(VLOOKUP(B77,'SINAPI-comp'!$B:$H,7,0),VLOOKUP(B77,'SINAPI-insumo'!$B:$H,7,0)))</f>
        <v>5.16</v>
      </c>
      <c r="I77" s="109">
        <f t="shared" si="30"/>
        <v>13.89</v>
      </c>
      <c r="J77" s="98">
        <v>0.24229999999999999</v>
      </c>
      <c r="K77" s="99">
        <f t="shared" si="31"/>
        <v>17.260000000000002</v>
      </c>
      <c r="L77" s="100">
        <f t="shared" si="32"/>
        <v>32.520000000000003</v>
      </c>
      <c r="M77" s="101">
        <f t="shared" si="33"/>
        <v>19.259999999999998</v>
      </c>
      <c r="N77" s="102">
        <f t="shared" si="34"/>
        <v>51.78</v>
      </c>
    </row>
    <row r="78" spans="1:14" s="62" customFormat="1" ht="27.6" x14ac:dyDescent="0.25">
      <c r="A78" s="90" t="s">
        <v>15736</v>
      </c>
      <c r="B78" s="103">
        <v>94490</v>
      </c>
      <c r="C78" s="111" t="s">
        <v>53</v>
      </c>
      <c r="D78" s="93" t="str">
        <f>IF(C78="SINAPI",IFERROR(VLOOKUP(B78,'SINAPI-comp'!$B:$H,2,0),VLOOKUP(B78,'SINAPI-insumo'!$B:$H,2,0)))</f>
        <v>REGISTRO DE ESFERA, PVC, SOLDÁVEL, COM VOLANTE, DN 32 MM - FORNECIMENTO E INSTALAÇÃO. AF_08/2021</v>
      </c>
      <c r="E78" s="94" t="str">
        <f>IF(C78="SINAPI",IFERROR(VLOOKUP(B78,'SINAPI-comp'!$B:$H,3,0),VLOOKUP(B78,'SINAPI-insumo'!$B:$H,3,0)))</f>
        <v>UN</v>
      </c>
      <c r="F78" s="105">
        <v>1</v>
      </c>
      <c r="G78" s="96">
        <f>IFERROR(VLOOKUP(B78,'SINAPI-comp'!$B:$H,4,0)-H78,0)</f>
        <v>4.57</v>
      </c>
      <c r="H78" s="96">
        <f>IF(C78="SINAPI",IFERROR(VLOOKUP(B78,'SINAPI-comp'!$B:$H,7,0),VLOOKUP(B78,'SINAPI-insumo'!$B:$H,7,0)))</f>
        <v>54.91</v>
      </c>
      <c r="I78" s="109">
        <f t="shared" si="30"/>
        <v>59.48</v>
      </c>
      <c r="J78" s="98">
        <v>0.24229999999999999</v>
      </c>
      <c r="K78" s="99">
        <f t="shared" si="31"/>
        <v>73.89</v>
      </c>
      <c r="L78" s="100">
        <f t="shared" si="32"/>
        <v>5.67</v>
      </c>
      <c r="M78" s="101">
        <f t="shared" si="33"/>
        <v>68.22</v>
      </c>
      <c r="N78" s="102">
        <f t="shared" si="34"/>
        <v>73.89</v>
      </c>
    </row>
    <row r="79" spans="1:14" s="62" customFormat="1" ht="27.6" x14ac:dyDescent="0.25">
      <c r="A79" s="90" t="s">
        <v>15737</v>
      </c>
      <c r="B79" s="103">
        <v>89369</v>
      </c>
      <c r="C79" s="111" t="s">
        <v>53</v>
      </c>
      <c r="D79" s="93" t="str">
        <f>IF(C79="SINAPI",IFERROR(VLOOKUP(B79,'SINAPI-comp'!$B:$H,2,0),VLOOKUP(B79,'SINAPI-insumo'!$B:$H,2,0)))</f>
        <v>CURVA 90 GRAUS, PVC, SOLDÁVEL, DN 32MM, INSTALADO EM RAMAL OU SUB-RAMAL DE ÁGUA - FORNECIMENTO E INSTALAÇÃO. AF_06/2022</v>
      </c>
      <c r="E79" s="94" t="str">
        <f>IF(C79="SINAPI",IFERROR(VLOOKUP(B79,'SINAPI-comp'!$B:$H,3,0),VLOOKUP(B79,'SINAPI-insumo'!$B:$H,3,0)))</f>
        <v>UN</v>
      </c>
      <c r="F79" s="105">
        <v>8</v>
      </c>
      <c r="G79" s="96">
        <f>IFERROR(VLOOKUP(B79,'SINAPI-comp'!$B:$H,4,0)-H79,0)</f>
        <v>10.399999999999999</v>
      </c>
      <c r="H79" s="96">
        <f>IF(C79="SINAPI",IFERROR(VLOOKUP(B79,'SINAPI-comp'!$B:$H,7,0),VLOOKUP(B79,'SINAPI-insumo'!$B:$H,7,0)))</f>
        <v>9.9600000000000009</v>
      </c>
      <c r="I79" s="109">
        <f t="shared" si="30"/>
        <v>20.36</v>
      </c>
      <c r="J79" s="98">
        <v>0.24229999999999999</v>
      </c>
      <c r="K79" s="99">
        <f t="shared" si="31"/>
        <v>25.29</v>
      </c>
      <c r="L79" s="100">
        <f t="shared" si="32"/>
        <v>103.28</v>
      </c>
      <c r="M79" s="101">
        <f t="shared" si="33"/>
        <v>99.039999999999992</v>
      </c>
      <c r="N79" s="102">
        <f t="shared" si="34"/>
        <v>202.32</v>
      </c>
    </row>
    <row r="80" spans="1:14" s="62" customFormat="1" ht="13.8" x14ac:dyDescent="0.25">
      <c r="A80" s="90" t="s">
        <v>15738</v>
      </c>
      <c r="B80" s="103">
        <v>86916</v>
      </c>
      <c r="C80" s="111" t="s">
        <v>53</v>
      </c>
      <c r="D80" s="93" t="str">
        <f>IF(C80="SINAPI",IFERROR(VLOOKUP(B80,'SINAPI-comp'!$B:$H,2,0),VLOOKUP(B80,'SINAPI-insumo'!$B:$H,2,0)))</f>
        <v>TORNEIRA PLÁSTICA 3/4" PARA TANQUE - FORNECIMENTO E INSTALAÇÃO. AF_02/2026</v>
      </c>
      <c r="E80" s="94" t="str">
        <f>IF(C80="SINAPI",IFERROR(VLOOKUP(B80,'SINAPI-comp'!$B:$H,3,0),VLOOKUP(B80,'SINAPI-insumo'!$B:$H,3,0)))</f>
        <v>UN</v>
      </c>
      <c r="F80" s="105">
        <v>2</v>
      </c>
      <c r="G80" s="96">
        <f>IFERROR(VLOOKUP(B80,'SINAPI-comp'!$B:$H,4,0)-H80,0)</f>
        <v>6.5599999999999987</v>
      </c>
      <c r="H80" s="96">
        <f>IF(C80="SINAPI",IFERROR(VLOOKUP(B80,'SINAPI-comp'!$B:$H,7,0),VLOOKUP(B80,'SINAPI-insumo'!$B:$H,7,0)))</f>
        <v>21.26</v>
      </c>
      <c r="I80" s="109">
        <f t="shared" si="30"/>
        <v>27.82</v>
      </c>
      <c r="J80" s="98">
        <v>0.24229999999999999</v>
      </c>
      <c r="K80" s="99">
        <f t="shared" si="31"/>
        <v>34.56</v>
      </c>
      <c r="L80" s="100">
        <f t="shared" si="32"/>
        <v>16.28</v>
      </c>
      <c r="M80" s="101">
        <f t="shared" si="33"/>
        <v>52.84</v>
      </c>
      <c r="N80" s="102">
        <f t="shared" si="34"/>
        <v>69.12</v>
      </c>
    </row>
    <row r="81" spans="1:15" s="62" customFormat="1" ht="13.8" x14ac:dyDescent="0.25">
      <c r="A81" s="90" t="s">
        <v>15739</v>
      </c>
      <c r="B81" s="103">
        <v>93358</v>
      </c>
      <c r="C81" s="111" t="s">
        <v>53</v>
      </c>
      <c r="D81" s="93" t="str">
        <f>IF(C81="SINAPI",IFERROR(VLOOKUP(B81,'SINAPI-comp'!$B:$H,2,0),VLOOKUP(B81,'SINAPI-insumo'!$B:$H,2,0)))</f>
        <v>ESCAVAÇÃO MANUAL DE VALA. AF_09/2024</v>
      </c>
      <c r="E81" s="94" t="str">
        <f>IF(C81="SINAPI",IFERROR(VLOOKUP(B81,'SINAPI-comp'!$B:$H,3,0),VLOOKUP(B81,'SINAPI-insumo'!$B:$H,3,0)))</f>
        <v>M3</v>
      </c>
      <c r="F81" s="105">
        <v>1.7999999999999998</v>
      </c>
      <c r="G81" s="96">
        <f>IFERROR(VLOOKUP(B81,'SINAPI-comp'!$B:$H,4,0)-H81,0)</f>
        <v>102.09</v>
      </c>
      <c r="H81" s="96">
        <f>IF(C81="SINAPI",IFERROR(VLOOKUP(B81,'SINAPI-comp'!$B:$H,7,0),VLOOKUP(B81,'SINAPI-insumo'!$B:$H,7,0)))</f>
        <v>0</v>
      </c>
      <c r="I81" s="109">
        <f t="shared" si="30"/>
        <v>102.09</v>
      </c>
      <c r="J81" s="98">
        <v>0.24229999999999999</v>
      </c>
      <c r="K81" s="99">
        <f t="shared" si="31"/>
        <v>126.83</v>
      </c>
      <c r="L81" s="100">
        <f t="shared" si="32"/>
        <v>228.27</v>
      </c>
      <c r="M81" s="101">
        <f t="shared" si="33"/>
        <v>1.999999999998181E-2</v>
      </c>
      <c r="N81" s="102">
        <f t="shared" si="34"/>
        <v>228.29</v>
      </c>
    </row>
    <row r="82" spans="1:15" s="62" customFormat="1" ht="13.8" x14ac:dyDescent="0.25">
      <c r="A82" s="90" t="s">
        <v>15740</v>
      </c>
      <c r="B82" s="103">
        <v>104737</v>
      </c>
      <c r="C82" s="111" t="s">
        <v>53</v>
      </c>
      <c r="D82" s="93" t="str">
        <f>IF(C82="SINAPI",IFERROR(VLOOKUP(B82,'SINAPI-comp'!$B:$H,2,0),VLOOKUP(B82,'SINAPI-insumo'!$B:$H,2,0)))</f>
        <v>REATERRO MANUAL DE VALAS, COM PLACA VIBRATÓRIA. AF_08/2023</v>
      </c>
      <c r="E82" s="94" t="str">
        <f>IF(C82="SINAPI",IFERROR(VLOOKUP(B82,'SINAPI-comp'!$B:$H,3,0),VLOOKUP(B82,'SINAPI-insumo'!$B:$H,3,0)))</f>
        <v>M3</v>
      </c>
      <c r="F82" s="105">
        <v>1.7999999999999998</v>
      </c>
      <c r="G82" s="96">
        <f>IFERROR(VLOOKUP(B82,'SINAPI-comp'!$B:$H,4,0)-H82,0)</f>
        <v>22.89</v>
      </c>
      <c r="H82" s="96">
        <f>IF(C82="SINAPI",IFERROR(VLOOKUP(B82,'SINAPI-comp'!$B:$H,7,0),VLOOKUP(B82,'SINAPI-insumo'!$B:$H,7,0)))</f>
        <v>2.75</v>
      </c>
      <c r="I82" s="109">
        <f t="shared" si="30"/>
        <v>25.64</v>
      </c>
      <c r="J82" s="98">
        <v>0.24229999999999999</v>
      </c>
      <c r="K82" s="99">
        <f t="shared" si="31"/>
        <v>31.85</v>
      </c>
      <c r="L82" s="100">
        <f t="shared" si="32"/>
        <v>51.17</v>
      </c>
      <c r="M82" s="101">
        <f t="shared" si="33"/>
        <v>6.1599999999999966</v>
      </c>
      <c r="N82" s="102">
        <f t="shared" si="34"/>
        <v>57.33</v>
      </c>
    </row>
    <row r="83" spans="1:15" s="62" customFormat="1" ht="27.6" x14ac:dyDescent="0.25">
      <c r="A83" s="90" t="s">
        <v>15741</v>
      </c>
      <c r="B83" s="103">
        <v>89714</v>
      </c>
      <c r="C83" s="111" t="s">
        <v>53</v>
      </c>
      <c r="D83" s="93" t="str">
        <f>IF(C83="SINAPI",IFERROR(VLOOKUP(B83,'SINAPI-comp'!$B:$H,2,0),VLOOKUP(B83,'SINAPI-insumo'!$B:$H,2,0)))</f>
        <v>TUBO PVC, SERIE NORMAL, ESGOTO PREDIAL, DN 100 MM, FORNECIDO E INSTALADO EM RAMAL DE DESCARGA OU RAMAL DE ESGOTO SANITÁRIO. AF_08/2022</v>
      </c>
      <c r="E83" s="94" t="str">
        <f>IF(C83="SINAPI",IFERROR(VLOOKUP(B83,'SINAPI-comp'!$B:$H,3,0),VLOOKUP(B83,'SINAPI-insumo'!$B:$H,3,0)))</f>
        <v>M</v>
      </c>
      <c r="F83" s="105">
        <v>6</v>
      </c>
      <c r="G83" s="96">
        <f>IFERROR(VLOOKUP(B83,'SINAPI-comp'!$B:$H,4,0)-H83,0)</f>
        <v>25.54</v>
      </c>
      <c r="H83" s="96">
        <f>IF(C83="SINAPI",IFERROR(VLOOKUP(B83,'SINAPI-comp'!$B:$H,7,0),VLOOKUP(B83,'SINAPI-insumo'!$B:$H,7,0)))</f>
        <v>20.75</v>
      </c>
      <c r="I83" s="109">
        <f t="shared" si="30"/>
        <v>46.29</v>
      </c>
      <c r="J83" s="98">
        <v>0.24229999999999999</v>
      </c>
      <c r="K83" s="99">
        <f t="shared" si="31"/>
        <v>57.51</v>
      </c>
      <c r="L83" s="100">
        <f t="shared" si="32"/>
        <v>190.32</v>
      </c>
      <c r="M83" s="101">
        <f t="shared" si="33"/>
        <v>154.74</v>
      </c>
      <c r="N83" s="102">
        <f t="shared" si="34"/>
        <v>345.06</v>
      </c>
    </row>
    <row r="84" spans="1:15" s="62" customFormat="1" ht="27.6" x14ac:dyDescent="0.25">
      <c r="A84" s="90" t="s">
        <v>15742</v>
      </c>
      <c r="B84" s="103">
        <v>89712</v>
      </c>
      <c r="C84" s="111" t="s">
        <v>53</v>
      </c>
      <c r="D84" s="93" t="str">
        <f>IF(C84="SINAPI",IFERROR(VLOOKUP(B84,'SINAPI-comp'!$B:$H,2,0),VLOOKUP(B84,'SINAPI-insumo'!$B:$H,2,0)))</f>
        <v>TUBO PVC, SERIE NORMAL, ESGOTO PREDIAL, DN 50 MM, FORNECIDO E INSTALADO EM RAMAL DE DESCARGA OU RAMAL DE ESGOTO SANITÁRIO. AF_08/2022</v>
      </c>
      <c r="E84" s="94" t="str">
        <f>IF(C84="SINAPI",IFERROR(VLOOKUP(B84,'SINAPI-comp'!$B:$H,3,0),VLOOKUP(B84,'SINAPI-insumo'!$B:$H,3,0)))</f>
        <v>M</v>
      </c>
      <c r="F84" s="105">
        <v>8</v>
      </c>
      <c r="G84" s="96">
        <f>IFERROR(VLOOKUP(B84,'SINAPI-comp'!$B:$H,4,0)-H84,0)</f>
        <v>18.29</v>
      </c>
      <c r="H84" s="96">
        <f>IF(C84="SINAPI",IFERROR(VLOOKUP(B84,'SINAPI-comp'!$B:$H,7,0),VLOOKUP(B84,'SINAPI-insumo'!$B:$H,7,0)))</f>
        <v>14.96</v>
      </c>
      <c r="I84" s="109">
        <f t="shared" si="30"/>
        <v>33.25</v>
      </c>
      <c r="J84" s="98">
        <v>0.24229999999999999</v>
      </c>
      <c r="K84" s="99">
        <f t="shared" si="31"/>
        <v>41.31</v>
      </c>
      <c r="L84" s="100">
        <f t="shared" si="32"/>
        <v>181.76</v>
      </c>
      <c r="M84" s="101">
        <f t="shared" si="33"/>
        <v>148.72000000000003</v>
      </c>
      <c r="N84" s="102">
        <f t="shared" si="34"/>
        <v>330.48</v>
      </c>
    </row>
    <row r="85" spans="1:15" s="62" customFormat="1" ht="27.6" x14ac:dyDescent="0.25">
      <c r="A85" s="90" t="s">
        <v>15743</v>
      </c>
      <c r="B85" s="103">
        <v>89809</v>
      </c>
      <c r="C85" s="111" t="s">
        <v>53</v>
      </c>
      <c r="D85" s="93" t="str">
        <f>IF(C85="SINAPI",IFERROR(VLOOKUP(B85,'SINAPI-comp'!$B:$H,2,0),VLOOKUP(B85,'SINAPI-insumo'!$B:$H,2,0)))</f>
        <v>JOELHO 90 GRAUS, PVC, SERIE NORMAL, ESGOTO PREDIAL, DN 100 MM, JUNTA ELÁSTICA, FORNECIDO E INSTALADO EM PRUMADA DE ESGOTO SANITÁRIO OU VENTILAÇÃO. AF_08/2022</v>
      </c>
      <c r="E85" s="94" t="str">
        <f>IF(C85="SINAPI",IFERROR(VLOOKUP(B85,'SINAPI-comp'!$B:$H,3,0),VLOOKUP(B85,'SINAPI-insumo'!$B:$H,3,0)))</f>
        <v>UN</v>
      </c>
      <c r="F85" s="105">
        <v>4</v>
      </c>
      <c r="G85" s="96">
        <f>IFERROR(VLOOKUP(B85,'SINAPI-comp'!$B:$H,4,0)-H85,0)</f>
        <v>12.48</v>
      </c>
      <c r="H85" s="96">
        <f>IF(C85="SINAPI",IFERROR(VLOOKUP(B85,'SINAPI-comp'!$B:$H,7,0),VLOOKUP(B85,'SINAPI-insumo'!$B:$H,7,0)))</f>
        <v>20.69</v>
      </c>
      <c r="I85" s="109">
        <f t="shared" si="30"/>
        <v>33.17</v>
      </c>
      <c r="J85" s="98">
        <v>0.24229999999999999</v>
      </c>
      <c r="K85" s="99">
        <f t="shared" si="31"/>
        <v>41.21</v>
      </c>
      <c r="L85" s="100">
        <f t="shared" si="32"/>
        <v>62</v>
      </c>
      <c r="M85" s="101">
        <f t="shared" si="33"/>
        <v>102.84</v>
      </c>
      <c r="N85" s="102">
        <f t="shared" si="34"/>
        <v>164.84</v>
      </c>
    </row>
    <row r="86" spans="1:15" s="62" customFormat="1" ht="27.6" x14ac:dyDescent="0.25">
      <c r="A86" s="90" t="s">
        <v>15744</v>
      </c>
      <c r="B86" s="103">
        <v>89801</v>
      </c>
      <c r="C86" s="111" t="s">
        <v>53</v>
      </c>
      <c r="D86" s="93" t="str">
        <f>IF(C86="SINAPI",IFERROR(VLOOKUP(B86,'SINAPI-comp'!$B:$H,2,0),VLOOKUP(B86,'SINAPI-insumo'!$B:$H,2,0)))</f>
        <v>JOELHO 90 GRAUS, PVC, SERIE NORMAL, ESGOTO PREDIAL, DN 50 MM, JUNTA ELÁSTICA, FORNECIDO E INSTALADO EM PRUMADA DE ESGOTO SANITÁRIO OU VENTILAÇÃO. AF_08/2022</v>
      </c>
      <c r="E86" s="94" t="str">
        <f>IF(C86="SINAPI",IFERROR(VLOOKUP(B86,'SINAPI-comp'!$B:$H,3,0),VLOOKUP(B86,'SINAPI-insumo'!$B:$H,3,0)))</f>
        <v>UN</v>
      </c>
      <c r="F86" s="105">
        <v>6</v>
      </c>
      <c r="G86" s="96">
        <f>IFERROR(VLOOKUP(B86,'SINAPI-comp'!$B:$H,4,0)-H86,0)</f>
        <v>1.9699999999999989</v>
      </c>
      <c r="H86" s="96">
        <f>IF(C86="SINAPI",IFERROR(VLOOKUP(B86,'SINAPI-comp'!$B:$H,7,0),VLOOKUP(B86,'SINAPI-insumo'!$B:$H,7,0)))</f>
        <v>8.98</v>
      </c>
      <c r="I86" s="109">
        <f t="shared" si="30"/>
        <v>10.95</v>
      </c>
      <c r="J86" s="98">
        <v>0.24229999999999999</v>
      </c>
      <c r="K86" s="99">
        <f t="shared" si="31"/>
        <v>13.6</v>
      </c>
      <c r="L86" s="100">
        <f t="shared" si="32"/>
        <v>14.64</v>
      </c>
      <c r="M86" s="101">
        <f t="shared" si="33"/>
        <v>66.959999999999994</v>
      </c>
      <c r="N86" s="102">
        <f t="shared" si="34"/>
        <v>81.599999999999994</v>
      </c>
    </row>
    <row r="87" spans="1:15" s="62" customFormat="1" ht="13.8" x14ac:dyDescent="0.25">
      <c r="A87" s="90" t="s">
        <v>15745</v>
      </c>
      <c r="B87" s="103">
        <v>93358</v>
      </c>
      <c r="C87" s="111" t="s">
        <v>53</v>
      </c>
      <c r="D87" s="93" t="str">
        <f>IF(C87="SINAPI",IFERROR(VLOOKUP(B87,'SINAPI-comp'!$B:$H,2,0),VLOOKUP(B87,'SINAPI-insumo'!$B:$H,2,0)))</f>
        <v>ESCAVAÇÃO MANUAL DE VALA. AF_09/2024</v>
      </c>
      <c r="E87" s="94" t="str">
        <f>IF(C87="SINAPI",IFERROR(VLOOKUP(B87,'SINAPI-comp'!$B:$H,3,0),VLOOKUP(B87,'SINAPI-insumo'!$B:$H,3,0)))</f>
        <v>M3</v>
      </c>
      <c r="F87" s="105">
        <v>0.89999999999999991</v>
      </c>
      <c r="G87" s="96">
        <f>IFERROR(VLOOKUP(B87,'SINAPI-comp'!$B:$H,4,0)-H87,0)</f>
        <v>102.09</v>
      </c>
      <c r="H87" s="96">
        <f>IF(C87="SINAPI",IFERROR(VLOOKUP(B87,'SINAPI-comp'!$B:$H,7,0),VLOOKUP(B87,'SINAPI-insumo'!$B:$H,7,0)))</f>
        <v>0</v>
      </c>
      <c r="I87" s="109">
        <f t="shared" si="30"/>
        <v>102.09</v>
      </c>
      <c r="J87" s="98">
        <v>0.24229999999999999</v>
      </c>
      <c r="K87" s="99">
        <f t="shared" si="31"/>
        <v>126.83</v>
      </c>
      <c r="L87" s="100">
        <f t="shared" si="32"/>
        <v>114.13</v>
      </c>
      <c r="M87" s="101">
        <f t="shared" si="33"/>
        <v>2.0000000000010232E-2</v>
      </c>
      <c r="N87" s="102">
        <f t="shared" si="34"/>
        <v>114.15</v>
      </c>
    </row>
    <row r="88" spans="1:15" s="62" customFormat="1" ht="13.8" x14ac:dyDescent="0.25">
      <c r="A88" s="90" t="s">
        <v>15746</v>
      </c>
      <c r="B88" s="103">
        <v>104737</v>
      </c>
      <c r="C88" s="111" t="s">
        <v>53</v>
      </c>
      <c r="D88" s="93" t="str">
        <f>IF(C88="SINAPI",IFERROR(VLOOKUP(B88,'SINAPI-comp'!$B:$H,2,0),VLOOKUP(B88,'SINAPI-insumo'!$B:$H,2,0)))</f>
        <v>REATERRO MANUAL DE VALAS, COM PLACA VIBRATÓRIA. AF_08/2023</v>
      </c>
      <c r="E88" s="94" t="str">
        <f>IF(C88="SINAPI",IFERROR(VLOOKUP(B88,'SINAPI-comp'!$B:$H,3,0),VLOOKUP(B88,'SINAPI-insumo'!$B:$H,3,0)))</f>
        <v>M3</v>
      </c>
      <c r="F88" s="105">
        <v>0.89999999999999991</v>
      </c>
      <c r="G88" s="96">
        <f>IFERROR(VLOOKUP(B88,'SINAPI-comp'!$B:$H,4,0)-H88,0)</f>
        <v>22.89</v>
      </c>
      <c r="H88" s="96">
        <f>IF(C88="SINAPI",IFERROR(VLOOKUP(B88,'SINAPI-comp'!$B:$H,7,0),VLOOKUP(B88,'SINAPI-insumo'!$B:$H,7,0)))</f>
        <v>2.75</v>
      </c>
      <c r="I88" s="109">
        <f t="shared" si="30"/>
        <v>25.64</v>
      </c>
      <c r="J88" s="98">
        <v>0.24229999999999999</v>
      </c>
      <c r="K88" s="99">
        <f t="shared" si="31"/>
        <v>31.85</v>
      </c>
      <c r="L88" s="100">
        <f t="shared" si="32"/>
        <v>25.58</v>
      </c>
      <c r="M88" s="101">
        <f t="shared" si="33"/>
        <v>3.0900000000000034</v>
      </c>
      <c r="N88" s="102">
        <f t="shared" si="34"/>
        <v>28.67</v>
      </c>
    </row>
    <row r="89" spans="1:15" s="62" customFormat="1" ht="13.8" x14ac:dyDescent="0.25">
      <c r="A89" s="82">
        <v>7</v>
      </c>
      <c r="B89" s="83"/>
      <c r="C89" s="84"/>
      <c r="D89" s="85" t="s">
        <v>15410</v>
      </c>
      <c r="E89" s="86"/>
      <c r="F89" s="87"/>
      <c r="G89" s="87"/>
      <c r="H89" s="87"/>
      <c r="I89" s="87"/>
      <c r="J89" s="88"/>
      <c r="K89" s="88"/>
      <c r="L89" s="87"/>
      <c r="M89" s="87"/>
      <c r="N89" s="89"/>
    </row>
    <row r="90" spans="1:15" ht="27.6" x14ac:dyDescent="0.3">
      <c r="A90" s="90" t="s">
        <v>63</v>
      </c>
      <c r="B90" s="103">
        <v>98525</v>
      </c>
      <c r="C90" s="111" t="s">
        <v>53</v>
      </c>
      <c r="D90" s="93" t="str">
        <f>IF(C90="SINAPI",IFERROR(VLOOKUP(B90,'SINAPI-comp'!$B:$H,2,0),VLOOKUP(B90,'SINAPI-insumo'!$B:$H,2,0)))</f>
        <v>LIMPEZA MECANIZADA DE CAMADA VEGETAL, VEGETAÇÃO E PEQUENAS ÁRVORES (DIÂMETRO DE TRONCO MENOR QUE 0,20 M), COM TRATOR DE ESTEIRAS. AF_03/2024</v>
      </c>
      <c r="E90" s="94" t="str">
        <f>IF(C90="SINAPI",IFERROR(VLOOKUP(B90,'SINAPI-comp'!$B:$H,3,0),VLOOKUP(B90,'SINAPI-insumo'!$B:$H,3,0)))</f>
        <v>M2</v>
      </c>
      <c r="F90" s="104">
        <f>quant_pavim!C14</f>
        <v>1287.1999999999998</v>
      </c>
      <c r="G90" s="96">
        <f>IFERROR(VLOOKUP(B90,'SINAPI-comp'!$B:$H,4,0)-H90,0)</f>
        <v>0.27999999999999997</v>
      </c>
      <c r="H90" s="96">
        <f>IF(C90="SINAPI",IFERROR(VLOOKUP(B90,'SINAPI-comp'!$B:$H,7,0),VLOOKUP(B90,'SINAPI-insumo'!$B:$H,7,0)))</f>
        <v>0.42</v>
      </c>
      <c r="I90" s="97">
        <f t="shared" ref="I90" si="35">G90+H90</f>
        <v>0.7</v>
      </c>
      <c r="J90" s="98">
        <v>0.24229999999999999</v>
      </c>
      <c r="K90" s="99">
        <f t="shared" ref="K90" si="36">I90+ROUND(I90*J90,2)</f>
        <v>0.87</v>
      </c>
      <c r="L90" s="100">
        <f t="shared" ref="L90" si="37">TRUNC(TRUNC(G90*(1+J90),2)*F90,2)</f>
        <v>437.64</v>
      </c>
      <c r="M90" s="101">
        <f t="shared" ref="M90" si="38">N90-L90</f>
        <v>682.21999999999991</v>
      </c>
      <c r="N90" s="102">
        <f t="shared" ref="N90" si="39">ROUND(F90*K90,2)</f>
        <v>1119.8599999999999</v>
      </c>
      <c r="O90" s="62"/>
    </row>
    <row r="91" spans="1:15" ht="27.6" x14ac:dyDescent="0.3">
      <c r="A91" s="90" t="s">
        <v>64</v>
      </c>
      <c r="B91" s="110">
        <v>104790</v>
      </c>
      <c r="C91" s="111" t="s">
        <v>53</v>
      </c>
      <c r="D91" s="93" t="str">
        <f>IF(C91="SINAPI",IFERROR(VLOOKUP(B91,'SINAPI-comp'!$B:$H,2,0),VLOOKUP(B91,'SINAPI-insumo'!$B:$H,2,0)))</f>
        <v>DEMOLIÇÃO DE PISO DE CONCRETO SIMPLES, DE FORMA MECANIZADA COM MARTELETE, SEM REAPROVEITAMENTO. AF_09/2023</v>
      </c>
      <c r="E91" s="94" t="str">
        <f>IF(C91="SINAPI",IFERROR(VLOOKUP(B91,'SINAPI-comp'!$B:$H,3,0),VLOOKUP(B91,'SINAPI-insumo'!$B:$H,3,0)))</f>
        <v>M3</v>
      </c>
      <c r="F91" s="104">
        <f>TRUNC(quant_pavim!C36*0.07,2)</f>
        <v>5.62</v>
      </c>
      <c r="G91" s="96">
        <f>IFERROR(VLOOKUP(B91,'SINAPI-comp'!$B:$H,4,0)-H91,0)</f>
        <v>74.66</v>
      </c>
      <c r="H91" s="96">
        <f>IF(C91="SINAPI",IFERROR(VLOOKUP(B91,'SINAPI-comp'!$B:$H,7,0),VLOOKUP(B91,'SINAPI-insumo'!$B:$H,7,0)))</f>
        <v>47.94</v>
      </c>
      <c r="I91" s="97">
        <f t="shared" ref="I91:I96" si="40">G91+H91</f>
        <v>122.6</v>
      </c>
      <c r="J91" s="98">
        <v>0.24229999999999999</v>
      </c>
      <c r="K91" s="99">
        <f t="shared" ref="K91:K96" si="41">I91+ROUND(I91*J91,2)</f>
        <v>152.31</v>
      </c>
      <c r="L91" s="100">
        <f t="shared" ref="L91:L96" si="42">TRUNC(TRUNC(G91*(1+J91),2)*F91,2)</f>
        <v>521.25</v>
      </c>
      <c r="M91" s="101">
        <f t="shared" ref="M91:M96" si="43">N91-L91</f>
        <v>334.73</v>
      </c>
      <c r="N91" s="102">
        <f t="shared" ref="N91:N96" si="44">ROUND(F91*K91,2)</f>
        <v>855.98</v>
      </c>
    </row>
    <row r="92" spans="1:15" ht="27.6" x14ac:dyDescent="0.3">
      <c r="A92" s="90" t="s">
        <v>15601</v>
      </c>
      <c r="B92" s="103">
        <v>97636</v>
      </c>
      <c r="C92" s="111" t="s">
        <v>53</v>
      </c>
      <c r="D92" s="93" t="str">
        <f>IF(C92="SINAPI",IFERROR(VLOOKUP(B92,'SINAPI-comp'!$B:$H,2,0),VLOOKUP(B92,'SINAPI-insumo'!$B:$H,2,0)))</f>
        <v>DEMOLIÇÃO PARCIAL DE PAVIMENTO ASFÁLTICO, DE FORMA MECANIZADA, SEM REAPROVEITAMENTO. AF_09/2023</v>
      </c>
      <c r="E92" s="94" t="str">
        <f>IF(C92="SINAPI",IFERROR(VLOOKUP(B92,'SINAPI-comp'!$B:$H,3,0),VLOOKUP(B92,'SINAPI-insumo'!$B:$H,3,0)))</f>
        <v>M2</v>
      </c>
      <c r="F92" s="104">
        <f>quant_pavim!C34</f>
        <v>31.56</v>
      </c>
      <c r="G92" s="96">
        <f>IFERROR(VLOOKUP(B92,'SINAPI-comp'!$B:$H,4,0)-H92,0)</f>
        <v>11.67</v>
      </c>
      <c r="H92" s="96">
        <f>IF(C92="SINAPI",IFERROR(VLOOKUP(B92,'SINAPI-comp'!$B:$H,7,0),VLOOKUP(B92,'SINAPI-insumo'!$B:$H,7,0)))</f>
        <v>11.74</v>
      </c>
      <c r="I92" s="97">
        <f t="shared" si="40"/>
        <v>23.41</v>
      </c>
      <c r="J92" s="98">
        <v>0.24229999999999999</v>
      </c>
      <c r="K92" s="99">
        <f t="shared" si="41"/>
        <v>29.08</v>
      </c>
      <c r="L92" s="100">
        <f t="shared" si="42"/>
        <v>457.3</v>
      </c>
      <c r="M92" s="101">
        <f t="shared" si="43"/>
        <v>460.46</v>
      </c>
      <c r="N92" s="102">
        <f t="shared" si="44"/>
        <v>917.76</v>
      </c>
    </row>
    <row r="93" spans="1:15" ht="27.6" x14ac:dyDescent="0.3">
      <c r="A93" s="90" t="s">
        <v>65</v>
      </c>
      <c r="B93" s="103">
        <v>104796</v>
      </c>
      <c r="C93" s="111" t="s">
        <v>53</v>
      </c>
      <c r="D93" s="93" t="str">
        <f>IF(C93="SINAPI",IFERROR(VLOOKUP(B93,'SINAPI-comp'!$B:$H,2,0),VLOOKUP(B93,'SINAPI-insumo'!$B:$H,2,0)))</f>
        <v>DEMOLIÇÃO DE GUIAS, SARJETAS OU SARJETÕES, DE FORMA MECANIZADA, SEM REAPROVEITAMENTO. AF_09/2023</v>
      </c>
      <c r="E93" s="94" t="str">
        <f>IF(C93="SINAPI",IFERROR(VLOOKUP(B93,'SINAPI-comp'!$B:$H,3,0),VLOOKUP(B93,'SINAPI-insumo'!$B:$H,3,0)))</f>
        <v>M</v>
      </c>
      <c r="F93" s="104">
        <f>quant_pavim!C41</f>
        <v>9.44</v>
      </c>
      <c r="G93" s="96">
        <f>IFERROR(VLOOKUP(B93,'SINAPI-comp'!$B:$H,4,0)-H93,0)</f>
        <v>12.15</v>
      </c>
      <c r="H93" s="96">
        <f>IF(C93="SINAPI",IFERROR(VLOOKUP(B93,'SINAPI-comp'!$B:$H,7,0),VLOOKUP(B93,'SINAPI-insumo'!$B:$H,7,0)))</f>
        <v>3.69</v>
      </c>
      <c r="I93" s="97">
        <f t="shared" ref="I93" si="45">G93+H93</f>
        <v>15.84</v>
      </c>
      <c r="J93" s="98">
        <v>0.24229999999999999</v>
      </c>
      <c r="K93" s="99">
        <f t="shared" ref="K93" si="46">I93+ROUND(I93*J93,2)</f>
        <v>19.68</v>
      </c>
      <c r="L93" s="100">
        <f t="shared" ref="L93" si="47">TRUNC(TRUNC(G93*(1+J93),2)*F93,2)</f>
        <v>142.44</v>
      </c>
      <c r="M93" s="101">
        <f t="shared" ref="M93" si="48">N93-L93</f>
        <v>43.34</v>
      </c>
      <c r="N93" s="102">
        <f t="shared" ref="N93" si="49">ROUND(F93*K93,2)</f>
        <v>185.78</v>
      </c>
    </row>
    <row r="94" spans="1:15" ht="41.4" x14ac:dyDescent="0.3">
      <c r="A94" s="90" t="s">
        <v>66</v>
      </c>
      <c r="B94" s="112">
        <v>100982</v>
      </c>
      <c r="C94" s="111" t="s">
        <v>53</v>
      </c>
      <c r="D94" s="93" t="str">
        <f>IF(C94="SINAPI",IFERROR(VLOOKUP(B94,'SINAPI-comp'!$B:$H,2,0),VLOOKUP(B94,'SINAPI-insumo'!$B:$H,2,0)))</f>
        <v>CARGA, MANOBRA E DESCARGA DE ENTULHO EM CAMINHÃO BASCULANTE 10 M³ - CARGA COM ESCAVADEIRA HIDRÁULICA (CAÇAMBA DE 0,80 M³ / 111 HP) E DESCARGA LIVRE (UNIDADE: M3). AF_02/2026</v>
      </c>
      <c r="E94" s="94" t="str">
        <f>IF(C94="SINAPI",IFERROR(VLOOKUP(B94,'SINAPI-comp'!$B:$H,3,0),VLOOKUP(B94,'SINAPI-insumo'!$B:$H,3,0)))</f>
        <v>M3</v>
      </c>
      <c r="F94" s="646">
        <f>TRUNC((F90*0.1)*(1+empolamentos!B5)+(F91+F92*0.05+F93*0.15*0.2)*(1+empolamentos!B2),2)</f>
        <v>171.37</v>
      </c>
      <c r="G94" s="96">
        <f>IFERROR(VLOOKUP(B94,'SINAPI-comp'!$B:$H,4,0)-H94,0)</f>
        <v>1.5600000000000005</v>
      </c>
      <c r="H94" s="96">
        <f>IF(C94="SINAPI",IFERROR(VLOOKUP(B94,'SINAPI-comp'!$B:$H,7,0),VLOOKUP(B94,'SINAPI-insumo'!$B:$H,7,0)))</f>
        <v>8.11</v>
      </c>
      <c r="I94" s="97">
        <f t="shared" si="40"/>
        <v>9.67</v>
      </c>
      <c r="J94" s="98">
        <v>0.24229999999999999</v>
      </c>
      <c r="K94" s="99">
        <f t="shared" si="41"/>
        <v>12.01</v>
      </c>
      <c r="L94" s="100">
        <f t="shared" si="42"/>
        <v>330.74</v>
      </c>
      <c r="M94" s="101">
        <f t="shared" si="43"/>
        <v>1727.41</v>
      </c>
      <c r="N94" s="102">
        <f t="shared" si="44"/>
        <v>2058.15</v>
      </c>
    </row>
    <row r="95" spans="1:15" ht="27.6" x14ac:dyDescent="0.3">
      <c r="A95" s="90" t="s">
        <v>67</v>
      </c>
      <c r="B95" s="112">
        <v>95875</v>
      </c>
      <c r="C95" s="111" t="s">
        <v>53</v>
      </c>
      <c r="D95" s="93" t="str">
        <f>IF(C95="SINAPI",IFERROR(VLOOKUP(B95,'SINAPI-comp'!$B:$H,2,0),VLOOKUP(B95,'SINAPI-insumo'!$B:$H,2,0)))</f>
        <v>TRANSPORTE COM CAMINHÃO BASCULANTE DE 10 M³, EM VIA URBANA PAVIMENTADA, DMT ATÉ 30 KM (UNIDADE: M3XKM). AF_02/2026</v>
      </c>
      <c r="E95" s="94" t="str">
        <f>IF(C95="SINAPI",IFERROR(VLOOKUP(B95,'SINAPI-comp'!$B:$H,3,0),VLOOKUP(B95,'SINAPI-insumo'!$B:$H,3,0)))</f>
        <v>M3XKM</v>
      </c>
      <c r="F95" s="646">
        <f>TRUNC(F94*DMT!C76,2)</f>
        <v>1131.04</v>
      </c>
      <c r="G95" s="96">
        <f>IFERROR(VLOOKUP(B95,'SINAPI-comp'!$B:$H,4,0)-H95,0)</f>
        <v>0.33999999999999986</v>
      </c>
      <c r="H95" s="96">
        <f>IF(C95="SINAPI",IFERROR(VLOOKUP(B95,'SINAPI-comp'!$B:$H,7,0),VLOOKUP(B95,'SINAPI-insumo'!$B:$H,7,0)))</f>
        <v>2.4900000000000002</v>
      </c>
      <c r="I95" s="97">
        <f t="shared" si="40"/>
        <v>2.83</v>
      </c>
      <c r="J95" s="98">
        <v>0.24229999999999999</v>
      </c>
      <c r="K95" s="99">
        <f t="shared" si="41"/>
        <v>3.52</v>
      </c>
      <c r="L95" s="100">
        <f t="shared" si="42"/>
        <v>475.03</v>
      </c>
      <c r="M95" s="101">
        <f t="shared" si="43"/>
        <v>3506.2300000000005</v>
      </c>
      <c r="N95" s="102">
        <f t="shared" si="44"/>
        <v>3981.26</v>
      </c>
    </row>
    <row r="96" spans="1:15" x14ac:dyDescent="0.3">
      <c r="A96" s="90" t="s">
        <v>68</v>
      </c>
      <c r="B96" s="112" t="s">
        <v>41</v>
      </c>
      <c r="C96" s="111" t="s">
        <v>42</v>
      </c>
      <c r="D96" s="106" t="str">
        <f>VLOOKUP(B96,tabelas!$A:$L,4,0)</f>
        <v>TAXA PARA BOTA FORA</v>
      </c>
      <c r="E96" s="107" t="str">
        <f>VLOOKUP(B96,tabelas!$A:$L,5,0)</f>
        <v>M3</v>
      </c>
      <c r="F96" s="646">
        <f>F94</f>
        <v>171.37</v>
      </c>
      <c r="G96" s="108">
        <v>0</v>
      </c>
      <c r="H96" s="108">
        <f>VLOOKUP($B96,tabelas!$A:$L,12,0)</f>
        <v>9.83</v>
      </c>
      <c r="I96" s="97">
        <f t="shared" si="40"/>
        <v>9.83</v>
      </c>
      <c r="J96" s="98">
        <v>0.16980000000000001</v>
      </c>
      <c r="K96" s="99">
        <f t="shared" si="41"/>
        <v>11.5</v>
      </c>
      <c r="L96" s="100">
        <f t="shared" si="42"/>
        <v>0</v>
      </c>
      <c r="M96" s="101">
        <f t="shared" si="43"/>
        <v>1970.76</v>
      </c>
      <c r="N96" s="102">
        <f t="shared" si="44"/>
        <v>1970.76</v>
      </c>
    </row>
    <row r="97" spans="1:15" s="62" customFormat="1" ht="13.8" x14ac:dyDescent="0.25">
      <c r="A97" s="82">
        <v>8</v>
      </c>
      <c r="B97" s="83"/>
      <c r="C97" s="84"/>
      <c r="D97" s="85" t="s">
        <v>15412</v>
      </c>
      <c r="E97" s="86"/>
      <c r="F97" s="87"/>
      <c r="G97" s="87"/>
      <c r="H97" s="87"/>
      <c r="I97" s="87"/>
      <c r="J97" s="88"/>
      <c r="K97" s="88"/>
      <c r="L97" s="87"/>
      <c r="M97" s="87"/>
      <c r="N97" s="89"/>
    </row>
    <row r="98" spans="1:15" ht="41.4" x14ac:dyDescent="0.3">
      <c r="A98" s="90" t="s">
        <v>69</v>
      </c>
      <c r="B98" s="103">
        <v>101138</v>
      </c>
      <c r="C98" s="111" t="s">
        <v>53</v>
      </c>
      <c r="D98" s="93" t="str">
        <f>IF(C98="SINAPI",IFERROR(VLOOKUP(B98,'SINAPI-comp'!$B:$H,2,0),VLOOKUP(B98,'SINAPI-insumo'!$B:$H,2,0)))</f>
        <v>ESCAVAÇÃO HORIZONTAL, INCLUINDO CARGA, DESCARGA E TRANSPORTE EM SOLO DE 1A CATEGORIA COM TRATOR DE ESTEIRAS (125HP/LÂMINA: 2,70M3) E CAMINHÃO BASCULANTE DE 10M3, DMT ATÉ 200M. AF_07/2020</v>
      </c>
      <c r="E98" s="94" t="str">
        <f>IF(C98="SINAPI",IFERROR(VLOOKUP(B98,'SINAPI-comp'!$B:$H,3,0),VLOOKUP(B98,'SINAPI-insumo'!$B:$H,3,0)))</f>
        <v>M3</v>
      </c>
      <c r="F98" s="104">
        <f>TRUNC(quant_pavim!AF9+quant_pavim!AF10,2)</f>
        <v>229.7</v>
      </c>
      <c r="G98" s="96">
        <f>IFERROR(VLOOKUP(B98,'SINAPI-comp'!$B:$H,4,0)-H98,0)</f>
        <v>3.49</v>
      </c>
      <c r="H98" s="96">
        <f>IF(C98="SINAPI",IFERROR(VLOOKUP(B98,'SINAPI-comp'!$B:$H,7,0),VLOOKUP(B98,'SINAPI-insumo'!$B:$H,7,0)))</f>
        <v>12.18</v>
      </c>
      <c r="I98" s="97">
        <f t="shared" ref="I98:I102" si="50">G98+H98</f>
        <v>15.67</v>
      </c>
      <c r="J98" s="98">
        <v>0.24229999999999999</v>
      </c>
      <c r="K98" s="99">
        <f t="shared" ref="K98:K102" si="51">I98+ROUND(I98*J98,2)</f>
        <v>19.47</v>
      </c>
      <c r="L98" s="100">
        <f t="shared" ref="L98:L102" si="52">TRUNC(TRUNC(G98*(1+J98),2)*F98,2)</f>
        <v>994.6</v>
      </c>
      <c r="M98" s="101">
        <f t="shared" ref="M98:M102" si="53">N98-L98</f>
        <v>3477.6600000000003</v>
      </c>
      <c r="N98" s="102">
        <f t="shared" ref="N98:N102" si="54">ROUND(F98*K98,2)</f>
        <v>4472.26</v>
      </c>
    </row>
    <row r="99" spans="1:15" ht="41.4" x14ac:dyDescent="0.3">
      <c r="A99" s="90" t="s">
        <v>70</v>
      </c>
      <c r="B99" s="103">
        <v>96386</v>
      </c>
      <c r="C99" s="111" t="s">
        <v>53</v>
      </c>
      <c r="D99" s="93" t="str">
        <f>IF(C99="SINAPI",IFERROR(VLOOKUP(B99,'SINAPI-comp'!$B:$H,2,0),VLOOKUP(B99,'SINAPI-insumo'!$B:$H,2,0)))</f>
        <v>EXECUÇÃO E COMPACTAÇÃO DE CORPO DE ATERRO (95% DE ENERGIA DO PROCTOR NORMAL) COM SOLO PREDOMINANTEMENTE ARENOSO ESPESSURA 15CM - EXCLUSIVE MATERIAL, ESCAVAÇÃO, CARGA E TRANSPORTE. AF_09/2024</v>
      </c>
      <c r="E99" s="94" t="str">
        <f>IF(C99="SINAPI",IFERROR(VLOOKUP(B99,'SINAPI-comp'!$B:$H,3,0),VLOOKUP(B99,'SINAPI-insumo'!$B:$H,3,0)))</f>
        <v>M3</v>
      </c>
      <c r="F99" s="104">
        <f>TRUNC(quant_pavim!AG18,2)</f>
        <v>53.29</v>
      </c>
      <c r="G99" s="96">
        <f>IFERROR(VLOOKUP(B99,'SINAPI-comp'!$B:$H,4,0)-H99,0)</f>
        <v>2.0099999999999998</v>
      </c>
      <c r="H99" s="96">
        <f>IF(C99="SINAPI",IFERROR(VLOOKUP(B99,'SINAPI-comp'!$B:$H,7,0),VLOOKUP(B99,'SINAPI-insumo'!$B:$H,7,0)))</f>
        <v>5.01</v>
      </c>
      <c r="I99" s="97">
        <f t="shared" si="50"/>
        <v>7.02</v>
      </c>
      <c r="J99" s="98">
        <v>0.24229999999999999</v>
      </c>
      <c r="K99" s="99">
        <f t="shared" si="51"/>
        <v>8.7199999999999989</v>
      </c>
      <c r="L99" s="100">
        <f t="shared" si="52"/>
        <v>132.69</v>
      </c>
      <c r="M99" s="101">
        <f t="shared" si="53"/>
        <v>332</v>
      </c>
      <c r="N99" s="102">
        <f t="shared" si="54"/>
        <v>464.69</v>
      </c>
    </row>
    <row r="100" spans="1:15" ht="41.4" x14ac:dyDescent="0.3">
      <c r="A100" s="90" t="s">
        <v>71</v>
      </c>
      <c r="B100" s="103">
        <v>100978</v>
      </c>
      <c r="C100" s="111" t="s">
        <v>53</v>
      </c>
      <c r="D100" s="93" t="str">
        <f>IF(C100="SINAPI",IFERROR(VLOOKUP(B100,'SINAPI-comp'!$B:$H,2,0),VLOOKUP(B100,'SINAPI-insumo'!$B:$H,2,0)))</f>
        <v>CARGA, MANOBRA E DESCARGA DE SOLOS E MATERIAIS GRANULARES EM CAMINHÃO BASCULANTE 10 M³ - CARGA COM ESCAVADEIRA HIDRÁULICA (CAÇAMBA DE 1,20 M³ / 155 HP) E DESCARGA LIVRE (UNIDADE: M3). AF_02/2026</v>
      </c>
      <c r="E100" s="94" t="str">
        <f>IF(C100="SINAPI",IFERROR(VLOOKUP(B100,'SINAPI-comp'!$B:$H,3,0),VLOOKUP(B100,'SINAPI-insumo'!$B:$H,3,0)))</f>
        <v>M3</v>
      </c>
      <c r="F100" s="104">
        <f>TRUNC(F99*(1+empolamentos!B6),2)</f>
        <v>66.61</v>
      </c>
      <c r="G100" s="96">
        <f>IFERROR(VLOOKUP(B100,'SINAPI-comp'!$B:$H,4,0)-H100,0)</f>
        <v>1.1799999999999997</v>
      </c>
      <c r="H100" s="96">
        <f>IF(C100="SINAPI",IFERROR(VLOOKUP(B100,'SINAPI-comp'!$B:$H,7,0),VLOOKUP(B100,'SINAPI-insumo'!$B:$H,7,0)))</f>
        <v>6.24</v>
      </c>
      <c r="I100" s="97">
        <f t="shared" si="50"/>
        <v>7.42</v>
      </c>
      <c r="J100" s="98">
        <v>0.24229999999999999</v>
      </c>
      <c r="K100" s="99">
        <f t="shared" si="51"/>
        <v>9.2200000000000006</v>
      </c>
      <c r="L100" s="100">
        <f t="shared" si="52"/>
        <v>97.25</v>
      </c>
      <c r="M100" s="101">
        <f t="shared" si="53"/>
        <v>516.89</v>
      </c>
      <c r="N100" s="102">
        <f t="shared" si="54"/>
        <v>614.14</v>
      </c>
    </row>
    <row r="101" spans="1:15" ht="27.6" x14ac:dyDescent="0.3">
      <c r="A101" s="90" t="s">
        <v>73</v>
      </c>
      <c r="B101" s="112">
        <v>95875</v>
      </c>
      <c r="C101" s="111" t="s">
        <v>53</v>
      </c>
      <c r="D101" s="93" t="str">
        <f>IF(C101="SINAPI",IFERROR(VLOOKUP(B101,'SINAPI-comp'!$B:$H,2,0),VLOOKUP(B101,'SINAPI-insumo'!$B:$H,2,0)))</f>
        <v>TRANSPORTE COM CAMINHÃO BASCULANTE DE 10 M³, EM VIA URBANA PAVIMENTADA, DMT ATÉ 30 KM (UNIDADE: M3XKM). AF_02/2026</v>
      </c>
      <c r="E101" s="94" t="str">
        <f>IF(C101="SINAPI",IFERROR(VLOOKUP(B101,'SINAPI-comp'!$B:$H,3,0),VLOOKUP(B101,'SINAPI-insumo'!$B:$H,3,0)))</f>
        <v>M3XKM</v>
      </c>
      <c r="F101" s="104">
        <f>TRUNC((F98-F99)*(1+empolamentos!B6)*DMT!C76,2)</f>
        <v>1455.38</v>
      </c>
      <c r="G101" s="96">
        <f>IFERROR(VLOOKUP(B101,'SINAPI-comp'!$B:$H,4,0)-H101,0)</f>
        <v>0.33999999999999986</v>
      </c>
      <c r="H101" s="96">
        <f>IF(C101="SINAPI",IFERROR(VLOOKUP(B101,'SINAPI-comp'!$B:$H,7,0),VLOOKUP(B101,'SINAPI-insumo'!$B:$H,7,0)))</f>
        <v>2.4900000000000002</v>
      </c>
      <c r="I101" s="97">
        <f t="shared" si="50"/>
        <v>2.83</v>
      </c>
      <c r="J101" s="98">
        <v>0.24229999999999999</v>
      </c>
      <c r="K101" s="99">
        <f t="shared" si="51"/>
        <v>3.52</v>
      </c>
      <c r="L101" s="100">
        <f t="shared" si="52"/>
        <v>611.25</v>
      </c>
      <c r="M101" s="101">
        <f t="shared" si="53"/>
        <v>4511.6899999999996</v>
      </c>
      <c r="N101" s="102">
        <f t="shared" si="54"/>
        <v>5122.9399999999996</v>
      </c>
    </row>
    <row r="102" spans="1:15" x14ac:dyDescent="0.3">
      <c r="A102" s="90" t="s">
        <v>75</v>
      </c>
      <c r="B102" s="112" t="s">
        <v>41</v>
      </c>
      <c r="C102" s="111" t="s">
        <v>42</v>
      </c>
      <c r="D102" s="106" t="str">
        <f>VLOOKUP(B102,tabelas!$A:$L,4,0)</f>
        <v>TAXA PARA BOTA FORA</v>
      </c>
      <c r="E102" s="107" t="str">
        <f>VLOOKUP(B102,tabelas!$A:$L,5,0)</f>
        <v>M3</v>
      </c>
      <c r="F102" s="104">
        <f>TRUNC((F98-F99)*(1+empolamentos!B6),2)</f>
        <v>220.51</v>
      </c>
      <c r="G102" s="108">
        <v>0</v>
      </c>
      <c r="H102" s="108">
        <f>VLOOKUP($B102,tabelas!$A:$L,12,0)</f>
        <v>9.83</v>
      </c>
      <c r="I102" s="97">
        <f t="shared" si="50"/>
        <v>9.83</v>
      </c>
      <c r="J102" s="98">
        <v>0.16980000000000001</v>
      </c>
      <c r="K102" s="99">
        <f t="shared" si="51"/>
        <v>11.5</v>
      </c>
      <c r="L102" s="100">
        <f t="shared" si="52"/>
        <v>0</v>
      </c>
      <c r="M102" s="101">
        <f t="shared" si="53"/>
        <v>2535.87</v>
      </c>
      <c r="N102" s="102">
        <f t="shared" si="54"/>
        <v>2535.87</v>
      </c>
    </row>
    <row r="103" spans="1:15" s="62" customFormat="1" ht="13.8" x14ac:dyDescent="0.25">
      <c r="A103" s="82">
        <v>9</v>
      </c>
      <c r="B103" s="83"/>
      <c r="C103" s="84"/>
      <c r="D103" s="85" t="s">
        <v>15700</v>
      </c>
      <c r="E103" s="86"/>
      <c r="F103" s="87"/>
      <c r="G103" s="87"/>
      <c r="H103" s="87"/>
      <c r="I103" s="87"/>
      <c r="J103" s="88"/>
      <c r="K103" s="88"/>
      <c r="L103" s="87"/>
      <c r="M103" s="87"/>
      <c r="N103" s="89"/>
    </row>
    <row r="104" spans="1:15" ht="27.6" x14ac:dyDescent="0.3">
      <c r="A104" s="90" t="s">
        <v>87</v>
      </c>
      <c r="B104" s="103">
        <v>100576</v>
      </c>
      <c r="C104" s="111" t="s">
        <v>53</v>
      </c>
      <c r="D104" s="93" t="str">
        <f>IF(C104="SINAPI",IFERROR(VLOOKUP(B104,'SINAPI-comp'!$B:$H,2,0),VLOOKUP(B104,'SINAPI-insumo'!$B:$H,2,0)))</f>
        <v>REGULARIZAÇÃO E COMPACTAÇÃO DE SUBLEITO DE SOLO PREDOMINANTEMENTE ARGILOSO, PARA OBRAS DE CONSTRUÇÃO DE PAVIMENTOS. AF_09/2024</v>
      </c>
      <c r="E104" s="94" t="str">
        <f>IF(C104="SINAPI",IFERROR(VLOOKUP(B104,'SINAPI-comp'!$B:$H,3,0),VLOOKUP(B104,'SINAPI-insumo'!$B:$H,3,0)))</f>
        <v>M2</v>
      </c>
      <c r="F104" s="104">
        <f>quant_pavim!C15</f>
        <v>702.65</v>
      </c>
      <c r="G104" s="96">
        <f>IFERROR(VLOOKUP(B104,'SINAPI-comp'!$B:$H,4,0)-H104,0)</f>
        <v>1.1099999999999999</v>
      </c>
      <c r="H104" s="96">
        <f>IF(C104="SINAPI",IFERROR(VLOOKUP(B104,'SINAPI-comp'!$B:$H,7,0),VLOOKUP(B104,'SINAPI-insumo'!$B:$H,7,0)))</f>
        <v>1.92</v>
      </c>
      <c r="I104" s="97">
        <f>G104+H104</f>
        <v>3.03</v>
      </c>
      <c r="J104" s="98">
        <v>0.24229999999999999</v>
      </c>
      <c r="K104" s="99">
        <f>I104+ROUND(I104*J104,2)</f>
        <v>3.76</v>
      </c>
      <c r="L104" s="100">
        <f>TRUNC(TRUNC(G104*(1+J104),2)*F104,2)</f>
        <v>962.63</v>
      </c>
      <c r="M104" s="101">
        <f>N104-L104</f>
        <v>1679.33</v>
      </c>
      <c r="N104" s="102">
        <f>ROUND(F104*K104,2)</f>
        <v>2641.96</v>
      </c>
      <c r="O104" s="62"/>
    </row>
    <row r="105" spans="1:15" ht="27.6" x14ac:dyDescent="0.3">
      <c r="A105" s="90" t="s">
        <v>88</v>
      </c>
      <c r="B105" s="103">
        <v>105742</v>
      </c>
      <c r="C105" s="111" t="s">
        <v>53</v>
      </c>
      <c r="D105" s="93" t="str">
        <f>IF(C105="SINAPI",IFERROR(VLOOKUP(B105,'SINAPI-comp'!$B:$H,2,0),VLOOKUP(B105,'SINAPI-insumo'!$B:$H,2,0)))</f>
        <v>CONSTRUÇÃO DE BASE E SUB-BASE PARA PAVIMENTAÇÃO DE RACHÃO, COM ESPESSURA DE 30 CM - EXCLUSIVE CARGA E TRANSPORTE. AF_09/2024</v>
      </c>
      <c r="E105" s="94" t="str">
        <f>IF(C105="SINAPI",IFERROR(VLOOKUP(B105,'SINAPI-comp'!$B:$H,3,0),VLOOKUP(B105,'SINAPI-insumo'!$B:$H,3,0)))</f>
        <v>M3</v>
      </c>
      <c r="F105" s="104">
        <f>quant_pavim!D11</f>
        <v>140.53</v>
      </c>
      <c r="G105" s="96">
        <f>IFERROR(VLOOKUP(B105,'SINAPI-comp'!$B:$H,4,0)-H105,0)</f>
        <v>7.5100000000000051</v>
      </c>
      <c r="H105" s="96">
        <f>IF(C105="SINAPI",IFERROR(VLOOKUP(B105,'SINAPI-comp'!$B:$H,7,0),VLOOKUP(B105,'SINAPI-insumo'!$B:$H,7,0)))</f>
        <v>117.19</v>
      </c>
      <c r="I105" s="97">
        <f t="shared" ref="I105:I118" si="55">G105+H105</f>
        <v>124.7</v>
      </c>
      <c r="J105" s="98">
        <v>0.24229999999999999</v>
      </c>
      <c r="K105" s="99">
        <f t="shared" ref="K105:K118" si="56">I105+ROUND(I105*J105,2)</f>
        <v>154.91</v>
      </c>
      <c r="L105" s="100">
        <f t="shared" ref="L105:L118" si="57">TRUNC(TRUNC(G105*(1+J105),2)*F105,2)</f>
        <v>1309.73</v>
      </c>
      <c r="M105" s="101">
        <f t="shared" ref="M105:M118" si="58">N105-L105</f>
        <v>20459.77</v>
      </c>
      <c r="N105" s="102">
        <f t="shared" ref="N105:N118" si="59">ROUND(F105*K105,2)</f>
        <v>21769.5</v>
      </c>
    </row>
    <row r="106" spans="1:15" ht="27.6" x14ac:dyDescent="0.3">
      <c r="A106" s="90" t="s">
        <v>89</v>
      </c>
      <c r="B106" s="103">
        <v>105730</v>
      </c>
      <c r="C106" s="111" t="s">
        <v>53</v>
      </c>
      <c r="D106" s="93" t="str">
        <f>IF(C106="SINAPI",IFERROR(VLOOKUP(B106,'SINAPI-comp'!$B:$H,2,0),VLOOKUP(B106,'SINAPI-insumo'!$B:$H,2,0)))</f>
        <v>CONSTRUÇÃO DE BASE E SUB-BASE PARA PAVIMENTAÇÃO DE BRITA GRADUADA SIMPLES, COM ESPESSURA DE 20 CM - EXCLUSIVE CARGA E TRANSPORTE. AF_09/2024</v>
      </c>
      <c r="E106" s="94" t="str">
        <f>IF(C106="SINAPI",IFERROR(VLOOKUP(B106,'SINAPI-comp'!$B:$H,3,0),VLOOKUP(B106,'SINAPI-insumo'!$B:$H,3,0)))</f>
        <v>M3</v>
      </c>
      <c r="F106" s="104">
        <f>quant_pavim!D10</f>
        <v>140.53</v>
      </c>
      <c r="G106" s="96">
        <f>IFERROR(VLOOKUP(B106,'SINAPI-comp'!$B:$H,4,0)-H106,0)</f>
        <v>8.7199999999999989</v>
      </c>
      <c r="H106" s="96">
        <f>IF(C106="SINAPI",IFERROR(VLOOKUP(B106,'SINAPI-comp'!$B:$H,7,0),VLOOKUP(B106,'SINAPI-insumo'!$B:$H,7,0)))</f>
        <v>169.81</v>
      </c>
      <c r="I106" s="97">
        <f t="shared" si="55"/>
        <v>178.53</v>
      </c>
      <c r="J106" s="98">
        <v>0.24229999999999999</v>
      </c>
      <c r="K106" s="99">
        <f t="shared" si="56"/>
        <v>221.79</v>
      </c>
      <c r="L106" s="100">
        <f t="shared" si="57"/>
        <v>1521.93</v>
      </c>
      <c r="M106" s="101">
        <f t="shared" si="58"/>
        <v>29646.22</v>
      </c>
      <c r="N106" s="102">
        <f t="shared" si="59"/>
        <v>31168.15</v>
      </c>
    </row>
    <row r="107" spans="1:15" ht="27.6" x14ac:dyDescent="0.3">
      <c r="A107" s="90" t="s">
        <v>90</v>
      </c>
      <c r="B107" s="103" t="s">
        <v>72</v>
      </c>
      <c r="C107" s="92" t="s">
        <v>31</v>
      </c>
      <c r="D107" s="93" t="str">
        <f>VLOOKUP(B107,composicoes!$A:$K,2,0)</f>
        <v>MEIO-FIO EM TRECHO RETO, CONFECCIONADA EM CONCRETO PRÉ-FABRICADO, DIMENSÕES 100X15X13X30 CM , PARA VIAS URBANAS - FORNECIMENTO</v>
      </c>
      <c r="E107" s="94" t="str">
        <f>VLOOKUP(B107,composicoes!$A:$K,8,0)</f>
        <v>M</v>
      </c>
      <c r="F107" s="104">
        <f>quant_pavim!C23</f>
        <v>239.93</v>
      </c>
      <c r="G107" s="96">
        <f>VLOOKUP(B107,composicoes!$A:$K,10,0)</f>
        <v>0</v>
      </c>
      <c r="H107" s="96">
        <f>VLOOKUP(B107,composicoes!$A:$K,11,0)</f>
        <v>38.07</v>
      </c>
      <c r="I107" s="97">
        <f t="shared" si="55"/>
        <v>38.07</v>
      </c>
      <c r="J107" s="98">
        <v>0.16980000000000001</v>
      </c>
      <c r="K107" s="99">
        <f t="shared" si="56"/>
        <v>44.53</v>
      </c>
      <c r="L107" s="100">
        <f t="shared" si="57"/>
        <v>0</v>
      </c>
      <c r="M107" s="101">
        <f t="shared" si="58"/>
        <v>10684.08</v>
      </c>
      <c r="N107" s="102">
        <f t="shared" si="59"/>
        <v>10684.08</v>
      </c>
    </row>
    <row r="108" spans="1:15" ht="27.6" x14ac:dyDescent="0.3">
      <c r="A108" s="90" t="s">
        <v>91</v>
      </c>
      <c r="B108" s="103" t="s">
        <v>74</v>
      </c>
      <c r="C108" s="92" t="s">
        <v>31</v>
      </c>
      <c r="D108" s="93" t="str">
        <f>VLOOKUP(B108,composicoes!$A:$K,2,0)</f>
        <v>MEIO-FIO EM TRECHO RETO, CONFECCIONADA EM CONCRETO PRÉ-FABRICADO, DIMENSÕES 100X15X13X30 CM , PARA VIAS URBANAS - EXECUÇÃO</v>
      </c>
      <c r="E108" s="94" t="str">
        <f>VLOOKUP(B108,composicoes!$A:$K,8,0)</f>
        <v>M</v>
      </c>
      <c r="F108" s="104">
        <f>F107</f>
        <v>239.93</v>
      </c>
      <c r="G108" s="96">
        <f>VLOOKUP(B108,composicoes!$A:$K,10,0)</f>
        <v>13.64</v>
      </c>
      <c r="H108" s="96">
        <f>VLOOKUP(B108,composicoes!$A:$K,11,0)</f>
        <v>1.65</v>
      </c>
      <c r="I108" s="97">
        <f t="shared" si="55"/>
        <v>15.290000000000001</v>
      </c>
      <c r="J108" s="98">
        <v>0.24229999999999999</v>
      </c>
      <c r="K108" s="99">
        <f t="shared" si="56"/>
        <v>18.990000000000002</v>
      </c>
      <c r="L108" s="100">
        <f t="shared" si="57"/>
        <v>4064.41</v>
      </c>
      <c r="M108" s="101">
        <f t="shared" si="58"/>
        <v>491.86000000000058</v>
      </c>
      <c r="N108" s="102">
        <f t="shared" si="59"/>
        <v>4556.2700000000004</v>
      </c>
    </row>
    <row r="109" spans="1:15" x14ac:dyDescent="0.3">
      <c r="A109" s="90" t="s">
        <v>92</v>
      </c>
      <c r="B109" s="103" t="s">
        <v>15436</v>
      </c>
      <c r="C109" s="92" t="s">
        <v>31</v>
      </c>
      <c r="D109" s="93" t="str">
        <f>VLOOKUP(B109,composicoes!$A:$K,2,0)</f>
        <v>IMPRIMAÇÃO ASFÁLTICA - FORNECIMENTO</v>
      </c>
      <c r="E109" s="94" t="str">
        <f>VLOOKUP(B109,composicoes!$A:$K,8,0)</f>
        <v>T</v>
      </c>
      <c r="F109" s="104">
        <f>TRUNC(F111*(1.2/1000),2)</f>
        <v>0.77</v>
      </c>
      <c r="G109" s="96">
        <f>VLOOKUP(B109,composicoes!$A:$K,10,0)</f>
        <v>0</v>
      </c>
      <c r="H109" s="96">
        <f>VLOOKUP(B109,composicoes!$A:$K,11,0)</f>
        <v>4086.76</v>
      </c>
      <c r="I109" s="97">
        <f t="shared" si="55"/>
        <v>4086.76</v>
      </c>
      <c r="J109" s="98">
        <v>0.24229999999999999</v>
      </c>
      <c r="K109" s="99">
        <f t="shared" si="56"/>
        <v>5076.9800000000005</v>
      </c>
      <c r="L109" s="100">
        <f t="shared" si="57"/>
        <v>0</v>
      </c>
      <c r="M109" s="101">
        <f t="shared" si="58"/>
        <v>3909.27</v>
      </c>
      <c r="N109" s="102">
        <f t="shared" si="59"/>
        <v>3909.27</v>
      </c>
    </row>
    <row r="110" spans="1:15" x14ac:dyDescent="0.3">
      <c r="A110" s="90" t="s">
        <v>93</v>
      </c>
      <c r="B110" s="110" t="s">
        <v>119</v>
      </c>
      <c r="C110" s="92" t="s">
        <v>31</v>
      </c>
      <c r="D110" s="93" t="str">
        <f>VLOOKUP(B110,composicoes!$A:$K,2,0)</f>
        <v>IMPRIMAÇÃO ASFALTICA - TRANSPORTE</v>
      </c>
      <c r="E110" s="94" t="str">
        <f>VLOOKUP(B110,composicoes!$A:$K,8,0)</f>
        <v>T</v>
      </c>
      <c r="F110" s="104">
        <f>TRUNC(F109,2)</f>
        <v>0.77</v>
      </c>
      <c r="G110" s="96">
        <f>VLOOKUP(B110,composicoes!$A:$K,10,0)</f>
        <v>0</v>
      </c>
      <c r="H110" s="96">
        <f>VLOOKUP(B110,composicoes!$A:$K,11,0)</f>
        <v>99.57</v>
      </c>
      <c r="I110" s="97">
        <f t="shared" si="55"/>
        <v>99.57</v>
      </c>
      <c r="J110" s="98">
        <v>0.24229999999999999</v>
      </c>
      <c r="K110" s="99">
        <f t="shared" si="56"/>
        <v>123.69999999999999</v>
      </c>
      <c r="L110" s="100">
        <f t="shared" si="57"/>
        <v>0</v>
      </c>
      <c r="M110" s="101">
        <f t="shared" si="58"/>
        <v>95.25</v>
      </c>
      <c r="N110" s="102">
        <f t="shared" si="59"/>
        <v>95.25</v>
      </c>
    </row>
    <row r="111" spans="1:15" x14ac:dyDescent="0.3">
      <c r="A111" s="90" t="s">
        <v>15702</v>
      </c>
      <c r="B111" s="103" t="s">
        <v>120</v>
      </c>
      <c r="C111" s="92" t="s">
        <v>31</v>
      </c>
      <c r="D111" s="93" t="str">
        <f>VLOOKUP(B111,composicoes!$A:$K,2,0)</f>
        <v>IMPRIMAÇÃO ASFÁLTICA - APLICAÇÃO</v>
      </c>
      <c r="E111" s="94" t="str">
        <f>VLOOKUP(B111,composicoes!$A:$K,8,0)</f>
        <v>M2</v>
      </c>
      <c r="F111" s="104">
        <f>quant_pavim!C9</f>
        <v>645.63</v>
      </c>
      <c r="G111" s="96">
        <f>VLOOKUP(B111,composicoes!$A:$K,10,0)</f>
        <v>0.52</v>
      </c>
      <c r="H111" s="96">
        <f>VLOOKUP(B111,composicoes!$A:$K,11,0)</f>
        <v>0.78</v>
      </c>
      <c r="I111" s="97">
        <f t="shared" si="55"/>
        <v>1.3</v>
      </c>
      <c r="J111" s="98">
        <v>0.24229999999999999</v>
      </c>
      <c r="K111" s="99">
        <f t="shared" si="56"/>
        <v>1.61</v>
      </c>
      <c r="L111" s="100">
        <f t="shared" si="57"/>
        <v>413.2</v>
      </c>
      <c r="M111" s="101">
        <f t="shared" si="58"/>
        <v>626.26</v>
      </c>
      <c r="N111" s="102">
        <f t="shared" si="59"/>
        <v>1039.46</v>
      </c>
    </row>
    <row r="112" spans="1:15" s="62" customFormat="1" ht="27.6" x14ac:dyDescent="0.3">
      <c r="A112" s="90" t="s">
        <v>15703</v>
      </c>
      <c r="B112" s="103" t="s">
        <v>110</v>
      </c>
      <c r="C112" s="92" t="s">
        <v>31</v>
      </c>
      <c r="D112" s="93" t="str">
        <f>VLOOKUP(B112,composicoes!$A:$K,2,0)</f>
        <v>USINAGEM CBUQ, INCLUSO FORNECIMENTO DE CONCRETO ASFALTICO (EXCETO CAP) E TRANSPORTE DA JAZIDA ATE PAVIMENTADORA, EXCLUSIVE TRANSPORTE ATE OBRA</v>
      </c>
      <c r="E112" s="94" t="str">
        <f>VLOOKUP(B112,composicoes!$A:$K,8,0)</f>
        <v>T</v>
      </c>
      <c r="F112" s="646">
        <f>TRUNC(F114*2.4*(1-0.0566),2)</f>
        <v>73.08</v>
      </c>
      <c r="G112" s="96">
        <f>VLOOKUP(B112,composicoes!$A:$K,10,0)</f>
        <v>4.4800000000000004</v>
      </c>
      <c r="H112" s="96">
        <f>VLOOKUP(B112,composicoes!$A:$K,11,0)</f>
        <v>242.83</v>
      </c>
      <c r="I112" s="97">
        <f t="shared" si="55"/>
        <v>247.31</v>
      </c>
      <c r="J112" s="98">
        <v>0.24229999999999999</v>
      </c>
      <c r="K112" s="99">
        <f t="shared" si="56"/>
        <v>307.23</v>
      </c>
      <c r="L112" s="100">
        <f t="shared" si="57"/>
        <v>406.32</v>
      </c>
      <c r="M112" s="101">
        <f t="shared" si="58"/>
        <v>22046.05</v>
      </c>
      <c r="N112" s="102">
        <f t="shared" si="59"/>
        <v>22452.37</v>
      </c>
      <c r="O112"/>
    </row>
    <row r="113" spans="1:15" s="62" customFormat="1" ht="27.6" x14ac:dyDescent="0.3">
      <c r="A113" s="90" t="s">
        <v>15747</v>
      </c>
      <c r="B113" s="103" t="s">
        <v>15424</v>
      </c>
      <c r="C113" s="92" t="s">
        <v>31</v>
      </c>
      <c r="D113" s="93" t="str">
        <f>VLOOKUP(B113,composicoes!$A:$K,2,0)</f>
        <v>FORNECIMENTO DE CAP PARA PAVIMENTO DE CONCRETO ASFÁLTICO, INCLUSIVE TRANSPORTE ATE PAVIMENTADORA</v>
      </c>
      <c r="E113" s="94" t="str">
        <f>VLOOKUP(B113,composicoes!$A:$K,8,0)</f>
        <v>T</v>
      </c>
      <c r="F113" s="646">
        <f>TRUNC(F114*2.4*0.0566,2)</f>
        <v>4.38</v>
      </c>
      <c r="G113" s="96">
        <f>VLOOKUP(B113,composicoes!$A:$K,10,0)</f>
        <v>0</v>
      </c>
      <c r="H113" s="96">
        <f>VLOOKUP(B113,composicoes!$A:$K,11,0)</f>
        <v>5984.8</v>
      </c>
      <c r="I113" s="97">
        <f t="shared" si="55"/>
        <v>5984.8</v>
      </c>
      <c r="J113" s="98">
        <v>0.24229999999999999</v>
      </c>
      <c r="K113" s="99">
        <f t="shared" si="56"/>
        <v>7434.92</v>
      </c>
      <c r="L113" s="100">
        <f t="shared" si="57"/>
        <v>0</v>
      </c>
      <c r="M113" s="101">
        <f t="shared" si="58"/>
        <v>32564.95</v>
      </c>
      <c r="N113" s="102">
        <f t="shared" si="59"/>
        <v>32564.95</v>
      </c>
      <c r="O113"/>
    </row>
    <row r="114" spans="1:15" s="62" customFormat="1" ht="27.6" x14ac:dyDescent="0.3">
      <c r="A114" s="90" t="s">
        <v>15748</v>
      </c>
      <c r="B114" s="103" t="s">
        <v>15425</v>
      </c>
      <c r="C114" s="92" t="s">
        <v>31</v>
      </c>
      <c r="D114" s="93" t="str">
        <f>VLOOKUP(B114,composicoes!$A:$K,2,0)</f>
        <v>EXECUÇÃO DE PAVIMENTO COM APLICAÇÃO DE CONCRETO ASFÁLTICO, CAMADA DE ROLAMENTO, EXCLUSIVE CARGA E TRANSPORTE</v>
      </c>
      <c r="E114" s="94" t="str">
        <f>VLOOKUP(B114,composicoes!$A:$K,8,0)</f>
        <v>M3</v>
      </c>
      <c r="F114" s="646">
        <f>quant_pavim!D9</f>
        <v>32.28</v>
      </c>
      <c r="G114" s="96">
        <f>VLOOKUP(B114,composicoes!$A:$K,10,0)</f>
        <v>49.55</v>
      </c>
      <c r="H114" s="96">
        <f>VLOOKUP(B114,composicoes!$A:$K,11,0)</f>
        <v>81.73</v>
      </c>
      <c r="I114" s="97">
        <f>G114+H114</f>
        <v>131.28</v>
      </c>
      <c r="J114" s="98">
        <v>0.24229999999999999</v>
      </c>
      <c r="K114" s="99">
        <f>I114+ROUND(I114*J114,2)</f>
        <v>163.09</v>
      </c>
      <c r="L114" s="100">
        <f>TRUNC(TRUNC(G114*(1+J114),2)*F114,2)</f>
        <v>1986.83</v>
      </c>
      <c r="M114" s="101">
        <f>N114-L114</f>
        <v>3277.7200000000003</v>
      </c>
      <c r="N114" s="102">
        <f>ROUND(F114*K114,2)</f>
        <v>5264.55</v>
      </c>
      <c r="O114"/>
    </row>
    <row r="115" spans="1:15" ht="27.6" x14ac:dyDescent="0.3">
      <c r="A115" s="90" t="s">
        <v>15749</v>
      </c>
      <c r="B115" s="103" t="s">
        <v>86</v>
      </c>
      <c r="C115" s="92" t="s">
        <v>31</v>
      </c>
      <c r="D115" s="93" t="str">
        <f>VLOOKUP(B115,composicoes!$A:$K,2,0)</f>
        <v>CARGA, MANOBRA E DESCARGA DE PRÉ-MOLDADOS DE CONCRETO, EM CAMINHÃO CARROCERIA COM GUINDAUTO (MUNCK) 11,7 TM</v>
      </c>
      <c r="E115" s="94" t="str">
        <f>VLOOKUP(B115,composicoes!$A:$K,8,0)</f>
        <v>T</v>
      </c>
      <c r="F115" s="104">
        <f>TRUNC((F107*0.3*0.14)*empolamentos!B9,2)</f>
        <v>24.18</v>
      </c>
      <c r="G115" s="96">
        <f>VLOOKUP(B115,composicoes!$A:$K,10,0)</f>
        <v>14.91</v>
      </c>
      <c r="H115" s="96">
        <f>VLOOKUP(B115,composicoes!$A:$K,11,0)</f>
        <v>35.369999999999997</v>
      </c>
      <c r="I115" s="97">
        <f t="shared" si="55"/>
        <v>50.28</v>
      </c>
      <c r="J115" s="98">
        <v>0.24229999999999999</v>
      </c>
      <c r="K115" s="99">
        <f t="shared" si="56"/>
        <v>62.46</v>
      </c>
      <c r="L115" s="100">
        <f t="shared" si="57"/>
        <v>447.81</v>
      </c>
      <c r="M115" s="101">
        <f t="shared" si="58"/>
        <v>1062.47</v>
      </c>
      <c r="N115" s="102">
        <f t="shared" si="59"/>
        <v>1510.28</v>
      </c>
    </row>
    <row r="116" spans="1:15" ht="41.4" x14ac:dyDescent="0.3">
      <c r="A116" s="90" t="s">
        <v>15750</v>
      </c>
      <c r="B116" s="103">
        <v>100978</v>
      </c>
      <c r="C116" s="111" t="s">
        <v>53</v>
      </c>
      <c r="D116" s="93" t="str">
        <f>IF(C116="SINAPI",IFERROR(VLOOKUP(B116,'SINAPI-comp'!$B:$H,2,0),VLOOKUP(B116,'SINAPI-insumo'!$B:$H,2,0)))</f>
        <v>CARGA, MANOBRA E DESCARGA DE SOLOS E MATERIAIS GRANULARES EM CAMINHÃO BASCULANTE 10 M³ - CARGA COM ESCAVADEIRA HIDRÁULICA (CAÇAMBA DE 1,20 M³ / 155 HP) E DESCARGA LIVRE (UNIDADE: M3). AF_02/2026</v>
      </c>
      <c r="E116" s="94" t="str">
        <f>IF(C116="SINAPI",IFERROR(VLOOKUP(B116,'SINAPI-comp'!$B:$H,3,0),VLOOKUP(B116,'SINAPI-insumo'!$B:$H,3,0)))</f>
        <v>M3</v>
      </c>
      <c r="F116" s="104">
        <f>TRUNC(F105*(1+empolamentos!B8)+F106*(1+empolamentos!B4)+F114*(1+empolamentos!B10),2)</f>
        <v>376</v>
      </c>
      <c r="G116" s="96">
        <f>IFERROR(VLOOKUP(B116,'SINAPI-comp'!$B:$H,4,0)-H116,0)</f>
        <v>1.1799999999999997</v>
      </c>
      <c r="H116" s="96">
        <f>IF(C116="SINAPI",IFERROR(VLOOKUP(B116,'SINAPI-comp'!$B:$H,7,0),VLOOKUP(B116,'SINAPI-insumo'!$B:$H,7,0)))</f>
        <v>6.24</v>
      </c>
      <c r="I116" s="97">
        <f t="shared" si="55"/>
        <v>7.42</v>
      </c>
      <c r="J116" s="98">
        <v>0.24229999999999999</v>
      </c>
      <c r="K116" s="99">
        <f t="shared" si="56"/>
        <v>9.2200000000000006</v>
      </c>
      <c r="L116" s="100">
        <f t="shared" si="57"/>
        <v>548.96</v>
      </c>
      <c r="M116" s="101">
        <f t="shared" si="58"/>
        <v>2917.7599999999998</v>
      </c>
      <c r="N116" s="102">
        <f t="shared" si="59"/>
        <v>3466.72</v>
      </c>
    </row>
    <row r="117" spans="1:15" s="62" customFormat="1" ht="41.4" x14ac:dyDescent="0.3">
      <c r="A117" s="90" t="s">
        <v>15751</v>
      </c>
      <c r="B117" s="103">
        <v>100952</v>
      </c>
      <c r="C117" s="111" t="s">
        <v>53</v>
      </c>
      <c r="D117" s="93" t="str">
        <f>IF(C117="SINAPI",IFERROR(VLOOKUP(B117,'SINAPI-comp'!$B:$H,2,0),VLOOKUP(B117,'SINAPI-insumo'!$B:$H,2,0)))</f>
        <v>TRANSPORTE COM CAMINHÃO CARROCERIA COM GUINDAUTO (MUNCK), MOMENTO MÁXIMO DE CARGA 11,7 TM, EM VIA URBANA PAVIMENTADA, DMT ATÉ 30KM (UNIDADE: TXKM). AF_02/2026</v>
      </c>
      <c r="E117" s="94" t="str">
        <f>IF(C117="SINAPI",IFERROR(VLOOKUP(B117,'SINAPI-comp'!$B:$H,3,0),VLOOKUP(B117,'SINAPI-insumo'!$B:$H,3,0)))</f>
        <v>TXKM</v>
      </c>
      <c r="F117" s="104">
        <f>TRUNC(F115*DMT!C55,2)</f>
        <v>389.29</v>
      </c>
      <c r="G117" s="96">
        <f>IFERROR(VLOOKUP(B117,'SINAPI-comp'!$B:$H,4,0)-H117,0)</f>
        <v>0.43999999999999995</v>
      </c>
      <c r="H117" s="96">
        <f>IF(C117="SINAPI",IFERROR(VLOOKUP(B117,'SINAPI-comp'!$B:$H,7,0),VLOOKUP(B117,'SINAPI-insumo'!$B:$H,7,0)))</f>
        <v>2.75</v>
      </c>
      <c r="I117" s="97">
        <f t="shared" si="55"/>
        <v>3.19</v>
      </c>
      <c r="J117" s="98">
        <v>0.24229999999999999</v>
      </c>
      <c r="K117" s="99">
        <f t="shared" si="56"/>
        <v>3.96</v>
      </c>
      <c r="L117" s="100">
        <f t="shared" si="57"/>
        <v>210.21</v>
      </c>
      <c r="M117" s="101">
        <f t="shared" si="58"/>
        <v>1331.3799999999999</v>
      </c>
      <c r="N117" s="102">
        <f t="shared" si="59"/>
        <v>1541.59</v>
      </c>
      <c r="O117"/>
    </row>
    <row r="118" spans="1:15" ht="27.6" x14ac:dyDescent="0.3">
      <c r="A118" s="90" t="s">
        <v>15752</v>
      </c>
      <c r="B118" s="112">
        <v>95875</v>
      </c>
      <c r="C118" s="111" t="s">
        <v>53</v>
      </c>
      <c r="D118" s="93" t="str">
        <f>IF(C118="SINAPI",IFERROR(VLOOKUP(B118,'SINAPI-comp'!$B:$H,2,0),VLOOKUP(B118,'SINAPI-insumo'!$B:$H,2,0)))</f>
        <v>TRANSPORTE COM CAMINHÃO BASCULANTE DE 10 M³, EM VIA URBANA PAVIMENTADA, DMT ATÉ 30 KM (UNIDADE: M3XKM). AF_02/2026</v>
      </c>
      <c r="E118" s="94" t="str">
        <f>IF(C118="SINAPI",IFERROR(VLOOKUP(B118,'SINAPI-comp'!$B:$H,3,0),VLOOKUP(B118,'SINAPI-insumo'!$B:$H,3,0)))</f>
        <v>M3XKM</v>
      </c>
      <c r="F118" s="104">
        <f>TRUNC(F105*DMT!C62+F106*DMT!C62+F114*DMT!C47,2)</f>
        <v>2068.04</v>
      </c>
      <c r="G118" s="96">
        <f>IFERROR(VLOOKUP(B118,'SINAPI-comp'!$B:$H,4,0)-H118,0)</f>
        <v>0.33999999999999986</v>
      </c>
      <c r="H118" s="96">
        <f>IF(C118="SINAPI",IFERROR(VLOOKUP(B118,'SINAPI-comp'!$B:$H,7,0),VLOOKUP(B118,'SINAPI-insumo'!$B:$H,7,0)))</f>
        <v>2.4900000000000002</v>
      </c>
      <c r="I118" s="97">
        <f t="shared" si="55"/>
        <v>2.83</v>
      </c>
      <c r="J118" s="98">
        <v>0.24229999999999999</v>
      </c>
      <c r="K118" s="99">
        <f t="shared" si="56"/>
        <v>3.52</v>
      </c>
      <c r="L118" s="100">
        <f t="shared" si="57"/>
        <v>868.57</v>
      </c>
      <c r="M118" s="101">
        <f t="shared" si="58"/>
        <v>6410.93</v>
      </c>
      <c r="N118" s="102">
        <f t="shared" si="59"/>
        <v>7279.5</v>
      </c>
      <c r="O118" s="62"/>
    </row>
    <row r="119" spans="1:15" s="62" customFormat="1" ht="13.8" x14ac:dyDescent="0.25">
      <c r="A119" s="82">
        <v>10</v>
      </c>
      <c r="B119" s="83"/>
      <c r="C119" s="84"/>
      <c r="D119" s="85" t="s">
        <v>15701</v>
      </c>
      <c r="E119" s="86"/>
      <c r="F119" s="87"/>
      <c r="G119" s="87"/>
      <c r="H119" s="87"/>
      <c r="I119" s="87"/>
      <c r="J119" s="88"/>
      <c r="K119" s="88"/>
      <c r="L119" s="87"/>
      <c r="M119" s="87"/>
      <c r="N119" s="89"/>
    </row>
    <row r="120" spans="1:15" ht="27.6" x14ac:dyDescent="0.3">
      <c r="A120" s="90" t="s">
        <v>96</v>
      </c>
      <c r="B120" s="103">
        <v>100576</v>
      </c>
      <c r="C120" s="111" t="s">
        <v>53</v>
      </c>
      <c r="D120" s="93" t="str">
        <f>IF(C120="SINAPI",IFERROR(VLOOKUP(B120,'SINAPI-comp'!$B:$H,2,0),VLOOKUP(B120,'SINAPI-insumo'!$B:$H,2,0)))</f>
        <v>REGULARIZAÇÃO E COMPACTAÇÃO DE SUBLEITO DE SOLO PREDOMINANTEMENTE ARGILOSO, PARA OBRAS DE CONSTRUÇÃO DE PAVIMENTOS. AF_09/2024</v>
      </c>
      <c r="E120" s="94" t="str">
        <f>IF(C120="SINAPI",IFERROR(VLOOKUP(B120,'SINAPI-comp'!$B:$H,3,0),VLOOKUP(B120,'SINAPI-insumo'!$B:$H,3,0)))</f>
        <v>M2</v>
      </c>
      <c r="F120" s="104">
        <f>quant_pavim!C16+quant_pavim!C20*0.4</f>
        <v>427.66999999999996</v>
      </c>
      <c r="G120" s="96">
        <f>IFERROR(VLOOKUP(B120,'SINAPI-comp'!$B:$H,4,0)-H120,0)</f>
        <v>1.1099999999999999</v>
      </c>
      <c r="H120" s="96">
        <f>IF(C120="SINAPI",IFERROR(VLOOKUP(B120,'SINAPI-comp'!$B:$H,7,0),VLOOKUP(B120,'SINAPI-insumo'!$B:$H,7,0)))</f>
        <v>1.92</v>
      </c>
      <c r="I120" s="97">
        <f>G120+H120</f>
        <v>3.03</v>
      </c>
      <c r="J120" s="98">
        <v>0.24229999999999999</v>
      </c>
      <c r="K120" s="99">
        <f>I120+ROUND(I120*J120,2)</f>
        <v>3.76</v>
      </c>
      <c r="L120" s="100">
        <f>TRUNC(TRUNC(G120*(1+J120),2)*F120,2)</f>
        <v>585.9</v>
      </c>
      <c r="M120" s="101">
        <f>N120-L120</f>
        <v>1022.14</v>
      </c>
      <c r="N120" s="102">
        <f>ROUND(F120*K120,2)</f>
        <v>1608.04</v>
      </c>
      <c r="O120" s="62"/>
    </row>
    <row r="121" spans="1:15" ht="27.6" x14ac:dyDescent="0.3">
      <c r="A121" s="90" t="s">
        <v>97</v>
      </c>
      <c r="B121" s="103">
        <v>96624</v>
      </c>
      <c r="C121" s="111" t="s">
        <v>53</v>
      </c>
      <c r="D121" s="93" t="str">
        <f>IF(C121="SINAPI",IFERROR(VLOOKUP(B121,'SINAPI-comp'!$B:$H,2,0),VLOOKUP(B121,'SINAPI-insumo'!$B:$H,2,0)))</f>
        <v>LASTRO COM MATERIAL GRANULAR (PEDRA BRITADA N.2), APLICADO EM PISOS OU LAJES SOBRE SOLO, ESPESSURA DE *10 CM*. AF_01/2024</v>
      </c>
      <c r="E121" s="94" t="str">
        <f>IF(C121="SINAPI",IFERROR(VLOOKUP(B121,'SINAPI-comp'!$B:$H,3,0),VLOOKUP(B121,'SINAPI-insumo'!$B:$H,3,0)))</f>
        <v>M3</v>
      </c>
      <c r="F121" s="104">
        <f>TRUNC((quant_pavim!C16+quant_pavim!C20)*0.05,2)</f>
        <v>26.66</v>
      </c>
      <c r="G121" s="96">
        <f>IFERROR(VLOOKUP(B121,'SINAPI-comp'!$B:$H,4,0)-H121,0)</f>
        <v>65.480000000000018</v>
      </c>
      <c r="H121" s="96">
        <f>IF(C121="SINAPI",IFERROR(VLOOKUP(B121,'SINAPI-comp'!$B:$H,7,0),VLOOKUP(B121,'SINAPI-insumo'!$B:$H,7,0)))</f>
        <v>122.57</v>
      </c>
      <c r="I121" s="97">
        <f>G121+H121</f>
        <v>188.05</v>
      </c>
      <c r="J121" s="98">
        <v>0.24229999999999999</v>
      </c>
      <c r="K121" s="99">
        <f>I121+ROUND(I121*J121,2)</f>
        <v>233.61</v>
      </c>
      <c r="L121" s="100">
        <f>TRUNC(TRUNC(G121*(1+J121),2)*F121,2)</f>
        <v>2168.52</v>
      </c>
      <c r="M121" s="101">
        <f>N121-L121</f>
        <v>4059.52</v>
      </c>
      <c r="N121" s="102">
        <f>ROUND(F121*K121,2)</f>
        <v>6228.04</v>
      </c>
      <c r="O121" s="62"/>
    </row>
    <row r="122" spans="1:15" ht="27.6" x14ac:dyDescent="0.3">
      <c r="A122" s="90" t="s">
        <v>98</v>
      </c>
      <c r="B122" s="103">
        <v>94991</v>
      </c>
      <c r="C122" s="111" t="s">
        <v>53</v>
      </c>
      <c r="D122" s="93" t="str">
        <f>IF(C122="SINAPI",IFERROR(VLOOKUP(B122,'SINAPI-comp'!$B:$H,2,0),VLOOKUP(B122,'SINAPI-insumo'!$B:$H,2,0)))</f>
        <v>EXECUÇÃO DE PASSEIO (CALÇADA) OU PISO DE CONCRETO COM CONCRETO MOLDADO IN LOCO, USINADO C20, ACABAMENTO CONVENCIONAL, NÃO ARMADO. AF_08/2022</v>
      </c>
      <c r="E122" s="94" t="str">
        <f>IF(C122="SINAPI",IFERROR(VLOOKUP(B122,'SINAPI-comp'!$B:$H,3,0),VLOOKUP(B122,'SINAPI-insumo'!$B:$H,3,0)))</f>
        <v>M3</v>
      </c>
      <c r="F122" s="104">
        <f>TRUNC(quant_pavim!C17*0.06+quant_pavim!C18*0.12,2)</f>
        <v>29.81</v>
      </c>
      <c r="G122" s="96">
        <f>IFERROR(VLOOKUP(B122,'SINAPI-comp'!$B:$H,4,0)-H122,0)</f>
        <v>100.44000000000005</v>
      </c>
      <c r="H122" s="96">
        <f>IF(C122="SINAPI",IFERROR(VLOOKUP(B122,'SINAPI-comp'!$B:$H,7,0),VLOOKUP(B122,'SINAPI-insumo'!$B:$H,7,0)))</f>
        <v>797.9</v>
      </c>
      <c r="I122" s="97">
        <f>G122+H122</f>
        <v>898.34</v>
      </c>
      <c r="J122" s="98">
        <v>0.24229999999999999</v>
      </c>
      <c r="K122" s="99">
        <f>I122+ROUND(I122*J122,2)</f>
        <v>1116.01</v>
      </c>
      <c r="L122" s="100">
        <f>TRUNC(TRUNC(G122*(1+J122),2)*F122,2)</f>
        <v>3719.39</v>
      </c>
      <c r="M122" s="101">
        <f>N122-L122</f>
        <v>29548.870000000003</v>
      </c>
      <c r="N122" s="102">
        <f>ROUND(F122*K122,2)</f>
        <v>33268.26</v>
      </c>
    </row>
    <row r="123" spans="1:15" ht="27.6" x14ac:dyDescent="0.3">
      <c r="A123" s="90" t="s">
        <v>99</v>
      </c>
      <c r="B123" s="103">
        <v>97088</v>
      </c>
      <c r="C123" s="111" t="s">
        <v>53</v>
      </c>
      <c r="D123" s="93" t="str">
        <f>IF(C123="SINAPI",IFERROR(VLOOKUP(B123,'SINAPI-comp'!$B:$H,2,0),VLOOKUP(B123,'SINAPI-insumo'!$B:$H,2,0)))</f>
        <v>ARMAÇÃO PARA EXECUÇÃO DE RADIER, PISO DE CONCRETO OU LAJE SOBRE SOLO, COM USO DE TELA Q-92. AF_07/2026</v>
      </c>
      <c r="E123" s="94" t="str">
        <f>IF(C123="SINAPI",IFERROR(VLOOKUP(B123,'SINAPI-comp'!$B:$H,3,0),VLOOKUP(B123,'SINAPI-insumo'!$B:$H,3,0)))</f>
        <v>KG</v>
      </c>
      <c r="F123" s="104">
        <f>TRUNC(quant_pavim!C18*1.48,2)</f>
        <v>206.63</v>
      </c>
      <c r="G123" s="96">
        <f>IFERROR(VLOOKUP(B123,'SINAPI-comp'!$B:$H,4,0)-H123,0)</f>
        <v>1.9299999999999997</v>
      </c>
      <c r="H123" s="96">
        <f>IF(C123="SINAPI",IFERROR(VLOOKUP(B123,'SINAPI-comp'!$B:$H,7,0),VLOOKUP(B123,'SINAPI-insumo'!$B:$H,7,0)))</f>
        <v>15.25</v>
      </c>
      <c r="I123" s="97">
        <f t="shared" ref="I123" si="60">G123+H123</f>
        <v>17.18</v>
      </c>
      <c r="J123" s="98">
        <v>0.24229999999999999</v>
      </c>
      <c r="K123" s="99">
        <f t="shared" ref="K123" si="61">I123+ROUND(I123*J123,2)</f>
        <v>21.34</v>
      </c>
      <c r="L123" s="100">
        <f t="shared" ref="L123" si="62">TRUNC(TRUNC(G123*(1+J123),2)*F123,2)</f>
        <v>493.84</v>
      </c>
      <c r="M123" s="101">
        <f t="shared" ref="M123" si="63">N123-L123</f>
        <v>3915.6399999999994</v>
      </c>
      <c r="N123" s="102">
        <f t="shared" ref="N123" si="64">ROUND(F123*K123,2)</f>
        <v>4409.4799999999996</v>
      </c>
    </row>
    <row r="124" spans="1:15" s="62" customFormat="1" ht="27.6" x14ac:dyDescent="0.3">
      <c r="A124" s="90" t="s">
        <v>100</v>
      </c>
      <c r="B124" s="103">
        <v>104658</v>
      </c>
      <c r="C124" s="111" t="s">
        <v>53</v>
      </c>
      <c r="D124" s="93" t="str">
        <f>IF(C124="SINAPI",IFERROR(VLOOKUP(B124,'SINAPI-comp'!$B:$H,2,0),VLOOKUP(B124,'SINAPI-insumo'!$B:$H,2,0)))</f>
        <v>PISO PODOTÁTIL DE ALERTA OU DIRECIONAL, DE CONCRETO, ASSENTADO SOBRE ARGAMASSA. AF_03/2024</v>
      </c>
      <c r="E124" s="94" t="str">
        <f>IF(C124="SINAPI",IFERROR(VLOOKUP(B124,'SINAPI-comp'!$B:$H,3,0),VLOOKUP(B124,'SINAPI-insumo'!$B:$H,3,0)))</f>
        <v>M2</v>
      </c>
      <c r="F124" s="104">
        <f>quant_pavim!C20*0.4</f>
        <v>70.400000000000006</v>
      </c>
      <c r="G124" s="96">
        <f>IFERROR(VLOOKUP(B124,'SINAPI-comp'!$B:$H,4,0)-H124,0)</f>
        <v>52.88000000000001</v>
      </c>
      <c r="H124" s="96">
        <f>IF(C124="SINAPI",IFERROR(VLOOKUP(B124,'SINAPI-comp'!$B:$H,7,0),VLOOKUP(B124,'SINAPI-insumo'!$B:$H,7,0)))</f>
        <v>102.73</v>
      </c>
      <c r="I124" s="97">
        <f t="shared" ref="I124" si="65">G124+H124</f>
        <v>155.61000000000001</v>
      </c>
      <c r="J124" s="98">
        <v>0.24229999999999999</v>
      </c>
      <c r="K124" s="99">
        <f t="shared" ref="K124" si="66">I124+ROUND(I124*J124,2)</f>
        <v>193.31</v>
      </c>
      <c r="L124" s="100">
        <f t="shared" ref="L124" si="67">TRUNC(TRUNC(G124*(1+J124),2)*F124,2)</f>
        <v>4624.57</v>
      </c>
      <c r="M124" s="101">
        <f t="shared" ref="M124" si="68">N124-L124</f>
        <v>8984.4500000000007</v>
      </c>
      <c r="N124" s="102">
        <f t="shared" ref="N124" si="69">ROUND(F124*K124,2)</f>
        <v>13609.02</v>
      </c>
      <c r="O124"/>
    </row>
    <row r="125" spans="1:15" x14ac:dyDescent="0.3">
      <c r="A125" s="90" t="s">
        <v>101</v>
      </c>
      <c r="B125" s="103">
        <v>105521</v>
      </c>
      <c r="C125" s="111" t="s">
        <v>53</v>
      </c>
      <c r="D125" s="93" t="str">
        <f>IF(C125="SINAPI",IFERROR(VLOOKUP(B125,'SINAPI-comp'!$B:$H,2,0),VLOOKUP(B125,'SINAPI-insumo'!$B:$H,2,0)))</f>
        <v>ESPALHAMENTO DE TERRA VEGETAL PARA O PLANTIO. AF_07/2024</v>
      </c>
      <c r="E125" s="94" t="str">
        <f>IF(C125="SINAPI",IFERROR(VLOOKUP(B125,'SINAPI-comp'!$B:$H,3,0),VLOOKUP(B125,'SINAPI-insumo'!$B:$H,3,0)))</f>
        <v>M2</v>
      </c>
      <c r="F125" s="104">
        <f>F126</f>
        <v>120.23</v>
      </c>
      <c r="G125" s="96">
        <f>IFERROR(VLOOKUP(B125,'SINAPI-comp'!$B:$H,4,0)-H125,0)</f>
        <v>1.71</v>
      </c>
      <c r="H125" s="96">
        <f>IF(C125="SINAPI",IFERROR(VLOOKUP(B125,'SINAPI-comp'!$B:$H,7,0),VLOOKUP(B125,'SINAPI-insumo'!$B:$H,7,0)))</f>
        <v>2.58</v>
      </c>
      <c r="I125" s="97">
        <f>G125+H125</f>
        <v>4.29</v>
      </c>
      <c r="J125" s="98">
        <v>0.24229999999999999</v>
      </c>
      <c r="K125" s="99">
        <f>I125+ROUND(I125*J125,2)</f>
        <v>5.33</v>
      </c>
      <c r="L125" s="100">
        <f>TRUNC(TRUNC(G125*(1+J125),2)*F125,2)</f>
        <v>254.88</v>
      </c>
      <c r="M125" s="101">
        <f>N125-L125</f>
        <v>385.95000000000005</v>
      </c>
      <c r="N125" s="102">
        <f>ROUND(F125*K125,2)</f>
        <v>640.83000000000004</v>
      </c>
    </row>
    <row r="126" spans="1:15" x14ac:dyDescent="0.3">
      <c r="A126" s="90" t="s">
        <v>15753</v>
      </c>
      <c r="B126" s="103">
        <v>98504</v>
      </c>
      <c r="C126" s="111" t="s">
        <v>53</v>
      </c>
      <c r="D126" s="93" t="str">
        <f>IF(C126="SINAPI",IFERROR(VLOOKUP(B126,'SINAPI-comp'!$B:$H,2,0),VLOOKUP(B126,'SINAPI-insumo'!$B:$H,2,0)))</f>
        <v>PLANTIO DE GRAMA BATATAIS EM PLACAS. AF_07/2024</v>
      </c>
      <c r="E126" s="94" t="str">
        <f>IF(C126="SINAPI",IFERROR(VLOOKUP(B126,'SINAPI-comp'!$B:$H,3,0),VLOOKUP(B126,'SINAPI-insumo'!$B:$H,3,0)))</f>
        <v>M2</v>
      </c>
      <c r="F126" s="104">
        <f>quant_pavim!C28</f>
        <v>120.23</v>
      </c>
      <c r="G126" s="96">
        <f>IFERROR(VLOOKUP(B126,'SINAPI-comp'!$B:$H,4,0)-H126,0)</f>
        <v>4.3100000000000023</v>
      </c>
      <c r="H126" s="96">
        <f>IF(C126="SINAPI",IFERROR(VLOOKUP(B126,'SINAPI-comp'!$B:$H,7,0),VLOOKUP(B126,'SINAPI-insumo'!$B:$H,7,0)))</f>
        <v>19.239999999999998</v>
      </c>
      <c r="I126" s="97">
        <f>G126+H126</f>
        <v>23.55</v>
      </c>
      <c r="J126" s="98">
        <v>0.24229999999999999</v>
      </c>
      <c r="K126" s="99">
        <f>I126+ROUND(I126*J126,2)</f>
        <v>29.26</v>
      </c>
      <c r="L126" s="100">
        <f>TRUNC(TRUNC(G126*(1+J126),2)*F126,2)</f>
        <v>643.23</v>
      </c>
      <c r="M126" s="101">
        <f>N126-L126</f>
        <v>2874.7</v>
      </c>
      <c r="N126" s="102">
        <f>ROUND(F126*K126,2)</f>
        <v>3517.93</v>
      </c>
    </row>
    <row r="127" spans="1:15" ht="41.4" x14ac:dyDescent="0.3">
      <c r="A127" s="90" t="s">
        <v>15754</v>
      </c>
      <c r="B127" s="103">
        <v>100978</v>
      </c>
      <c r="C127" s="111" t="s">
        <v>53</v>
      </c>
      <c r="D127" s="93" t="str">
        <f>IF(C127="SINAPI",IFERROR(VLOOKUP(B127,'SINAPI-comp'!$B:$H,2,0),VLOOKUP(B127,'SINAPI-insumo'!$B:$H,2,0)))</f>
        <v>CARGA, MANOBRA E DESCARGA DE SOLOS E MATERIAIS GRANULARES EM CAMINHÃO BASCULANTE 10 M³ - CARGA COM ESCAVADEIRA HIDRÁULICA (CAÇAMBA DE 1,20 M³ / 155 HP) E DESCARGA LIVRE (UNIDADE: M3). AF_02/2026</v>
      </c>
      <c r="E127" s="94" t="str">
        <f>IF(C127="SINAPI",IFERROR(VLOOKUP(B127,'SINAPI-comp'!$B:$H,3,0),VLOOKUP(B127,'SINAPI-insumo'!$B:$H,3,0)))</f>
        <v>M3</v>
      </c>
      <c r="F127" s="104">
        <f>TRUNC(F121*(1+empolamentos!B7),2)</f>
        <v>29.32</v>
      </c>
      <c r="G127" s="96">
        <f>IFERROR(VLOOKUP(B127,'SINAPI-comp'!$B:$H,4,0)-H127,0)</f>
        <v>1.1799999999999997</v>
      </c>
      <c r="H127" s="96">
        <f>IF(C127="SINAPI",IFERROR(VLOOKUP(B127,'SINAPI-comp'!$B:$H,7,0),VLOOKUP(B127,'SINAPI-insumo'!$B:$H,7,0)))</f>
        <v>6.24</v>
      </c>
      <c r="I127" s="97">
        <f t="shared" ref="I127:I128" si="70">G127+H127</f>
        <v>7.42</v>
      </c>
      <c r="J127" s="98">
        <v>0.24229999999999999</v>
      </c>
      <c r="K127" s="99">
        <f t="shared" ref="K127:K128" si="71">I127+ROUND(I127*J127,2)</f>
        <v>9.2200000000000006</v>
      </c>
      <c r="L127" s="100">
        <f t="shared" ref="L127:L128" si="72">TRUNC(TRUNC(G127*(1+J127),2)*F127,2)</f>
        <v>42.8</v>
      </c>
      <c r="M127" s="101">
        <f t="shared" ref="M127:M128" si="73">N127-L127</f>
        <v>227.52999999999997</v>
      </c>
      <c r="N127" s="102">
        <f t="shared" ref="N127:N128" si="74">ROUND(F127*K127,2)</f>
        <v>270.33</v>
      </c>
    </row>
    <row r="128" spans="1:15" ht="27.6" x14ac:dyDescent="0.3">
      <c r="A128" s="90" t="s">
        <v>15755</v>
      </c>
      <c r="B128" s="112">
        <v>95875</v>
      </c>
      <c r="C128" s="111" t="s">
        <v>53</v>
      </c>
      <c r="D128" s="93" t="str">
        <f>IF(C128="SINAPI",IFERROR(VLOOKUP(B128,'SINAPI-comp'!$B:$H,2,0),VLOOKUP(B128,'SINAPI-insumo'!$B:$H,2,0)))</f>
        <v>TRANSPORTE COM CAMINHÃO BASCULANTE DE 10 M³, EM VIA URBANA PAVIMENTADA, DMT ATÉ 30 KM (UNIDADE: M3XKM). AF_02/2026</v>
      </c>
      <c r="E128" s="94" t="str">
        <f>IF(C128="SINAPI",IFERROR(VLOOKUP(B128,'SINAPI-comp'!$B:$H,3,0),VLOOKUP(B128,'SINAPI-insumo'!$B:$H,3,0)))</f>
        <v>M3XKM</v>
      </c>
      <c r="F128" s="104">
        <f>TRUNC(F127*DMT!C67,2)</f>
        <v>756.45</v>
      </c>
      <c r="G128" s="96">
        <f>IFERROR(VLOOKUP(B128,'SINAPI-comp'!$B:$H,4,0)-H128,0)</f>
        <v>0.33999999999999986</v>
      </c>
      <c r="H128" s="96">
        <f>IF(C128="SINAPI",IFERROR(VLOOKUP(B128,'SINAPI-comp'!$B:$H,7,0),VLOOKUP(B128,'SINAPI-insumo'!$B:$H,7,0)))</f>
        <v>2.4900000000000002</v>
      </c>
      <c r="I128" s="97">
        <f t="shared" si="70"/>
        <v>2.83</v>
      </c>
      <c r="J128" s="98">
        <v>0.24229999999999999</v>
      </c>
      <c r="K128" s="99">
        <f t="shared" si="71"/>
        <v>3.52</v>
      </c>
      <c r="L128" s="100">
        <f t="shared" si="72"/>
        <v>317.7</v>
      </c>
      <c r="M128" s="101">
        <f t="shared" si="73"/>
        <v>2345</v>
      </c>
      <c r="N128" s="102">
        <f t="shared" si="74"/>
        <v>2662.7</v>
      </c>
      <c r="O128" s="62"/>
    </row>
    <row r="129" spans="1:15" s="62" customFormat="1" ht="13.8" x14ac:dyDescent="0.25">
      <c r="A129" s="82">
        <v>11</v>
      </c>
      <c r="B129" s="83"/>
      <c r="C129" s="84"/>
      <c r="D129" s="85" t="s">
        <v>15568</v>
      </c>
      <c r="E129" s="86"/>
      <c r="F129" s="87"/>
      <c r="G129" s="87"/>
      <c r="H129" s="87"/>
      <c r="I129" s="87"/>
      <c r="J129" s="88"/>
      <c r="K129" s="88"/>
      <c r="L129" s="87"/>
      <c r="M129" s="87"/>
      <c r="N129" s="89"/>
    </row>
    <row r="130" spans="1:15" x14ac:dyDescent="0.3">
      <c r="A130" s="90" t="s">
        <v>102</v>
      </c>
      <c r="B130" s="103" t="s">
        <v>16422</v>
      </c>
      <c r="C130" s="92" t="s">
        <v>31</v>
      </c>
      <c r="D130" s="93" t="str">
        <f>VLOOKUP(B130,composicoes!$A:$K,2,0)</f>
        <v>CORTE MEÂNICO DE ASFALTO</v>
      </c>
      <c r="E130" s="94" t="str">
        <f>VLOOKUP(B130,composicoes!$A:$K,8,0)</f>
        <v>M</v>
      </c>
      <c r="F130" s="104">
        <f>60+20</f>
        <v>80</v>
      </c>
      <c r="G130" s="96">
        <f>VLOOKUP(B130,composicoes!$A:$K,10,0)</f>
        <v>1.83</v>
      </c>
      <c r="H130" s="96">
        <f>VLOOKUP(B130,composicoes!$A:$K,11,0)</f>
        <v>0.9</v>
      </c>
      <c r="I130" s="97">
        <f t="shared" ref="I130" si="75">G130+H130</f>
        <v>2.73</v>
      </c>
      <c r="J130" s="98">
        <v>0.24229999999999999</v>
      </c>
      <c r="K130" s="99">
        <f t="shared" ref="K130" si="76">I130+ROUND(I130*J130,2)</f>
        <v>3.39</v>
      </c>
      <c r="L130" s="100">
        <f t="shared" ref="L130" si="77">TRUNC(TRUNC(G130*(1+J130),2)*F130,2)</f>
        <v>181.6</v>
      </c>
      <c r="M130" s="101">
        <f t="shared" ref="M130" si="78">N130-L130</f>
        <v>89.6</v>
      </c>
      <c r="N130" s="102">
        <f t="shared" ref="N130" si="79">ROUND(F130*K130,2)</f>
        <v>271.2</v>
      </c>
    </row>
    <row r="131" spans="1:15" ht="27.6" x14ac:dyDescent="0.3">
      <c r="A131" s="90" t="s">
        <v>104</v>
      </c>
      <c r="B131" s="103">
        <v>97636</v>
      </c>
      <c r="C131" s="111" t="s">
        <v>53</v>
      </c>
      <c r="D131" s="93" t="str">
        <f>IF(C131="SINAPI",IFERROR(VLOOKUP(B131,'SINAPI-comp'!$B:$H,2,0),VLOOKUP(B131,'SINAPI-insumo'!$B:$H,2,0)))</f>
        <v>DEMOLIÇÃO PARCIAL DE PAVIMENTO ASFÁLTICO, DE FORMA MECANIZADA, SEM REAPROVEITAMENTO. AF_09/2023</v>
      </c>
      <c r="E131" s="94" t="str">
        <f>IF(C131="SINAPI",IFERROR(VLOOKUP(B131,'SINAPI-comp'!$B:$H,3,0),VLOOKUP(B131,'SINAPI-insumo'!$B:$H,3,0)))</f>
        <v>M2</v>
      </c>
      <c r="F131" s="104">
        <f>quant_drenagem!C47/0.05</f>
        <v>317.2</v>
      </c>
      <c r="G131" s="96">
        <f>IFERROR(VLOOKUP(B131,'SINAPI-comp'!$B:$H,4,0)-H131,0)</f>
        <v>11.67</v>
      </c>
      <c r="H131" s="96">
        <f>IF(C131="SINAPI",IFERROR(VLOOKUP(B131,'SINAPI-comp'!$B:$H,7,0),VLOOKUP(B131,'SINAPI-insumo'!$B:$H,7,0)))</f>
        <v>11.74</v>
      </c>
      <c r="I131" s="97">
        <f t="shared" ref="I131" si="80">G131+H131</f>
        <v>23.41</v>
      </c>
      <c r="J131" s="98">
        <v>0.24229999999999999</v>
      </c>
      <c r="K131" s="99">
        <f t="shared" ref="K131" si="81">I131+ROUND(I131*J131,2)</f>
        <v>29.08</v>
      </c>
      <c r="L131" s="100">
        <f t="shared" ref="L131" si="82">TRUNC(TRUNC(G131*(1+J131),2)*F131,2)</f>
        <v>4596.22</v>
      </c>
      <c r="M131" s="101">
        <f t="shared" ref="M131" si="83">N131-L131</f>
        <v>4627.96</v>
      </c>
      <c r="N131" s="102">
        <f t="shared" ref="N131" si="84">ROUND(F131*K131,2)</f>
        <v>9224.18</v>
      </c>
    </row>
    <row r="132" spans="1:15" ht="27.6" x14ac:dyDescent="0.3">
      <c r="A132" s="90" t="s">
        <v>106</v>
      </c>
      <c r="B132" s="103">
        <v>97624</v>
      </c>
      <c r="C132" s="111" t="s">
        <v>53</v>
      </c>
      <c r="D132" s="93" t="str">
        <f>IF(C132="SINAPI",IFERROR(VLOOKUP(B132,'SINAPI-comp'!$B:$H,2,0),VLOOKUP(B132,'SINAPI-insumo'!$B:$H,2,0)))</f>
        <v>DEMOLIÇÃO DE ALVENARIA DE TIJOLO MACIÇO, DE FORMA MANUAL, SEM REAPROVEITAMENTO. AF_09/2023</v>
      </c>
      <c r="E132" s="94" t="str">
        <f>IF(C132="SINAPI",IFERROR(VLOOKUP(B132,'SINAPI-comp'!$B:$H,3,0),VLOOKUP(B132,'SINAPI-insumo'!$B:$H,3,0)))</f>
        <v>M3</v>
      </c>
      <c r="F132" s="104">
        <f>quant_drenagem!C93</f>
        <v>3.48</v>
      </c>
      <c r="G132" s="96">
        <f>IFERROR(VLOOKUP(B132,'SINAPI-comp'!$B:$H,4,0)-H132,0)</f>
        <v>127.24</v>
      </c>
      <c r="H132" s="96">
        <f>IF(C132="SINAPI",IFERROR(VLOOKUP(B132,'SINAPI-comp'!$B:$H,7,0),VLOOKUP(B132,'SINAPI-insumo'!$B:$H,7,0)))</f>
        <v>0</v>
      </c>
      <c r="I132" s="97">
        <f t="shared" ref="I132:I136" si="85">G132+H132</f>
        <v>127.24</v>
      </c>
      <c r="J132" s="98">
        <v>0.24229999999999999</v>
      </c>
      <c r="K132" s="99">
        <f t="shared" ref="K132:K136" si="86">I132+ROUND(I132*J132,2)</f>
        <v>158.07</v>
      </c>
      <c r="L132" s="100">
        <f t="shared" ref="L132:L136" si="87">TRUNC(TRUNC(G132*(1+J132),2)*F132,2)</f>
        <v>550.08000000000004</v>
      </c>
      <c r="M132" s="101">
        <f t="shared" ref="M132:M136" si="88">N132-L132</f>
        <v>0</v>
      </c>
      <c r="N132" s="102">
        <f t="shared" ref="N132:N136" si="89">ROUND(F132*K132,2)</f>
        <v>550.08000000000004</v>
      </c>
    </row>
    <row r="133" spans="1:15" x14ac:dyDescent="0.3">
      <c r="A133" s="90" t="s">
        <v>108</v>
      </c>
      <c r="B133" s="103" t="s">
        <v>15552</v>
      </c>
      <c r="C133" s="92" t="s">
        <v>31</v>
      </c>
      <c r="D133" s="93" t="str">
        <f>VLOOKUP(B133,composicoes!$A:$K,2,0)</f>
        <v>REMOÇÃO TUBO CONCRETO ARMADO AGUAS PLUVIAIS, DN 300 MM</v>
      </c>
      <c r="E133" s="94" t="str">
        <f>VLOOKUP(B133,composicoes!$A:$K,8,0)</f>
        <v>M</v>
      </c>
      <c r="F133" s="104">
        <f>quant_drenagem!C94</f>
        <v>59.84</v>
      </c>
      <c r="G133" s="96">
        <f>VLOOKUP(B133,composicoes!$A:$K,10,0)</f>
        <v>12.73</v>
      </c>
      <c r="H133" s="96">
        <f>VLOOKUP(B133,composicoes!$A:$K,11,0)</f>
        <v>11.43</v>
      </c>
      <c r="I133" s="97">
        <f t="shared" si="85"/>
        <v>24.16</v>
      </c>
      <c r="J133" s="98">
        <v>0.24229999999999999</v>
      </c>
      <c r="K133" s="99">
        <f t="shared" si="86"/>
        <v>30.009999999999998</v>
      </c>
      <c r="L133" s="100">
        <f t="shared" si="87"/>
        <v>946.07</v>
      </c>
      <c r="M133" s="101">
        <f t="shared" si="88"/>
        <v>849.7299999999999</v>
      </c>
      <c r="N133" s="102">
        <f t="shared" si="89"/>
        <v>1795.8</v>
      </c>
    </row>
    <row r="134" spans="1:15" ht="41.4" x14ac:dyDescent="0.3">
      <c r="A134" s="90" t="s">
        <v>15573</v>
      </c>
      <c r="B134" s="112">
        <v>100982</v>
      </c>
      <c r="C134" s="111" t="s">
        <v>53</v>
      </c>
      <c r="D134" s="93" t="str">
        <f>IF(C134="SINAPI",IFERROR(VLOOKUP(B134,'SINAPI-comp'!$B:$H,2,0),VLOOKUP(B134,'SINAPI-insumo'!$B:$H,2,0)))</f>
        <v>CARGA, MANOBRA E DESCARGA DE ENTULHO EM CAMINHÃO BASCULANTE 10 M³ - CARGA COM ESCAVADEIRA HIDRÁULICA (CAÇAMBA DE 0,80 M³ / 111 HP) E DESCARGA LIVRE (UNIDADE: M3). AF_02/2026</v>
      </c>
      <c r="E134" s="94" t="str">
        <f>IF(C134="SINAPI",IFERROR(VLOOKUP(B134,'SINAPI-comp'!$B:$H,3,0),VLOOKUP(B134,'SINAPI-insumo'!$B:$H,3,0)))</f>
        <v>M3</v>
      </c>
      <c r="F134" s="104">
        <f>TRUNC((F131*0.05+F132)*(1+empolamentos!B2)+F133*0.3*0.3,2)</f>
        <v>32.46</v>
      </c>
      <c r="G134" s="96">
        <f>IFERROR(VLOOKUP(B134,'SINAPI-comp'!$B:$H,4,0)-H134,0)</f>
        <v>1.5600000000000005</v>
      </c>
      <c r="H134" s="96">
        <f>IF(C134="SINAPI",IFERROR(VLOOKUP(B134,'SINAPI-comp'!$B:$H,7,0),VLOOKUP(B134,'SINAPI-insumo'!$B:$H,7,0)))</f>
        <v>8.11</v>
      </c>
      <c r="I134" s="97">
        <f t="shared" si="85"/>
        <v>9.67</v>
      </c>
      <c r="J134" s="98">
        <v>0.24229999999999999</v>
      </c>
      <c r="K134" s="99">
        <f t="shared" si="86"/>
        <v>12.01</v>
      </c>
      <c r="L134" s="100">
        <f t="shared" si="87"/>
        <v>62.64</v>
      </c>
      <c r="M134" s="101">
        <f t="shared" si="88"/>
        <v>327.2</v>
      </c>
      <c r="N134" s="102">
        <f t="shared" si="89"/>
        <v>389.84</v>
      </c>
    </row>
    <row r="135" spans="1:15" ht="27.6" x14ac:dyDescent="0.3">
      <c r="A135" s="90" t="s">
        <v>15574</v>
      </c>
      <c r="B135" s="112">
        <v>95875</v>
      </c>
      <c r="C135" s="111" t="s">
        <v>53</v>
      </c>
      <c r="D135" s="93" t="str">
        <f>IF(C135="SINAPI",IFERROR(VLOOKUP(B135,'SINAPI-comp'!$B:$H,2,0),VLOOKUP(B135,'SINAPI-insumo'!$B:$H,2,0)))</f>
        <v>TRANSPORTE COM CAMINHÃO BASCULANTE DE 10 M³, EM VIA URBANA PAVIMENTADA, DMT ATÉ 30 KM (UNIDADE: M3XKM). AF_02/2026</v>
      </c>
      <c r="E135" s="94" t="str">
        <f>IF(C135="SINAPI",IFERROR(VLOOKUP(B135,'SINAPI-comp'!$B:$H,3,0),VLOOKUP(B135,'SINAPI-insumo'!$B:$H,3,0)))</f>
        <v>M3XKM</v>
      </c>
      <c r="F135" s="104">
        <f>TRUNC(F134*DMT!C76,2)</f>
        <v>214.23</v>
      </c>
      <c r="G135" s="96">
        <f>IFERROR(VLOOKUP(B135,'SINAPI-comp'!$B:$H,4,0)-H135,0)</f>
        <v>0.33999999999999986</v>
      </c>
      <c r="H135" s="96">
        <f>IF(C135="SINAPI",IFERROR(VLOOKUP(B135,'SINAPI-comp'!$B:$H,7,0),VLOOKUP(B135,'SINAPI-insumo'!$B:$H,7,0)))</f>
        <v>2.4900000000000002</v>
      </c>
      <c r="I135" s="97">
        <f t="shared" si="85"/>
        <v>2.83</v>
      </c>
      <c r="J135" s="98">
        <v>0.24229999999999999</v>
      </c>
      <c r="K135" s="99">
        <f t="shared" si="86"/>
        <v>3.52</v>
      </c>
      <c r="L135" s="100">
        <f t="shared" si="87"/>
        <v>89.97</v>
      </c>
      <c r="M135" s="101">
        <f t="shared" si="88"/>
        <v>664.12</v>
      </c>
      <c r="N135" s="102">
        <f t="shared" si="89"/>
        <v>754.09</v>
      </c>
    </row>
    <row r="136" spans="1:15" s="62" customFormat="1" x14ac:dyDescent="0.3">
      <c r="A136" s="90" t="s">
        <v>15575</v>
      </c>
      <c r="B136" s="112" t="s">
        <v>41</v>
      </c>
      <c r="C136" s="111" t="s">
        <v>42</v>
      </c>
      <c r="D136" s="106" t="str">
        <f>VLOOKUP(B136,tabelas!$A:$L,4,0)</f>
        <v>TAXA PARA BOTA FORA</v>
      </c>
      <c r="E136" s="107" t="str">
        <f>VLOOKUP(B136,tabelas!$A:$L,5,0)</f>
        <v>M3</v>
      </c>
      <c r="F136" s="646">
        <f>TRUNC(F134,2)</f>
        <v>32.46</v>
      </c>
      <c r="G136" s="108">
        <v>0</v>
      </c>
      <c r="H136" s="108">
        <f>VLOOKUP($B136,tabelas!$A:$L,12,0)</f>
        <v>9.83</v>
      </c>
      <c r="I136" s="97">
        <f t="shared" si="85"/>
        <v>9.83</v>
      </c>
      <c r="J136" s="98">
        <v>0.16980000000000001</v>
      </c>
      <c r="K136" s="99">
        <f t="shared" si="86"/>
        <v>11.5</v>
      </c>
      <c r="L136" s="100">
        <f t="shared" si="87"/>
        <v>0</v>
      </c>
      <c r="M136" s="101">
        <f t="shared" si="88"/>
        <v>373.29</v>
      </c>
      <c r="N136" s="102">
        <f t="shared" si="89"/>
        <v>373.29</v>
      </c>
      <c r="O136"/>
    </row>
    <row r="137" spans="1:15" s="62" customFormat="1" ht="13.8" x14ac:dyDescent="0.25">
      <c r="A137" s="82">
        <v>12</v>
      </c>
      <c r="B137" s="83"/>
      <c r="C137" s="84"/>
      <c r="D137" s="85" t="s">
        <v>15413</v>
      </c>
      <c r="E137" s="86"/>
      <c r="F137" s="87"/>
      <c r="G137" s="87"/>
      <c r="H137" s="87"/>
      <c r="I137" s="87"/>
      <c r="J137" s="88"/>
      <c r="K137" s="88"/>
      <c r="L137" s="87"/>
      <c r="M137" s="87"/>
      <c r="N137" s="89"/>
    </row>
    <row r="138" spans="1:15" ht="41.4" x14ac:dyDescent="0.3">
      <c r="A138" s="90" t="s">
        <v>111</v>
      </c>
      <c r="B138" s="103">
        <v>90106</v>
      </c>
      <c r="C138" s="111" t="s">
        <v>53</v>
      </c>
      <c r="D138" s="93" t="str">
        <f>IF(C138="SINAPI",IFERROR(VLOOKUP(B138,'SINAPI-comp'!$B:$H,2,0),VLOOKUP(B138,'SINAPI-insumo'!$B:$H,2,0)))</f>
        <v>ESCAVAÇÃO MECANIZADA DE VALA COM PROFUNDIDADE ATÉ 1,5 M (MÉDIA MONTANTE E JUSANTE/UMA COMPOSIÇÃO POR TRECHO), RETROESCAV. (0,26 M3), LARGURA DE 0,8 M A 1,5 M, EM SOLO DE 1A CATEGORIA, LOCAIS COM BAIXO NÍVEL DE INTERFERÊNCIA. AF_09/2024</v>
      </c>
      <c r="E138" s="94" t="str">
        <f>IF(C138="SINAPI",IFERROR(VLOOKUP(B138,'SINAPI-comp'!$B:$H,3,0),VLOOKUP(B138,'SINAPI-insumo'!$B:$H,3,0)))</f>
        <v>M3</v>
      </c>
      <c r="F138" s="104">
        <f>quant_drenagem!C7</f>
        <v>389.52</v>
      </c>
      <c r="G138" s="96">
        <f>IFERROR(VLOOKUP(B138,'SINAPI-comp'!$B:$H,4,0)-H138,0)</f>
        <v>3.88</v>
      </c>
      <c r="H138" s="96">
        <f>IF(C138="SINAPI",IFERROR(VLOOKUP(B138,'SINAPI-comp'!$B:$H,7,0),VLOOKUP(B138,'SINAPI-insumo'!$B:$H,7,0)))</f>
        <v>4.8</v>
      </c>
      <c r="I138" s="97">
        <f t="shared" ref="I138:I146" si="90">G138+H138</f>
        <v>8.68</v>
      </c>
      <c r="J138" s="98">
        <v>0.24229999999999999</v>
      </c>
      <c r="K138" s="99">
        <f t="shared" ref="K138:K146" si="91">I138+ROUND(I138*J138,2)</f>
        <v>10.78</v>
      </c>
      <c r="L138" s="100">
        <f t="shared" ref="L138:L146" si="92">TRUNC(TRUNC(G138*(1+J138),2)*F138,2)</f>
        <v>1877.48</v>
      </c>
      <c r="M138" s="101">
        <f t="shared" ref="M138:M146" si="93">N138-L138</f>
        <v>2321.5499999999997</v>
      </c>
      <c r="N138" s="102">
        <f t="shared" ref="N138:N146" si="94">ROUND(F138*K138,2)</f>
        <v>4199.03</v>
      </c>
    </row>
    <row r="139" spans="1:15" ht="27.6" x14ac:dyDescent="0.3">
      <c r="A139" s="90" t="s">
        <v>112</v>
      </c>
      <c r="B139" s="103">
        <v>101582</v>
      </c>
      <c r="C139" s="111" t="s">
        <v>53</v>
      </c>
      <c r="D139" s="93" t="str">
        <f>IF(C139="SINAPI",IFERROR(VLOOKUP(B139,'SINAPI-comp'!$B:$H,2,0),VLOOKUP(B139,'SINAPI-insumo'!$B:$H,2,0)))</f>
        <v>ESCORAMENTO DE VALA, TIPO CONTÍNUO, COM PROFUNDIDADE DE 0 A 1,5 M, LARGURA MENOR QUE 1,5 M. AF_01/2026</v>
      </c>
      <c r="E139" s="94" t="str">
        <f>IF(C139="SINAPI",IFERROR(VLOOKUP(B139,'SINAPI-comp'!$B:$H,3,0),VLOOKUP(B139,'SINAPI-insumo'!$B:$H,3,0)))</f>
        <v>M2</v>
      </c>
      <c r="F139" s="104">
        <f>quant_drenagem!C25</f>
        <v>98.36</v>
      </c>
      <c r="G139" s="96">
        <f>IFERROR(VLOOKUP(B139,'SINAPI-comp'!$B:$H,4,0)-H139,0)</f>
        <v>39.150000000000006</v>
      </c>
      <c r="H139" s="96">
        <f>IF(C139="SINAPI",IFERROR(VLOOKUP(B139,'SINAPI-comp'!$B:$H,7,0),VLOOKUP(B139,'SINAPI-insumo'!$B:$H,7,0)))</f>
        <v>34.299999999999997</v>
      </c>
      <c r="I139" s="97">
        <f t="shared" si="90"/>
        <v>73.45</v>
      </c>
      <c r="J139" s="98">
        <v>0.24229999999999999</v>
      </c>
      <c r="K139" s="99">
        <f t="shared" si="91"/>
        <v>91.25</v>
      </c>
      <c r="L139" s="100">
        <f t="shared" si="92"/>
        <v>4783.24</v>
      </c>
      <c r="M139" s="101">
        <f t="shared" si="93"/>
        <v>4192.1100000000006</v>
      </c>
      <c r="N139" s="102">
        <f t="shared" si="94"/>
        <v>8975.35</v>
      </c>
      <c r="O139" s="62"/>
    </row>
    <row r="140" spans="1:15" ht="27.6" x14ac:dyDescent="0.3">
      <c r="A140" s="90" t="s">
        <v>113</v>
      </c>
      <c r="B140" s="103">
        <v>101623</v>
      </c>
      <c r="C140" s="111" t="s">
        <v>53</v>
      </c>
      <c r="D140" s="93" t="str">
        <f>IF(C140="SINAPI",IFERROR(VLOOKUP(B140,'SINAPI-comp'!$B:$H,2,0),VLOOKUP(B140,'SINAPI-insumo'!$B:$H,2,0)))</f>
        <v>PREPARO DE FUNDO DE VALA COM LARGURA MENOR QUE 1,5 M, COM CAMADA DE BRITA, LANÇAMENTO MECANIZADO. AF_01/2026</v>
      </c>
      <c r="E140" s="94" t="str">
        <f>IF(C140="SINAPI",IFERROR(VLOOKUP(B140,'SINAPI-comp'!$B:$H,3,0),VLOOKUP(B140,'SINAPI-insumo'!$B:$H,3,0)))</f>
        <v>M3</v>
      </c>
      <c r="F140" s="104">
        <f>quant_drenagem!C33+quant_drenagem!C34</f>
        <v>26.810000000000002</v>
      </c>
      <c r="G140" s="96">
        <f>IFERROR(VLOOKUP(B140,'SINAPI-comp'!$B:$H,4,0)-H140,0)</f>
        <v>109.85999999999999</v>
      </c>
      <c r="H140" s="96">
        <f>IF(C140="SINAPI",IFERROR(VLOOKUP(B140,'SINAPI-comp'!$B:$H,7,0),VLOOKUP(B140,'SINAPI-insumo'!$B:$H,7,0)))</f>
        <v>189.73</v>
      </c>
      <c r="I140" s="97">
        <f t="shared" si="90"/>
        <v>299.58999999999997</v>
      </c>
      <c r="J140" s="98">
        <v>0.24229999999999999</v>
      </c>
      <c r="K140" s="99">
        <f t="shared" si="91"/>
        <v>372.17999999999995</v>
      </c>
      <c r="L140" s="100">
        <f t="shared" si="92"/>
        <v>3658.76</v>
      </c>
      <c r="M140" s="101">
        <f t="shared" si="93"/>
        <v>6319.3899999999994</v>
      </c>
      <c r="N140" s="102">
        <f t="shared" si="94"/>
        <v>9978.15</v>
      </c>
    </row>
    <row r="141" spans="1:15" ht="27.6" x14ac:dyDescent="0.3">
      <c r="A141" s="90" t="s">
        <v>114</v>
      </c>
      <c r="B141" s="103" t="s">
        <v>94</v>
      </c>
      <c r="C141" s="92" t="s">
        <v>31</v>
      </c>
      <c r="D141" s="93" t="str">
        <f>VLOOKUP(B141,composicoes!$A:$K,2,0)</f>
        <v>EXECUÇÃO DE RADIER, ESPESSURA DE 10 CM, FCK = 30 MPA, COM USO DE FORMAS EM MADEIRA SERRADA</v>
      </c>
      <c r="E141" s="94" t="str">
        <f>VLOOKUP(B141,composicoes!$A:$K,8,0)</f>
        <v>M2</v>
      </c>
      <c r="F141" s="104">
        <f>quant_drenagem!C32</f>
        <v>10.220000000000001</v>
      </c>
      <c r="G141" s="96">
        <f>VLOOKUP(B141,composicoes!$A:$K,10,0)</f>
        <v>16.96</v>
      </c>
      <c r="H141" s="96">
        <f>VLOOKUP(B141,composicoes!$A:$K,11,0)</f>
        <v>160.52000000000001</v>
      </c>
      <c r="I141" s="97">
        <f t="shared" si="90"/>
        <v>177.48000000000002</v>
      </c>
      <c r="J141" s="98">
        <v>0.24229999999999999</v>
      </c>
      <c r="K141" s="99">
        <f t="shared" si="91"/>
        <v>220.48000000000002</v>
      </c>
      <c r="L141" s="100">
        <f t="shared" si="92"/>
        <v>215.23</v>
      </c>
      <c r="M141" s="101">
        <f t="shared" si="93"/>
        <v>2038.08</v>
      </c>
      <c r="N141" s="102">
        <f t="shared" si="94"/>
        <v>2253.31</v>
      </c>
    </row>
    <row r="142" spans="1:15" ht="27.6" x14ac:dyDescent="0.3">
      <c r="A142" s="90" t="s">
        <v>15704</v>
      </c>
      <c r="B142" s="103" t="s">
        <v>95</v>
      </c>
      <c r="C142" s="92" t="s">
        <v>31</v>
      </c>
      <c r="D142" s="93" t="str">
        <f>VLOOKUP(B142,composicoes!$A:$K,2,0)</f>
        <v>ATERRO MECANIZADO DE VALA COM RETROESCAVADEIRA, COM BRITA, EXCLUSO CARGA/DESCARGA E TRANSPORTE</v>
      </c>
      <c r="E142" s="94" t="str">
        <f>VLOOKUP(B142,composicoes!$A:$K,8,0)</f>
        <v>M3</v>
      </c>
      <c r="F142" s="104">
        <f>quant_drenagem!C19+quant_drenagem!C20</f>
        <v>46.92</v>
      </c>
      <c r="G142" s="96">
        <f>VLOOKUP(B142,composicoes!$A:$K,10,0)</f>
        <v>10.32</v>
      </c>
      <c r="H142" s="96">
        <f>VLOOKUP(B142,composicoes!$A:$K,11,0)</f>
        <v>137.58000000000001</v>
      </c>
      <c r="I142" s="97">
        <f t="shared" si="90"/>
        <v>147.9</v>
      </c>
      <c r="J142" s="98">
        <v>0.24229999999999999</v>
      </c>
      <c r="K142" s="99">
        <f t="shared" si="91"/>
        <v>183.74</v>
      </c>
      <c r="L142" s="100">
        <f t="shared" si="92"/>
        <v>601.51</v>
      </c>
      <c r="M142" s="101">
        <f t="shared" si="93"/>
        <v>8019.57</v>
      </c>
      <c r="N142" s="102">
        <f t="shared" si="94"/>
        <v>8621.08</v>
      </c>
    </row>
    <row r="143" spans="1:15" ht="41.4" x14ac:dyDescent="0.3">
      <c r="A143" s="90" t="s">
        <v>15705</v>
      </c>
      <c r="B143" s="103">
        <v>104734</v>
      </c>
      <c r="C143" s="111" t="s">
        <v>53</v>
      </c>
      <c r="D143" s="93" t="str">
        <f>IF(C143="SINAPI",IFERROR(VLOOKUP(B143,'SINAPI-comp'!$B:$H,2,0),VLOOKUP(B143,'SINAPI-insumo'!$B:$H,2,0)))</f>
        <v>REATERRO MECANIZADO DE VALA COM RETROESCAVADEIRA (CAPACIDADE DA CAÇAMBA DA RETRO: 0,26 M³/POTÊNCIA: 88 HP), LARGURA DE 0,8 A 1,5 M, PROFUNDIDADE ATÉ 1,5 M, COM SOLO (SEM SUBSTITUIÇÃO) DE 1ª CATEGORIA, COM PLACA VIBRATÓRIA. AF_08/2023</v>
      </c>
      <c r="E143" s="94" t="str">
        <f>IF(C143="SINAPI",IFERROR(VLOOKUP(B143,'SINAPI-comp'!$B:$H,3,0),VLOOKUP(B143,'SINAPI-insumo'!$B:$H,3,0)))</f>
        <v>M3</v>
      </c>
      <c r="F143" s="104">
        <f>quant_drenagem!C18</f>
        <v>239.43</v>
      </c>
      <c r="G143" s="96">
        <f>IFERROR(VLOOKUP(B143,'SINAPI-comp'!$B:$H,4,0)-H143,0)</f>
        <v>6.2200000000000006</v>
      </c>
      <c r="H143" s="96">
        <f>IF(C143="SINAPI",IFERROR(VLOOKUP(B143,'SINAPI-comp'!$B:$H,7,0),VLOOKUP(B143,'SINAPI-insumo'!$B:$H,7,0)))</f>
        <v>8.77</v>
      </c>
      <c r="I143" s="97">
        <f t="shared" ref="I143" si="95">G143+H143</f>
        <v>14.99</v>
      </c>
      <c r="J143" s="98">
        <v>0.24229999999999999</v>
      </c>
      <c r="K143" s="99">
        <f t="shared" ref="K143" si="96">I143+ROUND(I143*J143,2)</f>
        <v>18.62</v>
      </c>
      <c r="L143" s="100">
        <f t="shared" ref="L143" si="97">TRUNC(TRUNC(G143*(1+J143),2)*F143,2)</f>
        <v>1848.39</v>
      </c>
      <c r="M143" s="101">
        <f t="shared" ref="M143" si="98">N143-L143</f>
        <v>2609.7999999999993</v>
      </c>
      <c r="N143" s="102">
        <f t="shared" ref="N143" si="99">ROUND(F143*K143,2)</f>
        <v>4458.1899999999996</v>
      </c>
    </row>
    <row r="144" spans="1:15" ht="41.4" x14ac:dyDescent="0.3">
      <c r="A144" s="90" t="s">
        <v>15706</v>
      </c>
      <c r="B144" s="103">
        <v>100978</v>
      </c>
      <c r="C144" s="111" t="s">
        <v>53</v>
      </c>
      <c r="D144" s="93" t="str">
        <f>IF(C144="SINAPI",IFERROR(VLOOKUP(B144,'SINAPI-comp'!$B:$H,2,0),VLOOKUP(B144,'SINAPI-insumo'!$B:$H,2,0)))</f>
        <v>CARGA, MANOBRA E DESCARGA DE SOLOS E MATERIAIS GRANULARES EM CAMINHÃO BASCULANTE 10 M³ - CARGA COM ESCAVADEIRA HIDRÁULICA (CAÇAMBA DE 1,20 M³ / 155 HP) E DESCARGA LIVRE (UNIDADE: M3). AF_02/2026</v>
      </c>
      <c r="E144" s="94" t="str">
        <f>IF(C144="SINAPI",IFERROR(VLOOKUP(B144,'SINAPI-comp'!$B:$H,3,0),VLOOKUP(B144,'SINAPI-insumo'!$B:$H,3,0)))</f>
        <v>M3</v>
      </c>
      <c r="F144" s="104">
        <f>TRUNC(F138*(1+empolamentos!B6)+(F140+F142)*(1+empolamentos!B7),2)</f>
        <v>568</v>
      </c>
      <c r="G144" s="96">
        <f>IFERROR(VLOOKUP(B144,'SINAPI-comp'!$B:$H,4,0)-H144,0)</f>
        <v>1.1799999999999997</v>
      </c>
      <c r="H144" s="96">
        <f>IF(C144="SINAPI",IFERROR(VLOOKUP(B144,'SINAPI-comp'!$B:$H,7,0),VLOOKUP(B144,'SINAPI-insumo'!$B:$H,7,0)))</f>
        <v>6.24</v>
      </c>
      <c r="I144" s="97">
        <f t="shared" si="90"/>
        <v>7.42</v>
      </c>
      <c r="J144" s="98">
        <v>0.24229999999999999</v>
      </c>
      <c r="K144" s="99">
        <f t="shared" si="91"/>
        <v>9.2200000000000006</v>
      </c>
      <c r="L144" s="100">
        <f t="shared" si="92"/>
        <v>829.28</v>
      </c>
      <c r="M144" s="101">
        <f t="shared" si="93"/>
        <v>4407.68</v>
      </c>
      <c r="N144" s="102">
        <f t="shared" si="94"/>
        <v>5236.96</v>
      </c>
    </row>
    <row r="145" spans="1:15" ht="27.6" x14ac:dyDescent="0.3">
      <c r="A145" s="90" t="s">
        <v>15707</v>
      </c>
      <c r="B145" s="112">
        <v>95875</v>
      </c>
      <c r="C145" s="111" t="s">
        <v>53</v>
      </c>
      <c r="D145" s="93" t="str">
        <f>IF(C145="SINAPI",IFERROR(VLOOKUP(B145,'SINAPI-comp'!$B:$H,2,0),VLOOKUP(B145,'SINAPI-insumo'!$B:$H,2,0)))</f>
        <v>TRANSPORTE COM CAMINHÃO BASCULANTE DE 10 M³, EM VIA URBANA PAVIMENTADA, DMT ATÉ 30 KM (UNIDADE: M3XKM). AF_02/2026</v>
      </c>
      <c r="E145" s="94" t="str">
        <f>IF(C145="SINAPI",IFERROR(VLOOKUP(B145,'SINAPI-comp'!$B:$H,3,0),VLOOKUP(B145,'SINAPI-insumo'!$B:$H,3,0)))</f>
        <v>M3XKM</v>
      </c>
      <c r="F145" s="104">
        <f>TRUNC((F138-F143)*(1+empolamentos!B6)*DMT!C76+(F140+F142)*(1+empolamentos!B7)*DMT!C62,2)</f>
        <v>1773.52</v>
      </c>
      <c r="G145" s="96">
        <f>IFERROR(VLOOKUP(B145,'SINAPI-comp'!$B:$H,4,0)-H145,0)</f>
        <v>0.33999999999999986</v>
      </c>
      <c r="H145" s="96">
        <f>IF(C145="SINAPI",IFERROR(VLOOKUP(B145,'SINAPI-comp'!$B:$H,7,0),VLOOKUP(B145,'SINAPI-insumo'!$B:$H,7,0)))</f>
        <v>2.4900000000000002</v>
      </c>
      <c r="I145" s="97">
        <f t="shared" si="90"/>
        <v>2.83</v>
      </c>
      <c r="J145" s="98">
        <v>0.24229999999999999</v>
      </c>
      <c r="K145" s="99">
        <f t="shared" si="91"/>
        <v>3.52</v>
      </c>
      <c r="L145" s="100">
        <f t="shared" si="92"/>
        <v>744.87</v>
      </c>
      <c r="M145" s="101">
        <f t="shared" si="93"/>
        <v>5497.92</v>
      </c>
      <c r="N145" s="102">
        <f t="shared" si="94"/>
        <v>6242.79</v>
      </c>
    </row>
    <row r="146" spans="1:15" s="62" customFormat="1" x14ac:dyDescent="0.3">
      <c r="A146" s="90" t="s">
        <v>15708</v>
      </c>
      <c r="B146" s="112" t="s">
        <v>41</v>
      </c>
      <c r="C146" s="111" t="s">
        <v>42</v>
      </c>
      <c r="D146" s="106" t="str">
        <f>VLOOKUP(B146,tabelas!$A:$L,4,0)</f>
        <v>TAXA PARA BOTA FORA</v>
      </c>
      <c r="E146" s="107" t="str">
        <f>VLOOKUP(B146,tabelas!$A:$L,5,0)</f>
        <v>M3</v>
      </c>
      <c r="F146" s="646">
        <f>TRUNC((F138-F143)*(1+empolamentos!B6),2)</f>
        <v>187.61</v>
      </c>
      <c r="G146" s="108">
        <v>0</v>
      </c>
      <c r="H146" s="108">
        <f>VLOOKUP($B146,tabelas!$A:$L,12,0)</f>
        <v>9.83</v>
      </c>
      <c r="I146" s="97">
        <f t="shared" si="90"/>
        <v>9.83</v>
      </c>
      <c r="J146" s="98">
        <v>0.16980000000000001</v>
      </c>
      <c r="K146" s="99">
        <f t="shared" si="91"/>
        <v>11.5</v>
      </c>
      <c r="L146" s="100">
        <f t="shared" si="92"/>
        <v>0</v>
      </c>
      <c r="M146" s="101">
        <f t="shared" si="93"/>
        <v>2157.52</v>
      </c>
      <c r="N146" s="102">
        <f t="shared" si="94"/>
        <v>2157.52</v>
      </c>
      <c r="O146"/>
    </row>
    <row r="147" spans="1:15" s="62" customFormat="1" ht="13.8" x14ac:dyDescent="0.25">
      <c r="A147" s="82">
        <v>13</v>
      </c>
      <c r="B147" s="83"/>
      <c r="C147" s="84"/>
      <c r="D147" s="85" t="s">
        <v>15414</v>
      </c>
      <c r="E147" s="86"/>
      <c r="F147" s="87"/>
      <c r="G147" s="87"/>
      <c r="H147" s="87"/>
      <c r="I147" s="87"/>
      <c r="J147" s="88"/>
      <c r="K147" s="88"/>
      <c r="L147" s="87"/>
      <c r="M147" s="87"/>
      <c r="N147" s="89"/>
    </row>
    <row r="148" spans="1:15" ht="41.4" x14ac:dyDescent="0.3">
      <c r="A148" s="90" t="s">
        <v>15539</v>
      </c>
      <c r="B148" s="103" t="s">
        <v>15558</v>
      </c>
      <c r="C148" s="92" t="s">
        <v>31</v>
      </c>
      <c r="D148" s="93" t="str">
        <f>VLOOKUP(B148,composicoes!$A:$K,2,0)</f>
        <v>TUBO DE CONCRETO ARMADO PARA AGUAS PLUVIAIS, CLASSE PA-3, COM ENCAIXE PONTA E BOLSA, COM ENCAIXE PARA ANEL DE VEDAÇÃO, DIAMETRO NOMINAL DE 300 MM - FORNECIMENTO</v>
      </c>
      <c r="E148" s="94" t="str">
        <f>VLOOKUP(B148,composicoes!$A:$K,8,0)</f>
        <v>M</v>
      </c>
      <c r="F148" s="104">
        <f>quant_drenagem!C37</f>
        <v>22.71</v>
      </c>
      <c r="G148" s="96">
        <f>VLOOKUP(B148,composicoes!$A:$K,10,0)</f>
        <v>0</v>
      </c>
      <c r="H148" s="96">
        <f>VLOOKUP(B148,composicoes!$A:$K,11,0)</f>
        <v>198.97</v>
      </c>
      <c r="I148" s="97">
        <f t="shared" ref="I148:I156" si="100">G148+H148</f>
        <v>198.97</v>
      </c>
      <c r="J148" s="98">
        <v>0.16980000000000001</v>
      </c>
      <c r="K148" s="99">
        <f t="shared" ref="K148:K156" si="101">I148+ROUND(I148*J148,2)</f>
        <v>232.76</v>
      </c>
      <c r="L148" s="100">
        <f t="shared" ref="L148:L156" si="102">TRUNC(TRUNC(G148*(1+J148),2)*F148,2)</f>
        <v>0</v>
      </c>
      <c r="M148" s="101">
        <f t="shared" ref="M148:M156" si="103">N148-L148</f>
        <v>5285.98</v>
      </c>
      <c r="N148" s="102">
        <f t="shared" ref="N148:N156" si="104">ROUND(F148*K148,2)</f>
        <v>5285.98</v>
      </c>
    </row>
    <row r="149" spans="1:15" ht="41.4" x14ac:dyDescent="0.3">
      <c r="A149" s="90" t="s">
        <v>15540</v>
      </c>
      <c r="B149" s="103" t="s">
        <v>15559</v>
      </c>
      <c r="C149" s="92" t="s">
        <v>31</v>
      </c>
      <c r="D149" s="93" t="str">
        <f>VLOOKUP(B149,composicoes!$A:$K,2,0)</f>
        <v>TUBO DE CONCRETO ARMADO PARA AGUAS PLUVIAIS, CLASSE PA-3, COM ENCAIXE PONTA E BOLSA, COM ENCAIXE PARA ANEL DE VEDAÇÃO, DIAMETRO NOMINAL DE 400 MM - FORNECIMENTO</v>
      </c>
      <c r="E149" s="94" t="str">
        <f>VLOOKUP(B149,composicoes!$A:$K,8,0)</f>
        <v>M</v>
      </c>
      <c r="F149" s="104">
        <f>quant_drenagem!C38</f>
        <v>71.430000000000007</v>
      </c>
      <c r="G149" s="96">
        <f>VLOOKUP(B149,composicoes!$A:$K,10,0)</f>
        <v>0</v>
      </c>
      <c r="H149" s="96">
        <f>VLOOKUP(B149,composicoes!$A:$K,11,0)</f>
        <v>221.53</v>
      </c>
      <c r="I149" s="97">
        <f t="shared" si="100"/>
        <v>221.53</v>
      </c>
      <c r="J149" s="98">
        <v>0.16980000000000001</v>
      </c>
      <c r="K149" s="99">
        <f t="shared" si="101"/>
        <v>259.14999999999998</v>
      </c>
      <c r="L149" s="100">
        <f t="shared" si="102"/>
        <v>0</v>
      </c>
      <c r="M149" s="101">
        <f t="shared" si="103"/>
        <v>18511.080000000002</v>
      </c>
      <c r="N149" s="102">
        <f t="shared" si="104"/>
        <v>18511.080000000002</v>
      </c>
    </row>
    <row r="150" spans="1:15" ht="41.4" x14ac:dyDescent="0.3">
      <c r="A150" s="90" t="s">
        <v>15541</v>
      </c>
      <c r="B150" s="103" t="s">
        <v>15560</v>
      </c>
      <c r="C150" s="92" t="s">
        <v>31</v>
      </c>
      <c r="D150" s="93" t="str">
        <f>VLOOKUP(B150,composicoes!$A:$K,2,0)</f>
        <v>TUBO DE CONCRETO ARMADO PARA AGUAS PLUVIAIS, CLASSE PA-3, COM ENCAIXE PONTA E BOLSA, COM ENCAIXE PARA ANEL DE VEDAÇÃO, DIAMETRO NOMINAL DE 500 MM - FORNECIMENTO</v>
      </c>
      <c r="E150" s="94" t="str">
        <f>VLOOKUP(B150,composicoes!$A:$K,8,0)</f>
        <v>M</v>
      </c>
      <c r="F150" s="104">
        <f>quant_drenagem!C39</f>
        <v>27.7</v>
      </c>
      <c r="G150" s="96">
        <f>VLOOKUP(B150,composicoes!$A:$K,10,0)</f>
        <v>0</v>
      </c>
      <c r="H150" s="96">
        <f>VLOOKUP(B150,composicoes!$A:$K,11,0)</f>
        <v>298.48</v>
      </c>
      <c r="I150" s="97">
        <f t="shared" si="100"/>
        <v>298.48</v>
      </c>
      <c r="J150" s="98">
        <v>0.16980000000000001</v>
      </c>
      <c r="K150" s="99">
        <f t="shared" si="101"/>
        <v>349.16</v>
      </c>
      <c r="L150" s="100">
        <f t="shared" si="102"/>
        <v>0</v>
      </c>
      <c r="M150" s="101">
        <f t="shared" si="103"/>
        <v>9671.73</v>
      </c>
      <c r="N150" s="102">
        <f t="shared" si="104"/>
        <v>9671.73</v>
      </c>
    </row>
    <row r="151" spans="1:15" ht="41.4" x14ac:dyDescent="0.3">
      <c r="A151" s="90" t="s">
        <v>15554</v>
      </c>
      <c r="B151" s="103" t="s">
        <v>15561</v>
      </c>
      <c r="C151" s="92" t="s">
        <v>31</v>
      </c>
      <c r="D151" s="93" t="str">
        <f>VLOOKUP(B151,composicoes!$A:$K,2,0)</f>
        <v>TUBO DE CONCRETO ARMADO PARA AGUAS PLUVIAIS, CLASSE PA-3, COM ENCAIXE PONTA E BOLSA, COM ENCAIXE PARA ANEL DE VEDAÇÃO, DIAMETRO NOMINAL DE 800 MM - FORNECIMENTO</v>
      </c>
      <c r="E151" s="94" t="str">
        <f>VLOOKUP(B151,composicoes!$A:$K,8,0)</f>
        <v>M</v>
      </c>
      <c r="F151" s="104">
        <f>quant_drenagem!C41</f>
        <v>88.1</v>
      </c>
      <c r="G151" s="96">
        <f>VLOOKUP(B151,composicoes!$A:$K,10,0)</f>
        <v>0</v>
      </c>
      <c r="H151" s="96">
        <f>VLOOKUP(B151,composicoes!$A:$K,11,0)</f>
        <v>648.74</v>
      </c>
      <c r="I151" s="97">
        <f t="shared" si="100"/>
        <v>648.74</v>
      </c>
      <c r="J151" s="98">
        <v>0.16980000000000001</v>
      </c>
      <c r="K151" s="99">
        <f t="shared" si="101"/>
        <v>758.9</v>
      </c>
      <c r="L151" s="100">
        <f t="shared" si="102"/>
        <v>0</v>
      </c>
      <c r="M151" s="101">
        <f t="shared" si="103"/>
        <v>66859.09</v>
      </c>
      <c r="N151" s="102">
        <f t="shared" si="104"/>
        <v>66859.09</v>
      </c>
    </row>
    <row r="152" spans="1:15" ht="27.6" x14ac:dyDescent="0.3">
      <c r="A152" s="90" t="s">
        <v>15756</v>
      </c>
      <c r="B152" s="103">
        <v>101013</v>
      </c>
      <c r="C152" s="111" t="s">
        <v>53</v>
      </c>
      <c r="D152" s="93" t="str">
        <f>IF(C152="SINAPI",IFERROR(VLOOKUP(B152,'SINAPI-comp'!$B:$H,2,0),VLOOKUP(B152,'SINAPI-insumo'!$B:$H,2,0)))</f>
        <v>CARGA, MANOBRA E DESCARGA DE TUBOS DE CONCRETO, DN MENOR OU IGUAL A 300 MM, EM CAMINHÃO CARROCERIA COM GUINDAUTO (MUNCK) 11,7 TM. AF_02/2026</v>
      </c>
      <c r="E152" s="94" t="str">
        <f>IF(C152="SINAPI",IFERROR(VLOOKUP(B152,'SINAPI-comp'!$B:$H,3,0),VLOOKUP(B152,'SINAPI-insumo'!$B:$H,3,0)))</f>
        <v>T</v>
      </c>
      <c r="F152" s="104">
        <f>TRUNC(F148*130/1000,2)</f>
        <v>2.95</v>
      </c>
      <c r="G152" s="96">
        <f>IFERROR(VLOOKUP(B152,'SINAPI-comp'!$B:$H,4,0)-H152,0)</f>
        <v>16.100000000000001</v>
      </c>
      <c r="H152" s="96">
        <f>IF(C152="SINAPI",IFERROR(VLOOKUP(B152,'SINAPI-comp'!$B:$H,7,0),VLOOKUP(B152,'SINAPI-insumo'!$B:$H,7,0)))</f>
        <v>39.369999999999997</v>
      </c>
      <c r="I152" s="97">
        <f t="shared" si="100"/>
        <v>55.47</v>
      </c>
      <c r="J152" s="98">
        <v>0.24229999999999999</v>
      </c>
      <c r="K152" s="99">
        <f t="shared" si="101"/>
        <v>68.91</v>
      </c>
      <c r="L152" s="100">
        <f t="shared" si="102"/>
        <v>59</v>
      </c>
      <c r="M152" s="101">
        <f t="shared" si="103"/>
        <v>144.28</v>
      </c>
      <c r="N152" s="102">
        <f t="shared" si="104"/>
        <v>203.28</v>
      </c>
    </row>
    <row r="153" spans="1:15" ht="27.6" x14ac:dyDescent="0.3">
      <c r="A153" s="90" t="s">
        <v>15757</v>
      </c>
      <c r="B153" s="103">
        <v>101014</v>
      </c>
      <c r="C153" s="111" t="s">
        <v>53</v>
      </c>
      <c r="D153" s="93" t="str">
        <f>IF(C153="SINAPI",IFERROR(VLOOKUP(B153,'SINAPI-comp'!$B:$H,2,0),VLOOKUP(B153,'SINAPI-insumo'!$B:$H,2,0)))</f>
        <v>CARGA, MANOBRA E DESCARGA DE TUBOS DE CONCRETO, DN 400 MM, EM CAMINHÃO CARROCERIA COM GUINDAUTO (MUNCK) 11,7 TM. AF_02/2026</v>
      </c>
      <c r="E153" s="94" t="str">
        <f>IF(C153="SINAPI",IFERROR(VLOOKUP(B153,'SINAPI-comp'!$B:$H,3,0),VLOOKUP(B153,'SINAPI-insumo'!$B:$H,3,0)))</f>
        <v>T</v>
      </c>
      <c r="F153" s="104">
        <f>TRUNC(F149*153/1000,2)</f>
        <v>10.92</v>
      </c>
      <c r="G153" s="96">
        <f>IFERROR(VLOOKUP(B153,'SINAPI-comp'!$B:$H,4,0)-H153,0)</f>
        <v>14.729999999999997</v>
      </c>
      <c r="H153" s="96">
        <f>IF(C153="SINAPI",IFERROR(VLOOKUP(B153,'SINAPI-comp'!$B:$H,7,0),VLOOKUP(B153,'SINAPI-insumo'!$B:$H,7,0)))</f>
        <v>36.020000000000003</v>
      </c>
      <c r="I153" s="97">
        <f t="shared" si="100"/>
        <v>50.75</v>
      </c>
      <c r="J153" s="98">
        <v>0.24229999999999999</v>
      </c>
      <c r="K153" s="99">
        <f t="shared" si="101"/>
        <v>63.05</v>
      </c>
      <c r="L153" s="100">
        <f t="shared" si="102"/>
        <v>199.72</v>
      </c>
      <c r="M153" s="101">
        <f t="shared" si="103"/>
        <v>488.78999999999996</v>
      </c>
      <c r="N153" s="102">
        <f t="shared" si="104"/>
        <v>688.51</v>
      </c>
    </row>
    <row r="154" spans="1:15" s="62" customFormat="1" ht="27.6" x14ac:dyDescent="0.3">
      <c r="A154" s="90" t="s">
        <v>15758</v>
      </c>
      <c r="B154" s="103">
        <v>101015</v>
      </c>
      <c r="C154" s="111" t="s">
        <v>53</v>
      </c>
      <c r="D154" s="93" t="str">
        <f>IF(C154="SINAPI",IFERROR(VLOOKUP(B154,'SINAPI-comp'!$B:$H,2,0),VLOOKUP(B154,'SINAPI-insumo'!$B:$H,2,0)))</f>
        <v>CARGA, MANOBRA E DESCARGA DE TUBOS DE CONCRETO, DN 500 MM, EM CAMINHÃO CARROCERIA COM GUINDAUTO (MUNCK) 11,7 TM. AF_02/2026</v>
      </c>
      <c r="E154" s="94" t="str">
        <f>IF(C154="SINAPI",IFERROR(VLOOKUP(B154,'SINAPI-comp'!$B:$H,3,0),VLOOKUP(B154,'SINAPI-insumo'!$B:$H,3,0)))</f>
        <v>T</v>
      </c>
      <c r="F154" s="104">
        <f>TRUNC(F150*240/1000,2)</f>
        <v>6.64</v>
      </c>
      <c r="G154" s="96">
        <f>IFERROR(VLOOKUP(B154,'SINAPI-comp'!$B:$H,4,0)-H154,0)</f>
        <v>12.07</v>
      </c>
      <c r="H154" s="96">
        <f>IF(C154="SINAPI",IFERROR(VLOOKUP(B154,'SINAPI-comp'!$B:$H,7,0),VLOOKUP(B154,'SINAPI-insumo'!$B:$H,7,0)))</f>
        <v>29.53</v>
      </c>
      <c r="I154" s="97">
        <f t="shared" si="100"/>
        <v>41.6</v>
      </c>
      <c r="J154" s="98">
        <v>0.24229999999999999</v>
      </c>
      <c r="K154" s="99">
        <f t="shared" si="101"/>
        <v>51.68</v>
      </c>
      <c r="L154" s="100">
        <f t="shared" si="102"/>
        <v>99.53</v>
      </c>
      <c r="M154" s="101">
        <f t="shared" si="103"/>
        <v>243.63000000000002</v>
      </c>
      <c r="N154" s="102">
        <f t="shared" si="104"/>
        <v>343.16</v>
      </c>
      <c r="O154"/>
    </row>
    <row r="155" spans="1:15" ht="27.6" x14ac:dyDescent="0.3">
      <c r="A155" s="90" t="s">
        <v>15759</v>
      </c>
      <c r="B155" s="103">
        <v>101465</v>
      </c>
      <c r="C155" s="111" t="s">
        <v>53</v>
      </c>
      <c r="D155" s="93" t="str">
        <f>IF(C155="SINAPI",IFERROR(VLOOKUP(B155,'SINAPI-comp'!$B:$H,2,0),VLOOKUP(B155,'SINAPI-insumo'!$B:$H,2,0)))</f>
        <v>CARGA, MANOBRA E DESCARGA DE TUBOS DE CONCRETO, DN 800 MM, EM CAMINHÃO CARROCERIA COM GUINDAUTO (MUNCK) 11,7 TM. AF_02/2026</v>
      </c>
      <c r="E155" s="94" t="str">
        <f>IF(C155="SINAPI",IFERROR(VLOOKUP(B155,'SINAPI-comp'!$B:$H,3,0),VLOOKUP(B155,'SINAPI-insumo'!$B:$H,3,0)))</f>
        <v>T</v>
      </c>
      <c r="F155" s="104">
        <f>TRUNC(F151*445/1000,2)</f>
        <v>39.200000000000003</v>
      </c>
      <c r="G155" s="96">
        <f>IFERROR(VLOOKUP(B155,'SINAPI-comp'!$B:$H,4,0)-H155,0)</f>
        <v>9.4000000000000021</v>
      </c>
      <c r="H155" s="96">
        <f>IF(C155="SINAPI",IFERROR(VLOOKUP(B155,'SINAPI-comp'!$B:$H,7,0),VLOOKUP(B155,'SINAPI-insumo'!$B:$H,7,0)))</f>
        <v>23.02</v>
      </c>
      <c r="I155" s="97">
        <f t="shared" si="100"/>
        <v>32.42</v>
      </c>
      <c r="J155" s="98">
        <v>0.24229999999999999</v>
      </c>
      <c r="K155" s="99">
        <f t="shared" si="101"/>
        <v>40.28</v>
      </c>
      <c r="L155" s="100">
        <f t="shared" si="102"/>
        <v>457.46</v>
      </c>
      <c r="M155" s="101">
        <f t="shared" si="103"/>
        <v>1121.52</v>
      </c>
      <c r="N155" s="102">
        <f t="shared" si="104"/>
        <v>1578.98</v>
      </c>
    </row>
    <row r="156" spans="1:15" ht="41.4" x14ac:dyDescent="0.3">
      <c r="A156" s="90" t="s">
        <v>15760</v>
      </c>
      <c r="B156" s="103">
        <v>100952</v>
      </c>
      <c r="C156" s="111" t="s">
        <v>53</v>
      </c>
      <c r="D156" s="93" t="str">
        <f>IF(C156="SINAPI",IFERROR(VLOOKUP(B156,'SINAPI-comp'!$B:$H,2,0),VLOOKUP(B156,'SINAPI-insumo'!$B:$H,2,0)))</f>
        <v>TRANSPORTE COM CAMINHÃO CARROCERIA COM GUINDAUTO (MUNCK), MOMENTO MÁXIMO DE CARGA 11,7 TM, EM VIA URBANA PAVIMENTADA, DMT ATÉ 30KM (UNIDADE: TXKM). AF_02/2026</v>
      </c>
      <c r="E156" s="94" t="str">
        <f>IF(C156="SINAPI",IFERROR(VLOOKUP(B156,'SINAPI-comp'!$B:$H,3,0),VLOOKUP(B156,'SINAPI-insumo'!$B:$H,3,0)))</f>
        <v>TXKM</v>
      </c>
      <c r="F156" s="104">
        <f>TRUNC((F152+F153+F154+F155)*DMT!C55,2)</f>
        <v>961.33</v>
      </c>
      <c r="G156" s="96">
        <f>IFERROR(VLOOKUP(B156,'SINAPI-comp'!$B:$H,4,0)-H156,0)</f>
        <v>0.43999999999999995</v>
      </c>
      <c r="H156" s="96">
        <f>IF(C156="SINAPI",IFERROR(VLOOKUP(B156,'SINAPI-comp'!$B:$H,7,0),VLOOKUP(B156,'SINAPI-insumo'!$B:$H,7,0)))</f>
        <v>2.75</v>
      </c>
      <c r="I156" s="97">
        <f t="shared" si="100"/>
        <v>3.19</v>
      </c>
      <c r="J156" s="98">
        <v>0.24229999999999999</v>
      </c>
      <c r="K156" s="99">
        <f t="shared" si="101"/>
        <v>3.96</v>
      </c>
      <c r="L156" s="100">
        <f t="shared" si="102"/>
        <v>519.11</v>
      </c>
      <c r="M156" s="101">
        <f t="shared" si="103"/>
        <v>3287.7599999999998</v>
      </c>
      <c r="N156" s="102">
        <f t="shared" si="104"/>
        <v>3806.87</v>
      </c>
    </row>
    <row r="157" spans="1:15" s="62" customFormat="1" ht="13.8" x14ac:dyDescent="0.25">
      <c r="A157" s="82">
        <v>14</v>
      </c>
      <c r="B157" s="83"/>
      <c r="C157" s="84"/>
      <c r="D157" s="85" t="s">
        <v>15415</v>
      </c>
      <c r="E157" s="86"/>
      <c r="F157" s="87"/>
      <c r="G157" s="87"/>
      <c r="H157" s="87"/>
      <c r="I157" s="87"/>
      <c r="J157" s="88"/>
      <c r="K157" s="88"/>
      <c r="L157" s="87"/>
      <c r="M157" s="87"/>
      <c r="N157" s="89"/>
    </row>
    <row r="158" spans="1:15" ht="27.6" x14ac:dyDescent="0.3">
      <c r="A158" s="90" t="s">
        <v>15542</v>
      </c>
      <c r="B158" s="103" t="s">
        <v>103</v>
      </c>
      <c r="C158" s="92" t="s">
        <v>31</v>
      </c>
      <c r="D158" s="93" t="str">
        <f>VLOOKUP(B158,composicoes!$A:$K,2,0)</f>
        <v>TUBO CONCRETO ARMADO AGUAS PLUVIAIS, CLASSE PA-3, ENCAIXE PONTA E BOLSA, DN 300 MM - ASSENAMENTO, INCLUSO ANEL DE VEDAÇÃO</v>
      </c>
      <c r="E158" s="94" t="str">
        <f>VLOOKUP(B158,composicoes!$A:$K,8,0)</f>
        <v>M</v>
      </c>
      <c r="F158" s="104">
        <f>F148</f>
        <v>22.71</v>
      </c>
      <c r="G158" s="96">
        <f>VLOOKUP(B158,composicoes!$A:$K,10,0)</f>
        <v>16.34</v>
      </c>
      <c r="H158" s="96">
        <f>VLOOKUP(B158,composicoes!$A:$K,11,0)</f>
        <v>32.42</v>
      </c>
      <c r="I158" s="97">
        <f>G158+H158</f>
        <v>48.760000000000005</v>
      </c>
      <c r="J158" s="98">
        <v>0.24229999999999999</v>
      </c>
      <c r="K158" s="99">
        <f>I158+ROUND(I158*J158,2)</f>
        <v>60.570000000000007</v>
      </c>
      <c r="L158" s="100">
        <f>TRUNC(TRUNC(G158*(1+J158),2)*F158,2)</f>
        <v>460.78</v>
      </c>
      <c r="M158" s="101">
        <f>N158-L158</f>
        <v>914.76</v>
      </c>
      <c r="N158" s="102">
        <f>ROUND(F158*K158,2)</f>
        <v>1375.54</v>
      </c>
    </row>
    <row r="159" spans="1:15" ht="27.6" x14ac:dyDescent="0.3">
      <c r="A159" s="90" t="s">
        <v>15543</v>
      </c>
      <c r="B159" s="103" t="s">
        <v>105</v>
      </c>
      <c r="C159" s="92" t="s">
        <v>31</v>
      </c>
      <c r="D159" s="93" t="str">
        <f>VLOOKUP(B159,composicoes!$A:$K,2,0)</f>
        <v>TUBO CONCRETO ARMADO AGUAS PLUVIAIS, CLASSE PA-3, ENCAIXE PONTA E BOLSA, DN 400 MM - ASSENTAMENTO, INCLUSO ANEL DE VEDAÇÃO</v>
      </c>
      <c r="E159" s="94" t="str">
        <f>VLOOKUP(B159,composicoes!$A:$K,8,0)</f>
        <v>M</v>
      </c>
      <c r="F159" s="104">
        <f>F149</f>
        <v>71.430000000000007</v>
      </c>
      <c r="G159" s="96">
        <f>VLOOKUP(B159,composicoes!$A:$K,10,0)</f>
        <v>22.72</v>
      </c>
      <c r="H159" s="96">
        <f>VLOOKUP(B159,composicoes!$A:$K,11,0)</f>
        <v>41.22</v>
      </c>
      <c r="I159" s="97">
        <f>G159+H159</f>
        <v>63.94</v>
      </c>
      <c r="J159" s="98">
        <v>0.24229999999999999</v>
      </c>
      <c r="K159" s="99">
        <f>I159+ROUND(I159*J159,2)</f>
        <v>79.429999999999993</v>
      </c>
      <c r="L159" s="100">
        <f>TRUNC(TRUNC(G159*(1+J159),2)*F159,2)</f>
        <v>2015.75</v>
      </c>
      <c r="M159" s="101">
        <f>N159-L159</f>
        <v>3657.9300000000003</v>
      </c>
      <c r="N159" s="102">
        <f>ROUND(F159*K159,2)</f>
        <v>5673.68</v>
      </c>
    </row>
    <row r="160" spans="1:15" ht="27.6" x14ac:dyDescent="0.3">
      <c r="A160" s="90" t="s">
        <v>15544</v>
      </c>
      <c r="B160" s="103" t="s">
        <v>107</v>
      </c>
      <c r="C160" s="92" t="s">
        <v>31</v>
      </c>
      <c r="D160" s="93" t="str">
        <f>VLOOKUP(B160,composicoes!$A:$K,2,0)</f>
        <v>TUBO CONCRETO ARMADO AGUAS PLUVIAIS, CLASSE PA-3, ENCAIXE PONTA E BOLSA, DN 500 MM - ASSENTAMENTO, INCLUSO ANEL DE VEDAÇÃO</v>
      </c>
      <c r="E160" s="94" t="str">
        <f>VLOOKUP(B160,composicoes!$A:$K,8,0)</f>
        <v>M</v>
      </c>
      <c r="F160" s="104">
        <f>F150</f>
        <v>27.7</v>
      </c>
      <c r="G160" s="96">
        <f>VLOOKUP(B160,composicoes!$A:$K,10,0)</f>
        <v>29.27</v>
      </c>
      <c r="H160" s="96">
        <f>VLOOKUP(B160,composicoes!$A:$K,11,0)</f>
        <v>51.06</v>
      </c>
      <c r="I160" s="97">
        <f>G160+H160</f>
        <v>80.33</v>
      </c>
      <c r="J160" s="98">
        <v>0.24229999999999999</v>
      </c>
      <c r="K160" s="99">
        <f>I160+ROUND(I160*J160,2)</f>
        <v>99.789999999999992</v>
      </c>
      <c r="L160" s="100">
        <f>TRUNC(TRUNC(G160*(1+J160),2)*F160,2)</f>
        <v>1007.17</v>
      </c>
      <c r="M160" s="101">
        <f>N160-L160</f>
        <v>1757.0099999999998</v>
      </c>
      <c r="N160" s="102">
        <f>ROUND(F160*K160,2)</f>
        <v>2764.18</v>
      </c>
    </row>
    <row r="161" spans="1:15" ht="27.6" x14ac:dyDescent="0.3">
      <c r="A161" s="90" t="s">
        <v>15578</v>
      </c>
      <c r="B161" s="103" t="s">
        <v>109</v>
      </c>
      <c r="C161" s="92" t="s">
        <v>31</v>
      </c>
      <c r="D161" s="93" t="str">
        <f>VLOOKUP(B161,composicoes!$A:$K,2,0)</f>
        <v>TUBO CONCRETO ARMADO AGUAS PLUVIAIS, CLASSE PA-3, ENCAIXE PONTA E BOLSA, DN 800 MM - ASSENTAMENTO, INCLUSO ANEL DE VEDAÇÃO</v>
      </c>
      <c r="E161" s="94" t="str">
        <f>VLOOKUP(B161,composicoes!$A:$K,8,0)</f>
        <v>M</v>
      </c>
      <c r="F161" s="104">
        <f>F151</f>
        <v>88.1</v>
      </c>
      <c r="G161" s="96">
        <f>VLOOKUP(B161,composicoes!$A:$K,10,0)</f>
        <v>49.57</v>
      </c>
      <c r="H161" s="96">
        <f>VLOOKUP(B161,composicoes!$A:$K,11,0)</f>
        <v>96.6</v>
      </c>
      <c r="I161" s="97">
        <f>G161+H161</f>
        <v>146.16999999999999</v>
      </c>
      <c r="J161" s="98">
        <v>0.24229999999999999</v>
      </c>
      <c r="K161" s="99">
        <f>I161+ROUND(I161*J161,2)</f>
        <v>181.58999999999997</v>
      </c>
      <c r="L161" s="100">
        <f>TRUNC(TRUNC(G161*(1+J161),2)*F161,2)</f>
        <v>5425.19</v>
      </c>
      <c r="M161" s="101">
        <f>N161-L161</f>
        <v>10572.89</v>
      </c>
      <c r="N161" s="102">
        <f>ROUND(F161*K161,2)</f>
        <v>15998.08</v>
      </c>
      <c r="O161" s="62"/>
    </row>
    <row r="162" spans="1:15" s="62" customFormat="1" ht="13.8" x14ac:dyDescent="0.25">
      <c r="A162" s="82">
        <v>15</v>
      </c>
      <c r="B162" s="83"/>
      <c r="C162" s="84"/>
      <c r="D162" s="85" t="s">
        <v>15416</v>
      </c>
      <c r="E162" s="86"/>
      <c r="F162" s="87"/>
      <c r="G162" s="87"/>
      <c r="H162" s="87"/>
      <c r="I162" s="87"/>
      <c r="J162" s="88"/>
      <c r="K162" s="88"/>
      <c r="L162" s="87"/>
      <c r="M162" s="87"/>
      <c r="N162" s="89"/>
    </row>
    <row r="163" spans="1:15" ht="27.6" x14ac:dyDescent="0.3">
      <c r="A163" s="90" t="s">
        <v>15545</v>
      </c>
      <c r="B163" s="103">
        <v>97949</v>
      </c>
      <c r="C163" s="111" t="s">
        <v>53</v>
      </c>
      <c r="D163" s="93" t="str">
        <f>IF(C163="SINAPI",IFERROR(VLOOKUP(B163,'SINAPI-comp'!$B:$H,2,0),VLOOKUP(B163,'SINAPI-insumo'!$B:$H,2,0)))</f>
        <v>CAIXA PARA BOCA DE LOBO SIMPLES RETANGULAR, EM ALVENARIA COM TIJOLOS CERÂMICOS MACIÇOS, DIMENSÕES INTERNAS: 0,6X1X1,2 M. AF_12/2020</v>
      </c>
      <c r="E163" s="94" t="str">
        <f>IF(C163="SINAPI",IFERROR(VLOOKUP(B163,'SINAPI-comp'!$B:$H,3,0),VLOOKUP(B163,'SINAPI-insumo'!$B:$H,3,0)))</f>
        <v>UN</v>
      </c>
      <c r="F163" s="104">
        <f>quant_drenagem!C69</f>
        <v>2</v>
      </c>
      <c r="G163" s="96">
        <f>IFERROR(VLOOKUP(B163,'SINAPI-comp'!$B:$H,4,0)-H163,0)</f>
        <v>989.0200000000001</v>
      </c>
      <c r="H163" s="96">
        <f>IF(C163="SINAPI",IFERROR(VLOOKUP(B163,'SINAPI-comp'!$B:$H,7,0),VLOOKUP(B163,'SINAPI-insumo'!$B:$H,7,0)))</f>
        <v>1021.18</v>
      </c>
      <c r="I163" s="97">
        <f t="shared" ref="I163:I167" si="105">G163+H163</f>
        <v>2010.2</v>
      </c>
      <c r="J163" s="98">
        <v>0.24229999999999999</v>
      </c>
      <c r="K163" s="99">
        <f t="shared" ref="K163:K167" si="106">I163+ROUND(I163*J163,2)</f>
        <v>2497.27</v>
      </c>
      <c r="L163" s="100">
        <f t="shared" ref="L163:L167" si="107">TRUNC(TRUNC(G163*(1+J163),2)*F163,2)</f>
        <v>2457.3000000000002</v>
      </c>
      <c r="M163" s="101">
        <f t="shared" ref="M163:M167" si="108">N163-L163</f>
        <v>2537.2399999999998</v>
      </c>
      <c r="N163" s="102">
        <f t="shared" ref="N163:N167" si="109">ROUND(F163*K163,2)</f>
        <v>4994.54</v>
      </c>
    </row>
    <row r="164" spans="1:15" ht="27.6" x14ac:dyDescent="0.3">
      <c r="A164" s="90" t="s">
        <v>15546</v>
      </c>
      <c r="B164" s="103">
        <v>97951</v>
      </c>
      <c r="C164" s="111" t="s">
        <v>53</v>
      </c>
      <c r="D164" s="93" t="str">
        <f>IF(C164="SINAPI",IFERROR(VLOOKUP(B164,'SINAPI-comp'!$B:$H,2,0),VLOOKUP(B164,'SINAPI-insumo'!$B:$H,2,0)))</f>
        <v>CAIXA PARA BOCA DE LOBO COMBINADA COM GRELHA RETANGULAR, EM ALVENARIA COM TIJOLOS CERÂMICOS MACIÇOS, DIMENSÕES INTERNAS: 1,3X1X1,2 M. AF_12/2020</v>
      </c>
      <c r="E164" s="94" t="str">
        <f>IF(C164="SINAPI",IFERROR(VLOOKUP(B164,'SINAPI-comp'!$B:$H,3,0),VLOOKUP(B164,'SINAPI-insumo'!$B:$H,3,0)))</f>
        <v>UN</v>
      </c>
      <c r="F164" s="104">
        <f>quant_drenagem!C71</f>
        <v>1</v>
      </c>
      <c r="G164" s="96">
        <f>IFERROR(VLOOKUP(B164,'SINAPI-comp'!$B:$H,4,0)-H164,0)</f>
        <v>1344.28</v>
      </c>
      <c r="H164" s="96">
        <f>IF(C164="SINAPI",IFERROR(VLOOKUP(B164,'SINAPI-comp'!$B:$H,7,0),VLOOKUP(B164,'SINAPI-insumo'!$B:$H,7,0)))</f>
        <v>1933.64</v>
      </c>
      <c r="I164" s="97">
        <f t="shared" si="105"/>
        <v>3277.92</v>
      </c>
      <c r="J164" s="98">
        <v>0.24229999999999999</v>
      </c>
      <c r="K164" s="99">
        <f t="shared" si="106"/>
        <v>4072.16</v>
      </c>
      <c r="L164" s="100">
        <f t="shared" si="107"/>
        <v>1669.99</v>
      </c>
      <c r="M164" s="101">
        <f t="shared" si="108"/>
        <v>2402.17</v>
      </c>
      <c r="N164" s="102">
        <f t="shared" si="109"/>
        <v>4072.16</v>
      </c>
    </row>
    <row r="165" spans="1:15" x14ac:dyDescent="0.3">
      <c r="A165" s="90" t="s">
        <v>15547</v>
      </c>
      <c r="B165" s="103" t="s">
        <v>115</v>
      </c>
      <c r="C165" s="92" t="s">
        <v>31</v>
      </c>
      <c r="D165" s="93" t="str">
        <f>VLOOKUP(B165,composicoes!$A:$K,2,0)</f>
        <v>POÇO DE VISITA TIPO A, 0,80x0,80x1,00m EM TIJOLO MACIÇO, SEM TAMPA</v>
      </c>
      <c r="E165" s="94" t="str">
        <f>VLOOKUP(B165,composicoes!$A:$K,8,0)</f>
        <v>UN</v>
      </c>
      <c r="F165" s="104">
        <f>quant_drenagem!C59</f>
        <v>2</v>
      </c>
      <c r="G165" s="96">
        <f>VLOOKUP(B165,composicoes!$A:$K,10,0)</f>
        <v>820.73</v>
      </c>
      <c r="H165" s="96">
        <f>VLOOKUP(B165,composicoes!$A:$K,11,0)</f>
        <v>425.98</v>
      </c>
      <c r="I165" s="97">
        <f t="shared" si="105"/>
        <v>1246.71</v>
      </c>
      <c r="J165" s="98">
        <v>0.24229999999999999</v>
      </c>
      <c r="K165" s="99">
        <f t="shared" si="106"/>
        <v>1548.79</v>
      </c>
      <c r="L165" s="100">
        <f t="shared" si="107"/>
        <v>2039.18</v>
      </c>
      <c r="M165" s="101">
        <f t="shared" si="108"/>
        <v>1058.3999999999999</v>
      </c>
      <c r="N165" s="102">
        <f t="shared" si="109"/>
        <v>3097.58</v>
      </c>
    </row>
    <row r="166" spans="1:15" x14ac:dyDescent="0.3">
      <c r="A166" s="90" t="s">
        <v>15709</v>
      </c>
      <c r="B166" s="103" t="s">
        <v>116</v>
      </c>
      <c r="C166" s="92" t="s">
        <v>31</v>
      </c>
      <c r="D166" s="93" t="str">
        <f>VLOOKUP(B166,composicoes!$A:$K,2,0)</f>
        <v>METRO ADICIONAL POÇO DE VISITA TIPO A, 0,80x0,80m EM TIJOLO MACIÇO</v>
      </c>
      <c r="E166" s="94" t="str">
        <f>VLOOKUP(B166,composicoes!$A:$K,8,0)</f>
        <v>M</v>
      </c>
      <c r="F166" s="104">
        <f>quant_drenagem!C61</f>
        <v>0.59</v>
      </c>
      <c r="G166" s="96">
        <f>VLOOKUP(B166,composicoes!$A:$K,10,0)</f>
        <v>690.02</v>
      </c>
      <c r="H166" s="96">
        <f>VLOOKUP(B166,composicoes!$A:$K,11,0)</f>
        <v>493.73</v>
      </c>
      <c r="I166" s="97">
        <f t="shared" si="105"/>
        <v>1183.75</v>
      </c>
      <c r="J166" s="98">
        <v>0.24229999999999999</v>
      </c>
      <c r="K166" s="99">
        <f t="shared" si="106"/>
        <v>1470.57</v>
      </c>
      <c r="L166" s="100">
        <f t="shared" si="107"/>
        <v>505.75</v>
      </c>
      <c r="M166" s="101">
        <f t="shared" si="108"/>
        <v>361.89</v>
      </c>
      <c r="N166" s="102">
        <f t="shared" si="109"/>
        <v>867.64</v>
      </c>
    </row>
    <row r="167" spans="1:15" x14ac:dyDescent="0.3">
      <c r="A167" s="90" t="s">
        <v>15710</v>
      </c>
      <c r="B167" s="103" t="s">
        <v>117</v>
      </c>
      <c r="C167" s="92" t="s">
        <v>31</v>
      </c>
      <c r="D167" s="93" t="str">
        <f>VLOOKUP(B167,composicoes!$A:$K,2,0)</f>
        <v>POÇO DE VISITA TIPO B, 1,00x1,00x1,50m EM TIJOLO MACIÇO, SEM TAMPA (PV 03)</v>
      </c>
      <c r="E167" s="94" t="str">
        <f>VLOOKUP(B167,composicoes!$A:$K,8,0)</f>
        <v>UN</v>
      </c>
      <c r="F167" s="104">
        <f>quant_drenagem!C62</f>
        <v>1</v>
      </c>
      <c r="G167" s="96">
        <f>VLOOKUP(B167,composicoes!$A:$K,10,0)</f>
        <v>1535.52</v>
      </c>
      <c r="H167" s="96">
        <f>VLOOKUP(B167,composicoes!$A:$K,11,0)</f>
        <v>782.36</v>
      </c>
      <c r="I167" s="97">
        <f t="shared" si="105"/>
        <v>2317.88</v>
      </c>
      <c r="J167" s="98">
        <v>0.24229999999999999</v>
      </c>
      <c r="K167" s="99">
        <f t="shared" si="106"/>
        <v>2879.5</v>
      </c>
      <c r="L167" s="100">
        <f t="shared" si="107"/>
        <v>1907.57</v>
      </c>
      <c r="M167" s="101">
        <f t="shared" si="108"/>
        <v>971.93000000000006</v>
      </c>
      <c r="N167" s="102">
        <f t="shared" si="109"/>
        <v>2879.5</v>
      </c>
    </row>
    <row r="168" spans="1:15" x14ac:dyDescent="0.3">
      <c r="A168" s="90" t="s">
        <v>15711</v>
      </c>
      <c r="B168" s="103" t="s">
        <v>118</v>
      </c>
      <c r="C168" s="92" t="s">
        <v>31</v>
      </c>
      <c r="D168" s="93" t="str">
        <f>VLOOKUP(B168,composicoes!$A:$K,2,0)</f>
        <v>POÇO DE VISITA TIPO E, 1,50x1,50x2,30m EM TIJOLO MACIÇO, SEM TAMPA (PV 04)</v>
      </c>
      <c r="E168" s="94" t="str">
        <f>VLOOKUP(B168,composicoes!$A:$K,8,0)</f>
        <v>UN</v>
      </c>
      <c r="F168" s="104">
        <v>1</v>
      </c>
      <c r="G168" s="96">
        <f>VLOOKUP(B168,composicoes!$A:$K,10,0)</f>
        <v>1395.18</v>
      </c>
      <c r="H168" s="96">
        <f>VLOOKUP(B168,composicoes!$A:$K,11,0)</f>
        <v>1026.46</v>
      </c>
      <c r="I168" s="97">
        <f t="shared" ref="I168:I169" si="110">G168+H168</f>
        <v>2421.6400000000003</v>
      </c>
      <c r="J168" s="98">
        <v>0.24229999999999999</v>
      </c>
      <c r="K168" s="99">
        <f t="shared" ref="K168:K169" si="111">I168+ROUND(I168*J168,2)</f>
        <v>3008.4000000000005</v>
      </c>
      <c r="L168" s="100">
        <f t="shared" ref="L168:L169" si="112">TRUNC(TRUNC(G168*(1+J168),2)*F168,2)</f>
        <v>1733.23</v>
      </c>
      <c r="M168" s="101">
        <f t="shared" ref="M168:M169" si="113">N168-L168</f>
        <v>1275.17</v>
      </c>
      <c r="N168" s="102">
        <f t="shared" ref="N168:N169" si="114">ROUND(F168*K168,2)</f>
        <v>3008.4</v>
      </c>
    </row>
    <row r="169" spans="1:15" x14ac:dyDescent="0.3">
      <c r="A169" s="90" t="s">
        <v>15712</v>
      </c>
      <c r="B169" s="103" t="s">
        <v>127</v>
      </c>
      <c r="C169" s="92" t="s">
        <v>31</v>
      </c>
      <c r="D169" s="93" t="str">
        <f>VLOOKUP(B169,composicoes!$A:$K,2,0)</f>
        <v>POÇO DE VISITA TIPO E, 1,20x1,20x1,49m EM TIJOLO MACIÇO, SEM TAMPA (PV 05)</v>
      </c>
      <c r="E169" s="94" t="str">
        <f>VLOOKUP(B169,composicoes!$A:$K,8,0)</f>
        <v>UN</v>
      </c>
      <c r="F169" s="104">
        <v>1</v>
      </c>
      <c r="G169" s="96">
        <f>VLOOKUP(B169,composicoes!$A:$K,10,0)</f>
        <v>580.20000000000005</v>
      </c>
      <c r="H169" s="96">
        <f>VLOOKUP(B169,composicoes!$A:$K,11,0)</f>
        <v>426.86</v>
      </c>
      <c r="I169" s="97">
        <f t="shared" si="110"/>
        <v>1007.0600000000001</v>
      </c>
      <c r="J169" s="98">
        <v>0.24229999999999999</v>
      </c>
      <c r="K169" s="99">
        <f t="shared" si="111"/>
        <v>1251.0700000000002</v>
      </c>
      <c r="L169" s="100">
        <f t="shared" si="112"/>
        <v>720.78</v>
      </c>
      <c r="M169" s="101">
        <f t="shared" si="113"/>
        <v>530.29</v>
      </c>
      <c r="N169" s="102">
        <f t="shared" si="114"/>
        <v>1251.07</v>
      </c>
    </row>
    <row r="170" spans="1:15" x14ac:dyDescent="0.3">
      <c r="A170" s="90" t="s">
        <v>15713</v>
      </c>
      <c r="B170" s="103" t="s">
        <v>128</v>
      </c>
      <c r="C170" s="92" t="s">
        <v>31</v>
      </c>
      <c r="D170" s="93" t="str">
        <f>VLOOKUP(B170,composicoes!$A:$K,2,0)</f>
        <v>POÇO DE VISITA TIPO E, 1,20x1,20x1,33m EM TIJOLO MACIÇO, SEM TAMPA (PV 06)</v>
      </c>
      <c r="E170" s="94" t="str">
        <f>VLOOKUP(B170,composicoes!$A:$K,8,0)</f>
        <v>UN</v>
      </c>
      <c r="F170" s="104">
        <v>1</v>
      </c>
      <c r="G170" s="96">
        <f>VLOOKUP(B170,composicoes!$A:$K,10,0)</f>
        <v>518.13</v>
      </c>
      <c r="H170" s="96">
        <f>VLOOKUP(B170,composicoes!$A:$K,11,0)</f>
        <v>381.2</v>
      </c>
      <c r="I170" s="97">
        <f t="shared" ref="I170" si="115">G170+H170</f>
        <v>899.32999999999993</v>
      </c>
      <c r="J170" s="98">
        <v>0.24229999999999999</v>
      </c>
      <c r="K170" s="99">
        <f t="shared" ref="K170" si="116">I170+ROUND(I170*J170,2)</f>
        <v>1117.24</v>
      </c>
      <c r="L170" s="100">
        <f t="shared" ref="L170" si="117">TRUNC(TRUNC(G170*(1+J170),2)*F170,2)</f>
        <v>643.66999999999996</v>
      </c>
      <c r="M170" s="101">
        <f t="shared" ref="M170" si="118">N170-L170</f>
        <v>473.57000000000005</v>
      </c>
      <c r="N170" s="102">
        <f t="shared" ref="N170" si="119">ROUND(F170*K170,2)</f>
        <v>1117.24</v>
      </c>
    </row>
    <row r="171" spans="1:15" x14ac:dyDescent="0.3">
      <c r="A171" s="90" t="s">
        <v>15714</v>
      </c>
      <c r="B171" s="103" t="s">
        <v>122</v>
      </c>
      <c r="C171" s="92" t="s">
        <v>31</v>
      </c>
      <c r="D171" s="93" t="str">
        <f>VLOOKUP(B171,composicoes!$A:$K,2,0)</f>
        <v>POÇO DE VISITA TIPO E, 1,20x1,20x1,59m EM TIJOLO MACIÇO, SEM TAMPA (PV 07)</v>
      </c>
      <c r="E171" s="94" t="str">
        <f>VLOOKUP(B171,composicoes!$A:$K,8,0)</f>
        <v>UN</v>
      </c>
      <c r="F171" s="104">
        <v>1</v>
      </c>
      <c r="G171" s="96">
        <f>VLOOKUP(B171,composicoes!$A:$K,10,0)</f>
        <v>617.98</v>
      </c>
      <c r="H171" s="96">
        <f>VLOOKUP(B171,composicoes!$A:$K,11,0)</f>
        <v>454.66</v>
      </c>
      <c r="I171" s="97">
        <f t="shared" ref="I171" si="120">G171+H171</f>
        <v>1072.6400000000001</v>
      </c>
      <c r="J171" s="98">
        <v>0.24229999999999999</v>
      </c>
      <c r="K171" s="99">
        <f t="shared" ref="K171" si="121">I171+ROUND(I171*J171,2)</f>
        <v>1332.54</v>
      </c>
      <c r="L171" s="100">
        <f t="shared" ref="L171" si="122">TRUNC(TRUNC(G171*(1+J171),2)*F171,2)</f>
        <v>767.71</v>
      </c>
      <c r="M171" s="101">
        <f t="shared" ref="M171" si="123">N171-L171</f>
        <v>564.82999999999993</v>
      </c>
      <c r="N171" s="102">
        <f t="shared" ref="N171" si="124">ROUND(F171*K171,2)</f>
        <v>1332.54</v>
      </c>
    </row>
    <row r="172" spans="1:15" ht="27.6" x14ac:dyDescent="0.3">
      <c r="A172" s="90" t="s">
        <v>15715</v>
      </c>
      <c r="B172" s="103" t="s">
        <v>15585</v>
      </c>
      <c r="C172" s="92" t="s">
        <v>31</v>
      </c>
      <c r="D172" s="93" t="str">
        <f>VLOOKUP(B172,composicoes!$A:$K,2,0)</f>
        <v>TAMPA FOFO ARTICULADO, COM BASE / REQUADRO, CLASSE D400 CARGA MAX 40 T, REDONDO, Ø600 MM (COM INSCRICAO EM RELEVO DO TIPO DE REDE)</v>
      </c>
      <c r="E172" s="94" t="str">
        <f>VLOOKUP(B172,composicoes!$A:$K,8,0)</f>
        <v>UN</v>
      </c>
      <c r="F172" s="104">
        <f>quant_drenagem!C67</f>
        <v>1</v>
      </c>
      <c r="G172" s="96">
        <f>VLOOKUP(B172,composicoes!$A:$K,10,0)</f>
        <v>23.28</v>
      </c>
      <c r="H172" s="96">
        <f>VLOOKUP(B172,composicoes!$A:$K,11,0)</f>
        <v>657.55</v>
      </c>
      <c r="I172" s="97">
        <f>G172+H172</f>
        <v>680.82999999999993</v>
      </c>
      <c r="J172" s="98">
        <v>0.24229999999999999</v>
      </c>
      <c r="K172" s="99">
        <f>I172+ROUND(I172*J172,2)</f>
        <v>845.8</v>
      </c>
      <c r="L172" s="100">
        <f>TRUNC(TRUNC(G172*(1+J172),2)*F172,2)</f>
        <v>28.92</v>
      </c>
      <c r="M172" s="101">
        <f>N172-L172</f>
        <v>816.88</v>
      </c>
      <c r="N172" s="102">
        <f>ROUND(F172*K172,2)</f>
        <v>845.8</v>
      </c>
    </row>
    <row r="173" spans="1:15" x14ac:dyDescent="0.3">
      <c r="A173" s="90" t="s">
        <v>15716</v>
      </c>
      <c r="B173" s="103" t="s">
        <v>15588</v>
      </c>
      <c r="C173" s="92" t="s">
        <v>31</v>
      </c>
      <c r="D173" s="93" t="str">
        <f>VLOOKUP(B173,composicoes!$A:$K,2,0)</f>
        <v>TAMPA EM CONCRETO PRÉ-MOLDADO FCK = 30MPA PARA ESGOTO E DRENAGEM</v>
      </c>
      <c r="E173" s="94" t="str">
        <f>VLOOKUP(B173,composicoes!$A:$K,8,0)</f>
        <v>M3</v>
      </c>
      <c r="F173" s="104">
        <f>TRUNC((F165*1*1+F167*1.2*1.2+F168*1.7*1.7+(F169+F170+F171)*1.4*1.4)*0.1,2)</f>
        <v>1.22</v>
      </c>
      <c r="G173" s="96">
        <f>VLOOKUP(B173,composicoes!$A:$K,10,0)</f>
        <v>1075.28</v>
      </c>
      <c r="H173" s="96">
        <f>VLOOKUP(B173,composicoes!$A:$K,11,0)</f>
        <v>1329.17</v>
      </c>
      <c r="I173" s="97">
        <f t="shared" ref="I173" si="125">G173+H173</f>
        <v>2404.4499999999998</v>
      </c>
      <c r="J173" s="98">
        <v>0.24229999999999999</v>
      </c>
      <c r="K173" s="99">
        <f t="shared" ref="K173" si="126">I173+ROUND(I173*J173,2)</f>
        <v>2987.0499999999997</v>
      </c>
      <c r="L173" s="100">
        <f t="shared" ref="L173" si="127">TRUNC(TRUNC(G173*(1+J173),2)*F173,2)</f>
        <v>1629.7</v>
      </c>
      <c r="M173" s="101">
        <f t="shared" ref="M173" si="128">N173-L173</f>
        <v>2014.4999999999998</v>
      </c>
      <c r="N173" s="102">
        <f t="shared" ref="N173" si="129">ROUND(F173*K173,2)</f>
        <v>3644.2</v>
      </c>
    </row>
    <row r="174" spans="1:15" s="62" customFormat="1" ht="13.8" x14ac:dyDescent="0.25">
      <c r="A174" s="82">
        <v>16</v>
      </c>
      <c r="B174" s="83"/>
      <c r="C174" s="84"/>
      <c r="D174" s="85" t="s">
        <v>15458</v>
      </c>
      <c r="E174" s="86"/>
      <c r="F174" s="87"/>
      <c r="G174" s="87"/>
      <c r="H174" s="87"/>
      <c r="I174" s="87"/>
      <c r="J174" s="88"/>
      <c r="K174" s="88"/>
      <c r="L174" s="87"/>
      <c r="M174" s="87"/>
      <c r="N174" s="89"/>
    </row>
    <row r="175" spans="1:15" x14ac:dyDescent="0.3">
      <c r="A175" s="90" t="s">
        <v>15579</v>
      </c>
      <c r="B175" s="103" t="s">
        <v>121</v>
      </c>
      <c r="C175" s="92" t="s">
        <v>31</v>
      </c>
      <c r="D175" s="93" t="str">
        <f>VLOOKUP(B175,composicoes!$A:$K,2,0)</f>
        <v>ENVELOPAMENTO EM CONCRETO USINADO FCK = 20MPA</v>
      </c>
      <c r="E175" s="94" t="str">
        <f>VLOOKUP(B175,composicoes!$A:$K,8,0)</f>
        <v>M3</v>
      </c>
      <c r="F175" s="104">
        <f>quant_drenagem!C76</f>
        <v>14.09</v>
      </c>
      <c r="G175" s="96">
        <f>VLOOKUP(B175,composicoes!$A:$K,10,0)</f>
        <v>23.32</v>
      </c>
      <c r="H175" s="96">
        <f>VLOOKUP(B175,composicoes!$A:$K,11,0)</f>
        <v>802.82</v>
      </c>
      <c r="I175" s="97">
        <f>G175+H175</f>
        <v>826.1400000000001</v>
      </c>
      <c r="J175" s="98">
        <v>0.24229999999999999</v>
      </c>
      <c r="K175" s="99">
        <f>I175+ROUND(I175*J175,2)</f>
        <v>1026.3100000000002</v>
      </c>
      <c r="L175" s="100">
        <f>TRUNC(TRUNC(G175*(1+J175),2)*F175,2)</f>
        <v>408.18</v>
      </c>
      <c r="M175" s="101">
        <f>N175-L175</f>
        <v>14052.529999999999</v>
      </c>
      <c r="N175" s="102">
        <f>ROUND(F175*K175,2)</f>
        <v>14460.71</v>
      </c>
    </row>
    <row r="176" spans="1:15" x14ac:dyDescent="0.3">
      <c r="A176" s="90" t="s">
        <v>15580</v>
      </c>
      <c r="B176" s="103" t="s">
        <v>125</v>
      </c>
      <c r="C176" s="92" t="s">
        <v>31</v>
      </c>
      <c r="D176" s="93" t="str">
        <f>VLOOKUP(B176,composicoes!$A:$K,2,0)</f>
        <v>CONCRETO ARMADO PARA ALA DE DRENAGEM, INCLUSO FORMA</v>
      </c>
      <c r="E176" s="94" t="str">
        <f>VLOOKUP(B176,composicoes!$A:$K,8,0)</f>
        <v>M3</v>
      </c>
      <c r="F176" s="104">
        <f>quant_drenagem!C88</f>
        <v>0.57999999999999996</v>
      </c>
      <c r="G176" s="96">
        <f>VLOOKUP(B176,composicoes!$A:$K,10,0)</f>
        <v>694.94</v>
      </c>
      <c r="H176" s="96">
        <f>VLOOKUP(B176,composicoes!$A:$K,11,0)</f>
        <v>1951.35</v>
      </c>
      <c r="I176" s="97">
        <f t="shared" ref="I176" si="130">G176+H176</f>
        <v>2646.29</v>
      </c>
      <c r="J176" s="98">
        <v>0.24229999999999999</v>
      </c>
      <c r="K176" s="99">
        <f t="shared" ref="K176" si="131">I176+ROUND(I176*J176,2)</f>
        <v>3287.49</v>
      </c>
      <c r="L176" s="100">
        <f t="shared" ref="L176" si="132">TRUNC(TRUNC(G176*(1+J176),2)*F176,2)</f>
        <v>500.72</v>
      </c>
      <c r="M176" s="101">
        <f t="shared" ref="M176" si="133">N176-L176</f>
        <v>1406.02</v>
      </c>
      <c r="N176" s="102">
        <f t="shared" ref="N176" si="134">ROUND(F176*K176,2)</f>
        <v>1906.74</v>
      </c>
    </row>
    <row r="177" spans="1:15" x14ac:dyDescent="0.3">
      <c r="A177" s="90" t="s">
        <v>15581</v>
      </c>
      <c r="B177" s="103" t="s">
        <v>123</v>
      </c>
      <c r="C177" s="92" t="s">
        <v>31</v>
      </c>
      <c r="D177" s="93" t="str">
        <f>VLOOKUP(B177,composicoes!$A:$K,2,0)</f>
        <v>ALVENARIA DE PEDRA GRANITICA, E=25CM</v>
      </c>
      <c r="E177" s="94" t="str">
        <f>VLOOKUP(B177,composicoes!$A:$K,8,0)</f>
        <v>M2</v>
      </c>
      <c r="F177" s="104">
        <f>quant_drenagem!C87</f>
        <v>2.78</v>
      </c>
      <c r="G177" s="96">
        <f>VLOOKUP(B177,composicoes!$A:$K,10,0)</f>
        <v>61.5</v>
      </c>
      <c r="H177" s="96">
        <f>VLOOKUP(B177,composicoes!$A:$K,11,0)</f>
        <v>43.98</v>
      </c>
      <c r="I177" s="97">
        <f t="shared" ref="I177:I182" si="135">G177+H177</f>
        <v>105.47999999999999</v>
      </c>
      <c r="J177" s="98">
        <v>0.24229999999999999</v>
      </c>
      <c r="K177" s="99">
        <f t="shared" ref="K177:K182" si="136">I177+ROUND(I177*J177,2)</f>
        <v>131.04</v>
      </c>
      <c r="L177" s="100">
        <f t="shared" ref="L177:L182" si="137">TRUNC(TRUNC(G177*(1+J177),2)*F177,2)</f>
        <v>212.39</v>
      </c>
      <c r="M177" s="101">
        <f t="shared" ref="M177:M182" si="138">N177-L177</f>
        <v>151.90000000000003</v>
      </c>
      <c r="N177" s="102">
        <f t="shared" ref="N177:N182" si="139">ROUND(F177*K177,2)</f>
        <v>364.29</v>
      </c>
    </row>
    <row r="178" spans="1:15" ht="27.6" x14ac:dyDescent="0.3">
      <c r="A178" s="90" t="s">
        <v>15582</v>
      </c>
      <c r="B178" s="103">
        <v>105742</v>
      </c>
      <c r="C178" s="111" t="s">
        <v>53</v>
      </c>
      <c r="D178" s="93" t="str">
        <f>IF(C178="SINAPI",IFERROR(VLOOKUP(B178,'SINAPI-comp'!$B:$H,2,0),VLOOKUP(B178,'SINAPI-insumo'!$B:$H,2,0)))</f>
        <v>CONSTRUÇÃO DE BASE E SUB-BASE PARA PAVIMENTAÇÃO DE RACHÃO, COM ESPESSURA DE 30 CM - EXCLUSIVE CARGA E TRANSPORTE. AF_09/2024</v>
      </c>
      <c r="E178" s="94" t="str">
        <f>IF(C178="SINAPI",IFERROR(VLOOKUP(B178,'SINAPI-comp'!$B:$H,3,0),VLOOKUP(B178,'SINAPI-insumo'!$B:$H,3,0)))</f>
        <v>M3</v>
      </c>
      <c r="F178" s="104">
        <f>quant_drenagem!C92</f>
        <v>47.58</v>
      </c>
      <c r="G178" s="96">
        <f>IFERROR(VLOOKUP(B178,'SINAPI-comp'!$B:$H,4,0)-H178,0)</f>
        <v>7.5100000000000051</v>
      </c>
      <c r="H178" s="96">
        <f>IF(C178="SINAPI",IFERROR(VLOOKUP(B178,'SINAPI-comp'!$B:$H,7,0),VLOOKUP(B178,'SINAPI-insumo'!$B:$H,7,0)))</f>
        <v>117.19</v>
      </c>
      <c r="I178" s="97">
        <f t="shared" si="135"/>
        <v>124.7</v>
      </c>
      <c r="J178" s="98">
        <v>0.24229999999999999</v>
      </c>
      <c r="K178" s="99">
        <f t="shared" si="136"/>
        <v>154.91</v>
      </c>
      <c r="L178" s="100">
        <f t="shared" si="137"/>
        <v>443.44</v>
      </c>
      <c r="M178" s="101">
        <f t="shared" si="138"/>
        <v>6927.18</v>
      </c>
      <c r="N178" s="102">
        <f t="shared" si="139"/>
        <v>7370.62</v>
      </c>
    </row>
    <row r="179" spans="1:15" ht="27.6" x14ac:dyDescent="0.3">
      <c r="A179" s="90" t="s">
        <v>15761</v>
      </c>
      <c r="B179" s="103">
        <v>105730</v>
      </c>
      <c r="C179" s="111" t="s">
        <v>53</v>
      </c>
      <c r="D179" s="93" t="str">
        <f>IF(C179="SINAPI",IFERROR(VLOOKUP(B179,'SINAPI-comp'!$B:$H,2,0),VLOOKUP(B179,'SINAPI-insumo'!$B:$H,2,0)))</f>
        <v>CONSTRUÇÃO DE BASE E SUB-BASE PARA PAVIMENTAÇÃO DE BRITA GRADUADA SIMPLES, COM ESPESSURA DE 20 CM - EXCLUSIVE CARGA E TRANSPORTE. AF_09/2024</v>
      </c>
      <c r="E179" s="94" t="str">
        <f>IF(C179="SINAPI",IFERROR(VLOOKUP(B179,'SINAPI-comp'!$B:$H,3,0),VLOOKUP(B179,'SINAPI-insumo'!$B:$H,3,0)))</f>
        <v>M3</v>
      </c>
      <c r="F179" s="104">
        <f>quant_drenagem!C91</f>
        <v>47.58</v>
      </c>
      <c r="G179" s="96">
        <f>IFERROR(VLOOKUP(B179,'SINAPI-comp'!$B:$H,4,0)-H179,0)</f>
        <v>8.7199999999999989</v>
      </c>
      <c r="H179" s="96">
        <f>IF(C179="SINAPI",IFERROR(VLOOKUP(B179,'SINAPI-comp'!$B:$H,7,0),VLOOKUP(B179,'SINAPI-insumo'!$B:$H,7,0)))</f>
        <v>169.81</v>
      </c>
      <c r="I179" s="97">
        <f t="shared" si="135"/>
        <v>178.53</v>
      </c>
      <c r="J179" s="98">
        <v>0.24229999999999999</v>
      </c>
      <c r="K179" s="99">
        <f t="shared" si="136"/>
        <v>221.79</v>
      </c>
      <c r="L179" s="100">
        <f t="shared" si="137"/>
        <v>515.29</v>
      </c>
      <c r="M179" s="101">
        <f t="shared" si="138"/>
        <v>10037.48</v>
      </c>
      <c r="N179" s="102">
        <f t="shared" si="139"/>
        <v>10552.77</v>
      </c>
    </row>
    <row r="180" spans="1:15" x14ac:dyDescent="0.3">
      <c r="A180" s="90" t="s">
        <v>15762</v>
      </c>
      <c r="B180" s="103" t="s">
        <v>15436</v>
      </c>
      <c r="C180" s="92" t="s">
        <v>31</v>
      </c>
      <c r="D180" s="93" t="str">
        <f>VLOOKUP(B180,composicoes!$A:$K,2,0)</f>
        <v>IMPRIMAÇÃO ASFÁLTICA - FORNECIMENTO</v>
      </c>
      <c r="E180" s="94" t="str">
        <f>VLOOKUP(B180,composicoes!$A:$K,8,0)</f>
        <v>T</v>
      </c>
      <c r="F180" s="104">
        <f>TRUNC(F182*(1.2/1000),2)</f>
        <v>0.38</v>
      </c>
      <c r="G180" s="96">
        <f>VLOOKUP(B180,composicoes!$A:$K,10,0)</f>
        <v>0</v>
      </c>
      <c r="H180" s="96">
        <f>VLOOKUP(B180,composicoes!$A:$K,11,0)</f>
        <v>4086.76</v>
      </c>
      <c r="I180" s="97">
        <f t="shared" si="135"/>
        <v>4086.76</v>
      </c>
      <c r="J180" s="98">
        <v>0.24229999999999999</v>
      </c>
      <c r="K180" s="99">
        <f t="shared" si="136"/>
        <v>5076.9800000000005</v>
      </c>
      <c r="L180" s="100">
        <f t="shared" si="137"/>
        <v>0</v>
      </c>
      <c r="M180" s="101">
        <f t="shared" si="138"/>
        <v>1929.25</v>
      </c>
      <c r="N180" s="102">
        <f t="shared" si="139"/>
        <v>1929.25</v>
      </c>
    </row>
    <row r="181" spans="1:15" x14ac:dyDescent="0.3">
      <c r="A181" s="90" t="s">
        <v>15763</v>
      </c>
      <c r="B181" s="110" t="s">
        <v>119</v>
      </c>
      <c r="C181" s="92" t="s">
        <v>31</v>
      </c>
      <c r="D181" s="93" t="str">
        <f>VLOOKUP(B181,composicoes!$A:$K,2,0)</f>
        <v>IMPRIMAÇÃO ASFALTICA - TRANSPORTE</v>
      </c>
      <c r="E181" s="94" t="str">
        <f>VLOOKUP(B181,composicoes!$A:$K,8,0)</f>
        <v>T</v>
      </c>
      <c r="F181" s="104">
        <f>TRUNC(F180,2)</f>
        <v>0.38</v>
      </c>
      <c r="G181" s="96">
        <f>VLOOKUP(B181,composicoes!$A:$K,10,0)</f>
        <v>0</v>
      </c>
      <c r="H181" s="96">
        <f>VLOOKUP(B181,composicoes!$A:$K,11,0)</f>
        <v>99.57</v>
      </c>
      <c r="I181" s="97">
        <f t="shared" si="135"/>
        <v>99.57</v>
      </c>
      <c r="J181" s="98">
        <v>0.24229999999999999</v>
      </c>
      <c r="K181" s="99">
        <f t="shared" si="136"/>
        <v>123.69999999999999</v>
      </c>
      <c r="L181" s="100">
        <f t="shared" si="137"/>
        <v>0</v>
      </c>
      <c r="M181" s="101">
        <f t="shared" si="138"/>
        <v>47.01</v>
      </c>
      <c r="N181" s="102">
        <f t="shared" si="139"/>
        <v>47.01</v>
      </c>
    </row>
    <row r="182" spans="1:15" x14ac:dyDescent="0.3">
      <c r="A182" s="90" t="s">
        <v>15764</v>
      </c>
      <c r="B182" s="103" t="s">
        <v>120</v>
      </c>
      <c r="C182" s="92" t="s">
        <v>31</v>
      </c>
      <c r="D182" s="93" t="str">
        <f>VLOOKUP(B182,composicoes!$A:$K,2,0)</f>
        <v>IMPRIMAÇÃO ASFÁLTICA - APLICAÇÃO</v>
      </c>
      <c r="E182" s="94" t="str">
        <f>VLOOKUP(B182,composicoes!$A:$K,8,0)</f>
        <v>M2</v>
      </c>
      <c r="F182" s="104">
        <f>quant_drenagem!C90</f>
        <v>317.17</v>
      </c>
      <c r="G182" s="96">
        <f>VLOOKUP(B182,composicoes!$A:$K,10,0)</f>
        <v>0.52</v>
      </c>
      <c r="H182" s="96">
        <f>VLOOKUP(B182,composicoes!$A:$K,11,0)</f>
        <v>0.78</v>
      </c>
      <c r="I182" s="97">
        <f t="shared" si="135"/>
        <v>1.3</v>
      </c>
      <c r="J182" s="98">
        <v>0.24229999999999999</v>
      </c>
      <c r="K182" s="99">
        <f t="shared" si="136"/>
        <v>1.61</v>
      </c>
      <c r="L182" s="100">
        <f t="shared" si="137"/>
        <v>202.98</v>
      </c>
      <c r="M182" s="101">
        <f t="shared" si="138"/>
        <v>307.65999999999997</v>
      </c>
      <c r="N182" s="102">
        <f t="shared" si="139"/>
        <v>510.64</v>
      </c>
    </row>
    <row r="183" spans="1:15" s="62" customFormat="1" ht="27.6" x14ac:dyDescent="0.3">
      <c r="A183" s="90" t="s">
        <v>15765</v>
      </c>
      <c r="B183" s="103" t="s">
        <v>110</v>
      </c>
      <c r="C183" s="92" t="s">
        <v>31</v>
      </c>
      <c r="D183" s="93" t="str">
        <f>VLOOKUP(B183,composicoes!$A:$K,2,0)</f>
        <v>USINAGEM CBUQ, INCLUSO FORNECIMENTO DE CONCRETO ASFALTICO (EXCETO CAP) E TRANSPORTE DA JAZIDA ATE PAVIMENTADORA, EXCLUSIVE TRANSPORTE ATE OBRA</v>
      </c>
      <c r="E183" s="94" t="str">
        <f>VLOOKUP(B183,composicoes!$A:$K,8,0)</f>
        <v>T</v>
      </c>
      <c r="F183" s="646">
        <f>TRUNC(F185*2.4*(1-0.0566),2)</f>
        <v>35.9</v>
      </c>
      <c r="G183" s="96">
        <f>VLOOKUP(B183,composicoes!$A:$K,10,0)</f>
        <v>4.4800000000000004</v>
      </c>
      <c r="H183" s="96">
        <f>VLOOKUP(B183,composicoes!$A:$K,11,0)</f>
        <v>242.83</v>
      </c>
      <c r="I183" s="97">
        <f t="shared" ref="I183:I184" si="140">G183+H183</f>
        <v>247.31</v>
      </c>
      <c r="J183" s="98">
        <v>0.24229999999999999</v>
      </c>
      <c r="K183" s="99">
        <f t="shared" ref="K183:K184" si="141">I183+ROUND(I183*J183,2)</f>
        <v>307.23</v>
      </c>
      <c r="L183" s="100">
        <f t="shared" ref="L183:L184" si="142">TRUNC(TRUNC(G183*(1+J183),2)*F183,2)</f>
        <v>199.6</v>
      </c>
      <c r="M183" s="101">
        <f t="shared" ref="M183:M184" si="143">N183-L183</f>
        <v>10829.96</v>
      </c>
      <c r="N183" s="102">
        <f t="shared" ref="N183:N184" si="144">ROUND(F183*K183,2)</f>
        <v>11029.56</v>
      </c>
      <c r="O183"/>
    </row>
    <row r="184" spans="1:15" s="62" customFormat="1" ht="27.6" x14ac:dyDescent="0.3">
      <c r="A184" s="90" t="s">
        <v>15766</v>
      </c>
      <c r="B184" s="103" t="s">
        <v>15424</v>
      </c>
      <c r="C184" s="92" t="s">
        <v>31</v>
      </c>
      <c r="D184" s="93" t="str">
        <f>VLOOKUP(B184,composicoes!$A:$K,2,0)</f>
        <v>FORNECIMENTO DE CAP PARA PAVIMENTO DE CONCRETO ASFÁLTICO, INCLUSIVE TRANSPORTE ATE PAVIMENTADORA</v>
      </c>
      <c r="E184" s="94" t="str">
        <f>VLOOKUP(B184,composicoes!$A:$K,8,0)</f>
        <v>T</v>
      </c>
      <c r="F184" s="646">
        <f>TRUNC(F185*2.4*0.0566,2)</f>
        <v>2.15</v>
      </c>
      <c r="G184" s="96">
        <f>VLOOKUP(B184,composicoes!$A:$K,10,0)</f>
        <v>0</v>
      </c>
      <c r="H184" s="96">
        <f>VLOOKUP(B184,composicoes!$A:$K,11,0)</f>
        <v>5984.8</v>
      </c>
      <c r="I184" s="97">
        <f t="shared" si="140"/>
        <v>5984.8</v>
      </c>
      <c r="J184" s="98">
        <v>0.24229999999999999</v>
      </c>
      <c r="K184" s="99">
        <f t="shared" si="141"/>
        <v>7434.92</v>
      </c>
      <c r="L184" s="100">
        <f t="shared" si="142"/>
        <v>0</v>
      </c>
      <c r="M184" s="101">
        <f t="shared" si="143"/>
        <v>15985.08</v>
      </c>
      <c r="N184" s="102">
        <f t="shared" si="144"/>
        <v>15985.08</v>
      </c>
      <c r="O184"/>
    </row>
    <row r="185" spans="1:15" s="62" customFormat="1" ht="27.6" x14ac:dyDescent="0.3">
      <c r="A185" s="90" t="s">
        <v>15767</v>
      </c>
      <c r="B185" s="103" t="s">
        <v>15425</v>
      </c>
      <c r="C185" s="92" t="s">
        <v>31</v>
      </c>
      <c r="D185" s="93" t="str">
        <f>VLOOKUP(B185,composicoes!$A:$K,2,0)</f>
        <v>EXECUÇÃO DE PAVIMENTO COM APLICAÇÃO DE CONCRETO ASFÁLTICO, CAMADA DE ROLAMENTO, EXCLUSIVE CARGA E TRANSPORTE</v>
      </c>
      <c r="E185" s="94" t="str">
        <f>VLOOKUP(B185,composicoes!$A:$K,8,0)</f>
        <v>M3</v>
      </c>
      <c r="F185" s="646">
        <f>quant_drenagem!C89</f>
        <v>15.86</v>
      </c>
      <c r="G185" s="96">
        <f>VLOOKUP(B185,composicoes!$A:$K,10,0)</f>
        <v>49.55</v>
      </c>
      <c r="H185" s="96">
        <f>VLOOKUP(B185,composicoes!$A:$K,11,0)</f>
        <v>81.73</v>
      </c>
      <c r="I185" s="97">
        <f>G185+H185</f>
        <v>131.28</v>
      </c>
      <c r="J185" s="98">
        <v>0.24229999999999999</v>
      </c>
      <c r="K185" s="99">
        <f>I185+ROUND(I185*J185,2)</f>
        <v>163.09</v>
      </c>
      <c r="L185" s="100">
        <f>TRUNC(TRUNC(G185*(1+J185),2)*F185,2)</f>
        <v>976.18</v>
      </c>
      <c r="M185" s="101">
        <f>N185-L185</f>
        <v>1610.4300000000003</v>
      </c>
      <c r="N185" s="102">
        <f>ROUND(F185*K185,2)</f>
        <v>2586.61</v>
      </c>
      <c r="O185"/>
    </row>
    <row r="186" spans="1:15" ht="41.4" x14ac:dyDescent="0.3">
      <c r="A186" s="90" t="s">
        <v>15768</v>
      </c>
      <c r="B186" s="103">
        <v>100978</v>
      </c>
      <c r="C186" s="111" t="s">
        <v>53</v>
      </c>
      <c r="D186" s="93" t="str">
        <f>IF(C186="SINAPI",IFERROR(VLOOKUP(B186,'SINAPI-comp'!$B:$H,2,0),VLOOKUP(B186,'SINAPI-insumo'!$B:$H,2,0)))</f>
        <v>CARGA, MANOBRA E DESCARGA DE SOLOS E MATERIAIS GRANULARES EM CAMINHÃO BASCULANTE 10 M³ - CARGA COM ESCAVADEIRA HIDRÁULICA (CAÇAMBA DE 1,20 M³ / 155 HP) E DESCARGA LIVRE (UNIDADE: M3). AF_02/2026</v>
      </c>
      <c r="E186" s="94" t="str">
        <f>IF(C186="SINAPI",IFERROR(VLOOKUP(B186,'SINAPI-comp'!$B:$H,3,0),VLOOKUP(B186,'SINAPI-insumo'!$B:$H,3,0)))</f>
        <v>M3</v>
      </c>
      <c r="F186" s="104">
        <f>TRUNC(F178*(1+empolamentos!B8)+F179*(1+empolamentos!B7)+F185*(1+empolamentos!B9),2)</f>
        <v>158.6</v>
      </c>
      <c r="G186" s="96">
        <f>IFERROR(VLOOKUP(B186,'SINAPI-comp'!$B:$H,4,0)-H186,0)</f>
        <v>1.1799999999999997</v>
      </c>
      <c r="H186" s="96">
        <f>IF(C186="SINAPI",IFERROR(VLOOKUP(B186,'SINAPI-comp'!$B:$H,7,0),VLOOKUP(B186,'SINAPI-insumo'!$B:$H,7,0)))</f>
        <v>6.24</v>
      </c>
      <c r="I186" s="97">
        <f t="shared" ref="I186" si="145">G186+H186</f>
        <v>7.42</v>
      </c>
      <c r="J186" s="98">
        <v>0.24229999999999999</v>
      </c>
      <c r="K186" s="99">
        <f t="shared" ref="K186" si="146">I186+ROUND(I186*J186,2)</f>
        <v>9.2200000000000006</v>
      </c>
      <c r="L186" s="100">
        <f t="shared" ref="L186" si="147">TRUNC(TRUNC(G186*(1+J186),2)*F186,2)</f>
        <v>231.55</v>
      </c>
      <c r="M186" s="101">
        <f t="shared" ref="M186" si="148">N186-L186</f>
        <v>1230.74</v>
      </c>
      <c r="N186" s="102">
        <f t="shared" ref="N186" si="149">ROUND(F186*K186,2)</f>
        <v>1462.29</v>
      </c>
    </row>
    <row r="187" spans="1:15" s="62" customFormat="1" ht="27.6" x14ac:dyDescent="0.3">
      <c r="A187" s="90" t="s">
        <v>15769</v>
      </c>
      <c r="B187" s="112">
        <v>95875</v>
      </c>
      <c r="C187" s="111" t="s">
        <v>53</v>
      </c>
      <c r="D187" s="93" t="str">
        <f>IF(C187="SINAPI",IFERROR(VLOOKUP(B187,'SINAPI-comp'!$B:$H,2,0),VLOOKUP(B187,'SINAPI-insumo'!$B:$H,2,0)))</f>
        <v>TRANSPORTE COM CAMINHÃO BASCULANTE DE 10 M³, EM VIA URBANA PAVIMENTADA, DMT ATÉ 30 KM (UNIDADE: M3XKM). AF_02/2026</v>
      </c>
      <c r="E187" s="94" t="str">
        <f>IF(C187="SINAPI",IFERROR(VLOOKUP(B187,'SINAPI-comp'!$B:$H,3,0),VLOOKUP(B187,'SINAPI-insumo'!$B:$H,3,0)))</f>
        <v>M3XKM</v>
      </c>
      <c r="F187" s="104">
        <f>TRUNC(F178*(1+empolamentos!B8)*DMT!C62+F179*(1+empolamentos!B7)*DMT!C62+F185*(1+empolamentos!B9)*DMT!C47,2)</f>
        <v>1046.76</v>
      </c>
      <c r="G187" s="96">
        <f>IFERROR(VLOOKUP(B187,'SINAPI-comp'!$B:$H,4,0)-H187,0)</f>
        <v>0.33999999999999986</v>
      </c>
      <c r="H187" s="96">
        <f>IF(C187="SINAPI",IFERROR(VLOOKUP(B187,'SINAPI-comp'!$B:$H,7,0),VLOOKUP(B187,'SINAPI-insumo'!$B:$H,7,0)))</f>
        <v>2.4900000000000002</v>
      </c>
      <c r="I187" s="97">
        <f t="shared" ref="I187" si="150">G187+H187</f>
        <v>2.83</v>
      </c>
      <c r="J187" s="98">
        <v>0.24229999999999999</v>
      </c>
      <c r="K187" s="99">
        <f t="shared" ref="K187" si="151">I187+ROUND(I187*J187,2)</f>
        <v>3.52</v>
      </c>
      <c r="L187" s="100">
        <f t="shared" ref="L187" si="152">TRUNC(TRUNC(G187*(1+J187),2)*F187,2)</f>
        <v>439.63</v>
      </c>
      <c r="M187" s="101">
        <f t="shared" ref="M187" si="153">N187-L187</f>
        <v>3244.97</v>
      </c>
      <c r="N187" s="102">
        <f t="shared" ref="N187" si="154">ROUND(F187*K187,2)</f>
        <v>3684.6</v>
      </c>
      <c r="O187"/>
    </row>
    <row r="188" spans="1:15" s="62" customFormat="1" ht="13.8" x14ac:dyDescent="0.25">
      <c r="A188" s="82">
        <v>17</v>
      </c>
      <c r="B188" s="83"/>
      <c r="C188" s="84"/>
      <c r="D188" s="85" t="s">
        <v>16028</v>
      </c>
      <c r="E188" s="86"/>
      <c r="F188" s="87"/>
      <c r="G188" s="87"/>
      <c r="H188" s="87"/>
      <c r="I188" s="87"/>
      <c r="J188" s="88"/>
      <c r="K188" s="88"/>
      <c r="L188" s="87"/>
      <c r="M188" s="87"/>
      <c r="N188" s="89"/>
    </row>
    <row r="189" spans="1:15" x14ac:dyDescent="0.3">
      <c r="A189" s="90" t="s">
        <v>15770</v>
      </c>
      <c r="B189" s="103" t="s">
        <v>15556</v>
      </c>
      <c r="C189" s="92" t="s">
        <v>31</v>
      </c>
      <c r="D189" s="93" t="str">
        <f>VLOOKUP(B189,composicoes!$A:$K,2,0)</f>
        <v>LIMPEZA FINAL DE PAVIMENTOS</v>
      </c>
      <c r="E189" s="94" t="str">
        <f>VLOOKUP(B189,composicoes!$A:$K,8,0)</f>
        <v>M2</v>
      </c>
      <c r="F189" s="104">
        <f>TRUNC(quant_pavim!C9+quant_pavim!C17+quant_pavim!C18+F182,2)</f>
        <v>1320.07</v>
      </c>
      <c r="G189" s="96">
        <f>VLOOKUP(B189,composicoes!$A:$K,10,0)</f>
        <v>0.71</v>
      </c>
      <c r="H189" s="96">
        <f>VLOOKUP(B189,composicoes!$A:$K,11,0)</f>
        <v>0</v>
      </c>
      <c r="I189" s="97">
        <f>G189+H189</f>
        <v>0.71</v>
      </c>
      <c r="J189" s="98">
        <v>0.24229999999999999</v>
      </c>
      <c r="K189" s="99">
        <f>I189+ROUND(I189*J189,2)</f>
        <v>0.88</v>
      </c>
      <c r="L189" s="100">
        <f>TRUNC(TRUNC(G189*(1+J189),2)*F189,2)</f>
        <v>1161.6600000000001</v>
      </c>
      <c r="M189" s="101">
        <f>N189-L189</f>
        <v>0</v>
      </c>
      <c r="N189" s="102">
        <f>ROUND(F189*K189,2)</f>
        <v>1161.6600000000001</v>
      </c>
    </row>
    <row r="190" spans="1:15" s="62" customFormat="1" ht="13.8" x14ac:dyDescent="0.25">
      <c r="A190" s="90" t="s">
        <v>15771</v>
      </c>
      <c r="B190" s="110" t="s">
        <v>51</v>
      </c>
      <c r="C190" s="111" t="s">
        <v>31</v>
      </c>
      <c r="D190" s="93" t="str">
        <f>VLOOKUP(B190,composicoes!$A:$K,2,0)</f>
        <v>DESMOBILIZAÇÃO EQUIPAMENTOS AUTOPROPELIDOS E LEVES</v>
      </c>
      <c r="E190" s="94" t="str">
        <f>VLOOKUP(B190,composicoes!$A:$K,8,0)</f>
        <v>UN</v>
      </c>
      <c r="F190" s="95">
        <v>1</v>
      </c>
      <c r="G190" s="96">
        <f>VLOOKUP(B190,composicoes!$A:$K,10,0)</f>
        <v>525.71</v>
      </c>
      <c r="H190" s="96">
        <f>VLOOKUP(B190,composicoes!$A:$K,11,0)</f>
        <v>2904.58</v>
      </c>
      <c r="I190" s="97">
        <f>G190+H190</f>
        <v>3430.29</v>
      </c>
      <c r="J190" s="98">
        <v>0.24229999999999999</v>
      </c>
      <c r="K190" s="99">
        <f>I190+ROUND(I190*J190,2)</f>
        <v>4261.45</v>
      </c>
      <c r="L190" s="100">
        <f>TRUNC(TRUNC(G190*(1+J190),2)*F190,2)</f>
        <v>653.08000000000004</v>
      </c>
      <c r="M190" s="101">
        <f>N190-L190</f>
        <v>3608.37</v>
      </c>
      <c r="N190" s="102">
        <f>ROUND(F190*K190,2)</f>
        <v>4261.45</v>
      </c>
    </row>
    <row r="191" spans="1:15" s="62" customFormat="1" ht="13.8" x14ac:dyDescent="0.25">
      <c r="A191" s="90" t="s">
        <v>15772</v>
      </c>
      <c r="B191" s="103" t="s">
        <v>46</v>
      </c>
      <c r="C191" s="92" t="s">
        <v>31</v>
      </c>
      <c r="D191" s="93" t="str">
        <f>VLOOKUP(B191,composicoes!$A:$K,2,0)</f>
        <v>FRETE CONTAINER</v>
      </c>
      <c r="E191" s="94" t="str">
        <f>VLOOKUP(B191,composicoes!$A:$K,8,0)</f>
        <v>UN</v>
      </c>
      <c r="F191" s="105">
        <v>2</v>
      </c>
      <c r="G191" s="96">
        <f>VLOOKUP(B191,composicoes!$A:$K,10,0)</f>
        <v>92.37</v>
      </c>
      <c r="H191" s="96">
        <f>VLOOKUP(B191,composicoes!$A:$K,11,0)</f>
        <v>536.26</v>
      </c>
      <c r="I191" s="109">
        <f>G191+H191</f>
        <v>628.63</v>
      </c>
      <c r="J191" s="98">
        <v>0.24229999999999999</v>
      </c>
      <c r="K191" s="99">
        <f>I191+ROUND(I191*J191,2)</f>
        <v>780.95</v>
      </c>
      <c r="L191" s="100">
        <f>TRUNC(TRUNC(G191*(1+J191),2)*F191,2)</f>
        <v>229.5</v>
      </c>
      <c r="M191" s="101">
        <f>N191-L191</f>
        <v>1332.4</v>
      </c>
      <c r="N191" s="102">
        <f>ROUND(F191*K191,2)</f>
        <v>1561.9</v>
      </c>
    </row>
    <row r="192" spans="1:15" x14ac:dyDescent="0.3">
      <c r="A192" s="90" t="s">
        <v>15773</v>
      </c>
      <c r="B192" s="103" t="s">
        <v>15557</v>
      </c>
      <c r="C192" s="92" t="s">
        <v>31</v>
      </c>
      <c r="D192" s="93" t="str">
        <f>VLOOKUP(B192,composicoes!$A:$K,2,0)</f>
        <v>DESMONTAGEM DO CANTEIRO</v>
      </c>
      <c r="E192" s="94" t="str">
        <f>VLOOKUP(B192,composicoes!$A:$K,8,0)</f>
        <v>UN</v>
      </c>
      <c r="F192" s="104">
        <v>1</v>
      </c>
      <c r="G192" s="96">
        <f>VLOOKUP(B192,composicoes!$A:$K,10,0)</f>
        <v>1651.84</v>
      </c>
      <c r="H192" s="96">
        <f>VLOOKUP(B192,composicoes!$A:$K,11,0)</f>
        <v>0</v>
      </c>
      <c r="I192" s="97">
        <f>G192+H192</f>
        <v>1651.84</v>
      </c>
      <c r="J192" s="98">
        <v>0.24229999999999999</v>
      </c>
      <c r="K192" s="99">
        <f>I192+ROUND(I192*J192,2)</f>
        <v>2052.08</v>
      </c>
      <c r="L192" s="100">
        <f>TRUNC(TRUNC(G192*(1+J192),2)*F192,2)</f>
        <v>2052.08</v>
      </c>
      <c r="M192" s="101">
        <f>N192-L192</f>
        <v>0</v>
      </c>
      <c r="N192" s="102">
        <f>ROUND(F192*K192,2)</f>
        <v>2052.08</v>
      </c>
    </row>
    <row r="193" spans="1:14" x14ac:dyDescent="0.3">
      <c r="A193" s="113"/>
      <c r="B193" s="114"/>
      <c r="C193" s="113"/>
      <c r="D193" s="115"/>
      <c r="E193" s="113"/>
      <c r="F193" s="116"/>
      <c r="G193" s="117"/>
      <c r="H193" s="117"/>
      <c r="I193" s="118"/>
      <c r="J193" s="119"/>
      <c r="K193" s="119"/>
      <c r="L193" s="114"/>
      <c r="M193" s="120" t="s">
        <v>129</v>
      </c>
      <c r="N193" s="121">
        <f>SUM(N10:N192)</f>
        <v>824861.5500000004</v>
      </c>
    </row>
    <row r="196" spans="1:14" x14ac:dyDescent="0.3">
      <c r="M196" s="647"/>
    </row>
    <row r="198" spans="1:14" x14ac:dyDescent="0.3">
      <c r="N198" s="122"/>
    </row>
  </sheetData>
  <printOptions horizontalCentered="1"/>
  <pageMargins left="0.31527777777777799" right="0.31527777777777799" top="0.63472222222222197" bottom="0.78749999999999998" header="0.511811023622047" footer="0.511811023622047"/>
  <pageSetup paperSize="9" fitToHeight="5" orientation="portrait" horizontalDpi="300" verticalDpi="300" r:id="rId1"/>
  <ignoredErrors>
    <ignoredError sqref="D115:E115 D58:H58 D13:H13 G115:H115 D133:H133" formula="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M642"/>
  <sheetViews>
    <sheetView showGridLines="0" zoomScale="85" zoomScaleNormal="85" workbookViewId="0">
      <selection activeCell="M134" sqref="M134"/>
    </sheetView>
  </sheetViews>
  <sheetFormatPr defaultColWidth="9.109375" defaultRowHeight="13.8" x14ac:dyDescent="0.3"/>
  <cols>
    <col min="1" max="1" width="14.44140625" style="123" customWidth="1"/>
    <col min="2" max="2" width="73.5546875" style="123" customWidth="1"/>
    <col min="3" max="3" width="9.109375" style="123"/>
    <col min="4" max="4" width="16.33203125" style="124" customWidth="1"/>
    <col min="5" max="5" width="35.44140625" style="123" customWidth="1"/>
    <col min="6" max="6" width="22" style="123" customWidth="1"/>
    <col min="7" max="7" width="23.33203125" style="123" customWidth="1"/>
    <col min="8" max="8" width="16.6640625" style="123" customWidth="1"/>
    <col min="9" max="9" width="20.109375" style="125" customWidth="1"/>
    <col min="10" max="10" width="22.5546875" style="123" customWidth="1"/>
    <col min="11" max="11" width="27.5546875" style="123" customWidth="1"/>
    <col min="12" max="16384" width="9.109375" style="123"/>
  </cols>
  <sheetData>
    <row r="1" spans="1:13" s="127" customFormat="1" ht="21" x14ac:dyDescent="0.25">
      <c r="A1" s="27"/>
      <c r="B1" s="28" t="s">
        <v>16</v>
      </c>
      <c r="C1" s="28"/>
      <c r="D1" s="126"/>
      <c r="E1" s="30"/>
      <c r="F1" s="28"/>
      <c r="G1" s="31"/>
      <c r="H1" s="31"/>
      <c r="I1" s="31"/>
      <c r="J1" s="28"/>
      <c r="K1" s="33"/>
      <c r="L1" s="62"/>
      <c r="M1" s="62"/>
    </row>
    <row r="2" spans="1:13" s="127" customFormat="1" ht="17.399999999999999" x14ac:dyDescent="0.25">
      <c r="A2" s="34"/>
      <c r="B2" s="35" t="s">
        <v>2</v>
      </c>
      <c r="C2" s="35"/>
      <c r="D2" s="128"/>
      <c r="E2" s="37"/>
      <c r="F2" s="35"/>
      <c r="G2" s="38"/>
      <c r="H2" s="38"/>
      <c r="I2" s="38"/>
      <c r="J2" s="35"/>
      <c r="K2" s="39"/>
      <c r="L2" s="62"/>
      <c r="M2" s="62"/>
    </row>
    <row r="3" spans="1:13" s="127" customFormat="1" x14ac:dyDescent="0.25">
      <c r="A3" s="40"/>
      <c r="B3" s="129" t="str">
        <f>orcamento!D3</f>
        <v>Objeto: Execução de Obras de Pavimentação e Redes de Drenagem na Rua Giruá</v>
      </c>
      <c r="C3" s="41"/>
      <c r="D3" s="130"/>
      <c r="E3" s="45"/>
      <c r="F3" s="44"/>
      <c r="G3" s="46"/>
      <c r="H3" s="46"/>
      <c r="I3" s="46"/>
      <c r="J3" s="44"/>
      <c r="K3" s="47"/>
      <c r="L3" s="62"/>
      <c r="M3" s="62"/>
    </row>
    <row r="4" spans="1:13" s="127" customFormat="1" x14ac:dyDescent="0.25">
      <c r="A4" s="40"/>
      <c r="B4" s="129" t="str">
        <f>orcamento!D4</f>
        <v>Endereço: Rua Giruá, Vila Panorama, Lomba Pinheiro, Porto Alegre, RS</v>
      </c>
      <c r="C4" s="41"/>
      <c r="D4" s="130"/>
      <c r="E4" s="48"/>
      <c r="F4" s="41"/>
      <c r="G4" s="49"/>
      <c r="H4" s="49"/>
      <c r="I4" s="49"/>
      <c r="J4" s="44"/>
      <c r="K4" s="47"/>
      <c r="L4" s="62"/>
      <c r="M4" s="62"/>
    </row>
    <row r="5" spans="1:13" s="127" customFormat="1" x14ac:dyDescent="0.25">
      <c r="A5" s="40"/>
      <c r="B5" s="42"/>
      <c r="C5" s="41"/>
      <c r="D5" s="131"/>
      <c r="E5" s="48"/>
      <c r="F5" s="44"/>
      <c r="G5" s="46"/>
      <c r="H5" s="46"/>
      <c r="I5" s="46"/>
      <c r="J5" s="44"/>
      <c r="K5" s="47"/>
      <c r="L5" s="62"/>
      <c r="M5" s="62"/>
    </row>
    <row r="6" spans="1:13" s="133" customFormat="1" ht="17.399999999999999" x14ac:dyDescent="0.25">
      <c r="A6" s="40"/>
      <c r="B6" s="51" t="s">
        <v>130</v>
      </c>
      <c r="C6" s="50"/>
      <c r="D6" s="132"/>
      <c r="E6" s="52"/>
      <c r="F6" s="50"/>
      <c r="G6" s="53"/>
      <c r="H6" s="53"/>
      <c r="I6" s="53"/>
      <c r="J6" s="50"/>
      <c r="K6" s="54"/>
      <c r="L6" s="62"/>
      <c r="M6" s="62"/>
    </row>
    <row r="7" spans="1:13" s="135" customFormat="1" x14ac:dyDescent="0.25">
      <c r="A7" s="56"/>
      <c r="B7" s="57"/>
      <c r="C7" s="57"/>
      <c r="D7" s="134"/>
      <c r="E7" s="59"/>
      <c r="F7" s="58"/>
      <c r="G7" s="60"/>
      <c r="H7" s="60"/>
      <c r="I7" s="60"/>
      <c r="J7" s="58"/>
      <c r="K7" s="61"/>
      <c r="L7" s="62"/>
      <c r="M7" s="62"/>
    </row>
    <row r="8" spans="1:13" s="494" customFormat="1" x14ac:dyDescent="0.25">
      <c r="A8" s="674" t="s">
        <v>131</v>
      </c>
      <c r="B8" s="674" t="s">
        <v>132</v>
      </c>
      <c r="C8" s="675"/>
      <c r="D8" s="511"/>
      <c r="E8" s="675"/>
      <c r="F8" s="675"/>
      <c r="G8" s="675"/>
      <c r="H8" s="676" t="s">
        <v>133</v>
      </c>
      <c r="I8" s="677"/>
      <c r="J8" s="512" t="s">
        <v>134</v>
      </c>
      <c r="K8" s="512" t="s">
        <v>15795</v>
      </c>
    </row>
    <row r="9" spans="1:13" s="127" customFormat="1" x14ac:dyDescent="0.3">
      <c r="A9" s="136" t="s">
        <v>30</v>
      </c>
      <c r="B9" s="137" t="s">
        <v>135</v>
      </c>
      <c r="C9" s="138"/>
      <c r="D9" s="139"/>
      <c r="E9" s="138"/>
      <c r="F9" s="140"/>
      <c r="G9" s="140"/>
      <c r="H9" s="141" t="s">
        <v>136</v>
      </c>
      <c r="I9" s="142">
        <v>4</v>
      </c>
      <c r="J9" s="143">
        <f>TRUNC(SUM(J11:J17),2)</f>
        <v>121481.36</v>
      </c>
      <c r="K9" s="143">
        <f>TRUNC(SUM(K11:K17),2)</f>
        <v>7031.44</v>
      </c>
    </row>
    <row r="10" spans="1:13" s="687" customFormat="1" ht="27.6" x14ac:dyDescent="0.25">
      <c r="A10" s="522" t="s">
        <v>137</v>
      </c>
      <c r="B10" s="523" t="s">
        <v>19</v>
      </c>
      <c r="C10" s="524" t="s">
        <v>20</v>
      </c>
      <c r="D10" s="682" t="s">
        <v>138</v>
      </c>
      <c r="E10" s="525" t="s">
        <v>139</v>
      </c>
      <c r="F10" s="683" t="s">
        <v>140</v>
      </c>
      <c r="G10" s="684" t="s">
        <v>15796</v>
      </c>
      <c r="H10" s="685" t="s">
        <v>142</v>
      </c>
      <c r="I10" s="686"/>
      <c r="J10" s="684" t="s">
        <v>143</v>
      </c>
      <c r="K10" s="684" t="s">
        <v>15797</v>
      </c>
    </row>
    <row r="11" spans="1:13" ht="27.6" x14ac:dyDescent="0.3">
      <c r="A11" s="151">
        <v>1</v>
      </c>
      <c r="B11" s="152" t="str">
        <f>IF(H11="SINAPI",IFERROR(VLOOKUP(I11,'SINAPI-comp'!$B:$H,2,0),VLOOKUP(I11,'SINAPI-insumo'!$B:$H,2,0)))</f>
        <v>ENGENHEIRO CIVIL DE OBRA JUNIOR COM ENCARGOS COMPLEMENTARES</v>
      </c>
      <c r="C11" s="151" t="str">
        <f>IF(H11="SINAPI",IFERROR(VLOOKUP(I11,'SINAPI-comp'!$B:$H,3,0),VLOOKUP(I11,'SINAPI-insumo'!$B:$H,3,0)))</f>
        <v>H</v>
      </c>
      <c r="D11" s="153">
        <f>4*20*I9</f>
        <v>320</v>
      </c>
      <c r="E11" s="154" t="s">
        <v>145</v>
      </c>
      <c r="F11" s="155">
        <f>IFERROR(VLOOKUP(I11,'SINAPI-comp'!$B:$H,4,0)-G11,0)</f>
        <v>139.01</v>
      </c>
      <c r="G11" s="156">
        <f>IF(H11="SINAPI",IFERROR(VLOOKUP(I11,'SINAPI-comp'!$B:$H,7,0),VLOOKUP(I11,'SINAPI-insumo'!$B:$H,7,0)))</f>
        <v>0</v>
      </c>
      <c r="H11" s="157" t="s">
        <v>53</v>
      </c>
      <c r="I11" s="158">
        <v>90777</v>
      </c>
      <c r="J11" s="159">
        <f t="shared" ref="J11:K14" si="0">TRUNC($D11*F11,4)</f>
        <v>44483.199999999997</v>
      </c>
      <c r="K11" s="159">
        <f t="shared" si="0"/>
        <v>0</v>
      </c>
    </row>
    <row r="12" spans="1:13" ht="27.6" x14ac:dyDescent="0.3">
      <c r="A12" s="151">
        <v>2</v>
      </c>
      <c r="B12" s="152" t="str">
        <f>IF(H12="SINAPI",IFERROR(VLOOKUP(I12,'SINAPI-comp'!$B:$H,2,0),VLOOKUP(I12,'SINAPI-insumo'!$B:$H,2,0)))</f>
        <v>TÉCNICO EM SEGURANÇA DO TRABALHO COM ENCARGOS COMPLEMENTARES</v>
      </c>
      <c r="C12" s="151" t="str">
        <f>IF(H12="SINAPI",IFERROR(VLOOKUP(I12,'SINAPI-comp'!$B:$H,3,0),VLOOKUP(I12,'SINAPI-insumo'!$B:$H,3,0)))</f>
        <v>H</v>
      </c>
      <c r="D12" s="153">
        <f>4*20*I9</f>
        <v>320</v>
      </c>
      <c r="E12" s="154" t="s">
        <v>145</v>
      </c>
      <c r="F12" s="155">
        <f>IFERROR(VLOOKUP(I12,'SINAPI-comp'!$B:$H,4,0)-G12,0)</f>
        <v>47.39</v>
      </c>
      <c r="G12" s="156">
        <f>IF(H12="SINAPI",IFERROR(VLOOKUP(I12,'SINAPI-comp'!$B:$H,7,0),VLOOKUP(I12,'SINAPI-insumo'!$B:$H,7,0)))</f>
        <v>0</v>
      </c>
      <c r="H12" s="157" t="s">
        <v>53</v>
      </c>
      <c r="I12" s="158">
        <v>100309</v>
      </c>
      <c r="J12" s="159">
        <f t="shared" si="0"/>
        <v>15164.8</v>
      </c>
      <c r="K12" s="159">
        <f t="shared" si="0"/>
        <v>0</v>
      </c>
    </row>
    <row r="13" spans="1:13" x14ac:dyDescent="0.3">
      <c r="A13" s="151">
        <v>3</v>
      </c>
      <c r="B13" s="152" t="str">
        <f>IF(H13="SINAPI",IFERROR(VLOOKUP(I13,'SINAPI-comp'!$B:$H,2,0),VLOOKUP(I13,'SINAPI-insumo'!$B:$H,2,0)))</f>
        <v>ENCARREGADO GERAL DE OBRAS COM ENCARGOS COMPLEMENTARES</v>
      </c>
      <c r="C13" s="151" t="str">
        <f>IF(H13="SINAPI",IFERROR(VLOOKUP(I13,'SINAPI-comp'!$B:$H,3,0),VLOOKUP(I13,'SINAPI-insumo'!$B:$H,3,0)))</f>
        <v>MES</v>
      </c>
      <c r="D13" s="153">
        <f>I9</f>
        <v>4</v>
      </c>
      <c r="E13" s="154"/>
      <c r="F13" s="155">
        <f>IFERROR(VLOOKUP(I13,'SINAPI-comp'!$B:$H,4,0)-G13,0)</f>
        <v>13407.94</v>
      </c>
      <c r="G13" s="156">
        <f>IF(H13="SINAPI",IFERROR(VLOOKUP(I13,'SINAPI-comp'!$B:$H,7,0),VLOOKUP(I13,'SINAPI-insumo'!$B:$H,7,0)))</f>
        <v>0</v>
      </c>
      <c r="H13" s="157" t="s">
        <v>53</v>
      </c>
      <c r="I13" s="158">
        <v>93572</v>
      </c>
      <c r="J13" s="159">
        <f t="shared" si="0"/>
        <v>53631.76</v>
      </c>
      <c r="K13" s="159">
        <f t="shared" si="0"/>
        <v>0</v>
      </c>
    </row>
    <row r="14" spans="1:13" x14ac:dyDescent="0.3">
      <c r="A14" s="151">
        <v>4</v>
      </c>
      <c r="B14" s="152" t="str">
        <f>IF(H14="SINAPI",IFERROR(VLOOKUP(I14,'SINAPI-comp'!$B:$H,2,0),VLOOKUP(I14,'SINAPI-insumo'!$B:$H,2,0)))</f>
        <v>AUXILIAR DE SERVIÇOS GERAIS COM ENCARGOS COMPLEMENTARES</v>
      </c>
      <c r="C14" s="151" t="str">
        <f>IF(H14="SINAPI",IFERROR(VLOOKUP(I14,'SINAPI-comp'!$B:$H,3,0),VLOOKUP(I14,'SINAPI-insumo'!$B:$H,3,0)))</f>
        <v>H</v>
      </c>
      <c r="D14" s="153">
        <f>D12</f>
        <v>320</v>
      </c>
      <c r="E14" s="154" t="s">
        <v>145</v>
      </c>
      <c r="F14" s="155">
        <f>IFERROR(VLOOKUP(I14,'SINAPI-comp'!$B:$H,4,0)-G14,0)</f>
        <v>25.63</v>
      </c>
      <c r="G14" s="156">
        <f>IF(H14="SINAPI",IFERROR(VLOOKUP(I14,'SINAPI-comp'!$B:$H,7,0),VLOOKUP(I14,'SINAPI-insumo'!$B:$H,7,0)))</f>
        <v>0</v>
      </c>
      <c r="H14" s="157" t="s">
        <v>53</v>
      </c>
      <c r="I14" s="158">
        <v>88252</v>
      </c>
      <c r="J14" s="159">
        <f t="shared" si="0"/>
        <v>8201.6</v>
      </c>
      <c r="K14" s="159">
        <f t="shared" si="0"/>
        <v>0</v>
      </c>
    </row>
    <row r="15" spans="1:13" x14ac:dyDescent="0.3">
      <c r="A15" s="161">
        <v>5</v>
      </c>
      <c r="B15" s="160" t="str">
        <f>IF(OR(H15="SINAPI",H15="SINAPI-I"),IFERROR(VLOOKUP(I15,'SINAPI-comp'!$B:$H,2,0),VLOOKUP(I15,'SINAPI-insumo'!$B:$H,2,0)))</f>
        <v>ENERGIA ELETRICA ATE 2000 KWH INDUSTRIAL, SEM DEMANDA</v>
      </c>
      <c r="C15" s="151" t="str">
        <f>IF(OR(H15="SINAPI",H15="SINAPI-I"),IFERROR(VLOOKUP(I15,'SINAPI-comp'!$B:$H,3,0),VLOOKUP(I15,'SINAPI-insumo'!$B:$H,3,0)))</f>
        <v>KWH</v>
      </c>
      <c r="D15" s="153">
        <f>350*I9</f>
        <v>1400</v>
      </c>
      <c r="E15" s="162" t="s">
        <v>150</v>
      </c>
      <c r="F15" s="155">
        <f>IFERROR(VLOOKUP(I15,'SINAPI-comp'!$B:$H,4,0)-G15,0)</f>
        <v>0</v>
      </c>
      <c r="G15" s="156">
        <f>IF(OR(H15="SINAPI",H15="SINAPI-I"),IFERROR(VLOOKUP(I15,'SINAPI-comp'!$B:$H,7,0),VLOOKUP(I15,'SINAPI-insumo'!$B:$H,7,0)))</f>
        <v>1.05</v>
      </c>
      <c r="H15" s="157" t="s">
        <v>149</v>
      </c>
      <c r="I15" s="158">
        <v>2705</v>
      </c>
      <c r="J15" s="159">
        <f t="shared" ref="J15" si="1">TRUNC($D15*F15,4)</f>
        <v>0</v>
      </c>
      <c r="K15" s="159">
        <f t="shared" ref="K15" si="2">TRUNC($D15*G15,4)</f>
        <v>1470</v>
      </c>
    </row>
    <row r="16" spans="1:13" x14ac:dyDescent="0.3">
      <c r="A16" s="161">
        <v>6</v>
      </c>
      <c r="B16" s="160" t="str">
        <f>IF(OR(H16="SINAPI",H16="SINAPI-I"),IFERROR(VLOOKUP(I16,'SINAPI-comp'!$B:$H,2,0),VLOOKUP(I16,'SINAPI-insumo'!$B:$H,2,0)))</f>
        <v>TARIFA "A" ENTRE 0 E 20M3 FORNECIMENTO D'AGUA</v>
      </c>
      <c r="C16" s="151" t="str">
        <f>IF(OR(H16="SINAPI",H16="SINAPI-I"),IFERROR(VLOOKUP(I16,'SINAPI-comp'!$B:$H,3,0),VLOOKUP(I16,'SINAPI-insumo'!$B:$H,3,0)))</f>
        <v>M3</v>
      </c>
      <c r="D16" s="163">
        <f>1.5*21*I9</f>
        <v>126</v>
      </c>
      <c r="E16" s="164" t="s">
        <v>151</v>
      </c>
      <c r="F16" s="155">
        <f>IFERROR(VLOOKUP(I16,'SINAPI-comp'!$B:$H,4,0)-G16,0)</f>
        <v>0</v>
      </c>
      <c r="G16" s="156">
        <f>IF(OR(H16="SINAPI",H16="SINAPI-I"),IFERROR(VLOOKUP(I16,'SINAPI-comp'!$B:$H,7,0),VLOOKUP(I16,'SINAPI-insumo'!$B:$H,7,0)))</f>
        <v>20.239999999999998</v>
      </c>
      <c r="H16" s="157" t="s">
        <v>149</v>
      </c>
      <c r="I16" s="158">
        <v>44480</v>
      </c>
      <c r="J16" s="159">
        <f t="shared" ref="J16" si="3">TRUNC($D16*F16,4)</f>
        <v>0</v>
      </c>
      <c r="K16" s="159">
        <f t="shared" ref="K16" si="4">TRUNC($D16*G16,4)</f>
        <v>2550.2399999999998</v>
      </c>
    </row>
    <row r="17" spans="1:11" x14ac:dyDescent="0.3">
      <c r="A17" s="161">
        <v>7</v>
      </c>
      <c r="B17" s="165" t="str">
        <f>VLOOKUP(I17,tabelas!$A:$L,4,0)</f>
        <v>VEÍCULO LEVE - 53 KW (SEM MOTORISTA)</v>
      </c>
      <c r="C17" s="166" t="str">
        <f>VLOOKUP(I17,tabelas!$A:$L,5,0)</f>
        <v>CHP</v>
      </c>
      <c r="D17" s="153">
        <f>1*20*I9</f>
        <v>80</v>
      </c>
      <c r="E17" s="180" t="s">
        <v>15538</v>
      </c>
      <c r="F17" s="167">
        <v>0</v>
      </c>
      <c r="G17" s="167">
        <f>VLOOKUP($I17,tabelas!$A:$L,12,0)</f>
        <v>37.64</v>
      </c>
      <c r="H17" s="168" t="s">
        <v>42</v>
      </c>
      <c r="I17" s="158" t="s">
        <v>15537</v>
      </c>
      <c r="J17" s="159">
        <f>TRUNC($D17*F17,4)</f>
        <v>0</v>
      </c>
      <c r="K17" s="159">
        <f>TRUNC($D17*G17,4)</f>
        <v>3011.2</v>
      </c>
    </row>
    <row r="18" spans="1:11" x14ac:dyDescent="0.3">
      <c r="C18" s="169"/>
      <c r="D18" s="170"/>
      <c r="I18" s="123"/>
    </row>
    <row r="19" spans="1:11" x14ac:dyDescent="0.3">
      <c r="C19" s="169"/>
      <c r="D19" s="170"/>
      <c r="I19" s="123"/>
    </row>
    <row r="20" spans="1:11" s="494" customFormat="1" x14ac:dyDescent="0.25">
      <c r="A20" s="674" t="s">
        <v>131</v>
      </c>
      <c r="B20" s="674" t="s">
        <v>132</v>
      </c>
      <c r="C20" s="675"/>
      <c r="D20" s="511"/>
      <c r="E20" s="675"/>
      <c r="F20" s="675"/>
      <c r="G20" s="675"/>
      <c r="H20" s="676" t="s">
        <v>133</v>
      </c>
      <c r="I20" s="677"/>
      <c r="J20" s="512" t="s">
        <v>134</v>
      </c>
      <c r="K20" s="512" t="s">
        <v>15795</v>
      </c>
    </row>
    <row r="21" spans="1:11" s="127" customFormat="1" x14ac:dyDescent="0.3">
      <c r="A21" s="136" t="s">
        <v>33</v>
      </c>
      <c r="B21" s="137" t="s">
        <v>15793</v>
      </c>
      <c r="C21" s="138"/>
      <c r="D21" s="139"/>
      <c r="E21" s="138"/>
      <c r="F21" s="140"/>
      <c r="G21" s="140"/>
      <c r="H21" s="141" t="s">
        <v>136</v>
      </c>
      <c r="I21" s="142">
        <v>4</v>
      </c>
      <c r="J21" s="143">
        <f>TRUNC(SUM(J23:J33),2)</f>
        <v>31048.31</v>
      </c>
      <c r="K21" s="143">
        <f>TRUNC(SUM(K23:K33),2)</f>
        <v>4400.3599999999997</v>
      </c>
    </row>
    <row r="22" spans="1:11" s="687" customFormat="1" ht="27.6" x14ac:dyDescent="0.25">
      <c r="A22" s="522" t="s">
        <v>137</v>
      </c>
      <c r="B22" s="523" t="s">
        <v>19</v>
      </c>
      <c r="C22" s="524" t="s">
        <v>20</v>
      </c>
      <c r="D22" s="682" t="s">
        <v>138</v>
      </c>
      <c r="E22" s="525" t="s">
        <v>139</v>
      </c>
      <c r="F22" s="683" t="s">
        <v>140</v>
      </c>
      <c r="G22" s="684" t="s">
        <v>15796</v>
      </c>
      <c r="H22" s="685" t="s">
        <v>142</v>
      </c>
      <c r="I22" s="686"/>
      <c r="J22" s="684" t="s">
        <v>143</v>
      </c>
      <c r="K22" s="684" t="s">
        <v>15797</v>
      </c>
    </row>
    <row r="23" spans="1:11" x14ac:dyDescent="0.3">
      <c r="A23" s="151">
        <v>1</v>
      </c>
      <c r="B23" s="152" t="s">
        <v>146</v>
      </c>
      <c r="C23" s="151"/>
      <c r="D23" s="153"/>
      <c r="E23" s="154"/>
      <c r="F23" s="155"/>
      <c r="G23" s="156"/>
      <c r="H23" s="157"/>
      <c r="I23" s="158"/>
      <c r="J23" s="159"/>
      <c r="K23" s="159"/>
    </row>
    <row r="24" spans="1:11" x14ac:dyDescent="0.3">
      <c r="A24" s="151" t="s">
        <v>29</v>
      </c>
      <c r="B24" s="152" t="str">
        <f>IF(H24="SINAPI",IFERROR(VLOOKUP(I24,'SINAPI-comp'!$B:$H,2,0),VLOOKUP(I24,'SINAPI-insumo'!$B:$H,2,0)))</f>
        <v>VIGIA DIURNO COM ENCARGOS COMPLEMENTARES</v>
      </c>
      <c r="C24" s="151" t="str">
        <f>IF(H24="SINAPI",IFERROR(VLOOKUP(I24,'SINAPI-comp'!$B:$H,3,0),VLOOKUP(I24,'SINAPI-insumo'!$B:$H,3,0)))</f>
        <v>H</v>
      </c>
      <c r="D24" s="153">
        <f>12*8*I21</f>
        <v>384</v>
      </c>
      <c r="E24" s="154" t="s">
        <v>147</v>
      </c>
      <c r="F24" s="155">
        <f>IFERROR(VLOOKUP(I24,'SINAPI-comp'!$B:$H,4,0)-G24,0)</f>
        <v>27.76</v>
      </c>
      <c r="G24" s="156">
        <f>IF(H24="SINAPI",IFERROR(VLOOKUP(I24,'SINAPI-comp'!$B:$H,7,0),VLOOKUP(I24,'SINAPI-insumo'!$B:$H,7,0)))</f>
        <v>0</v>
      </c>
      <c r="H24" s="157" t="s">
        <v>53</v>
      </c>
      <c r="I24" s="158">
        <v>100289</v>
      </c>
      <c r="J24" s="159">
        <f>TRUNC($D24*F24,4)</f>
        <v>10659.84</v>
      </c>
      <c r="K24" s="159">
        <f>TRUNC($D24*G24,4)</f>
        <v>0</v>
      </c>
    </row>
    <row r="25" spans="1:11" x14ac:dyDescent="0.3">
      <c r="A25" s="151">
        <v>2</v>
      </c>
      <c r="B25" s="152" t="s">
        <v>148</v>
      </c>
      <c r="C25" s="151"/>
      <c r="D25" s="153"/>
      <c r="E25" s="154"/>
      <c r="F25" s="155"/>
      <c r="G25" s="156"/>
      <c r="H25" s="157"/>
      <c r="I25" s="158"/>
      <c r="J25" s="159"/>
      <c r="K25" s="159"/>
    </row>
    <row r="26" spans="1:11" x14ac:dyDescent="0.3">
      <c r="A26" s="151" t="s">
        <v>38</v>
      </c>
      <c r="B26" s="152" t="str">
        <f>IF(OR(H26="SINAPI",H26="SINAPI-I"),IFERROR(VLOOKUP(I26,'SINAPI-comp'!$B:$H,2,0),VLOOKUP(I26,'SINAPI-insumo'!$B:$H,2,0)))</f>
        <v>VIGIA DIURNO (MENSALISTA)</v>
      </c>
      <c r="C26" s="151" t="str">
        <f>IF(OR(H26="SINAPI",H26="SINAPI-I"),IFERROR(VLOOKUP(I26,'SINAPI-comp'!$B:$H,3,0),VLOOKUP(I26,'SINAPI-insumo'!$B:$H,3,0)))</f>
        <v>MES</v>
      </c>
      <c r="D26" s="153">
        <f>1.3715*I21</f>
        <v>5.4859999999999998</v>
      </c>
      <c r="E26" s="154"/>
      <c r="F26" s="155">
        <f>IF(OR(H26="SINAPI",H26="SINAPI-I"),IFERROR(VLOOKUP(I26,'SINAPI-comp'!$B:$H,7,0),VLOOKUP(I26,'SINAPI-insumo'!$B:$H,7,0)))</f>
        <v>3706.11</v>
      </c>
      <c r="G26" s="156">
        <v>0</v>
      </c>
      <c r="H26" s="157" t="s">
        <v>149</v>
      </c>
      <c r="I26" s="158">
        <v>41096</v>
      </c>
      <c r="J26" s="159">
        <f t="shared" ref="J26:K33" si="5">TRUNC($D26*F26,4)</f>
        <v>20331.719400000002</v>
      </c>
      <c r="K26" s="159">
        <f t="shared" si="5"/>
        <v>0</v>
      </c>
    </row>
    <row r="27" spans="1:11" ht="27.6" x14ac:dyDescent="0.3">
      <c r="A27" s="151" t="s">
        <v>39</v>
      </c>
      <c r="B27" s="160" t="str">
        <f>IF(OR(H27="SINAPI",H27="SINAPI-I"),IFERROR(VLOOKUP(I27,'SINAPI-comp'!$B:$H,2,0),VLOOKUP(I27,'SINAPI-insumo'!$B:$H,2,0)))</f>
        <v>CURSO DE CAPACITAÇÃO PARA VIGIA DIURNO (ENCARGOS COMPLEMENTARES) - MENSALISTA</v>
      </c>
      <c r="C27" s="151" t="str">
        <f>IF(OR(H27="SINAPI",H27="SINAPI-I"),IFERROR(VLOOKUP(I27,'SINAPI-comp'!$B:$H,3,0),VLOOKUP(I27,'SINAPI-insumo'!$B:$H,3,0)))</f>
        <v>MES</v>
      </c>
      <c r="D27" s="153">
        <f>I21</f>
        <v>4</v>
      </c>
      <c r="E27" s="154"/>
      <c r="F27" s="155">
        <f>IFERROR(VLOOKUP(I27,'SINAPI-comp'!$B:$H,4,0)-G27,0)</f>
        <v>14.19</v>
      </c>
      <c r="G27" s="156">
        <f>IF(OR(H27="SINAPI",H27="SINAPI-I"),IFERROR(VLOOKUP(I27,'SINAPI-comp'!$B:$H,7,0),VLOOKUP(I27,'SINAPI-insumo'!$B:$H,7,0)))</f>
        <v>0</v>
      </c>
      <c r="H27" s="157" t="s">
        <v>149</v>
      </c>
      <c r="I27" s="158">
        <v>101372</v>
      </c>
      <c r="J27" s="159">
        <f t="shared" si="5"/>
        <v>56.76</v>
      </c>
      <c r="K27" s="159">
        <f t="shared" si="5"/>
        <v>0</v>
      </c>
    </row>
    <row r="28" spans="1:11" ht="27.6" x14ac:dyDescent="0.3">
      <c r="A28" s="151" t="s">
        <v>40</v>
      </c>
      <c r="B28" s="160" t="str">
        <f>IF(OR(H28="SINAPI",H28="SINAPI-I"),IFERROR(VLOOKUP(I28,'SINAPI-comp'!$B:$H,2,0),VLOOKUP(I28,'SINAPI-insumo'!$B:$H,2,0)))</f>
        <v>ALIMENTACAO - MENSALISTA (COLETADO CAIXA - ENCARGOS COMPLEMENTARES)</v>
      </c>
      <c r="C28" s="151" t="str">
        <f>IF(OR(H28="SINAPI",H28="SINAPI-I"),IFERROR(VLOOKUP(I28,'SINAPI-comp'!$B:$H,3,0),VLOOKUP(I28,'SINAPI-insumo'!$B:$H,3,0)))</f>
        <v>MES</v>
      </c>
      <c r="D28" s="153">
        <f>D27</f>
        <v>4</v>
      </c>
      <c r="E28" s="154"/>
      <c r="F28" s="155">
        <f>IFERROR(VLOOKUP(I28,'SINAPI-comp'!$B:$H,4,0)-G28,0)</f>
        <v>0</v>
      </c>
      <c r="G28" s="156">
        <f>IF(OR(H28="SINAPI",H28="SINAPI-I"),IFERROR(VLOOKUP(I28,'SINAPI-comp'!$B:$H,7,0),VLOOKUP(I28,'SINAPI-insumo'!$B:$H,7,0)))</f>
        <v>304</v>
      </c>
      <c r="H28" s="157" t="s">
        <v>149</v>
      </c>
      <c r="I28" s="158">
        <v>40862</v>
      </c>
      <c r="J28" s="159">
        <f t="shared" si="5"/>
        <v>0</v>
      </c>
      <c r="K28" s="159">
        <f t="shared" si="5"/>
        <v>1216</v>
      </c>
    </row>
    <row r="29" spans="1:11" ht="27.6" x14ac:dyDescent="0.3">
      <c r="A29" s="151" t="s">
        <v>15417</v>
      </c>
      <c r="B29" s="160" t="str">
        <f>IF(OR(H29="SINAPI",H29="SINAPI-I"),IFERROR(VLOOKUP(I29,'SINAPI-comp'!$B:$H,2,0),VLOOKUP(I29,'SINAPI-insumo'!$B:$H,2,0)))</f>
        <v>EPI - FAMILIA SERVENTE - MENSALISTA (ENCARGOS COMPLEMENTARES - COLETADO CAIXA)</v>
      </c>
      <c r="C29" s="151" t="str">
        <f>IF(OR(H29="SINAPI",H29="SINAPI-I"),IFERROR(VLOOKUP(I29,'SINAPI-comp'!$B:$H,3,0),VLOOKUP(I29,'SINAPI-insumo'!$B:$H,3,0)))</f>
        <v>MES</v>
      </c>
      <c r="D29" s="153">
        <f>D27</f>
        <v>4</v>
      </c>
      <c r="E29" s="154"/>
      <c r="F29" s="155">
        <f>IFERROR(VLOOKUP(I29,'SINAPI-comp'!$B:$H,4,0)-G29,0)</f>
        <v>0</v>
      </c>
      <c r="G29" s="156">
        <f>IF(OR(H29="SINAPI",H29="SINAPI-I"),IFERROR(VLOOKUP(I29,'SINAPI-comp'!$B:$H,7,0),VLOOKUP(I29,'SINAPI-insumo'!$B:$H,7,0)))</f>
        <v>284.18</v>
      </c>
      <c r="H29" s="157" t="s">
        <v>149</v>
      </c>
      <c r="I29" s="158">
        <v>43503</v>
      </c>
      <c r="J29" s="159">
        <f t="shared" si="5"/>
        <v>0</v>
      </c>
      <c r="K29" s="159">
        <f t="shared" si="5"/>
        <v>1136.72</v>
      </c>
    </row>
    <row r="30" spans="1:11" ht="27.6" x14ac:dyDescent="0.3">
      <c r="A30" s="151" t="s">
        <v>15418</v>
      </c>
      <c r="B30" s="160" t="str">
        <f>IF(OR(H30="SINAPI",H30="SINAPI-I"),IFERROR(VLOOKUP(I30,'SINAPI-comp'!$B:$H,2,0),VLOOKUP(I30,'SINAPI-insumo'!$B:$H,2,0)))</f>
        <v>EXAMES - MENSALISTA (COLETADO CAIXA - ENCARGOS COMPLEMENTARES)</v>
      </c>
      <c r="C30" s="151" t="str">
        <f>IF(OR(H30="SINAPI",H30="SINAPI-I"),IFERROR(VLOOKUP(I30,'SINAPI-comp'!$B:$H,3,0),VLOOKUP(I30,'SINAPI-insumo'!$B:$H,3,0)))</f>
        <v>MES</v>
      </c>
      <c r="D30" s="153">
        <f>D27</f>
        <v>4</v>
      </c>
      <c r="E30" s="154"/>
      <c r="F30" s="155">
        <f>IFERROR(VLOOKUP(I30,'SINAPI-comp'!$B:$H,4,0)-G30,0)</f>
        <v>0</v>
      </c>
      <c r="G30" s="156">
        <f>IF(OR(H30="SINAPI",H30="SINAPI-I"),IFERROR(VLOOKUP(I30,'SINAPI-comp'!$B:$H,7,0),VLOOKUP(I30,'SINAPI-insumo'!$B:$H,7,0)))</f>
        <v>227.2</v>
      </c>
      <c r="H30" s="157" t="s">
        <v>149</v>
      </c>
      <c r="I30" s="158">
        <v>40863</v>
      </c>
      <c r="J30" s="159">
        <f t="shared" si="5"/>
        <v>0</v>
      </c>
      <c r="K30" s="159">
        <f t="shared" si="5"/>
        <v>908.8</v>
      </c>
    </row>
    <row r="31" spans="1:11" ht="27.6" x14ac:dyDescent="0.3">
      <c r="A31" s="151" t="s">
        <v>15419</v>
      </c>
      <c r="B31" s="160" t="str">
        <f>IF(OR(H31="SINAPI",H31="SINAPI-I"),IFERROR(VLOOKUP(I31,'SINAPI-comp'!$B:$H,2,0),VLOOKUP(I31,'SINAPI-insumo'!$B:$H,2,0)))</f>
        <v>FERRAMENTAS - FAMILIA SERVENTE - MENSALISTA (ENCARGOS COMPLEMENTARES - COLETADO CAIXA)</v>
      </c>
      <c r="C31" s="151" t="str">
        <f>IF(OR(H31="SINAPI",H31="SINAPI-I"),IFERROR(VLOOKUP(I31,'SINAPI-comp'!$B:$H,3,0),VLOOKUP(I31,'SINAPI-insumo'!$B:$H,3,0)))</f>
        <v>MES</v>
      </c>
      <c r="D31" s="153">
        <f>D27</f>
        <v>4</v>
      </c>
      <c r="E31" s="154"/>
      <c r="F31" s="155">
        <f>IFERROR(VLOOKUP(I31,'SINAPI-comp'!$B:$H,4,0)-G31,0)</f>
        <v>0</v>
      </c>
      <c r="G31" s="156">
        <f>IF(OR(H31="SINAPI",H31="SINAPI-I"),IFERROR(VLOOKUP(I31,'SINAPI-comp'!$B:$H,7,0),VLOOKUP(I31,'SINAPI-insumo'!$B:$H,7,0)))</f>
        <v>96.38</v>
      </c>
      <c r="H31" s="157" t="s">
        <v>149</v>
      </c>
      <c r="I31" s="158">
        <v>43479</v>
      </c>
      <c r="J31" s="159">
        <f t="shared" si="5"/>
        <v>0</v>
      </c>
      <c r="K31" s="159">
        <f t="shared" si="5"/>
        <v>385.52</v>
      </c>
    </row>
    <row r="32" spans="1:11" ht="27.6" x14ac:dyDescent="0.3">
      <c r="A32" s="151" t="s">
        <v>15420</v>
      </c>
      <c r="B32" s="160" t="str">
        <f>IF(OR(H32="SINAPI",H32="SINAPI-I"),IFERROR(VLOOKUP(I32,'SINAPI-comp'!$B:$H,2,0),VLOOKUP(I32,'SINAPI-insumo'!$B:$H,2,0)))</f>
        <v>SEGURO - MENSALISTA (COLETADO CAIXA - ENCARGOS COMPLEMENTARES)</v>
      </c>
      <c r="C32" s="151" t="str">
        <f>IF(OR(H32="SINAPI",H32="SINAPI-I"),IFERROR(VLOOKUP(I32,'SINAPI-comp'!$B:$H,3,0),VLOOKUP(I32,'SINAPI-insumo'!$B:$H,3,0)))</f>
        <v>MES</v>
      </c>
      <c r="D32" s="153">
        <f>D27</f>
        <v>4</v>
      </c>
      <c r="E32" s="154"/>
      <c r="F32" s="155">
        <f>IFERROR(VLOOKUP(I32,'SINAPI-comp'!$B:$H,4,0)-G32,0)</f>
        <v>0</v>
      </c>
      <c r="G32" s="156">
        <f>IF(OR(H32="SINAPI",H32="SINAPI-I"),IFERROR(VLOOKUP(I32,'SINAPI-comp'!$B:$H,7,0),VLOOKUP(I32,'SINAPI-insumo'!$B:$H,7,0)))</f>
        <v>18.28</v>
      </c>
      <c r="H32" s="157" t="s">
        <v>149</v>
      </c>
      <c r="I32" s="158">
        <v>40864</v>
      </c>
      <c r="J32" s="159">
        <f t="shared" si="5"/>
        <v>0</v>
      </c>
      <c r="K32" s="159">
        <f t="shared" si="5"/>
        <v>73.12</v>
      </c>
    </row>
    <row r="33" spans="1:11" ht="27.6" x14ac:dyDescent="0.3">
      <c r="A33" s="151" t="s">
        <v>15421</v>
      </c>
      <c r="B33" s="160" t="str">
        <f>IF(OR(H33="SINAPI",H33="SINAPI-I"),IFERROR(VLOOKUP(I33,'SINAPI-comp'!$B:$H,2,0),VLOOKUP(I33,'SINAPI-insumo'!$B:$H,2,0)))</f>
        <v>TRANSPORTE - MENSALISTA (COLETADO CAIXA - ENCARGOS COMPLEMENTARES)</v>
      </c>
      <c r="C33" s="151" t="str">
        <f>IF(OR(H33="SINAPI",H33="SINAPI-I"),IFERROR(VLOOKUP(I33,'SINAPI-comp'!$B:$H,3,0),VLOOKUP(I33,'SINAPI-insumo'!$B:$H,3,0)))</f>
        <v>MES</v>
      </c>
      <c r="D33" s="153">
        <f>D27</f>
        <v>4</v>
      </c>
      <c r="E33" s="154"/>
      <c r="F33" s="155">
        <f>IFERROR(VLOOKUP(I33,'SINAPI-comp'!$B:$H,4,0)-G33,0)</f>
        <v>0</v>
      </c>
      <c r="G33" s="156">
        <f>IF(OR(H33="SINAPI",H33="SINAPI-I"),IFERROR(VLOOKUP(I33,'SINAPI-comp'!$B:$H,7,0),VLOOKUP(I33,'SINAPI-insumo'!$B:$H,7,0)))</f>
        <v>170.05</v>
      </c>
      <c r="H33" s="157" t="s">
        <v>149</v>
      </c>
      <c r="I33" s="158">
        <v>40861</v>
      </c>
      <c r="J33" s="159">
        <f t="shared" si="5"/>
        <v>0</v>
      </c>
      <c r="K33" s="159">
        <f t="shared" si="5"/>
        <v>680.2</v>
      </c>
    </row>
    <row r="34" spans="1:11" x14ac:dyDescent="0.3">
      <c r="C34" s="169"/>
      <c r="D34" s="170"/>
      <c r="I34" s="123"/>
    </row>
    <row r="35" spans="1:11" x14ac:dyDescent="0.3">
      <c r="C35" s="169"/>
      <c r="D35" s="170"/>
      <c r="I35" s="123"/>
    </row>
    <row r="36" spans="1:11" s="494" customFormat="1" x14ac:dyDescent="0.25">
      <c r="A36" s="674" t="s">
        <v>131</v>
      </c>
      <c r="B36" s="674" t="s">
        <v>132</v>
      </c>
      <c r="C36" s="675"/>
      <c r="D36" s="511"/>
      <c r="E36" s="675"/>
      <c r="F36" s="675"/>
      <c r="G36" s="675"/>
      <c r="H36" s="676" t="s">
        <v>133</v>
      </c>
      <c r="I36" s="677"/>
      <c r="J36" s="512" t="s">
        <v>134</v>
      </c>
      <c r="K36" s="512" t="s">
        <v>15795</v>
      </c>
    </row>
    <row r="37" spans="1:11" x14ac:dyDescent="0.3">
      <c r="A37" s="136" t="s">
        <v>35</v>
      </c>
      <c r="B37" s="137" t="s">
        <v>15717</v>
      </c>
      <c r="C37" s="173"/>
      <c r="D37" s="174"/>
      <c r="E37" s="138"/>
      <c r="F37" s="140"/>
      <c r="G37" s="140"/>
      <c r="H37" s="141" t="s">
        <v>136</v>
      </c>
      <c r="I37" s="175"/>
      <c r="J37" s="143">
        <f>TRUNC(SUM(J39:J39),2)</f>
        <v>1588.41</v>
      </c>
      <c r="K37" s="143">
        <f>TRUNC(SUM(K39:K39),2)</f>
        <v>0</v>
      </c>
    </row>
    <row r="38" spans="1:11" s="687" customFormat="1" ht="27.6" x14ac:dyDescent="0.25">
      <c r="A38" s="522" t="s">
        <v>137</v>
      </c>
      <c r="B38" s="523" t="s">
        <v>19</v>
      </c>
      <c r="C38" s="524" t="s">
        <v>20</v>
      </c>
      <c r="D38" s="682" t="s">
        <v>138</v>
      </c>
      <c r="E38" s="525" t="s">
        <v>139</v>
      </c>
      <c r="F38" s="683" t="s">
        <v>140</v>
      </c>
      <c r="G38" s="684" t="s">
        <v>15796</v>
      </c>
      <c r="H38" s="685" t="s">
        <v>142</v>
      </c>
      <c r="I38" s="686"/>
      <c r="J38" s="684" t="s">
        <v>143</v>
      </c>
      <c r="K38" s="684" t="s">
        <v>15797</v>
      </c>
    </row>
    <row r="39" spans="1:11" x14ac:dyDescent="0.3">
      <c r="A39" s="161">
        <v>1</v>
      </c>
      <c r="B39" s="152" t="str">
        <f>IF(H39="SINAPI",IFERROR(VLOOKUP(I39,'SINAPI-comp'!$B:$H,2,0),VLOOKUP(I39,'SINAPI-insumo'!$B:$H,2,0)))</f>
        <v>DESENHISTA PROJETISTA COM ENCARGOS COMPLEMENTARES</v>
      </c>
      <c r="C39" s="151" t="str">
        <f>IF(H39="SINAPI",IFERROR(VLOOKUP(I39,'SINAPI-comp'!$B:$H,3,0),VLOOKUP(I39,'SINAPI-insumo'!$B:$H,3,0)))</f>
        <v>H</v>
      </c>
      <c r="D39" s="153">
        <f>TRUNC(37,4)</f>
        <v>37</v>
      </c>
      <c r="E39" s="177" t="s">
        <v>15533</v>
      </c>
      <c r="F39" s="155">
        <f>IFERROR(VLOOKUP(I39,'SINAPI-comp'!$B:$H,4,0)-G39,0)</f>
        <v>42.93</v>
      </c>
      <c r="G39" s="156">
        <f>IF(H39="SINAPI",IFERROR(VLOOKUP(I39,'SINAPI-comp'!$B:$H,7,0),VLOOKUP(I39,'SINAPI-insumo'!$B:$H,7,0)))</f>
        <v>0</v>
      </c>
      <c r="H39" s="168" t="s">
        <v>53</v>
      </c>
      <c r="I39" s="158">
        <v>90775</v>
      </c>
      <c r="J39" s="159">
        <f>TRUNC($D39*F39,4)</f>
        <v>1588.41</v>
      </c>
      <c r="K39" s="159">
        <f>TRUNC($D39*G39,4)</f>
        <v>0</v>
      </c>
    </row>
    <row r="42" spans="1:11" s="494" customFormat="1" x14ac:dyDescent="0.25">
      <c r="A42" s="674" t="s">
        <v>131</v>
      </c>
      <c r="B42" s="674" t="s">
        <v>132</v>
      </c>
      <c r="C42" s="675"/>
      <c r="D42" s="511"/>
      <c r="E42" s="675"/>
      <c r="F42" s="675"/>
      <c r="G42" s="675"/>
      <c r="H42" s="676" t="s">
        <v>133</v>
      </c>
      <c r="I42" s="677"/>
      <c r="J42" s="512" t="s">
        <v>134</v>
      </c>
      <c r="K42" s="512" t="s">
        <v>15795</v>
      </c>
    </row>
    <row r="43" spans="1:11" x14ac:dyDescent="0.3">
      <c r="A43" s="136" t="s">
        <v>37</v>
      </c>
      <c r="B43" s="137" t="s">
        <v>15532</v>
      </c>
      <c r="C43" s="173"/>
      <c r="D43" s="174"/>
      <c r="E43" s="138"/>
      <c r="F43" s="140"/>
      <c r="G43" s="140"/>
      <c r="H43" s="141" t="s">
        <v>136</v>
      </c>
      <c r="I43" s="175"/>
      <c r="J43" s="143">
        <f>TRUNC(SUM(J45:J45),2)</f>
        <v>1588.41</v>
      </c>
      <c r="K43" s="143">
        <f>TRUNC(SUM(K45:K45),2)</f>
        <v>0</v>
      </c>
    </row>
    <row r="44" spans="1:11" s="687" customFormat="1" ht="27.6" x14ac:dyDescent="0.25">
      <c r="A44" s="522" t="s">
        <v>137</v>
      </c>
      <c r="B44" s="523" t="s">
        <v>19</v>
      </c>
      <c r="C44" s="524" t="s">
        <v>20</v>
      </c>
      <c r="D44" s="682" t="s">
        <v>138</v>
      </c>
      <c r="E44" s="525" t="s">
        <v>139</v>
      </c>
      <c r="F44" s="683" t="s">
        <v>140</v>
      </c>
      <c r="G44" s="684" t="s">
        <v>15796</v>
      </c>
      <c r="H44" s="685" t="s">
        <v>142</v>
      </c>
      <c r="I44" s="686"/>
      <c r="J44" s="684" t="s">
        <v>143</v>
      </c>
      <c r="K44" s="684" t="s">
        <v>15797</v>
      </c>
    </row>
    <row r="45" spans="1:11" x14ac:dyDescent="0.3">
      <c r="A45" s="161">
        <v>1</v>
      </c>
      <c r="B45" s="152" t="str">
        <f>IF(H45="SINAPI",IFERROR(VLOOKUP(I45,'SINAPI-comp'!$B:$H,2,0),VLOOKUP(I45,'SINAPI-insumo'!$B:$H,2,0)))</f>
        <v>DESENHISTA PROJETISTA COM ENCARGOS COMPLEMENTARES</v>
      </c>
      <c r="C45" s="151" t="str">
        <f>IF(H45="SINAPI",IFERROR(VLOOKUP(I45,'SINAPI-comp'!$B:$H,3,0),VLOOKUP(I45,'SINAPI-insumo'!$B:$H,3,0)))</f>
        <v>H</v>
      </c>
      <c r="D45" s="153">
        <f>TRUNC(37,4)</f>
        <v>37</v>
      </c>
      <c r="E45" s="177" t="s">
        <v>15533</v>
      </c>
      <c r="F45" s="155">
        <f>IFERROR(VLOOKUP(I45,'SINAPI-comp'!$B:$H,4,0)-G45,0)</f>
        <v>42.93</v>
      </c>
      <c r="G45" s="156">
        <f>IF(H45="SINAPI",IFERROR(VLOOKUP(I45,'SINAPI-comp'!$B:$H,7,0),VLOOKUP(I45,'SINAPI-insumo'!$B:$H,7,0)))</f>
        <v>0</v>
      </c>
      <c r="H45" s="168" t="s">
        <v>53</v>
      </c>
      <c r="I45" s="158">
        <v>90775</v>
      </c>
      <c r="J45" s="159">
        <f>TRUNC($D45*F45,4)</f>
        <v>1588.41</v>
      </c>
      <c r="K45" s="159">
        <f>TRUNC($D45*G45,4)</f>
        <v>0</v>
      </c>
    </row>
    <row r="48" spans="1:11" s="494" customFormat="1" x14ac:dyDescent="0.25">
      <c r="A48" s="674" t="s">
        <v>131</v>
      </c>
      <c r="B48" s="674" t="s">
        <v>132</v>
      </c>
      <c r="C48" s="675"/>
      <c r="D48" s="511"/>
      <c r="E48" s="675"/>
      <c r="F48" s="675"/>
      <c r="G48" s="675"/>
      <c r="H48" s="676" t="s">
        <v>133</v>
      </c>
      <c r="I48" s="677"/>
      <c r="J48" s="512" t="s">
        <v>134</v>
      </c>
      <c r="K48" s="512" t="s">
        <v>15795</v>
      </c>
    </row>
    <row r="49" spans="1:13" x14ac:dyDescent="0.3">
      <c r="A49" s="136" t="s">
        <v>44</v>
      </c>
      <c r="B49" s="137" t="s">
        <v>15534</v>
      </c>
      <c r="C49" s="138"/>
      <c r="D49" s="139"/>
      <c r="E49" s="138"/>
      <c r="F49" s="140"/>
      <c r="G49" s="140"/>
      <c r="H49" s="141" t="s">
        <v>136</v>
      </c>
      <c r="I49" s="140"/>
      <c r="J49" s="143">
        <f>TRUNC(SUM(J51:J54),2)</f>
        <v>4620.16</v>
      </c>
      <c r="K49" s="143">
        <f>TRUNC(SUM(K51:K54),2)</f>
        <v>228.13</v>
      </c>
      <c r="L49" s="127"/>
      <c r="M49" s="127"/>
    </row>
    <row r="50" spans="1:13" s="687" customFormat="1" ht="27.6" x14ac:dyDescent="0.25">
      <c r="A50" s="522" t="s">
        <v>137</v>
      </c>
      <c r="B50" s="523" t="s">
        <v>19</v>
      </c>
      <c r="C50" s="524" t="s">
        <v>20</v>
      </c>
      <c r="D50" s="682" t="s">
        <v>138</v>
      </c>
      <c r="E50" s="525" t="s">
        <v>139</v>
      </c>
      <c r="F50" s="683" t="s">
        <v>140</v>
      </c>
      <c r="G50" s="684" t="s">
        <v>15796</v>
      </c>
      <c r="H50" s="685" t="s">
        <v>142</v>
      </c>
      <c r="I50" s="686"/>
      <c r="J50" s="684" t="s">
        <v>143</v>
      </c>
      <c r="K50" s="684" t="s">
        <v>15797</v>
      </c>
    </row>
    <row r="51" spans="1:13" ht="41.4" x14ac:dyDescent="0.3">
      <c r="A51" s="151">
        <v>1</v>
      </c>
      <c r="B51" s="160" t="str">
        <f>IF(OR(H51="SINAPI",H51="SINAPI-I"),IFERROR(VLOOKUP(I51,'SINAPI-comp'!$B:$H,2,0),VLOOKUP(I51,'SINAPI-insumo'!$B:$H,2,0)))</f>
        <v>SARRAFO NAO APARELHADO *2,5 X 7* CM, EM MACARANDUBA/MASSARANDUBA, ANGELIM, PEROBA-ROSA OU EQUIVALENTE DA REGIAO - BRUTA</v>
      </c>
      <c r="C51" s="151" t="str">
        <f>IF(OR(H51="SINAPI",H51="SINAPI-I"),IFERROR(VLOOKUP(I51,'SINAPI-comp'!$B:$H,3,0),VLOOKUP(I51,'SINAPI-insumo'!$B:$H,3,0)))</f>
        <v>M</v>
      </c>
      <c r="D51" s="153">
        <f>((115+210)/20)*0.4</f>
        <v>6.5</v>
      </c>
      <c r="E51" s="171" t="s">
        <v>15530</v>
      </c>
      <c r="F51" s="155">
        <f>IFERROR(VLOOKUP(I51,'SINAPI-comp'!$B:$H,4,0)-G51,0)</f>
        <v>0</v>
      </c>
      <c r="G51" s="156">
        <f>IF(OR(H51="SINAPI",H51="SINAPI-I"),IFERROR(VLOOKUP(I51,'SINAPI-comp'!$B:$H,7,0),VLOOKUP(I51,'SINAPI-insumo'!$B:$H,7,0)))</f>
        <v>7.43</v>
      </c>
      <c r="H51" s="157" t="s">
        <v>149</v>
      </c>
      <c r="I51" s="158">
        <v>4417</v>
      </c>
      <c r="J51" s="159">
        <f t="shared" ref="J51:K54" si="6">TRUNC($D51*F51,4)</f>
        <v>0</v>
      </c>
      <c r="K51" s="159">
        <f t="shared" si="6"/>
        <v>48.295000000000002</v>
      </c>
    </row>
    <row r="52" spans="1:13" ht="27.6" x14ac:dyDescent="0.3">
      <c r="A52" s="151">
        <v>2</v>
      </c>
      <c r="B52" s="160" t="str">
        <f>IF(OR(H52="SINAPI",H52="SINAPI-I"),IFERROR(VLOOKUP(I52,'SINAPI-comp'!$B:$H,2,0),VLOOKUP(I52,'SINAPI-insumo'!$B:$H,2,0)))</f>
        <v>LOCACAO DE TEODOLITO ELETRONICO, PRECISAO ANGULAR DE 5 A 7 SEGUNDOS, INCLUINDO TRIPE</v>
      </c>
      <c r="C52" s="151" t="str">
        <f>IF(OR(H52="SINAPI",H52="SINAPI-I"),IFERROR(VLOOKUP(I52,'SINAPI-comp'!$B:$H,3,0),VLOOKUP(I52,'SINAPI-insumo'!$B:$H,3,0)))</f>
        <v>H</v>
      </c>
      <c r="D52" s="172">
        <f>D54</f>
        <v>64</v>
      </c>
      <c r="E52" s="154"/>
      <c r="F52" s="155">
        <f>IFERROR(VLOOKUP(I52,'SINAPI-comp'!$B:$H,4,0)-G52,0)</f>
        <v>0</v>
      </c>
      <c r="G52" s="156">
        <f>IF(OR(H52="SINAPI",H52="SINAPI-I"),IFERROR(VLOOKUP(I52,'SINAPI-comp'!$B:$H,7,0),VLOOKUP(I52,'SINAPI-insumo'!$B:$H,7,0)))</f>
        <v>2.81</v>
      </c>
      <c r="H52" s="157" t="s">
        <v>149</v>
      </c>
      <c r="I52" s="158">
        <v>7247</v>
      </c>
      <c r="J52" s="159">
        <f t="shared" si="6"/>
        <v>0</v>
      </c>
      <c r="K52" s="159">
        <f t="shared" si="6"/>
        <v>179.84</v>
      </c>
    </row>
    <row r="53" spans="1:13" x14ac:dyDescent="0.3">
      <c r="A53" s="151">
        <v>3</v>
      </c>
      <c r="B53" s="160" t="str">
        <f>IF(H53="SINAPI",IFERROR(VLOOKUP(I53,'SINAPI-comp'!$B:$H,2,0),VLOOKUP(I53,'SINAPI-insumo'!$B:$H,2,0)))</f>
        <v>AUXILIAR DE TOPÓGRAFO COM ENCARGOS COMPLEMENTARES</v>
      </c>
      <c r="C53" s="151" t="str">
        <f>IF(H53="SINAPI",IFERROR(VLOOKUP(I53,'SINAPI-comp'!$B:$H,3,0),VLOOKUP(I53,'SINAPI-insumo'!$B:$H,3,0)))</f>
        <v>H</v>
      </c>
      <c r="D53" s="153">
        <f>D54</f>
        <v>64</v>
      </c>
      <c r="E53" s="154"/>
      <c r="F53" s="155">
        <f>IFERROR(VLOOKUP(I53,'SINAPI-comp'!$B:$H,4,0)-G53,0)</f>
        <v>24.37</v>
      </c>
      <c r="G53" s="156">
        <f>IF(H53="SINAPI",IFERROR(VLOOKUP(I53,'SINAPI-comp'!$B:$H,7,0),VLOOKUP(I53,'SINAPI-insumo'!$B:$H,7,0)))</f>
        <v>0</v>
      </c>
      <c r="H53" s="157" t="s">
        <v>53</v>
      </c>
      <c r="I53" s="158">
        <v>88253</v>
      </c>
      <c r="J53" s="159">
        <f t="shared" si="6"/>
        <v>1559.68</v>
      </c>
      <c r="K53" s="159">
        <f t="shared" si="6"/>
        <v>0</v>
      </c>
    </row>
    <row r="54" spans="1:13" x14ac:dyDescent="0.3">
      <c r="A54" s="151">
        <v>4</v>
      </c>
      <c r="B54" s="160" t="str">
        <f>IF(H54="SINAPI",IFERROR(VLOOKUP(I54,'SINAPI-comp'!$B:$H,2,0),VLOOKUP(I54,'SINAPI-insumo'!$B:$H,2,0)))</f>
        <v>TOPOGRAFO COM ENCARGOS COMPLEMENTARES</v>
      </c>
      <c r="C54" s="151" t="str">
        <f>IF(H54="SINAPI",IFERROR(VLOOKUP(I54,'SINAPI-comp'!$B:$H,3,0),VLOOKUP(I54,'SINAPI-insumo'!$B:$H,3,0)))</f>
        <v>H</v>
      </c>
      <c r="D54" s="153">
        <f>8*2*I9</f>
        <v>64</v>
      </c>
      <c r="E54" s="154" t="s">
        <v>15531</v>
      </c>
      <c r="F54" s="155">
        <f>IFERROR(VLOOKUP(I54,'SINAPI-comp'!$B:$H,4,0)-G54,0)</f>
        <v>47.82</v>
      </c>
      <c r="G54" s="156">
        <f>IF(H54="SINAPI",IFERROR(VLOOKUP(I54,'SINAPI-comp'!$B:$H,7,0),VLOOKUP(I54,'SINAPI-insumo'!$B:$H,7,0)))</f>
        <v>0</v>
      </c>
      <c r="H54" s="157" t="s">
        <v>53</v>
      </c>
      <c r="I54" s="158">
        <v>90781</v>
      </c>
      <c r="J54" s="159">
        <f t="shared" si="6"/>
        <v>3060.48</v>
      </c>
      <c r="K54" s="159">
        <f t="shared" si="6"/>
        <v>0</v>
      </c>
    </row>
    <row r="55" spans="1:13" x14ac:dyDescent="0.3">
      <c r="C55" s="169"/>
      <c r="D55" s="170"/>
      <c r="I55" s="123"/>
    </row>
    <row r="56" spans="1:13" x14ac:dyDescent="0.3">
      <c r="C56" s="169"/>
      <c r="D56" s="170"/>
      <c r="I56" s="123"/>
    </row>
    <row r="57" spans="1:13" s="494" customFormat="1" x14ac:dyDescent="0.25">
      <c r="A57" s="674" t="s">
        <v>131</v>
      </c>
      <c r="B57" s="674" t="s">
        <v>132</v>
      </c>
      <c r="C57" s="675"/>
      <c r="D57" s="511"/>
      <c r="E57" s="675"/>
      <c r="F57" s="675"/>
      <c r="G57" s="675"/>
      <c r="H57" s="676" t="s">
        <v>133</v>
      </c>
      <c r="I57" s="677"/>
      <c r="J57" s="512" t="s">
        <v>134</v>
      </c>
      <c r="K57" s="512" t="s">
        <v>15795</v>
      </c>
    </row>
    <row r="58" spans="1:13" x14ac:dyDescent="0.3">
      <c r="A58" s="136" t="s">
        <v>49</v>
      </c>
      <c r="B58" s="137" t="s">
        <v>15551</v>
      </c>
      <c r="C58" s="138"/>
      <c r="D58" s="139"/>
      <c r="E58" s="138"/>
      <c r="F58" s="140"/>
      <c r="G58" s="140"/>
      <c r="H58" s="141" t="s">
        <v>136</v>
      </c>
      <c r="I58" s="140"/>
      <c r="J58" s="143">
        <f>TRUNC(SUM(J60:J83),2)</f>
        <v>525.71</v>
      </c>
      <c r="K58" s="143">
        <f>TRUNC(SUM(K60:K83),2)</f>
        <v>2904.58</v>
      </c>
      <c r="L58" s="127"/>
      <c r="M58" s="127"/>
    </row>
    <row r="59" spans="1:13" s="687" customFormat="1" ht="27.6" x14ac:dyDescent="0.25">
      <c r="A59" s="522" t="s">
        <v>137</v>
      </c>
      <c r="B59" s="523" t="s">
        <v>19</v>
      </c>
      <c r="C59" s="524" t="s">
        <v>20</v>
      </c>
      <c r="D59" s="682" t="s">
        <v>138</v>
      </c>
      <c r="E59" s="525" t="s">
        <v>139</v>
      </c>
      <c r="F59" s="683" t="s">
        <v>140</v>
      </c>
      <c r="G59" s="684" t="s">
        <v>15796</v>
      </c>
      <c r="H59" s="685" t="s">
        <v>142</v>
      </c>
      <c r="I59" s="686"/>
      <c r="J59" s="684" t="s">
        <v>143</v>
      </c>
      <c r="K59" s="684" t="s">
        <v>15797</v>
      </c>
    </row>
    <row r="60" spans="1:13" x14ac:dyDescent="0.3">
      <c r="A60" s="151"/>
      <c r="B60" s="178" t="s">
        <v>153</v>
      </c>
      <c r="C60" s="151"/>
      <c r="D60" s="153"/>
      <c r="E60" s="165"/>
      <c r="F60" s="155"/>
      <c r="G60" s="156"/>
      <c r="H60" s="157"/>
      <c r="I60" s="158"/>
      <c r="J60" s="159"/>
      <c r="K60" s="159"/>
    </row>
    <row r="61" spans="1:13" ht="55.2" x14ac:dyDescent="0.3">
      <c r="A61" s="151">
        <v>1</v>
      </c>
      <c r="B61" s="152" t="str">
        <f>IF(H61="SINAPI",IFERROR(VLOOKUP(I61,'SINAPI-comp'!$B:$H,2,0),VLOOKUP(I61,'SINAPI-insumo'!$B:$H,2,0)))</f>
        <v>CAMINHÃO PIPA 10.000 L TRUCADO, PESO BRUTO TOTAL 23.000 KG, CARGA ÚTIL MÁXIMA 15.935 KG, DISTÂNCIA ENTRE EIXOS 4,8 M, POTÊNCIA 230 CV, INCLUSIVE TANQUE DE AÇO PARA TRANSPORTE DE ÁGUA - CHP DIURNO. AF_06/2014</v>
      </c>
      <c r="C61" s="151" t="str">
        <f>IF(H61="SINAPI",IFERROR(VLOOKUP(I61,'SINAPI-comp'!$B:$H,3,0),VLOOKUP(I61,'SINAPI-insumo'!$B:$H,3,0)))</f>
        <v>CHP</v>
      </c>
      <c r="D61" s="153">
        <v>1</v>
      </c>
      <c r="E61" s="165"/>
      <c r="F61" s="155">
        <f>IFERROR(VLOOKUP(I61,'SINAPI-comp'!$B:$H,4,0)-G61,0)</f>
        <v>28.269999999999982</v>
      </c>
      <c r="G61" s="156">
        <f>IF(H61="SINAPI",IFERROR(VLOOKUP(I61,'SINAPI-comp'!$B:$H,7,0),VLOOKUP(I61,'SINAPI-insumo'!$B:$H,7,0)))</f>
        <v>318.12</v>
      </c>
      <c r="H61" s="157" t="s">
        <v>53</v>
      </c>
      <c r="I61" s="158">
        <v>5901</v>
      </c>
      <c r="J61" s="159">
        <f t="shared" ref="J61:K68" si="7">TRUNC($D61*F61,4)</f>
        <v>28.27</v>
      </c>
      <c r="K61" s="159">
        <f t="shared" si="7"/>
        <v>318.12</v>
      </c>
    </row>
    <row r="62" spans="1:13" ht="55.2" x14ac:dyDescent="0.3">
      <c r="A62" s="151">
        <v>2</v>
      </c>
      <c r="B62" s="160" t="str">
        <f>IF(H62="SINAPI",IFERROR(VLOOKUP(I62,'SINAPI-comp'!$B:$H,2,0),VLOOKUP(I62,'SINAPI-insumo'!$B:$H,2,0)))</f>
        <v>CAMINHÃO BASCULANTE 10 M3, TRUCADO CABINE SIMPLES, PESO BRUTO TOTAL 23.000 KG, CARGA ÚTIL MÁXIMA 15.935 KG, DISTÂNCIA ENTRE EIXOS 4,80 M, POTÊNCIA 230 CV INCLUSIVE CAÇAMBA METÁLICA - CHP DIURNO. AF_06/2014</v>
      </c>
      <c r="C62" s="151" t="str">
        <f>IF(H62="SINAPI",IFERROR(VLOOKUP(I62,'SINAPI-comp'!$B:$H,3,0),VLOOKUP(I62,'SINAPI-insumo'!$B:$H,3,0)))</f>
        <v>CHP</v>
      </c>
      <c r="D62" s="153">
        <v>1</v>
      </c>
      <c r="E62" s="165"/>
      <c r="F62" s="155">
        <f>IFERROR(VLOOKUP(I62,'SINAPI-comp'!$B:$H,4,0)-G62,0)</f>
        <v>29.150000000000034</v>
      </c>
      <c r="G62" s="156">
        <f>IF(H62="SINAPI",IFERROR(VLOOKUP(I62,'SINAPI-comp'!$B:$H,7,0),VLOOKUP(I62,'SINAPI-insumo'!$B:$H,7,0)))</f>
        <v>267.02</v>
      </c>
      <c r="H62" s="157" t="s">
        <v>53</v>
      </c>
      <c r="I62" s="158">
        <v>91386</v>
      </c>
      <c r="J62" s="159">
        <f t="shared" si="7"/>
        <v>29.15</v>
      </c>
      <c r="K62" s="159">
        <f t="shared" si="7"/>
        <v>267.02</v>
      </c>
    </row>
    <row r="63" spans="1:13" ht="55.2" x14ac:dyDescent="0.3">
      <c r="A63" s="151">
        <v>3</v>
      </c>
      <c r="B63" s="160" t="str">
        <f>IF(H63="SINAPI",IFERROR(VLOOKUP(I63,'SINAPI-comp'!$B:$H,2,0),VLOOKUP(I63,'SINAPI-insumo'!$B:$H,2,0)))</f>
        <v>CAMINHÃO DE TRANSPORTE DE MATERIAL ASFÁLTICO 30.000 L, COM CAVALO MECÂNICO DE CAPACIDADE MÁXIMA DE TRAÇÃO COMBINADO DE 66.000 KG, POTÊNCIA 360 CV, INCLUSIVE TANQUE DE ASFALTO COM SERPENTINA - CHP DIURNO. AF_08/2015</v>
      </c>
      <c r="C63" s="151" t="str">
        <f>IF(H63="SINAPI",IFERROR(VLOOKUP(I63,'SINAPI-comp'!$B:$H,3,0),VLOOKUP(I63,'SINAPI-insumo'!$B:$H,3,0)))</f>
        <v>CHP</v>
      </c>
      <c r="D63" s="153">
        <v>1</v>
      </c>
      <c r="E63" s="165"/>
      <c r="F63" s="155">
        <f>IFERROR(VLOOKUP(I63,'SINAPI-comp'!$B:$H,4,0)-G63,0)</f>
        <v>33.850000000000023</v>
      </c>
      <c r="G63" s="156">
        <f>IF(H63="SINAPI",IFERROR(VLOOKUP(I63,'SINAPI-comp'!$B:$H,7,0),VLOOKUP(I63,'SINAPI-insumo'!$B:$H,7,0)))</f>
        <v>472.07</v>
      </c>
      <c r="H63" s="157" t="s">
        <v>53</v>
      </c>
      <c r="I63" s="158">
        <v>91645</v>
      </c>
      <c r="J63" s="159">
        <f t="shared" si="7"/>
        <v>33.85</v>
      </c>
      <c r="K63" s="159">
        <f t="shared" si="7"/>
        <v>472.07</v>
      </c>
    </row>
    <row r="64" spans="1:13" ht="55.2" x14ac:dyDescent="0.3">
      <c r="A64" s="151">
        <v>4</v>
      </c>
      <c r="B64" s="160" t="str">
        <f>IF(H64="SINAPI",IFERROR(VLOOKUP(I64,'SINAPI-comp'!$B:$H,2,0),VLOOKUP(I64,'SINAPI-insumo'!$B:$H,2,0)))</f>
        <v>GUINDAUTO HIDRÁULICO, CAPACIDADE MÁXIMA DE CARGA 6200 KG, MOMENTO MÁXIMO DE CARGA 11,7 TM, ALCANCE MÁXIMO HORIZONTAL 9,70 M, INCLUSIVE CAMINHÃO TOCO PBT 16.000 KG, POTÊNCIA DE 189 CV - CHP DIURNO. AF_06/2014</v>
      </c>
      <c r="C64" s="151" t="str">
        <f>IF(H64="SINAPI",IFERROR(VLOOKUP(I64,'SINAPI-comp'!$B:$H,3,0),VLOOKUP(I64,'SINAPI-insumo'!$B:$H,3,0)))</f>
        <v>CHP</v>
      </c>
      <c r="D64" s="153">
        <v>1</v>
      </c>
      <c r="E64" s="165"/>
      <c r="F64" s="155">
        <f>IFERROR(VLOOKUP(I64,'SINAPI-comp'!$B:$H,4,0)-G64,0)</f>
        <v>33.28000000000003</v>
      </c>
      <c r="G64" s="156">
        <f>IF(H64="SINAPI",IFERROR(VLOOKUP(I64,'SINAPI-comp'!$B:$H,7,0),VLOOKUP(I64,'SINAPI-insumo'!$B:$H,7,0)))</f>
        <v>268.13</v>
      </c>
      <c r="H64" s="157" t="s">
        <v>53</v>
      </c>
      <c r="I64" s="158">
        <v>5928</v>
      </c>
      <c r="J64" s="159">
        <f t="shared" si="7"/>
        <v>33.28</v>
      </c>
      <c r="K64" s="159">
        <f t="shared" si="7"/>
        <v>268.13</v>
      </c>
    </row>
    <row r="65" spans="1:11" ht="27.6" x14ac:dyDescent="0.3">
      <c r="A65" s="151">
        <v>5</v>
      </c>
      <c r="B65" s="152" t="str">
        <f>IF(H65="SINAPI",IFERROR(VLOOKUP(I65,'SINAPI-comp'!$B:$H,2,0),VLOOKUP(I65,'SINAPI-insumo'!$B:$H,2,0)))</f>
        <v>ESCAVADEIRA HIDRÁULICA SOBRE ESTEIRAS, CAÇAMBA 0,80 M3, PESO OPERACIONAL 17 T, POTENCIA BRUTA 111 HP - CHP DIURNO. AF_06/2014</v>
      </c>
      <c r="C65" s="151" t="str">
        <f>IF(H65="SINAPI",IFERROR(VLOOKUP(I65,'SINAPI-comp'!$B:$H,3,0),VLOOKUP(I65,'SINAPI-insumo'!$B:$H,3,0)))</f>
        <v>CHP</v>
      </c>
      <c r="D65" s="153">
        <v>1</v>
      </c>
      <c r="E65" s="165"/>
      <c r="F65" s="155">
        <f>IFERROR(VLOOKUP(I65,'SINAPI-comp'!$B:$H,4,0)-G65,0)</f>
        <v>33.640000000000015</v>
      </c>
      <c r="G65" s="156">
        <f>IF(H65="SINAPI",IFERROR(VLOOKUP(I65,'SINAPI-comp'!$B:$H,7,0),VLOOKUP(I65,'SINAPI-insumo'!$B:$H,7,0)))</f>
        <v>184.2</v>
      </c>
      <c r="H65" s="168" t="s">
        <v>53</v>
      </c>
      <c r="I65" s="158">
        <v>5631</v>
      </c>
      <c r="J65" s="159">
        <f t="shared" si="7"/>
        <v>33.64</v>
      </c>
      <c r="K65" s="159">
        <f t="shared" si="7"/>
        <v>184.2</v>
      </c>
    </row>
    <row r="66" spans="1:11" ht="27.6" x14ac:dyDescent="0.3">
      <c r="A66" s="151">
        <v>6</v>
      </c>
      <c r="B66" s="152" t="str">
        <f>IF(H66="SINAPI",IFERROR(VLOOKUP(I66,'SINAPI-comp'!$B:$H,2,0),VLOOKUP(I66,'SINAPI-insumo'!$B:$H,2,0)))</f>
        <v>TRATOR DE PNEUS, POTÊNCIA 85 CV, TRAÇÃO 4X4, PESO COM LASTRO DE 4.675 KG - CHP DIURNO. AF_06/2014</v>
      </c>
      <c r="C66" s="151" t="str">
        <f>IF(H66="SINAPI",IFERROR(VLOOKUP(I66,'SINAPI-comp'!$B:$H,3,0),VLOOKUP(I66,'SINAPI-insumo'!$B:$H,3,0)))</f>
        <v>CHP</v>
      </c>
      <c r="D66" s="153">
        <v>1</v>
      </c>
      <c r="E66" s="165"/>
      <c r="F66" s="155">
        <f>IFERROR(VLOOKUP(I66,'SINAPI-comp'!$B:$H,4,0)-G66,0)</f>
        <v>35.740000000000009</v>
      </c>
      <c r="G66" s="156">
        <f>IF(H66="SINAPI",IFERROR(VLOOKUP(I66,'SINAPI-comp'!$B:$H,7,0),VLOOKUP(I66,'SINAPI-insumo'!$B:$H,7,0)))</f>
        <v>105.32</v>
      </c>
      <c r="H66" s="168" t="s">
        <v>53</v>
      </c>
      <c r="I66" s="158">
        <v>89035</v>
      </c>
      <c r="J66" s="159">
        <f t="shared" si="7"/>
        <v>35.74</v>
      </c>
      <c r="K66" s="159">
        <f t="shared" si="7"/>
        <v>105.32</v>
      </c>
    </row>
    <row r="67" spans="1:11" ht="41.4" x14ac:dyDescent="0.3">
      <c r="A67" s="151">
        <v>7</v>
      </c>
      <c r="B67" s="152" t="str">
        <f>IF(H67="SINAPI",IFERROR(VLOOKUP(I67,'SINAPI-comp'!$B:$H,2,0),VLOOKUP(I67,'SINAPI-insumo'!$B:$H,2,0)))</f>
        <v>PÁ CARREGADEIRA SOBRE RODAS, POTÊNCIA LÍQUIDA 128 HP, CAPACIDADE DA CAÇAMBA 1,7 A 2,8 M3, PESO OPERACIONAL 11632 KG - CHP DIURNO. AF_06/2014</v>
      </c>
      <c r="C67" s="151" t="str">
        <f>IF(H67="SINAPI",IFERROR(VLOOKUP(I67,'SINAPI-comp'!$B:$H,3,0),VLOOKUP(I67,'SINAPI-insumo'!$B:$H,3,0)))</f>
        <v>CHP</v>
      </c>
      <c r="D67" s="153">
        <v>1</v>
      </c>
      <c r="E67" s="165"/>
      <c r="F67" s="155">
        <f>IFERROR(VLOOKUP(I67,'SINAPI-comp'!$B:$H,4,0)-G67,0)</f>
        <v>36.53</v>
      </c>
      <c r="G67" s="156">
        <f>IF(H67="SINAPI",IFERROR(VLOOKUP(I67,'SINAPI-comp'!$B:$H,7,0),VLOOKUP(I67,'SINAPI-insumo'!$B:$H,7,0)))</f>
        <v>147.83000000000001</v>
      </c>
      <c r="H67" s="168" t="s">
        <v>53</v>
      </c>
      <c r="I67" s="158">
        <v>5940</v>
      </c>
      <c r="J67" s="159">
        <f t="shared" si="7"/>
        <v>36.53</v>
      </c>
      <c r="K67" s="159">
        <f t="shared" si="7"/>
        <v>147.83000000000001</v>
      </c>
    </row>
    <row r="68" spans="1:11" ht="55.2" x14ac:dyDescent="0.3">
      <c r="A68" s="151">
        <v>8</v>
      </c>
      <c r="B68" s="152" t="str">
        <f>IF(H68="SINAPI",IFERROR(VLOOKUP(I68,'SINAPI-comp'!$B:$H,2,0),VLOOKUP(I68,'SINAPI-insumo'!$B:$H,2,0)))</f>
        <v>RETROESCAVADEIRA SOBRE RODAS COM CARREGADEIRA, TRAÇÃO 4X4, POTÊNCIA LÍQ. 88 HP, CAÇAMBA CARREG. CAP. MÍN. 1 M3, CAÇAMBA RETRO CAP. 0,26 M3, PESO OPERACIONAL MÍN. 6.674 KG, PROFUNDIDADE ESCAVAÇÃO MÁX. 4,37 M - CHP DIURNO. AF_06/2014</v>
      </c>
      <c r="C68" s="151" t="str">
        <f>IF(H68="SINAPI",IFERROR(VLOOKUP(I68,'SINAPI-comp'!$B:$H,3,0),VLOOKUP(I68,'SINAPI-insumo'!$B:$H,3,0)))</f>
        <v>CHP</v>
      </c>
      <c r="D68" s="153">
        <v>1</v>
      </c>
      <c r="E68" s="165"/>
      <c r="F68" s="155">
        <f>IFERROR(VLOOKUP(I68,'SINAPI-comp'!$B:$H,4,0)-G68,0)</f>
        <v>33.639999999999986</v>
      </c>
      <c r="G68" s="156">
        <f>IF(H68="SINAPI",IFERROR(VLOOKUP(I68,'SINAPI-comp'!$B:$H,7,0),VLOOKUP(I68,'SINAPI-insumo'!$B:$H,7,0)))</f>
        <v>119.93</v>
      </c>
      <c r="H68" s="168" t="s">
        <v>53</v>
      </c>
      <c r="I68" s="158">
        <v>5678</v>
      </c>
      <c r="J68" s="159">
        <f t="shared" si="7"/>
        <v>33.64</v>
      </c>
      <c r="K68" s="159">
        <f t="shared" si="7"/>
        <v>119.93</v>
      </c>
    </row>
    <row r="69" spans="1:11" x14ac:dyDescent="0.3">
      <c r="A69" s="151"/>
      <c r="B69" s="178" t="s">
        <v>154</v>
      </c>
      <c r="C69" s="151"/>
      <c r="D69" s="153"/>
      <c r="E69" s="165"/>
      <c r="F69" s="155"/>
      <c r="G69" s="156"/>
      <c r="H69" s="168"/>
      <c r="I69" s="158"/>
      <c r="J69" s="159"/>
      <c r="K69" s="159"/>
    </row>
    <row r="70" spans="1:11" ht="55.2" x14ac:dyDescent="0.3">
      <c r="A70" s="151">
        <v>9</v>
      </c>
      <c r="B70" s="152" t="str">
        <f>IF(H70="SINAPI",IFERROR(VLOOKUP(I70,'SINAPI-comp'!$B:$H,2,0),VLOOKUP(I70,'SINAPI-insumo'!$B:$H,2,0)))</f>
        <v>ESPARGIDOR DE ASFALTO PRESSURIZADO, TANQUE 6 M3 COM ISOLAÇÃO TÉRMICA, AQUECIDO COM 2 MAÇARICOS, COM BARRA ESPARGIDORA 3,60 M, MONTADO SOBRE CAMINHÃO TOCO, PBT 14.300 KG, POTÊNCIA 185 CV - CHI DIURNO. AF_05/2023</v>
      </c>
      <c r="C70" s="151" t="str">
        <f>IF(H70="SINAPI",IFERROR(VLOOKUP(I70,'SINAPI-comp'!$B:$H,3,0),VLOOKUP(I70,'SINAPI-insumo'!$B:$H,3,0)))</f>
        <v>CHI</v>
      </c>
      <c r="D70" s="153">
        <v>1</v>
      </c>
      <c r="E70" s="165"/>
      <c r="F70" s="155">
        <f>IFERROR(VLOOKUP(I70,'SINAPI-comp'!$B:$H,4,0)-G70,0)</f>
        <v>28.249999999999993</v>
      </c>
      <c r="G70" s="156">
        <f>IF(H70="SINAPI",IFERROR(VLOOKUP(I70,'SINAPI-comp'!$B:$H,7,0),VLOOKUP(I70,'SINAPI-insumo'!$B:$H,7,0)))</f>
        <v>45.52</v>
      </c>
      <c r="H70" s="168" t="s">
        <v>53</v>
      </c>
      <c r="I70" s="158">
        <v>91486</v>
      </c>
      <c r="J70" s="159">
        <f t="shared" ref="J70:K74" si="8">TRUNC($D70*F70,4)</f>
        <v>28.25</v>
      </c>
      <c r="K70" s="159">
        <f t="shared" si="8"/>
        <v>45.52</v>
      </c>
    </row>
    <row r="71" spans="1:11" ht="55.2" x14ac:dyDescent="0.3">
      <c r="A71" s="151">
        <v>10</v>
      </c>
      <c r="B71" s="152" t="str">
        <f>IF(H71="SINAPI",IFERROR(VLOOKUP(I71,'SINAPI-comp'!$B:$H,2,0),VLOOKUP(I71,'SINAPI-insumo'!$B:$H,2,0)))</f>
        <v>ROLO COMPACTADOR VIBRATÓRIO DE UM CILINDRO AÇO LISO, POTÊNCIA 80 HP, PESO OPERACIONAL MÁXIMO 8,1 T, IMPACTO DINÂMICO 16,15 / 9,5 T, LARGURA DE TRABALHO 1,68 M - CHI DIURNO. AF_06/2014</v>
      </c>
      <c r="C71" s="151" t="str">
        <f>IF(H71="SINAPI",IFERROR(VLOOKUP(I71,'SINAPI-comp'!$B:$H,3,0),VLOOKUP(I71,'SINAPI-insumo'!$B:$H,3,0)))</f>
        <v>CHI</v>
      </c>
      <c r="D71" s="153">
        <v>1</v>
      </c>
      <c r="E71" s="165"/>
      <c r="F71" s="155">
        <f>IFERROR(VLOOKUP(I71,'SINAPI-comp'!$B:$H,4,0)-G71,0)</f>
        <v>30.810000000000002</v>
      </c>
      <c r="G71" s="156">
        <f>IF(H71="SINAPI",IFERROR(VLOOKUP(I71,'SINAPI-comp'!$B:$H,7,0),VLOOKUP(I71,'SINAPI-insumo'!$B:$H,7,0)))</f>
        <v>38.44</v>
      </c>
      <c r="H71" s="168" t="s">
        <v>53</v>
      </c>
      <c r="I71" s="158">
        <v>5685</v>
      </c>
      <c r="J71" s="159">
        <f t="shared" si="8"/>
        <v>30.81</v>
      </c>
      <c r="K71" s="159">
        <f t="shared" si="8"/>
        <v>38.44</v>
      </c>
    </row>
    <row r="72" spans="1:11" ht="41.4" x14ac:dyDescent="0.3">
      <c r="A72" s="151">
        <v>11</v>
      </c>
      <c r="B72" s="152" t="str">
        <f>IF(H72="SINAPI",IFERROR(VLOOKUP(I72,'SINAPI-comp'!$B:$H,2,0),VLOOKUP(I72,'SINAPI-insumo'!$B:$H,2,0)))</f>
        <v>ROLO COMPACTADOR VIBRATÓRIO PÉ DE CARNEIRO PARA SOLOS, POTÊNCIA 80 HP, PESO OPERACIONAL SEM/COM LASTRO 7,4 / 8,8 T, LARGURA DE TRABALHO 1,68 M - CHI DIURNO. AF_02/2016</v>
      </c>
      <c r="C72" s="151" t="str">
        <f>IF(H72="SINAPI",IFERROR(VLOOKUP(I72,'SINAPI-comp'!$B:$H,3,0),VLOOKUP(I72,'SINAPI-insumo'!$B:$H,3,0)))</f>
        <v>CHI</v>
      </c>
      <c r="D72" s="153">
        <v>1</v>
      </c>
      <c r="E72" s="165"/>
      <c r="F72" s="155">
        <f>IFERROR(VLOOKUP(I72,'SINAPI-comp'!$B:$H,4,0)-G72,0)</f>
        <v>30.799999999999997</v>
      </c>
      <c r="G72" s="156">
        <f>IF(H72="SINAPI",IFERROR(VLOOKUP(I72,'SINAPI-comp'!$B:$H,7,0),VLOOKUP(I72,'SINAPI-insumo'!$B:$H,7,0)))</f>
        <v>40.03</v>
      </c>
      <c r="H72" s="168" t="s">
        <v>53</v>
      </c>
      <c r="I72" s="158">
        <v>93244</v>
      </c>
      <c r="J72" s="159">
        <f t="shared" si="8"/>
        <v>30.8</v>
      </c>
      <c r="K72" s="159">
        <f t="shared" si="8"/>
        <v>40.03</v>
      </c>
    </row>
    <row r="73" spans="1:11" ht="27.6" x14ac:dyDescent="0.3">
      <c r="A73" s="161">
        <v>12</v>
      </c>
      <c r="B73" s="165" t="str">
        <f>VLOOKUP(I73,tabelas!$A:$L,4,0)</f>
        <v>CAMINHÃO PLATAFORMA 8 X 4, PBT 29.000 KG E DISTÂNCIA ENTRE EIXOS 4,6 M - 210 KW - MOTORISTA DE CAMINHÃO</v>
      </c>
      <c r="C73" s="166" t="str">
        <f>VLOOKUP(I73,tabelas!$A:$L,5,0)</f>
        <v>CHP</v>
      </c>
      <c r="D73" s="153">
        <f>D72+D71</f>
        <v>2</v>
      </c>
      <c r="E73" s="165"/>
      <c r="F73" s="167">
        <v>0</v>
      </c>
      <c r="G73" s="167">
        <f>VLOOKUP($I73,tabelas!$A:$L,12,0)</f>
        <v>335.5</v>
      </c>
      <c r="H73" s="168" t="s">
        <v>42</v>
      </c>
      <c r="I73" s="158" t="s">
        <v>155</v>
      </c>
      <c r="J73" s="159">
        <f t="shared" si="8"/>
        <v>0</v>
      </c>
      <c r="K73" s="159">
        <f t="shared" si="8"/>
        <v>671</v>
      </c>
    </row>
    <row r="74" spans="1:11" ht="27.6" x14ac:dyDescent="0.3">
      <c r="A74" s="151">
        <v>13</v>
      </c>
      <c r="B74" s="160" t="str">
        <f>IF(H74="SINAPI",IFERROR(VLOOKUP(I74,'SINAPI-comp'!$B:$H,2,0),VLOOKUP(I74,'SINAPI-insumo'!$B:$H,2,0)))</f>
        <v>SERVENTE COM ENCARGOS COMPLEMENTARES</v>
      </c>
      <c r="C74" s="151" t="str">
        <f>IF(H74="SINAPI",IFERROR(VLOOKUP(I74,'SINAPI-comp'!$B:$H,3,0),VLOOKUP(I74,'SINAPI-insumo'!$B:$H,3,0)))</f>
        <v>H</v>
      </c>
      <c r="D74" s="153">
        <f>D73</f>
        <v>2</v>
      </c>
      <c r="E74" s="165" t="s">
        <v>156</v>
      </c>
      <c r="F74" s="155">
        <f>IFERROR(VLOOKUP(I74,'SINAPI-comp'!$B:$H,4,0)-G74,0)</f>
        <v>25.81</v>
      </c>
      <c r="G74" s="156">
        <f>IF(H74="SINAPI",IFERROR(VLOOKUP(I74,'SINAPI-comp'!$B:$H,7,0),VLOOKUP(I74,'SINAPI-insumo'!$B:$H,7,0)))</f>
        <v>0</v>
      </c>
      <c r="H74" s="157" t="s">
        <v>53</v>
      </c>
      <c r="I74" s="158">
        <v>88316</v>
      </c>
      <c r="J74" s="159">
        <f t="shared" si="8"/>
        <v>51.62</v>
      </c>
      <c r="K74" s="159">
        <f t="shared" si="8"/>
        <v>0</v>
      </c>
    </row>
    <row r="75" spans="1:11" x14ac:dyDescent="0.3">
      <c r="A75" s="151"/>
      <c r="B75" s="178" t="s">
        <v>157</v>
      </c>
      <c r="C75" s="151"/>
      <c r="D75" s="153"/>
      <c r="E75" s="165"/>
      <c r="F75" s="155"/>
      <c r="G75" s="156"/>
      <c r="H75" s="168"/>
      <c r="I75" s="158"/>
      <c r="J75" s="159"/>
      <c r="K75" s="159"/>
    </row>
    <row r="76" spans="1:11" ht="55.2" x14ac:dyDescent="0.3">
      <c r="A76" s="151">
        <v>14</v>
      </c>
      <c r="B76" s="160" t="str">
        <f>IF(H76="SINAPI",IFERROR(VLOOKUP(I76,'SINAPI-comp'!$B:$H,2,0),VLOOKUP(I76,'SINAPI-insumo'!$B:$H,2,0)))</f>
        <v>CAMINHÃO TOCO, PBT 16.000 KG, CARGA ÚTIL MÁX. 10.685 KG, DIST. ENTRE EIXOS 4,8 M, POTÊNCIA 189 CV, INCLUSIVE CARROCERIA FIXA ABERTA DE MADEIRA P/ TRANSPORTE GERAL DE CARGA SECA, DIMEN. APROX. 2,5 X 7,00 X 0,50 M - CHP DIURNO. AF_06/2014</v>
      </c>
      <c r="C76" s="151" t="str">
        <f>IF(H76="SINAPI",IFERROR(VLOOKUP(I76,'SINAPI-comp'!$B:$H,3,0),VLOOKUP(I76,'SINAPI-insumo'!$B:$H,3,0)))</f>
        <v>CHP</v>
      </c>
      <c r="D76" s="153">
        <v>1</v>
      </c>
      <c r="E76" s="165"/>
      <c r="F76" s="155">
        <f>IFERROR(VLOOKUP(I76,'SINAPI-comp'!$B:$H,4,0)-G76,0)</f>
        <v>28.25</v>
      </c>
      <c r="G76" s="156">
        <f>IF(H76="SINAPI",IFERROR(VLOOKUP(I76,'SINAPI-comp'!$B:$H,7,0),VLOOKUP(I76,'SINAPI-insumo'!$B:$H,7,0)))</f>
        <v>208.69</v>
      </c>
      <c r="H76" s="157" t="s">
        <v>53</v>
      </c>
      <c r="I76" s="158">
        <v>5824</v>
      </c>
      <c r="J76" s="159">
        <f t="shared" ref="J76:K83" si="9">TRUNC($D76*F76,4)</f>
        <v>28.25</v>
      </c>
      <c r="K76" s="159">
        <f t="shared" si="9"/>
        <v>208.69</v>
      </c>
    </row>
    <row r="77" spans="1:11" ht="27.6" x14ac:dyDescent="0.3">
      <c r="A77" s="151">
        <v>15</v>
      </c>
      <c r="B77" s="160" t="str">
        <f>IF(H77="SINAPI",IFERROR(VLOOKUP(I77,'SINAPI-comp'!$B:$H,2,0),VLOOKUP(I77,'SINAPI-insumo'!$B:$H,2,0)))</f>
        <v>SERVENTE COM ENCARGOS COMPLEMENTARES</v>
      </c>
      <c r="C77" s="151" t="str">
        <f>IF(H77="SINAPI",IFERROR(VLOOKUP(I77,'SINAPI-comp'!$B:$H,3,0),VLOOKUP(I77,'SINAPI-insumo'!$B:$H,3,0)))</f>
        <v>H</v>
      </c>
      <c r="D77" s="153">
        <f>D76</f>
        <v>1</v>
      </c>
      <c r="E77" s="165" t="s">
        <v>156</v>
      </c>
      <c r="F77" s="155">
        <f>IFERROR(VLOOKUP(I77,'SINAPI-comp'!$B:$H,4,0)-G77,0)</f>
        <v>25.81</v>
      </c>
      <c r="G77" s="156">
        <f>IF(H77="SINAPI",IFERROR(VLOOKUP(I77,'SINAPI-comp'!$B:$H,7,0),VLOOKUP(I77,'SINAPI-insumo'!$B:$H,7,0)))</f>
        <v>0</v>
      </c>
      <c r="H77" s="157" t="s">
        <v>53</v>
      </c>
      <c r="I77" s="158">
        <v>88316</v>
      </c>
      <c r="J77" s="159">
        <f t="shared" si="9"/>
        <v>25.81</v>
      </c>
      <c r="K77" s="159">
        <f t="shared" si="9"/>
        <v>0</v>
      </c>
    </row>
    <row r="78" spans="1:11" ht="27.6" x14ac:dyDescent="0.3">
      <c r="A78" s="151">
        <v>16</v>
      </c>
      <c r="B78" s="160" t="str">
        <f>IF(OR(H78="SINAPI",H78="SINAPI-I"),IFERROR(VLOOKUP(I78,'SINAPI-comp'!$B:$H,2,0),VLOOKUP(I78,'SINAPI-insumo'!$B:$H,2,0)))</f>
        <v>VASSOURA MECÂNICA REBOCÁVEL COM ESCOVA CILÍNDRICA, LARGURA ÚTIL DE VARRIMENTO DE 2,44 M - CHI DIURNO. AF_06/2014</v>
      </c>
      <c r="C78" s="151" t="str">
        <f>IF(OR(H78="SINAPI",H78="SINAPI-I"),IFERROR(VLOOKUP(I78,'SINAPI-comp'!$B:$H,3,0),VLOOKUP(I78,'SINAPI-insumo'!$B:$H,3,0)))</f>
        <v>CHI</v>
      </c>
      <c r="D78" s="153">
        <v>1</v>
      </c>
      <c r="E78" s="165"/>
      <c r="F78" s="155">
        <f>IFERROR(VLOOKUP(I78,'SINAPI-comp'!$B:$H,4,0)-G78,0)</f>
        <v>0</v>
      </c>
      <c r="G78" s="156">
        <f>IF(OR(H78="SINAPI",H78="SINAPI-I"),IFERROR(VLOOKUP(I78,'SINAPI-comp'!$B:$H,7,0),VLOOKUP(I78,'SINAPI-insumo'!$B:$H,7,0)))</f>
        <v>6.12</v>
      </c>
      <c r="H78" s="157" t="s">
        <v>149</v>
      </c>
      <c r="I78" s="158">
        <v>5841</v>
      </c>
      <c r="J78" s="159">
        <f t="shared" si="9"/>
        <v>0</v>
      </c>
      <c r="K78" s="159">
        <f t="shared" si="9"/>
        <v>6.12</v>
      </c>
    </row>
    <row r="79" spans="1:11" ht="27.6" x14ac:dyDescent="0.3">
      <c r="A79" s="151">
        <v>17</v>
      </c>
      <c r="B79" s="152" t="str">
        <f>IF(H79="SINAPI",IFERROR(VLOOKUP(I79,'SINAPI-comp'!$B:$H,2,0),VLOOKUP(I79,'SINAPI-insumo'!$B:$H,2,0)))</f>
        <v>COMPACTADOR DE SOLOS DE PERCUSSÃO (SOQUETE) COM MOTOR A GASOLINA 4 TEMPOS, POTÊNCIA 4 CV - CHI DIURNO. AF_08/2015</v>
      </c>
      <c r="C79" s="151" t="str">
        <f>IF(H79="SINAPI",IFERROR(VLOOKUP(I79,'SINAPI-comp'!$B:$H,3,0),VLOOKUP(I79,'SINAPI-insumo'!$B:$H,3,0)))</f>
        <v>CHI</v>
      </c>
      <c r="D79" s="153">
        <v>1</v>
      </c>
      <c r="E79" s="165"/>
      <c r="F79" s="155">
        <f>IFERROR(VLOOKUP(I79,'SINAPI-comp'!$B:$H,4,0)-G79,0)</f>
        <v>35.729999999999997</v>
      </c>
      <c r="G79" s="156">
        <f>IF(H79="SINAPI",IFERROR(VLOOKUP(I79,'SINAPI-comp'!$B:$H,7,0),VLOOKUP(I79,'SINAPI-insumo'!$B:$H,7,0)))</f>
        <v>1.28</v>
      </c>
      <c r="H79" s="168" t="s">
        <v>53</v>
      </c>
      <c r="I79" s="158">
        <v>91534</v>
      </c>
      <c r="J79" s="159">
        <f t="shared" si="9"/>
        <v>35.729999999999997</v>
      </c>
      <c r="K79" s="159">
        <f t="shared" si="9"/>
        <v>1.28</v>
      </c>
    </row>
    <row r="80" spans="1:11" ht="41.4" x14ac:dyDescent="0.3">
      <c r="A80" s="151">
        <v>18</v>
      </c>
      <c r="B80" s="152" t="str">
        <f>IF(H80="SINAPI",IFERROR(VLOOKUP(I80,'SINAPI-comp'!$B:$H,2,0),VLOOKUP(I80,'SINAPI-insumo'!$B:$H,2,0)))</f>
        <v>COMPRESSOR DE AR REBOCÁVEL, VAZÃO 89 PCM, PRESSÃO EFETIVA DE TRABALHO 102 PSI, MOTOR DIESEL, POTÊNCIA 20 CV - CHI DIURNO. AF_06/2015</v>
      </c>
      <c r="C80" s="151" t="str">
        <f>IF(H80="SINAPI",IFERROR(VLOOKUP(I80,'SINAPI-comp'!$B:$H,3,0),VLOOKUP(I80,'SINAPI-insumo'!$B:$H,3,0)))</f>
        <v>CHI</v>
      </c>
      <c r="D80" s="153">
        <v>1</v>
      </c>
      <c r="E80" s="165"/>
      <c r="F80" s="155">
        <f>IFERROR(VLOOKUP(I80,'SINAPI-comp'!$B:$H,4,0)-G80,0)</f>
        <v>0</v>
      </c>
      <c r="G80" s="156">
        <f>IF(H80="SINAPI",IFERROR(VLOOKUP(I80,'SINAPI-comp'!$B:$H,7,0),VLOOKUP(I80,'SINAPI-insumo'!$B:$H,7,0)))</f>
        <v>8.9</v>
      </c>
      <c r="H80" s="168" t="s">
        <v>53</v>
      </c>
      <c r="I80" s="158">
        <v>90965</v>
      </c>
      <c r="J80" s="159">
        <f t="shared" si="9"/>
        <v>0</v>
      </c>
      <c r="K80" s="159">
        <f t="shared" si="9"/>
        <v>8.9</v>
      </c>
    </row>
    <row r="81" spans="1:13" ht="27.6" x14ac:dyDescent="0.3">
      <c r="A81" s="151">
        <v>19</v>
      </c>
      <c r="B81" s="152" t="str">
        <f>IF(H81="SINAPI",IFERROR(VLOOKUP(I81,'SINAPI-comp'!$B:$H,2,0),VLOOKUP(I81,'SINAPI-insumo'!$B:$H,2,0)))</f>
        <v>MARTELETE OU ROMPEDOR PNEUMÁTICO MANUAL, 28 KG, COM SILENCIADOR - CHI DIURNO. AF_07/2016</v>
      </c>
      <c r="C81" s="151" t="str">
        <f>IF(H81="SINAPI",IFERROR(VLOOKUP(I81,'SINAPI-comp'!$B:$H,3,0),VLOOKUP(I81,'SINAPI-insumo'!$B:$H,3,0)))</f>
        <v>CHI</v>
      </c>
      <c r="D81" s="153">
        <v>1</v>
      </c>
      <c r="E81" s="165"/>
      <c r="F81" s="155">
        <f>IFERROR(VLOOKUP(I81,'SINAPI-comp'!$B:$H,4,0)-G81,0)</f>
        <v>30.34</v>
      </c>
      <c r="G81" s="156">
        <f>IF(H81="SINAPI",IFERROR(VLOOKUP(I81,'SINAPI-comp'!$B:$H,7,0),VLOOKUP(I81,'SINAPI-insumo'!$B:$H,7,0)))</f>
        <v>0.55000000000000004</v>
      </c>
      <c r="H81" s="168" t="s">
        <v>53</v>
      </c>
      <c r="I81" s="158">
        <v>5952</v>
      </c>
      <c r="J81" s="159">
        <f t="shared" si="9"/>
        <v>30.34</v>
      </c>
      <c r="K81" s="159">
        <f t="shared" si="9"/>
        <v>0.55000000000000004</v>
      </c>
    </row>
    <row r="82" spans="1:13" ht="55.2" x14ac:dyDescent="0.3">
      <c r="A82" s="151">
        <v>20</v>
      </c>
      <c r="B82" s="152" t="str">
        <f>IF(H82="SINAPI",IFERROR(VLOOKUP(I82,'SINAPI-comp'!$B:$H,2,0),VLOOKUP(I82,'SINAPI-insumo'!$B:$H,2,0)))</f>
        <v>CORTADORA DE PISO COM MOTOR 4 TEMPOS A GASOLINA, POTÊNCIA DE 13 HP, COM DISCO DE CORTE DIAMANTADO SEGMENTADO PARA CONCRETO, DIÂMETRO DE 350 MM, FURO DE 1" (14 X 1") - CHI DIURNO. AF_08/2015</v>
      </c>
      <c r="C82" s="151" t="str">
        <f>IF(H82="SINAPI",IFERROR(VLOOKUP(I82,'SINAPI-comp'!$B:$H,3,0),VLOOKUP(I82,'SINAPI-insumo'!$B:$H,3,0)))</f>
        <v>CHI</v>
      </c>
      <c r="D82" s="153">
        <v>1</v>
      </c>
      <c r="E82" s="165"/>
      <c r="F82" s="155">
        <f>IFERROR(VLOOKUP(I82,'SINAPI-comp'!$B:$H,4,0)-G82,0)</f>
        <v>0</v>
      </c>
      <c r="G82" s="156">
        <f>IF(H82="SINAPI",IFERROR(VLOOKUP(I82,'SINAPI-comp'!$B:$H,7,0),VLOOKUP(I82,'SINAPI-insumo'!$B:$H,7,0)))</f>
        <v>0.56999999999999995</v>
      </c>
      <c r="H82" s="168" t="s">
        <v>53</v>
      </c>
      <c r="I82" s="158">
        <v>91285</v>
      </c>
      <c r="J82" s="159">
        <f t="shared" si="9"/>
        <v>0</v>
      </c>
      <c r="K82" s="159">
        <f t="shared" si="9"/>
        <v>0.56999999999999995</v>
      </c>
    </row>
    <row r="83" spans="1:13" ht="41.4" x14ac:dyDescent="0.3">
      <c r="A83" s="151">
        <v>21</v>
      </c>
      <c r="B83" s="152" t="str">
        <f>IF(H83="SINAPI",IFERROR(VLOOKUP(I83,'SINAPI-comp'!$B:$H,2,0),VLOOKUP(I83,'SINAPI-insumo'!$B:$H,2,0)))</f>
        <v>PLACA VIBRATÓRIA REVERSÍVEL COM MOTOR 4 TEMPOS A GASOLINA, FORÇA CENTRÍFUGA DE 25 KN (2500 KGF), POTÊNCIA 5,5 CV - CHI DIURNO. AF_08/2015</v>
      </c>
      <c r="C83" s="151" t="str">
        <f>IF(H83="SINAPI",IFERROR(VLOOKUP(I83,'SINAPI-comp'!$B:$H,3,0),VLOOKUP(I83,'SINAPI-insumo'!$B:$H,3,0)))</f>
        <v>CHI</v>
      </c>
      <c r="D83" s="153">
        <v>1</v>
      </c>
      <c r="E83" s="165"/>
      <c r="F83" s="155">
        <f>IFERROR(VLOOKUP(I83,'SINAPI-comp'!$B:$H,4,0)-G83,0)</f>
        <v>0</v>
      </c>
      <c r="G83" s="156">
        <f>IF(H83="SINAPI",IFERROR(VLOOKUP(I83,'SINAPI-comp'!$B:$H,7,0),VLOOKUP(I83,'SINAPI-insumo'!$B:$H,7,0)))</f>
        <v>0.86</v>
      </c>
      <c r="H83" s="168" t="s">
        <v>53</v>
      </c>
      <c r="I83" s="158">
        <v>91278</v>
      </c>
      <c r="J83" s="159">
        <f t="shared" si="9"/>
        <v>0</v>
      </c>
      <c r="K83" s="159">
        <f t="shared" si="9"/>
        <v>0.86</v>
      </c>
    </row>
    <row r="86" spans="1:13" s="494" customFormat="1" x14ac:dyDescent="0.25">
      <c r="A86" s="674" t="s">
        <v>131</v>
      </c>
      <c r="B86" s="674" t="s">
        <v>132</v>
      </c>
      <c r="C86" s="675"/>
      <c r="D86" s="511"/>
      <c r="E86" s="675"/>
      <c r="F86" s="675"/>
      <c r="G86" s="675"/>
      <c r="H86" s="676" t="s">
        <v>133</v>
      </c>
      <c r="I86" s="677"/>
      <c r="J86" s="512" t="s">
        <v>134</v>
      </c>
      <c r="K86" s="512" t="s">
        <v>15795</v>
      </c>
    </row>
    <row r="87" spans="1:13" x14ac:dyDescent="0.3">
      <c r="A87" s="136" t="s">
        <v>51</v>
      </c>
      <c r="B87" s="137" t="s">
        <v>15555</v>
      </c>
      <c r="C87" s="138"/>
      <c r="D87" s="139"/>
      <c r="E87" s="138"/>
      <c r="F87" s="140"/>
      <c r="G87" s="140"/>
      <c r="H87" s="141" t="s">
        <v>136</v>
      </c>
      <c r="I87" s="140"/>
      <c r="J87" s="143">
        <f>TRUNC(SUM(J89:J112),2)</f>
        <v>525.71</v>
      </c>
      <c r="K87" s="143">
        <f>TRUNC(SUM(K89:K112),2)</f>
        <v>2904.58</v>
      </c>
      <c r="L87" s="127"/>
      <c r="M87" s="127"/>
    </row>
    <row r="88" spans="1:13" s="687" customFormat="1" ht="27.6" x14ac:dyDescent="0.25">
      <c r="A88" s="522" t="s">
        <v>137</v>
      </c>
      <c r="B88" s="523" t="s">
        <v>19</v>
      </c>
      <c r="C88" s="524" t="s">
        <v>20</v>
      </c>
      <c r="D88" s="682" t="s">
        <v>138</v>
      </c>
      <c r="E88" s="525" t="s">
        <v>139</v>
      </c>
      <c r="F88" s="683" t="s">
        <v>140</v>
      </c>
      <c r="G88" s="684" t="s">
        <v>15796</v>
      </c>
      <c r="H88" s="685" t="s">
        <v>142</v>
      </c>
      <c r="I88" s="686"/>
      <c r="J88" s="684" t="s">
        <v>143</v>
      </c>
      <c r="K88" s="684" t="s">
        <v>15797</v>
      </c>
    </row>
    <row r="89" spans="1:13" x14ac:dyDescent="0.3">
      <c r="A89" s="151"/>
      <c r="B89" s="178" t="s">
        <v>153</v>
      </c>
      <c r="C89" s="151"/>
      <c r="D89" s="153"/>
      <c r="E89" s="165"/>
      <c r="F89" s="155"/>
      <c r="G89" s="156"/>
      <c r="H89" s="157"/>
      <c r="I89" s="158"/>
      <c r="J89" s="159"/>
      <c r="K89" s="159"/>
    </row>
    <row r="90" spans="1:13" ht="55.2" x14ac:dyDescent="0.3">
      <c r="A90" s="151">
        <v>1</v>
      </c>
      <c r="B90" s="152" t="str">
        <f>IF(H90="SINAPI",IFERROR(VLOOKUP(I90,'SINAPI-comp'!$B:$H,2,0),VLOOKUP(I90,'SINAPI-insumo'!$B:$H,2,0)))</f>
        <v>CAMINHÃO PIPA 10.000 L TRUCADO, PESO BRUTO TOTAL 23.000 KG, CARGA ÚTIL MÁXIMA 15.935 KG, DISTÂNCIA ENTRE EIXOS 4,8 M, POTÊNCIA 230 CV, INCLUSIVE TANQUE DE AÇO PARA TRANSPORTE DE ÁGUA - CHP DIURNO. AF_06/2014</v>
      </c>
      <c r="C90" s="151" t="str">
        <f>IF(H90="SINAPI",IFERROR(VLOOKUP(I90,'SINAPI-comp'!$B:$H,3,0),VLOOKUP(I90,'SINAPI-insumo'!$B:$H,3,0)))</f>
        <v>CHP</v>
      </c>
      <c r="D90" s="153">
        <v>1</v>
      </c>
      <c r="E90" s="165"/>
      <c r="F90" s="155">
        <f>IFERROR(VLOOKUP(I90,'SINAPI-comp'!$B:$H,4,0)-G90,0)</f>
        <v>28.269999999999982</v>
      </c>
      <c r="G90" s="156">
        <f>IF(H90="SINAPI",IFERROR(VLOOKUP(I90,'SINAPI-comp'!$B:$H,7,0),VLOOKUP(I90,'SINAPI-insumo'!$B:$H,7,0)))</f>
        <v>318.12</v>
      </c>
      <c r="H90" s="157" t="s">
        <v>53</v>
      </c>
      <c r="I90" s="158">
        <v>5901</v>
      </c>
      <c r="J90" s="159">
        <f t="shared" ref="J90:J97" si="10">TRUNC($D90*F90,4)</f>
        <v>28.27</v>
      </c>
      <c r="K90" s="159">
        <f t="shared" ref="K90:K97" si="11">TRUNC($D90*G90,4)</f>
        <v>318.12</v>
      </c>
    </row>
    <row r="91" spans="1:13" ht="55.2" x14ac:dyDescent="0.3">
      <c r="A91" s="151">
        <v>2</v>
      </c>
      <c r="B91" s="160" t="str">
        <f>IF(H91="SINAPI",IFERROR(VLOOKUP(I91,'SINAPI-comp'!$B:$H,2,0),VLOOKUP(I91,'SINAPI-insumo'!$B:$H,2,0)))</f>
        <v>CAMINHÃO BASCULANTE 10 M3, TRUCADO CABINE SIMPLES, PESO BRUTO TOTAL 23.000 KG, CARGA ÚTIL MÁXIMA 15.935 KG, DISTÂNCIA ENTRE EIXOS 4,80 M, POTÊNCIA 230 CV INCLUSIVE CAÇAMBA METÁLICA - CHP DIURNO. AF_06/2014</v>
      </c>
      <c r="C91" s="151" t="str">
        <f>IF(H91="SINAPI",IFERROR(VLOOKUP(I91,'SINAPI-comp'!$B:$H,3,0),VLOOKUP(I91,'SINAPI-insumo'!$B:$H,3,0)))</f>
        <v>CHP</v>
      </c>
      <c r="D91" s="153">
        <v>1</v>
      </c>
      <c r="E91" s="165"/>
      <c r="F91" s="155">
        <f>IFERROR(VLOOKUP(I91,'SINAPI-comp'!$B:$H,4,0)-G91,0)</f>
        <v>29.150000000000034</v>
      </c>
      <c r="G91" s="156">
        <f>IF(H91="SINAPI",IFERROR(VLOOKUP(I91,'SINAPI-comp'!$B:$H,7,0),VLOOKUP(I91,'SINAPI-insumo'!$B:$H,7,0)))</f>
        <v>267.02</v>
      </c>
      <c r="H91" s="157" t="s">
        <v>53</v>
      </c>
      <c r="I91" s="158">
        <v>91386</v>
      </c>
      <c r="J91" s="159">
        <f t="shared" si="10"/>
        <v>29.15</v>
      </c>
      <c r="K91" s="159">
        <f t="shared" si="11"/>
        <v>267.02</v>
      </c>
    </row>
    <row r="92" spans="1:13" ht="55.2" x14ac:dyDescent="0.3">
      <c r="A92" s="151">
        <v>3</v>
      </c>
      <c r="B92" s="160" t="str">
        <f>IF(H92="SINAPI",IFERROR(VLOOKUP(I92,'SINAPI-comp'!$B:$H,2,0),VLOOKUP(I92,'SINAPI-insumo'!$B:$H,2,0)))</f>
        <v>CAMINHÃO DE TRANSPORTE DE MATERIAL ASFÁLTICO 30.000 L, COM CAVALO MECÂNICO DE CAPACIDADE MÁXIMA DE TRAÇÃO COMBINADO DE 66.000 KG, POTÊNCIA 360 CV, INCLUSIVE TANQUE DE ASFALTO COM SERPENTINA - CHP DIURNO. AF_08/2015</v>
      </c>
      <c r="C92" s="151" t="str">
        <f>IF(H92="SINAPI",IFERROR(VLOOKUP(I92,'SINAPI-comp'!$B:$H,3,0),VLOOKUP(I92,'SINAPI-insumo'!$B:$H,3,0)))</f>
        <v>CHP</v>
      </c>
      <c r="D92" s="153">
        <v>1</v>
      </c>
      <c r="E92" s="165"/>
      <c r="F92" s="155">
        <f>IFERROR(VLOOKUP(I92,'SINAPI-comp'!$B:$H,4,0)-G92,0)</f>
        <v>33.850000000000023</v>
      </c>
      <c r="G92" s="156">
        <f>IF(H92="SINAPI",IFERROR(VLOOKUP(I92,'SINAPI-comp'!$B:$H,7,0),VLOOKUP(I92,'SINAPI-insumo'!$B:$H,7,0)))</f>
        <v>472.07</v>
      </c>
      <c r="H92" s="157" t="s">
        <v>53</v>
      </c>
      <c r="I92" s="158">
        <v>91645</v>
      </c>
      <c r="J92" s="159">
        <f t="shared" si="10"/>
        <v>33.85</v>
      </c>
      <c r="K92" s="159">
        <f t="shared" si="11"/>
        <v>472.07</v>
      </c>
    </row>
    <row r="93" spans="1:13" ht="55.2" x14ac:dyDescent="0.3">
      <c r="A93" s="151">
        <v>4</v>
      </c>
      <c r="B93" s="160" t="str">
        <f>IF(H93="SINAPI",IFERROR(VLOOKUP(I93,'SINAPI-comp'!$B:$H,2,0),VLOOKUP(I93,'SINAPI-insumo'!$B:$H,2,0)))</f>
        <v>GUINDAUTO HIDRÁULICO, CAPACIDADE MÁXIMA DE CARGA 6200 KG, MOMENTO MÁXIMO DE CARGA 11,7 TM, ALCANCE MÁXIMO HORIZONTAL 9,70 M, INCLUSIVE CAMINHÃO TOCO PBT 16.000 KG, POTÊNCIA DE 189 CV - CHP DIURNO. AF_06/2014</v>
      </c>
      <c r="C93" s="151" t="str">
        <f>IF(H93="SINAPI",IFERROR(VLOOKUP(I93,'SINAPI-comp'!$B:$H,3,0),VLOOKUP(I93,'SINAPI-insumo'!$B:$H,3,0)))</f>
        <v>CHP</v>
      </c>
      <c r="D93" s="153">
        <v>1</v>
      </c>
      <c r="E93" s="165"/>
      <c r="F93" s="155">
        <f>IFERROR(VLOOKUP(I93,'SINAPI-comp'!$B:$H,4,0)-G93,0)</f>
        <v>33.28000000000003</v>
      </c>
      <c r="G93" s="156">
        <f>IF(H93="SINAPI",IFERROR(VLOOKUP(I93,'SINAPI-comp'!$B:$H,7,0),VLOOKUP(I93,'SINAPI-insumo'!$B:$H,7,0)))</f>
        <v>268.13</v>
      </c>
      <c r="H93" s="157" t="s">
        <v>53</v>
      </c>
      <c r="I93" s="158">
        <v>5928</v>
      </c>
      <c r="J93" s="159">
        <f t="shared" si="10"/>
        <v>33.28</v>
      </c>
      <c r="K93" s="159">
        <f t="shared" si="11"/>
        <v>268.13</v>
      </c>
    </row>
    <row r="94" spans="1:13" ht="27.6" x14ac:dyDescent="0.3">
      <c r="A94" s="151">
        <v>5</v>
      </c>
      <c r="B94" s="152" t="str">
        <f>IF(H94="SINAPI",IFERROR(VLOOKUP(I94,'SINAPI-comp'!$B:$H,2,0),VLOOKUP(I94,'SINAPI-insumo'!$B:$H,2,0)))</f>
        <v>ESCAVADEIRA HIDRÁULICA SOBRE ESTEIRAS, CAÇAMBA 0,80 M3, PESO OPERACIONAL 17 T, POTENCIA BRUTA 111 HP - CHP DIURNO. AF_06/2014</v>
      </c>
      <c r="C94" s="151" t="str">
        <f>IF(H94="SINAPI",IFERROR(VLOOKUP(I94,'SINAPI-comp'!$B:$H,3,0),VLOOKUP(I94,'SINAPI-insumo'!$B:$H,3,0)))</f>
        <v>CHP</v>
      </c>
      <c r="D94" s="153">
        <v>1</v>
      </c>
      <c r="E94" s="165"/>
      <c r="F94" s="155">
        <f>IFERROR(VLOOKUP(I94,'SINAPI-comp'!$B:$H,4,0)-G94,0)</f>
        <v>33.640000000000015</v>
      </c>
      <c r="G94" s="156">
        <f>IF(H94="SINAPI",IFERROR(VLOOKUP(I94,'SINAPI-comp'!$B:$H,7,0),VLOOKUP(I94,'SINAPI-insumo'!$B:$H,7,0)))</f>
        <v>184.2</v>
      </c>
      <c r="H94" s="168" t="s">
        <v>53</v>
      </c>
      <c r="I94" s="158">
        <v>5631</v>
      </c>
      <c r="J94" s="159">
        <f t="shared" si="10"/>
        <v>33.64</v>
      </c>
      <c r="K94" s="159">
        <f t="shared" si="11"/>
        <v>184.2</v>
      </c>
    </row>
    <row r="95" spans="1:13" ht="27.6" x14ac:dyDescent="0.3">
      <c r="A95" s="151">
        <v>6</v>
      </c>
      <c r="B95" s="152" t="str">
        <f>IF(H95="SINAPI",IFERROR(VLOOKUP(I95,'SINAPI-comp'!$B:$H,2,0),VLOOKUP(I95,'SINAPI-insumo'!$B:$H,2,0)))</f>
        <v>TRATOR DE PNEUS, POTÊNCIA 85 CV, TRAÇÃO 4X4, PESO COM LASTRO DE 4.675 KG - CHP DIURNO. AF_06/2014</v>
      </c>
      <c r="C95" s="151" t="str">
        <f>IF(H95="SINAPI",IFERROR(VLOOKUP(I95,'SINAPI-comp'!$B:$H,3,0),VLOOKUP(I95,'SINAPI-insumo'!$B:$H,3,0)))</f>
        <v>CHP</v>
      </c>
      <c r="D95" s="153">
        <v>1</v>
      </c>
      <c r="E95" s="165"/>
      <c r="F95" s="155">
        <f>IFERROR(VLOOKUP(I95,'SINAPI-comp'!$B:$H,4,0)-G95,0)</f>
        <v>35.740000000000009</v>
      </c>
      <c r="G95" s="156">
        <f>IF(H95="SINAPI",IFERROR(VLOOKUP(I95,'SINAPI-comp'!$B:$H,7,0),VLOOKUP(I95,'SINAPI-insumo'!$B:$H,7,0)))</f>
        <v>105.32</v>
      </c>
      <c r="H95" s="168" t="s">
        <v>53</v>
      </c>
      <c r="I95" s="158">
        <v>89035</v>
      </c>
      <c r="J95" s="159">
        <f t="shared" si="10"/>
        <v>35.74</v>
      </c>
      <c r="K95" s="159">
        <f t="shared" si="11"/>
        <v>105.32</v>
      </c>
    </row>
    <row r="96" spans="1:13" ht="41.4" x14ac:dyDescent="0.3">
      <c r="A96" s="151">
        <v>7</v>
      </c>
      <c r="B96" s="152" t="str">
        <f>IF(H96="SINAPI",IFERROR(VLOOKUP(I96,'SINAPI-comp'!$B:$H,2,0),VLOOKUP(I96,'SINAPI-insumo'!$B:$H,2,0)))</f>
        <v>PÁ CARREGADEIRA SOBRE RODAS, POTÊNCIA LÍQUIDA 128 HP, CAPACIDADE DA CAÇAMBA 1,7 A 2,8 M3, PESO OPERACIONAL 11632 KG - CHP DIURNO. AF_06/2014</v>
      </c>
      <c r="C96" s="151" t="str">
        <f>IF(H96="SINAPI",IFERROR(VLOOKUP(I96,'SINAPI-comp'!$B:$H,3,0),VLOOKUP(I96,'SINAPI-insumo'!$B:$H,3,0)))</f>
        <v>CHP</v>
      </c>
      <c r="D96" s="153">
        <v>1</v>
      </c>
      <c r="E96" s="165"/>
      <c r="F96" s="155">
        <f>IFERROR(VLOOKUP(I96,'SINAPI-comp'!$B:$H,4,0)-G96,0)</f>
        <v>36.53</v>
      </c>
      <c r="G96" s="156">
        <f>IF(H96="SINAPI",IFERROR(VLOOKUP(I96,'SINAPI-comp'!$B:$H,7,0),VLOOKUP(I96,'SINAPI-insumo'!$B:$H,7,0)))</f>
        <v>147.83000000000001</v>
      </c>
      <c r="H96" s="168" t="s">
        <v>53</v>
      </c>
      <c r="I96" s="158">
        <v>5940</v>
      </c>
      <c r="J96" s="159">
        <f t="shared" si="10"/>
        <v>36.53</v>
      </c>
      <c r="K96" s="159">
        <f t="shared" si="11"/>
        <v>147.83000000000001</v>
      </c>
    </row>
    <row r="97" spans="1:11" ht="55.2" x14ac:dyDescent="0.3">
      <c r="A97" s="151">
        <v>8</v>
      </c>
      <c r="B97" s="152" t="str">
        <f>IF(H97="SINAPI",IFERROR(VLOOKUP(I97,'SINAPI-comp'!$B:$H,2,0),VLOOKUP(I97,'SINAPI-insumo'!$B:$H,2,0)))</f>
        <v>RETROESCAVADEIRA SOBRE RODAS COM CARREGADEIRA, TRAÇÃO 4X4, POTÊNCIA LÍQ. 88 HP, CAÇAMBA CARREG. CAP. MÍN. 1 M3, CAÇAMBA RETRO CAP. 0,26 M3, PESO OPERACIONAL MÍN. 6.674 KG, PROFUNDIDADE ESCAVAÇÃO MÁX. 4,37 M - CHP DIURNO. AF_06/2014</v>
      </c>
      <c r="C97" s="151" t="str">
        <f>IF(H97="SINAPI",IFERROR(VLOOKUP(I97,'SINAPI-comp'!$B:$H,3,0),VLOOKUP(I97,'SINAPI-insumo'!$B:$H,3,0)))</f>
        <v>CHP</v>
      </c>
      <c r="D97" s="153">
        <v>1</v>
      </c>
      <c r="E97" s="165"/>
      <c r="F97" s="155">
        <f>IFERROR(VLOOKUP(I97,'SINAPI-comp'!$B:$H,4,0)-G97,0)</f>
        <v>33.639999999999986</v>
      </c>
      <c r="G97" s="156">
        <f>IF(H97="SINAPI",IFERROR(VLOOKUP(I97,'SINAPI-comp'!$B:$H,7,0),VLOOKUP(I97,'SINAPI-insumo'!$B:$H,7,0)))</f>
        <v>119.93</v>
      </c>
      <c r="H97" s="168" t="s">
        <v>53</v>
      </c>
      <c r="I97" s="158">
        <v>5678</v>
      </c>
      <c r="J97" s="159">
        <f t="shared" si="10"/>
        <v>33.64</v>
      </c>
      <c r="K97" s="159">
        <f t="shared" si="11"/>
        <v>119.93</v>
      </c>
    </row>
    <row r="98" spans="1:11" x14ac:dyDescent="0.3">
      <c r="A98" s="151"/>
      <c r="B98" s="178" t="s">
        <v>154</v>
      </c>
      <c r="C98" s="151"/>
      <c r="D98" s="153"/>
      <c r="E98" s="165"/>
      <c r="F98" s="155"/>
      <c r="G98" s="156"/>
      <c r="H98" s="168"/>
      <c r="I98" s="158"/>
      <c r="J98" s="159"/>
      <c r="K98" s="159"/>
    </row>
    <row r="99" spans="1:11" ht="55.2" x14ac:dyDescent="0.3">
      <c r="A99" s="151">
        <v>9</v>
      </c>
      <c r="B99" s="152" t="str">
        <f>IF(H99="SINAPI",IFERROR(VLOOKUP(I99,'SINAPI-comp'!$B:$H,2,0),VLOOKUP(I99,'SINAPI-insumo'!$B:$H,2,0)))</f>
        <v>ESPARGIDOR DE ASFALTO PRESSURIZADO, TANQUE 6 M3 COM ISOLAÇÃO TÉRMICA, AQUECIDO COM 2 MAÇARICOS, COM BARRA ESPARGIDORA 3,60 M, MONTADO SOBRE CAMINHÃO TOCO, PBT 14.300 KG, POTÊNCIA 185 CV - CHI DIURNO. AF_05/2023</v>
      </c>
      <c r="C99" s="151" t="str">
        <f>IF(H99="SINAPI",IFERROR(VLOOKUP(I99,'SINAPI-comp'!$B:$H,3,0),VLOOKUP(I99,'SINAPI-insumo'!$B:$H,3,0)))</f>
        <v>CHI</v>
      </c>
      <c r="D99" s="153">
        <v>1</v>
      </c>
      <c r="E99" s="165"/>
      <c r="F99" s="155">
        <f>IFERROR(VLOOKUP(I99,'SINAPI-comp'!$B:$H,4,0)-G99,0)</f>
        <v>28.249999999999993</v>
      </c>
      <c r="G99" s="156">
        <f>IF(H99="SINAPI",IFERROR(VLOOKUP(I99,'SINAPI-comp'!$B:$H,7,0),VLOOKUP(I99,'SINAPI-insumo'!$B:$H,7,0)))</f>
        <v>45.52</v>
      </c>
      <c r="H99" s="168" t="s">
        <v>53</v>
      </c>
      <c r="I99" s="158">
        <v>91486</v>
      </c>
      <c r="J99" s="159">
        <f t="shared" ref="J99:J103" si="12">TRUNC($D99*F99,4)</f>
        <v>28.25</v>
      </c>
      <c r="K99" s="159">
        <f t="shared" ref="K99:K103" si="13">TRUNC($D99*G99,4)</f>
        <v>45.52</v>
      </c>
    </row>
    <row r="100" spans="1:11" ht="55.2" x14ac:dyDescent="0.3">
      <c r="A100" s="151">
        <v>10</v>
      </c>
      <c r="B100" s="152" t="str">
        <f>IF(H100="SINAPI",IFERROR(VLOOKUP(I100,'SINAPI-comp'!$B:$H,2,0),VLOOKUP(I100,'SINAPI-insumo'!$B:$H,2,0)))</f>
        <v>ROLO COMPACTADOR VIBRATÓRIO DE UM CILINDRO AÇO LISO, POTÊNCIA 80 HP, PESO OPERACIONAL MÁXIMO 8,1 T, IMPACTO DINÂMICO 16,15 / 9,5 T, LARGURA DE TRABALHO 1,68 M - CHI DIURNO. AF_06/2014</v>
      </c>
      <c r="C100" s="151" t="str">
        <f>IF(H100="SINAPI",IFERROR(VLOOKUP(I100,'SINAPI-comp'!$B:$H,3,0),VLOOKUP(I100,'SINAPI-insumo'!$B:$H,3,0)))</f>
        <v>CHI</v>
      </c>
      <c r="D100" s="153">
        <v>1</v>
      </c>
      <c r="E100" s="165"/>
      <c r="F100" s="155">
        <f>IFERROR(VLOOKUP(I100,'SINAPI-comp'!$B:$H,4,0)-G100,0)</f>
        <v>30.810000000000002</v>
      </c>
      <c r="G100" s="156">
        <f>IF(H100="SINAPI",IFERROR(VLOOKUP(I100,'SINAPI-comp'!$B:$H,7,0),VLOOKUP(I100,'SINAPI-insumo'!$B:$H,7,0)))</f>
        <v>38.44</v>
      </c>
      <c r="H100" s="168" t="s">
        <v>53</v>
      </c>
      <c r="I100" s="158">
        <v>5685</v>
      </c>
      <c r="J100" s="159">
        <f t="shared" si="12"/>
        <v>30.81</v>
      </c>
      <c r="K100" s="159">
        <f t="shared" si="13"/>
        <v>38.44</v>
      </c>
    </row>
    <row r="101" spans="1:11" ht="41.4" x14ac:dyDescent="0.3">
      <c r="A101" s="151">
        <v>11</v>
      </c>
      <c r="B101" s="152" t="str">
        <f>IF(H101="SINAPI",IFERROR(VLOOKUP(I101,'SINAPI-comp'!$B:$H,2,0),VLOOKUP(I101,'SINAPI-insumo'!$B:$H,2,0)))</f>
        <v>ROLO COMPACTADOR VIBRATÓRIO PÉ DE CARNEIRO PARA SOLOS, POTÊNCIA 80 HP, PESO OPERACIONAL SEM/COM LASTRO 7,4 / 8,8 T, LARGURA DE TRABALHO 1,68 M - CHI DIURNO. AF_02/2016</v>
      </c>
      <c r="C101" s="151" t="str">
        <f>IF(H101="SINAPI",IFERROR(VLOOKUP(I101,'SINAPI-comp'!$B:$H,3,0),VLOOKUP(I101,'SINAPI-insumo'!$B:$H,3,0)))</f>
        <v>CHI</v>
      </c>
      <c r="D101" s="153">
        <v>1</v>
      </c>
      <c r="E101" s="165"/>
      <c r="F101" s="155">
        <f>IFERROR(VLOOKUP(I101,'SINAPI-comp'!$B:$H,4,0)-G101,0)</f>
        <v>30.799999999999997</v>
      </c>
      <c r="G101" s="156">
        <f>IF(H101="SINAPI",IFERROR(VLOOKUP(I101,'SINAPI-comp'!$B:$H,7,0),VLOOKUP(I101,'SINAPI-insumo'!$B:$H,7,0)))</f>
        <v>40.03</v>
      </c>
      <c r="H101" s="168" t="s">
        <v>53</v>
      </c>
      <c r="I101" s="158">
        <v>93244</v>
      </c>
      <c r="J101" s="159">
        <f t="shared" si="12"/>
        <v>30.8</v>
      </c>
      <c r="K101" s="159">
        <f t="shared" si="13"/>
        <v>40.03</v>
      </c>
    </row>
    <row r="102" spans="1:11" ht="27.6" x14ac:dyDescent="0.3">
      <c r="A102" s="161">
        <v>12</v>
      </c>
      <c r="B102" s="165" t="str">
        <f>VLOOKUP(I102,tabelas!$A:$L,4,0)</f>
        <v>CAMINHÃO PLATAFORMA 8 X 4, PBT 29.000 KG E DISTÂNCIA ENTRE EIXOS 4,6 M - 210 KW - MOTORISTA DE CAMINHÃO</v>
      </c>
      <c r="C102" s="166" t="str">
        <f>VLOOKUP(I102,tabelas!$A:$L,5,0)</f>
        <v>CHP</v>
      </c>
      <c r="D102" s="153">
        <f>D101+D100</f>
        <v>2</v>
      </c>
      <c r="E102" s="165"/>
      <c r="F102" s="167">
        <v>0</v>
      </c>
      <c r="G102" s="167">
        <f>VLOOKUP($I102,tabelas!$A:$L,12,0)</f>
        <v>335.5</v>
      </c>
      <c r="H102" s="168" t="s">
        <v>42</v>
      </c>
      <c r="I102" s="158" t="s">
        <v>155</v>
      </c>
      <c r="J102" s="159">
        <f t="shared" si="12"/>
        <v>0</v>
      </c>
      <c r="K102" s="159">
        <f t="shared" si="13"/>
        <v>671</v>
      </c>
    </row>
    <row r="103" spans="1:11" ht="27.6" x14ac:dyDescent="0.3">
      <c r="A103" s="151">
        <v>13</v>
      </c>
      <c r="B103" s="160" t="str">
        <f>IF(H103="SINAPI",IFERROR(VLOOKUP(I103,'SINAPI-comp'!$B:$H,2,0),VLOOKUP(I103,'SINAPI-insumo'!$B:$H,2,0)))</f>
        <v>SERVENTE COM ENCARGOS COMPLEMENTARES</v>
      </c>
      <c r="C103" s="151" t="str">
        <f>IF(H103="SINAPI",IFERROR(VLOOKUP(I103,'SINAPI-comp'!$B:$H,3,0),VLOOKUP(I103,'SINAPI-insumo'!$B:$H,3,0)))</f>
        <v>H</v>
      </c>
      <c r="D103" s="153">
        <f>D102</f>
        <v>2</v>
      </c>
      <c r="E103" s="165" t="s">
        <v>156</v>
      </c>
      <c r="F103" s="155">
        <f>IFERROR(VLOOKUP(I103,'SINAPI-comp'!$B:$H,4,0)-G103,0)</f>
        <v>25.81</v>
      </c>
      <c r="G103" s="156">
        <f>IF(H103="SINAPI",IFERROR(VLOOKUP(I103,'SINAPI-comp'!$B:$H,7,0),VLOOKUP(I103,'SINAPI-insumo'!$B:$H,7,0)))</f>
        <v>0</v>
      </c>
      <c r="H103" s="157" t="s">
        <v>53</v>
      </c>
      <c r="I103" s="158">
        <v>88316</v>
      </c>
      <c r="J103" s="159">
        <f t="shared" si="12"/>
        <v>51.62</v>
      </c>
      <c r="K103" s="159">
        <f t="shared" si="13"/>
        <v>0</v>
      </c>
    </row>
    <row r="104" spans="1:11" x14ac:dyDescent="0.3">
      <c r="A104" s="151"/>
      <c r="B104" s="178" t="s">
        <v>157</v>
      </c>
      <c r="C104" s="151"/>
      <c r="D104" s="153"/>
      <c r="E104" s="165"/>
      <c r="F104" s="155"/>
      <c r="G104" s="156"/>
      <c r="H104" s="168"/>
      <c r="I104" s="158"/>
      <c r="J104" s="159"/>
      <c r="K104" s="159"/>
    </row>
    <row r="105" spans="1:11" ht="55.2" x14ac:dyDescent="0.3">
      <c r="A105" s="151">
        <v>14</v>
      </c>
      <c r="B105" s="160" t="str">
        <f>IF(H105="SINAPI",IFERROR(VLOOKUP(I105,'SINAPI-comp'!$B:$H,2,0),VLOOKUP(I105,'SINAPI-insumo'!$B:$H,2,0)))</f>
        <v>CAMINHÃO TOCO, PBT 16.000 KG, CARGA ÚTIL MÁX. 10.685 KG, DIST. ENTRE EIXOS 4,8 M, POTÊNCIA 189 CV, INCLUSIVE CARROCERIA FIXA ABERTA DE MADEIRA P/ TRANSPORTE GERAL DE CARGA SECA, DIMEN. APROX. 2,5 X 7,00 X 0,50 M - CHP DIURNO. AF_06/2014</v>
      </c>
      <c r="C105" s="151" t="str">
        <f>IF(H105="SINAPI",IFERROR(VLOOKUP(I105,'SINAPI-comp'!$B:$H,3,0),VLOOKUP(I105,'SINAPI-insumo'!$B:$H,3,0)))</f>
        <v>CHP</v>
      </c>
      <c r="D105" s="153">
        <v>1</v>
      </c>
      <c r="E105" s="165"/>
      <c r="F105" s="155">
        <f>IFERROR(VLOOKUP(I105,'SINAPI-comp'!$B:$H,4,0)-G105,0)</f>
        <v>28.25</v>
      </c>
      <c r="G105" s="156">
        <f>IF(H105="SINAPI",IFERROR(VLOOKUP(I105,'SINAPI-comp'!$B:$H,7,0),VLOOKUP(I105,'SINAPI-insumo'!$B:$H,7,0)))</f>
        <v>208.69</v>
      </c>
      <c r="H105" s="157" t="s">
        <v>53</v>
      </c>
      <c r="I105" s="158">
        <v>5824</v>
      </c>
      <c r="J105" s="159">
        <f t="shared" ref="J105:J112" si="14">TRUNC($D105*F105,4)</f>
        <v>28.25</v>
      </c>
      <c r="K105" s="159">
        <f t="shared" ref="K105:K112" si="15">TRUNC($D105*G105,4)</f>
        <v>208.69</v>
      </c>
    </row>
    <row r="106" spans="1:11" ht="27.6" x14ac:dyDescent="0.3">
      <c r="A106" s="151">
        <v>15</v>
      </c>
      <c r="B106" s="160" t="str">
        <f>IF(H106="SINAPI",IFERROR(VLOOKUP(I106,'SINAPI-comp'!$B:$H,2,0),VLOOKUP(I106,'SINAPI-insumo'!$B:$H,2,0)))</f>
        <v>SERVENTE COM ENCARGOS COMPLEMENTARES</v>
      </c>
      <c r="C106" s="151" t="str">
        <f>IF(H106="SINAPI",IFERROR(VLOOKUP(I106,'SINAPI-comp'!$B:$H,3,0),VLOOKUP(I106,'SINAPI-insumo'!$B:$H,3,0)))</f>
        <v>H</v>
      </c>
      <c r="D106" s="153">
        <f>D105</f>
        <v>1</v>
      </c>
      <c r="E106" s="165" t="s">
        <v>156</v>
      </c>
      <c r="F106" s="155">
        <f>IFERROR(VLOOKUP(I106,'SINAPI-comp'!$B:$H,4,0)-G106,0)</f>
        <v>25.81</v>
      </c>
      <c r="G106" s="156">
        <f>IF(H106="SINAPI",IFERROR(VLOOKUP(I106,'SINAPI-comp'!$B:$H,7,0),VLOOKUP(I106,'SINAPI-insumo'!$B:$H,7,0)))</f>
        <v>0</v>
      </c>
      <c r="H106" s="157" t="s">
        <v>53</v>
      </c>
      <c r="I106" s="158">
        <v>88316</v>
      </c>
      <c r="J106" s="159">
        <f t="shared" si="14"/>
        <v>25.81</v>
      </c>
      <c r="K106" s="159">
        <f t="shared" si="15"/>
        <v>0</v>
      </c>
    </row>
    <row r="107" spans="1:11" ht="27.6" x14ac:dyDescent="0.3">
      <c r="A107" s="151">
        <v>16</v>
      </c>
      <c r="B107" s="160" t="str">
        <f>IF(OR(H107="SINAPI",H107="SINAPI-I"),IFERROR(VLOOKUP(I107,'SINAPI-comp'!$B:$H,2,0),VLOOKUP(I107,'SINAPI-insumo'!$B:$H,2,0)))</f>
        <v>VASSOURA MECÂNICA REBOCÁVEL COM ESCOVA CILÍNDRICA, LARGURA ÚTIL DE VARRIMENTO DE 2,44 M - CHI DIURNO. AF_06/2014</v>
      </c>
      <c r="C107" s="151" t="str">
        <f>IF(OR(H107="SINAPI",H107="SINAPI-I"),IFERROR(VLOOKUP(I107,'SINAPI-comp'!$B:$H,3,0),VLOOKUP(I107,'SINAPI-insumo'!$B:$H,3,0)))</f>
        <v>CHI</v>
      </c>
      <c r="D107" s="153">
        <v>1</v>
      </c>
      <c r="E107" s="165"/>
      <c r="F107" s="155">
        <f>IFERROR(VLOOKUP(I107,'SINAPI-comp'!$B:$H,4,0)-G107,0)</f>
        <v>0</v>
      </c>
      <c r="G107" s="156">
        <f>IF(OR(H107="SINAPI",H107="SINAPI-I"),IFERROR(VLOOKUP(I107,'SINAPI-comp'!$B:$H,7,0),VLOOKUP(I107,'SINAPI-insumo'!$B:$H,7,0)))</f>
        <v>6.12</v>
      </c>
      <c r="H107" s="157" t="s">
        <v>149</v>
      </c>
      <c r="I107" s="158">
        <v>5841</v>
      </c>
      <c r="J107" s="159">
        <f t="shared" si="14"/>
        <v>0</v>
      </c>
      <c r="K107" s="159">
        <f t="shared" si="15"/>
        <v>6.12</v>
      </c>
    </row>
    <row r="108" spans="1:11" ht="27.6" x14ac:dyDescent="0.3">
      <c r="A108" s="151">
        <v>17</v>
      </c>
      <c r="B108" s="152" t="str">
        <f>IF(H108="SINAPI",IFERROR(VLOOKUP(I108,'SINAPI-comp'!$B:$H,2,0),VLOOKUP(I108,'SINAPI-insumo'!$B:$H,2,0)))</f>
        <v>COMPACTADOR DE SOLOS DE PERCUSSÃO (SOQUETE) COM MOTOR A GASOLINA 4 TEMPOS, POTÊNCIA 4 CV - CHI DIURNO. AF_08/2015</v>
      </c>
      <c r="C108" s="151" t="str">
        <f>IF(H108="SINAPI",IFERROR(VLOOKUP(I108,'SINAPI-comp'!$B:$H,3,0),VLOOKUP(I108,'SINAPI-insumo'!$B:$H,3,0)))</f>
        <v>CHI</v>
      </c>
      <c r="D108" s="153">
        <v>1</v>
      </c>
      <c r="E108" s="165"/>
      <c r="F108" s="155">
        <f>IFERROR(VLOOKUP(I108,'SINAPI-comp'!$B:$H,4,0)-G108,0)</f>
        <v>35.729999999999997</v>
      </c>
      <c r="G108" s="156">
        <f>IF(H108="SINAPI",IFERROR(VLOOKUP(I108,'SINAPI-comp'!$B:$H,7,0),VLOOKUP(I108,'SINAPI-insumo'!$B:$H,7,0)))</f>
        <v>1.28</v>
      </c>
      <c r="H108" s="168" t="s">
        <v>53</v>
      </c>
      <c r="I108" s="158">
        <v>91534</v>
      </c>
      <c r="J108" s="159">
        <f t="shared" si="14"/>
        <v>35.729999999999997</v>
      </c>
      <c r="K108" s="159">
        <f t="shared" si="15"/>
        <v>1.28</v>
      </c>
    </row>
    <row r="109" spans="1:11" ht="41.4" x14ac:dyDescent="0.3">
      <c r="A109" s="151">
        <v>18</v>
      </c>
      <c r="B109" s="152" t="str">
        <f>IF(H109="SINAPI",IFERROR(VLOOKUP(I109,'SINAPI-comp'!$B:$H,2,0),VLOOKUP(I109,'SINAPI-insumo'!$B:$H,2,0)))</f>
        <v>COMPRESSOR DE AR REBOCÁVEL, VAZÃO 89 PCM, PRESSÃO EFETIVA DE TRABALHO 102 PSI, MOTOR DIESEL, POTÊNCIA 20 CV - CHI DIURNO. AF_06/2015</v>
      </c>
      <c r="C109" s="151" t="str">
        <f>IF(H109="SINAPI",IFERROR(VLOOKUP(I109,'SINAPI-comp'!$B:$H,3,0),VLOOKUP(I109,'SINAPI-insumo'!$B:$H,3,0)))</f>
        <v>CHI</v>
      </c>
      <c r="D109" s="153">
        <v>1</v>
      </c>
      <c r="E109" s="165"/>
      <c r="F109" s="155">
        <f>IFERROR(VLOOKUP(I109,'SINAPI-comp'!$B:$H,4,0)-G109,0)</f>
        <v>0</v>
      </c>
      <c r="G109" s="156">
        <f>IF(H109="SINAPI",IFERROR(VLOOKUP(I109,'SINAPI-comp'!$B:$H,7,0),VLOOKUP(I109,'SINAPI-insumo'!$B:$H,7,0)))</f>
        <v>8.9</v>
      </c>
      <c r="H109" s="168" t="s">
        <v>53</v>
      </c>
      <c r="I109" s="158">
        <v>90965</v>
      </c>
      <c r="J109" s="159">
        <f t="shared" si="14"/>
        <v>0</v>
      </c>
      <c r="K109" s="159">
        <f t="shared" si="15"/>
        <v>8.9</v>
      </c>
    </row>
    <row r="110" spans="1:11" ht="27.6" x14ac:dyDescent="0.3">
      <c r="A110" s="151">
        <v>19</v>
      </c>
      <c r="B110" s="152" t="str">
        <f>IF(H110="SINAPI",IFERROR(VLOOKUP(I110,'SINAPI-comp'!$B:$H,2,0),VLOOKUP(I110,'SINAPI-insumo'!$B:$H,2,0)))</f>
        <v>MARTELETE OU ROMPEDOR PNEUMÁTICO MANUAL, 28 KG, COM SILENCIADOR - CHI DIURNO. AF_07/2016</v>
      </c>
      <c r="C110" s="151" t="str">
        <f>IF(H110="SINAPI",IFERROR(VLOOKUP(I110,'SINAPI-comp'!$B:$H,3,0),VLOOKUP(I110,'SINAPI-insumo'!$B:$H,3,0)))</f>
        <v>CHI</v>
      </c>
      <c r="D110" s="153">
        <v>1</v>
      </c>
      <c r="E110" s="165"/>
      <c r="F110" s="155">
        <f>IFERROR(VLOOKUP(I110,'SINAPI-comp'!$B:$H,4,0)-G110,0)</f>
        <v>30.34</v>
      </c>
      <c r="G110" s="156">
        <f>IF(H110="SINAPI",IFERROR(VLOOKUP(I110,'SINAPI-comp'!$B:$H,7,0),VLOOKUP(I110,'SINAPI-insumo'!$B:$H,7,0)))</f>
        <v>0.55000000000000004</v>
      </c>
      <c r="H110" s="168" t="s">
        <v>53</v>
      </c>
      <c r="I110" s="158">
        <v>5952</v>
      </c>
      <c r="J110" s="159">
        <f t="shared" si="14"/>
        <v>30.34</v>
      </c>
      <c r="K110" s="159">
        <f t="shared" si="15"/>
        <v>0.55000000000000004</v>
      </c>
    </row>
    <row r="111" spans="1:11" ht="55.2" x14ac:dyDescent="0.3">
      <c r="A111" s="151">
        <v>20</v>
      </c>
      <c r="B111" s="152" t="str">
        <f>IF(H111="SINAPI",IFERROR(VLOOKUP(I111,'SINAPI-comp'!$B:$H,2,0),VLOOKUP(I111,'SINAPI-insumo'!$B:$H,2,0)))</f>
        <v>CORTADORA DE PISO COM MOTOR 4 TEMPOS A GASOLINA, POTÊNCIA DE 13 HP, COM DISCO DE CORTE DIAMANTADO SEGMENTADO PARA CONCRETO, DIÂMETRO DE 350 MM, FURO DE 1" (14 X 1") - CHI DIURNO. AF_08/2015</v>
      </c>
      <c r="C111" s="151" t="str">
        <f>IF(H111="SINAPI",IFERROR(VLOOKUP(I111,'SINAPI-comp'!$B:$H,3,0),VLOOKUP(I111,'SINAPI-insumo'!$B:$H,3,0)))</f>
        <v>CHI</v>
      </c>
      <c r="D111" s="153">
        <v>1</v>
      </c>
      <c r="E111" s="165"/>
      <c r="F111" s="155">
        <f>IFERROR(VLOOKUP(I111,'SINAPI-comp'!$B:$H,4,0)-G111,0)</f>
        <v>0</v>
      </c>
      <c r="G111" s="156">
        <f>IF(H111="SINAPI",IFERROR(VLOOKUP(I111,'SINAPI-comp'!$B:$H,7,0),VLOOKUP(I111,'SINAPI-insumo'!$B:$H,7,0)))</f>
        <v>0.56999999999999995</v>
      </c>
      <c r="H111" s="168" t="s">
        <v>53</v>
      </c>
      <c r="I111" s="158">
        <v>91285</v>
      </c>
      <c r="J111" s="159">
        <f t="shared" si="14"/>
        <v>0</v>
      </c>
      <c r="K111" s="159">
        <f t="shared" si="15"/>
        <v>0.56999999999999995</v>
      </c>
    </row>
    <row r="112" spans="1:11" ht="41.4" x14ac:dyDescent="0.3">
      <c r="A112" s="151">
        <v>21</v>
      </c>
      <c r="B112" s="152" t="str">
        <f>IF(H112="SINAPI",IFERROR(VLOOKUP(I112,'SINAPI-comp'!$B:$H,2,0),VLOOKUP(I112,'SINAPI-insumo'!$B:$H,2,0)))</f>
        <v>PLACA VIBRATÓRIA REVERSÍVEL COM MOTOR 4 TEMPOS A GASOLINA, FORÇA CENTRÍFUGA DE 25 KN (2500 KGF), POTÊNCIA 5,5 CV - CHI DIURNO. AF_08/2015</v>
      </c>
      <c r="C112" s="151" t="str">
        <f>IF(H112="SINAPI",IFERROR(VLOOKUP(I112,'SINAPI-comp'!$B:$H,3,0),VLOOKUP(I112,'SINAPI-insumo'!$B:$H,3,0)))</f>
        <v>CHI</v>
      </c>
      <c r="D112" s="153">
        <v>1</v>
      </c>
      <c r="E112" s="165"/>
      <c r="F112" s="155">
        <f>IFERROR(VLOOKUP(I112,'SINAPI-comp'!$B:$H,4,0)-G112,0)</f>
        <v>0</v>
      </c>
      <c r="G112" s="156">
        <f>IF(H112="SINAPI",IFERROR(VLOOKUP(I112,'SINAPI-comp'!$B:$H,7,0),VLOOKUP(I112,'SINAPI-insumo'!$B:$H,7,0)))</f>
        <v>0.86</v>
      </c>
      <c r="H112" s="168" t="s">
        <v>53</v>
      </c>
      <c r="I112" s="158">
        <v>91278</v>
      </c>
      <c r="J112" s="159">
        <f t="shared" si="14"/>
        <v>0</v>
      </c>
      <c r="K112" s="159">
        <f t="shared" si="15"/>
        <v>0.86</v>
      </c>
    </row>
    <row r="115" spans="1:11" s="494" customFormat="1" x14ac:dyDescent="0.25">
      <c r="A115" s="674" t="s">
        <v>131</v>
      </c>
      <c r="B115" s="674" t="s">
        <v>132</v>
      </c>
      <c r="C115" s="675"/>
      <c r="D115" s="511"/>
      <c r="E115" s="675"/>
      <c r="F115" s="675"/>
      <c r="G115" s="675"/>
      <c r="H115" s="676" t="s">
        <v>133</v>
      </c>
      <c r="I115" s="677"/>
      <c r="J115" s="512" t="s">
        <v>134</v>
      </c>
      <c r="K115" s="512" t="s">
        <v>15795</v>
      </c>
    </row>
    <row r="116" spans="1:11" s="681" customFormat="1" x14ac:dyDescent="0.25">
      <c r="A116" s="136" t="s">
        <v>15808</v>
      </c>
      <c r="B116" s="678" t="s">
        <v>15850</v>
      </c>
      <c r="C116" s="515"/>
      <c r="D116" s="679"/>
      <c r="E116" s="515"/>
      <c r="F116" s="515"/>
      <c r="G116" s="515"/>
      <c r="H116" s="518" t="s">
        <v>136</v>
      </c>
      <c r="I116" s="680"/>
      <c r="J116" s="520">
        <f>TRUNC(SUM(J118:J120),2)</f>
        <v>258.17</v>
      </c>
      <c r="K116" s="520">
        <f>TRUNC(SUM(K118:K120),2)</f>
        <v>50.46</v>
      </c>
    </row>
    <row r="117" spans="1:11" s="687" customFormat="1" ht="27.6" x14ac:dyDescent="0.25">
      <c r="A117" s="522" t="s">
        <v>137</v>
      </c>
      <c r="B117" s="523" t="s">
        <v>19</v>
      </c>
      <c r="C117" s="524" t="s">
        <v>20</v>
      </c>
      <c r="D117" s="682" t="s">
        <v>138</v>
      </c>
      <c r="E117" s="525" t="s">
        <v>139</v>
      </c>
      <c r="F117" s="683" t="s">
        <v>140</v>
      </c>
      <c r="G117" s="684" t="s">
        <v>15796</v>
      </c>
      <c r="H117" s="685" t="s">
        <v>142</v>
      </c>
      <c r="I117" s="686"/>
      <c r="J117" s="684" t="s">
        <v>143</v>
      </c>
      <c r="K117" s="684" t="s">
        <v>15797</v>
      </c>
    </row>
    <row r="118" spans="1:11" s="494" customFormat="1" x14ac:dyDescent="0.25">
      <c r="A118" s="688">
        <v>1</v>
      </c>
      <c r="B118" s="152" t="str">
        <f>IF(H118="SINAPI",IFERROR(VLOOKUP(I118,'SINAPI-comp'!$B:$H,2,0),VLOOKUP(I118,'SINAPI-insumo'!$B:$H,2,0)))</f>
        <v>AUXILIAR DE LABORATÓRIO COM ENCARGOS COMPLEMENTARES</v>
      </c>
      <c r="C118" s="151" t="str">
        <f>IF(H118="SINAPI",IFERROR(VLOOKUP(I118,'SINAPI-comp'!$B:$H,3,0),VLOOKUP(I118,'SINAPI-insumo'!$B:$H,3,0)))</f>
        <v>H</v>
      </c>
      <c r="D118" s="690">
        <v>4.5999999999999996</v>
      </c>
      <c r="E118" s="691" t="s">
        <v>15807</v>
      </c>
      <c r="F118" s="155">
        <f>IFERROR(VLOOKUP(I118,'SINAPI-comp'!$B:$H,4,0)-G118,0)</f>
        <v>35.409999999999997</v>
      </c>
      <c r="G118" s="156">
        <f>IF(H118="SINAPI",IFERROR(VLOOKUP(I118,'SINAPI-comp'!$B:$H,7,0),VLOOKUP(I118,'SINAPI-insumo'!$B:$H,7,0)))</f>
        <v>0</v>
      </c>
      <c r="H118" s="693" t="s">
        <v>53</v>
      </c>
      <c r="I118" s="694">
        <v>88249</v>
      </c>
      <c r="J118" s="695">
        <f>D118*F118</f>
        <v>162.88599999999997</v>
      </c>
      <c r="K118" s="695">
        <f>D118*G118</f>
        <v>0</v>
      </c>
    </row>
    <row r="119" spans="1:11" s="494" customFormat="1" x14ac:dyDescent="0.25">
      <c r="A119" s="688">
        <v>2</v>
      </c>
      <c r="B119" s="152" t="str">
        <f>IF(H119="SINAPI",IFERROR(VLOOKUP(I119,'SINAPI-comp'!$B:$H,2,0),VLOOKUP(I119,'SINAPI-insumo'!$B:$H,2,0)))</f>
        <v>TÉCNICO DE LABORATÓRIO COM ENCARGOS COMPLEMENTARES</v>
      </c>
      <c r="C119" s="151" t="str">
        <f>IF(H119="SINAPI",IFERROR(VLOOKUP(I119,'SINAPI-comp'!$B:$H,3,0),VLOOKUP(I119,'SINAPI-insumo'!$B:$H,3,0)))</f>
        <v>H</v>
      </c>
      <c r="D119" s="690">
        <v>2.2999999999999998</v>
      </c>
      <c r="E119" s="691" t="s">
        <v>15807</v>
      </c>
      <c r="F119" s="155">
        <f>IFERROR(VLOOKUP(I119,'SINAPI-comp'!$B:$H,4,0)-G119,0)</f>
        <v>41.43</v>
      </c>
      <c r="G119" s="156">
        <f>IF(H119="SINAPI",IFERROR(VLOOKUP(I119,'SINAPI-comp'!$B:$H,7,0),VLOOKUP(I119,'SINAPI-insumo'!$B:$H,7,0)))</f>
        <v>0</v>
      </c>
      <c r="H119" s="693" t="s">
        <v>53</v>
      </c>
      <c r="I119" s="694">
        <v>88321</v>
      </c>
      <c r="J119" s="695">
        <f>D119*F119</f>
        <v>95.288999999999987</v>
      </c>
      <c r="K119" s="695">
        <f>D119*G119</f>
        <v>0</v>
      </c>
    </row>
    <row r="120" spans="1:11" s="494" customFormat="1" x14ac:dyDescent="0.25">
      <c r="A120" s="688">
        <v>3</v>
      </c>
      <c r="B120" s="689" t="str">
        <f>VLOOKUP(I120,tabelas!$A:$L,4,0)</f>
        <v>Laboratório de solos</v>
      </c>
      <c r="C120" s="688" t="str">
        <f>VLOOKUP(I120,tabelas!$A:$L,5,0)</f>
        <v>MES</v>
      </c>
      <c r="D120" s="690">
        <f>TRUNC(D118/176*0.5,4)</f>
        <v>1.2999999999999999E-2</v>
      </c>
      <c r="E120" s="691"/>
      <c r="F120" s="692">
        <v>0</v>
      </c>
      <c r="G120" s="695">
        <f>VLOOKUP(I120,tabelas!$A:$L,12,0)</f>
        <v>3882.01</v>
      </c>
      <c r="H120" s="696" t="s">
        <v>42</v>
      </c>
      <c r="I120" s="694" t="s">
        <v>16431</v>
      </c>
      <c r="J120" s="695">
        <f>D120*F120</f>
        <v>0</v>
      </c>
      <c r="K120" s="695">
        <f>D120*G120</f>
        <v>50.46613</v>
      </c>
    </row>
    <row r="121" spans="1:11" s="494" customFormat="1" x14ac:dyDescent="0.25">
      <c r="H121" s="528"/>
      <c r="I121" s="528"/>
      <c r="J121" s="528"/>
    </row>
    <row r="122" spans="1:11" s="494" customFormat="1" x14ac:dyDescent="0.25">
      <c r="H122" s="528"/>
      <c r="I122" s="528"/>
      <c r="J122" s="528"/>
    </row>
    <row r="123" spans="1:11" s="494" customFormat="1" x14ac:dyDescent="0.25">
      <c r="A123" s="674" t="s">
        <v>131</v>
      </c>
      <c r="B123" s="674" t="s">
        <v>132</v>
      </c>
      <c r="C123" s="675"/>
      <c r="D123" s="511"/>
      <c r="E123" s="675"/>
      <c r="F123" s="675"/>
      <c r="G123" s="675"/>
      <c r="H123" s="676" t="s">
        <v>133</v>
      </c>
      <c r="I123" s="677"/>
      <c r="J123" s="512" t="s">
        <v>134</v>
      </c>
      <c r="K123" s="512" t="s">
        <v>15795</v>
      </c>
    </row>
    <row r="124" spans="1:11" s="681" customFormat="1" x14ac:dyDescent="0.25">
      <c r="A124" s="136" t="s">
        <v>15809</v>
      </c>
      <c r="B124" s="678" t="s">
        <v>15849</v>
      </c>
      <c r="C124" s="515"/>
      <c r="D124" s="679"/>
      <c r="E124" s="515"/>
      <c r="F124" s="515"/>
      <c r="G124" s="515"/>
      <c r="H124" s="518" t="s">
        <v>136</v>
      </c>
      <c r="I124" s="680"/>
      <c r="J124" s="520">
        <f>TRUNC(SUM(J127:J133),2)</f>
        <v>190.82</v>
      </c>
      <c r="K124" s="520">
        <f>TRUNC(SUM(K127:K133),2)</f>
        <v>23.29</v>
      </c>
    </row>
    <row r="125" spans="1:11" s="687" customFormat="1" ht="27.6" x14ac:dyDescent="0.25">
      <c r="A125" s="522" t="s">
        <v>137</v>
      </c>
      <c r="B125" s="523" t="s">
        <v>19</v>
      </c>
      <c r="C125" s="524" t="s">
        <v>20</v>
      </c>
      <c r="D125" s="682" t="s">
        <v>138</v>
      </c>
      <c r="E125" s="525" t="s">
        <v>139</v>
      </c>
      <c r="F125" s="683" t="s">
        <v>140</v>
      </c>
      <c r="G125" s="684" t="s">
        <v>15796</v>
      </c>
      <c r="H125" s="685" t="s">
        <v>142</v>
      </c>
      <c r="I125" s="686"/>
      <c r="J125" s="684" t="s">
        <v>143</v>
      </c>
      <c r="K125" s="684" t="s">
        <v>15797</v>
      </c>
    </row>
    <row r="126" spans="1:11" s="687" customFormat="1" x14ac:dyDescent="0.25">
      <c r="A126" s="522">
        <v>1</v>
      </c>
      <c r="B126" s="523" t="s">
        <v>15817</v>
      </c>
      <c r="C126" s="524"/>
      <c r="D126" s="682"/>
      <c r="E126" s="525"/>
      <c r="F126" s="683"/>
      <c r="G126" s="684"/>
      <c r="H126" s="685"/>
      <c r="I126" s="686"/>
      <c r="J126" s="684"/>
      <c r="K126" s="684"/>
    </row>
    <row r="127" spans="1:11" s="494" customFormat="1" x14ac:dyDescent="0.25">
      <c r="A127" s="688" t="s">
        <v>29</v>
      </c>
      <c r="B127" s="152" t="str">
        <f>IF(H127="SINAPI",IFERROR(VLOOKUP(I127,'SINAPI-comp'!$B:$H,2,0),VLOOKUP(I127,'SINAPI-insumo'!$B:$H,2,0)))</f>
        <v>AUXILIAR DE LABORATÓRIO COM ENCARGOS COMPLEMENTARES</v>
      </c>
      <c r="C127" s="151" t="str">
        <f>IF(H127="SINAPI",IFERROR(VLOOKUP(I127,'SINAPI-comp'!$B:$H,3,0),VLOOKUP(I127,'SINAPI-insumo'!$B:$H,3,0)))</f>
        <v>H</v>
      </c>
      <c r="D127" s="690">
        <v>1.8</v>
      </c>
      <c r="E127" s="691" t="s">
        <v>15818</v>
      </c>
      <c r="F127" s="155">
        <f>IFERROR(VLOOKUP(I127,'SINAPI-comp'!$B:$H,4,0)-G127,0)</f>
        <v>35.409999999999997</v>
      </c>
      <c r="G127" s="156">
        <f>IF(H127="SINAPI",IFERROR(VLOOKUP(I127,'SINAPI-comp'!$B:$H,7,0),VLOOKUP(I127,'SINAPI-insumo'!$B:$H,7,0)))</f>
        <v>0</v>
      </c>
      <c r="H127" s="693" t="s">
        <v>53</v>
      </c>
      <c r="I127" s="694">
        <v>88249</v>
      </c>
      <c r="J127" s="695">
        <f>D127*F127</f>
        <v>63.737999999999992</v>
      </c>
      <c r="K127" s="695">
        <f>D127*G127</f>
        <v>0</v>
      </c>
    </row>
    <row r="128" spans="1:11" s="494" customFormat="1" x14ac:dyDescent="0.25">
      <c r="A128" s="688" t="s">
        <v>32</v>
      </c>
      <c r="B128" s="152" t="str">
        <f>IF(H128="SINAPI",IFERROR(VLOOKUP(I128,'SINAPI-comp'!$B:$H,2,0),VLOOKUP(I128,'SINAPI-insumo'!$B:$H,2,0)))</f>
        <v>TÉCNICO DE LABORATÓRIO COM ENCARGOS COMPLEMENTARES</v>
      </c>
      <c r="C128" s="151" t="str">
        <f>IF(H128="SINAPI",IFERROR(VLOOKUP(I128,'SINAPI-comp'!$B:$H,3,0),VLOOKUP(I128,'SINAPI-insumo'!$B:$H,3,0)))</f>
        <v>H</v>
      </c>
      <c r="D128" s="690">
        <v>0.9</v>
      </c>
      <c r="E128" s="691" t="s">
        <v>15818</v>
      </c>
      <c r="F128" s="155">
        <f>IFERROR(VLOOKUP(I128,'SINAPI-comp'!$B:$H,4,0)-G128,0)</f>
        <v>41.43</v>
      </c>
      <c r="G128" s="156">
        <f>IF(H128="SINAPI",IFERROR(VLOOKUP(I128,'SINAPI-comp'!$B:$H,7,0),VLOOKUP(I128,'SINAPI-insumo'!$B:$H,7,0)))</f>
        <v>0</v>
      </c>
      <c r="H128" s="693" t="s">
        <v>53</v>
      </c>
      <c r="I128" s="694">
        <v>88321</v>
      </c>
      <c r="J128" s="695">
        <f>D128*F128</f>
        <v>37.286999999999999</v>
      </c>
      <c r="K128" s="695">
        <f>D128*G128</f>
        <v>0</v>
      </c>
    </row>
    <row r="129" spans="1:11" s="494" customFormat="1" x14ac:dyDescent="0.25">
      <c r="A129" s="688" t="s">
        <v>34</v>
      </c>
      <c r="B129" s="689" t="str">
        <f>VLOOKUP(I129,tabelas!$A:$L,4,0)</f>
        <v>Laboratório de solos</v>
      </c>
      <c r="C129" s="688" t="str">
        <f>VLOOKUP(I129,tabelas!$A:$L,5,0)</f>
        <v>MES</v>
      </c>
      <c r="D129" s="690">
        <f>TRUNC(D127/176*0.15,4)</f>
        <v>1.5E-3</v>
      </c>
      <c r="E129" s="691"/>
      <c r="F129" s="692">
        <v>0</v>
      </c>
      <c r="G129" s="695">
        <f>VLOOKUP(I129,tabelas!$A:$L,12,0)</f>
        <v>3882.01</v>
      </c>
      <c r="H129" s="696" t="s">
        <v>42</v>
      </c>
      <c r="I129" s="694" t="s">
        <v>16431</v>
      </c>
      <c r="J129" s="695">
        <f>D129*F129</f>
        <v>0</v>
      </c>
      <c r="K129" s="695">
        <f>D129*G129</f>
        <v>5.8230150000000007</v>
      </c>
    </row>
    <row r="130" spans="1:11" s="687" customFormat="1" x14ac:dyDescent="0.25">
      <c r="A130" s="522">
        <v>2</v>
      </c>
      <c r="B130" s="523" t="s">
        <v>15799</v>
      </c>
      <c r="C130" s="524"/>
      <c r="D130" s="682"/>
      <c r="E130" s="525"/>
      <c r="F130" s="683"/>
      <c r="G130" s="684"/>
      <c r="H130" s="685"/>
      <c r="I130" s="686"/>
      <c r="J130" s="684"/>
      <c r="K130" s="684"/>
    </row>
    <row r="131" spans="1:11" s="494" customFormat="1" x14ac:dyDescent="0.25">
      <c r="A131" s="688" t="s">
        <v>38</v>
      </c>
      <c r="B131" s="152" t="str">
        <f>IF(H131="SINAPI",IFERROR(VLOOKUP(I131,'SINAPI-comp'!$B:$H,2,0),VLOOKUP(I131,'SINAPI-insumo'!$B:$H,2,0)))</f>
        <v>AUXILIAR DE LABORATÓRIO COM ENCARGOS COMPLEMENTARES</v>
      </c>
      <c r="C131" s="151" t="str">
        <f>IF(H131="SINAPI",IFERROR(VLOOKUP(I131,'SINAPI-comp'!$B:$H,3,0),VLOOKUP(I131,'SINAPI-insumo'!$B:$H,3,0)))</f>
        <v>H</v>
      </c>
      <c r="D131" s="690">
        <v>1.6</v>
      </c>
      <c r="E131" s="691" t="s">
        <v>15800</v>
      </c>
      <c r="F131" s="155">
        <f>IFERROR(VLOOKUP(I131,'SINAPI-comp'!$B:$H,4,0)-G131,0)</f>
        <v>35.409999999999997</v>
      </c>
      <c r="G131" s="156">
        <f>IF(H131="SINAPI",IFERROR(VLOOKUP(I131,'SINAPI-comp'!$B:$H,7,0),VLOOKUP(I131,'SINAPI-insumo'!$B:$H,7,0)))</f>
        <v>0</v>
      </c>
      <c r="H131" s="693" t="s">
        <v>53</v>
      </c>
      <c r="I131" s="694">
        <v>88249</v>
      </c>
      <c r="J131" s="695">
        <f>D131*F131</f>
        <v>56.655999999999999</v>
      </c>
      <c r="K131" s="695">
        <f>D131*G131</f>
        <v>0</v>
      </c>
    </row>
    <row r="132" spans="1:11" s="494" customFormat="1" x14ac:dyDescent="0.25">
      <c r="A132" s="688" t="s">
        <v>39</v>
      </c>
      <c r="B132" s="152" t="str">
        <f>IF(H132="SINAPI",IFERROR(VLOOKUP(I132,'SINAPI-comp'!$B:$H,2,0),VLOOKUP(I132,'SINAPI-insumo'!$B:$H,2,0)))</f>
        <v>TÉCNICO DE LABORATÓRIO COM ENCARGOS COMPLEMENTARES</v>
      </c>
      <c r="C132" s="151" t="str">
        <f>IF(H132="SINAPI",IFERROR(VLOOKUP(I132,'SINAPI-comp'!$B:$H,3,0),VLOOKUP(I132,'SINAPI-insumo'!$B:$H,3,0)))</f>
        <v>H</v>
      </c>
      <c r="D132" s="690">
        <v>0.8</v>
      </c>
      <c r="E132" s="691" t="s">
        <v>15800</v>
      </c>
      <c r="F132" s="155">
        <f>IFERROR(VLOOKUP(I132,'SINAPI-comp'!$B:$H,4,0)-G132,0)</f>
        <v>41.43</v>
      </c>
      <c r="G132" s="156">
        <f>IF(H132="SINAPI",IFERROR(VLOOKUP(I132,'SINAPI-comp'!$B:$H,7,0),VLOOKUP(I132,'SINAPI-insumo'!$B:$H,7,0)))</f>
        <v>0</v>
      </c>
      <c r="H132" s="693" t="s">
        <v>53</v>
      </c>
      <c r="I132" s="694">
        <v>88321</v>
      </c>
      <c r="J132" s="695">
        <f>D132*F132</f>
        <v>33.143999999999998</v>
      </c>
      <c r="K132" s="695">
        <f>D132*G132</f>
        <v>0</v>
      </c>
    </row>
    <row r="133" spans="1:11" s="494" customFormat="1" x14ac:dyDescent="0.25">
      <c r="A133" s="688" t="s">
        <v>40</v>
      </c>
      <c r="B133" s="689" t="str">
        <f>VLOOKUP(I133,tabelas!$A:$L,4,0)</f>
        <v>Laboratório de solos</v>
      </c>
      <c r="C133" s="688" t="str">
        <f>VLOOKUP(I133,tabelas!$A:$L,5,0)</f>
        <v>MES</v>
      </c>
      <c r="D133" s="690">
        <f>TRUNC(D131/176*0.5,4)</f>
        <v>4.4999999999999997E-3</v>
      </c>
      <c r="E133" s="691"/>
      <c r="F133" s="692">
        <v>0</v>
      </c>
      <c r="G133" s="695">
        <f>VLOOKUP(I133,tabelas!$A:$L,12,0)</f>
        <v>3882.01</v>
      </c>
      <c r="H133" s="696" t="s">
        <v>42</v>
      </c>
      <c r="I133" s="694" t="s">
        <v>16431</v>
      </c>
      <c r="J133" s="695">
        <f>D133*F133</f>
        <v>0</v>
      </c>
      <c r="K133" s="695">
        <f>D133*G133</f>
        <v>17.469045000000001</v>
      </c>
    </row>
    <row r="134" spans="1:11" s="494" customFormat="1" x14ac:dyDescent="0.25">
      <c r="H134" s="528"/>
      <c r="I134" s="528"/>
      <c r="J134" s="528"/>
    </row>
    <row r="135" spans="1:11" s="494" customFormat="1" x14ac:dyDescent="0.25">
      <c r="H135" s="528"/>
      <c r="I135" s="528"/>
      <c r="J135" s="528"/>
    </row>
    <row r="136" spans="1:11" s="494" customFormat="1" x14ac:dyDescent="0.25">
      <c r="A136" s="674" t="s">
        <v>131</v>
      </c>
      <c r="B136" s="674" t="s">
        <v>132</v>
      </c>
      <c r="C136" s="675"/>
      <c r="D136" s="511"/>
      <c r="E136" s="675"/>
      <c r="F136" s="675"/>
      <c r="G136" s="675"/>
      <c r="H136" s="676" t="s">
        <v>133</v>
      </c>
      <c r="I136" s="677"/>
      <c r="J136" s="512" t="s">
        <v>134</v>
      </c>
      <c r="K136" s="512" t="s">
        <v>15795</v>
      </c>
    </row>
    <row r="137" spans="1:11" s="681" customFormat="1" x14ac:dyDescent="0.25">
      <c r="A137" s="136" t="s">
        <v>15810</v>
      </c>
      <c r="B137" s="678" t="s">
        <v>15848</v>
      </c>
      <c r="C137" s="515"/>
      <c r="D137" s="679"/>
      <c r="E137" s="515"/>
      <c r="F137" s="515"/>
      <c r="G137" s="515"/>
      <c r="H137" s="518" t="s">
        <v>136</v>
      </c>
      <c r="I137" s="680"/>
      <c r="J137" s="520">
        <f>TRUNC(SUM(J139:J141),2)</f>
        <v>213.27</v>
      </c>
      <c r="K137" s="520">
        <f>TRUNC(SUM(K139:K141),2)</f>
        <v>41.53</v>
      </c>
    </row>
    <row r="138" spans="1:11" s="687" customFormat="1" ht="27.6" x14ac:dyDescent="0.25">
      <c r="A138" s="522" t="s">
        <v>137</v>
      </c>
      <c r="B138" s="523" t="s">
        <v>19</v>
      </c>
      <c r="C138" s="524" t="s">
        <v>20</v>
      </c>
      <c r="D138" s="682" t="s">
        <v>138</v>
      </c>
      <c r="E138" s="525" t="s">
        <v>139</v>
      </c>
      <c r="F138" s="683" t="s">
        <v>140</v>
      </c>
      <c r="G138" s="684" t="s">
        <v>15796</v>
      </c>
      <c r="H138" s="685" t="s">
        <v>142</v>
      </c>
      <c r="I138" s="686"/>
      <c r="J138" s="684" t="s">
        <v>143</v>
      </c>
      <c r="K138" s="684" t="s">
        <v>15797</v>
      </c>
    </row>
    <row r="139" spans="1:11" s="494" customFormat="1" x14ac:dyDescent="0.25">
      <c r="A139" s="688">
        <v>1</v>
      </c>
      <c r="B139" s="152" t="str">
        <f>IF(H139="SINAPI",IFERROR(VLOOKUP(I139,'SINAPI-comp'!$B:$H,2,0),VLOOKUP(I139,'SINAPI-insumo'!$B:$H,2,0)))</f>
        <v>AUXILIAR DE LABORATÓRIO COM ENCARGOS COMPLEMENTARES</v>
      </c>
      <c r="C139" s="151" t="str">
        <f>IF(H139="SINAPI",IFERROR(VLOOKUP(I139,'SINAPI-comp'!$B:$H,3,0),VLOOKUP(I139,'SINAPI-insumo'!$B:$H,3,0)))</f>
        <v>H</v>
      </c>
      <c r="D139" s="690">
        <v>3.8</v>
      </c>
      <c r="E139" s="691" t="s">
        <v>15801</v>
      </c>
      <c r="F139" s="155">
        <f>IFERROR(VLOOKUP(I139,'SINAPI-comp'!$B:$H,4,0)-G139,0)</f>
        <v>35.409999999999997</v>
      </c>
      <c r="G139" s="156">
        <f>IF(H139="SINAPI",IFERROR(VLOOKUP(I139,'SINAPI-comp'!$B:$H,7,0),VLOOKUP(I139,'SINAPI-insumo'!$B:$H,7,0)))</f>
        <v>0</v>
      </c>
      <c r="H139" s="693" t="s">
        <v>53</v>
      </c>
      <c r="I139" s="694">
        <v>88249</v>
      </c>
      <c r="J139" s="695">
        <f>D139*F139</f>
        <v>134.55799999999999</v>
      </c>
      <c r="K139" s="695">
        <f>D139*G139</f>
        <v>0</v>
      </c>
    </row>
    <row r="140" spans="1:11" s="494" customFormat="1" x14ac:dyDescent="0.25">
      <c r="A140" s="688">
        <v>2</v>
      </c>
      <c r="B140" s="152" t="str">
        <f>IF(H140="SINAPI",IFERROR(VLOOKUP(I140,'SINAPI-comp'!$B:$H,2,0),VLOOKUP(I140,'SINAPI-insumo'!$B:$H,2,0)))</f>
        <v>TÉCNICO DE LABORATÓRIO COM ENCARGOS COMPLEMENTARES</v>
      </c>
      <c r="C140" s="151" t="str">
        <f>IF(H140="SINAPI",IFERROR(VLOOKUP(I140,'SINAPI-comp'!$B:$H,3,0),VLOOKUP(I140,'SINAPI-insumo'!$B:$H,3,0)))</f>
        <v>H</v>
      </c>
      <c r="D140" s="690">
        <v>1.9</v>
      </c>
      <c r="E140" s="691" t="s">
        <v>15801</v>
      </c>
      <c r="F140" s="155">
        <f>IFERROR(VLOOKUP(I140,'SINAPI-comp'!$B:$H,4,0)-G140,0)</f>
        <v>41.43</v>
      </c>
      <c r="G140" s="156">
        <f>IF(H140="SINAPI",IFERROR(VLOOKUP(I140,'SINAPI-comp'!$B:$H,7,0),VLOOKUP(I140,'SINAPI-insumo'!$B:$H,7,0)))</f>
        <v>0</v>
      </c>
      <c r="H140" s="693" t="s">
        <v>53</v>
      </c>
      <c r="I140" s="694">
        <v>88321</v>
      </c>
      <c r="J140" s="695">
        <f>D140*F140</f>
        <v>78.716999999999999</v>
      </c>
      <c r="K140" s="695">
        <f>D140*G140</f>
        <v>0</v>
      </c>
    </row>
    <row r="141" spans="1:11" s="494" customFormat="1" x14ac:dyDescent="0.25">
      <c r="A141" s="688">
        <v>3</v>
      </c>
      <c r="B141" s="689" t="str">
        <f>VLOOKUP(I141,tabelas!$A:$L,4,0)</f>
        <v>Laboratório de solos</v>
      </c>
      <c r="C141" s="688" t="str">
        <f>VLOOKUP(I141,tabelas!$A:$L,5,0)</f>
        <v>MES</v>
      </c>
      <c r="D141" s="690">
        <f>TRUNC(D139/176*0.5,4)</f>
        <v>1.0699999999999999E-2</v>
      </c>
      <c r="E141" s="691"/>
      <c r="F141" s="692">
        <v>0</v>
      </c>
      <c r="G141" s="695">
        <f>VLOOKUP(I141,tabelas!$A:$L,12,0)</f>
        <v>3882.01</v>
      </c>
      <c r="H141" s="696" t="s">
        <v>42</v>
      </c>
      <c r="I141" s="694" t="s">
        <v>16431</v>
      </c>
      <c r="J141" s="695">
        <f>D141*F141</f>
        <v>0</v>
      </c>
      <c r="K141" s="695">
        <f>D141*G141</f>
        <v>41.537506999999998</v>
      </c>
    </row>
    <row r="142" spans="1:11" s="494" customFormat="1" x14ac:dyDescent="0.25">
      <c r="H142" s="528"/>
      <c r="I142" s="528"/>
      <c r="J142" s="528"/>
    </row>
    <row r="143" spans="1:11" s="494" customFormat="1" x14ac:dyDescent="0.25">
      <c r="H143" s="528"/>
      <c r="I143" s="528"/>
      <c r="J143" s="528"/>
    </row>
    <row r="144" spans="1:11" s="494" customFormat="1" x14ac:dyDescent="0.25">
      <c r="A144" s="674" t="s">
        <v>131</v>
      </c>
      <c r="B144" s="674" t="s">
        <v>132</v>
      </c>
      <c r="C144" s="675"/>
      <c r="D144" s="511"/>
      <c r="E144" s="675"/>
      <c r="F144" s="675"/>
      <c r="G144" s="675"/>
      <c r="H144" s="676" t="s">
        <v>133</v>
      </c>
      <c r="I144" s="677"/>
      <c r="J144" s="512" t="s">
        <v>134</v>
      </c>
      <c r="K144" s="512" t="s">
        <v>15795</v>
      </c>
    </row>
    <row r="145" spans="1:11" s="681" customFormat="1" x14ac:dyDescent="0.25">
      <c r="A145" s="136" t="s">
        <v>15811</v>
      </c>
      <c r="B145" s="678" t="s">
        <v>15847</v>
      </c>
      <c r="C145" s="515"/>
      <c r="D145" s="679"/>
      <c r="E145" s="515"/>
      <c r="F145" s="515"/>
      <c r="G145" s="515"/>
      <c r="H145" s="518" t="s">
        <v>136</v>
      </c>
      <c r="I145" s="680"/>
      <c r="J145" s="520">
        <f>TRUNC(SUM(J148:J154),2)</f>
        <v>213.27</v>
      </c>
      <c r="K145" s="520">
        <f>TRUNC(SUM(K148:K154),2)</f>
        <v>41.53</v>
      </c>
    </row>
    <row r="146" spans="1:11" s="687" customFormat="1" ht="27.6" x14ac:dyDescent="0.25">
      <c r="A146" s="522" t="s">
        <v>137</v>
      </c>
      <c r="B146" s="523" t="s">
        <v>19</v>
      </c>
      <c r="C146" s="524" t="s">
        <v>20</v>
      </c>
      <c r="D146" s="682" t="s">
        <v>138</v>
      </c>
      <c r="E146" s="525" t="s">
        <v>139</v>
      </c>
      <c r="F146" s="683" t="s">
        <v>140</v>
      </c>
      <c r="G146" s="684" t="s">
        <v>15796</v>
      </c>
      <c r="H146" s="685" t="s">
        <v>142</v>
      </c>
      <c r="I146" s="686"/>
      <c r="J146" s="684" t="s">
        <v>143</v>
      </c>
      <c r="K146" s="684" t="s">
        <v>15797</v>
      </c>
    </row>
    <row r="147" spans="1:11" s="687" customFormat="1" x14ac:dyDescent="0.25">
      <c r="A147" s="522">
        <v>1</v>
      </c>
      <c r="B147" s="523" t="s">
        <v>15802</v>
      </c>
      <c r="C147" s="524"/>
      <c r="D147" s="682"/>
      <c r="E147" s="525"/>
      <c r="F147" s="683"/>
      <c r="G147" s="684"/>
      <c r="H147" s="685"/>
      <c r="I147" s="686"/>
      <c r="J147" s="684"/>
      <c r="K147" s="684"/>
    </row>
    <row r="148" spans="1:11" s="494" customFormat="1" x14ac:dyDescent="0.25">
      <c r="A148" s="688" t="s">
        <v>29</v>
      </c>
      <c r="B148" s="152" t="str">
        <f>IF(H148="SINAPI",IFERROR(VLOOKUP(I148,'SINAPI-comp'!$B:$H,2,0),VLOOKUP(I148,'SINAPI-insumo'!$B:$H,2,0)))</f>
        <v>AUXILIAR DE LABORATÓRIO COM ENCARGOS COMPLEMENTARES</v>
      </c>
      <c r="C148" s="151" t="str">
        <f>IF(H148="SINAPI",IFERROR(VLOOKUP(I148,'SINAPI-comp'!$B:$H,3,0),VLOOKUP(I148,'SINAPI-insumo'!$B:$H,3,0)))</f>
        <v>H</v>
      </c>
      <c r="D148" s="690">
        <v>2</v>
      </c>
      <c r="E148" s="691" t="s">
        <v>15803</v>
      </c>
      <c r="F148" s="155">
        <f>IFERROR(VLOOKUP(I148,'SINAPI-comp'!$B:$H,4,0)-G148,0)</f>
        <v>35.409999999999997</v>
      </c>
      <c r="G148" s="156">
        <f>IF(H148="SINAPI",IFERROR(VLOOKUP(I148,'SINAPI-comp'!$B:$H,7,0),VLOOKUP(I148,'SINAPI-insumo'!$B:$H,7,0)))</f>
        <v>0</v>
      </c>
      <c r="H148" s="693" t="s">
        <v>53</v>
      </c>
      <c r="I148" s="694">
        <v>88249</v>
      </c>
      <c r="J148" s="695">
        <f>D148*F148</f>
        <v>70.819999999999993</v>
      </c>
      <c r="K148" s="695">
        <f>D148*G148</f>
        <v>0</v>
      </c>
    </row>
    <row r="149" spans="1:11" s="494" customFormat="1" x14ac:dyDescent="0.25">
      <c r="A149" s="688" t="s">
        <v>32</v>
      </c>
      <c r="B149" s="152" t="str">
        <f>IF(H149="SINAPI",IFERROR(VLOOKUP(I149,'SINAPI-comp'!$B:$H,2,0),VLOOKUP(I149,'SINAPI-insumo'!$B:$H,2,0)))</f>
        <v>TÉCNICO DE LABORATÓRIO COM ENCARGOS COMPLEMENTARES</v>
      </c>
      <c r="C149" s="151" t="str">
        <f>IF(H149="SINAPI",IFERROR(VLOOKUP(I149,'SINAPI-comp'!$B:$H,3,0),VLOOKUP(I149,'SINAPI-insumo'!$B:$H,3,0)))</f>
        <v>H</v>
      </c>
      <c r="D149" s="690">
        <v>1</v>
      </c>
      <c r="E149" s="691" t="s">
        <v>15803</v>
      </c>
      <c r="F149" s="155">
        <f>IFERROR(VLOOKUP(I149,'SINAPI-comp'!$B:$H,4,0)-G149,0)</f>
        <v>41.43</v>
      </c>
      <c r="G149" s="156">
        <f>IF(H149="SINAPI",IFERROR(VLOOKUP(I149,'SINAPI-comp'!$B:$H,7,0),VLOOKUP(I149,'SINAPI-insumo'!$B:$H,7,0)))</f>
        <v>0</v>
      </c>
      <c r="H149" s="693" t="s">
        <v>53</v>
      </c>
      <c r="I149" s="694">
        <v>88321</v>
      </c>
      <c r="J149" s="695">
        <f>D149*F149</f>
        <v>41.43</v>
      </c>
      <c r="K149" s="695">
        <f>D149*G149</f>
        <v>0</v>
      </c>
    </row>
    <row r="150" spans="1:11" s="494" customFormat="1" x14ac:dyDescent="0.25">
      <c r="A150" s="688" t="s">
        <v>34</v>
      </c>
      <c r="B150" s="689" t="str">
        <f>VLOOKUP(I150,tabelas!$A:$L,4,0)</f>
        <v>Laboratório de solos</v>
      </c>
      <c r="C150" s="688" t="str">
        <f>VLOOKUP(I150,tabelas!$A:$L,5,0)</f>
        <v>MES</v>
      </c>
      <c r="D150" s="690">
        <f>TRUNC(D148/176*0.5,4)</f>
        <v>5.5999999999999999E-3</v>
      </c>
      <c r="E150" s="691"/>
      <c r="F150" s="692">
        <v>0</v>
      </c>
      <c r="G150" s="695">
        <f>VLOOKUP(I150,tabelas!$A:$L,12,0)</f>
        <v>3882.01</v>
      </c>
      <c r="H150" s="696" t="s">
        <v>42</v>
      </c>
      <c r="I150" s="694" t="s">
        <v>16431</v>
      </c>
      <c r="J150" s="695">
        <f>D150*F150</f>
        <v>0</v>
      </c>
      <c r="K150" s="695">
        <f>D150*G150</f>
        <v>21.739256000000001</v>
      </c>
    </row>
    <row r="151" spans="1:11" s="687" customFormat="1" x14ac:dyDescent="0.25">
      <c r="A151" s="522">
        <v>2</v>
      </c>
      <c r="B151" s="523" t="s">
        <v>15804</v>
      </c>
      <c r="C151" s="524"/>
      <c r="D151" s="682"/>
      <c r="E151" s="525"/>
      <c r="F151" s="683"/>
      <c r="G151" s="684"/>
      <c r="H151" s="685"/>
      <c r="I151" s="686"/>
      <c r="J151" s="684"/>
      <c r="K151" s="684"/>
    </row>
    <row r="152" spans="1:11" s="494" customFormat="1" x14ac:dyDescent="0.25">
      <c r="A152" s="688" t="s">
        <v>38</v>
      </c>
      <c r="B152" s="152" t="str">
        <f>IF(H152="SINAPI",IFERROR(VLOOKUP(I152,'SINAPI-comp'!$B:$H,2,0),VLOOKUP(I152,'SINAPI-insumo'!$B:$H,2,0)))</f>
        <v>AUXILIAR DE LABORATÓRIO COM ENCARGOS COMPLEMENTARES</v>
      </c>
      <c r="C152" s="151" t="str">
        <f>IF(H152="SINAPI",IFERROR(VLOOKUP(I152,'SINAPI-comp'!$B:$H,3,0),VLOOKUP(I152,'SINAPI-insumo'!$B:$H,3,0)))</f>
        <v>H</v>
      </c>
      <c r="D152" s="690">
        <v>1.8</v>
      </c>
      <c r="E152" s="691" t="s">
        <v>15805</v>
      </c>
      <c r="F152" s="155">
        <f>IFERROR(VLOOKUP(I152,'SINAPI-comp'!$B:$H,4,0)-G152,0)</f>
        <v>35.409999999999997</v>
      </c>
      <c r="G152" s="156">
        <f>IF(H152="SINAPI",IFERROR(VLOOKUP(I152,'SINAPI-comp'!$B:$H,7,0),VLOOKUP(I152,'SINAPI-insumo'!$B:$H,7,0)))</f>
        <v>0</v>
      </c>
      <c r="H152" s="693" t="s">
        <v>53</v>
      </c>
      <c r="I152" s="694">
        <v>88249</v>
      </c>
      <c r="J152" s="695">
        <f>D152*F152</f>
        <v>63.737999999999992</v>
      </c>
      <c r="K152" s="695">
        <f>D152*G152</f>
        <v>0</v>
      </c>
    </row>
    <row r="153" spans="1:11" s="494" customFormat="1" x14ac:dyDescent="0.25">
      <c r="A153" s="688" t="s">
        <v>39</v>
      </c>
      <c r="B153" s="152" t="str">
        <f>IF(H153="SINAPI",IFERROR(VLOOKUP(I153,'SINAPI-comp'!$B:$H,2,0),VLOOKUP(I153,'SINAPI-insumo'!$B:$H,2,0)))</f>
        <v>TÉCNICO DE LABORATÓRIO COM ENCARGOS COMPLEMENTARES</v>
      </c>
      <c r="C153" s="151" t="str">
        <f>IF(H153="SINAPI",IFERROR(VLOOKUP(I153,'SINAPI-comp'!$B:$H,3,0),VLOOKUP(I153,'SINAPI-insumo'!$B:$H,3,0)))</f>
        <v>H</v>
      </c>
      <c r="D153" s="690">
        <v>0.9</v>
      </c>
      <c r="E153" s="691" t="s">
        <v>15805</v>
      </c>
      <c r="F153" s="155">
        <f>IFERROR(VLOOKUP(I153,'SINAPI-comp'!$B:$H,4,0)-G153,0)</f>
        <v>41.43</v>
      </c>
      <c r="G153" s="156">
        <f>IF(H153="SINAPI",IFERROR(VLOOKUP(I153,'SINAPI-comp'!$B:$H,7,0),VLOOKUP(I153,'SINAPI-insumo'!$B:$H,7,0)))</f>
        <v>0</v>
      </c>
      <c r="H153" s="693" t="s">
        <v>53</v>
      </c>
      <c r="I153" s="694">
        <v>88321</v>
      </c>
      <c r="J153" s="695">
        <f>D153*F153</f>
        <v>37.286999999999999</v>
      </c>
      <c r="K153" s="695">
        <f>D153*G153</f>
        <v>0</v>
      </c>
    </row>
    <row r="154" spans="1:11" s="494" customFormat="1" x14ac:dyDescent="0.25">
      <c r="A154" s="688" t="s">
        <v>40</v>
      </c>
      <c r="B154" s="689" t="str">
        <f>VLOOKUP(I154,tabelas!$A:$L,4,0)</f>
        <v>Laboratório de solos</v>
      </c>
      <c r="C154" s="688" t="str">
        <f>VLOOKUP(I154,tabelas!$A:$L,5,0)</f>
        <v>MES</v>
      </c>
      <c r="D154" s="690">
        <f>TRUNC(D152/176*0.5,4)</f>
        <v>5.1000000000000004E-3</v>
      </c>
      <c r="E154" s="691"/>
      <c r="F154" s="692">
        <v>0</v>
      </c>
      <c r="G154" s="695">
        <f>VLOOKUP(I154,tabelas!$A:$L,12,0)</f>
        <v>3882.01</v>
      </c>
      <c r="H154" s="696" t="s">
        <v>42</v>
      </c>
      <c r="I154" s="694" t="s">
        <v>16431</v>
      </c>
      <c r="J154" s="695">
        <f>D154*F154</f>
        <v>0</v>
      </c>
      <c r="K154" s="695">
        <f>D154*G154</f>
        <v>19.798251000000004</v>
      </c>
    </row>
    <row r="155" spans="1:11" s="494" customFormat="1" x14ac:dyDescent="0.25">
      <c r="H155" s="528"/>
      <c r="I155" s="528"/>
      <c r="J155" s="528"/>
    </row>
    <row r="156" spans="1:11" s="494" customFormat="1" x14ac:dyDescent="0.25">
      <c r="H156" s="528"/>
      <c r="I156" s="528"/>
      <c r="J156" s="528"/>
    </row>
    <row r="157" spans="1:11" s="494" customFormat="1" x14ac:dyDescent="0.25">
      <c r="A157" s="674" t="s">
        <v>131</v>
      </c>
      <c r="B157" s="674" t="s">
        <v>132</v>
      </c>
      <c r="C157" s="675"/>
      <c r="D157" s="511"/>
      <c r="E157" s="675"/>
      <c r="F157" s="675"/>
      <c r="G157" s="675"/>
      <c r="H157" s="676" t="s">
        <v>133</v>
      </c>
      <c r="I157" s="677"/>
      <c r="J157" s="512" t="s">
        <v>134</v>
      </c>
      <c r="K157" s="512" t="s">
        <v>15795</v>
      </c>
    </row>
    <row r="158" spans="1:11" s="681" customFormat="1" x14ac:dyDescent="0.25">
      <c r="A158" s="136" t="s">
        <v>15812</v>
      </c>
      <c r="B158" s="678" t="s">
        <v>15846</v>
      </c>
      <c r="C158" s="515"/>
      <c r="D158" s="679"/>
      <c r="E158" s="515"/>
      <c r="F158" s="515"/>
      <c r="G158" s="515"/>
      <c r="H158" s="518" t="s">
        <v>136</v>
      </c>
      <c r="I158" s="680"/>
      <c r="J158" s="520">
        <f>TRUNC(SUM(J160:J162),2)</f>
        <v>213.27</v>
      </c>
      <c r="K158" s="520">
        <f>TRUNC(SUM(K160:K162),2)</f>
        <v>41.53</v>
      </c>
    </row>
    <row r="159" spans="1:11" s="687" customFormat="1" ht="27.6" x14ac:dyDescent="0.25">
      <c r="A159" s="522" t="s">
        <v>137</v>
      </c>
      <c r="B159" s="523" t="s">
        <v>19</v>
      </c>
      <c r="C159" s="524" t="s">
        <v>20</v>
      </c>
      <c r="D159" s="682" t="s">
        <v>138</v>
      </c>
      <c r="E159" s="525" t="s">
        <v>139</v>
      </c>
      <c r="F159" s="683" t="s">
        <v>140</v>
      </c>
      <c r="G159" s="684" t="s">
        <v>15796</v>
      </c>
      <c r="H159" s="685" t="s">
        <v>142</v>
      </c>
      <c r="I159" s="686"/>
      <c r="J159" s="684" t="s">
        <v>143</v>
      </c>
      <c r="K159" s="684" t="s">
        <v>15797</v>
      </c>
    </row>
    <row r="160" spans="1:11" s="494" customFormat="1" x14ac:dyDescent="0.25">
      <c r="A160" s="688">
        <v>1</v>
      </c>
      <c r="B160" s="152" t="str">
        <f>IF(H160="SINAPI",IFERROR(VLOOKUP(I160,'SINAPI-comp'!$B:$H,2,0),VLOOKUP(I160,'SINAPI-insumo'!$B:$H,2,0)))</f>
        <v>AUXILIAR DE LABORATÓRIO COM ENCARGOS COMPLEMENTARES</v>
      </c>
      <c r="C160" s="151" t="str">
        <f>IF(H160="SINAPI",IFERROR(VLOOKUP(I160,'SINAPI-comp'!$B:$H,3,0),VLOOKUP(I160,'SINAPI-insumo'!$B:$H,3,0)))</f>
        <v>H</v>
      </c>
      <c r="D160" s="690">
        <v>3.8</v>
      </c>
      <c r="E160" s="691" t="s">
        <v>15806</v>
      </c>
      <c r="F160" s="155">
        <f>IFERROR(VLOOKUP(I160,'SINAPI-comp'!$B:$H,4,0)-G160,0)</f>
        <v>35.409999999999997</v>
      </c>
      <c r="G160" s="156">
        <f>IF(H160="SINAPI",IFERROR(VLOOKUP(I160,'SINAPI-comp'!$B:$H,7,0),VLOOKUP(I160,'SINAPI-insumo'!$B:$H,7,0)))</f>
        <v>0</v>
      </c>
      <c r="H160" s="693" t="s">
        <v>53</v>
      </c>
      <c r="I160" s="694">
        <v>88249</v>
      </c>
      <c r="J160" s="695">
        <f>D160*F160</f>
        <v>134.55799999999999</v>
      </c>
      <c r="K160" s="695">
        <f>D160*G160</f>
        <v>0</v>
      </c>
    </row>
    <row r="161" spans="1:11" s="494" customFormat="1" x14ac:dyDescent="0.25">
      <c r="A161" s="688">
        <v>2</v>
      </c>
      <c r="B161" s="152" t="str">
        <f>IF(H161="SINAPI",IFERROR(VLOOKUP(I161,'SINAPI-comp'!$B:$H,2,0),VLOOKUP(I161,'SINAPI-insumo'!$B:$H,2,0)))</f>
        <v>TÉCNICO DE LABORATÓRIO COM ENCARGOS COMPLEMENTARES</v>
      </c>
      <c r="C161" s="151" t="str">
        <f>IF(H161="SINAPI",IFERROR(VLOOKUP(I161,'SINAPI-comp'!$B:$H,3,0),VLOOKUP(I161,'SINAPI-insumo'!$B:$H,3,0)))</f>
        <v>H</v>
      </c>
      <c r="D161" s="690">
        <v>1.9</v>
      </c>
      <c r="E161" s="691" t="s">
        <v>15806</v>
      </c>
      <c r="F161" s="155">
        <f>IFERROR(VLOOKUP(I161,'SINAPI-comp'!$B:$H,4,0)-G161,0)</f>
        <v>41.43</v>
      </c>
      <c r="G161" s="156">
        <f>IF(H161="SINAPI",IFERROR(VLOOKUP(I161,'SINAPI-comp'!$B:$H,7,0),VLOOKUP(I161,'SINAPI-insumo'!$B:$H,7,0)))</f>
        <v>0</v>
      </c>
      <c r="H161" s="693" t="s">
        <v>53</v>
      </c>
      <c r="I161" s="694">
        <v>88321</v>
      </c>
      <c r="J161" s="695">
        <f>D161*F161</f>
        <v>78.716999999999999</v>
      </c>
      <c r="K161" s="695">
        <f>D161*G161</f>
        <v>0</v>
      </c>
    </row>
    <row r="162" spans="1:11" s="494" customFormat="1" x14ac:dyDescent="0.25">
      <c r="A162" s="688">
        <v>3</v>
      </c>
      <c r="B162" s="689" t="str">
        <f>VLOOKUP(I162,tabelas!$A:$L,4,0)</f>
        <v>Laboratório de solos</v>
      </c>
      <c r="C162" s="688" t="str">
        <f>VLOOKUP(I162,tabelas!$A:$L,5,0)</f>
        <v>MES</v>
      </c>
      <c r="D162" s="690">
        <f>TRUNC(D160/176*0.5,4)</f>
        <v>1.0699999999999999E-2</v>
      </c>
      <c r="E162" s="691"/>
      <c r="F162" s="692">
        <v>0</v>
      </c>
      <c r="G162" s="695">
        <f>VLOOKUP(I162,tabelas!$A:$L,12,0)</f>
        <v>3882.01</v>
      </c>
      <c r="H162" s="696" t="s">
        <v>42</v>
      </c>
      <c r="I162" s="694" t="s">
        <v>16431</v>
      </c>
      <c r="J162" s="695">
        <f>D162*F162</f>
        <v>0</v>
      </c>
      <c r="K162" s="695">
        <f>D162*G162</f>
        <v>41.537506999999998</v>
      </c>
    </row>
    <row r="163" spans="1:11" s="494" customFormat="1" x14ac:dyDescent="0.25">
      <c r="H163" s="528"/>
      <c r="I163" s="528"/>
      <c r="J163" s="528"/>
    </row>
    <row r="164" spans="1:11" s="494" customFormat="1" x14ac:dyDescent="0.25">
      <c r="H164" s="528"/>
      <c r="I164" s="528"/>
      <c r="J164" s="528"/>
    </row>
    <row r="165" spans="1:11" s="494" customFormat="1" x14ac:dyDescent="0.25">
      <c r="A165" s="674" t="s">
        <v>131</v>
      </c>
      <c r="B165" s="674" t="s">
        <v>132</v>
      </c>
      <c r="C165" s="675"/>
      <c r="D165" s="511"/>
      <c r="E165" s="675"/>
      <c r="F165" s="675"/>
      <c r="G165" s="675"/>
      <c r="H165" s="676" t="s">
        <v>133</v>
      </c>
      <c r="I165" s="677"/>
      <c r="J165" s="512" t="s">
        <v>134</v>
      </c>
      <c r="K165" s="512" t="s">
        <v>15795</v>
      </c>
    </row>
    <row r="166" spans="1:11" s="681" customFormat="1" x14ac:dyDescent="0.25">
      <c r="A166" s="136" t="s">
        <v>15813</v>
      </c>
      <c r="B166" s="678" t="s">
        <v>15845</v>
      </c>
      <c r="C166" s="515"/>
      <c r="D166" s="679"/>
      <c r="E166" s="515"/>
      <c r="F166" s="515"/>
      <c r="G166" s="515"/>
      <c r="H166" s="518" t="s">
        <v>136</v>
      </c>
      <c r="I166" s="680"/>
      <c r="J166" s="520">
        <f>TRUNC(SUM(J168:J170),2)</f>
        <v>92.2</v>
      </c>
      <c r="K166" s="520">
        <f>TRUNC(SUM(K168:K170),2)</f>
        <v>13.19</v>
      </c>
    </row>
    <row r="167" spans="1:11" s="687" customFormat="1" ht="27.6" x14ac:dyDescent="0.25">
      <c r="A167" s="522" t="s">
        <v>137</v>
      </c>
      <c r="B167" s="523" t="s">
        <v>19</v>
      </c>
      <c r="C167" s="524" t="s">
        <v>20</v>
      </c>
      <c r="D167" s="682" t="s">
        <v>138</v>
      </c>
      <c r="E167" s="525" t="s">
        <v>139</v>
      </c>
      <c r="F167" s="683" t="s">
        <v>140</v>
      </c>
      <c r="G167" s="684" t="s">
        <v>15796</v>
      </c>
      <c r="H167" s="685" t="s">
        <v>142</v>
      </c>
      <c r="I167" s="686"/>
      <c r="J167" s="684" t="s">
        <v>143</v>
      </c>
      <c r="K167" s="684" t="s">
        <v>15797</v>
      </c>
    </row>
    <row r="168" spans="1:11" s="494" customFormat="1" x14ac:dyDescent="0.25">
      <c r="A168" s="688">
        <v>1</v>
      </c>
      <c r="B168" s="152" t="str">
        <f>IF(H168="SINAPI",IFERROR(VLOOKUP(I168,'SINAPI-comp'!$B:$H,2,0),VLOOKUP(I168,'SINAPI-insumo'!$B:$H,2,0)))</f>
        <v>AUXILIAR DE LABORATÓRIO COM ENCARGOS COMPLEMENTARES</v>
      </c>
      <c r="C168" s="151" t="str">
        <f>IF(H168="SINAPI",IFERROR(VLOOKUP(I168,'SINAPI-comp'!$B:$H,3,0),VLOOKUP(I168,'SINAPI-insumo'!$B:$H,3,0)))</f>
        <v>H</v>
      </c>
      <c r="D168" s="690">
        <v>1.2</v>
      </c>
      <c r="E168" s="691" t="s">
        <v>15830</v>
      </c>
      <c r="F168" s="155">
        <f>IFERROR(VLOOKUP(I168,'SINAPI-comp'!$B:$H,4,0)-G168,0)</f>
        <v>35.409999999999997</v>
      </c>
      <c r="G168" s="156">
        <f>IF(H168="SINAPI",IFERROR(VLOOKUP(I168,'SINAPI-comp'!$B:$H,7,0),VLOOKUP(I168,'SINAPI-insumo'!$B:$H,7,0)))</f>
        <v>0</v>
      </c>
      <c r="H168" s="693" t="s">
        <v>53</v>
      </c>
      <c r="I168" s="694">
        <v>88249</v>
      </c>
      <c r="J168" s="695">
        <f>D168*F168</f>
        <v>42.491999999999997</v>
      </c>
      <c r="K168" s="695">
        <f>D168*G168</f>
        <v>0</v>
      </c>
    </row>
    <row r="169" spans="1:11" s="494" customFormat="1" x14ac:dyDescent="0.25">
      <c r="A169" s="688">
        <v>2</v>
      </c>
      <c r="B169" s="152" t="str">
        <f>IF(H169="SINAPI",IFERROR(VLOOKUP(I169,'SINAPI-comp'!$B:$H,2,0),VLOOKUP(I169,'SINAPI-insumo'!$B:$H,2,0)))</f>
        <v>TÉCNICO DE LABORATÓRIO COM ENCARGOS COMPLEMENTARES</v>
      </c>
      <c r="C169" s="151" t="str">
        <f>IF(H169="SINAPI",IFERROR(VLOOKUP(I169,'SINAPI-comp'!$B:$H,3,0),VLOOKUP(I169,'SINAPI-insumo'!$B:$H,3,0)))</f>
        <v>H</v>
      </c>
      <c r="D169" s="690">
        <v>1.2</v>
      </c>
      <c r="E169" s="691" t="s">
        <v>15830</v>
      </c>
      <c r="F169" s="155">
        <f>IFERROR(VLOOKUP(I169,'SINAPI-comp'!$B:$H,4,0)-G169,0)</f>
        <v>41.43</v>
      </c>
      <c r="G169" s="156">
        <f>IF(H169="SINAPI",IFERROR(VLOOKUP(I169,'SINAPI-comp'!$B:$H,7,0),VLOOKUP(I169,'SINAPI-insumo'!$B:$H,7,0)))</f>
        <v>0</v>
      </c>
      <c r="H169" s="693" t="s">
        <v>53</v>
      </c>
      <c r="I169" s="694">
        <v>88321</v>
      </c>
      <c r="J169" s="695">
        <f>D169*F169</f>
        <v>49.716000000000001</v>
      </c>
      <c r="K169" s="695">
        <f>D169*G169</f>
        <v>0</v>
      </c>
    </row>
    <row r="170" spans="1:11" s="494" customFormat="1" x14ac:dyDescent="0.25">
      <c r="A170" s="688">
        <v>3</v>
      </c>
      <c r="B170" s="689" t="str">
        <f>VLOOKUP(I170,tabelas!$A:$L,4,0)</f>
        <v>Laboratório de solos</v>
      </c>
      <c r="C170" s="688" t="str">
        <f>VLOOKUP(I170,tabelas!$A:$L,5,0)</f>
        <v>MES</v>
      </c>
      <c r="D170" s="690">
        <f>TRUNC(D168/176*0.5,4)</f>
        <v>3.3999999999999998E-3</v>
      </c>
      <c r="E170" s="691"/>
      <c r="F170" s="692">
        <v>0</v>
      </c>
      <c r="G170" s="695">
        <f>VLOOKUP(I170,tabelas!$A:$L,12,0)</f>
        <v>3882.01</v>
      </c>
      <c r="H170" s="696" t="s">
        <v>42</v>
      </c>
      <c r="I170" s="694" t="s">
        <v>16431</v>
      </c>
      <c r="J170" s="695">
        <f>D170*F170</f>
        <v>0</v>
      </c>
      <c r="K170" s="695">
        <f>D170*G170</f>
        <v>13.198834</v>
      </c>
    </row>
    <row r="171" spans="1:11" s="494" customFormat="1" x14ac:dyDescent="0.25">
      <c r="H171" s="528"/>
      <c r="I171" s="528"/>
      <c r="J171" s="528"/>
    </row>
    <row r="172" spans="1:11" s="494" customFormat="1" x14ac:dyDescent="0.25">
      <c r="H172" s="528"/>
      <c r="I172" s="528"/>
      <c r="J172" s="528"/>
    </row>
    <row r="173" spans="1:11" s="494" customFormat="1" x14ac:dyDescent="0.25">
      <c r="A173" s="674" t="s">
        <v>131</v>
      </c>
      <c r="B173" s="674" t="s">
        <v>132</v>
      </c>
      <c r="C173" s="675"/>
      <c r="D173" s="511"/>
      <c r="E173" s="675"/>
      <c r="F173" s="675"/>
      <c r="G173" s="675"/>
      <c r="H173" s="676" t="s">
        <v>133</v>
      </c>
      <c r="I173" s="677"/>
      <c r="J173" s="512" t="s">
        <v>134</v>
      </c>
      <c r="K173" s="512" t="s">
        <v>15795</v>
      </c>
    </row>
    <row r="174" spans="1:11" s="681" customFormat="1" x14ac:dyDescent="0.25">
      <c r="A174" s="136" t="s">
        <v>15814</v>
      </c>
      <c r="B174" s="678" t="s">
        <v>15844</v>
      </c>
      <c r="C174" s="515"/>
      <c r="D174" s="679"/>
      <c r="E174" s="515"/>
      <c r="F174" s="515"/>
      <c r="G174" s="515"/>
      <c r="H174" s="518" t="s">
        <v>136</v>
      </c>
      <c r="I174" s="680"/>
      <c r="J174" s="520">
        <f>TRUNC(SUM(J176:J178),2)</f>
        <v>101.02</v>
      </c>
      <c r="K174" s="520">
        <f>TRUNC(SUM(K176:K178),2)</f>
        <v>19.79</v>
      </c>
    </row>
    <row r="175" spans="1:11" s="687" customFormat="1" ht="27.6" x14ac:dyDescent="0.25">
      <c r="A175" s="522" t="s">
        <v>137</v>
      </c>
      <c r="B175" s="523" t="s">
        <v>19</v>
      </c>
      <c r="C175" s="524" t="s">
        <v>20</v>
      </c>
      <c r="D175" s="682" t="s">
        <v>138</v>
      </c>
      <c r="E175" s="525" t="s">
        <v>139</v>
      </c>
      <c r="F175" s="683" t="s">
        <v>140</v>
      </c>
      <c r="G175" s="684" t="s">
        <v>15796</v>
      </c>
      <c r="H175" s="685" t="s">
        <v>142</v>
      </c>
      <c r="I175" s="686"/>
      <c r="J175" s="684" t="s">
        <v>143</v>
      </c>
      <c r="K175" s="684" t="s">
        <v>15797</v>
      </c>
    </row>
    <row r="176" spans="1:11" s="494" customFormat="1" x14ac:dyDescent="0.25">
      <c r="A176" s="688">
        <v>1</v>
      </c>
      <c r="B176" s="152" t="str">
        <f>IF(H176="SINAPI",IFERROR(VLOOKUP(I176,'SINAPI-comp'!$B:$H,2,0),VLOOKUP(I176,'SINAPI-insumo'!$B:$H,2,0)))</f>
        <v>AUXILIAR DE LABORATÓRIO COM ENCARGOS COMPLEMENTARES</v>
      </c>
      <c r="C176" s="151" t="str">
        <f>IF(H176="SINAPI",IFERROR(VLOOKUP(I176,'SINAPI-comp'!$B:$H,3,0),VLOOKUP(I176,'SINAPI-insumo'!$B:$H,3,0)))</f>
        <v>H</v>
      </c>
      <c r="D176" s="690">
        <v>1.8</v>
      </c>
      <c r="E176" s="691" t="s">
        <v>15831</v>
      </c>
      <c r="F176" s="155">
        <f>IFERROR(VLOOKUP(I176,'SINAPI-comp'!$B:$H,4,0)-G176,0)</f>
        <v>35.409999999999997</v>
      </c>
      <c r="G176" s="156">
        <f>IF(H176="SINAPI",IFERROR(VLOOKUP(I176,'SINAPI-comp'!$B:$H,7,0),VLOOKUP(I176,'SINAPI-insumo'!$B:$H,7,0)))</f>
        <v>0</v>
      </c>
      <c r="H176" s="693" t="s">
        <v>53</v>
      </c>
      <c r="I176" s="694">
        <v>88249</v>
      </c>
      <c r="J176" s="695">
        <f>D176*F176</f>
        <v>63.737999999999992</v>
      </c>
      <c r="K176" s="695">
        <f>D176*G176</f>
        <v>0</v>
      </c>
    </row>
    <row r="177" spans="1:12" s="494" customFormat="1" x14ac:dyDescent="0.25">
      <c r="A177" s="688">
        <v>2</v>
      </c>
      <c r="B177" s="152" t="str">
        <f>IF(H177="SINAPI",IFERROR(VLOOKUP(I177,'SINAPI-comp'!$B:$H,2,0),VLOOKUP(I177,'SINAPI-insumo'!$B:$H,2,0)))</f>
        <v>TÉCNICO DE LABORATÓRIO COM ENCARGOS COMPLEMENTARES</v>
      </c>
      <c r="C177" s="151" t="str">
        <f>IF(H177="SINAPI",IFERROR(VLOOKUP(I177,'SINAPI-comp'!$B:$H,3,0),VLOOKUP(I177,'SINAPI-insumo'!$B:$H,3,0)))</f>
        <v>H</v>
      </c>
      <c r="D177" s="690">
        <v>0.9</v>
      </c>
      <c r="E177" s="691" t="s">
        <v>15831</v>
      </c>
      <c r="F177" s="155">
        <f>IFERROR(VLOOKUP(I177,'SINAPI-comp'!$B:$H,4,0)-G177,0)</f>
        <v>41.43</v>
      </c>
      <c r="G177" s="156">
        <f>IF(H177="SINAPI",IFERROR(VLOOKUP(I177,'SINAPI-comp'!$B:$H,7,0),VLOOKUP(I177,'SINAPI-insumo'!$B:$H,7,0)))</f>
        <v>0</v>
      </c>
      <c r="H177" s="693" t="s">
        <v>53</v>
      </c>
      <c r="I177" s="694">
        <v>88321</v>
      </c>
      <c r="J177" s="695">
        <f>D177*F177</f>
        <v>37.286999999999999</v>
      </c>
      <c r="K177" s="695">
        <f>D177*G177</f>
        <v>0</v>
      </c>
    </row>
    <row r="178" spans="1:12" s="494" customFormat="1" x14ac:dyDescent="0.25">
      <c r="A178" s="688">
        <v>3</v>
      </c>
      <c r="B178" s="689" t="str">
        <f>VLOOKUP(I178,tabelas!$A:$L,4,0)</f>
        <v>Laboratório de solos</v>
      </c>
      <c r="C178" s="688" t="str">
        <f>VLOOKUP(I178,tabelas!$A:$L,5,0)</f>
        <v>MES</v>
      </c>
      <c r="D178" s="690">
        <f>TRUNC(D176/176*0.5,4)</f>
        <v>5.1000000000000004E-3</v>
      </c>
      <c r="E178" s="691"/>
      <c r="F178" s="692">
        <v>0</v>
      </c>
      <c r="G178" s="695">
        <f>VLOOKUP(I178,tabelas!$A:$L,12,0)</f>
        <v>3882.01</v>
      </c>
      <c r="H178" s="696" t="s">
        <v>42</v>
      </c>
      <c r="I178" s="694" t="s">
        <v>16431</v>
      </c>
      <c r="J178" s="695">
        <f>D178*F178</f>
        <v>0</v>
      </c>
      <c r="K178" s="695">
        <f>D178*G178</f>
        <v>19.798251000000004</v>
      </c>
    </row>
    <row r="179" spans="1:12" s="494" customFormat="1" x14ac:dyDescent="0.25">
      <c r="H179" s="528"/>
      <c r="I179" s="528"/>
      <c r="J179" s="528"/>
    </row>
    <row r="180" spans="1:12" s="494" customFormat="1" x14ac:dyDescent="0.25">
      <c r="H180" s="528"/>
      <c r="I180" s="528"/>
      <c r="J180" s="528"/>
    </row>
    <row r="181" spans="1:12" s="521" customFormat="1" x14ac:dyDescent="0.25">
      <c r="A181" s="674" t="s">
        <v>131</v>
      </c>
      <c r="B181" s="674" t="s">
        <v>132</v>
      </c>
      <c r="C181" s="675"/>
      <c r="D181" s="511"/>
      <c r="E181" s="675"/>
      <c r="F181" s="675"/>
      <c r="G181" s="675"/>
      <c r="H181" s="676" t="s">
        <v>133</v>
      </c>
      <c r="I181" s="677"/>
      <c r="J181" s="512" t="s">
        <v>134</v>
      </c>
      <c r="K181" s="512" t="s">
        <v>15795</v>
      </c>
    </row>
    <row r="182" spans="1:12" s="702" customFormat="1" x14ac:dyDescent="0.25">
      <c r="A182" s="701" t="s">
        <v>15815</v>
      </c>
      <c r="B182" s="678" t="s">
        <v>15843</v>
      </c>
      <c r="C182" s="515"/>
      <c r="D182" s="679"/>
      <c r="E182" s="515"/>
      <c r="F182" s="515"/>
      <c r="G182" s="515"/>
      <c r="H182" s="518" t="s">
        <v>136</v>
      </c>
      <c r="I182" s="680"/>
      <c r="J182" s="520">
        <f>TRUNC(SUM(J184:J186),2)</f>
        <v>78.569999999999993</v>
      </c>
      <c r="K182" s="520">
        <f>TRUNC(SUM(K184:K186),2)</f>
        <v>15.13</v>
      </c>
      <c r="L182" s="681"/>
    </row>
    <row r="183" spans="1:12" s="687" customFormat="1" ht="27.6" x14ac:dyDescent="0.25">
      <c r="A183" s="522" t="s">
        <v>137</v>
      </c>
      <c r="B183" s="523" t="s">
        <v>19</v>
      </c>
      <c r="C183" s="524" t="s">
        <v>20</v>
      </c>
      <c r="D183" s="682" t="s">
        <v>138</v>
      </c>
      <c r="E183" s="525" t="s">
        <v>139</v>
      </c>
      <c r="F183" s="683" t="s">
        <v>140</v>
      </c>
      <c r="G183" s="684" t="s">
        <v>15796</v>
      </c>
      <c r="H183" s="685" t="s">
        <v>142</v>
      </c>
      <c r="I183" s="686"/>
      <c r="J183" s="684" t="s">
        <v>143</v>
      </c>
      <c r="K183" s="684" t="s">
        <v>15797</v>
      </c>
    </row>
    <row r="184" spans="1:12" s="521" customFormat="1" x14ac:dyDescent="0.25">
      <c r="A184" s="688">
        <v>1</v>
      </c>
      <c r="B184" s="703" t="str">
        <f>IF(H184="SINAPI",IFERROR(VLOOKUP(I184,'SINAPI-comp'!$B:$H,2,0),VLOOKUP(I184,'SINAPI-insumo'!$B:$H,2,0)))</f>
        <v>AUXILIAR DE LABORATÓRIO COM ENCARGOS COMPLEMENTARES</v>
      </c>
      <c r="C184" s="704" t="str">
        <f>IF(H184="SINAPI",IFERROR(VLOOKUP(I184,'SINAPI-comp'!$B:$H,3,0),VLOOKUP(I184,'SINAPI-insumo'!$B:$H,3,0)))</f>
        <v>H</v>
      </c>
      <c r="D184" s="690">
        <v>1.4</v>
      </c>
      <c r="E184" s="691" t="s">
        <v>15798</v>
      </c>
      <c r="F184" s="705">
        <f>IFERROR(VLOOKUP(I184,'SINAPI-comp'!$B:$H,4,0)-G184,0)</f>
        <v>35.409999999999997</v>
      </c>
      <c r="G184" s="706">
        <f>IF(H184="SINAPI",IFERROR(VLOOKUP(I184,'SINAPI-comp'!$B:$H,7,0),VLOOKUP(I184,'SINAPI-insumo'!$B:$H,7,0)))</f>
        <v>0</v>
      </c>
      <c r="H184" s="693" t="s">
        <v>53</v>
      </c>
      <c r="I184" s="694">
        <v>88249</v>
      </c>
      <c r="J184" s="695">
        <f>D184*F184</f>
        <v>49.573999999999991</v>
      </c>
      <c r="K184" s="695">
        <f>D184*G184</f>
        <v>0</v>
      </c>
    </row>
    <row r="185" spans="1:12" s="521" customFormat="1" x14ac:dyDescent="0.25">
      <c r="A185" s="688">
        <v>2</v>
      </c>
      <c r="B185" s="703" t="str">
        <f>IF(H185="SINAPI",IFERROR(VLOOKUP(I185,'SINAPI-comp'!$B:$H,2,0),VLOOKUP(I185,'SINAPI-insumo'!$B:$H,2,0)))</f>
        <v>TÉCNICO DE LABORATÓRIO COM ENCARGOS COMPLEMENTARES</v>
      </c>
      <c r="C185" s="704" t="str">
        <f>IF(H185="SINAPI",IFERROR(VLOOKUP(I185,'SINAPI-comp'!$B:$H,3,0),VLOOKUP(I185,'SINAPI-insumo'!$B:$H,3,0)))</f>
        <v>H</v>
      </c>
      <c r="D185" s="690">
        <v>0.7</v>
      </c>
      <c r="E185" s="691" t="s">
        <v>15798</v>
      </c>
      <c r="F185" s="705">
        <f>IFERROR(VLOOKUP(I185,'SINAPI-comp'!$B:$H,4,0)-G185,0)</f>
        <v>41.43</v>
      </c>
      <c r="G185" s="706">
        <f>IF(H185="SINAPI",IFERROR(VLOOKUP(I185,'SINAPI-comp'!$B:$H,7,0),VLOOKUP(I185,'SINAPI-insumo'!$B:$H,7,0)))</f>
        <v>0</v>
      </c>
      <c r="H185" s="693" t="s">
        <v>53</v>
      </c>
      <c r="I185" s="694">
        <v>88321</v>
      </c>
      <c r="J185" s="695">
        <f>D185*F185</f>
        <v>29.000999999999998</v>
      </c>
      <c r="K185" s="695">
        <f>D185*G185</f>
        <v>0</v>
      </c>
    </row>
    <row r="186" spans="1:12" s="521" customFormat="1" x14ac:dyDescent="0.25">
      <c r="A186" s="688">
        <v>3</v>
      </c>
      <c r="B186" s="689" t="str">
        <f>VLOOKUP(I186,tabelas!$A:$L,4,0)</f>
        <v>Laboratório de solos</v>
      </c>
      <c r="C186" s="688" t="str">
        <f>VLOOKUP(I186,tabelas!$A:$L,5,0)</f>
        <v>MES</v>
      </c>
      <c r="D186" s="690">
        <f>TRUNC(D184/176*0.5,4)</f>
        <v>3.8999999999999998E-3</v>
      </c>
      <c r="E186" s="691"/>
      <c r="F186" s="692">
        <v>0</v>
      </c>
      <c r="G186" s="695">
        <f>VLOOKUP(I186,tabelas!$A:$L,12,0)</f>
        <v>3882.01</v>
      </c>
      <c r="H186" s="696" t="s">
        <v>42</v>
      </c>
      <c r="I186" s="694" t="s">
        <v>16431</v>
      </c>
      <c r="J186" s="695">
        <f>D186*F186</f>
        <v>0</v>
      </c>
      <c r="K186" s="695">
        <f>D186*G186</f>
        <v>15.139839</v>
      </c>
    </row>
    <row r="187" spans="1:12" s="521" customFormat="1" x14ac:dyDescent="0.25">
      <c r="H187" s="707"/>
      <c r="I187" s="707"/>
      <c r="J187" s="707"/>
    </row>
    <row r="188" spans="1:12" s="494" customFormat="1" x14ac:dyDescent="0.25">
      <c r="H188" s="528"/>
      <c r="I188" s="528"/>
      <c r="J188" s="528"/>
    </row>
    <row r="189" spans="1:12" s="494" customFormat="1" x14ac:dyDescent="0.25">
      <c r="A189" s="674" t="s">
        <v>131</v>
      </c>
      <c r="B189" s="674" t="s">
        <v>132</v>
      </c>
      <c r="C189" s="675"/>
      <c r="D189" s="511"/>
      <c r="E189" s="675"/>
      <c r="F189" s="675"/>
      <c r="G189" s="675"/>
      <c r="H189" s="676" t="s">
        <v>133</v>
      </c>
      <c r="I189" s="677"/>
      <c r="J189" s="512" t="s">
        <v>134</v>
      </c>
      <c r="K189" s="512" t="s">
        <v>15795</v>
      </c>
    </row>
    <row r="190" spans="1:12" s="681" customFormat="1" x14ac:dyDescent="0.25">
      <c r="A190" s="136" t="s">
        <v>15816</v>
      </c>
      <c r="B190" s="678" t="s">
        <v>15842</v>
      </c>
      <c r="C190" s="515"/>
      <c r="D190" s="679"/>
      <c r="E190" s="515"/>
      <c r="F190" s="515"/>
      <c r="G190" s="515"/>
      <c r="H190" s="518" t="s">
        <v>136</v>
      </c>
      <c r="I190" s="680"/>
      <c r="J190" s="520">
        <f>TRUNC(SUM(J192:J194),2)</f>
        <v>426.55</v>
      </c>
      <c r="K190" s="520">
        <f>TRUNC(SUM(K192:K194),2)</f>
        <v>83.46</v>
      </c>
    </row>
    <row r="191" spans="1:12" s="687" customFormat="1" ht="27.6" x14ac:dyDescent="0.25">
      <c r="A191" s="522" t="s">
        <v>137</v>
      </c>
      <c r="B191" s="523" t="s">
        <v>19</v>
      </c>
      <c r="C191" s="524" t="s">
        <v>20</v>
      </c>
      <c r="D191" s="682" t="s">
        <v>138</v>
      </c>
      <c r="E191" s="525" t="s">
        <v>139</v>
      </c>
      <c r="F191" s="683" t="s">
        <v>140</v>
      </c>
      <c r="G191" s="684" t="s">
        <v>15796</v>
      </c>
      <c r="H191" s="685" t="s">
        <v>142</v>
      </c>
      <c r="I191" s="686"/>
      <c r="J191" s="684" t="s">
        <v>143</v>
      </c>
      <c r="K191" s="684" t="s">
        <v>15797</v>
      </c>
    </row>
    <row r="192" spans="1:12" s="494" customFormat="1" x14ac:dyDescent="0.25">
      <c r="A192" s="688">
        <v>1</v>
      </c>
      <c r="B192" s="152" t="str">
        <f>IF(H192="SINAPI",IFERROR(VLOOKUP(I192,'SINAPI-comp'!$B:$H,2,0),VLOOKUP(I192,'SINAPI-insumo'!$B:$H,2,0)))</f>
        <v>AUXILIAR DE LABORATÓRIO COM ENCARGOS COMPLEMENTARES</v>
      </c>
      <c r="C192" s="151" t="str">
        <f>IF(H192="SINAPI",IFERROR(VLOOKUP(I192,'SINAPI-comp'!$B:$H,3,0),VLOOKUP(I192,'SINAPI-insumo'!$B:$H,3,0)))</f>
        <v>H</v>
      </c>
      <c r="D192" s="690">
        <v>7.6</v>
      </c>
      <c r="E192" s="691" t="s">
        <v>15820</v>
      </c>
      <c r="F192" s="155">
        <f>IFERROR(VLOOKUP(I192,'SINAPI-comp'!$B:$H,4,0)-G192,0)</f>
        <v>35.409999999999997</v>
      </c>
      <c r="G192" s="156">
        <f>IF(H192="SINAPI",IFERROR(VLOOKUP(I192,'SINAPI-comp'!$B:$H,7,0),VLOOKUP(I192,'SINAPI-insumo'!$B:$H,7,0)))</f>
        <v>0</v>
      </c>
      <c r="H192" s="693" t="s">
        <v>53</v>
      </c>
      <c r="I192" s="694">
        <v>88249</v>
      </c>
      <c r="J192" s="695">
        <f>D192*F192</f>
        <v>269.11599999999999</v>
      </c>
      <c r="K192" s="695">
        <f>D192*G192</f>
        <v>0</v>
      </c>
    </row>
    <row r="193" spans="1:11" s="494" customFormat="1" x14ac:dyDescent="0.25">
      <c r="A193" s="688">
        <v>2</v>
      </c>
      <c r="B193" s="152" t="str">
        <f>IF(H193="SINAPI",IFERROR(VLOOKUP(I193,'SINAPI-comp'!$B:$H,2,0),VLOOKUP(I193,'SINAPI-insumo'!$B:$H,2,0)))</f>
        <v>TÉCNICO DE LABORATÓRIO COM ENCARGOS COMPLEMENTARES</v>
      </c>
      <c r="C193" s="151" t="str">
        <f>IF(H193="SINAPI",IFERROR(VLOOKUP(I193,'SINAPI-comp'!$B:$H,3,0),VLOOKUP(I193,'SINAPI-insumo'!$B:$H,3,0)))</f>
        <v>H</v>
      </c>
      <c r="D193" s="690">
        <v>3.8</v>
      </c>
      <c r="E193" s="691" t="s">
        <v>15820</v>
      </c>
      <c r="F193" s="155">
        <f>IFERROR(VLOOKUP(I193,'SINAPI-comp'!$B:$H,4,0)-G193,0)</f>
        <v>41.43</v>
      </c>
      <c r="G193" s="156">
        <f>IF(H193="SINAPI",IFERROR(VLOOKUP(I193,'SINAPI-comp'!$B:$H,7,0),VLOOKUP(I193,'SINAPI-insumo'!$B:$H,7,0)))</f>
        <v>0</v>
      </c>
      <c r="H193" s="693" t="s">
        <v>53</v>
      </c>
      <c r="I193" s="694">
        <v>88321</v>
      </c>
      <c r="J193" s="695">
        <f>D193*F193</f>
        <v>157.434</v>
      </c>
      <c r="K193" s="695">
        <f>D193*G193</f>
        <v>0</v>
      </c>
    </row>
    <row r="194" spans="1:11" s="494" customFormat="1" x14ac:dyDescent="0.25">
      <c r="A194" s="688">
        <v>3</v>
      </c>
      <c r="B194" s="689" t="str">
        <f>VLOOKUP(I194,tabelas!$A:$L,4,0)</f>
        <v>Laboratório de solos</v>
      </c>
      <c r="C194" s="688" t="str">
        <f>VLOOKUP(I194,tabelas!$A:$L,5,0)</f>
        <v>MES</v>
      </c>
      <c r="D194" s="690">
        <f>TRUNC(D192/176*0.5,4)</f>
        <v>2.1499999999999998E-2</v>
      </c>
      <c r="E194" s="691"/>
      <c r="F194" s="692">
        <v>0</v>
      </c>
      <c r="G194" s="695">
        <f>VLOOKUP(I194,tabelas!$A:$L,12,0)</f>
        <v>3882.01</v>
      </c>
      <c r="H194" s="696" t="s">
        <v>42</v>
      </c>
      <c r="I194" s="694" t="s">
        <v>16431</v>
      </c>
      <c r="J194" s="695">
        <f>D194*F194</f>
        <v>0</v>
      </c>
      <c r="K194" s="695">
        <f>D194*G194</f>
        <v>83.463214999999991</v>
      </c>
    </row>
    <row r="195" spans="1:11" s="494" customFormat="1" x14ac:dyDescent="0.25">
      <c r="H195" s="528"/>
      <c r="I195" s="528"/>
      <c r="J195" s="528"/>
    </row>
    <row r="196" spans="1:11" s="494" customFormat="1" x14ac:dyDescent="0.25">
      <c r="H196" s="528"/>
      <c r="I196" s="528"/>
      <c r="J196" s="528"/>
    </row>
    <row r="197" spans="1:11" s="494" customFormat="1" x14ac:dyDescent="0.25">
      <c r="A197" s="674" t="s">
        <v>131</v>
      </c>
      <c r="B197" s="674" t="s">
        <v>132</v>
      </c>
      <c r="C197" s="675"/>
      <c r="D197" s="511"/>
      <c r="E197" s="675"/>
      <c r="F197" s="675"/>
      <c r="G197" s="675"/>
      <c r="H197" s="676" t="s">
        <v>133</v>
      </c>
      <c r="I197" s="677"/>
      <c r="J197" s="512" t="s">
        <v>134</v>
      </c>
      <c r="K197" s="512" t="s">
        <v>15795</v>
      </c>
    </row>
    <row r="198" spans="1:11" s="681" customFormat="1" x14ac:dyDescent="0.25">
      <c r="A198" s="136" t="s">
        <v>15824</v>
      </c>
      <c r="B198" s="678" t="s">
        <v>15841</v>
      </c>
      <c r="C198" s="515"/>
      <c r="D198" s="679"/>
      <c r="E198" s="515"/>
      <c r="F198" s="515"/>
      <c r="G198" s="515"/>
      <c r="H198" s="518" t="s">
        <v>136</v>
      </c>
      <c r="I198" s="680"/>
      <c r="J198" s="520">
        <f>TRUNC(SUM(J200:J202),2)</f>
        <v>78.569999999999993</v>
      </c>
      <c r="K198" s="520">
        <f>TRUNC(SUM(K200:K202),2)</f>
        <v>22.42</v>
      </c>
    </row>
    <row r="199" spans="1:11" s="687" customFormat="1" ht="27.6" x14ac:dyDescent="0.25">
      <c r="A199" s="522" t="s">
        <v>137</v>
      </c>
      <c r="B199" s="523" t="s">
        <v>19</v>
      </c>
      <c r="C199" s="524" t="s">
        <v>20</v>
      </c>
      <c r="D199" s="682" t="s">
        <v>138</v>
      </c>
      <c r="E199" s="525" t="s">
        <v>139</v>
      </c>
      <c r="F199" s="683" t="s">
        <v>140</v>
      </c>
      <c r="G199" s="684" t="s">
        <v>15796</v>
      </c>
      <c r="H199" s="685" t="s">
        <v>142</v>
      </c>
      <c r="I199" s="686"/>
      <c r="J199" s="684" t="s">
        <v>143</v>
      </c>
      <c r="K199" s="684" t="s">
        <v>15797</v>
      </c>
    </row>
    <row r="200" spans="1:11" s="494" customFormat="1" x14ac:dyDescent="0.25">
      <c r="A200" s="688">
        <v>1</v>
      </c>
      <c r="B200" s="152" t="str">
        <f>IF(H200="SINAPI",IFERROR(VLOOKUP(I200,'SINAPI-comp'!$B:$H,2,0),VLOOKUP(I200,'SINAPI-insumo'!$B:$H,2,0)))</f>
        <v>AUXILIAR DE LABORATÓRIO COM ENCARGOS COMPLEMENTARES</v>
      </c>
      <c r="C200" s="151" t="str">
        <f>IF(H200="SINAPI",IFERROR(VLOOKUP(I200,'SINAPI-comp'!$B:$H,3,0),VLOOKUP(I200,'SINAPI-insumo'!$B:$H,3,0)))</f>
        <v>H</v>
      </c>
      <c r="D200" s="690">
        <v>1.4</v>
      </c>
      <c r="E200" s="691" t="s">
        <v>15819</v>
      </c>
      <c r="F200" s="155">
        <f>IFERROR(VLOOKUP(I200,'SINAPI-comp'!$B:$H,4,0)-G200,0)</f>
        <v>35.409999999999997</v>
      </c>
      <c r="G200" s="156">
        <f>IF(H200="SINAPI",IFERROR(VLOOKUP(I200,'SINAPI-comp'!$B:$H,7,0),VLOOKUP(I200,'SINAPI-insumo'!$B:$H,7,0)))</f>
        <v>0</v>
      </c>
      <c r="H200" s="693" t="s">
        <v>53</v>
      </c>
      <c r="I200" s="694">
        <v>88249</v>
      </c>
      <c r="J200" s="695">
        <f>D200*F200</f>
        <v>49.573999999999991</v>
      </c>
      <c r="K200" s="695">
        <f>D200*G200</f>
        <v>0</v>
      </c>
    </row>
    <row r="201" spans="1:11" s="494" customFormat="1" x14ac:dyDescent="0.25">
      <c r="A201" s="688">
        <v>2</v>
      </c>
      <c r="B201" s="152" t="str">
        <f>IF(H201="SINAPI",IFERROR(VLOOKUP(I201,'SINAPI-comp'!$B:$H,2,0),VLOOKUP(I201,'SINAPI-insumo'!$B:$H,2,0)))</f>
        <v>TÉCNICO DE LABORATÓRIO COM ENCARGOS COMPLEMENTARES</v>
      </c>
      <c r="C201" s="151" t="str">
        <f>IF(H201="SINAPI",IFERROR(VLOOKUP(I201,'SINAPI-comp'!$B:$H,3,0),VLOOKUP(I201,'SINAPI-insumo'!$B:$H,3,0)))</f>
        <v>H</v>
      </c>
      <c r="D201" s="690">
        <v>0.7</v>
      </c>
      <c r="E201" s="691" t="s">
        <v>15819</v>
      </c>
      <c r="F201" s="155">
        <f>IFERROR(VLOOKUP(I201,'SINAPI-comp'!$B:$H,4,0)-G201,0)</f>
        <v>41.43</v>
      </c>
      <c r="G201" s="156">
        <f>IF(H201="SINAPI",IFERROR(VLOOKUP(I201,'SINAPI-comp'!$B:$H,7,0),VLOOKUP(I201,'SINAPI-insumo'!$B:$H,7,0)))</f>
        <v>0</v>
      </c>
      <c r="H201" s="693" t="s">
        <v>53</v>
      </c>
      <c r="I201" s="694">
        <v>88321</v>
      </c>
      <c r="J201" s="695">
        <f>D201*F201</f>
        <v>29.000999999999998</v>
      </c>
      <c r="K201" s="695">
        <f>D201*G201</f>
        <v>0</v>
      </c>
    </row>
    <row r="202" spans="1:11" s="494" customFormat="1" x14ac:dyDescent="0.25">
      <c r="A202" s="688">
        <v>3</v>
      </c>
      <c r="B202" s="689" t="str">
        <f>VLOOKUP(I202,tabelas!$A:$L,4,0)</f>
        <v>Laboratório de asfalto</v>
      </c>
      <c r="C202" s="688" t="str">
        <f>VLOOKUP(I202,tabelas!$A:$L,5,0)</f>
        <v>MES</v>
      </c>
      <c r="D202" s="690">
        <f>TRUNC(D200/176*0.5,4)</f>
        <v>3.8999999999999998E-3</v>
      </c>
      <c r="E202" s="691"/>
      <c r="F202" s="692">
        <v>0</v>
      </c>
      <c r="G202" s="695">
        <f>VLOOKUP(I202,tabelas!$A:$L,12,0)</f>
        <v>5749.9</v>
      </c>
      <c r="H202" s="696" t="s">
        <v>42</v>
      </c>
      <c r="I202" s="694" t="s">
        <v>16432</v>
      </c>
      <c r="J202" s="695">
        <f>D202*F202</f>
        <v>0</v>
      </c>
      <c r="K202" s="695">
        <f>D202*G202</f>
        <v>22.424609999999998</v>
      </c>
    </row>
    <row r="203" spans="1:11" s="494" customFormat="1" x14ac:dyDescent="0.25">
      <c r="H203" s="528"/>
      <c r="I203" s="528"/>
      <c r="J203" s="528"/>
    </row>
    <row r="204" spans="1:11" s="494" customFormat="1" x14ac:dyDescent="0.25">
      <c r="H204" s="528"/>
      <c r="I204" s="528"/>
      <c r="J204" s="528"/>
    </row>
    <row r="205" spans="1:11" s="494" customFormat="1" x14ac:dyDescent="0.25">
      <c r="A205" s="674" t="s">
        <v>131</v>
      </c>
      <c r="B205" s="674" t="s">
        <v>132</v>
      </c>
      <c r="C205" s="675"/>
      <c r="D205" s="511"/>
      <c r="E205" s="675"/>
      <c r="F205" s="675"/>
      <c r="G205" s="675"/>
      <c r="H205" s="676" t="s">
        <v>133</v>
      </c>
      <c r="I205" s="677"/>
      <c r="J205" s="512" t="s">
        <v>134</v>
      </c>
      <c r="K205" s="512" t="s">
        <v>15795</v>
      </c>
    </row>
    <row r="206" spans="1:11" s="681" customFormat="1" x14ac:dyDescent="0.25">
      <c r="A206" s="136" t="s">
        <v>15823</v>
      </c>
      <c r="B206" s="678" t="s">
        <v>15840</v>
      </c>
      <c r="C206" s="515"/>
      <c r="D206" s="679"/>
      <c r="E206" s="515"/>
      <c r="F206" s="515"/>
      <c r="G206" s="515"/>
      <c r="H206" s="518" t="s">
        <v>136</v>
      </c>
      <c r="I206" s="680"/>
      <c r="J206" s="520">
        <f>TRUNC(SUM(J208:J210),2)</f>
        <v>145.91999999999999</v>
      </c>
      <c r="K206" s="520">
        <f>TRUNC(SUM(K208:K210),2)</f>
        <v>36.619999999999997</v>
      </c>
    </row>
    <row r="207" spans="1:11" s="687" customFormat="1" ht="27.6" x14ac:dyDescent="0.25">
      <c r="A207" s="522" t="s">
        <v>137</v>
      </c>
      <c r="B207" s="523" t="s">
        <v>19</v>
      </c>
      <c r="C207" s="524" t="s">
        <v>20</v>
      </c>
      <c r="D207" s="682" t="s">
        <v>138</v>
      </c>
      <c r="E207" s="525" t="s">
        <v>139</v>
      </c>
      <c r="F207" s="683" t="s">
        <v>140</v>
      </c>
      <c r="G207" s="684" t="s">
        <v>15796</v>
      </c>
      <c r="H207" s="685" t="s">
        <v>142</v>
      </c>
      <c r="I207" s="686"/>
      <c r="J207" s="684" t="s">
        <v>143</v>
      </c>
      <c r="K207" s="684" t="s">
        <v>15797</v>
      </c>
    </row>
    <row r="208" spans="1:11" s="494" customFormat="1" x14ac:dyDescent="0.25">
      <c r="A208" s="688">
        <v>1</v>
      </c>
      <c r="B208" s="152" t="str">
        <f>IF(H208="SINAPI",IFERROR(VLOOKUP(I208,'SINAPI-comp'!$B:$H,2,0),VLOOKUP(I208,'SINAPI-insumo'!$B:$H,2,0)))</f>
        <v>AUXILIAR DE LABORATÓRIO COM ENCARGOS COMPLEMENTARES</v>
      </c>
      <c r="C208" s="151" t="str">
        <f>IF(H208="SINAPI",IFERROR(VLOOKUP(I208,'SINAPI-comp'!$B:$H,3,0),VLOOKUP(I208,'SINAPI-insumo'!$B:$H,3,0)))</f>
        <v>H</v>
      </c>
      <c r="D208" s="690">
        <v>2.6</v>
      </c>
      <c r="E208" s="691"/>
      <c r="F208" s="155">
        <f>IFERROR(VLOOKUP(I208,'SINAPI-comp'!$B:$H,4,0)-G208,0)</f>
        <v>35.409999999999997</v>
      </c>
      <c r="G208" s="156">
        <f>IF(H208="SINAPI",IFERROR(VLOOKUP(I208,'SINAPI-comp'!$B:$H,7,0),VLOOKUP(I208,'SINAPI-insumo'!$B:$H,7,0)))</f>
        <v>0</v>
      </c>
      <c r="H208" s="693" t="s">
        <v>53</v>
      </c>
      <c r="I208" s="694">
        <v>88249</v>
      </c>
      <c r="J208" s="695">
        <f>D208*F208</f>
        <v>92.065999999999988</v>
      </c>
      <c r="K208" s="695">
        <f>D208*G208</f>
        <v>0</v>
      </c>
    </row>
    <row r="209" spans="1:11" s="494" customFormat="1" x14ac:dyDescent="0.25">
      <c r="A209" s="688">
        <v>2</v>
      </c>
      <c r="B209" s="152" t="str">
        <f>IF(H209="SINAPI",IFERROR(VLOOKUP(I209,'SINAPI-comp'!$B:$H,2,0),VLOOKUP(I209,'SINAPI-insumo'!$B:$H,2,0)))</f>
        <v>TÉCNICO DE LABORATÓRIO COM ENCARGOS COMPLEMENTARES</v>
      </c>
      <c r="C209" s="151" t="str">
        <f>IF(H209="SINAPI",IFERROR(VLOOKUP(I209,'SINAPI-comp'!$B:$H,3,0),VLOOKUP(I209,'SINAPI-insumo'!$B:$H,3,0)))</f>
        <v>H</v>
      </c>
      <c r="D209" s="690">
        <v>1.3</v>
      </c>
      <c r="E209" s="691"/>
      <c r="F209" s="155">
        <f>IFERROR(VLOOKUP(I209,'SINAPI-comp'!$B:$H,4,0)-G209,0)</f>
        <v>41.43</v>
      </c>
      <c r="G209" s="156">
        <f>IF(H209="SINAPI",IFERROR(VLOOKUP(I209,'SINAPI-comp'!$B:$H,7,0),VLOOKUP(I209,'SINAPI-insumo'!$B:$H,7,0)))</f>
        <v>0</v>
      </c>
      <c r="H209" s="693" t="s">
        <v>53</v>
      </c>
      <c r="I209" s="694">
        <v>88321</v>
      </c>
      <c r="J209" s="695">
        <f>D209*F209</f>
        <v>53.859000000000002</v>
      </c>
      <c r="K209" s="695">
        <f>D209*G209</f>
        <v>0</v>
      </c>
    </row>
    <row r="210" spans="1:11" s="494" customFormat="1" x14ac:dyDescent="0.25">
      <c r="A210" s="688">
        <v>3</v>
      </c>
      <c r="B210" s="689" t="str">
        <f>VLOOKUP(I210,tabelas!$A:$L,4,0)</f>
        <v>Laboratório de concreto</v>
      </c>
      <c r="C210" s="688" t="str">
        <f>VLOOKUP(I210,tabelas!$A:$L,5,0)</f>
        <v>MES</v>
      </c>
      <c r="D210" s="690">
        <f>TRUNC(D208/176*0.5,4)</f>
        <v>7.3000000000000001E-3</v>
      </c>
      <c r="E210" s="691"/>
      <c r="F210" s="692">
        <v>0</v>
      </c>
      <c r="G210" s="695">
        <f>VLOOKUP(I210,tabelas!$A:$L,12,0)</f>
        <v>5016.59</v>
      </c>
      <c r="H210" s="696" t="s">
        <v>42</v>
      </c>
      <c r="I210" s="694" t="s">
        <v>16433</v>
      </c>
      <c r="J210" s="695">
        <f>D210*F210</f>
        <v>0</v>
      </c>
      <c r="K210" s="695">
        <f>D210*G210</f>
        <v>36.621107000000002</v>
      </c>
    </row>
    <row r="211" spans="1:11" s="494" customFormat="1" x14ac:dyDescent="0.25">
      <c r="H211" s="528"/>
      <c r="I211" s="528"/>
      <c r="J211" s="528"/>
    </row>
    <row r="212" spans="1:11" s="494" customFormat="1" x14ac:dyDescent="0.25">
      <c r="H212" s="528"/>
      <c r="I212" s="528"/>
      <c r="J212" s="528"/>
    </row>
    <row r="213" spans="1:11" s="494" customFormat="1" x14ac:dyDescent="0.25">
      <c r="A213" s="674" t="s">
        <v>131</v>
      </c>
      <c r="B213" s="674" t="s">
        <v>132</v>
      </c>
      <c r="C213" s="675"/>
      <c r="D213" s="511"/>
      <c r="E213" s="675"/>
      <c r="F213" s="675"/>
      <c r="G213" s="675"/>
      <c r="H213" s="676" t="s">
        <v>133</v>
      </c>
      <c r="I213" s="677"/>
      <c r="J213" s="512" t="s">
        <v>134</v>
      </c>
      <c r="K213" s="512" t="s">
        <v>15795</v>
      </c>
    </row>
    <row r="214" spans="1:11" s="681" customFormat="1" x14ac:dyDescent="0.25">
      <c r="A214" s="136" t="s">
        <v>15821</v>
      </c>
      <c r="B214" s="678" t="s">
        <v>15839</v>
      </c>
      <c r="C214" s="515"/>
      <c r="D214" s="679"/>
      <c r="E214" s="515"/>
      <c r="F214" s="515"/>
      <c r="G214" s="515"/>
      <c r="H214" s="518" t="s">
        <v>136</v>
      </c>
      <c r="I214" s="680"/>
      <c r="J214" s="520">
        <f>TRUNC(SUM(J216:J227),2)</f>
        <v>617.37</v>
      </c>
      <c r="K214" s="520">
        <f>TRUNC(SUM(K216:K227),2)</f>
        <v>178.24</v>
      </c>
    </row>
    <row r="215" spans="1:11" s="687" customFormat="1" ht="27.6" x14ac:dyDescent="0.25">
      <c r="A215" s="522" t="s">
        <v>137</v>
      </c>
      <c r="B215" s="523" t="s">
        <v>19</v>
      </c>
      <c r="C215" s="524" t="s">
        <v>20</v>
      </c>
      <c r="D215" s="682" t="s">
        <v>138</v>
      </c>
      <c r="E215" s="525" t="s">
        <v>139</v>
      </c>
      <c r="F215" s="683" t="s">
        <v>140</v>
      </c>
      <c r="G215" s="684" t="s">
        <v>15796</v>
      </c>
      <c r="H215" s="685" t="s">
        <v>142</v>
      </c>
      <c r="I215" s="686"/>
      <c r="J215" s="684" t="s">
        <v>143</v>
      </c>
      <c r="K215" s="684" t="s">
        <v>15797</v>
      </c>
    </row>
    <row r="216" spans="1:11" s="687" customFormat="1" x14ac:dyDescent="0.25">
      <c r="A216" s="522">
        <v>1</v>
      </c>
      <c r="B216" s="523" t="s">
        <v>15834</v>
      </c>
      <c r="C216" s="524"/>
      <c r="D216" s="682"/>
      <c r="E216" s="525"/>
      <c r="F216" s="683"/>
      <c r="G216" s="684"/>
      <c r="H216" s="685"/>
      <c r="I216" s="686"/>
      <c r="J216" s="684"/>
      <c r="K216" s="684"/>
    </row>
    <row r="217" spans="1:11" s="494" customFormat="1" x14ac:dyDescent="0.25">
      <c r="A217" s="688" t="s">
        <v>29</v>
      </c>
      <c r="B217" s="152" t="str">
        <f>IF(H217="SINAPI",IFERROR(VLOOKUP(I217,'SINAPI-comp'!$B:$H,2,0),VLOOKUP(I217,'SINAPI-insumo'!$B:$H,2,0)))</f>
        <v>AUXILIAR DE LABORATÓRIO COM ENCARGOS COMPLEMENTARES</v>
      </c>
      <c r="C217" s="151" t="str">
        <f>IF(H217="SINAPI",IFERROR(VLOOKUP(I217,'SINAPI-comp'!$B:$H,3,0),VLOOKUP(I217,'SINAPI-insumo'!$B:$H,3,0)))</f>
        <v>H</v>
      </c>
      <c r="D217" s="690">
        <v>2</v>
      </c>
      <c r="E217" s="691"/>
      <c r="F217" s="155">
        <f>IFERROR(VLOOKUP(I217,'SINAPI-comp'!$B:$H,4,0)-G217,0)</f>
        <v>35.409999999999997</v>
      </c>
      <c r="G217" s="156">
        <f>IF(H217="SINAPI",IFERROR(VLOOKUP(I217,'SINAPI-comp'!$B:$H,7,0),VLOOKUP(I217,'SINAPI-insumo'!$B:$H,7,0)))</f>
        <v>0</v>
      </c>
      <c r="H217" s="693" t="s">
        <v>53</v>
      </c>
      <c r="I217" s="694">
        <v>88249</v>
      </c>
      <c r="J217" s="695">
        <f>D217*F217</f>
        <v>70.819999999999993</v>
      </c>
      <c r="K217" s="695">
        <f>D217*G217</f>
        <v>0</v>
      </c>
    </row>
    <row r="218" spans="1:11" s="494" customFormat="1" x14ac:dyDescent="0.25">
      <c r="A218" s="688" t="s">
        <v>32</v>
      </c>
      <c r="B218" s="152" t="str">
        <f>IF(H218="SINAPI",IFERROR(VLOOKUP(I218,'SINAPI-comp'!$B:$H,2,0),VLOOKUP(I218,'SINAPI-insumo'!$B:$H,2,0)))</f>
        <v>TÉCNICO DE LABORATÓRIO COM ENCARGOS COMPLEMENTARES</v>
      </c>
      <c r="C218" s="151" t="str">
        <f>IF(H218="SINAPI",IFERROR(VLOOKUP(I218,'SINAPI-comp'!$B:$H,3,0),VLOOKUP(I218,'SINAPI-insumo'!$B:$H,3,0)))</f>
        <v>H</v>
      </c>
      <c r="D218" s="690">
        <v>1</v>
      </c>
      <c r="E218" s="691"/>
      <c r="F218" s="155">
        <f>IFERROR(VLOOKUP(I218,'SINAPI-comp'!$B:$H,4,0)-G218,0)</f>
        <v>41.43</v>
      </c>
      <c r="G218" s="156">
        <f>IF(H218="SINAPI",IFERROR(VLOOKUP(I218,'SINAPI-comp'!$B:$H,7,0),VLOOKUP(I218,'SINAPI-insumo'!$B:$H,7,0)))</f>
        <v>0</v>
      </c>
      <c r="H218" s="693" t="s">
        <v>53</v>
      </c>
      <c r="I218" s="694">
        <v>88321</v>
      </c>
      <c r="J218" s="695">
        <f>D218*F218</f>
        <v>41.43</v>
      </c>
      <c r="K218" s="695">
        <f>D218*G218</f>
        <v>0</v>
      </c>
    </row>
    <row r="219" spans="1:11" s="494" customFormat="1" x14ac:dyDescent="0.25">
      <c r="A219" s="688" t="s">
        <v>34</v>
      </c>
      <c r="B219" s="689" t="str">
        <f>VLOOKUP(I219,tabelas!$A:$L,4,0)</f>
        <v>Laboratório de asfalto</v>
      </c>
      <c r="C219" s="688" t="str">
        <f>VLOOKUP(I219,tabelas!$A:$L,5,0)</f>
        <v>MES</v>
      </c>
      <c r="D219" s="690">
        <f>TRUNC(D217/176*0.5,4)</f>
        <v>5.5999999999999999E-3</v>
      </c>
      <c r="E219" s="691"/>
      <c r="F219" s="692">
        <v>0</v>
      </c>
      <c r="G219" s="695">
        <f>VLOOKUP(I219,tabelas!$A:$L,12,0)</f>
        <v>5749.9</v>
      </c>
      <c r="H219" s="696" t="s">
        <v>42</v>
      </c>
      <c r="I219" s="694" t="s">
        <v>16432</v>
      </c>
      <c r="J219" s="695">
        <f>D219*F219</f>
        <v>0</v>
      </c>
      <c r="K219" s="695">
        <f>D219*G219</f>
        <v>32.199439999999996</v>
      </c>
    </row>
    <row r="220" spans="1:11" s="687" customFormat="1" x14ac:dyDescent="0.25">
      <c r="A220" s="522">
        <v>2</v>
      </c>
      <c r="B220" s="523" t="s">
        <v>15828</v>
      </c>
      <c r="C220" s="524"/>
      <c r="D220" s="682"/>
      <c r="E220" s="525"/>
      <c r="F220" s="683"/>
      <c r="G220" s="684"/>
      <c r="H220" s="685"/>
      <c r="I220" s="686"/>
      <c r="J220" s="684"/>
      <c r="K220" s="684"/>
    </row>
    <row r="221" spans="1:11" s="494" customFormat="1" x14ac:dyDescent="0.25">
      <c r="A221" s="688" t="s">
        <v>38</v>
      </c>
      <c r="B221" s="152" t="str">
        <f>IF(H221="SINAPI",IFERROR(VLOOKUP(I221,'SINAPI-comp'!$B:$H,2,0),VLOOKUP(I221,'SINAPI-insumo'!$B:$H,2,0)))</f>
        <v>AUXILIAR DE LABORATÓRIO COM ENCARGOS COMPLEMENTARES</v>
      </c>
      <c r="C221" s="151" t="str">
        <f>IF(H221="SINAPI",IFERROR(VLOOKUP(I221,'SINAPI-comp'!$B:$H,3,0),VLOOKUP(I221,'SINAPI-insumo'!$B:$H,3,0)))</f>
        <v>H</v>
      </c>
      <c r="D221" s="690">
        <v>2</v>
      </c>
      <c r="E221" s="691" t="s">
        <v>15827</v>
      </c>
      <c r="F221" s="155">
        <f>IFERROR(VLOOKUP(I221,'SINAPI-comp'!$B:$H,4,0)-G221,0)</f>
        <v>35.409999999999997</v>
      </c>
      <c r="G221" s="156">
        <f>IF(H221="SINAPI",IFERROR(VLOOKUP(I221,'SINAPI-comp'!$B:$H,7,0),VLOOKUP(I221,'SINAPI-insumo'!$B:$H,7,0)))</f>
        <v>0</v>
      </c>
      <c r="H221" s="693" t="s">
        <v>53</v>
      </c>
      <c r="I221" s="694">
        <v>88249</v>
      </c>
      <c r="J221" s="695">
        <f>D221*F221</f>
        <v>70.819999999999993</v>
      </c>
      <c r="K221" s="695">
        <f>D221*G221</f>
        <v>0</v>
      </c>
    </row>
    <row r="222" spans="1:11" s="494" customFormat="1" x14ac:dyDescent="0.25">
      <c r="A222" s="688" t="s">
        <v>39</v>
      </c>
      <c r="B222" s="152" t="str">
        <f>IF(H222="SINAPI",IFERROR(VLOOKUP(I222,'SINAPI-comp'!$B:$H,2,0),VLOOKUP(I222,'SINAPI-insumo'!$B:$H,2,0)))</f>
        <v>TÉCNICO DE LABORATÓRIO COM ENCARGOS COMPLEMENTARES</v>
      </c>
      <c r="C222" s="151" t="str">
        <f>IF(H222="SINAPI",IFERROR(VLOOKUP(I222,'SINAPI-comp'!$B:$H,3,0),VLOOKUP(I222,'SINAPI-insumo'!$B:$H,3,0)))</f>
        <v>H</v>
      </c>
      <c r="D222" s="690">
        <v>1</v>
      </c>
      <c r="E222" s="691" t="s">
        <v>15827</v>
      </c>
      <c r="F222" s="155">
        <f>IFERROR(VLOOKUP(I222,'SINAPI-comp'!$B:$H,4,0)-G222,0)</f>
        <v>41.43</v>
      </c>
      <c r="G222" s="156">
        <f>IF(H222="SINAPI",IFERROR(VLOOKUP(I222,'SINAPI-comp'!$B:$H,7,0),VLOOKUP(I222,'SINAPI-insumo'!$B:$H,7,0)))</f>
        <v>0</v>
      </c>
      <c r="H222" s="693" t="s">
        <v>53</v>
      </c>
      <c r="I222" s="694">
        <v>88321</v>
      </c>
      <c r="J222" s="695">
        <f>D222*F222</f>
        <v>41.43</v>
      </c>
      <c r="K222" s="695">
        <f>D222*G222</f>
        <v>0</v>
      </c>
    </row>
    <row r="223" spans="1:11" s="494" customFormat="1" x14ac:dyDescent="0.25">
      <c r="A223" s="688" t="s">
        <v>40</v>
      </c>
      <c r="B223" s="689" t="str">
        <f>VLOOKUP(I223,tabelas!$A:$L,4,0)</f>
        <v>Laboratório de asfalto</v>
      </c>
      <c r="C223" s="688" t="str">
        <f>VLOOKUP(I223,tabelas!$A:$L,5,0)</f>
        <v>MES</v>
      </c>
      <c r="D223" s="690">
        <f>TRUNC(D221/176*0.5,4)</f>
        <v>5.5999999999999999E-3</v>
      </c>
      <c r="E223" s="691"/>
      <c r="F223" s="692">
        <v>0</v>
      </c>
      <c r="G223" s="695">
        <f>VLOOKUP(I223,tabelas!$A:$L,12,0)</f>
        <v>5749.9</v>
      </c>
      <c r="H223" s="696" t="s">
        <v>42</v>
      </c>
      <c r="I223" s="694" t="s">
        <v>16432</v>
      </c>
      <c r="J223" s="695">
        <f>D223*F223</f>
        <v>0</v>
      </c>
      <c r="K223" s="695">
        <f>D223*G223</f>
        <v>32.199439999999996</v>
      </c>
    </row>
    <row r="224" spans="1:11" s="687" customFormat="1" x14ac:dyDescent="0.25">
      <c r="A224" s="522">
        <v>3</v>
      </c>
      <c r="B224" s="523" t="s">
        <v>15825</v>
      </c>
      <c r="C224" s="524"/>
      <c r="D224" s="682"/>
      <c r="E224" s="525"/>
      <c r="F224" s="683"/>
      <c r="G224" s="684"/>
      <c r="H224" s="685"/>
      <c r="I224" s="686"/>
      <c r="J224" s="684"/>
      <c r="K224" s="684"/>
    </row>
    <row r="225" spans="1:11" s="494" customFormat="1" x14ac:dyDescent="0.25">
      <c r="A225" s="688" t="s">
        <v>43</v>
      </c>
      <c r="B225" s="152" t="str">
        <f>IF(H225="SINAPI",IFERROR(VLOOKUP(I225,'SINAPI-comp'!$B:$H,2,0),VLOOKUP(I225,'SINAPI-insumo'!$B:$H,2,0)))</f>
        <v>AUXILIAR DE LABORATÓRIO COM ENCARGOS COMPLEMENTARES</v>
      </c>
      <c r="C225" s="151" t="str">
        <f>IF(H225="SINAPI",IFERROR(VLOOKUP(I225,'SINAPI-comp'!$B:$H,3,0),VLOOKUP(I225,'SINAPI-insumo'!$B:$H,3,0)))</f>
        <v>H</v>
      </c>
      <c r="D225" s="690">
        <v>7</v>
      </c>
      <c r="E225" s="691" t="s">
        <v>15826</v>
      </c>
      <c r="F225" s="155">
        <f>IFERROR(VLOOKUP(I225,'SINAPI-comp'!$B:$H,4,0)-G225,0)</f>
        <v>35.409999999999997</v>
      </c>
      <c r="G225" s="156">
        <f>IF(H225="SINAPI",IFERROR(VLOOKUP(I225,'SINAPI-comp'!$B:$H,7,0),VLOOKUP(I225,'SINAPI-insumo'!$B:$H,7,0)))</f>
        <v>0</v>
      </c>
      <c r="H225" s="693" t="s">
        <v>53</v>
      </c>
      <c r="I225" s="694">
        <v>88249</v>
      </c>
      <c r="J225" s="695">
        <f>D225*F225</f>
        <v>247.86999999999998</v>
      </c>
      <c r="K225" s="695">
        <f>D225*G225</f>
        <v>0</v>
      </c>
    </row>
    <row r="226" spans="1:11" s="494" customFormat="1" x14ac:dyDescent="0.25">
      <c r="A226" s="688" t="s">
        <v>45</v>
      </c>
      <c r="B226" s="152" t="str">
        <f>IF(H226="SINAPI",IFERROR(VLOOKUP(I226,'SINAPI-comp'!$B:$H,2,0),VLOOKUP(I226,'SINAPI-insumo'!$B:$H,2,0)))</f>
        <v>TÉCNICO DE LABORATÓRIO COM ENCARGOS COMPLEMENTARES</v>
      </c>
      <c r="C226" s="151" t="str">
        <f>IF(H226="SINAPI",IFERROR(VLOOKUP(I226,'SINAPI-comp'!$B:$H,3,0),VLOOKUP(I226,'SINAPI-insumo'!$B:$H,3,0)))</f>
        <v>H</v>
      </c>
      <c r="D226" s="690">
        <v>3.5</v>
      </c>
      <c r="E226" s="691" t="s">
        <v>15826</v>
      </c>
      <c r="F226" s="155">
        <f>IFERROR(VLOOKUP(I226,'SINAPI-comp'!$B:$H,4,0)-G226,0)</f>
        <v>41.43</v>
      </c>
      <c r="G226" s="156">
        <f>IF(H226="SINAPI",IFERROR(VLOOKUP(I226,'SINAPI-comp'!$B:$H,7,0),VLOOKUP(I226,'SINAPI-insumo'!$B:$H,7,0)))</f>
        <v>0</v>
      </c>
      <c r="H226" s="693" t="s">
        <v>53</v>
      </c>
      <c r="I226" s="694">
        <v>88321</v>
      </c>
      <c r="J226" s="695">
        <f>D226*F226</f>
        <v>145.005</v>
      </c>
      <c r="K226" s="695">
        <f>D226*G226</f>
        <v>0</v>
      </c>
    </row>
    <row r="227" spans="1:11" s="494" customFormat="1" x14ac:dyDescent="0.25">
      <c r="A227" s="688" t="s">
        <v>15623</v>
      </c>
      <c r="B227" s="689" t="str">
        <f>VLOOKUP(I227,tabelas!$A:$L,4,0)</f>
        <v>Laboratório de asfalto</v>
      </c>
      <c r="C227" s="688" t="str">
        <f>VLOOKUP(I227,tabelas!$A:$L,5,0)</f>
        <v>MES</v>
      </c>
      <c r="D227" s="690">
        <f>TRUNC(D225/176*0.5,4)</f>
        <v>1.9800000000000002E-2</v>
      </c>
      <c r="E227" s="691"/>
      <c r="F227" s="692">
        <v>0</v>
      </c>
      <c r="G227" s="695">
        <f>VLOOKUP(I227,tabelas!$A:$L,12,0)</f>
        <v>5749.9</v>
      </c>
      <c r="H227" s="696" t="s">
        <v>42</v>
      </c>
      <c r="I227" s="694" t="s">
        <v>16432</v>
      </c>
      <c r="J227" s="695">
        <f>D227*F227</f>
        <v>0</v>
      </c>
      <c r="K227" s="695">
        <f>D227*G227</f>
        <v>113.84802000000001</v>
      </c>
    </row>
    <row r="228" spans="1:11" s="494" customFormat="1" x14ac:dyDescent="0.25">
      <c r="H228" s="528"/>
      <c r="I228" s="528"/>
      <c r="J228" s="528"/>
    </row>
    <row r="229" spans="1:11" s="494" customFormat="1" x14ac:dyDescent="0.25">
      <c r="H229" s="528"/>
      <c r="I229" s="528"/>
      <c r="J229" s="528"/>
    </row>
    <row r="230" spans="1:11" s="494" customFormat="1" x14ac:dyDescent="0.25">
      <c r="A230" s="674" t="s">
        <v>131</v>
      </c>
      <c r="B230" s="674" t="s">
        <v>132</v>
      </c>
      <c r="C230" s="675"/>
      <c r="D230" s="511"/>
      <c r="E230" s="675"/>
      <c r="F230" s="675"/>
      <c r="G230" s="675"/>
      <c r="H230" s="676" t="s">
        <v>133</v>
      </c>
      <c r="I230" s="677"/>
      <c r="J230" s="512" t="s">
        <v>134</v>
      </c>
      <c r="K230" s="512" t="s">
        <v>15795</v>
      </c>
    </row>
    <row r="231" spans="1:11" s="681" customFormat="1" x14ac:dyDescent="0.25">
      <c r="A231" s="136" t="s">
        <v>15829</v>
      </c>
      <c r="B231" s="678" t="s">
        <v>15838</v>
      </c>
      <c r="C231" s="515"/>
      <c r="D231" s="679"/>
      <c r="E231" s="515"/>
      <c r="F231" s="515"/>
      <c r="G231" s="515"/>
      <c r="H231" s="518" t="s">
        <v>136</v>
      </c>
      <c r="I231" s="680"/>
      <c r="J231" s="520">
        <f>TRUNC(SUM(J233:J235),2)</f>
        <v>56.12</v>
      </c>
      <c r="K231" s="520">
        <f>TRUNC(SUM(K233:K235),2)</f>
        <v>16.09</v>
      </c>
    </row>
    <row r="232" spans="1:11" s="687" customFormat="1" ht="27.6" x14ac:dyDescent="0.25">
      <c r="A232" s="522" t="s">
        <v>137</v>
      </c>
      <c r="B232" s="523" t="s">
        <v>19</v>
      </c>
      <c r="C232" s="524" t="s">
        <v>20</v>
      </c>
      <c r="D232" s="682" t="s">
        <v>138</v>
      </c>
      <c r="E232" s="525" t="s">
        <v>139</v>
      </c>
      <c r="F232" s="683" t="s">
        <v>140</v>
      </c>
      <c r="G232" s="684" t="s">
        <v>15796</v>
      </c>
      <c r="H232" s="685" t="s">
        <v>142</v>
      </c>
      <c r="I232" s="686"/>
      <c r="J232" s="684" t="s">
        <v>143</v>
      </c>
      <c r="K232" s="684" t="s">
        <v>15797</v>
      </c>
    </row>
    <row r="233" spans="1:11" s="494" customFormat="1" x14ac:dyDescent="0.25">
      <c r="A233" s="688">
        <v>1</v>
      </c>
      <c r="B233" s="152" t="str">
        <f>IF(H233="SINAPI",IFERROR(VLOOKUP(I233,'SINAPI-comp'!$B:$H,2,0),VLOOKUP(I233,'SINAPI-insumo'!$B:$H,2,0)))</f>
        <v>AUXILIAR DE LABORATÓRIO COM ENCARGOS COMPLEMENTARES</v>
      </c>
      <c r="C233" s="151" t="str">
        <f>IF(H233="SINAPI",IFERROR(VLOOKUP(I233,'SINAPI-comp'!$B:$H,3,0),VLOOKUP(I233,'SINAPI-insumo'!$B:$H,3,0)))</f>
        <v>H</v>
      </c>
      <c r="D233" s="690">
        <v>1</v>
      </c>
      <c r="E233" s="699"/>
      <c r="F233" s="155">
        <f>IFERROR(VLOOKUP(I233,'SINAPI-comp'!$B:$H,4,0)-G233,0)</f>
        <v>35.409999999999997</v>
      </c>
      <c r="G233" s="156">
        <f>IF(H233="SINAPI",IFERROR(VLOOKUP(I233,'SINAPI-comp'!$B:$H,7,0),VLOOKUP(I233,'SINAPI-insumo'!$B:$H,7,0)))</f>
        <v>0</v>
      </c>
      <c r="H233" s="693" t="s">
        <v>53</v>
      </c>
      <c r="I233" s="694">
        <v>88249</v>
      </c>
      <c r="J233" s="695">
        <f>D233*F233</f>
        <v>35.409999999999997</v>
      </c>
      <c r="K233" s="695">
        <f>D233*G233</f>
        <v>0</v>
      </c>
    </row>
    <row r="234" spans="1:11" s="494" customFormat="1" x14ac:dyDescent="0.25">
      <c r="A234" s="688">
        <v>2</v>
      </c>
      <c r="B234" s="152" t="str">
        <f>IF(H234="SINAPI",IFERROR(VLOOKUP(I234,'SINAPI-comp'!$B:$H,2,0),VLOOKUP(I234,'SINAPI-insumo'!$B:$H,2,0)))</f>
        <v>TÉCNICO DE LABORATÓRIO COM ENCARGOS COMPLEMENTARES</v>
      </c>
      <c r="C234" s="151" t="str">
        <f>IF(H234="SINAPI",IFERROR(VLOOKUP(I234,'SINAPI-comp'!$B:$H,3,0),VLOOKUP(I234,'SINAPI-insumo'!$B:$H,3,0)))</f>
        <v>H</v>
      </c>
      <c r="D234" s="690">
        <v>0.5</v>
      </c>
      <c r="E234" s="699"/>
      <c r="F234" s="155">
        <f>IFERROR(VLOOKUP(I234,'SINAPI-comp'!$B:$H,4,0)-G234,0)</f>
        <v>41.43</v>
      </c>
      <c r="G234" s="156">
        <f>IF(H234="SINAPI",IFERROR(VLOOKUP(I234,'SINAPI-comp'!$B:$H,7,0),VLOOKUP(I234,'SINAPI-insumo'!$B:$H,7,0)))</f>
        <v>0</v>
      </c>
      <c r="H234" s="693" t="s">
        <v>53</v>
      </c>
      <c r="I234" s="694">
        <v>88321</v>
      </c>
      <c r="J234" s="695">
        <f>D234*F234</f>
        <v>20.715</v>
      </c>
      <c r="K234" s="695">
        <f>D234*G234</f>
        <v>0</v>
      </c>
    </row>
    <row r="235" spans="1:11" s="494" customFormat="1" x14ac:dyDescent="0.25">
      <c r="A235" s="688">
        <v>3</v>
      </c>
      <c r="B235" s="689" t="str">
        <f>VLOOKUP(I235,tabelas!$A:$L,4,0)</f>
        <v>Laboratório de asfalto</v>
      </c>
      <c r="C235" s="688" t="str">
        <f>VLOOKUP(I235,tabelas!$A:$L,5,0)</f>
        <v>MES</v>
      </c>
      <c r="D235" s="690">
        <f>TRUNC(D233/176*0.5,4)</f>
        <v>2.8E-3</v>
      </c>
      <c r="E235" s="691"/>
      <c r="F235" s="692">
        <v>0</v>
      </c>
      <c r="G235" s="695">
        <f>VLOOKUP(I235,tabelas!$A:$L,12,0)</f>
        <v>5749.9</v>
      </c>
      <c r="H235" s="696" t="s">
        <v>42</v>
      </c>
      <c r="I235" s="694" t="s">
        <v>16432</v>
      </c>
      <c r="J235" s="695">
        <f>D235*F235</f>
        <v>0</v>
      </c>
      <c r="K235" s="695">
        <f>D235*G235</f>
        <v>16.099719999999998</v>
      </c>
    </row>
    <row r="236" spans="1:11" s="494" customFormat="1" x14ac:dyDescent="0.25">
      <c r="H236" s="528"/>
      <c r="I236" s="528"/>
      <c r="J236" s="528"/>
    </row>
    <row r="237" spans="1:11" s="494" customFormat="1" x14ac:dyDescent="0.25">
      <c r="H237" s="528"/>
      <c r="I237" s="528"/>
      <c r="J237" s="528"/>
    </row>
    <row r="238" spans="1:11" s="494" customFormat="1" x14ac:dyDescent="0.25">
      <c r="A238" s="674" t="s">
        <v>131</v>
      </c>
      <c r="B238" s="674" t="s">
        <v>132</v>
      </c>
      <c r="C238" s="675"/>
      <c r="D238" s="511"/>
      <c r="E238" s="675"/>
      <c r="F238" s="675"/>
      <c r="G238" s="675"/>
      <c r="H238" s="676" t="s">
        <v>133</v>
      </c>
      <c r="I238" s="677"/>
      <c r="J238" s="512" t="s">
        <v>134</v>
      </c>
      <c r="K238" s="512" t="s">
        <v>15795</v>
      </c>
    </row>
    <row r="239" spans="1:11" s="681" customFormat="1" x14ac:dyDescent="0.25">
      <c r="A239" s="136" t="s">
        <v>15833</v>
      </c>
      <c r="B239" s="678" t="s">
        <v>15837</v>
      </c>
      <c r="C239" s="515"/>
      <c r="D239" s="679"/>
      <c r="E239" s="515"/>
      <c r="F239" s="515"/>
      <c r="G239" s="515"/>
      <c r="H239" s="518" t="s">
        <v>136</v>
      </c>
      <c r="I239" s="680"/>
      <c r="J239" s="520">
        <f>TRUNC(SUM(J241:J243),2)</f>
        <v>101.02</v>
      </c>
      <c r="K239" s="520">
        <f>TRUNC(SUM(K241:K243),2)</f>
        <v>25.58</v>
      </c>
    </row>
    <row r="240" spans="1:11" s="687" customFormat="1" ht="27.6" x14ac:dyDescent="0.25">
      <c r="A240" s="522" t="s">
        <v>137</v>
      </c>
      <c r="B240" s="523" t="s">
        <v>19</v>
      </c>
      <c r="C240" s="524" t="s">
        <v>20</v>
      </c>
      <c r="D240" s="682" t="s">
        <v>138</v>
      </c>
      <c r="E240" s="525" t="s">
        <v>139</v>
      </c>
      <c r="F240" s="683" t="s">
        <v>140</v>
      </c>
      <c r="G240" s="684" t="s">
        <v>15796</v>
      </c>
      <c r="H240" s="685" t="s">
        <v>142</v>
      </c>
      <c r="I240" s="686"/>
      <c r="J240" s="684" t="s">
        <v>143</v>
      </c>
      <c r="K240" s="684" t="s">
        <v>15797</v>
      </c>
    </row>
    <row r="241" spans="1:11" s="494" customFormat="1" x14ac:dyDescent="0.25">
      <c r="A241" s="688">
        <v>1</v>
      </c>
      <c r="B241" s="152" t="str">
        <f>IF(H241="SINAPI",IFERROR(VLOOKUP(I241,'SINAPI-comp'!$B:$H,2,0),VLOOKUP(I241,'SINAPI-insumo'!$B:$H,2,0)))</f>
        <v>AUXILIAR DE LABORATÓRIO COM ENCARGOS COMPLEMENTARES</v>
      </c>
      <c r="C241" s="151" t="str">
        <f>IF(H241="SINAPI",IFERROR(VLOOKUP(I241,'SINAPI-comp'!$B:$H,3,0),VLOOKUP(I241,'SINAPI-insumo'!$B:$H,3,0)))</f>
        <v>H</v>
      </c>
      <c r="D241" s="690">
        <v>1.8</v>
      </c>
      <c r="E241" s="691" t="s">
        <v>15822</v>
      </c>
      <c r="F241" s="155">
        <f>IFERROR(VLOOKUP(I241,'SINAPI-comp'!$B:$H,4,0)-G241,0)</f>
        <v>35.409999999999997</v>
      </c>
      <c r="G241" s="156">
        <f>IF(H241="SINAPI",IFERROR(VLOOKUP(I241,'SINAPI-comp'!$B:$H,7,0),VLOOKUP(I241,'SINAPI-insumo'!$B:$H,7,0)))</f>
        <v>0</v>
      </c>
      <c r="H241" s="693" t="s">
        <v>53</v>
      </c>
      <c r="I241" s="694">
        <v>88249</v>
      </c>
      <c r="J241" s="695">
        <f>D241*F241</f>
        <v>63.737999999999992</v>
      </c>
      <c r="K241" s="695">
        <f>D241*G241</f>
        <v>0</v>
      </c>
    </row>
    <row r="242" spans="1:11" s="494" customFormat="1" x14ac:dyDescent="0.25">
      <c r="A242" s="688">
        <v>2</v>
      </c>
      <c r="B242" s="152" t="str">
        <f>IF(H242="SINAPI",IFERROR(VLOOKUP(I242,'SINAPI-comp'!$B:$H,2,0),VLOOKUP(I242,'SINAPI-insumo'!$B:$H,2,0)))</f>
        <v>TÉCNICO DE LABORATÓRIO COM ENCARGOS COMPLEMENTARES</v>
      </c>
      <c r="C242" s="151" t="str">
        <f>IF(H242="SINAPI",IFERROR(VLOOKUP(I242,'SINAPI-comp'!$B:$H,3,0),VLOOKUP(I242,'SINAPI-insumo'!$B:$H,3,0)))</f>
        <v>H</v>
      </c>
      <c r="D242" s="690">
        <v>0.9</v>
      </c>
      <c r="E242" s="691" t="s">
        <v>15822</v>
      </c>
      <c r="F242" s="155">
        <f>IFERROR(VLOOKUP(I242,'SINAPI-comp'!$B:$H,4,0)-G242,0)</f>
        <v>41.43</v>
      </c>
      <c r="G242" s="156">
        <f>IF(H242="SINAPI",IFERROR(VLOOKUP(I242,'SINAPI-comp'!$B:$H,7,0),VLOOKUP(I242,'SINAPI-insumo'!$B:$H,7,0)))</f>
        <v>0</v>
      </c>
      <c r="H242" s="693" t="s">
        <v>53</v>
      </c>
      <c r="I242" s="694">
        <v>88321</v>
      </c>
      <c r="J242" s="695">
        <f>D242*F242</f>
        <v>37.286999999999999</v>
      </c>
      <c r="K242" s="695">
        <f>D242*G242</f>
        <v>0</v>
      </c>
    </row>
    <row r="243" spans="1:11" s="494" customFormat="1" x14ac:dyDescent="0.25">
      <c r="A243" s="688">
        <v>3</v>
      </c>
      <c r="B243" s="689" t="str">
        <f>VLOOKUP(I243,tabelas!$A:$L,4,0)</f>
        <v>Laboratório de concreto</v>
      </c>
      <c r="C243" s="688" t="str">
        <f>VLOOKUP(I243,tabelas!$A:$L,5,0)</f>
        <v>MES</v>
      </c>
      <c r="D243" s="690">
        <f>TRUNC(D241/176*0.5,4)</f>
        <v>5.1000000000000004E-3</v>
      </c>
      <c r="E243" s="691"/>
      <c r="F243" s="692">
        <v>0</v>
      </c>
      <c r="G243" s="695">
        <f>VLOOKUP(I243,tabelas!$A:$L,12,0)</f>
        <v>5016.59</v>
      </c>
      <c r="H243" s="696" t="s">
        <v>42</v>
      </c>
      <c r="I243" s="694" t="s">
        <v>16433</v>
      </c>
      <c r="J243" s="695">
        <f>D243*F243</f>
        <v>0</v>
      </c>
      <c r="K243" s="695">
        <f>D243*G243</f>
        <v>25.584609000000004</v>
      </c>
    </row>
    <row r="244" spans="1:11" s="494" customFormat="1" x14ac:dyDescent="0.25">
      <c r="H244" s="528"/>
      <c r="I244" s="528"/>
      <c r="J244" s="528"/>
    </row>
    <row r="245" spans="1:11" s="494" customFormat="1" x14ac:dyDescent="0.25">
      <c r="H245" s="528"/>
      <c r="I245" s="528"/>
      <c r="J245" s="528"/>
    </row>
    <row r="246" spans="1:11" s="494" customFormat="1" x14ac:dyDescent="0.25">
      <c r="A246" s="674" t="s">
        <v>131</v>
      </c>
      <c r="B246" s="674" t="s">
        <v>132</v>
      </c>
      <c r="C246" s="675"/>
      <c r="D246" s="511"/>
      <c r="E246" s="675"/>
      <c r="F246" s="675"/>
      <c r="G246" s="675"/>
      <c r="H246" s="676" t="s">
        <v>133</v>
      </c>
      <c r="I246" s="677"/>
      <c r="J246" s="512" t="s">
        <v>134</v>
      </c>
      <c r="K246" s="512" t="s">
        <v>15795</v>
      </c>
    </row>
    <row r="247" spans="1:11" s="681" customFormat="1" x14ac:dyDescent="0.25">
      <c r="A247" s="136" t="s">
        <v>15832</v>
      </c>
      <c r="B247" s="678" t="s">
        <v>15836</v>
      </c>
      <c r="C247" s="515"/>
      <c r="D247" s="679"/>
      <c r="E247" s="515"/>
      <c r="F247" s="515"/>
      <c r="G247" s="515"/>
      <c r="H247" s="518" t="s">
        <v>136</v>
      </c>
      <c r="I247" s="680"/>
      <c r="J247" s="520">
        <f>TRUNC(SUM(J249:J251),2)</f>
        <v>46.1</v>
      </c>
      <c r="K247" s="520">
        <f>TRUNC(SUM(K249:K251),2)</f>
        <v>11.29</v>
      </c>
    </row>
    <row r="248" spans="1:11" s="687" customFormat="1" ht="27.6" x14ac:dyDescent="0.25">
      <c r="A248" s="522" t="s">
        <v>137</v>
      </c>
      <c r="B248" s="523" t="s">
        <v>19</v>
      </c>
      <c r="C248" s="524" t="s">
        <v>20</v>
      </c>
      <c r="D248" s="682" t="s">
        <v>138</v>
      </c>
      <c r="E248" s="525" t="s">
        <v>139</v>
      </c>
      <c r="F248" s="683" t="s">
        <v>140</v>
      </c>
      <c r="G248" s="684" t="s">
        <v>15796</v>
      </c>
      <c r="H248" s="685" t="s">
        <v>142</v>
      </c>
      <c r="I248" s="686"/>
      <c r="J248" s="684" t="s">
        <v>143</v>
      </c>
      <c r="K248" s="684" t="s">
        <v>15797</v>
      </c>
    </row>
    <row r="249" spans="1:11" s="494" customFormat="1" x14ac:dyDescent="0.25">
      <c r="A249" s="688">
        <v>1</v>
      </c>
      <c r="B249" s="152" t="str">
        <f>IF(H249="SINAPI",IFERROR(VLOOKUP(I249,'SINAPI-comp'!$B:$H,2,0),VLOOKUP(I249,'SINAPI-insumo'!$B:$H,2,0)))</f>
        <v>AUXILIAR DE LABORATÓRIO COM ENCARGOS COMPLEMENTARES</v>
      </c>
      <c r="C249" s="151" t="str">
        <f>IF(H249="SINAPI",IFERROR(VLOOKUP(I249,'SINAPI-comp'!$B:$H,3,0),VLOOKUP(I249,'SINAPI-insumo'!$B:$H,3,0)))</f>
        <v>H</v>
      </c>
      <c r="D249" s="690">
        <v>0.6</v>
      </c>
      <c r="E249" s="691"/>
      <c r="F249" s="155">
        <f>IFERROR(VLOOKUP(I249,'SINAPI-comp'!$B:$H,4,0)-G249,0)</f>
        <v>35.409999999999997</v>
      </c>
      <c r="G249" s="156">
        <f>IF(H249="SINAPI",IFERROR(VLOOKUP(I249,'SINAPI-comp'!$B:$H,7,0),VLOOKUP(I249,'SINAPI-insumo'!$B:$H,7,0)))</f>
        <v>0</v>
      </c>
      <c r="H249" s="693" t="s">
        <v>53</v>
      </c>
      <c r="I249" s="694">
        <v>88249</v>
      </c>
      <c r="J249" s="695">
        <f>D249*F249</f>
        <v>21.245999999999999</v>
      </c>
      <c r="K249" s="695">
        <f>D249*G249</f>
        <v>0</v>
      </c>
    </row>
    <row r="250" spans="1:11" s="494" customFormat="1" x14ac:dyDescent="0.25">
      <c r="A250" s="688">
        <v>2</v>
      </c>
      <c r="B250" s="152" t="str">
        <f>IF(H250="SINAPI",IFERROR(VLOOKUP(I250,'SINAPI-comp'!$B:$H,2,0),VLOOKUP(I250,'SINAPI-insumo'!$B:$H,2,0)))</f>
        <v>TÉCNICO DE LABORATÓRIO COM ENCARGOS COMPLEMENTARES</v>
      </c>
      <c r="C250" s="151" t="str">
        <f>IF(H250="SINAPI",IFERROR(VLOOKUP(I250,'SINAPI-comp'!$B:$H,3,0),VLOOKUP(I250,'SINAPI-insumo'!$B:$H,3,0)))</f>
        <v>H</v>
      </c>
      <c r="D250" s="690">
        <v>0.6</v>
      </c>
      <c r="E250" s="691"/>
      <c r="F250" s="155">
        <f>IFERROR(VLOOKUP(I250,'SINAPI-comp'!$B:$H,4,0)-G250,0)</f>
        <v>41.43</v>
      </c>
      <c r="G250" s="156">
        <f>IF(H250="SINAPI",IFERROR(VLOOKUP(I250,'SINAPI-comp'!$B:$H,7,0),VLOOKUP(I250,'SINAPI-insumo'!$B:$H,7,0)))</f>
        <v>0</v>
      </c>
      <c r="H250" s="693" t="s">
        <v>53</v>
      </c>
      <c r="I250" s="694">
        <v>88321</v>
      </c>
      <c r="J250" s="695">
        <f>D250*F250</f>
        <v>24.858000000000001</v>
      </c>
      <c r="K250" s="695">
        <f>D250*G250</f>
        <v>0</v>
      </c>
    </row>
    <row r="251" spans="1:11" s="494" customFormat="1" x14ac:dyDescent="0.25">
      <c r="A251" s="688">
        <v>3</v>
      </c>
      <c r="B251" s="689" t="str">
        <f>VLOOKUP(I251,tabelas!$A:$L,4,0)</f>
        <v>VEÍCULO LEVE - 53 KW (SEM MOTORISTA)</v>
      </c>
      <c r="C251" s="688" t="str">
        <f>VLOOKUP(I251,tabelas!$A:$L,5,0)</f>
        <v>CHP</v>
      </c>
      <c r="D251" s="690">
        <v>0.3</v>
      </c>
      <c r="E251" s="691"/>
      <c r="F251" s="692">
        <v>0</v>
      </c>
      <c r="G251" s="695">
        <f>VLOOKUP(I251,tabelas!$A:$L,12,0)</f>
        <v>37.64</v>
      </c>
      <c r="H251" s="696" t="s">
        <v>42</v>
      </c>
      <c r="I251" s="694" t="s">
        <v>15537</v>
      </c>
      <c r="J251" s="695">
        <f>D251*F251</f>
        <v>0</v>
      </c>
      <c r="K251" s="695">
        <f>D251*G251</f>
        <v>11.292</v>
      </c>
    </row>
    <row r="252" spans="1:11" s="494" customFormat="1" x14ac:dyDescent="0.25">
      <c r="H252" s="528"/>
      <c r="I252" s="528"/>
      <c r="J252" s="528"/>
    </row>
    <row r="253" spans="1:11" s="494" customFormat="1" x14ac:dyDescent="0.25">
      <c r="H253" s="528"/>
      <c r="I253" s="528"/>
      <c r="J253" s="528"/>
    </row>
    <row r="254" spans="1:11" s="494" customFormat="1" x14ac:dyDescent="0.25">
      <c r="A254" s="674" t="s">
        <v>131</v>
      </c>
      <c r="B254" s="674" t="s">
        <v>132</v>
      </c>
      <c r="C254" s="675"/>
      <c r="D254" s="511"/>
      <c r="E254" s="675"/>
      <c r="F254" s="675"/>
      <c r="G254" s="675"/>
      <c r="H254" s="676" t="s">
        <v>133</v>
      </c>
      <c r="I254" s="677"/>
      <c r="J254" s="512" t="s">
        <v>134</v>
      </c>
      <c r="K254" s="512" t="s">
        <v>15795</v>
      </c>
    </row>
    <row r="255" spans="1:11" x14ac:dyDescent="0.3">
      <c r="A255" s="136" t="s">
        <v>46</v>
      </c>
      <c r="B255" s="137" t="s">
        <v>169</v>
      </c>
      <c r="C255" s="173"/>
      <c r="D255" s="174"/>
      <c r="E255" s="138"/>
      <c r="F255" s="140"/>
      <c r="G255" s="140"/>
      <c r="H255" s="141" t="s">
        <v>136</v>
      </c>
      <c r="I255" s="175"/>
      <c r="J255" s="143">
        <f>TRUNC(SUM(J257:J258),2)</f>
        <v>92.37</v>
      </c>
      <c r="K255" s="143">
        <f>TRUNC(SUM(K257:K258),2)</f>
        <v>536.26</v>
      </c>
    </row>
    <row r="256" spans="1:11" ht="27.6" x14ac:dyDescent="0.3">
      <c r="A256" s="176" t="s">
        <v>137</v>
      </c>
      <c r="B256" s="144" t="s">
        <v>19</v>
      </c>
      <c r="C256" s="145" t="s">
        <v>20</v>
      </c>
      <c r="D256" s="146" t="s">
        <v>138</v>
      </c>
      <c r="E256" s="147" t="s">
        <v>139</v>
      </c>
      <c r="F256" s="148" t="s">
        <v>140</v>
      </c>
      <c r="G256" s="148" t="s">
        <v>141</v>
      </c>
      <c r="H256" s="149" t="s">
        <v>142</v>
      </c>
      <c r="I256" s="150"/>
      <c r="J256" s="148" t="s">
        <v>143</v>
      </c>
      <c r="K256" s="148" t="s">
        <v>144</v>
      </c>
    </row>
    <row r="257" spans="1:11" ht="55.2" x14ac:dyDescent="0.3">
      <c r="A257" s="161">
        <v>1</v>
      </c>
      <c r="B257" s="152" t="str">
        <f>IF(H257="SINAPI",IFERROR(VLOOKUP(I257,'SINAPI-comp'!$B:$H,2,0),VLOOKUP(I257,'SINAPI-insumo'!$B:$H,2,0)))</f>
        <v>GUINDAUTO HIDRÁULICO, CAPACIDADE MÁXIMA DE CARGA 6200 KG, MOMENTO MÁXIMO DE CARGA 11,7 TM, ALCANCE MÁXIMO HORIZONTAL 9,70 M, INCLUSIVE CAMINHÃO TOCO PBT 16.000 KG, POTÊNCIA DE 189 CV - CHP DIURNO. AF_06/2014</v>
      </c>
      <c r="C257" s="151" t="str">
        <f>IF(H257="SINAPI",IFERROR(VLOOKUP(I257,'SINAPI-comp'!$B:$H,3,0),VLOOKUP(I257,'SINAPI-insumo'!$B:$H,3,0)))</f>
        <v>CHP</v>
      </c>
      <c r="D257" s="153">
        <v>2</v>
      </c>
      <c r="E257" s="164"/>
      <c r="F257" s="155">
        <f>IFERROR(VLOOKUP(I257,'SINAPI-comp'!$B:$H,4,0)-G257,0)</f>
        <v>33.28000000000003</v>
      </c>
      <c r="G257" s="156">
        <f>IF(H257="SINAPI",IFERROR(VLOOKUP(I257,'SINAPI-comp'!$B:$H,7,0),VLOOKUP(I257,'SINAPI-insumo'!$B:$H,7,0)))</f>
        <v>268.13</v>
      </c>
      <c r="H257" s="168" t="s">
        <v>53</v>
      </c>
      <c r="I257" s="158">
        <v>5928</v>
      </c>
      <c r="J257" s="159">
        <f>TRUNC($D257*F257,4)</f>
        <v>66.56</v>
      </c>
      <c r="K257" s="159">
        <f>TRUNC($D257*G257,4)</f>
        <v>536.26</v>
      </c>
    </row>
    <row r="258" spans="1:11" x14ac:dyDescent="0.3">
      <c r="A258" s="161">
        <v>2</v>
      </c>
      <c r="B258" s="152" t="str">
        <f>IF(H258="SINAPI",IFERROR(VLOOKUP(I258,'SINAPI-comp'!$B:$H,2,0),VLOOKUP(I258,'SINAPI-insumo'!$B:$H,2,0)))</f>
        <v>SERVENTE COM ENCARGOS COMPLEMENTARES</v>
      </c>
      <c r="C258" s="151" t="str">
        <f>IF(H258="SINAPI",IFERROR(VLOOKUP(I258,'SINAPI-comp'!$B:$H,3,0),VLOOKUP(I258,'SINAPI-insumo'!$B:$H,3,0)))</f>
        <v>H</v>
      </c>
      <c r="D258" s="153">
        <v>1</v>
      </c>
      <c r="E258" s="164"/>
      <c r="F258" s="155">
        <f>IFERROR(VLOOKUP(I258,'SINAPI-comp'!$B:$H,4,0)-G258,0)</f>
        <v>25.81</v>
      </c>
      <c r="G258" s="156">
        <f>IF(H258="SINAPI",IFERROR(VLOOKUP(I258,'SINAPI-comp'!$B:$H,7,0),VLOOKUP(I258,'SINAPI-insumo'!$B:$H,7,0)))</f>
        <v>0</v>
      </c>
      <c r="H258" s="168" t="s">
        <v>53</v>
      </c>
      <c r="I258" s="158">
        <v>88316</v>
      </c>
      <c r="J258" s="159">
        <f>TRUNC($D258*F258,4)</f>
        <v>25.81</v>
      </c>
      <c r="K258" s="159">
        <f>TRUNC($D258*G258,4)</f>
        <v>0</v>
      </c>
    </row>
    <row r="261" spans="1:11" s="494" customFormat="1" x14ac:dyDescent="0.25">
      <c r="A261" s="674" t="s">
        <v>131</v>
      </c>
      <c r="B261" s="674" t="s">
        <v>132</v>
      </c>
      <c r="C261" s="675"/>
      <c r="D261" s="511"/>
      <c r="E261" s="675"/>
      <c r="F261" s="675"/>
      <c r="G261" s="675"/>
      <c r="H261" s="676" t="s">
        <v>133</v>
      </c>
      <c r="I261" s="677"/>
      <c r="J261" s="512" t="s">
        <v>134</v>
      </c>
      <c r="K261" s="512" t="s">
        <v>15795</v>
      </c>
    </row>
    <row r="262" spans="1:11" x14ac:dyDescent="0.3">
      <c r="A262" s="136" t="s">
        <v>15529</v>
      </c>
      <c r="B262" s="137" t="s">
        <v>210</v>
      </c>
      <c r="C262" s="173"/>
      <c r="D262" s="174"/>
      <c r="E262" s="138"/>
      <c r="F262" s="140"/>
      <c r="G262" s="140"/>
      <c r="H262" s="141" t="s">
        <v>136</v>
      </c>
      <c r="I262" s="175"/>
      <c r="J262" s="143">
        <f>TRUNC(SUM(J264:J265),2)</f>
        <v>2.58</v>
      </c>
      <c r="K262" s="143">
        <f>TRUNC(SUM(K264:K265),2)</f>
        <v>123.29</v>
      </c>
    </row>
    <row r="263" spans="1:11" s="687" customFormat="1" ht="27.6" x14ac:dyDescent="0.25">
      <c r="A263" s="522" t="s">
        <v>137</v>
      </c>
      <c r="B263" s="523" t="s">
        <v>19</v>
      </c>
      <c r="C263" s="524" t="s">
        <v>20</v>
      </c>
      <c r="D263" s="682" t="s">
        <v>138</v>
      </c>
      <c r="E263" s="525" t="s">
        <v>139</v>
      </c>
      <c r="F263" s="683" t="s">
        <v>140</v>
      </c>
      <c r="G263" s="684" t="s">
        <v>15796</v>
      </c>
      <c r="H263" s="685" t="s">
        <v>142</v>
      </c>
      <c r="I263" s="686"/>
      <c r="J263" s="684" t="s">
        <v>143</v>
      </c>
      <c r="K263" s="684" t="s">
        <v>15797</v>
      </c>
    </row>
    <row r="264" spans="1:11" x14ac:dyDescent="0.3">
      <c r="A264" s="161">
        <v>1</v>
      </c>
      <c r="B264" s="160" t="str">
        <f>IF(OR(H264="SINAPI",H264="SINAPI-I"),IFERROR(VLOOKUP(I264,'SINAPI-comp'!$B:$H,2,0),VLOOKUP(I264,'SINAPI-insumo'!$B:$H,2,0)))</f>
        <v>CONE DE SINALIZACAO EM PVC FLEXIVEL, H = 70 / 76 CM (NBR 15071)</v>
      </c>
      <c r="C264" s="151" t="str">
        <f>IF(OR(H264="SINAPI",H264="SINAPI-I"),IFERROR(VLOOKUP(I264,'SINAPI-comp'!$B:$H,3,0),VLOOKUP(I264,'SINAPI-insumo'!$B:$H,3,0)))</f>
        <v>UN</v>
      </c>
      <c r="D264" s="153">
        <v>1</v>
      </c>
      <c r="E264" s="164"/>
      <c r="F264" s="155">
        <f>IFERROR(VLOOKUP(I264,'SINAPI-comp'!$B:$H,4,0)-G264,0)</f>
        <v>0</v>
      </c>
      <c r="G264" s="156">
        <f>IF(OR(H264="SINAPI",H264="SINAPI-I"),IFERROR(VLOOKUP(I264,'SINAPI-comp'!$B:$H,7,0),VLOOKUP(I264,'SINAPI-insumo'!$B:$H,7,0)))</f>
        <v>123.29</v>
      </c>
      <c r="H264" s="168" t="s">
        <v>149</v>
      </c>
      <c r="I264" s="158">
        <v>34498</v>
      </c>
      <c r="J264" s="159">
        <f>TRUNC($D264*F264,4)</f>
        <v>0</v>
      </c>
      <c r="K264" s="159">
        <f>TRUNC($D264*G264,4)</f>
        <v>123.29</v>
      </c>
    </row>
    <row r="265" spans="1:11" x14ac:dyDescent="0.3">
      <c r="A265" s="161">
        <v>2</v>
      </c>
      <c r="B265" s="152" t="str">
        <f>IF(H265="SINAPI",IFERROR(VLOOKUP(I265,'SINAPI-comp'!$B:$H,2,0),VLOOKUP(I265,'SINAPI-insumo'!$B:$H,2,0)))</f>
        <v>SERVENTE COM ENCARGOS COMPLEMENTARES</v>
      </c>
      <c r="C265" s="151" t="str">
        <f>IF(H265="SINAPI",IFERROR(VLOOKUP(I265,'SINAPI-comp'!$B:$H,3,0),VLOOKUP(I265,'SINAPI-insumo'!$B:$H,3,0)))</f>
        <v>H</v>
      </c>
      <c r="D265" s="153">
        <v>0.1</v>
      </c>
      <c r="E265" s="164"/>
      <c r="F265" s="155">
        <f>IFERROR(VLOOKUP(I265,'SINAPI-comp'!$B:$H,4,0)-G265,0)</f>
        <v>25.81</v>
      </c>
      <c r="G265" s="156">
        <f>IF(H265="SINAPI",IFERROR(VLOOKUP(I265,'SINAPI-comp'!$B:$H,7,0),VLOOKUP(I265,'SINAPI-insumo'!$B:$H,7,0)))</f>
        <v>0</v>
      </c>
      <c r="H265" s="168" t="s">
        <v>53</v>
      </c>
      <c r="I265" s="158">
        <v>88316</v>
      </c>
      <c r="J265" s="159">
        <f>TRUNC($D265*F265,4)</f>
        <v>2.581</v>
      </c>
      <c r="K265" s="159">
        <f>TRUNC($D265*G265,4)</f>
        <v>0</v>
      </c>
    </row>
    <row r="268" spans="1:11" s="494" customFormat="1" x14ac:dyDescent="0.25">
      <c r="A268" s="674" t="s">
        <v>131</v>
      </c>
      <c r="B268" s="674" t="s">
        <v>132</v>
      </c>
      <c r="C268" s="675"/>
      <c r="D268" s="511"/>
      <c r="E268" s="675"/>
      <c r="F268" s="675"/>
      <c r="G268" s="675"/>
      <c r="H268" s="676" t="s">
        <v>133</v>
      </c>
      <c r="I268" s="677"/>
      <c r="J268" s="512" t="s">
        <v>134</v>
      </c>
      <c r="K268" s="512" t="s">
        <v>15795</v>
      </c>
    </row>
    <row r="269" spans="1:11" x14ac:dyDescent="0.3">
      <c r="A269" s="136" t="s">
        <v>15548</v>
      </c>
      <c r="B269" s="137" t="s">
        <v>158</v>
      </c>
      <c r="C269" s="173"/>
      <c r="D269" s="174"/>
      <c r="E269" s="138"/>
      <c r="F269" s="140"/>
      <c r="G269" s="140"/>
      <c r="H269" s="141" t="s">
        <v>159</v>
      </c>
      <c r="I269" s="175"/>
      <c r="J269" s="143">
        <f>TRUNC(SUM(J271:J274),2)</f>
        <v>7.84</v>
      </c>
      <c r="K269" s="143">
        <f>TRUNC(SUM(K271:K274),2)</f>
        <v>10.79</v>
      </c>
    </row>
    <row r="270" spans="1:11" s="687" customFormat="1" ht="27.6" x14ac:dyDescent="0.25">
      <c r="A270" s="522" t="s">
        <v>137</v>
      </c>
      <c r="B270" s="523" t="s">
        <v>19</v>
      </c>
      <c r="C270" s="524" t="s">
        <v>20</v>
      </c>
      <c r="D270" s="682" t="s">
        <v>138</v>
      </c>
      <c r="E270" s="525" t="s">
        <v>139</v>
      </c>
      <c r="F270" s="683" t="s">
        <v>140</v>
      </c>
      <c r="G270" s="684" t="s">
        <v>15796</v>
      </c>
      <c r="H270" s="685" t="s">
        <v>142</v>
      </c>
      <c r="I270" s="686"/>
      <c r="J270" s="684" t="s">
        <v>143</v>
      </c>
      <c r="K270" s="684" t="s">
        <v>15797</v>
      </c>
    </row>
    <row r="271" spans="1:11" x14ac:dyDescent="0.3">
      <c r="A271" s="161">
        <v>1</v>
      </c>
      <c r="B271" s="152" t="str">
        <f>IF(H271="SINAPI",IFERROR(VLOOKUP(I271,'SINAPI-comp'!$B:$H,2,0),VLOOKUP(I271,'SINAPI-insumo'!$B:$H,2,0)))</f>
        <v>SERVENTE COM ENCARGOS COMPLEMENTARES</v>
      </c>
      <c r="C271" s="151" t="str">
        <f>IF(H271="SINAPI",IFERROR(VLOOKUP(I271,'SINAPI-comp'!$B:$H,3,0),VLOOKUP(I271,'SINAPI-insumo'!$B:$H,3,0)))</f>
        <v>H</v>
      </c>
      <c r="D271" s="153">
        <v>0.2525</v>
      </c>
      <c r="E271" s="164" t="s">
        <v>160</v>
      </c>
      <c r="F271" s="155">
        <f>IFERROR(VLOOKUP(I271,'SINAPI-comp'!$B:$H,4,0)-G271,0)</f>
        <v>25.81</v>
      </c>
      <c r="G271" s="156">
        <f>IF(H271="SINAPI",IFERROR(VLOOKUP(I271,'SINAPI-comp'!$B:$H,7,0),VLOOKUP(I271,'SINAPI-insumo'!$B:$H,7,0)))</f>
        <v>0</v>
      </c>
      <c r="H271" s="168" t="s">
        <v>53</v>
      </c>
      <c r="I271" s="158">
        <v>88316</v>
      </c>
      <c r="J271" s="159">
        <f t="shared" ref="J271:K274" si="16">TRUNC($D271*F271,4)</f>
        <v>6.5170000000000003</v>
      </c>
      <c r="K271" s="159">
        <f t="shared" si="16"/>
        <v>0</v>
      </c>
    </row>
    <row r="272" spans="1:11" ht="27.6" x14ac:dyDescent="0.3">
      <c r="A272" s="161">
        <v>2</v>
      </c>
      <c r="B272" s="160" t="str">
        <f>IF(OR(H272="SINAPI",H272="SINAPI-I"),IFERROR(VLOOKUP(I272,'SINAPI-comp'!$B:$H,2,0),VLOOKUP(I272,'SINAPI-insumo'!$B:$H,2,0)))</f>
        <v>TELA PLASTICA LARANJA, TIPO TAPUME PARA SINALIZACAO, MALHA RETANGULAR, ROLO 1.20 X 50 M (L X C)</v>
      </c>
      <c r="C272" s="151" t="str">
        <f>IF(OR(H272="SINAPI",H272="SINAPI-I"),IFERROR(VLOOKUP(I272,'SINAPI-comp'!$B:$H,3,0),VLOOKUP(I272,'SINAPI-insumo'!$B:$H,3,0)))</f>
        <v>M</v>
      </c>
      <c r="D272" s="153">
        <v>1.05</v>
      </c>
      <c r="E272" s="164"/>
      <c r="F272" s="155">
        <f>IFERROR(VLOOKUP(I272,'SINAPI-comp'!$B:$H,4,0)-G272,0)</f>
        <v>0</v>
      </c>
      <c r="G272" s="156">
        <f>IF(OR(H272="SINAPI",H272="SINAPI-I"),IFERROR(VLOOKUP(I272,'SINAPI-comp'!$B:$H,7,0),VLOOKUP(I272,'SINAPI-insumo'!$B:$H,7,0)))</f>
        <v>3.3</v>
      </c>
      <c r="H272" s="157" t="s">
        <v>149</v>
      </c>
      <c r="I272" s="158">
        <v>37524</v>
      </c>
      <c r="J272" s="159">
        <f t="shared" si="16"/>
        <v>0</v>
      </c>
      <c r="K272" s="159">
        <f t="shared" si="16"/>
        <v>3.4649999999999999</v>
      </c>
    </row>
    <row r="273" spans="1:11" ht="27.6" x14ac:dyDescent="0.3">
      <c r="A273" s="161">
        <v>3</v>
      </c>
      <c r="B273" s="160" t="str">
        <f>IF(OR(H273="SINAPI",H273="SINAPI-I"),IFERROR(VLOOKUP(I273,'SINAPI-comp'!$B:$H,2,0),VLOOKUP(I273,'SINAPI-insumo'!$B:$H,2,0)))</f>
        <v>CAIBRO 5 X 5 CM EM PINUS, MISTA OU EQUIVALENTE DA REGIAO - BRUTA</v>
      </c>
      <c r="C273" s="151" t="str">
        <f>IF(OR(H273="SINAPI",H273="SINAPI-I"),IFERROR(VLOOKUP(I273,'SINAPI-comp'!$B:$H,3,0),VLOOKUP(I273,'SINAPI-insumo'!$B:$H,3,0)))</f>
        <v>M</v>
      </c>
      <c r="D273" s="153">
        <f>1.2/2</f>
        <v>0.6</v>
      </c>
      <c r="E273" s="164" t="s">
        <v>161</v>
      </c>
      <c r="F273" s="155">
        <f>IFERROR(VLOOKUP(I273,'SINAPI-comp'!$B:$H,4,0)-G273,0)</f>
        <v>0</v>
      </c>
      <c r="G273" s="156">
        <f>IF(OR(H273="SINAPI",H273="SINAPI-I"),IFERROR(VLOOKUP(I273,'SINAPI-comp'!$B:$H,7,0),VLOOKUP(I273,'SINAPI-insumo'!$B:$H,7,0)))</f>
        <v>5.03</v>
      </c>
      <c r="H273" s="157" t="s">
        <v>149</v>
      </c>
      <c r="I273" s="158">
        <v>4513</v>
      </c>
      <c r="J273" s="159">
        <f t="shared" si="16"/>
        <v>0</v>
      </c>
      <c r="K273" s="159">
        <f t="shared" si="16"/>
        <v>3.0179999999999998</v>
      </c>
    </row>
    <row r="274" spans="1:11" ht="41.4" x14ac:dyDescent="0.3">
      <c r="A274" s="179">
        <v>4</v>
      </c>
      <c r="B274" s="152" t="str">
        <f>IF(H274="SINAPI",IFERROR(VLOOKUP(I274,'SINAPI-comp'!$B:$H,2,0),VLOOKUP(I274,'SINAPI-insumo'!$B:$H,2,0)))</f>
        <v>CONCRETO MAGRO PARA LASTRO, TRAÇO 1:4,5:4,5 (EM MASSA SECA DE CIMENTO/ AREIA MÉDIA/ BRITA 1) - PREPARO MECÂNICO COM BETONEIRA 400 L. AF_05/2021</v>
      </c>
      <c r="C274" s="151" t="str">
        <f>IF(H274="SINAPI",IFERROR(VLOOKUP(I274,'SINAPI-comp'!$B:$H,3,0),VLOOKUP(I274,'SINAPI-insumo'!$B:$H,3,0)))</f>
        <v>M3</v>
      </c>
      <c r="D274" s="153">
        <f>0.25*0.25*0.2</f>
        <v>1.2500000000000001E-2</v>
      </c>
      <c r="E274" s="180" t="s">
        <v>162</v>
      </c>
      <c r="F274" s="155">
        <f>IFERROR(VLOOKUP(I274,'SINAPI-comp'!$B:$H,4,0)-G274,0)</f>
        <v>106.62</v>
      </c>
      <c r="G274" s="156">
        <f>IF(H274="SINAPI",IFERROR(VLOOKUP(I274,'SINAPI-comp'!$B:$H,7,0),VLOOKUP(I274,'SINAPI-insumo'!$B:$H,7,0)))</f>
        <v>344.96</v>
      </c>
      <c r="H274" s="181" t="s">
        <v>53</v>
      </c>
      <c r="I274" s="182">
        <v>94962</v>
      </c>
      <c r="J274" s="183">
        <f t="shared" si="16"/>
        <v>1.3327</v>
      </c>
      <c r="K274" s="183">
        <f t="shared" si="16"/>
        <v>4.3120000000000003</v>
      </c>
    </row>
    <row r="277" spans="1:11" s="494" customFormat="1" x14ac:dyDescent="0.25">
      <c r="A277" s="674" t="s">
        <v>131</v>
      </c>
      <c r="B277" s="674" t="s">
        <v>132</v>
      </c>
      <c r="C277" s="675"/>
      <c r="D277" s="511"/>
      <c r="E277" s="675"/>
      <c r="F277" s="675"/>
      <c r="G277" s="675"/>
      <c r="H277" s="676" t="s">
        <v>133</v>
      </c>
      <c r="I277" s="677"/>
      <c r="J277" s="512" t="s">
        <v>134</v>
      </c>
      <c r="K277" s="512" t="s">
        <v>15795</v>
      </c>
    </row>
    <row r="278" spans="1:11" x14ac:dyDescent="0.3">
      <c r="A278" s="136" t="s">
        <v>15549</v>
      </c>
      <c r="B278" s="137" t="s">
        <v>163</v>
      </c>
      <c r="C278" s="173"/>
      <c r="D278" s="174"/>
      <c r="E278" s="138"/>
      <c r="F278" s="140"/>
      <c r="G278" s="140"/>
      <c r="H278" s="141" t="s">
        <v>136</v>
      </c>
      <c r="I278" s="175"/>
      <c r="J278" s="143">
        <f>TRUNC(SUM(J280:J281),2)</f>
        <v>5.04</v>
      </c>
      <c r="K278" s="143">
        <f>TRUNC(SUM(K280:K281),2)</f>
        <v>199.33</v>
      </c>
    </row>
    <row r="279" spans="1:11" s="687" customFormat="1" ht="27.6" x14ac:dyDescent="0.25">
      <c r="A279" s="522" t="s">
        <v>137</v>
      </c>
      <c r="B279" s="523" t="s">
        <v>19</v>
      </c>
      <c r="C279" s="524" t="s">
        <v>20</v>
      </c>
      <c r="D279" s="682" t="s">
        <v>138</v>
      </c>
      <c r="E279" s="525" t="s">
        <v>139</v>
      </c>
      <c r="F279" s="683" t="s">
        <v>140</v>
      </c>
      <c r="G279" s="684" t="s">
        <v>15796</v>
      </c>
      <c r="H279" s="685" t="s">
        <v>142</v>
      </c>
      <c r="I279" s="686"/>
      <c r="J279" s="684" t="s">
        <v>143</v>
      </c>
      <c r="K279" s="684" t="s">
        <v>15797</v>
      </c>
    </row>
    <row r="280" spans="1:11" ht="27.6" x14ac:dyDescent="0.3">
      <c r="A280" s="161">
        <v>1</v>
      </c>
      <c r="B280" s="165" t="str">
        <f>VLOOKUP(I280,tabelas!$A:$L,4,0)</f>
        <v>BALIZADOR CÔNICO REFLETIVO EM POLIETILENO SEMIFLEXÍVEL - H = 114 CM E BASE OCTOGONAL DE D = 40 CM</v>
      </c>
      <c r="C280" s="166" t="str">
        <f>VLOOKUP(I280,tabelas!$A:$L,5,0)</f>
        <v>UN</v>
      </c>
      <c r="D280" s="153">
        <v>1.1000000000000001</v>
      </c>
      <c r="E280" s="180" t="s">
        <v>164</v>
      </c>
      <c r="F280" s="167">
        <v>0</v>
      </c>
      <c r="G280" s="167">
        <f>VLOOKUP($I280,tabelas!$A:$L,12,0)</f>
        <v>181.21</v>
      </c>
      <c r="H280" s="168" t="s">
        <v>42</v>
      </c>
      <c r="I280" s="158" t="s">
        <v>165</v>
      </c>
      <c r="J280" s="159">
        <f>TRUNC($D280*F280,4)</f>
        <v>0</v>
      </c>
      <c r="K280" s="159">
        <f>TRUNC($D280*G280,4)</f>
        <v>199.33099999999999</v>
      </c>
    </row>
    <row r="281" spans="1:11" x14ac:dyDescent="0.3">
      <c r="A281" s="161">
        <v>2</v>
      </c>
      <c r="B281" s="152" t="str">
        <f>IF(H281="SINAPI",IFERROR(VLOOKUP(I281,'SINAPI-comp'!$B:$H,2,0),VLOOKUP(I281,'SINAPI-insumo'!$B:$H,2,0)))</f>
        <v>SERVENTE COM ENCARGOS COMPLEMENTARES</v>
      </c>
      <c r="C281" s="151" t="str">
        <f>IF(H281="SINAPI",IFERROR(VLOOKUP(I281,'SINAPI-comp'!$B:$H,3,0),VLOOKUP(I281,'SINAPI-insumo'!$B:$H,3,0)))</f>
        <v>H</v>
      </c>
      <c r="D281" s="153">
        <v>0.1956</v>
      </c>
      <c r="E281" s="180" t="s">
        <v>166</v>
      </c>
      <c r="F281" s="155">
        <f>IFERROR(VLOOKUP(I281,'SINAPI-comp'!$B:$H,4,0)-G281,0)</f>
        <v>25.81</v>
      </c>
      <c r="G281" s="156">
        <f>IF(H281="SINAPI",IFERROR(VLOOKUP(I281,'SINAPI-comp'!$B:$H,7,0),VLOOKUP(I281,'SINAPI-insumo'!$B:$H,7,0)))</f>
        <v>0</v>
      </c>
      <c r="H281" s="168" t="s">
        <v>53</v>
      </c>
      <c r="I281" s="158">
        <v>88316</v>
      </c>
      <c r="J281" s="159">
        <f>TRUNC($D281*F281,4)</f>
        <v>5.0484</v>
      </c>
      <c r="K281" s="159">
        <f>TRUNC($D281*G281,4)</f>
        <v>0</v>
      </c>
    </row>
    <row r="284" spans="1:11" s="494" customFormat="1" x14ac:dyDescent="0.25">
      <c r="A284" s="674" t="s">
        <v>131</v>
      </c>
      <c r="B284" s="674" t="s">
        <v>132</v>
      </c>
      <c r="C284" s="675"/>
      <c r="D284" s="511"/>
      <c r="E284" s="675"/>
      <c r="F284" s="675"/>
      <c r="G284" s="675"/>
      <c r="H284" s="676" t="s">
        <v>133</v>
      </c>
      <c r="I284" s="677"/>
      <c r="J284" s="512" t="s">
        <v>134</v>
      </c>
      <c r="K284" s="512" t="s">
        <v>15795</v>
      </c>
    </row>
    <row r="285" spans="1:11" x14ac:dyDescent="0.3">
      <c r="A285" s="136" t="s">
        <v>15550</v>
      </c>
      <c r="B285" s="137" t="s">
        <v>167</v>
      </c>
      <c r="C285" s="173"/>
      <c r="D285" s="174"/>
      <c r="E285" s="138"/>
      <c r="F285" s="140"/>
      <c r="G285" s="140"/>
      <c r="H285" s="141" t="s">
        <v>168</v>
      </c>
      <c r="I285" s="175"/>
      <c r="J285" s="143">
        <f>TRUNC(SUM(J287:J291),2)</f>
        <v>53.94</v>
      </c>
      <c r="K285" s="143">
        <f>TRUNC(SUM(K287:K291),2)</f>
        <v>42.45</v>
      </c>
    </row>
    <row r="286" spans="1:11" s="687" customFormat="1" ht="27.6" x14ac:dyDescent="0.25">
      <c r="A286" s="522" t="s">
        <v>137</v>
      </c>
      <c r="B286" s="523" t="s">
        <v>19</v>
      </c>
      <c r="C286" s="524" t="s">
        <v>20</v>
      </c>
      <c r="D286" s="682" t="s">
        <v>138</v>
      </c>
      <c r="E286" s="525" t="s">
        <v>139</v>
      </c>
      <c r="F286" s="683" t="s">
        <v>140</v>
      </c>
      <c r="G286" s="684" t="s">
        <v>15796</v>
      </c>
      <c r="H286" s="685" t="s">
        <v>142</v>
      </c>
      <c r="I286" s="686"/>
      <c r="J286" s="684" t="s">
        <v>143</v>
      </c>
      <c r="K286" s="684" t="s">
        <v>15797</v>
      </c>
    </row>
    <row r="287" spans="1:11" x14ac:dyDescent="0.3">
      <c r="A287" s="161">
        <v>1</v>
      </c>
      <c r="B287" s="152" t="str">
        <f>IF(H287="SINAPI",IFERROR(VLOOKUP(I287,'SINAPI-comp'!$B:$H,2,0),VLOOKUP(I287,'SINAPI-insumo'!$B:$H,2,0)))</f>
        <v>CARPINTEIRO DE FORMAS COM ENCARGOS COMPLEMENTARES</v>
      </c>
      <c r="C287" s="151" t="str">
        <f>IF(H287="SINAPI",IFERROR(VLOOKUP(I287,'SINAPI-comp'!$B:$H,3,0),VLOOKUP(I287,'SINAPI-insumo'!$B:$H,3,0)))</f>
        <v>H</v>
      </c>
      <c r="D287" s="153">
        <v>0.5</v>
      </c>
      <c r="E287" s="164"/>
      <c r="F287" s="155">
        <f>IFERROR(VLOOKUP(I287,'SINAPI-comp'!$B:$H,4,0)-G287,0)</f>
        <v>30.45</v>
      </c>
      <c r="G287" s="156">
        <f>IF(H287="SINAPI",IFERROR(VLOOKUP(I287,'SINAPI-comp'!$B:$H,7,0),VLOOKUP(I287,'SINAPI-insumo'!$B:$H,7,0)))</f>
        <v>0</v>
      </c>
      <c r="H287" s="168" t="s">
        <v>53</v>
      </c>
      <c r="I287" s="158">
        <v>88262</v>
      </c>
      <c r="J287" s="159">
        <f t="shared" ref="J287:K291" si="17">TRUNC($D287*F287,4)</f>
        <v>15.225</v>
      </c>
      <c r="K287" s="159">
        <f t="shared" si="17"/>
        <v>0</v>
      </c>
    </row>
    <row r="288" spans="1:11" x14ac:dyDescent="0.3">
      <c r="A288" s="161">
        <v>2</v>
      </c>
      <c r="B288" s="152" t="str">
        <f>IF(H288="SINAPI",IFERROR(VLOOKUP(I288,'SINAPI-comp'!$B:$H,2,0),VLOOKUP(I288,'SINAPI-insumo'!$B:$H,2,0)))</f>
        <v>SERVENTE COM ENCARGOS COMPLEMENTARES</v>
      </c>
      <c r="C288" s="151" t="str">
        <f>IF(H288="SINAPI",IFERROR(VLOOKUP(I288,'SINAPI-comp'!$B:$H,3,0),VLOOKUP(I288,'SINAPI-insumo'!$B:$H,3,0)))</f>
        <v>H</v>
      </c>
      <c r="D288" s="153">
        <v>1.5</v>
      </c>
      <c r="E288" s="164"/>
      <c r="F288" s="155">
        <f>IFERROR(VLOOKUP(I288,'SINAPI-comp'!$B:$H,4,0)-G288,0)</f>
        <v>25.81</v>
      </c>
      <c r="G288" s="156">
        <f>IF(H288="SINAPI",IFERROR(VLOOKUP(I288,'SINAPI-comp'!$B:$H,7,0),VLOOKUP(I288,'SINAPI-insumo'!$B:$H,7,0)))</f>
        <v>0</v>
      </c>
      <c r="H288" s="168" t="s">
        <v>53</v>
      </c>
      <c r="I288" s="158">
        <v>88316</v>
      </c>
      <c r="J288" s="159">
        <f t="shared" si="17"/>
        <v>38.715000000000003</v>
      </c>
      <c r="K288" s="159">
        <f t="shared" si="17"/>
        <v>0</v>
      </c>
    </row>
    <row r="289" spans="1:11" ht="41.4" x14ac:dyDescent="0.3">
      <c r="A289" s="161">
        <v>3</v>
      </c>
      <c r="B289" s="160" t="str">
        <f>IF(OR(H289="SINAPI",H289="SINAPI-I"),IFERROR(VLOOKUP(I289,'SINAPI-comp'!$B:$H,2,0),VLOOKUP(I289,'SINAPI-insumo'!$B:$H,2,0)))</f>
        <v>VIGA NAO APARELHADA *6 X 16* CM, EM MACARANDUBA/MASSARANDUBA, ANGELIM OU EQUIVALENTE DA REGIAO - BRUTA</v>
      </c>
      <c r="C289" s="151" t="str">
        <f>IF(OR(H289="SINAPI",H289="SINAPI-I"),IFERROR(VLOOKUP(I289,'SINAPI-comp'!$B:$H,3,0),VLOOKUP(I289,'SINAPI-insumo'!$B:$H,3,0)))</f>
        <v>M</v>
      </c>
      <c r="D289" s="153">
        <v>0.76190000000000002</v>
      </c>
      <c r="E289" s="164"/>
      <c r="F289" s="155">
        <f>IFERROR(VLOOKUP(I289,'SINAPI-comp'!$B:$H,4,0)-G289,0)</f>
        <v>0</v>
      </c>
      <c r="G289" s="156">
        <f>IF(OR(H289="SINAPI",H289="SINAPI-I"),IFERROR(VLOOKUP(I289,'SINAPI-comp'!$B:$H,7,0),VLOOKUP(I289,'SINAPI-insumo'!$B:$H,7,0)))</f>
        <v>36.090000000000003</v>
      </c>
      <c r="H289" s="157" t="s">
        <v>149</v>
      </c>
      <c r="I289" s="158">
        <v>4472</v>
      </c>
      <c r="J289" s="159">
        <f t="shared" si="17"/>
        <v>0</v>
      </c>
      <c r="K289" s="159">
        <f t="shared" si="17"/>
        <v>27.4969</v>
      </c>
    </row>
    <row r="290" spans="1:11" x14ac:dyDescent="0.3">
      <c r="A290" s="161">
        <v>4</v>
      </c>
      <c r="B290" s="160" t="str">
        <f>IF(OR(H290="SINAPI",H290="SINAPI-I"),IFERROR(VLOOKUP(I290,'SINAPI-comp'!$B:$H,2,0),VLOOKUP(I290,'SINAPI-insumo'!$B:$H,2,0)))</f>
        <v>PREGO DE ACO POLIDO COM CABECA 18 X 27 (2 1/2 X 10)</v>
      </c>
      <c r="C290" s="151" t="str">
        <f>IF(OR(H290="SINAPI",H290="SINAPI-I"),IFERROR(VLOOKUP(I290,'SINAPI-comp'!$B:$H,3,0),VLOOKUP(I290,'SINAPI-insumo'!$B:$H,3,0)))</f>
        <v>KG</v>
      </c>
      <c r="D290" s="153">
        <v>0.2</v>
      </c>
      <c r="E290" s="164"/>
      <c r="F290" s="155">
        <f>IFERROR(VLOOKUP(I290,'SINAPI-comp'!$B:$H,4,0)-G290,0)</f>
        <v>0</v>
      </c>
      <c r="G290" s="156">
        <f>IF(OR(H290="SINAPI",H290="SINAPI-I"),IFERROR(VLOOKUP(I290,'SINAPI-comp'!$B:$H,7,0),VLOOKUP(I290,'SINAPI-insumo'!$B:$H,7,0)))</f>
        <v>14.45</v>
      </c>
      <c r="H290" s="157" t="s">
        <v>149</v>
      </c>
      <c r="I290" s="158">
        <v>5061</v>
      </c>
      <c r="J290" s="159">
        <f t="shared" si="17"/>
        <v>0</v>
      </c>
      <c r="K290" s="159">
        <f t="shared" si="17"/>
        <v>2.89</v>
      </c>
    </row>
    <row r="291" spans="1:11" ht="41.4" x14ac:dyDescent="0.3">
      <c r="A291" s="161">
        <v>5</v>
      </c>
      <c r="B291" s="160" t="str">
        <f>IF(OR(H291="SINAPI",H291="SINAPI-I"),IFERROR(VLOOKUP(I291,'SINAPI-comp'!$B:$H,2,0),VLOOKUP(I291,'SINAPI-insumo'!$B:$H,2,0)))</f>
        <v>TABUA NAO APARELHADA *2,5 X 30* CM, EM MACARANDUBA/MASSARANDUBA, ANGELIM OU EQUIVALENTE DA REGIAO - BRUTA</v>
      </c>
      <c r="C291" s="151" t="str">
        <f>IF(OR(H291="SINAPI",H291="SINAPI-I"),IFERROR(VLOOKUP(I291,'SINAPI-comp'!$B:$H,3,0),VLOOKUP(I291,'SINAPI-insumo'!$B:$H,3,0)))</f>
        <v>M</v>
      </c>
      <c r="D291" s="153">
        <v>0.42849999999999999</v>
      </c>
      <c r="E291" s="180"/>
      <c r="F291" s="155">
        <f>IFERROR(VLOOKUP(I291,'SINAPI-comp'!$B:$H,4,0)-G291,0)</f>
        <v>0</v>
      </c>
      <c r="G291" s="156">
        <f>IF(OR(H291="SINAPI",H291="SINAPI-I"),IFERROR(VLOOKUP(I291,'SINAPI-comp'!$B:$H,7,0),VLOOKUP(I291,'SINAPI-insumo'!$B:$H,7,0)))</f>
        <v>28.17</v>
      </c>
      <c r="H291" s="157" t="s">
        <v>149</v>
      </c>
      <c r="I291" s="182">
        <v>6189</v>
      </c>
      <c r="J291" s="183">
        <f t="shared" si="17"/>
        <v>0</v>
      </c>
      <c r="K291" s="183">
        <f t="shared" si="17"/>
        <v>12.0708</v>
      </c>
    </row>
    <row r="294" spans="1:11" s="494" customFormat="1" x14ac:dyDescent="0.25">
      <c r="A294" s="674" t="s">
        <v>131</v>
      </c>
      <c r="B294" s="674" t="s">
        <v>132</v>
      </c>
      <c r="C294" s="675"/>
      <c r="D294" s="511"/>
      <c r="E294" s="675"/>
      <c r="F294" s="675"/>
      <c r="G294" s="675"/>
      <c r="H294" s="676" t="s">
        <v>133</v>
      </c>
      <c r="I294" s="677"/>
      <c r="J294" s="512" t="s">
        <v>134</v>
      </c>
      <c r="K294" s="512" t="s">
        <v>15795</v>
      </c>
    </row>
    <row r="295" spans="1:11" x14ac:dyDescent="0.3">
      <c r="A295" s="136" t="s">
        <v>126</v>
      </c>
      <c r="B295" s="137" t="s">
        <v>211</v>
      </c>
      <c r="C295" s="173"/>
      <c r="D295" s="174"/>
      <c r="E295" s="138"/>
      <c r="F295" s="140"/>
      <c r="G295" s="140"/>
      <c r="H295" s="141" t="s">
        <v>136</v>
      </c>
      <c r="I295" s="175"/>
      <c r="J295" s="143">
        <f>TRUNC(SUM(J297:J297),2)</f>
        <v>0</v>
      </c>
      <c r="K295" s="143">
        <f>TRUNC(SUM(K297:K297),2)</f>
        <v>1655.4</v>
      </c>
    </row>
    <row r="296" spans="1:11" s="687" customFormat="1" ht="27.6" x14ac:dyDescent="0.25">
      <c r="A296" s="522" t="s">
        <v>137</v>
      </c>
      <c r="B296" s="523" t="s">
        <v>19</v>
      </c>
      <c r="C296" s="524" t="s">
        <v>20</v>
      </c>
      <c r="D296" s="682" t="s">
        <v>138</v>
      </c>
      <c r="E296" s="525" t="s">
        <v>139</v>
      </c>
      <c r="F296" s="683" t="s">
        <v>140</v>
      </c>
      <c r="G296" s="684" t="s">
        <v>15796</v>
      </c>
      <c r="H296" s="685" t="s">
        <v>142</v>
      </c>
      <c r="I296" s="686"/>
      <c r="J296" s="684" t="s">
        <v>143</v>
      </c>
      <c r="K296" s="684" t="s">
        <v>15797</v>
      </c>
    </row>
    <row r="297" spans="1:11" ht="27.6" x14ac:dyDescent="0.3">
      <c r="A297" s="161">
        <v>1</v>
      </c>
      <c r="B297" s="160" t="str">
        <f>IF(OR(H297="SINAPI",H297="SINAPI-I"),IFERROR(VLOOKUP(I297,'SINAPI-comp'!$B:$H,2,0),VLOOKUP(I297,'SINAPI-insumo'!$B:$H,2,0)))</f>
        <v>GRUPO GERADOR REBOCÁVEL, POTÊNCIA 66 KVA, MOTOR A DIESEL - CHP DIURNO. AF_03/2016</v>
      </c>
      <c r="C297" s="151" t="str">
        <f>IF(OR(H297="SINAPI",H297="SINAPI-I"),IFERROR(VLOOKUP(I297,'SINAPI-comp'!$B:$H,3,0),VLOOKUP(I297,'SINAPI-insumo'!$B:$H,3,0)))</f>
        <v>CHP</v>
      </c>
      <c r="D297" s="153">
        <f>5*4</f>
        <v>20</v>
      </c>
      <c r="E297" s="164" t="s">
        <v>212</v>
      </c>
      <c r="F297" s="155">
        <f>IFERROR(VLOOKUP(I297,'SINAPI-comp'!$B:$H,4,0)-G297,0)</f>
        <v>0</v>
      </c>
      <c r="G297" s="156">
        <f>IF(OR(H297="SINAPI",H297="SINAPI-I"),IFERROR(VLOOKUP(I297,'SINAPI-comp'!$B:$H,7,0),VLOOKUP(I297,'SINAPI-insumo'!$B:$H,7,0)))</f>
        <v>82.77</v>
      </c>
      <c r="H297" s="157" t="s">
        <v>53</v>
      </c>
      <c r="I297" s="158">
        <v>93421</v>
      </c>
      <c r="J297" s="159">
        <f>TRUNC($D297*F297,4)</f>
        <v>0</v>
      </c>
      <c r="K297" s="159">
        <f>TRUNC($D297*G297,4)</f>
        <v>1655.4</v>
      </c>
    </row>
    <row r="300" spans="1:11" s="494" customFormat="1" x14ac:dyDescent="0.25">
      <c r="A300" s="674" t="s">
        <v>131</v>
      </c>
      <c r="B300" s="674" t="s">
        <v>132</v>
      </c>
      <c r="C300" s="675"/>
      <c r="D300" s="511"/>
      <c r="E300" s="675"/>
      <c r="F300" s="675"/>
      <c r="G300" s="675"/>
      <c r="H300" s="676" t="s">
        <v>133</v>
      </c>
      <c r="I300" s="677"/>
      <c r="J300" s="512" t="s">
        <v>134</v>
      </c>
      <c r="K300" s="512" t="s">
        <v>15795</v>
      </c>
    </row>
    <row r="301" spans="1:11" x14ac:dyDescent="0.3">
      <c r="A301" s="136" t="s">
        <v>72</v>
      </c>
      <c r="B301" s="137" t="s">
        <v>171</v>
      </c>
      <c r="C301" s="173"/>
      <c r="D301" s="174"/>
      <c r="E301" s="138"/>
      <c r="F301" s="140"/>
      <c r="G301" s="140"/>
      <c r="H301" s="141" t="s">
        <v>159</v>
      </c>
      <c r="I301" s="175"/>
      <c r="J301" s="143">
        <f>TRUNC(SUM(J303:J303),2)</f>
        <v>0</v>
      </c>
      <c r="K301" s="143">
        <f>TRUNC(SUM(K303:K303),2)</f>
        <v>38.07</v>
      </c>
    </row>
    <row r="302" spans="1:11" s="687" customFormat="1" ht="27.6" x14ac:dyDescent="0.25">
      <c r="A302" s="522" t="s">
        <v>137</v>
      </c>
      <c r="B302" s="523" t="s">
        <v>19</v>
      </c>
      <c r="C302" s="524" t="s">
        <v>20</v>
      </c>
      <c r="D302" s="682" t="s">
        <v>138</v>
      </c>
      <c r="E302" s="525" t="s">
        <v>139</v>
      </c>
      <c r="F302" s="683" t="s">
        <v>140</v>
      </c>
      <c r="G302" s="684" t="s">
        <v>15796</v>
      </c>
      <c r="H302" s="685" t="s">
        <v>142</v>
      </c>
      <c r="I302" s="686"/>
      <c r="J302" s="684" t="s">
        <v>143</v>
      </c>
      <c r="K302" s="684" t="s">
        <v>15797</v>
      </c>
    </row>
    <row r="303" spans="1:11" ht="27.6" x14ac:dyDescent="0.3">
      <c r="A303" s="161">
        <v>1</v>
      </c>
      <c r="B303" s="160" t="str">
        <f>IF(OR(H303="SINAPI",H303="SINAPI-I"),IFERROR(VLOOKUP(I303,'SINAPI-comp'!$B:$H,2,0),VLOOKUP(I303,'SINAPI-insumo'!$B:$H,2,0)))</f>
        <v>MEIO-FIO OU GUIA DE CONCRETO, PRE-MOLDADO, COMP 1 M, *30 X 12/15* CM (H X L1/L2)</v>
      </c>
      <c r="C303" s="151" t="str">
        <f>IF(OR(H303="SINAPI",H303="SINAPI-I"),IFERROR(VLOOKUP(I303,'SINAPI-comp'!$B:$H,3,0),VLOOKUP(I303,'SINAPI-insumo'!$B:$H,3,0)))</f>
        <v>M</v>
      </c>
      <c r="D303" s="153">
        <v>1.0049999999999999</v>
      </c>
      <c r="E303" s="164" t="s">
        <v>172</v>
      </c>
      <c r="F303" s="155">
        <f>IFERROR(VLOOKUP(I303,'SINAPI-comp'!$B:$H,4,0)-G303,0)</f>
        <v>0</v>
      </c>
      <c r="G303" s="156">
        <f>IF(OR(H303="SINAPI",H303="SINAPI-I"),IFERROR(VLOOKUP(I303,'SINAPI-comp'!$B:$H,7,0),VLOOKUP(I303,'SINAPI-insumo'!$B:$H,7,0)))</f>
        <v>37.89</v>
      </c>
      <c r="H303" s="157" t="s">
        <v>149</v>
      </c>
      <c r="I303" s="158">
        <v>4059</v>
      </c>
      <c r="J303" s="159">
        <f>TRUNC($D303*F303,4)</f>
        <v>0</v>
      </c>
      <c r="K303" s="159">
        <f>TRUNC($D303*G303,4)</f>
        <v>38.0794</v>
      </c>
    </row>
    <row r="306" spans="1:11" s="494" customFormat="1" x14ac:dyDescent="0.25">
      <c r="A306" s="674" t="s">
        <v>131</v>
      </c>
      <c r="B306" s="674" t="s">
        <v>132</v>
      </c>
      <c r="C306" s="675"/>
      <c r="D306" s="511"/>
      <c r="E306" s="675"/>
      <c r="F306" s="675"/>
      <c r="G306" s="675"/>
      <c r="H306" s="676" t="s">
        <v>133</v>
      </c>
      <c r="I306" s="677"/>
      <c r="J306" s="512" t="s">
        <v>134</v>
      </c>
      <c r="K306" s="512" t="s">
        <v>15795</v>
      </c>
    </row>
    <row r="307" spans="1:11" x14ac:dyDescent="0.3">
      <c r="A307" s="136" t="s">
        <v>74</v>
      </c>
      <c r="B307" s="137" t="s">
        <v>173</v>
      </c>
      <c r="C307" s="173"/>
      <c r="D307" s="174"/>
      <c r="E307" s="138"/>
      <c r="F307" s="140"/>
      <c r="G307" s="140"/>
      <c r="H307" s="141" t="s">
        <v>159</v>
      </c>
      <c r="I307" s="175"/>
      <c r="J307" s="143">
        <f>TRUNC(SUM(J309:J312),2)</f>
        <v>13.64</v>
      </c>
      <c r="K307" s="143">
        <f>TRUNC(SUM(K309:K312),2)</f>
        <v>1.65</v>
      </c>
    </row>
    <row r="308" spans="1:11" s="687" customFormat="1" ht="27.6" x14ac:dyDescent="0.25">
      <c r="A308" s="522" t="s">
        <v>137</v>
      </c>
      <c r="B308" s="523" t="s">
        <v>19</v>
      </c>
      <c r="C308" s="524" t="s">
        <v>20</v>
      </c>
      <c r="D308" s="682" t="s">
        <v>138</v>
      </c>
      <c r="E308" s="525" t="s">
        <v>139</v>
      </c>
      <c r="F308" s="683" t="s">
        <v>140</v>
      </c>
      <c r="G308" s="684" t="s">
        <v>15796</v>
      </c>
      <c r="H308" s="685" t="s">
        <v>142</v>
      </c>
      <c r="I308" s="686"/>
      <c r="J308" s="684" t="s">
        <v>143</v>
      </c>
      <c r="K308" s="684" t="s">
        <v>15797</v>
      </c>
    </row>
    <row r="309" spans="1:11" ht="27.6" x14ac:dyDescent="0.3">
      <c r="A309" s="161">
        <v>1</v>
      </c>
      <c r="B309" s="152" t="str">
        <f>IF(H309="SINAPI",IFERROR(VLOOKUP(I309,'SINAPI-comp'!$B:$H,2,0),VLOOKUP(I309,'SINAPI-insumo'!$B:$H,2,0)))</f>
        <v>ARGAMASSA TRAÇO 1:3 (EM VOLUME DE CIMENTO E AREIA MÉDIA ÚMIDA), PREPARO MANUAL. AF_07/2026</v>
      </c>
      <c r="C309" s="151" t="str">
        <f>IF(H309="SINAPI",IFERROR(VLOOKUP(I309,'SINAPI-comp'!$B:$H,3,0),VLOOKUP(I309,'SINAPI-insumo'!$B:$H,3,0)))</f>
        <v>M3</v>
      </c>
      <c r="D309" s="153">
        <v>1.8E-3</v>
      </c>
      <c r="E309" s="164" t="s">
        <v>172</v>
      </c>
      <c r="F309" s="155">
        <f>IFERROR(VLOOKUP(I309,'SINAPI-comp'!$B:$H,4,0)-G309,0)</f>
        <v>317.87</v>
      </c>
      <c r="G309" s="156">
        <f>IF(H309="SINAPI",IFERROR(VLOOKUP(I309,'SINAPI-comp'!$B:$H,7,0),VLOOKUP(I309,'SINAPI-insumo'!$B:$H,7,0)))</f>
        <v>552.51</v>
      </c>
      <c r="H309" s="168" t="s">
        <v>53</v>
      </c>
      <c r="I309" s="158">
        <v>88629</v>
      </c>
      <c r="J309" s="159">
        <f t="shared" ref="J309:K312" si="18">TRUNC($D309*F309,4)</f>
        <v>0.57210000000000005</v>
      </c>
      <c r="K309" s="159">
        <f t="shared" si="18"/>
        <v>0.99450000000000005</v>
      </c>
    </row>
    <row r="310" spans="1:11" x14ac:dyDescent="0.3">
      <c r="A310" s="161">
        <v>2</v>
      </c>
      <c r="B310" s="152" t="str">
        <f>IF(H310="SINAPI",IFERROR(VLOOKUP(I310,'SINAPI-comp'!$B:$H,2,0),VLOOKUP(I310,'SINAPI-insumo'!$B:$H,2,0)))</f>
        <v>PEDREIRO COM ENCARGOS COMPLEMENTARES</v>
      </c>
      <c r="C310" s="151" t="str">
        <f>IF(H310="SINAPI",IFERROR(VLOOKUP(I310,'SINAPI-comp'!$B:$H,3,0),VLOOKUP(I310,'SINAPI-insumo'!$B:$H,3,0)))</f>
        <v>H</v>
      </c>
      <c r="D310" s="153">
        <v>0.2296</v>
      </c>
      <c r="E310" s="164" t="s">
        <v>172</v>
      </c>
      <c r="F310" s="155">
        <f>IFERROR(VLOOKUP(I310,'SINAPI-comp'!$B:$H,4,0)-G310,0)</f>
        <v>31.11</v>
      </c>
      <c r="G310" s="156">
        <f>IF(H310="SINAPI",IFERROR(VLOOKUP(I310,'SINAPI-comp'!$B:$H,7,0),VLOOKUP(I310,'SINAPI-insumo'!$B:$H,7,0)))</f>
        <v>0</v>
      </c>
      <c r="H310" s="168" t="s">
        <v>53</v>
      </c>
      <c r="I310" s="158">
        <v>88309</v>
      </c>
      <c r="J310" s="159">
        <f t="shared" si="18"/>
        <v>7.1428000000000003</v>
      </c>
      <c r="K310" s="159">
        <f t="shared" si="18"/>
        <v>0</v>
      </c>
    </row>
    <row r="311" spans="1:11" x14ac:dyDescent="0.3">
      <c r="A311" s="161">
        <v>3</v>
      </c>
      <c r="B311" s="152" t="str">
        <f>IF(H311="SINAPI",IFERROR(VLOOKUP(I311,'SINAPI-comp'!$B:$H,2,0),VLOOKUP(I311,'SINAPI-insumo'!$B:$H,2,0)))</f>
        <v>SERVENTE COM ENCARGOS COMPLEMENTARES</v>
      </c>
      <c r="C311" s="151" t="str">
        <f>IF(H311="SINAPI",IFERROR(VLOOKUP(I311,'SINAPI-comp'!$B:$H,3,0),VLOOKUP(I311,'SINAPI-insumo'!$B:$H,3,0)))</f>
        <v>H</v>
      </c>
      <c r="D311" s="153">
        <v>0.2296</v>
      </c>
      <c r="E311" s="164" t="s">
        <v>172</v>
      </c>
      <c r="F311" s="155">
        <f>IFERROR(VLOOKUP(I311,'SINAPI-comp'!$B:$H,4,0)-G311,0)</f>
        <v>25.81</v>
      </c>
      <c r="G311" s="156">
        <f>IF(H311="SINAPI",IFERROR(VLOOKUP(I311,'SINAPI-comp'!$B:$H,7,0),VLOOKUP(I311,'SINAPI-insumo'!$B:$H,7,0)))</f>
        <v>0</v>
      </c>
      <c r="H311" s="168" t="s">
        <v>53</v>
      </c>
      <c r="I311" s="158">
        <v>88316</v>
      </c>
      <c r="J311" s="159">
        <f t="shared" si="18"/>
        <v>5.9259000000000004</v>
      </c>
      <c r="K311" s="159">
        <f t="shared" si="18"/>
        <v>0</v>
      </c>
    </row>
    <row r="312" spans="1:11" ht="27.6" x14ac:dyDescent="0.3">
      <c r="A312" s="161">
        <v>4</v>
      </c>
      <c r="B312" s="160" t="str">
        <f>IF(OR(H312="SINAPI",H312="SINAPI-I"),IFERROR(VLOOKUP(I312,'SINAPI-comp'!$B:$H,2,0),VLOOKUP(I312,'SINAPI-insumo'!$B:$H,2,0)))</f>
        <v>AREIA MEDIA - POSTO JAZIDA/FORNECEDOR (RETIRADO NA JAZIDA, SEM TRANSPORTE)</v>
      </c>
      <c r="C312" s="151" t="str">
        <f>IF(OR(H312="SINAPI",H312="SINAPI-I"),IFERROR(VLOOKUP(I312,'SINAPI-comp'!$B:$H,3,0),VLOOKUP(I312,'SINAPI-insumo'!$B:$H,3,0)))</f>
        <v>M3</v>
      </c>
      <c r="D312" s="153">
        <v>6.6E-3</v>
      </c>
      <c r="E312" s="164" t="s">
        <v>172</v>
      </c>
      <c r="F312" s="155">
        <f>IFERROR(VLOOKUP(I312,'SINAPI-comp'!$B:$H,4,0)-G312,0)</f>
        <v>0</v>
      </c>
      <c r="G312" s="156">
        <f>IF(OR(H312="SINAPI",H312="SINAPI-I"),IFERROR(VLOOKUP(I312,'SINAPI-comp'!$B:$H,7,0),VLOOKUP(I312,'SINAPI-insumo'!$B:$H,7,0)))</f>
        <v>100</v>
      </c>
      <c r="H312" s="157" t="s">
        <v>149</v>
      </c>
      <c r="I312" s="158">
        <v>370</v>
      </c>
      <c r="J312" s="159">
        <f t="shared" si="18"/>
        <v>0</v>
      </c>
      <c r="K312" s="159">
        <f t="shared" si="18"/>
        <v>0.66</v>
      </c>
    </row>
    <row r="315" spans="1:11" s="494" customFormat="1" x14ac:dyDescent="0.25">
      <c r="A315" s="674" t="s">
        <v>131</v>
      </c>
      <c r="B315" s="674" t="s">
        <v>132</v>
      </c>
      <c r="C315" s="675"/>
      <c r="D315" s="511"/>
      <c r="E315" s="675"/>
      <c r="F315" s="675"/>
      <c r="G315" s="675"/>
      <c r="H315" s="676" t="s">
        <v>133</v>
      </c>
      <c r="I315" s="677"/>
      <c r="J315" s="512" t="s">
        <v>134</v>
      </c>
      <c r="K315" s="512" t="s">
        <v>15795</v>
      </c>
    </row>
    <row r="316" spans="1:11" x14ac:dyDescent="0.3">
      <c r="A316" s="136" t="s">
        <v>86</v>
      </c>
      <c r="B316" s="137" t="s">
        <v>182</v>
      </c>
      <c r="C316" s="173"/>
      <c r="D316" s="174"/>
      <c r="E316" s="138"/>
      <c r="F316" s="140"/>
      <c r="G316" s="140"/>
      <c r="H316" s="141" t="s">
        <v>180</v>
      </c>
      <c r="I316" s="175"/>
      <c r="J316" s="143">
        <f>TRUNC(SUM(J318:J320),2)</f>
        <v>14.91</v>
      </c>
      <c r="K316" s="143">
        <f>TRUNC(SUM(K318:K320),2)</f>
        <v>35.369999999999997</v>
      </c>
    </row>
    <row r="317" spans="1:11" s="687" customFormat="1" ht="27.6" x14ac:dyDescent="0.25">
      <c r="A317" s="522" t="s">
        <v>137</v>
      </c>
      <c r="B317" s="523" t="s">
        <v>19</v>
      </c>
      <c r="C317" s="524" t="s">
        <v>20</v>
      </c>
      <c r="D317" s="682" t="s">
        <v>138</v>
      </c>
      <c r="E317" s="525" t="s">
        <v>139</v>
      </c>
      <c r="F317" s="683" t="s">
        <v>140</v>
      </c>
      <c r="G317" s="684" t="s">
        <v>15796</v>
      </c>
      <c r="H317" s="685" t="s">
        <v>142</v>
      </c>
      <c r="I317" s="686"/>
      <c r="J317" s="684" t="s">
        <v>143</v>
      </c>
      <c r="K317" s="684" t="s">
        <v>15797</v>
      </c>
    </row>
    <row r="318" spans="1:11" ht="55.2" x14ac:dyDescent="0.3">
      <c r="A318" s="161">
        <v>1</v>
      </c>
      <c r="B318" s="152" t="str">
        <f>IF(H318="SINAPI",IFERROR(VLOOKUP(I318,'SINAPI-comp'!$B:$H,2,0),VLOOKUP(I318,'SINAPI-insumo'!$B:$H,2,0)))</f>
        <v>GUINDAUTO HIDRÁULICO, CAPACIDADE MÁXIMA DE CARGA 6200 KG, MOMENTO MÁXIMO DE CARGA 11,7 TM, ALCANCE MÁXIMO HORIZONTAL 9,70 M, INCLUSIVE CAMINHÃO TOCO PBT 16.000 KG, POTÊNCIA DE 189 CV - CHI DIURNO. AF_06/2014</v>
      </c>
      <c r="C318" s="151" t="str">
        <f>IF(H318="SINAPI",IFERROR(VLOOKUP(I318,'SINAPI-comp'!$B:$H,3,0),VLOOKUP(I318,'SINAPI-insumo'!$B:$H,3,0)))</f>
        <v>CHI</v>
      </c>
      <c r="D318" s="153">
        <v>5.2699999999999997E-2</v>
      </c>
      <c r="E318" s="164" t="s">
        <v>183</v>
      </c>
      <c r="F318" s="155">
        <f>IFERROR(VLOOKUP(I318,'SINAPI-comp'!$B:$H,4,0)-G318,0)</f>
        <v>33.29</v>
      </c>
      <c r="G318" s="156">
        <f>IF(H318="SINAPI",IFERROR(VLOOKUP(I318,'SINAPI-comp'!$B:$H,7,0),VLOOKUP(I318,'SINAPI-insumo'!$B:$H,7,0)))</f>
        <v>45.93</v>
      </c>
      <c r="H318" s="168" t="s">
        <v>53</v>
      </c>
      <c r="I318" s="158">
        <v>5930</v>
      </c>
      <c r="J318" s="159">
        <f t="shared" ref="J318:K320" si="19">TRUNC($D318*F318,4)</f>
        <v>1.7543</v>
      </c>
      <c r="K318" s="159">
        <f t="shared" si="19"/>
        <v>2.4205000000000001</v>
      </c>
    </row>
    <row r="319" spans="1:11" ht="55.2" x14ac:dyDescent="0.3">
      <c r="A319" s="161">
        <v>2</v>
      </c>
      <c r="B319" s="152" t="str">
        <f>IF(H319="SINAPI",IFERROR(VLOOKUP(I319,'SINAPI-comp'!$B:$H,2,0),VLOOKUP(I319,'SINAPI-insumo'!$B:$H,2,0)))</f>
        <v>GUINDAUTO HIDRÁULICO, CAPACIDADE MÁXIMA DE CARGA 6200 KG, MOMENTO MÁXIMO DE CARGA 11,7 TM, ALCANCE MÁXIMO HORIZONTAL 9,70 M, INCLUSIVE CAMINHÃO TOCO PBT 16.000 KG, POTÊNCIA DE 189 CV - CHP DIURNO. AF_06/2014</v>
      </c>
      <c r="C319" s="151" t="str">
        <f>IF(H319="SINAPI",IFERROR(VLOOKUP(I319,'SINAPI-comp'!$B:$H,3,0),VLOOKUP(I319,'SINAPI-insumo'!$B:$H,3,0)))</f>
        <v>CHP</v>
      </c>
      <c r="D319" s="153">
        <v>0.1229</v>
      </c>
      <c r="E319" s="164" t="s">
        <v>183</v>
      </c>
      <c r="F319" s="155">
        <f>IFERROR(VLOOKUP(I319,'SINAPI-comp'!$B:$H,4,0)-G319,0)</f>
        <v>33.28000000000003</v>
      </c>
      <c r="G319" s="156">
        <f>IF(H319="SINAPI",IFERROR(VLOOKUP(I319,'SINAPI-comp'!$B:$H,7,0),VLOOKUP(I319,'SINAPI-insumo'!$B:$H,7,0)))</f>
        <v>268.13</v>
      </c>
      <c r="H319" s="168" t="s">
        <v>53</v>
      </c>
      <c r="I319" s="158">
        <v>5928</v>
      </c>
      <c r="J319" s="159">
        <f t="shared" si="19"/>
        <v>4.0900999999999996</v>
      </c>
      <c r="K319" s="159">
        <f t="shared" si="19"/>
        <v>32.953099999999999</v>
      </c>
    </row>
    <row r="320" spans="1:11" x14ac:dyDescent="0.3">
      <c r="A320" s="161">
        <v>3</v>
      </c>
      <c r="B320" s="152" t="str">
        <f>IF(H320="SINAPI",IFERROR(VLOOKUP(I320,'SINAPI-comp'!$B:$H,2,0),VLOOKUP(I320,'SINAPI-insumo'!$B:$H,2,0)))</f>
        <v>SERVENTE COM ENCARGOS COMPLEMENTARES</v>
      </c>
      <c r="C320" s="151" t="str">
        <f>IF(H320="SINAPI",IFERROR(VLOOKUP(I320,'SINAPI-comp'!$B:$H,3,0),VLOOKUP(I320,'SINAPI-insumo'!$B:$H,3,0)))</f>
        <v>H</v>
      </c>
      <c r="D320" s="153">
        <v>0.3513</v>
      </c>
      <c r="E320" s="164" t="s">
        <v>183</v>
      </c>
      <c r="F320" s="155">
        <f>IFERROR(VLOOKUP(I320,'SINAPI-comp'!$B:$H,4,0)-G320,0)</f>
        <v>25.81</v>
      </c>
      <c r="G320" s="156">
        <f>IF(H320="SINAPI",IFERROR(VLOOKUP(I320,'SINAPI-comp'!$B:$H,7,0),VLOOKUP(I320,'SINAPI-insumo'!$B:$H,7,0)))</f>
        <v>0</v>
      </c>
      <c r="H320" s="168" t="s">
        <v>53</v>
      </c>
      <c r="I320" s="158">
        <v>88316</v>
      </c>
      <c r="J320" s="159">
        <f t="shared" si="19"/>
        <v>9.0670000000000002</v>
      </c>
      <c r="K320" s="159">
        <f t="shared" si="19"/>
        <v>0</v>
      </c>
    </row>
    <row r="323" spans="1:11" s="494" customFormat="1" x14ac:dyDescent="0.25">
      <c r="A323" s="674" t="s">
        <v>131</v>
      </c>
      <c r="B323" s="674" t="s">
        <v>132</v>
      </c>
      <c r="C323" s="675"/>
      <c r="D323" s="511"/>
      <c r="E323" s="675"/>
      <c r="F323" s="675"/>
      <c r="G323" s="675"/>
      <c r="H323" s="676" t="s">
        <v>133</v>
      </c>
      <c r="I323" s="677"/>
      <c r="J323" s="512" t="s">
        <v>134</v>
      </c>
      <c r="K323" s="512" t="s">
        <v>15795</v>
      </c>
    </row>
    <row r="324" spans="1:11" x14ac:dyDescent="0.3">
      <c r="A324" s="136" t="s">
        <v>94</v>
      </c>
      <c r="B324" s="137" t="s">
        <v>184</v>
      </c>
      <c r="C324" s="173"/>
      <c r="D324" s="174"/>
      <c r="E324" s="138"/>
      <c r="F324" s="140"/>
      <c r="G324" s="140"/>
      <c r="H324" s="141" t="s">
        <v>168</v>
      </c>
      <c r="I324" s="175"/>
      <c r="J324" s="143">
        <f>TRUNC(SUM(J326:J328),2)</f>
        <v>16.96</v>
      </c>
      <c r="K324" s="143">
        <f>TRUNC(SUM(K326:K328),2)</f>
        <v>160.52000000000001</v>
      </c>
    </row>
    <row r="325" spans="1:11" s="687" customFormat="1" ht="27.6" x14ac:dyDescent="0.25">
      <c r="A325" s="522" t="s">
        <v>137</v>
      </c>
      <c r="B325" s="523" t="s">
        <v>19</v>
      </c>
      <c r="C325" s="524" t="s">
        <v>20</v>
      </c>
      <c r="D325" s="682" t="s">
        <v>138</v>
      </c>
      <c r="E325" s="525" t="s">
        <v>139</v>
      </c>
      <c r="F325" s="683" t="s">
        <v>140</v>
      </c>
      <c r="G325" s="684" t="s">
        <v>15796</v>
      </c>
      <c r="H325" s="685" t="s">
        <v>142</v>
      </c>
      <c r="I325" s="686"/>
      <c r="J325" s="684" t="s">
        <v>143</v>
      </c>
      <c r="K325" s="684" t="s">
        <v>15797</v>
      </c>
    </row>
    <row r="326" spans="1:11" ht="27.6" x14ac:dyDescent="0.3">
      <c r="A326" s="161">
        <v>1</v>
      </c>
      <c r="B326" s="152" t="str">
        <f>IF(H326="SINAPI",IFERROR(VLOOKUP(I326,'SINAPI-comp'!$B:$H,2,0),VLOOKUP(I326,'SINAPI-insumo'!$B:$H,2,0)))</f>
        <v>ARMAÇÃO PARA EXECUÇÃO DE RADIER, PISO DE CONCRETO OU LAJE SOBRE SOLO, COM USO DE TELA Q-113. AF_07/2026</v>
      </c>
      <c r="C326" s="151" t="str">
        <f>IF(H326="SINAPI",IFERROR(VLOOKUP(I326,'SINAPI-comp'!$B:$H,3,0),VLOOKUP(I326,'SINAPI-insumo'!$B:$H,3,0)))</f>
        <v>KG</v>
      </c>
      <c r="D326" s="153">
        <v>3.6</v>
      </c>
      <c r="E326" s="164" t="s">
        <v>185</v>
      </c>
      <c r="F326" s="155">
        <f>IFERROR(VLOOKUP(I326,'SINAPI-comp'!$B:$H,4,0)-G326,0)</f>
        <v>1.6799999999999997</v>
      </c>
      <c r="G326" s="156">
        <f>IF(H326="SINAPI",IFERROR(VLOOKUP(I326,'SINAPI-comp'!$B:$H,7,0),VLOOKUP(I326,'SINAPI-insumo'!$B:$H,7,0)))</f>
        <v>14.02</v>
      </c>
      <c r="H326" s="168" t="s">
        <v>53</v>
      </c>
      <c r="I326" s="158">
        <v>97089</v>
      </c>
      <c r="J326" s="159">
        <f t="shared" ref="J326:K328" si="20">TRUNC($D326*F326,4)</f>
        <v>6.048</v>
      </c>
      <c r="K326" s="159">
        <f t="shared" si="20"/>
        <v>50.472000000000001</v>
      </c>
    </row>
    <row r="327" spans="1:11" ht="27.6" x14ac:dyDescent="0.3">
      <c r="A327" s="161">
        <v>2</v>
      </c>
      <c r="B327" s="152" t="str">
        <f>IF(H327="SINAPI",IFERROR(VLOOKUP(I327,'SINAPI-comp'!$B:$H,2,0),VLOOKUP(I327,'SINAPI-insumo'!$B:$H,2,0)))</f>
        <v>CONCRETAGEM DE RADIER, PISO OU LAJE SOBRE SOLO, FCK 30 MPA - LANÇAMENTO, ADENSAMENTO E ACABAMENTO. AF_07/2026</v>
      </c>
      <c r="C327" s="151" t="str">
        <f>IF(H327="SINAPI",IFERROR(VLOOKUP(I327,'SINAPI-comp'!$B:$H,3,0),VLOOKUP(I327,'SINAPI-insumo'!$B:$H,3,0)))</f>
        <v>M3</v>
      </c>
      <c r="D327" s="153">
        <v>0.13500000000000001</v>
      </c>
      <c r="E327" s="164" t="s">
        <v>185</v>
      </c>
      <c r="F327" s="155">
        <f>IFERROR(VLOOKUP(I327,'SINAPI-comp'!$B:$H,4,0)-G327,0)</f>
        <v>22.439999999999941</v>
      </c>
      <c r="G327" s="156">
        <f>IF(H327="SINAPI",IFERROR(VLOOKUP(I327,'SINAPI-comp'!$B:$H,7,0),VLOOKUP(I327,'SINAPI-insumo'!$B:$H,7,0)))</f>
        <v>805.59</v>
      </c>
      <c r="H327" s="168" t="s">
        <v>53</v>
      </c>
      <c r="I327" s="158">
        <v>97096</v>
      </c>
      <c r="J327" s="159">
        <f t="shared" si="20"/>
        <v>3.0293000000000001</v>
      </c>
      <c r="K327" s="159">
        <f t="shared" si="20"/>
        <v>108.7546</v>
      </c>
    </row>
    <row r="328" spans="1:11" ht="41.4" x14ac:dyDescent="0.3">
      <c r="A328" s="161">
        <v>3</v>
      </c>
      <c r="B328" s="152" t="str">
        <f>IF(H328="SINAPI",IFERROR(VLOOKUP(I328,'SINAPI-comp'!$B:$H,2,0),VLOOKUP(I328,'SINAPI-insumo'!$B:$H,2,0)))</f>
        <v>FABRICAÇÃO, MONTAGEM E DESMONTAGEM DE FORMA PARA RADIER, PISO DE CONCRETO OU LAJE SOBRE SOLO, EM MADEIRA SERRADA, 4 UTILIZAÇÕES. AF_07/2026</v>
      </c>
      <c r="C328" s="151" t="str">
        <f>IF(H328="SINAPI",IFERROR(VLOOKUP(I328,'SINAPI-comp'!$B:$H,3,0),VLOOKUP(I328,'SINAPI-insumo'!$B:$H,3,0)))</f>
        <v>M2</v>
      </c>
      <c r="D328" s="153">
        <v>0.08</v>
      </c>
      <c r="E328" s="164" t="s">
        <v>185</v>
      </c>
      <c r="F328" s="155">
        <f>IFERROR(VLOOKUP(I328,'SINAPI-comp'!$B:$H,4,0)-G328,0)</f>
        <v>98.57</v>
      </c>
      <c r="G328" s="156">
        <f>IF(H328="SINAPI",IFERROR(VLOOKUP(I328,'SINAPI-comp'!$B:$H,7,0),VLOOKUP(I328,'SINAPI-insumo'!$B:$H,7,0)))</f>
        <v>16.28</v>
      </c>
      <c r="H328" s="168" t="s">
        <v>53</v>
      </c>
      <c r="I328" s="158">
        <v>97086</v>
      </c>
      <c r="J328" s="159">
        <f t="shared" si="20"/>
        <v>7.8856000000000002</v>
      </c>
      <c r="K328" s="159">
        <f t="shared" si="20"/>
        <v>1.3024</v>
      </c>
    </row>
    <row r="331" spans="1:11" s="494" customFormat="1" x14ac:dyDescent="0.25">
      <c r="A331" s="674" t="s">
        <v>131</v>
      </c>
      <c r="B331" s="674" t="s">
        <v>132</v>
      </c>
      <c r="C331" s="675"/>
      <c r="D331" s="511"/>
      <c r="E331" s="675"/>
      <c r="F331" s="675"/>
      <c r="G331" s="675"/>
      <c r="H331" s="676" t="s">
        <v>133</v>
      </c>
      <c r="I331" s="677"/>
      <c r="J331" s="512" t="s">
        <v>134</v>
      </c>
      <c r="K331" s="512" t="s">
        <v>15795</v>
      </c>
    </row>
    <row r="332" spans="1:11" x14ac:dyDescent="0.3">
      <c r="A332" s="136" t="s">
        <v>95</v>
      </c>
      <c r="B332" s="137" t="s">
        <v>186</v>
      </c>
      <c r="C332" s="173"/>
      <c r="D332" s="174"/>
      <c r="E332" s="138"/>
      <c r="F332" s="140"/>
      <c r="G332" s="140"/>
      <c r="H332" s="141" t="s">
        <v>170</v>
      </c>
      <c r="I332" s="175"/>
      <c r="J332" s="143">
        <f>TRUNC(SUM(J334:J338),2)</f>
        <v>10.32</v>
      </c>
      <c r="K332" s="143">
        <f>TRUNC(SUM(K334:K338),2)</f>
        <v>137.58000000000001</v>
      </c>
    </row>
    <row r="333" spans="1:11" s="687" customFormat="1" ht="27.6" x14ac:dyDescent="0.25">
      <c r="A333" s="522" t="s">
        <v>137</v>
      </c>
      <c r="B333" s="523" t="s">
        <v>19</v>
      </c>
      <c r="C333" s="524" t="s">
        <v>20</v>
      </c>
      <c r="D333" s="682" t="s">
        <v>138</v>
      </c>
      <c r="E333" s="525" t="s">
        <v>139</v>
      </c>
      <c r="F333" s="683" t="s">
        <v>140</v>
      </c>
      <c r="G333" s="684" t="s">
        <v>15796</v>
      </c>
      <c r="H333" s="685" t="s">
        <v>142</v>
      </c>
      <c r="I333" s="686"/>
      <c r="J333" s="684" t="s">
        <v>143</v>
      </c>
      <c r="K333" s="684" t="s">
        <v>15797</v>
      </c>
    </row>
    <row r="334" spans="1:11" ht="27.6" x14ac:dyDescent="0.3">
      <c r="A334" s="161">
        <v>1</v>
      </c>
      <c r="B334" s="152" t="str">
        <f>IF(H334="SINAPI",IFERROR(VLOOKUP(I334,'SINAPI-comp'!$B:$H,2,0),VLOOKUP(I334,'SINAPI-insumo'!$B:$H,2,0)))</f>
        <v>COMPACTADOR DE SOLOS DE PERCUSSÃO (SOQUETE) COM MOTOR A GASOLINA 4 TEMPOS, POTÊNCIA 4 CV - CHP DIURNO. AF_08/2015</v>
      </c>
      <c r="C334" s="151" t="str">
        <f>IF(H334="SINAPI",IFERROR(VLOOKUP(I334,'SINAPI-comp'!$B:$H,3,0),VLOOKUP(I334,'SINAPI-insumo'!$B:$H,3,0)))</f>
        <v>CHP</v>
      </c>
      <c r="D334" s="153">
        <v>0.16339999999999999</v>
      </c>
      <c r="E334" s="164" t="s">
        <v>187</v>
      </c>
      <c r="F334" s="155">
        <f>IFERROR(VLOOKUP(I334,'SINAPI-comp'!$B:$H,4,0)-G334,0)</f>
        <v>35.74</v>
      </c>
      <c r="G334" s="156">
        <f>IF(H334="SINAPI",IFERROR(VLOOKUP(I334,'SINAPI-comp'!$B:$H,7,0),VLOOKUP(I334,'SINAPI-insumo'!$B:$H,7,0)))</f>
        <v>8.94</v>
      </c>
      <c r="H334" s="168" t="s">
        <v>53</v>
      </c>
      <c r="I334" s="158">
        <v>91533</v>
      </c>
      <c r="J334" s="159">
        <f t="shared" ref="J334:K338" si="21">TRUNC($D334*F334,4)</f>
        <v>5.8399000000000001</v>
      </c>
      <c r="K334" s="159">
        <f t="shared" si="21"/>
        <v>1.4607000000000001</v>
      </c>
    </row>
    <row r="335" spans="1:11" ht="55.2" x14ac:dyDescent="0.3">
      <c r="A335" s="161">
        <v>2</v>
      </c>
      <c r="B335" s="152" t="str">
        <f>IF(H335="SINAPI",IFERROR(VLOOKUP(I335,'SINAPI-comp'!$B:$H,2,0),VLOOKUP(I335,'SINAPI-insumo'!$B:$H,2,0)))</f>
        <v>RETROESCAVADEIRA SOBRE RODAS COM CARREGADEIRA, TRAÇÃO 4X4, POTÊNCIA LÍQ. 88 HP, CAÇAMBA CARREG. CAP. MÍN. 1 M3, CAÇAMBA RETRO CAP. 0,26 M3, PESO OPERACIONAL MÍN. 6.674 KG, PROFUNDIDADE ESCAVAÇÃO MÁX. 4,37 M - CHI DIURNO. AF_06/2014</v>
      </c>
      <c r="C335" s="151" t="str">
        <f>IF(H335="SINAPI",IFERROR(VLOOKUP(I335,'SINAPI-comp'!$B:$H,3,0),VLOOKUP(I335,'SINAPI-insumo'!$B:$H,3,0)))</f>
        <v>CHI</v>
      </c>
      <c r="D335" s="153">
        <v>5.5100000000000003E-2</v>
      </c>
      <c r="E335" s="164" t="s">
        <v>187</v>
      </c>
      <c r="F335" s="155">
        <f>IFERROR(VLOOKUP(I335,'SINAPI-comp'!$B:$H,4,0)-G335,0)</f>
        <v>33.64</v>
      </c>
      <c r="G335" s="156">
        <f>IF(H335="SINAPI",IFERROR(VLOOKUP(I335,'SINAPI-comp'!$B:$H,7,0),VLOOKUP(I335,'SINAPI-insumo'!$B:$H,7,0)))</f>
        <v>32.64</v>
      </c>
      <c r="H335" s="168" t="s">
        <v>53</v>
      </c>
      <c r="I335" s="158">
        <v>5679</v>
      </c>
      <c r="J335" s="159">
        <f t="shared" si="21"/>
        <v>1.8534999999999999</v>
      </c>
      <c r="K335" s="159">
        <f t="shared" si="21"/>
        <v>1.7984</v>
      </c>
    </row>
    <row r="336" spans="1:11" ht="55.2" x14ac:dyDescent="0.3">
      <c r="A336" s="161">
        <v>3</v>
      </c>
      <c r="B336" s="152" t="str">
        <f>IF(H336="SINAPI",IFERROR(VLOOKUP(I336,'SINAPI-comp'!$B:$H,2,0),VLOOKUP(I336,'SINAPI-insumo'!$B:$H,2,0)))</f>
        <v>RETROESCAVADEIRA SOBRE RODAS COM CARREGADEIRA, TRAÇÃO 4X4, POTÊNCIA LÍQ. 88 HP, CAÇAMBA CARREG. CAP. MÍN. 1 M3, CAÇAMBA RETRO CAP. 0,26 M3, PESO OPERACIONAL MÍN. 6.674 KG, PROFUNDIDADE ESCAVAÇÃO MÁX. 4,37 M - CHP DIURNO. AF_06/2014</v>
      </c>
      <c r="C336" s="151" t="str">
        <f>IF(H336="SINAPI",IFERROR(VLOOKUP(I336,'SINAPI-comp'!$B:$H,3,0),VLOOKUP(I336,'SINAPI-insumo'!$B:$H,3,0)))</f>
        <v>CHP</v>
      </c>
      <c r="D336" s="153">
        <v>3.8199999999999998E-2</v>
      </c>
      <c r="E336" s="164" t="s">
        <v>187</v>
      </c>
      <c r="F336" s="155">
        <f>IFERROR(VLOOKUP(I336,'SINAPI-comp'!$B:$H,4,0)-G336,0)</f>
        <v>33.639999999999986</v>
      </c>
      <c r="G336" s="156">
        <f>IF(H336="SINAPI",IFERROR(VLOOKUP(I336,'SINAPI-comp'!$B:$H,7,0),VLOOKUP(I336,'SINAPI-insumo'!$B:$H,7,0)))</f>
        <v>119.93</v>
      </c>
      <c r="H336" s="168" t="s">
        <v>53</v>
      </c>
      <c r="I336" s="158">
        <v>5678</v>
      </c>
      <c r="J336" s="159">
        <f t="shared" si="21"/>
        <v>1.2849999999999999</v>
      </c>
      <c r="K336" s="159">
        <f t="shared" si="21"/>
        <v>4.5812999999999997</v>
      </c>
    </row>
    <row r="337" spans="1:11" x14ac:dyDescent="0.3">
      <c r="A337" s="161">
        <v>4</v>
      </c>
      <c r="B337" s="152" t="str">
        <f>IF(H337="SINAPI",IFERROR(VLOOKUP(I337,'SINAPI-comp'!$B:$H,2,0),VLOOKUP(I337,'SINAPI-insumo'!$B:$H,2,0)))</f>
        <v>SERVENTE COM ENCARGOS COMPLEMENTARES</v>
      </c>
      <c r="C337" s="151" t="str">
        <f>IF(H337="SINAPI",IFERROR(VLOOKUP(I337,'SINAPI-comp'!$B:$H,3,0),VLOOKUP(I337,'SINAPI-insumo'!$B:$H,3,0)))</f>
        <v>H</v>
      </c>
      <c r="D337" s="153">
        <v>5.21E-2</v>
      </c>
      <c r="E337" s="164" t="s">
        <v>187</v>
      </c>
      <c r="F337" s="155">
        <f>IFERROR(VLOOKUP(I337,'SINAPI-comp'!$B:$H,4,0)-G337,0)</f>
        <v>25.81</v>
      </c>
      <c r="G337" s="156">
        <f>IF(H337="SINAPI",IFERROR(VLOOKUP(I337,'SINAPI-comp'!$B:$H,7,0),VLOOKUP(I337,'SINAPI-insumo'!$B:$H,7,0)))</f>
        <v>0</v>
      </c>
      <c r="H337" s="168" t="s">
        <v>53</v>
      </c>
      <c r="I337" s="158">
        <v>88316</v>
      </c>
      <c r="J337" s="159">
        <f t="shared" si="21"/>
        <v>1.3447</v>
      </c>
      <c r="K337" s="159">
        <f t="shared" si="21"/>
        <v>0</v>
      </c>
    </row>
    <row r="338" spans="1:11" ht="27.6" x14ac:dyDescent="0.3">
      <c r="A338" s="161">
        <v>5</v>
      </c>
      <c r="B338" s="160" t="str">
        <f>IF(OR(H338="SINAPI",H338="SINAPI-I"),IFERROR(VLOOKUP(I338,'SINAPI-comp'!$B:$H,2,0),VLOOKUP(I338,'SINAPI-insumo'!$B:$H,2,0)))</f>
        <v>PEDRA BRITADA N. 0, OU PEDRISCO (4,8 A 9,5 MM) POSTO PEDREIRA/FORNECEDOR, SEM FRETE</v>
      </c>
      <c r="C338" s="151" t="str">
        <f>IF(OR(H338="SINAPI",H338="SINAPI-I"),IFERROR(VLOOKUP(I338,'SINAPI-comp'!$B:$H,3,0),VLOOKUP(I338,'SINAPI-insumo'!$B:$H,3,0)))</f>
        <v>M3</v>
      </c>
      <c r="D338" s="153">
        <v>1.1000000000000001</v>
      </c>
      <c r="E338" s="164" t="s">
        <v>188</v>
      </c>
      <c r="F338" s="155">
        <f>IFERROR(VLOOKUP(I338,'SINAPI-comp'!$B:$H,4,0)-G338,0)</f>
        <v>0</v>
      </c>
      <c r="G338" s="156">
        <f>IF(OR(H338="SINAPI",H338="SINAPI-I"),IFERROR(VLOOKUP(I338,'SINAPI-comp'!$B:$H,7,0),VLOOKUP(I338,'SINAPI-insumo'!$B:$H,7,0)))</f>
        <v>117.95</v>
      </c>
      <c r="H338" s="157" t="s">
        <v>149</v>
      </c>
      <c r="I338" s="158">
        <v>4720</v>
      </c>
      <c r="J338" s="159">
        <f t="shared" si="21"/>
        <v>0</v>
      </c>
      <c r="K338" s="159">
        <f t="shared" si="21"/>
        <v>129.745</v>
      </c>
    </row>
    <row r="341" spans="1:11" s="494" customFormat="1" x14ac:dyDescent="0.25">
      <c r="A341" s="674" t="s">
        <v>131</v>
      </c>
      <c r="B341" s="674" t="s">
        <v>132</v>
      </c>
      <c r="C341" s="675"/>
      <c r="D341" s="511"/>
      <c r="E341" s="675"/>
      <c r="F341" s="675"/>
      <c r="G341" s="675"/>
      <c r="H341" s="676" t="s">
        <v>133</v>
      </c>
      <c r="I341" s="677"/>
      <c r="J341" s="512" t="s">
        <v>134</v>
      </c>
      <c r="K341" s="512" t="s">
        <v>15795</v>
      </c>
    </row>
    <row r="342" spans="1:11" x14ac:dyDescent="0.3">
      <c r="A342" s="136" t="s">
        <v>103</v>
      </c>
      <c r="B342" s="137" t="s">
        <v>16013</v>
      </c>
      <c r="C342" s="173"/>
      <c r="D342" s="174"/>
      <c r="E342" s="138"/>
      <c r="F342" s="140"/>
      <c r="G342" s="140"/>
      <c r="H342" s="141" t="s">
        <v>159</v>
      </c>
      <c r="I342" s="175"/>
      <c r="J342" s="143">
        <f>TRUNC(SUM(J344:J349),2)</f>
        <v>16.34</v>
      </c>
      <c r="K342" s="143">
        <f>TRUNC(SUM(K344:K349),2)</f>
        <v>32.42</v>
      </c>
    </row>
    <row r="343" spans="1:11" s="687" customFormat="1" ht="27.6" x14ac:dyDescent="0.25">
      <c r="A343" s="522" t="s">
        <v>137</v>
      </c>
      <c r="B343" s="523" t="s">
        <v>19</v>
      </c>
      <c r="C343" s="524" t="s">
        <v>20</v>
      </c>
      <c r="D343" s="682" t="s">
        <v>138</v>
      </c>
      <c r="E343" s="525" t="s">
        <v>139</v>
      </c>
      <c r="F343" s="683" t="s">
        <v>140</v>
      </c>
      <c r="G343" s="684" t="s">
        <v>15796</v>
      </c>
      <c r="H343" s="685" t="s">
        <v>142</v>
      </c>
      <c r="I343" s="686"/>
      <c r="J343" s="684" t="s">
        <v>143</v>
      </c>
      <c r="K343" s="684" t="s">
        <v>15797</v>
      </c>
    </row>
    <row r="344" spans="1:11" ht="27.6" x14ac:dyDescent="0.3">
      <c r="A344" s="161">
        <v>1</v>
      </c>
      <c r="B344" s="152" t="str">
        <f>IF(H344="SINAPI",IFERROR(VLOOKUP(I344,'SINAPI-comp'!$B:$H,2,0),VLOOKUP(I344,'SINAPI-insumo'!$B:$H,2,0)))</f>
        <v>ARGAMASSA TRAÇO 1:3 (EM VOLUME DE CIMENTO E AREIA MÉDIA ÚMIDA), PREPARO MANUAL. AF_07/2026</v>
      </c>
      <c r="C344" s="151" t="str">
        <f>IF(H344="SINAPI",IFERROR(VLOOKUP(I344,'SINAPI-comp'!$B:$H,3,0),VLOOKUP(I344,'SINAPI-insumo'!$B:$H,3,0)))</f>
        <v>M3</v>
      </c>
      <c r="D344" s="153">
        <v>6.9999999999999999E-4</v>
      </c>
      <c r="E344" s="164" t="s">
        <v>189</v>
      </c>
      <c r="F344" s="155">
        <f>IFERROR(VLOOKUP(I344,'SINAPI-comp'!$B:$H,4,0)-G344,0)</f>
        <v>317.87</v>
      </c>
      <c r="G344" s="156">
        <f>IF(H344="SINAPI",IFERROR(VLOOKUP(I344,'SINAPI-comp'!$B:$H,7,0),VLOOKUP(I344,'SINAPI-insumo'!$B:$H,7,0)))</f>
        <v>552.51</v>
      </c>
      <c r="H344" s="168" t="s">
        <v>53</v>
      </c>
      <c r="I344" s="158">
        <v>88629</v>
      </c>
      <c r="J344" s="159">
        <f t="shared" ref="J344:K349" si="22">TRUNC($D344*F344,4)</f>
        <v>0.2225</v>
      </c>
      <c r="K344" s="159">
        <f t="shared" si="22"/>
        <v>0.38669999999999999</v>
      </c>
    </row>
    <row r="345" spans="1:11" x14ac:dyDescent="0.3">
      <c r="A345" s="161">
        <v>2</v>
      </c>
      <c r="B345" s="152" t="str">
        <f>IF(H345="SINAPI",IFERROR(VLOOKUP(I345,'SINAPI-comp'!$B:$H,2,0),VLOOKUP(I345,'SINAPI-insumo'!$B:$H,2,0)))</f>
        <v>ASSENTADOR DE TUBOS COM ENCARGOS COMPLEMENTARES</v>
      </c>
      <c r="C345" s="151" t="str">
        <f>IF(H345="SINAPI",IFERROR(VLOOKUP(I345,'SINAPI-comp'!$B:$H,3,0),VLOOKUP(I345,'SINAPI-insumo'!$B:$H,3,0)))</f>
        <v>H</v>
      </c>
      <c r="D345" s="153">
        <v>0.1726</v>
      </c>
      <c r="E345" s="164" t="s">
        <v>189</v>
      </c>
      <c r="F345" s="155">
        <f>IFERROR(VLOOKUP(I345,'SINAPI-comp'!$B:$H,4,0)-G345,0)</f>
        <v>19.670000000000002</v>
      </c>
      <c r="G345" s="156">
        <f>IF(H345="SINAPI",IFERROR(VLOOKUP(I345,'SINAPI-comp'!$B:$H,7,0),VLOOKUP(I345,'SINAPI-insumo'!$B:$H,7,0)))</f>
        <v>0</v>
      </c>
      <c r="H345" s="168" t="s">
        <v>53</v>
      </c>
      <c r="I345" s="158">
        <v>88246</v>
      </c>
      <c r="J345" s="159">
        <f t="shared" si="22"/>
        <v>3.395</v>
      </c>
      <c r="K345" s="159">
        <f t="shared" si="22"/>
        <v>0</v>
      </c>
    </row>
    <row r="346" spans="1:11" ht="27.6" x14ac:dyDescent="0.3">
      <c r="A346" s="161">
        <v>3</v>
      </c>
      <c r="B346" s="152" t="str">
        <f>IF(H346="SINAPI",IFERROR(VLOOKUP(I346,'SINAPI-comp'!$B:$H,2,0),VLOOKUP(I346,'SINAPI-insumo'!$B:$H,2,0)))</f>
        <v>ESCAVADEIRA HIDRÁULICA SOBRE ESTEIRAS, CAÇAMBA 0,80 M3, PESO OPERACIONAL 17 T, POTENCIA BRUTA 111 HP - CHI DIURNO. AF_06/2014</v>
      </c>
      <c r="C346" s="151" t="str">
        <f>IF(H346="SINAPI",IFERROR(VLOOKUP(I346,'SINAPI-comp'!$B:$H,3,0),VLOOKUP(I346,'SINAPI-insumo'!$B:$H,3,0)))</f>
        <v>CHI</v>
      </c>
      <c r="D346" s="153">
        <v>7.4999999999999997E-2</v>
      </c>
      <c r="E346" s="164" t="s">
        <v>189</v>
      </c>
      <c r="F346" s="155">
        <f>IFERROR(VLOOKUP(I346,'SINAPI-comp'!$B:$H,4,0)-G346,0)</f>
        <v>33.629999999999995</v>
      </c>
      <c r="G346" s="156">
        <f>IF(H346="SINAPI",IFERROR(VLOOKUP(I346,'SINAPI-comp'!$B:$H,7,0),VLOOKUP(I346,'SINAPI-insumo'!$B:$H,7,0)))</f>
        <v>57.7</v>
      </c>
      <c r="H346" s="168" t="s">
        <v>53</v>
      </c>
      <c r="I346" s="158">
        <v>5632</v>
      </c>
      <c r="J346" s="159">
        <f t="shared" si="22"/>
        <v>2.5222000000000002</v>
      </c>
      <c r="K346" s="159">
        <f t="shared" si="22"/>
        <v>4.3274999999999997</v>
      </c>
    </row>
    <row r="347" spans="1:11" ht="27.6" x14ac:dyDescent="0.3">
      <c r="A347" s="161">
        <v>4</v>
      </c>
      <c r="B347" s="152" t="str">
        <f>IF(H347="SINAPI",IFERROR(VLOOKUP(I347,'SINAPI-comp'!$B:$H,2,0),VLOOKUP(I347,'SINAPI-insumo'!$B:$H,2,0)))</f>
        <v>ESCAVADEIRA HIDRÁULICA SOBRE ESTEIRAS, CAÇAMBA 0,80 M3, PESO OPERACIONAL 17 T, POTENCIA BRUTA 111 HP - CHP DIURNO. AF_06/2014</v>
      </c>
      <c r="C347" s="151" t="str">
        <f>IF(H347="SINAPI",IFERROR(VLOOKUP(I347,'SINAPI-comp'!$B:$H,3,0),VLOOKUP(I347,'SINAPI-insumo'!$B:$H,3,0)))</f>
        <v>CHP</v>
      </c>
      <c r="D347" s="153">
        <v>3.8600000000000002E-2</v>
      </c>
      <c r="E347" s="164" t="s">
        <v>189</v>
      </c>
      <c r="F347" s="155">
        <f>IFERROR(VLOOKUP(I347,'SINAPI-comp'!$B:$H,4,0)-G347,0)</f>
        <v>33.640000000000015</v>
      </c>
      <c r="G347" s="156">
        <f>IF(H347="SINAPI",IFERROR(VLOOKUP(I347,'SINAPI-comp'!$B:$H,7,0),VLOOKUP(I347,'SINAPI-insumo'!$B:$H,7,0)))</f>
        <v>184.2</v>
      </c>
      <c r="H347" s="168" t="s">
        <v>53</v>
      </c>
      <c r="I347" s="158">
        <v>5631</v>
      </c>
      <c r="J347" s="159">
        <f t="shared" si="22"/>
        <v>1.2985</v>
      </c>
      <c r="K347" s="159">
        <f t="shared" si="22"/>
        <v>7.1101000000000001</v>
      </c>
    </row>
    <row r="348" spans="1:11" x14ac:dyDescent="0.3">
      <c r="A348" s="161">
        <v>5</v>
      </c>
      <c r="B348" s="152" t="str">
        <f>IF(H348="SINAPI",IFERROR(VLOOKUP(I348,'SINAPI-comp'!$B:$H,2,0),VLOOKUP(I348,'SINAPI-insumo'!$B:$H,2,0)))</f>
        <v>SERVENTE COM ENCARGOS COMPLEMENTARES</v>
      </c>
      <c r="C348" s="151" t="str">
        <f>IF(H348="SINAPI",IFERROR(VLOOKUP(I348,'SINAPI-comp'!$B:$H,3,0),VLOOKUP(I348,'SINAPI-insumo'!$B:$H,3,0)))</f>
        <v>H</v>
      </c>
      <c r="D348" s="153">
        <v>0.34520000000000001</v>
      </c>
      <c r="E348" s="164" t="s">
        <v>189</v>
      </c>
      <c r="F348" s="155">
        <f>IFERROR(VLOOKUP(I348,'SINAPI-comp'!$B:$H,4,0)-G348,0)</f>
        <v>25.81</v>
      </c>
      <c r="G348" s="156">
        <f>IF(H348="SINAPI",IFERROR(VLOOKUP(I348,'SINAPI-comp'!$B:$H,7,0),VLOOKUP(I348,'SINAPI-insumo'!$B:$H,7,0)))</f>
        <v>0</v>
      </c>
      <c r="H348" s="168" t="s">
        <v>53</v>
      </c>
      <c r="I348" s="158">
        <v>88316</v>
      </c>
      <c r="J348" s="159">
        <f t="shared" ref="J348" si="23">TRUNC($D348*F348,4)</f>
        <v>8.9095999999999993</v>
      </c>
      <c r="K348" s="159">
        <f t="shared" ref="K348" si="24">TRUNC($D348*G348,4)</f>
        <v>0</v>
      </c>
    </row>
    <row r="349" spans="1:11" ht="27.6" x14ac:dyDescent="0.3">
      <c r="A349" s="161">
        <v>6</v>
      </c>
      <c r="B349" s="152" t="str">
        <f>IF(H349="SINAPI",IFERROR(VLOOKUP(I349,'SINAPI-comp'!$B:$H,2,0),VLOOKUP(I349,'SINAPI-insumo'!$B:$H,2,0)))</f>
        <v>ANEL DE VEDACAO/JUNTA ELASTICA, H = *16* MM, PARA TUBO DE CONCRETO, DN 300 MM</v>
      </c>
      <c r="C349" s="151" t="str">
        <f>IF(H349="SINAPI",IFERROR(VLOOKUP(I349,'SINAPI-comp'!$B:$H,3,0),VLOOKUP(I349,'SINAPI-insumo'!$B:$H,3,0)))</f>
        <v>UN</v>
      </c>
      <c r="D349" s="153">
        <v>1</v>
      </c>
      <c r="E349" s="164"/>
      <c r="F349" s="155">
        <f>IFERROR(VLOOKUP(I349,'SINAPI-comp'!$B:$H,4,0)-G349,0)</f>
        <v>0</v>
      </c>
      <c r="G349" s="156">
        <f>IF(H349="SINAPI",IFERROR(VLOOKUP(I349,'SINAPI-comp'!$B:$H,7,0),VLOOKUP(I349,'SINAPI-insumo'!$B:$H,7,0)))</f>
        <v>20.6</v>
      </c>
      <c r="H349" s="168" t="s">
        <v>53</v>
      </c>
      <c r="I349" s="158">
        <v>40340</v>
      </c>
      <c r="J349" s="159">
        <f t="shared" si="22"/>
        <v>0</v>
      </c>
      <c r="K349" s="159">
        <f t="shared" si="22"/>
        <v>20.6</v>
      </c>
    </row>
    <row r="352" spans="1:11" s="494" customFormat="1" x14ac:dyDescent="0.25">
      <c r="A352" s="674" t="s">
        <v>131</v>
      </c>
      <c r="B352" s="674" t="s">
        <v>132</v>
      </c>
      <c r="C352" s="675"/>
      <c r="D352" s="511"/>
      <c r="E352" s="675"/>
      <c r="F352" s="675"/>
      <c r="G352" s="675"/>
      <c r="H352" s="676" t="s">
        <v>133</v>
      </c>
      <c r="I352" s="677"/>
      <c r="J352" s="512" t="s">
        <v>134</v>
      </c>
      <c r="K352" s="512" t="s">
        <v>15795</v>
      </c>
    </row>
    <row r="353" spans="1:11" x14ac:dyDescent="0.3">
      <c r="A353" s="136" t="s">
        <v>105</v>
      </c>
      <c r="B353" s="137" t="s">
        <v>16010</v>
      </c>
      <c r="C353" s="173"/>
      <c r="D353" s="174"/>
      <c r="E353" s="138"/>
      <c r="F353" s="140"/>
      <c r="G353" s="140"/>
      <c r="H353" s="141" t="s">
        <v>159</v>
      </c>
      <c r="I353" s="175"/>
      <c r="J353" s="143">
        <f>TRUNC(SUM(J355:J360),2)</f>
        <v>22.72</v>
      </c>
      <c r="K353" s="143">
        <f>TRUNC(SUM(K355:K360),2)</f>
        <v>41.22</v>
      </c>
    </row>
    <row r="354" spans="1:11" s="687" customFormat="1" ht="27.6" x14ac:dyDescent="0.25">
      <c r="A354" s="522" t="s">
        <v>137</v>
      </c>
      <c r="B354" s="523" t="s">
        <v>19</v>
      </c>
      <c r="C354" s="524" t="s">
        <v>20</v>
      </c>
      <c r="D354" s="682" t="s">
        <v>138</v>
      </c>
      <c r="E354" s="525" t="s">
        <v>139</v>
      </c>
      <c r="F354" s="683" t="s">
        <v>140</v>
      </c>
      <c r="G354" s="684" t="s">
        <v>15796</v>
      </c>
      <c r="H354" s="685" t="s">
        <v>142</v>
      </c>
      <c r="I354" s="686"/>
      <c r="J354" s="684" t="s">
        <v>143</v>
      </c>
      <c r="K354" s="684" t="s">
        <v>15797</v>
      </c>
    </row>
    <row r="355" spans="1:11" ht="27.6" x14ac:dyDescent="0.3">
      <c r="A355" s="161">
        <v>1</v>
      </c>
      <c r="B355" s="152" t="str">
        <f>IF(H355="SINAPI",IFERROR(VLOOKUP(I355,'SINAPI-comp'!$B:$H,2,0),VLOOKUP(I355,'SINAPI-insumo'!$B:$H,2,0)))</f>
        <v>ARGAMASSA TRAÇO 1:3 (EM VOLUME DE CIMENTO E AREIA MÉDIA ÚMIDA), PREPARO MANUAL. AF_07/2026</v>
      </c>
      <c r="C355" s="151" t="str">
        <f>IF(H355="SINAPI",IFERROR(VLOOKUP(I355,'SINAPI-comp'!$B:$H,3,0),VLOOKUP(I355,'SINAPI-insumo'!$B:$H,3,0)))</f>
        <v>M3</v>
      </c>
      <c r="D355" s="153">
        <v>1.6000000000000001E-3</v>
      </c>
      <c r="E355" s="164" t="s">
        <v>190</v>
      </c>
      <c r="F355" s="155">
        <f>IFERROR(VLOOKUP(I355,'SINAPI-comp'!$B:$H,4,0)-G355,0)</f>
        <v>317.87</v>
      </c>
      <c r="G355" s="156">
        <f>IF(H355="SINAPI",IFERROR(VLOOKUP(I355,'SINAPI-comp'!$B:$H,7,0),VLOOKUP(I355,'SINAPI-insumo'!$B:$H,7,0)))</f>
        <v>552.51</v>
      </c>
      <c r="H355" s="168" t="s">
        <v>53</v>
      </c>
      <c r="I355" s="158">
        <v>88629</v>
      </c>
      <c r="J355" s="159">
        <f t="shared" ref="J355:K358" si="25">TRUNC($D355*F355,4)</f>
        <v>0.50849999999999995</v>
      </c>
      <c r="K355" s="159">
        <f t="shared" si="25"/>
        <v>0.88400000000000001</v>
      </c>
    </row>
    <row r="356" spans="1:11" x14ac:dyDescent="0.3">
      <c r="A356" s="161">
        <v>2</v>
      </c>
      <c r="B356" s="152" t="str">
        <f>IF(H356="SINAPI",IFERROR(VLOOKUP(I356,'SINAPI-comp'!$B:$H,2,0),VLOOKUP(I356,'SINAPI-insumo'!$B:$H,2,0)))</f>
        <v>ASSENTADOR DE TUBOS COM ENCARGOS COMPLEMENTARES</v>
      </c>
      <c r="C356" s="151" t="str">
        <f>IF(H356="SINAPI",IFERROR(VLOOKUP(I356,'SINAPI-comp'!$B:$H,3,0),VLOOKUP(I356,'SINAPI-insumo'!$B:$H,3,0)))</f>
        <v>H</v>
      </c>
      <c r="D356" s="153">
        <v>0.2379</v>
      </c>
      <c r="E356" s="164" t="s">
        <v>190</v>
      </c>
      <c r="F356" s="155">
        <f>IFERROR(VLOOKUP(I356,'SINAPI-comp'!$B:$H,4,0)-G356,0)</f>
        <v>19.670000000000002</v>
      </c>
      <c r="G356" s="156">
        <f>IF(H356="SINAPI",IFERROR(VLOOKUP(I356,'SINAPI-comp'!$B:$H,7,0),VLOOKUP(I356,'SINAPI-insumo'!$B:$H,7,0)))</f>
        <v>0</v>
      </c>
      <c r="H356" s="168" t="s">
        <v>53</v>
      </c>
      <c r="I356" s="158">
        <v>88246</v>
      </c>
      <c r="J356" s="159">
        <f t="shared" si="25"/>
        <v>4.6794000000000002</v>
      </c>
      <c r="K356" s="159">
        <f t="shared" si="25"/>
        <v>0</v>
      </c>
    </row>
    <row r="357" spans="1:11" ht="27.6" x14ac:dyDescent="0.3">
      <c r="A357" s="161">
        <v>3</v>
      </c>
      <c r="B357" s="152" t="str">
        <f>IF(H357="SINAPI",IFERROR(VLOOKUP(I357,'SINAPI-comp'!$B:$H,2,0),VLOOKUP(I357,'SINAPI-insumo'!$B:$H,2,0)))</f>
        <v>ESCAVADEIRA HIDRÁULICA SOBRE ESTEIRAS, CAÇAMBA 0,80 M3, PESO OPERACIONAL 17 T, POTENCIA BRUTA 111 HP - CHI DIURNO. AF_06/2014</v>
      </c>
      <c r="C357" s="151" t="str">
        <f>IF(H357="SINAPI",IFERROR(VLOOKUP(I357,'SINAPI-comp'!$B:$H,3,0),VLOOKUP(I357,'SINAPI-insumo'!$B:$H,3,0)))</f>
        <v>CHI</v>
      </c>
      <c r="D357" s="153">
        <v>0.1033</v>
      </c>
      <c r="E357" s="164" t="s">
        <v>190</v>
      </c>
      <c r="F357" s="155">
        <f>IFERROR(VLOOKUP(I357,'SINAPI-comp'!$B:$H,4,0)-G357,0)</f>
        <v>33.629999999999995</v>
      </c>
      <c r="G357" s="156">
        <f>IF(H357="SINAPI",IFERROR(VLOOKUP(I357,'SINAPI-comp'!$B:$H,7,0),VLOOKUP(I357,'SINAPI-insumo'!$B:$H,7,0)))</f>
        <v>57.7</v>
      </c>
      <c r="H357" s="168" t="s">
        <v>53</v>
      </c>
      <c r="I357" s="158">
        <v>5632</v>
      </c>
      <c r="J357" s="159">
        <f t="shared" si="25"/>
        <v>3.4739</v>
      </c>
      <c r="K357" s="159">
        <f t="shared" si="25"/>
        <v>5.9603999999999999</v>
      </c>
    </row>
    <row r="358" spans="1:11" ht="27.6" x14ac:dyDescent="0.3">
      <c r="A358" s="161">
        <v>4</v>
      </c>
      <c r="B358" s="152" t="str">
        <f>IF(H358="SINAPI",IFERROR(VLOOKUP(I358,'SINAPI-comp'!$B:$H,2,0),VLOOKUP(I358,'SINAPI-insumo'!$B:$H,2,0)))</f>
        <v>ESCAVADEIRA HIDRÁULICA SOBRE ESTEIRAS, CAÇAMBA 0,80 M3, PESO OPERACIONAL 17 T, POTENCIA BRUTA 111 HP - CHP DIURNO. AF_06/2014</v>
      </c>
      <c r="C358" s="151" t="str">
        <f>IF(H358="SINAPI",IFERROR(VLOOKUP(I358,'SINAPI-comp'!$B:$H,3,0),VLOOKUP(I358,'SINAPI-insumo'!$B:$H,3,0)))</f>
        <v>CHP</v>
      </c>
      <c r="D358" s="153">
        <v>5.3199999999999997E-2</v>
      </c>
      <c r="E358" s="164" t="s">
        <v>190</v>
      </c>
      <c r="F358" s="155">
        <f>IFERROR(VLOOKUP(I358,'SINAPI-comp'!$B:$H,4,0)-G358,0)</f>
        <v>33.640000000000015</v>
      </c>
      <c r="G358" s="156">
        <f>IF(H358="SINAPI",IFERROR(VLOOKUP(I358,'SINAPI-comp'!$B:$H,7,0),VLOOKUP(I358,'SINAPI-insumo'!$B:$H,7,0)))</f>
        <v>184.2</v>
      </c>
      <c r="H358" s="168" t="s">
        <v>53</v>
      </c>
      <c r="I358" s="158">
        <v>5631</v>
      </c>
      <c r="J358" s="159">
        <f t="shared" si="25"/>
        <v>1.7896000000000001</v>
      </c>
      <c r="K358" s="159">
        <f t="shared" si="25"/>
        <v>9.7994000000000003</v>
      </c>
    </row>
    <row r="359" spans="1:11" x14ac:dyDescent="0.3">
      <c r="A359" s="161">
        <v>5</v>
      </c>
      <c r="B359" s="152" t="str">
        <f>IF(H359="SINAPI",IFERROR(VLOOKUP(I359,'SINAPI-comp'!$B:$H,2,0),VLOOKUP(I359,'SINAPI-insumo'!$B:$H,2,0)))</f>
        <v>SERVENTE COM ENCARGOS COMPLEMENTARES</v>
      </c>
      <c r="C359" s="151" t="str">
        <f>IF(H359="SINAPI",IFERROR(VLOOKUP(I359,'SINAPI-comp'!$B:$H,3,0),VLOOKUP(I359,'SINAPI-insumo'!$B:$H,3,0)))</f>
        <v>H</v>
      </c>
      <c r="D359" s="153">
        <v>0.47570000000000001</v>
      </c>
      <c r="E359" s="164" t="s">
        <v>190</v>
      </c>
      <c r="F359" s="155">
        <f>IFERROR(VLOOKUP(I359,'SINAPI-comp'!$B:$H,4,0)-G359,0)</f>
        <v>25.81</v>
      </c>
      <c r="G359" s="156">
        <f>IF(H359="SINAPI",IFERROR(VLOOKUP(I359,'SINAPI-comp'!$B:$H,7,0),VLOOKUP(I359,'SINAPI-insumo'!$B:$H,7,0)))</f>
        <v>0</v>
      </c>
      <c r="H359" s="168" t="s">
        <v>53</v>
      </c>
      <c r="I359" s="158">
        <v>88316</v>
      </c>
      <c r="J359" s="159">
        <f t="shared" ref="J359:J360" si="26">TRUNC($D359*F359,4)</f>
        <v>12.277799999999999</v>
      </c>
      <c r="K359" s="159">
        <f t="shared" ref="K359:K360" si="27">TRUNC($D359*G359,4)</f>
        <v>0</v>
      </c>
    </row>
    <row r="360" spans="1:11" ht="27.6" x14ac:dyDescent="0.3">
      <c r="A360" s="161">
        <v>6</v>
      </c>
      <c r="B360" s="152" t="str">
        <f>IF(H360="SINAPI",IFERROR(VLOOKUP(I360,'SINAPI-comp'!$B:$H,2,0),VLOOKUP(I360,'SINAPI-insumo'!$B:$H,2,0)))</f>
        <v>ANEL DE VEDACAO/JUNTA ELASTICA, H = *16* MM, PARA TUBO DE CONCRETO, DN 400 MM</v>
      </c>
      <c r="C360" s="151" t="str">
        <f>IF(H360="SINAPI",IFERROR(VLOOKUP(I360,'SINAPI-comp'!$B:$H,3,0),VLOOKUP(I360,'SINAPI-insumo'!$B:$H,3,0)))</f>
        <v>UN</v>
      </c>
      <c r="D360" s="153">
        <v>1</v>
      </c>
      <c r="E360" s="164"/>
      <c r="F360" s="155">
        <f>IFERROR(VLOOKUP(I360,'SINAPI-comp'!$B:$H,4,0)-G360,0)</f>
        <v>0</v>
      </c>
      <c r="G360" s="156">
        <f>IF(H360="SINAPI",IFERROR(VLOOKUP(I360,'SINAPI-comp'!$B:$H,7,0),VLOOKUP(I360,'SINAPI-insumo'!$B:$H,7,0)))</f>
        <v>24.58</v>
      </c>
      <c r="H360" s="168" t="s">
        <v>53</v>
      </c>
      <c r="I360" s="158">
        <v>40341</v>
      </c>
      <c r="J360" s="159">
        <f t="shared" si="26"/>
        <v>0</v>
      </c>
      <c r="K360" s="159">
        <f t="shared" si="27"/>
        <v>24.58</v>
      </c>
    </row>
    <row r="363" spans="1:11" s="494" customFormat="1" x14ac:dyDescent="0.25">
      <c r="A363" s="674" t="s">
        <v>131</v>
      </c>
      <c r="B363" s="674" t="s">
        <v>132</v>
      </c>
      <c r="C363" s="675"/>
      <c r="D363" s="511"/>
      <c r="E363" s="675"/>
      <c r="F363" s="675"/>
      <c r="G363" s="675"/>
      <c r="H363" s="676" t="s">
        <v>133</v>
      </c>
      <c r="I363" s="677"/>
      <c r="J363" s="512" t="s">
        <v>134</v>
      </c>
      <c r="K363" s="512" t="s">
        <v>15795</v>
      </c>
    </row>
    <row r="364" spans="1:11" x14ac:dyDescent="0.3">
      <c r="A364" s="136" t="s">
        <v>107</v>
      </c>
      <c r="B364" s="137" t="s">
        <v>16011</v>
      </c>
      <c r="C364" s="173"/>
      <c r="D364" s="174"/>
      <c r="E364" s="138"/>
      <c r="F364" s="140"/>
      <c r="G364" s="140"/>
      <c r="H364" s="141" t="s">
        <v>159</v>
      </c>
      <c r="I364" s="175"/>
      <c r="J364" s="143">
        <f>TRUNC(SUM(J366:J371),2)</f>
        <v>29.27</v>
      </c>
      <c r="K364" s="143">
        <f>TRUNC(SUM(K366:K371),2)</f>
        <v>51.06</v>
      </c>
    </row>
    <row r="365" spans="1:11" s="687" customFormat="1" ht="27.6" x14ac:dyDescent="0.25">
      <c r="A365" s="522" t="s">
        <v>137</v>
      </c>
      <c r="B365" s="523" t="s">
        <v>19</v>
      </c>
      <c r="C365" s="524" t="s">
        <v>20</v>
      </c>
      <c r="D365" s="682" t="s">
        <v>138</v>
      </c>
      <c r="E365" s="525" t="s">
        <v>139</v>
      </c>
      <c r="F365" s="683" t="s">
        <v>140</v>
      </c>
      <c r="G365" s="684" t="s">
        <v>15796</v>
      </c>
      <c r="H365" s="685" t="s">
        <v>142</v>
      </c>
      <c r="I365" s="686"/>
      <c r="J365" s="684" t="s">
        <v>143</v>
      </c>
      <c r="K365" s="684" t="s">
        <v>15797</v>
      </c>
    </row>
    <row r="366" spans="1:11" ht="27.6" x14ac:dyDescent="0.3">
      <c r="A366" s="161">
        <v>1</v>
      </c>
      <c r="B366" s="152" t="str">
        <f>IF(H366="SINAPI",IFERROR(VLOOKUP(I366,'SINAPI-comp'!$B:$H,2,0),VLOOKUP(I366,'SINAPI-insumo'!$B:$H,2,0)))</f>
        <v>ARGAMASSA TRAÇO 1:3 (EM VOLUME DE CIMENTO E AREIA MÉDIA ÚMIDA), PREPARO MANUAL. AF_07/2026</v>
      </c>
      <c r="C366" s="151" t="str">
        <f>IF(H366="SINAPI",IFERROR(VLOOKUP(I366,'SINAPI-comp'!$B:$H,3,0),VLOOKUP(I366,'SINAPI-insumo'!$B:$H,3,0)))</f>
        <v>M3</v>
      </c>
      <c r="D366" s="153">
        <v>3.0000000000000001E-3</v>
      </c>
      <c r="E366" s="164" t="s">
        <v>191</v>
      </c>
      <c r="F366" s="155">
        <f>IFERROR(VLOOKUP(I366,'SINAPI-comp'!$B:$H,4,0)-G366,0)</f>
        <v>317.87</v>
      </c>
      <c r="G366" s="156">
        <f>IF(H366="SINAPI",IFERROR(VLOOKUP(I366,'SINAPI-comp'!$B:$H,7,0),VLOOKUP(I366,'SINAPI-insumo'!$B:$H,7,0)))</f>
        <v>552.51</v>
      </c>
      <c r="H366" s="168" t="s">
        <v>53</v>
      </c>
      <c r="I366" s="158">
        <v>88629</v>
      </c>
      <c r="J366" s="159">
        <f t="shared" ref="J366:K369" si="28">TRUNC($D366*F366,4)</f>
        <v>0.9536</v>
      </c>
      <c r="K366" s="159">
        <f t="shared" si="28"/>
        <v>1.6575</v>
      </c>
    </row>
    <row r="367" spans="1:11" x14ac:dyDescent="0.3">
      <c r="A367" s="161">
        <v>2</v>
      </c>
      <c r="B367" s="152" t="str">
        <f>IF(H367="SINAPI",IFERROR(VLOOKUP(I367,'SINAPI-comp'!$B:$H,2,0),VLOOKUP(I367,'SINAPI-insumo'!$B:$H,2,0)))</f>
        <v>ASSENTADOR DE TUBOS COM ENCARGOS COMPLEMENTARES</v>
      </c>
      <c r="C367" s="151" t="str">
        <f>IF(H367="SINAPI",IFERROR(VLOOKUP(I367,'SINAPI-comp'!$B:$H,3,0),VLOOKUP(I367,'SINAPI-insumo'!$B:$H,3,0)))</f>
        <v>H</v>
      </c>
      <c r="D367" s="153">
        <v>0.30309999999999998</v>
      </c>
      <c r="E367" s="164" t="s">
        <v>191</v>
      </c>
      <c r="F367" s="155">
        <f>IFERROR(VLOOKUP(I367,'SINAPI-comp'!$B:$H,4,0)-G367,0)</f>
        <v>19.670000000000002</v>
      </c>
      <c r="G367" s="156">
        <f>IF(H367="SINAPI",IFERROR(VLOOKUP(I367,'SINAPI-comp'!$B:$H,7,0),VLOOKUP(I367,'SINAPI-insumo'!$B:$H,7,0)))</f>
        <v>0</v>
      </c>
      <c r="H367" s="168" t="s">
        <v>53</v>
      </c>
      <c r="I367" s="158">
        <v>88246</v>
      </c>
      <c r="J367" s="159">
        <f t="shared" si="28"/>
        <v>5.9619</v>
      </c>
      <c r="K367" s="159">
        <f t="shared" si="28"/>
        <v>0</v>
      </c>
    </row>
    <row r="368" spans="1:11" ht="27.6" x14ac:dyDescent="0.3">
      <c r="A368" s="161">
        <v>3</v>
      </c>
      <c r="B368" s="152" t="str">
        <f>IF(H368="SINAPI",IFERROR(VLOOKUP(I368,'SINAPI-comp'!$B:$H,2,0),VLOOKUP(I368,'SINAPI-insumo'!$B:$H,2,0)))</f>
        <v>ESCAVADEIRA HIDRÁULICA SOBRE ESTEIRAS, CAÇAMBA 0,80 M3, PESO OPERACIONAL 17 T, POTENCIA BRUTA 111 HP - CHI DIURNO. AF_06/2014</v>
      </c>
      <c r="C368" s="151" t="str">
        <f>IF(H368="SINAPI",IFERROR(VLOOKUP(I368,'SINAPI-comp'!$B:$H,3,0),VLOOKUP(I368,'SINAPI-insumo'!$B:$H,3,0)))</f>
        <v>CHI</v>
      </c>
      <c r="D368" s="153">
        <v>0.13170000000000001</v>
      </c>
      <c r="E368" s="164" t="s">
        <v>191</v>
      </c>
      <c r="F368" s="155">
        <f>IFERROR(VLOOKUP(I368,'SINAPI-comp'!$B:$H,4,0)-G368,0)</f>
        <v>33.629999999999995</v>
      </c>
      <c r="G368" s="156">
        <f>IF(H368="SINAPI",IFERROR(VLOOKUP(I368,'SINAPI-comp'!$B:$H,7,0),VLOOKUP(I368,'SINAPI-insumo'!$B:$H,7,0)))</f>
        <v>57.7</v>
      </c>
      <c r="H368" s="168" t="s">
        <v>53</v>
      </c>
      <c r="I368" s="158">
        <v>5632</v>
      </c>
      <c r="J368" s="159">
        <f t="shared" si="28"/>
        <v>4.4290000000000003</v>
      </c>
      <c r="K368" s="159">
        <f t="shared" si="28"/>
        <v>7.5990000000000002</v>
      </c>
    </row>
    <row r="369" spans="1:11" ht="27.6" x14ac:dyDescent="0.3">
      <c r="A369" s="161">
        <v>4</v>
      </c>
      <c r="B369" s="152" t="str">
        <f>IF(H369="SINAPI",IFERROR(VLOOKUP(I369,'SINAPI-comp'!$B:$H,2,0),VLOOKUP(I369,'SINAPI-insumo'!$B:$H,2,0)))</f>
        <v>ESCAVADEIRA HIDRÁULICA SOBRE ESTEIRAS, CAÇAMBA 0,80 M3, PESO OPERACIONAL 17 T, POTENCIA BRUTA 111 HP - CHP DIURNO. AF_06/2014</v>
      </c>
      <c r="C369" s="151" t="str">
        <f>IF(H369="SINAPI",IFERROR(VLOOKUP(I369,'SINAPI-comp'!$B:$H,3,0),VLOOKUP(I369,'SINAPI-insumo'!$B:$H,3,0)))</f>
        <v>CHP</v>
      </c>
      <c r="D369" s="153">
        <v>6.7799999999999999E-2</v>
      </c>
      <c r="E369" s="164" t="s">
        <v>191</v>
      </c>
      <c r="F369" s="155">
        <f>IFERROR(VLOOKUP(I369,'SINAPI-comp'!$B:$H,4,0)-G369,0)</f>
        <v>33.640000000000015</v>
      </c>
      <c r="G369" s="156">
        <f>IF(H369="SINAPI",IFERROR(VLOOKUP(I369,'SINAPI-comp'!$B:$H,7,0),VLOOKUP(I369,'SINAPI-insumo'!$B:$H,7,0)))</f>
        <v>184.2</v>
      </c>
      <c r="H369" s="168" t="s">
        <v>53</v>
      </c>
      <c r="I369" s="158">
        <v>5631</v>
      </c>
      <c r="J369" s="159">
        <f t="shared" si="28"/>
        <v>2.2806999999999999</v>
      </c>
      <c r="K369" s="159">
        <f t="shared" si="28"/>
        <v>12.4887</v>
      </c>
    </row>
    <row r="370" spans="1:11" x14ac:dyDescent="0.3">
      <c r="A370" s="161">
        <v>5</v>
      </c>
      <c r="B370" s="152" t="str">
        <f>IF(H370="SINAPI",IFERROR(VLOOKUP(I370,'SINAPI-comp'!$B:$H,2,0),VLOOKUP(I370,'SINAPI-insumo'!$B:$H,2,0)))</f>
        <v>SERVENTE COM ENCARGOS COMPLEMENTARES</v>
      </c>
      <c r="C370" s="151" t="str">
        <f>IF(H370="SINAPI",IFERROR(VLOOKUP(I370,'SINAPI-comp'!$B:$H,3,0),VLOOKUP(I370,'SINAPI-insumo'!$B:$H,3,0)))</f>
        <v>H</v>
      </c>
      <c r="D370" s="153">
        <v>0.60629999999999995</v>
      </c>
      <c r="E370" s="164" t="s">
        <v>191</v>
      </c>
      <c r="F370" s="155">
        <f>IFERROR(VLOOKUP(I370,'SINAPI-comp'!$B:$H,4,0)-G370,0)</f>
        <v>25.81</v>
      </c>
      <c r="G370" s="156">
        <f>IF(H370="SINAPI",IFERROR(VLOOKUP(I370,'SINAPI-comp'!$B:$H,7,0),VLOOKUP(I370,'SINAPI-insumo'!$B:$H,7,0)))</f>
        <v>0</v>
      </c>
      <c r="H370" s="168" t="s">
        <v>53</v>
      </c>
      <c r="I370" s="158">
        <v>88316</v>
      </c>
      <c r="J370" s="159">
        <f t="shared" ref="J370:J371" si="29">TRUNC($D370*F370,4)</f>
        <v>15.6486</v>
      </c>
      <c r="K370" s="159">
        <f t="shared" ref="K370:K371" si="30">TRUNC($D370*G370,4)</f>
        <v>0</v>
      </c>
    </row>
    <row r="371" spans="1:11" ht="27.6" x14ac:dyDescent="0.3">
      <c r="A371" s="161">
        <v>6</v>
      </c>
      <c r="B371" s="152" t="str">
        <f>IF(H371="SINAPI",IFERROR(VLOOKUP(I371,'SINAPI-comp'!$B:$H,2,0),VLOOKUP(I371,'SINAPI-insumo'!$B:$H,2,0)))</f>
        <v>ANEL DE VEDACAO/JUNTA ELASTICA, H = *16* MM, PARA TUBO DE CONCRETO, DN 500 MM</v>
      </c>
      <c r="C371" s="151" t="str">
        <f>IF(H371="SINAPI",IFERROR(VLOOKUP(I371,'SINAPI-comp'!$B:$H,3,0),VLOOKUP(I371,'SINAPI-insumo'!$B:$H,3,0)))</f>
        <v>UN</v>
      </c>
      <c r="D371" s="153">
        <v>1</v>
      </c>
      <c r="E371" s="164"/>
      <c r="F371" s="155">
        <f>IFERROR(VLOOKUP(I371,'SINAPI-comp'!$B:$H,4,0)-G371,0)</f>
        <v>0</v>
      </c>
      <c r="G371" s="156">
        <f>IF(H371="SINAPI",IFERROR(VLOOKUP(I371,'SINAPI-comp'!$B:$H,7,0),VLOOKUP(I371,'SINAPI-insumo'!$B:$H,7,0)))</f>
        <v>29.32</v>
      </c>
      <c r="H371" s="168" t="s">
        <v>53</v>
      </c>
      <c r="I371" s="158">
        <v>40342</v>
      </c>
      <c r="J371" s="159">
        <f t="shared" si="29"/>
        <v>0</v>
      </c>
      <c r="K371" s="159">
        <f t="shared" si="30"/>
        <v>29.32</v>
      </c>
    </row>
    <row r="374" spans="1:11" s="494" customFormat="1" x14ac:dyDescent="0.25">
      <c r="A374" s="674" t="s">
        <v>131</v>
      </c>
      <c r="B374" s="674" t="s">
        <v>132</v>
      </c>
      <c r="C374" s="675"/>
      <c r="D374" s="511"/>
      <c r="E374" s="675"/>
      <c r="F374" s="675"/>
      <c r="G374" s="675"/>
      <c r="H374" s="676" t="s">
        <v>133</v>
      </c>
      <c r="I374" s="677"/>
      <c r="J374" s="512" t="s">
        <v>134</v>
      </c>
      <c r="K374" s="512" t="s">
        <v>15795</v>
      </c>
    </row>
    <row r="375" spans="1:11" x14ac:dyDescent="0.3">
      <c r="A375" s="136" t="s">
        <v>109</v>
      </c>
      <c r="B375" s="137" t="s">
        <v>16012</v>
      </c>
      <c r="C375" s="173"/>
      <c r="D375" s="174"/>
      <c r="E375" s="138"/>
      <c r="F375" s="140"/>
      <c r="G375" s="140"/>
      <c r="H375" s="141" t="s">
        <v>159</v>
      </c>
      <c r="I375" s="175"/>
      <c r="J375" s="143">
        <f>TRUNC(SUM(J377:J382),2)</f>
        <v>49.57</v>
      </c>
      <c r="K375" s="143">
        <f>TRUNC(SUM(K377:K382),2)</f>
        <v>96.6</v>
      </c>
    </row>
    <row r="376" spans="1:11" s="687" customFormat="1" ht="27.6" x14ac:dyDescent="0.25">
      <c r="A376" s="522" t="s">
        <v>137</v>
      </c>
      <c r="B376" s="523" t="s">
        <v>19</v>
      </c>
      <c r="C376" s="524" t="s">
        <v>20</v>
      </c>
      <c r="D376" s="682" t="s">
        <v>138</v>
      </c>
      <c r="E376" s="525" t="s">
        <v>139</v>
      </c>
      <c r="F376" s="683" t="s">
        <v>140</v>
      </c>
      <c r="G376" s="684" t="s">
        <v>15796</v>
      </c>
      <c r="H376" s="685" t="s">
        <v>142</v>
      </c>
      <c r="I376" s="686"/>
      <c r="J376" s="684" t="s">
        <v>143</v>
      </c>
      <c r="K376" s="684" t="s">
        <v>15797</v>
      </c>
    </row>
    <row r="377" spans="1:11" ht="27.6" x14ac:dyDescent="0.3">
      <c r="A377" s="161">
        <v>1</v>
      </c>
      <c r="B377" s="152" t="str">
        <f>IF(H377="SINAPI",IFERROR(VLOOKUP(I377,'SINAPI-comp'!$B:$H,2,0),VLOOKUP(I377,'SINAPI-insumo'!$B:$H,2,0)))</f>
        <v>ARGAMASSA TRAÇO 1:3 (EM VOLUME DE CIMENTO E AREIA MÉDIA ÚMIDA), PREPARO MANUAL. AF_07/2026</v>
      </c>
      <c r="C377" s="151" t="str">
        <f>IF(H377="SINAPI",IFERROR(VLOOKUP(I377,'SINAPI-comp'!$B:$H,3,0),VLOOKUP(I377,'SINAPI-insumo'!$B:$H,3,0)))</f>
        <v>M3</v>
      </c>
      <c r="D377" s="153">
        <v>9.2999999999999992E-3</v>
      </c>
      <c r="E377" s="164" t="s">
        <v>192</v>
      </c>
      <c r="F377" s="155">
        <f>IFERROR(VLOOKUP(I377,'SINAPI-comp'!$B:$H,4,0)-G377,0)</f>
        <v>317.87</v>
      </c>
      <c r="G377" s="156">
        <f>IF(H377="SINAPI",IFERROR(VLOOKUP(I377,'SINAPI-comp'!$B:$H,7,0),VLOOKUP(I377,'SINAPI-insumo'!$B:$H,7,0)))</f>
        <v>552.51</v>
      </c>
      <c r="H377" s="168" t="s">
        <v>53</v>
      </c>
      <c r="I377" s="158">
        <v>88629</v>
      </c>
      <c r="J377" s="159">
        <f t="shared" ref="J377:K380" si="31">TRUNC($D377*F377,4)</f>
        <v>2.9561000000000002</v>
      </c>
      <c r="K377" s="159">
        <f t="shared" si="31"/>
        <v>5.1383000000000001</v>
      </c>
    </row>
    <row r="378" spans="1:11" x14ac:dyDescent="0.3">
      <c r="A378" s="161">
        <v>2</v>
      </c>
      <c r="B378" s="152" t="str">
        <f>IF(H378="SINAPI",IFERROR(VLOOKUP(I378,'SINAPI-comp'!$B:$H,2,0),VLOOKUP(I378,'SINAPI-insumo'!$B:$H,2,0)))</f>
        <v>ASSENTADOR DE TUBOS COM ENCARGOS COMPLEMENTARES</v>
      </c>
      <c r="C378" s="151" t="str">
        <f>IF(H378="SINAPI",IFERROR(VLOOKUP(I378,'SINAPI-comp'!$B:$H,3,0),VLOOKUP(I378,'SINAPI-insumo'!$B:$H,3,0)))</f>
        <v>H</v>
      </c>
      <c r="D378" s="153">
        <v>0.499</v>
      </c>
      <c r="E378" s="164" t="s">
        <v>192</v>
      </c>
      <c r="F378" s="155">
        <f>IFERROR(VLOOKUP(I378,'SINAPI-comp'!$B:$H,4,0)-G378,0)</f>
        <v>19.670000000000002</v>
      </c>
      <c r="G378" s="156">
        <f>IF(H378="SINAPI",IFERROR(VLOOKUP(I378,'SINAPI-comp'!$B:$H,7,0),VLOOKUP(I378,'SINAPI-insumo'!$B:$H,7,0)))</f>
        <v>0</v>
      </c>
      <c r="H378" s="168" t="s">
        <v>53</v>
      </c>
      <c r="I378" s="158">
        <v>88246</v>
      </c>
      <c r="J378" s="159">
        <f t="shared" si="31"/>
        <v>9.8153000000000006</v>
      </c>
      <c r="K378" s="159">
        <f t="shared" si="31"/>
        <v>0</v>
      </c>
    </row>
    <row r="379" spans="1:11" ht="27.6" x14ac:dyDescent="0.3">
      <c r="A379" s="161">
        <v>3</v>
      </c>
      <c r="B379" s="152" t="str">
        <f>IF(H379="SINAPI",IFERROR(VLOOKUP(I379,'SINAPI-comp'!$B:$H,2,0),VLOOKUP(I379,'SINAPI-insumo'!$B:$H,2,0)))</f>
        <v>ESCAVADEIRA HIDRÁULICA SOBRE ESTEIRAS, CAÇAMBA 0,80 M3, PESO OPERACIONAL 17 T, POTENCIA BRUTA 111 HP - CHI DIURNO. AF_06/2014</v>
      </c>
      <c r="C379" s="151" t="str">
        <f>IF(H379="SINAPI",IFERROR(VLOOKUP(I379,'SINAPI-comp'!$B:$H,3,0),VLOOKUP(I379,'SINAPI-insumo'!$B:$H,3,0)))</f>
        <v>CHI</v>
      </c>
      <c r="D379" s="153">
        <v>0.2167</v>
      </c>
      <c r="E379" s="164" t="s">
        <v>192</v>
      </c>
      <c r="F379" s="155">
        <f>IFERROR(VLOOKUP(I379,'SINAPI-comp'!$B:$H,4,0)-G379,0)</f>
        <v>33.629999999999995</v>
      </c>
      <c r="G379" s="156">
        <f>IF(H379="SINAPI",IFERROR(VLOOKUP(I379,'SINAPI-comp'!$B:$H,7,0),VLOOKUP(I379,'SINAPI-insumo'!$B:$H,7,0)))</f>
        <v>57.7</v>
      </c>
      <c r="H379" s="168" t="s">
        <v>53</v>
      </c>
      <c r="I379" s="158">
        <v>5632</v>
      </c>
      <c r="J379" s="159">
        <f t="shared" si="31"/>
        <v>7.2876000000000003</v>
      </c>
      <c r="K379" s="159">
        <f t="shared" si="31"/>
        <v>12.503500000000001</v>
      </c>
    </row>
    <row r="380" spans="1:11" ht="27.6" x14ac:dyDescent="0.3">
      <c r="A380" s="161">
        <v>4</v>
      </c>
      <c r="B380" s="152" t="str">
        <f>IF(H380="SINAPI",IFERROR(VLOOKUP(I380,'SINAPI-comp'!$B:$H,2,0),VLOOKUP(I380,'SINAPI-insumo'!$B:$H,2,0)))</f>
        <v>ESCAVADEIRA HIDRÁULICA SOBRE ESTEIRAS, CAÇAMBA 0,80 M3, PESO OPERACIONAL 17 T, POTENCIA BRUTA 111 HP - CHP DIURNO. AF_06/2014</v>
      </c>
      <c r="C380" s="151" t="str">
        <f>IF(H380="SINAPI",IFERROR(VLOOKUP(I380,'SINAPI-comp'!$B:$H,3,0),VLOOKUP(I380,'SINAPI-insumo'!$B:$H,3,0)))</f>
        <v>CHP</v>
      </c>
      <c r="D380" s="153">
        <v>0.1116</v>
      </c>
      <c r="E380" s="164" t="s">
        <v>192</v>
      </c>
      <c r="F380" s="155">
        <f>IFERROR(VLOOKUP(I380,'SINAPI-comp'!$B:$H,4,0)-G380,0)</f>
        <v>33.640000000000015</v>
      </c>
      <c r="G380" s="156">
        <f>IF(H380="SINAPI",IFERROR(VLOOKUP(I380,'SINAPI-comp'!$B:$H,7,0),VLOOKUP(I380,'SINAPI-insumo'!$B:$H,7,0)))</f>
        <v>184.2</v>
      </c>
      <c r="H380" s="168" t="s">
        <v>53</v>
      </c>
      <c r="I380" s="158">
        <v>5631</v>
      </c>
      <c r="J380" s="159">
        <f t="shared" si="31"/>
        <v>3.7542</v>
      </c>
      <c r="K380" s="159">
        <f t="shared" si="31"/>
        <v>20.556699999999999</v>
      </c>
    </row>
    <row r="381" spans="1:11" x14ac:dyDescent="0.3">
      <c r="A381" s="161">
        <v>5</v>
      </c>
      <c r="B381" s="152" t="str">
        <f>IF(H381="SINAPI",IFERROR(VLOOKUP(I381,'SINAPI-comp'!$B:$H,2,0),VLOOKUP(I381,'SINAPI-insumo'!$B:$H,2,0)))</f>
        <v>SERVENTE COM ENCARGOS COMPLEMENTARES</v>
      </c>
      <c r="C381" s="151" t="str">
        <f>IF(H381="SINAPI",IFERROR(VLOOKUP(I381,'SINAPI-comp'!$B:$H,3,0),VLOOKUP(I381,'SINAPI-insumo'!$B:$H,3,0)))</f>
        <v>H</v>
      </c>
      <c r="D381" s="153">
        <v>0.998</v>
      </c>
      <c r="E381" s="164" t="s">
        <v>192</v>
      </c>
      <c r="F381" s="155">
        <f>IFERROR(VLOOKUP(I381,'SINAPI-comp'!$B:$H,4,0)-G381,0)</f>
        <v>25.81</v>
      </c>
      <c r="G381" s="156">
        <f>IF(H381="SINAPI",IFERROR(VLOOKUP(I381,'SINAPI-comp'!$B:$H,7,0),VLOOKUP(I381,'SINAPI-insumo'!$B:$H,7,0)))</f>
        <v>0</v>
      </c>
      <c r="H381" s="168" t="s">
        <v>53</v>
      </c>
      <c r="I381" s="158">
        <v>88316</v>
      </c>
      <c r="J381" s="159">
        <f t="shared" ref="J381:J382" si="32">TRUNC($D381*F381,4)</f>
        <v>25.758299999999998</v>
      </c>
      <c r="K381" s="159">
        <f t="shared" ref="K381:K382" si="33">TRUNC($D381*G381,4)</f>
        <v>0</v>
      </c>
    </row>
    <row r="382" spans="1:11" ht="27.6" x14ac:dyDescent="0.3">
      <c r="A382" s="161">
        <v>6</v>
      </c>
      <c r="B382" s="152" t="str">
        <f>IF(H382="SINAPI",IFERROR(VLOOKUP(I382,'SINAPI-comp'!$B:$H,2,0),VLOOKUP(I382,'SINAPI-insumo'!$B:$H,2,0)))</f>
        <v>ANEL DE VEDACAO/JUNTA ELASTICA, H = *19* MM, PARA TUBO DE CONCRETO, DN 800 MM</v>
      </c>
      <c r="C382" s="151" t="str">
        <f>IF(H382="SINAPI",IFERROR(VLOOKUP(I382,'SINAPI-comp'!$B:$H,3,0),VLOOKUP(I382,'SINAPI-insumo'!$B:$H,3,0)))</f>
        <v>UN</v>
      </c>
      <c r="D382" s="153">
        <v>1</v>
      </c>
      <c r="E382" s="164"/>
      <c r="F382" s="155">
        <f>IFERROR(VLOOKUP(I382,'SINAPI-comp'!$B:$H,4,0)-G382,0)</f>
        <v>0</v>
      </c>
      <c r="G382" s="156">
        <f>IF(H382="SINAPI",IFERROR(VLOOKUP(I382,'SINAPI-comp'!$B:$H,7,0),VLOOKUP(I382,'SINAPI-insumo'!$B:$H,7,0)))</f>
        <v>58.41</v>
      </c>
      <c r="H382" s="168" t="s">
        <v>53</v>
      </c>
      <c r="I382" s="158">
        <v>40345</v>
      </c>
      <c r="J382" s="159">
        <f t="shared" si="32"/>
        <v>0</v>
      </c>
      <c r="K382" s="159">
        <f t="shared" si="33"/>
        <v>58.41</v>
      </c>
    </row>
    <row r="385" spans="1:12" s="494" customFormat="1" x14ac:dyDescent="0.25">
      <c r="A385" s="674" t="s">
        <v>131</v>
      </c>
      <c r="B385" s="674" t="s">
        <v>132</v>
      </c>
      <c r="C385" s="675"/>
      <c r="D385" s="511"/>
      <c r="E385" s="675"/>
      <c r="F385" s="675"/>
      <c r="G385" s="675"/>
      <c r="H385" s="676" t="s">
        <v>133</v>
      </c>
      <c r="I385" s="677"/>
      <c r="J385" s="512" t="s">
        <v>134</v>
      </c>
      <c r="K385" s="512" t="s">
        <v>15795</v>
      </c>
    </row>
    <row r="386" spans="1:12" s="521" customFormat="1" x14ac:dyDescent="0.25">
      <c r="A386" s="513" t="s">
        <v>110</v>
      </c>
      <c r="B386" s="514" t="s">
        <v>15438</v>
      </c>
      <c r="C386" s="515"/>
      <c r="D386" s="516"/>
      <c r="E386" s="515"/>
      <c r="F386" s="517"/>
      <c r="G386" s="517"/>
      <c r="H386" s="518" t="s">
        <v>180</v>
      </c>
      <c r="I386" s="519"/>
      <c r="J386" s="520">
        <f>TRUNC(SUM(J388:J401),2)</f>
        <v>4.4800000000000004</v>
      </c>
      <c r="K386" s="520">
        <f>TRUNC(SUM(K388:K401),2)</f>
        <v>242.83</v>
      </c>
      <c r="L386" s="123"/>
    </row>
    <row r="387" spans="1:12" s="687" customFormat="1" ht="27.6" x14ac:dyDescent="0.25">
      <c r="A387" s="522" t="s">
        <v>137</v>
      </c>
      <c r="B387" s="523" t="s">
        <v>19</v>
      </c>
      <c r="C387" s="524" t="s">
        <v>20</v>
      </c>
      <c r="D387" s="682" t="s">
        <v>138</v>
      </c>
      <c r="E387" s="525" t="s">
        <v>139</v>
      </c>
      <c r="F387" s="683" t="s">
        <v>140</v>
      </c>
      <c r="G387" s="684" t="s">
        <v>15796</v>
      </c>
      <c r="H387" s="685" t="s">
        <v>142</v>
      </c>
      <c r="I387" s="686"/>
      <c r="J387" s="684" t="s">
        <v>143</v>
      </c>
      <c r="K387" s="684" t="s">
        <v>15797</v>
      </c>
    </row>
    <row r="388" spans="1:12" s="494" customFormat="1" x14ac:dyDescent="0.25">
      <c r="A388" s="526">
        <v>1</v>
      </c>
      <c r="B388" s="496" t="str">
        <f>VLOOKUP($I388,tabelas!$A:$L,4,0)</f>
        <v>AQUECEDOR DE FLUIDO TÉRMICO - 12 KW</v>
      </c>
      <c r="C388" s="497" t="str">
        <f>VLOOKUP($I388,tabelas!$A:$L,5,0)</f>
        <v>CHP</v>
      </c>
      <c r="D388" s="498">
        <f>TRUNC(1/99.6,4)</f>
        <v>0.01</v>
      </c>
      <c r="E388" s="499" t="s">
        <v>15439</v>
      </c>
      <c r="F388" s="500">
        <v>0</v>
      </c>
      <c r="G388" s="500">
        <f>VLOOKUP($I388,tabelas!$A:$L,12,0)</f>
        <v>169.17</v>
      </c>
      <c r="H388" s="495" t="s">
        <v>42</v>
      </c>
      <c r="I388" s="502" t="s">
        <v>15449</v>
      </c>
      <c r="J388" s="159">
        <f t="shared" ref="J388:J401" si="34">TRUNC($D388*F388,4)</f>
        <v>0</v>
      </c>
      <c r="K388" s="159">
        <f t="shared" ref="K388:K401" si="35">TRUNC($D388*G388,4)</f>
        <v>1.6917</v>
      </c>
      <c r="L388" s="123"/>
    </row>
    <row r="389" spans="1:12" s="494" customFormat="1" ht="41.4" x14ac:dyDescent="0.25">
      <c r="A389" s="526">
        <v>2</v>
      </c>
      <c r="B389" s="152" t="str">
        <f>IF(H389="SINAPI",IFERROR(VLOOKUP(I389,'SINAPI-comp'!$B:$H,2,0),VLOOKUP(I389,'SINAPI-insumo'!$B:$H,2,0)))</f>
        <v>PÁ CARREGADEIRA SOBRE RODAS, POTÊNCIA LÍQUIDA 128 HP, CAPACIDADE DA CAÇAMBA 1,7 A 2,8 M3, PESO OPERACIONAL 11632 KG - CHP DIURNO. AF_06/2014</v>
      </c>
      <c r="C389" s="151" t="str">
        <f>IF(H389="SINAPI",IFERROR(VLOOKUP(I389,'SINAPI-comp'!$B:$H,3,0),VLOOKUP(I389,'SINAPI-insumo'!$B:$H,3,0)))</f>
        <v>CHP</v>
      </c>
      <c r="D389" s="498">
        <f>TRUNC(0.81/99.6,4)</f>
        <v>8.0999999999999996E-3</v>
      </c>
      <c r="E389" s="499" t="s">
        <v>15439</v>
      </c>
      <c r="F389" s="155">
        <f>IFERROR(VLOOKUP(I389,'SINAPI-comp'!$B:$H,4,0)-G389,0)</f>
        <v>36.53</v>
      </c>
      <c r="G389" s="156">
        <f>IF(H389="SINAPI",IFERROR(VLOOKUP(I389,'SINAPI-comp'!$B:$H,7,0),VLOOKUP(I389,'SINAPI-insumo'!$B:$H,7,0)))</f>
        <v>147.83000000000001</v>
      </c>
      <c r="H389" s="495" t="s">
        <v>53</v>
      </c>
      <c r="I389" s="502">
        <v>5940</v>
      </c>
      <c r="J389" s="159">
        <f t="shared" si="34"/>
        <v>0.29580000000000001</v>
      </c>
      <c r="K389" s="159">
        <f t="shared" si="35"/>
        <v>1.1974</v>
      </c>
      <c r="L389" s="123"/>
    </row>
    <row r="390" spans="1:12" s="494" customFormat="1" ht="41.4" x14ac:dyDescent="0.25">
      <c r="A390" s="526">
        <v>3</v>
      </c>
      <c r="B390" s="152" t="str">
        <f>IF(H390="SINAPI",IFERROR(VLOOKUP(I390,'SINAPI-comp'!$B:$H,2,0),VLOOKUP(I390,'SINAPI-insumo'!$B:$H,2,0)))</f>
        <v>PÁ CARREGADEIRA SOBRE RODAS, POTÊNCIA LÍQUIDA 128 HP, CAPACIDADE DA CAÇAMBA 1,7 A 2,8 M3, PESO OPERACIONAL 11632 KG - CHI DIURNO. AF_06/2014</v>
      </c>
      <c r="C390" s="151" t="str">
        <f>IF(H390="SINAPI",IFERROR(VLOOKUP(I390,'SINAPI-comp'!$B:$H,3,0),VLOOKUP(I390,'SINAPI-insumo'!$B:$H,3,0)))</f>
        <v>CHI</v>
      </c>
      <c r="D390" s="498">
        <f>TRUNC(0.19/99.6,4)</f>
        <v>1.9E-3</v>
      </c>
      <c r="E390" s="499" t="s">
        <v>15439</v>
      </c>
      <c r="F390" s="155">
        <f>IFERROR(VLOOKUP(I390,'SINAPI-comp'!$B:$H,4,0)-G390,0)</f>
        <v>36.53</v>
      </c>
      <c r="G390" s="156">
        <f>IF(H390="SINAPI",IFERROR(VLOOKUP(I390,'SINAPI-comp'!$B:$H,7,0),VLOOKUP(I390,'SINAPI-insumo'!$B:$H,7,0)))</f>
        <v>49.56</v>
      </c>
      <c r="H390" s="495" t="s">
        <v>53</v>
      </c>
      <c r="I390" s="502">
        <v>5942</v>
      </c>
      <c r="J390" s="159">
        <f t="shared" si="34"/>
        <v>6.9400000000000003E-2</v>
      </c>
      <c r="K390" s="159">
        <f t="shared" si="35"/>
        <v>9.4100000000000003E-2</v>
      </c>
      <c r="L390" s="123"/>
    </row>
    <row r="391" spans="1:12" s="494" customFormat="1" ht="27.6" x14ac:dyDescent="0.25">
      <c r="A391" s="526">
        <v>4</v>
      </c>
      <c r="B391" s="152" t="str">
        <f>IF(H391="SINAPI",IFERROR(VLOOKUP(I391,'SINAPI-comp'!$B:$H,2,0),VLOOKUP(I391,'SINAPI-insumo'!$B:$H,2,0)))</f>
        <v>TANQUE DE ASFALTO ESTACIONÁRIO COM SERPENTINA, CAPACIDADE 30.000 L - CHP DIURNO. AF_05/2023</v>
      </c>
      <c r="C391" s="151" t="str">
        <f>IF(H391="SINAPI",IFERROR(VLOOKUP(I391,'SINAPI-comp'!$B:$H,3,0),VLOOKUP(I391,'SINAPI-insumo'!$B:$H,3,0)))</f>
        <v>CHP</v>
      </c>
      <c r="D391" s="498">
        <f>TRUNC(2/99.6,4)</f>
        <v>0.02</v>
      </c>
      <c r="E391" s="499" t="s">
        <v>15439</v>
      </c>
      <c r="F391" s="155">
        <f>IFERROR(VLOOKUP(I391,'SINAPI-comp'!$B:$H,4,0)-G391,0)</f>
        <v>0</v>
      </c>
      <c r="G391" s="156">
        <f>IF(H391="SINAPI",IFERROR(VLOOKUP(I391,'SINAPI-comp'!$B:$H,7,0),VLOOKUP(I391,'SINAPI-insumo'!$B:$H,7,0)))</f>
        <v>289.49</v>
      </c>
      <c r="H391" s="495" t="s">
        <v>53</v>
      </c>
      <c r="I391" s="502">
        <v>7030</v>
      </c>
      <c r="J391" s="159">
        <f t="shared" si="34"/>
        <v>0</v>
      </c>
      <c r="K391" s="159">
        <f t="shared" si="35"/>
        <v>5.7897999999999996</v>
      </c>
      <c r="L391" s="123"/>
    </row>
    <row r="392" spans="1:12" s="494" customFormat="1" ht="27.6" x14ac:dyDescent="0.25">
      <c r="A392" s="526">
        <v>5</v>
      </c>
      <c r="B392" s="496" t="str">
        <f>VLOOKUP($I392,tabelas!$A:$L,4,0)</f>
        <v>USINA DE ASFALTO A QUENTE GRAVIMÉTRICA COM CAPACIDADE DE 100/140 T/H - 260 KW</v>
      </c>
      <c r="C392" s="497" t="str">
        <f>VLOOKUP($I392,tabelas!$A:$L,5,0)</f>
        <v>CHP</v>
      </c>
      <c r="D392" s="498">
        <f>TRUNC(1/99.6,4)</f>
        <v>0.01</v>
      </c>
      <c r="E392" s="499" t="s">
        <v>15439</v>
      </c>
      <c r="F392" s="500">
        <v>0</v>
      </c>
      <c r="G392" s="500">
        <f>VLOOKUP($I392,tabelas!$A:$L,12,0)</f>
        <v>1901.23</v>
      </c>
      <c r="H392" s="495" t="s">
        <v>42</v>
      </c>
      <c r="I392" s="502" t="s">
        <v>15448</v>
      </c>
      <c r="J392" s="159">
        <f t="shared" si="34"/>
        <v>0</v>
      </c>
      <c r="K392" s="159">
        <f t="shared" si="35"/>
        <v>19.0123</v>
      </c>
      <c r="L392" s="123"/>
    </row>
    <row r="393" spans="1:12" s="494" customFormat="1" x14ac:dyDescent="0.25">
      <c r="A393" s="526">
        <v>6</v>
      </c>
      <c r="B393" s="152" t="str">
        <f>IF(H393="SINAPI",IFERROR(VLOOKUP(I393,'SINAPI-comp'!$B:$H,2,0),VLOOKUP(I393,'SINAPI-insumo'!$B:$H,2,0)))</f>
        <v>SERVENTE COM ENCARGOS COMPLEMENTARES</v>
      </c>
      <c r="C393" s="151" t="str">
        <f>IF(H393="SINAPI",IFERROR(VLOOKUP(I393,'SINAPI-comp'!$B:$H,3,0),VLOOKUP(I393,'SINAPI-insumo'!$B:$H,3,0)))</f>
        <v>H</v>
      </c>
      <c r="D393" s="498">
        <f>TRUNC(4/99.6,4)</f>
        <v>4.0099999999999997E-2</v>
      </c>
      <c r="E393" s="499" t="s">
        <v>15439</v>
      </c>
      <c r="F393" s="155">
        <f>IFERROR(VLOOKUP(I393,'SINAPI-comp'!$B:$H,4,0)-G393,0)</f>
        <v>25.81</v>
      </c>
      <c r="G393" s="156">
        <f>IF(H393="SINAPI",IFERROR(VLOOKUP(I393,'SINAPI-comp'!$B:$H,7,0),VLOOKUP(I393,'SINAPI-insumo'!$B:$H,7,0)))</f>
        <v>0</v>
      </c>
      <c r="H393" s="495" t="s">
        <v>53</v>
      </c>
      <c r="I393" s="502">
        <v>88316</v>
      </c>
      <c r="J393" s="159">
        <f t="shared" si="34"/>
        <v>1.0348999999999999</v>
      </c>
      <c r="K393" s="159">
        <f t="shared" si="35"/>
        <v>0</v>
      </c>
      <c r="L393" s="123"/>
    </row>
    <row r="394" spans="1:12" s="494" customFormat="1" ht="27.6" x14ac:dyDescent="0.25">
      <c r="A394" s="526">
        <v>7</v>
      </c>
      <c r="B394" s="152" t="str">
        <f>IF(H394="SINAPI",IFERROR(VLOOKUP(I394,'SINAPI-comp'!$B:$H,2,0),VLOOKUP(I394,'SINAPI-insumo'!$B:$H,2,0)))</f>
        <v>AREIA MEDIA - POSTO JAZIDA/FORNECEDOR (RETIRADO NA JAZIDA, SEM TRANSPORTE)</v>
      </c>
      <c r="C394" s="151" t="str">
        <f>IF(H394="SINAPI",IFERROR(VLOOKUP(I394,'SINAPI-comp'!$B:$H,3,0),VLOOKUP(I394,'SINAPI-insumo'!$B:$H,3,0)))</f>
        <v>M3</v>
      </c>
      <c r="D394" s="498">
        <f>0.2421*(1/(1-0.0566))</f>
        <v>0.25662497350010599</v>
      </c>
      <c r="E394" s="499" t="s">
        <v>15440</v>
      </c>
      <c r="F394" s="155">
        <f>IFERROR(VLOOKUP(I394,'SINAPI-comp'!$B:$H,4,0)-G394,0)</f>
        <v>0</v>
      </c>
      <c r="G394" s="156">
        <f>IF(H394="SINAPI",IFERROR(VLOOKUP(I394,'SINAPI-comp'!$B:$H,7,0),VLOOKUP(I394,'SINAPI-insumo'!$B:$H,7,0)))</f>
        <v>100</v>
      </c>
      <c r="H394" s="495" t="s">
        <v>53</v>
      </c>
      <c r="I394" s="502">
        <v>370</v>
      </c>
      <c r="J394" s="159">
        <f t="shared" si="34"/>
        <v>0</v>
      </c>
      <c r="K394" s="159">
        <f t="shared" si="35"/>
        <v>25.662400000000002</v>
      </c>
      <c r="L394" s="123"/>
    </row>
    <row r="395" spans="1:12" s="494" customFormat="1" ht="27.6" x14ac:dyDescent="0.25">
      <c r="A395" s="526">
        <v>8</v>
      </c>
      <c r="B395" s="152" t="str">
        <f>IF(H395="SINAPI",IFERROR(VLOOKUP(I395,'SINAPI-comp'!$B:$H,2,0),VLOOKUP(I395,'SINAPI-insumo'!$B:$H,2,0)))</f>
        <v>PEDRA BRITADA N. 0, OU PEDRISCO (4,8 A 9,5 MM) POSTO PEDREIRA/FORNECEDOR, SEM FRETE</v>
      </c>
      <c r="C395" s="151" t="str">
        <f>IF(H395="SINAPI",IFERROR(VLOOKUP(I395,'SINAPI-comp'!$B:$H,3,0),VLOOKUP(I395,'SINAPI-insumo'!$B:$H,3,0)))</f>
        <v>M3</v>
      </c>
      <c r="D395" s="498">
        <f>(0.11635+0.05765)*(1/(1-0.0566))</f>
        <v>0.18443926224295099</v>
      </c>
      <c r="E395" s="499" t="s">
        <v>15440</v>
      </c>
      <c r="F395" s="155">
        <f>IFERROR(VLOOKUP(I395,'SINAPI-comp'!$B:$H,4,0)-G395,0)</f>
        <v>0</v>
      </c>
      <c r="G395" s="156">
        <f>IF(H395="SINAPI",IFERROR(VLOOKUP(I395,'SINAPI-comp'!$B:$H,7,0),VLOOKUP(I395,'SINAPI-insumo'!$B:$H,7,0)))</f>
        <v>117.95</v>
      </c>
      <c r="H395" s="495" t="s">
        <v>53</v>
      </c>
      <c r="I395" s="502">
        <v>4720</v>
      </c>
      <c r="J395" s="159">
        <f t="shared" si="34"/>
        <v>0</v>
      </c>
      <c r="K395" s="159">
        <f t="shared" si="35"/>
        <v>21.7546</v>
      </c>
      <c r="L395" s="123"/>
    </row>
    <row r="396" spans="1:12" s="494" customFormat="1" ht="27.6" x14ac:dyDescent="0.25">
      <c r="A396" s="526">
        <v>9</v>
      </c>
      <c r="B396" s="152" t="str">
        <f>IF(H396="SINAPI",IFERROR(VLOOKUP(I396,'SINAPI-comp'!$B:$H,2,0),VLOOKUP(I396,'SINAPI-insumo'!$B:$H,2,0)))</f>
        <v>PEDRA BRITADA N. 1 (9,5 A 19 MM) POSTO PEDREIRA/FORNECEDOR, SEM FRETE</v>
      </c>
      <c r="C396" s="151" t="str">
        <f>IF(H396="SINAPI",IFERROR(VLOOKUP(I396,'SINAPI-comp'!$B:$H,3,0),VLOOKUP(I396,'SINAPI-insumo'!$B:$H,3,0)))</f>
        <v>M3</v>
      </c>
      <c r="D396" s="498">
        <f>0.1782*(1/(1-0.0566))</f>
        <v>0.18889124443502223</v>
      </c>
      <c r="E396" s="499" t="s">
        <v>15440</v>
      </c>
      <c r="F396" s="155">
        <f>IFERROR(VLOOKUP(I396,'SINAPI-comp'!$B:$H,4,0)-G396,0)</f>
        <v>0</v>
      </c>
      <c r="G396" s="156">
        <f>IF(H396="SINAPI",IFERROR(VLOOKUP(I396,'SINAPI-comp'!$B:$H,7,0),VLOOKUP(I396,'SINAPI-insumo'!$B:$H,7,0)))</f>
        <v>102.16</v>
      </c>
      <c r="H396" s="495" t="s">
        <v>53</v>
      </c>
      <c r="I396" s="502">
        <v>4721</v>
      </c>
      <c r="J396" s="159">
        <f t="shared" si="34"/>
        <v>0</v>
      </c>
      <c r="K396" s="159">
        <f t="shared" si="35"/>
        <v>19.2971</v>
      </c>
      <c r="L396" s="123"/>
    </row>
    <row r="397" spans="1:12" s="494" customFormat="1" ht="27.6" x14ac:dyDescent="0.25">
      <c r="A397" s="526">
        <v>10</v>
      </c>
      <c r="B397" s="152" t="str">
        <f>IF(H397="SINAPI",IFERROR(VLOOKUP(I397,'SINAPI-comp'!$B:$H,2,0),VLOOKUP(I397,'SINAPI-insumo'!$B:$H,2,0)))</f>
        <v>CAL HIDRATADA CH-I PARA ARGAMASSAS</v>
      </c>
      <c r="C397" s="151" t="str">
        <f>IF(H397="SINAPI",IFERROR(VLOOKUP(I397,'SINAPI-comp'!$B:$H,3,0),VLOOKUP(I397,'SINAPI-insumo'!$B:$H,3,0)))</f>
        <v>KG</v>
      </c>
      <c r="D397" s="498">
        <f>51.88*(1/(1-0.0566))</f>
        <v>54.992580029679878</v>
      </c>
      <c r="E397" s="499" t="s">
        <v>15440</v>
      </c>
      <c r="F397" s="155">
        <f>IFERROR(VLOOKUP(I397,'SINAPI-comp'!$B:$H,4,0)-G397,0)</f>
        <v>0</v>
      </c>
      <c r="G397" s="156">
        <f>IF(H397="SINAPI",IFERROR(VLOOKUP(I397,'SINAPI-comp'!$B:$H,7,0),VLOOKUP(I397,'SINAPI-insumo'!$B:$H,7,0)))</f>
        <v>1.06</v>
      </c>
      <c r="H397" s="495" t="s">
        <v>53</v>
      </c>
      <c r="I397" s="502">
        <v>1106</v>
      </c>
      <c r="J397" s="159">
        <f t="shared" si="34"/>
        <v>0</v>
      </c>
      <c r="K397" s="159">
        <f t="shared" si="35"/>
        <v>58.292099999999998</v>
      </c>
      <c r="L397" s="123"/>
    </row>
    <row r="398" spans="1:12" s="494" customFormat="1" ht="27.6" x14ac:dyDescent="0.25">
      <c r="A398" s="526">
        <v>11</v>
      </c>
      <c r="B398" s="496" t="str">
        <f>VLOOKUP($I398,tabelas!$A:$L,4,0)</f>
        <v>ÓLEO TIPO A1</v>
      </c>
      <c r="C398" s="497" t="str">
        <f>VLOOKUP($I398,tabelas!$A:$L,5,0)</f>
        <v>L</v>
      </c>
      <c r="D398" s="498">
        <f>8*(1/(1-0.0566))</f>
        <v>8.4799660801356787</v>
      </c>
      <c r="E398" s="499" t="s">
        <v>15440</v>
      </c>
      <c r="F398" s="500">
        <v>0</v>
      </c>
      <c r="G398" s="500">
        <f>VLOOKUP($I398,tabelas!$A:$L,12,0)</f>
        <v>7.34</v>
      </c>
      <c r="H398" s="495" t="s">
        <v>42</v>
      </c>
      <c r="I398" s="502" t="s">
        <v>15450</v>
      </c>
      <c r="J398" s="159">
        <f t="shared" si="34"/>
        <v>0</v>
      </c>
      <c r="K398" s="159">
        <f t="shared" si="35"/>
        <v>62.242899999999999</v>
      </c>
      <c r="L398" s="123"/>
    </row>
    <row r="399" spans="1:12" s="494" customFormat="1" ht="41.4" x14ac:dyDescent="0.25">
      <c r="A399" s="526">
        <v>12</v>
      </c>
      <c r="B399" s="152" t="str">
        <f>IF(H399="SINAPI",IFERROR(VLOOKUP(I399,'SINAPI-comp'!$B:$H,2,0),VLOOKUP(I399,'SINAPI-insumo'!$B:$H,2,0)))</f>
        <v>TRANSPORTE COM CAMINHÃO BASCULANTE DE 18 M³, EM VIA URBANA PAVIMENTADA, DMT ATÉ 30 KM (UNIDADE: M3XKM). AF_02/2026</v>
      </c>
      <c r="C399" s="151" t="str">
        <f>IF(H399="SINAPI",IFERROR(VLOOKUP(I399,'SINAPI-comp'!$B:$H,3,0),VLOOKUP(I399,'SINAPI-insumo'!$B:$H,3,0)))</f>
        <v>M3XKM</v>
      </c>
      <c r="D399" s="498">
        <f>TRUNC(((D395+D396)*1.3)*DMT!C62,4)</f>
        <v>3.2031000000000001</v>
      </c>
      <c r="E399" s="499" t="s">
        <v>15441</v>
      </c>
      <c r="F399" s="155">
        <f>IFERROR(VLOOKUP(I399,'SINAPI-comp'!$B:$H,4,0)-G399,0)</f>
        <v>0.19000000000000017</v>
      </c>
      <c r="G399" s="156">
        <f>IF(H399="SINAPI",IFERROR(VLOOKUP(I399,'SINAPI-comp'!$B:$H,7,0),VLOOKUP(I399,'SINAPI-insumo'!$B:$H,7,0)))</f>
        <v>1.93</v>
      </c>
      <c r="H399" s="495" t="s">
        <v>53</v>
      </c>
      <c r="I399" s="502">
        <v>95877</v>
      </c>
      <c r="J399" s="159">
        <f t="shared" si="34"/>
        <v>0.60850000000000004</v>
      </c>
      <c r="K399" s="159">
        <f t="shared" si="35"/>
        <v>6.1818999999999997</v>
      </c>
      <c r="L399" s="123"/>
    </row>
    <row r="400" spans="1:12" s="494" customFormat="1" ht="41.4" x14ac:dyDescent="0.25">
      <c r="A400" s="526">
        <v>13</v>
      </c>
      <c r="B400" s="152" t="str">
        <f>IF(H400="SINAPI",IFERROR(VLOOKUP(I400,'SINAPI-comp'!$B:$H,2,0),VLOOKUP(I400,'SINAPI-insumo'!$B:$H,2,0)))</f>
        <v>TRANSPORTE COM CAMINHÃO BASCULANTE DE 18 M³, EM VIA URBANA PAVIMENTADA, DMT ATÉ 30 KM (UNIDADE: M3XKM). AF_02/2026</v>
      </c>
      <c r="C400" s="151" t="str">
        <f>IF(H400="SINAPI",IFERROR(VLOOKUP(I400,'SINAPI-comp'!$B:$H,3,0),VLOOKUP(I400,'SINAPI-insumo'!$B:$H,3,0)))</f>
        <v>M3XKM</v>
      </c>
      <c r="D400" s="498">
        <f>TRUNC((D394*1.25)*DMT!C69,4)</f>
        <v>8.1798999999999999</v>
      </c>
      <c r="E400" s="499" t="s">
        <v>15442</v>
      </c>
      <c r="F400" s="155">
        <f>IFERROR(VLOOKUP(I400,'SINAPI-comp'!$B:$H,4,0)-G400,0)</f>
        <v>0.19000000000000017</v>
      </c>
      <c r="G400" s="156">
        <f>IF(H400="SINAPI",IFERROR(VLOOKUP(I400,'SINAPI-comp'!$B:$H,7,0),VLOOKUP(I400,'SINAPI-insumo'!$B:$H,7,0)))</f>
        <v>1.93</v>
      </c>
      <c r="H400" s="495" t="s">
        <v>53</v>
      </c>
      <c r="I400" s="502">
        <v>95877</v>
      </c>
      <c r="J400" s="159">
        <f t="shared" si="34"/>
        <v>1.5541</v>
      </c>
      <c r="K400" s="159">
        <f t="shared" si="35"/>
        <v>15.7872</v>
      </c>
      <c r="L400" s="123"/>
    </row>
    <row r="401" spans="1:13" s="494" customFormat="1" ht="55.2" x14ac:dyDescent="0.25">
      <c r="A401" s="526">
        <v>14</v>
      </c>
      <c r="B401" s="152" t="str">
        <f>IF(H401="SINAPI",IFERROR(VLOOKUP(I401,'SINAPI-comp'!$B:$H,2,0),VLOOKUP(I401,'SINAPI-insumo'!$B:$H,2,0)))</f>
        <v>CARGA, MANOBRA E DESCARGA DE SOLOS E MATERIAIS GRANULARES EM CAMINHÃO BASCULANTE 18 M³ - CARGA COM PÁ CARREGADEIRA (CAÇAMBA DE 1,7 A 2,8 M³ / 128 HP) E DESCARGA LIVRE (UNIDADE: M3). AF_02/2026</v>
      </c>
      <c r="C401" s="151" t="str">
        <f>IF(H401="SINAPI",IFERROR(VLOOKUP(I401,'SINAPI-comp'!$B:$H,3,0),VLOOKUP(I401,'SINAPI-insumo'!$B:$H,3,0)))</f>
        <v>M3</v>
      </c>
      <c r="D401" s="498">
        <f>TRUNC(((D395+D396)*1.3+(D394*1.25)),4)</f>
        <v>0.80610000000000004</v>
      </c>
      <c r="E401" s="499"/>
      <c r="F401" s="155">
        <f>IFERROR(VLOOKUP(I401,'SINAPI-comp'!$B:$H,4,0)-G401,0)</f>
        <v>1.1399999999999988</v>
      </c>
      <c r="G401" s="156">
        <f>IF(H401="SINAPI",IFERROR(VLOOKUP(I401,'SINAPI-comp'!$B:$H,7,0),VLOOKUP(I401,'SINAPI-insumo'!$B:$H,7,0)))</f>
        <v>7.23</v>
      </c>
      <c r="H401" s="495" t="s">
        <v>53</v>
      </c>
      <c r="I401" s="502">
        <v>100976</v>
      </c>
      <c r="J401" s="159">
        <f t="shared" si="34"/>
        <v>0.91890000000000005</v>
      </c>
      <c r="K401" s="159">
        <f t="shared" si="35"/>
        <v>5.8281000000000001</v>
      </c>
      <c r="L401" s="123"/>
    </row>
    <row r="402" spans="1:13" s="494" customFormat="1" x14ac:dyDescent="0.25">
      <c r="A402" s="528"/>
      <c r="B402" s="529" t="s">
        <v>15437</v>
      </c>
      <c r="C402" s="530"/>
      <c r="D402" s="531"/>
      <c r="E402" s="532"/>
      <c r="F402" s="533"/>
      <c r="G402" s="494" t="s">
        <v>15437</v>
      </c>
      <c r="H402" s="494" t="s">
        <v>15437</v>
      </c>
      <c r="I402" s="530"/>
      <c r="J402" s="534"/>
      <c r="K402" s="534"/>
      <c r="L402" s="521"/>
      <c r="M402" s="521"/>
    </row>
    <row r="403" spans="1:13" s="494" customFormat="1" x14ac:dyDescent="0.25">
      <c r="A403" s="528"/>
      <c r="B403" s="529" t="s">
        <v>15437</v>
      </c>
      <c r="C403" s="530"/>
      <c r="D403" s="531"/>
      <c r="E403" s="535"/>
      <c r="F403" s="533"/>
      <c r="G403" s="494" t="s">
        <v>15437</v>
      </c>
      <c r="H403" s="494" t="s">
        <v>15437</v>
      </c>
      <c r="I403" s="530"/>
      <c r="J403" s="534"/>
      <c r="K403" s="534"/>
      <c r="L403" s="521"/>
      <c r="M403" s="521"/>
    </row>
    <row r="404" spans="1:13" s="494" customFormat="1" x14ac:dyDescent="0.25">
      <c r="A404" s="674" t="s">
        <v>131</v>
      </c>
      <c r="B404" s="674" t="s">
        <v>132</v>
      </c>
      <c r="C404" s="675"/>
      <c r="D404" s="511"/>
      <c r="E404" s="675"/>
      <c r="F404" s="675"/>
      <c r="G404" s="675"/>
      <c r="H404" s="676" t="s">
        <v>133</v>
      </c>
      <c r="I404" s="677"/>
      <c r="J404" s="512" t="s">
        <v>134</v>
      </c>
      <c r="K404" s="512" t="s">
        <v>15795</v>
      </c>
    </row>
    <row r="405" spans="1:13" x14ac:dyDescent="0.3">
      <c r="A405" s="136" t="s">
        <v>15424</v>
      </c>
      <c r="B405" s="137" t="s">
        <v>15451</v>
      </c>
      <c r="C405" s="173"/>
      <c r="D405" s="174"/>
      <c r="E405" s="138"/>
      <c r="F405" s="140"/>
      <c r="G405" s="140"/>
      <c r="H405" s="141" t="s">
        <v>180</v>
      </c>
      <c r="I405" s="175"/>
      <c r="J405" s="143">
        <f>TRUNC(SUM(J407:J408),2)</f>
        <v>0</v>
      </c>
      <c r="K405" s="143">
        <f>TRUNC(SUM(K407:K408),2)</f>
        <v>5984.8</v>
      </c>
    </row>
    <row r="406" spans="1:13" s="687" customFormat="1" ht="27.6" x14ac:dyDescent="0.25">
      <c r="A406" s="522" t="s">
        <v>137</v>
      </c>
      <c r="B406" s="523" t="s">
        <v>19</v>
      </c>
      <c r="C406" s="524" t="s">
        <v>20</v>
      </c>
      <c r="D406" s="682" t="s">
        <v>138</v>
      </c>
      <c r="E406" s="525" t="s">
        <v>139</v>
      </c>
      <c r="F406" s="683" t="s">
        <v>140</v>
      </c>
      <c r="G406" s="684" t="s">
        <v>15796</v>
      </c>
      <c r="H406" s="685" t="s">
        <v>142</v>
      </c>
      <c r="I406" s="686"/>
      <c r="J406" s="684" t="s">
        <v>143</v>
      </c>
      <c r="K406" s="684" t="s">
        <v>15797</v>
      </c>
    </row>
    <row r="407" spans="1:13" x14ac:dyDescent="0.3">
      <c r="A407" s="161">
        <v>1</v>
      </c>
      <c r="B407" s="496" t="str">
        <f>VLOOKUP($I407,tabelas!$A:$L,4,0)</f>
        <v>CIMENTOS ASFÁLTICOS CAP-50-70, INCLUSO PIS, COFINS E ICMS</v>
      </c>
      <c r="C407" s="497" t="str">
        <f>VLOOKUP($I407,tabelas!$A:$L,5,0)</f>
        <v>T</v>
      </c>
      <c r="D407" s="498">
        <f>ROUND(1*(0.0566/0.055),2)</f>
        <v>1.03</v>
      </c>
      <c r="E407" s="499"/>
      <c r="F407" s="500">
        <v>0</v>
      </c>
      <c r="G407" s="501">
        <f>VLOOKUP($I407,tabelas!$A:$L,12,0)</f>
        <v>5731.58</v>
      </c>
      <c r="H407" s="495" t="s">
        <v>42</v>
      </c>
      <c r="I407" s="502" t="s">
        <v>15434</v>
      </c>
      <c r="J407" s="159">
        <f>TRUNC($D407*F407,4)</f>
        <v>0</v>
      </c>
      <c r="K407" s="159">
        <f>TRUNC($D407*G407,4)</f>
        <v>5903.5273999999999</v>
      </c>
    </row>
    <row r="408" spans="1:13" ht="27.6" x14ac:dyDescent="0.3">
      <c r="A408" s="161">
        <v>2</v>
      </c>
      <c r="B408" s="496" t="str">
        <f>VLOOKUP($I408,tabelas!$A:$L,4,0)</f>
        <v>TRANSPORTE DE CAP (Distribuidora de derivado de petróleo ate Pavimentadora)</v>
      </c>
      <c r="C408" s="497" t="str">
        <f>VLOOKUP($I408,tabelas!$A:$L,5,0)</f>
        <v>T</v>
      </c>
      <c r="D408" s="498">
        <f>D407</f>
        <v>1.03</v>
      </c>
      <c r="E408" s="499"/>
      <c r="F408" s="500">
        <v>0</v>
      </c>
      <c r="G408" s="501">
        <f>VLOOKUP($I408,tabelas!$A:$L,12,0)</f>
        <v>78.91</v>
      </c>
      <c r="H408" s="495" t="s">
        <v>42</v>
      </c>
      <c r="I408" s="502" t="s">
        <v>15428</v>
      </c>
      <c r="J408" s="159">
        <f>TRUNC($D408*F408,4)</f>
        <v>0</v>
      </c>
      <c r="K408" s="159">
        <f>TRUNC($D408*G408,4)</f>
        <v>81.277299999999997</v>
      </c>
    </row>
    <row r="411" spans="1:13" s="494" customFormat="1" x14ac:dyDescent="0.25">
      <c r="A411" s="674" t="s">
        <v>131</v>
      </c>
      <c r="B411" s="674" t="s">
        <v>132</v>
      </c>
      <c r="C411" s="675"/>
      <c r="D411" s="511"/>
      <c r="E411" s="675"/>
      <c r="F411" s="675"/>
      <c r="G411" s="675"/>
      <c r="H411" s="676" t="s">
        <v>133</v>
      </c>
      <c r="I411" s="677"/>
      <c r="J411" s="512" t="s">
        <v>134</v>
      </c>
      <c r="K411" s="512" t="s">
        <v>15795</v>
      </c>
    </row>
    <row r="412" spans="1:13" x14ac:dyDescent="0.3">
      <c r="A412" s="136" t="s">
        <v>15425</v>
      </c>
      <c r="B412" s="137" t="s">
        <v>15427</v>
      </c>
      <c r="C412" s="173"/>
      <c r="D412" s="174"/>
      <c r="E412" s="138"/>
      <c r="F412" s="140"/>
      <c r="G412" s="140"/>
      <c r="H412" s="141" t="s">
        <v>170</v>
      </c>
      <c r="I412" s="175"/>
      <c r="J412" s="143">
        <f>TRUNC(SUM(J414:J423),2)</f>
        <v>49.55</v>
      </c>
      <c r="K412" s="143">
        <f>TRUNC(SUM(K414:K423),2)</f>
        <v>81.73</v>
      </c>
    </row>
    <row r="413" spans="1:13" s="687" customFormat="1" ht="27.6" x14ac:dyDescent="0.25">
      <c r="A413" s="522" t="s">
        <v>137</v>
      </c>
      <c r="B413" s="523" t="s">
        <v>19</v>
      </c>
      <c r="C413" s="524" t="s">
        <v>20</v>
      </c>
      <c r="D413" s="682" t="s">
        <v>138</v>
      </c>
      <c r="E413" s="525" t="s">
        <v>139</v>
      </c>
      <c r="F413" s="683" t="s">
        <v>140</v>
      </c>
      <c r="G413" s="684" t="s">
        <v>15796</v>
      </c>
      <c r="H413" s="685" t="s">
        <v>142</v>
      </c>
      <c r="I413" s="686"/>
      <c r="J413" s="684" t="s">
        <v>143</v>
      </c>
      <c r="K413" s="684" t="s">
        <v>15797</v>
      </c>
    </row>
    <row r="414" spans="1:13" ht="55.2" x14ac:dyDescent="0.3">
      <c r="A414" s="161">
        <v>1</v>
      </c>
      <c r="B414" s="152" t="str">
        <f>IF(H414="SINAPI",IFERROR(VLOOKUP(I414,'SINAPI-comp'!$B:$H,2,0),VLOOKUP(I414,'SINAPI-insumo'!$B:$H,2,0)))</f>
        <v>CAMINHÃO BASCULANTE 10 M3, TRUCADO CABINE SIMPLES, PESO BRUTO TOTAL 23.000 KG, CARGA ÚTIL MÁXIMA 15.935 KG, DISTÂNCIA ENTRE EIXOS 4,80 M, POTÊNCIA 230 CV INCLUSIVE CAÇAMBA METÁLICA - CHP DIURNO. AF_06/2014</v>
      </c>
      <c r="C414" s="151" t="str">
        <f>IF(H414="SINAPI",IFERROR(VLOOKUP(I414,'SINAPI-comp'!$B:$H,3,0),VLOOKUP(I414,'SINAPI-insumo'!$B:$H,3,0)))</f>
        <v>CHP</v>
      </c>
      <c r="D414" s="153">
        <v>4.6399999999999997E-2</v>
      </c>
      <c r="E414" s="164" t="s">
        <v>15426</v>
      </c>
      <c r="F414" s="155">
        <f>IFERROR(VLOOKUP(I414,'SINAPI-comp'!$B:$H,4,0)-G414,0)</f>
        <v>29.150000000000034</v>
      </c>
      <c r="G414" s="156">
        <f>IF(H414="SINAPI",IFERROR(VLOOKUP(I414,'SINAPI-comp'!$B:$H,7,0),VLOOKUP(I414,'SINAPI-insumo'!$B:$H,7,0)))</f>
        <v>267.02</v>
      </c>
      <c r="H414" s="168" t="s">
        <v>53</v>
      </c>
      <c r="I414" s="158">
        <v>91386</v>
      </c>
      <c r="J414" s="159">
        <f t="shared" ref="J414:J423" si="36">TRUNC($D414*F414,4)</f>
        <v>1.3525</v>
      </c>
      <c r="K414" s="159">
        <f t="shared" ref="K414:K423" si="37">TRUNC($D414*G414,4)</f>
        <v>12.389699999999999</v>
      </c>
    </row>
    <row r="415" spans="1:13" x14ac:dyDescent="0.3">
      <c r="A415" s="161">
        <v>2</v>
      </c>
      <c r="B415" s="152" t="str">
        <f>IF(H415="SINAPI",IFERROR(VLOOKUP(I415,'SINAPI-comp'!$B:$H,2,0),VLOOKUP(I415,'SINAPI-insumo'!$B:$H,2,0)))</f>
        <v>RASTELEIRO COM ENCARGOS COMPLEMENTARES</v>
      </c>
      <c r="C415" s="151" t="str">
        <f>IF(H415="SINAPI",IFERROR(VLOOKUP(I415,'SINAPI-comp'!$B:$H,3,0),VLOOKUP(I415,'SINAPI-insumo'!$B:$H,3,0)))</f>
        <v>H</v>
      </c>
      <c r="D415" s="153">
        <v>1.1301000000000001</v>
      </c>
      <c r="E415" s="164" t="s">
        <v>15426</v>
      </c>
      <c r="F415" s="155">
        <f>IFERROR(VLOOKUP(I415,'SINAPI-comp'!$B:$H,4,0)-G415,0)</f>
        <v>25.93</v>
      </c>
      <c r="G415" s="156">
        <f>IF(H415="SINAPI",IFERROR(VLOOKUP(I415,'SINAPI-comp'!$B:$H,7,0),VLOOKUP(I415,'SINAPI-insumo'!$B:$H,7,0)))</f>
        <v>0</v>
      </c>
      <c r="H415" s="168" t="s">
        <v>53</v>
      </c>
      <c r="I415" s="158">
        <v>88314</v>
      </c>
      <c r="J415" s="159">
        <f t="shared" si="36"/>
        <v>29.3034</v>
      </c>
      <c r="K415" s="159">
        <f t="shared" si="37"/>
        <v>0</v>
      </c>
    </row>
    <row r="416" spans="1:13" ht="41.4" x14ac:dyDescent="0.3">
      <c r="A416" s="161">
        <v>3</v>
      </c>
      <c r="B416" s="152" t="str">
        <f>IF(H416="SINAPI",IFERROR(VLOOKUP(I416,'SINAPI-comp'!$B:$H,2,0),VLOOKUP(I416,'SINAPI-insumo'!$B:$H,2,0)))</f>
        <v>ROLO COMPACTADOR DE PNEUS, ESTÁTICO, PRESSÃO VARIÁVEL, POTÊNCIA 110 HP, PESO SEM/COM LASTRO 10,8/27 T, LARGURA DE ROLAGEM 2,30 M - CHI DIURNO. AF_06/2017</v>
      </c>
      <c r="C416" s="151" t="str">
        <f>IF(H416="SINAPI",IFERROR(VLOOKUP(I416,'SINAPI-comp'!$B:$H,3,0),VLOOKUP(I416,'SINAPI-insumo'!$B:$H,3,0)))</f>
        <v>CHI</v>
      </c>
      <c r="D416" s="153">
        <v>9.9000000000000005E-2</v>
      </c>
      <c r="E416" s="164" t="s">
        <v>15426</v>
      </c>
      <c r="F416" s="155">
        <f>IFERROR(VLOOKUP(I416,'SINAPI-comp'!$B:$H,4,0)-G416,0)</f>
        <v>30.800000000000004</v>
      </c>
      <c r="G416" s="156">
        <f>IF(H416="SINAPI",IFERROR(VLOOKUP(I416,'SINAPI-comp'!$B:$H,7,0),VLOOKUP(I416,'SINAPI-insumo'!$B:$H,7,0)))</f>
        <v>63.79</v>
      </c>
      <c r="H416" s="168" t="s">
        <v>53</v>
      </c>
      <c r="I416" s="158">
        <v>96464</v>
      </c>
      <c r="J416" s="159">
        <f t="shared" si="36"/>
        <v>3.0491999999999999</v>
      </c>
      <c r="K416" s="159">
        <f t="shared" si="37"/>
        <v>6.3151999999999999</v>
      </c>
    </row>
    <row r="417" spans="1:11" ht="41.4" x14ac:dyDescent="0.3">
      <c r="A417" s="161">
        <v>4</v>
      </c>
      <c r="B417" s="152" t="str">
        <f>IF(H417="SINAPI",IFERROR(VLOOKUP(I417,'SINAPI-comp'!$B:$H,2,0),VLOOKUP(I417,'SINAPI-insumo'!$B:$H,2,0)))</f>
        <v>ROLO COMPACTADOR DE PNEUS, ESTÁTICO, PRESSÃO VARIÁVEL, POTÊNCIA 110 HP, PESO SEM/COM LASTRO 10,8/27 T, LARGURA DE ROLAGEM 2,30 M - CHP DIURNO. AF_06/2017</v>
      </c>
      <c r="C417" s="151" t="str">
        <f>IF(H417="SINAPI",IFERROR(VLOOKUP(I417,'SINAPI-comp'!$B:$H,3,0),VLOOKUP(I417,'SINAPI-insumo'!$B:$H,3,0)))</f>
        <v>CHP</v>
      </c>
      <c r="D417" s="153">
        <v>4.19E-2</v>
      </c>
      <c r="E417" s="164" t="s">
        <v>15426</v>
      </c>
      <c r="F417" s="155">
        <f>IFERROR(VLOOKUP(I417,'SINAPI-comp'!$B:$H,4,0)-G417,0)</f>
        <v>30.810000000000002</v>
      </c>
      <c r="G417" s="156">
        <f>IF(H417="SINAPI",IFERROR(VLOOKUP(I417,'SINAPI-comp'!$B:$H,7,0),VLOOKUP(I417,'SINAPI-insumo'!$B:$H,7,0)))</f>
        <v>195.55</v>
      </c>
      <c r="H417" s="168" t="s">
        <v>53</v>
      </c>
      <c r="I417" s="158">
        <v>96463</v>
      </c>
      <c r="J417" s="159">
        <f t="shared" si="36"/>
        <v>1.2908999999999999</v>
      </c>
      <c r="K417" s="159">
        <f t="shared" si="37"/>
        <v>8.1935000000000002</v>
      </c>
    </row>
    <row r="418" spans="1:11" ht="41.4" x14ac:dyDescent="0.3">
      <c r="A418" s="161">
        <v>5</v>
      </c>
      <c r="B418" s="152" t="str">
        <f>IF(H418="SINAPI",IFERROR(VLOOKUP(I418,'SINAPI-comp'!$B:$H,2,0),VLOOKUP(I418,'SINAPI-insumo'!$B:$H,2,0)))</f>
        <v>ROLO COMPACTADOR VIBRATORIO TANDEM, ACO LISO, POTENCIA 125 HP, PESO SEM/COM LASTRO 10,20/11,65 T, LARGURA DE TRABALHO 1,73 M - CHI DIURNO. AF_11/2016</v>
      </c>
      <c r="C418" s="151" t="str">
        <f>IF(H418="SINAPI",IFERROR(VLOOKUP(I418,'SINAPI-comp'!$B:$H,3,0),VLOOKUP(I418,'SINAPI-insumo'!$B:$H,3,0)))</f>
        <v>CHI</v>
      </c>
      <c r="D418" s="153">
        <v>6.0699999999999997E-2</v>
      </c>
      <c r="E418" s="164" t="s">
        <v>15426</v>
      </c>
      <c r="F418" s="155">
        <f>IFERROR(VLOOKUP(I418,'SINAPI-comp'!$B:$H,4,0)-G418,0)</f>
        <v>30.79999999999999</v>
      </c>
      <c r="G418" s="156">
        <f>IF(H418="SINAPI",IFERROR(VLOOKUP(I418,'SINAPI-comp'!$B:$H,7,0),VLOOKUP(I418,'SINAPI-insumo'!$B:$H,7,0)))</f>
        <v>57.52</v>
      </c>
      <c r="H418" s="168" t="s">
        <v>53</v>
      </c>
      <c r="I418" s="158">
        <v>95632</v>
      </c>
      <c r="J418" s="159">
        <f t="shared" si="36"/>
        <v>1.8694999999999999</v>
      </c>
      <c r="K418" s="159">
        <f t="shared" si="37"/>
        <v>3.4914000000000001</v>
      </c>
    </row>
    <row r="419" spans="1:11" ht="41.4" x14ac:dyDescent="0.3">
      <c r="A419" s="161">
        <v>6</v>
      </c>
      <c r="B419" s="152" t="str">
        <f>IF(H419="SINAPI",IFERROR(VLOOKUP(I419,'SINAPI-comp'!$B:$H,2,0),VLOOKUP(I419,'SINAPI-insumo'!$B:$H,2,0)))</f>
        <v>ROLO COMPACTADOR VIBRATORIO TANDEM, ACO LISO, POTENCIA 125 HP, PESO SEM/COM LASTRO 10,20/11,65 T, LARGURA DE TRABALHO 1,73 M - CHP DIURNO. AF_11/2016</v>
      </c>
      <c r="C419" s="151" t="str">
        <f>IF(H419="SINAPI",IFERROR(VLOOKUP(I419,'SINAPI-comp'!$B:$H,3,0),VLOOKUP(I419,'SINAPI-insumo'!$B:$H,3,0)))</f>
        <v>CHP</v>
      </c>
      <c r="D419" s="153">
        <v>8.0500000000000002E-2</v>
      </c>
      <c r="E419" s="164" t="s">
        <v>15426</v>
      </c>
      <c r="F419" s="155">
        <f>IFERROR(VLOOKUP(I419,'SINAPI-comp'!$B:$H,4,0)-G419,0)</f>
        <v>30.800000000000011</v>
      </c>
      <c r="G419" s="156">
        <f>IF(H419="SINAPI",IFERROR(VLOOKUP(I419,'SINAPI-comp'!$B:$H,7,0),VLOOKUP(I419,'SINAPI-insumo'!$B:$H,7,0)))</f>
        <v>210.51</v>
      </c>
      <c r="H419" s="168" t="s">
        <v>53</v>
      </c>
      <c r="I419" s="158">
        <v>95631</v>
      </c>
      <c r="J419" s="159">
        <f t="shared" si="36"/>
        <v>2.4794</v>
      </c>
      <c r="K419" s="159">
        <f t="shared" si="37"/>
        <v>16.946000000000002</v>
      </c>
    </row>
    <row r="420" spans="1:11" ht="27.6" x14ac:dyDescent="0.3">
      <c r="A420" s="161">
        <v>7</v>
      </c>
      <c r="B420" s="152" t="str">
        <f>IF(H420="SINAPI",IFERROR(VLOOKUP(I420,'SINAPI-comp'!$B:$H,2,0),VLOOKUP(I420,'SINAPI-insumo'!$B:$H,2,0)))</f>
        <v>TRATOR DE PNEUS COM POTÊNCIA DE 85 CV, TRAÇÃO 4X4, COM VASSOURA MECÂNICA ACOPLADA - CHI DIURNO. AF_02/2017</v>
      </c>
      <c r="C420" s="151" t="str">
        <f>IF(H420="SINAPI",IFERROR(VLOOKUP(I420,'SINAPI-comp'!$B:$H,3,0),VLOOKUP(I420,'SINAPI-insumo'!$B:$H,3,0)))</f>
        <v>CHI</v>
      </c>
      <c r="D420" s="153">
        <v>0.1071</v>
      </c>
      <c r="E420" s="164" t="s">
        <v>15426</v>
      </c>
      <c r="F420" s="155">
        <f>IFERROR(VLOOKUP(I420,'SINAPI-comp'!$B:$H,4,0)-G420,0)</f>
        <v>35.74</v>
      </c>
      <c r="G420" s="156">
        <f>IF(H420="SINAPI",IFERROR(VLOOKUP(I420,'SINAPI-comp'!$B:$H,7,0),VLOOKUP(I420,'SINAPI-insumo'!$B:$H,7,0)))</f>
        <v>23.39</v>
      </c>
      <c r="H420" s="168" t="s">
        <v>53</v>
      </c>
      <c r="I420" s="158">
        <v>96155</v>
      </c>
      <c r="J420" s="159">
        <f t="shared" si="36"/>
        <v>3.8277000000000001</v>
      </c>
      <c r="K420" s="159">
        <f t="shared" si="37"/>
        <v>2.5049999999999999</v>
      </c>
    </row>
    <row r="421" spans="1:11" ht="27.6" x14ac:dyDescent="0.3">
      <c r="A421" s="161">
        <v>8</v>
      </c>
      <c r="B421" s="152" t="str">
        <f>IF(H421="SINAPI",IFERROR(VLOOKUP(I421,'SINAPI-comp'!$B:$H,2,0),VLOOKUP(I421,'SINAPI-insumo'!$B:$H,2,0)))</f>
        <v>TRATOR DE PNEUS COM POTÊNCIA DE 85 CV, TRAÇÃO 4X4, COM VASSOURA MECÂNICA ACOPLADA - CHP DIURNO. AF_03/2017</v>
      </c>
      <c r="C421" s="151" t="str">
        <f>IF(H421="SINAPI",IFERROR(VLOOKUP(I421,'SINAPI-comp'!$B:$H,3,0),VLOOKUP(I421,'SINAPI-insumo'!$B:$H,3,0)))</f>
        <v>CHP</v>
      </c>
      <c r="D421" s="153">
        <v>3.4099999999999998E-2</v>
      </c>
      <c r="E421" s="164" t="s">
        <v>15426</v>
      </c>
      <c r="F421" s="155">
        <f>IFERROR(VLOOKUP(I421,'SINAPI-comp'!$B:$H,4,0)-G421,0)</f>
        <v>35.739999999999995</v>
      </c>
      <c r="G421" s="156">
        <f>IF(H421="SINAPI",IFERROR(VLOOKUP(I421,'SINAPI-comp'!$B:$H,7,0),VLOOKUP(I421,'SINAPI-insumo'!$B:$H,7,0)))</f>
        <v>116.2</v>
      </c>
      <c r="H421" s="168" t="s">
        <v>53</v>
      </c>
      <c r="I421" s="158">
        <v>96157</v>
      </c>
      <c r="J421" s="159">
        <f t="shared" si="36"/>
        <v>1.2186999999999999</v>
      </c>
      <c r="K421" s="159">
        <f t="shared" si="37"/>
        <v>3.9624000000000001</v>
      </c>
    </row>
    <row r="422" spans="1:11" ht="41.4" x14ac:dyDescent="0.3">
      <c r="A422" s="161">
        <v>9</v>
      </c>
      <c r="B422" s="152" t="str">
        <f>IF(H422="SINAPI",IFERROR(VLOOKUP(I422,'SINAPI-comp'!$B:$H,2,0),VLOOKUP(I422,'SINAPI-insumo'!$B:$H,2,0)))</f>
        <v>VIBROACABADORA DE ASFALTO SOBRE ESTEIRAS, LARGURA DE PAVIMENTAÇÃO 1,90 M A 5,30 M, POTÊNCIA 105 HP CAPACIDADE 450 T/H - CHI DIURNO. AF_11/2014</v>
      </c>
      <c r="C422" s="151" t="str">
        <f>IF(H422="SINAPI",IFERROR(VLOOKUP(I422,'SINAPI-comp'!$B:$H,3,0),VLOOKUP(I422,'SINAPI-insumo'!$B:$H,3,0)))</f>
        <v>CHI</v>
      </c>
      <c r="D422" s="153">
        <v>9.4899999999999998E-2</v>
      </c>
      <c r="E422" s="164" t="s">
        <v>15426</v>
      </c>
      <c r="F422" s="155">
        <f>IFERROR(VLOOKUP(I422,'SINAPI-comp'!$B:$H,4,0)-G422,0)</f>
        <v>36.540000000000006</v>
      </c>
      <c r="G422" s="156">
        <f>IF(H422="SINAPI",IFERROR(VLOOKUP(I422,'SINAPI-comp'!$B:$H,7,0),VLOOKUP(I422,'SINAPI-insumo'!$B:$H,7,0)))</f>
        <v>119.52</v>
      </c>
      <c r="H422" s="168" t="s">
        <v>53</v>
      </c>
      <c r="I422" s="158">
        <v>5837</v>
      </c>
      <c r="J422" s="159">
        <f t="shared" si="36"/>
        <v>3.4676</v>
      </c>
      <c r="K422" s="159">
        <f t="shared" si="37"/>
        <v>11.3424</v>
      </c>
    </row>
    <row r="423" spans="1:11" ht="41.4" x14ac:dyDescent="0.3">
      <c r="A423" s="161">
        <v>10</v>
      </c>
      <c r="B423" s="152" t="str">
        <f>IF(H423="SINAPI",IFERROR(VLOOKUP(I423,'SINAPI-comp'!$B:$H,2,0),VLOOKUP(I423,'SINAPI-insumo'!$B:$H,2,0)))</f>
        <v>VIBROACABADORA DE ASFALTO SOBRE ESTEIRAS, LARGURA DE PAVIMENTAÇÃO 1,90 M A 5,30 M, POTÊNCIA 105 HP CAPACIDADE 450 T/H - CHP DIURNO. AF_11/2014</v>
      </c>
      <c r="C423" s="151" t="str">
        <f>IF(H423="SINAPI",IFERROR(VLOOKUP(I423,'SINAPI-comp'!$B:$H,3,0),VLOOKUP(I423,'SINAPI-insumo'!$B:$H,3,0)))</f>
        <v>CHP</v>
      </c>
      <c r="D423" s="153">
        <v>4.6399999999999997E-2</v>
      </c>
      <c r="E423" s="164" t="s">
        <v>15426</v>
      </c>
      <c r="F423" s="155">
        <f>IFERROR(VLOOKUP(I423,'SINAPI-comp'!$B:$H,4,0)-G423,0)</f>
        <v>36.54000000000002</v>
      </c>
      <c r="G423" s="156">
        <f>IF(H423="SINAPI",IFERROR(VLOOKUP(I423,'SINAPI-comp'!$B:$H,7,0),VLOOKUP(I423,'SINAPI-insumo'!$B:$H,7,0)))</f>
        <v>357.56</v>
      </c>
      <c r="H423" s="168" t="s">
        <v>53</v>
      </c>
      <c r="I423" s="158">
        <v>5835</v>
      </c>
      <c r="J423" s="159">
        <f t="shared" si="36"/>
        <v>1.6954</v>
      </c>
      <c r="K423" s="159">
        <f t="shared" si="37"/>
        <v>16.590699999999998</v>
      </c>
    </row>
    <row r="426" spans="1:11" s="494" customFormat="1" x14ac:dyDescent="0.25">
      <c r="A426" s="674" t="s">
        <v>131</v>
      </c>
      <c r="B426" s="674" t="s">
        <v>132</v>
      </c>
      <c r="C426" s="675"/>
      <c r="D426" s="511"/>
      <c r="E426" s="675"/>
      <c r="F426" s="675"/>
      <c r="G426" s="675"/>
      <c r="H426" s="676" t="s">
        <v>133</v>
      </c>
      <c r="I426" s="677"/>
      <c r="J426" s="512" t="s">
        <v>134</v>
      </c>
      <c r="K426" s="512" t="s">
        <v>15795</v>
      </c>
    </row>
    <row r="427" spans="1:11" x14ac:dyDescent="0.3">
      <c r="A427" s="136" t="s">
        <v>15436</v>
      </c>
      <c r="B427" s="137" t="s">
        <v>174</v>
      </c>
      <c r="C427" s="173"/>
      <c r="D427" s="174"/>
      <c r="E427" s="138"/>
      <c r="F427" s="140"/>
      <c r="G427" s="140"/>
      <c r="H427" s="141" t="s">
        <v>180</v>
      </c>
      <c r="I427" s="175"/>
      <c r="J427" s="143">
        <f>TRUNC(SUM(J429:J429),2)</f>
        <v>0</v>
      </c>
      <c r="K427" s="143">
        <f>TRUNC(SUM(K429:K429),2)</f>
        <v>4086.76</v>
      </c>
    </row>
    <row r="428" spans="1:11" s="687" customFormat="1" ht="27.6" x14ac:dyDescent="0.25">
      <c r="A428" s="522" t="s">
        <v>137</v>
      </c>
      <c r="B428" s="523" t="s">
        <v>19</v>
      </c>
      <c r="C428" s="524" t="s">
        <v>20</v>
      </c>
      <c r="D428" s="682" t="s">
        <v>138</v>
      </c>
      <c r="E428" s="525" t="s">
        <v>139</v>
      </c>
      <c r="F428" s="683" t="s">
        <v>140</v>
      </c>
      <c r="G428" s="684" t="s">
        <v>15796</v>
      </c>
      <c r="H428" s="685" t="s">
        <v>142</v>
      </c>
      <c r="I428" s="686"/>
      <c r="J428" s="684" t="s">
        <v>143</v>
      </c>
      <c r="K428" s="684" t="s">
        <v>15797</v>
      </c>
    </row>
    <row r="429" spans="1:11" ht="27.6" x14ac:dyDescent="0.3">
      <c r="A429" s="161">
        <v>1</v>
      </c>
      <c r="B429" s="165" t="str">
        <f>VLOOKUP(I429,tabelas!$A:$L,4,0)</f>
        <v>EMULSÃO ASFALTICA TIPO RR-1C, INCLUSO PIS, COFINS E ICMS</v>
      </c>
      <c r="C429" s="166" t="str">
        <f>VLOOKUP(I429,tabelas!$A:$L,5,0)</f>
        <v>T</v>
      </c>
      <c r="D429" s="153">
        <v>1</v>
      </c>
      <c r="E429" s="160" t="s">
        <v>176</v>
      </c>
      <c r="F429" s="167">
        <v>0</v>
      </c>
      <c r="G429" s="167">
        <f>VLOOKUP($I429,tabelas!$A:$L,12,0)</f>
        <v>4086.76</v>
      </c>
      <c r="H429" s="168" t="s">
        <v>42</v>
      </c>
      <c r="I429" s="158" t="s">
        <v>177</v>
      </c>
      <c r="J429" s="159">
        <f>TRUNC($D429*F429,4)</f>
        <v>0</v>
      </c>
      <c r="K429" s="159">
        <f>TRUNC($D429*G429,4)</f>
        <v>4086.76</v>
      </c>
    </row>
    <row r="432" spans="1:11" s="494" customFormat="1" x14ac:dyDescent="0.25">
      <c r="A432" s="674" t="s">
        <v>131</v>
      </c>
      <c r="B432" s="674" t="s">
        <v>132</v>
      </c>
      <c r="C432" s="675"/>
      <c r="D432" s="511"/>
      <c r="E432" s="675"/>
      <c r="F432" s="675"/>
      <c r="G432" s="675"/>
      <c r="H432" s="676" t="s">
        <v>133</v>
      </c>
      <c r="I432" s="677"/>
      <c r="J432" s="512" t="s">
        <v>134</v>
      </c>
      <c r="K432" s="512" t="s">
        <v>15795</v>
      </c>
    </row>
    <row r="433" spans="1:11" x14ac:dyDescent="0.3">
      <c r="A433" s="136" t="s">
        <v>119</v>
      </c>
      <c r="B433" s="137" t="s">
        <v>15435</v>
      </c>
      <c r="C433" s="173"/>
      <c r="D433" s="174"/>
      <c r="E433" s="138"/>
      <c r="F433" s="140"/>
      <c r="G433" s="140"/>
      <c r="H433" s="141" t="s">
        <v>180</v>
      </c>
      <c r="I433" s="175"/>
      <c r="J433" s="143">
        <f>TRUNC(SUM(J435:J435),2)</f>
        <v>0</v>
      </c>
      <c r="K433" s="143">
        <f>TRUNC(SUM(K435:K435),2)</f>
        <v>99.57</v>
      </c>
    </row>
    <row r="434" spans="1:11" s="687" customFormat="1" ht="27.6" x14ac:dyDescent="0.25">
      <c r="A434" s="522" t="s">
        <v>137</v>
      </c>
      <c r="B434" s="523" t="s">
        <v>19</v>
      </c>
      <c r="C434" s="524" t="s">
        <v>20</v>
      </c>
      <c r="D434" s="682" t="s">
        <v>138</v>
      </c>
      <c r="E434" s="525" t="s">
        <v>139</v>
      </c>
      <c r="F434" s="683" t="s">
        <v>140</v>
      </c>
      <c r="G434" s="684" t="s">
        <v>15796</v>
      </c>
      <c r="H434" s="685" t="s">
        <v>142</v>
      </c>
      <c r="I434" s="686"/>
      <c r="J434" s="684" t="s">
        <v>143</v>
      </c>
      <c r="K434" s="684" t="s">
        <v>15797</v>
      </c>
    </row>
    <row r="435" spans="1:11" ht="41.4" x14ac:dyDescent="0.3">
      <c r="A435" s="161">
        <v>1</v>
      </c>
      <c r="B435" s="496" t="str">
        <f>VLOOKUP($I435,tabelas!$A:$L,4,0)</f>
        <v>TRANSPORTE DE EMULSAO ASFALTICA (Distribuidora de derivado de petróleo ate Obra)</v>
      </c>
      <c r="C435" s="497" t="str">
        <f>VLOOKUP($I435,tabelas!$A:$L,5,0)</f>
        <v>T</v>
      </c>
      <c r="D435" s="153">
        <v>1</v>
      </c>
      <c r="E435" s="160" t="s">
        <v>181</v>
      </c>
      <c r="F435" s="500">
        <v>0</v>
      </c>
      <c r="G435" s="501">
        <f>VLOOKUP($I435,tabelas!$A:$L,12,0)</f>
        <v>99.57</v>
      </c>
      <c r="H435" s="495" t="s">
        <v>42</v>
      </c>
      <c r="I435" s="502" t="s">
        <v>15429</v>
      </c>
      <c r="J435" s="159">
        <f>TRUNC($D435*F435,4)</f>
        <v>0</v>
      </c>
      <c r="K435" s="159">
        <f>TRUNC($D435*G435,4)</f>
        <v>99.57</v>
      </c>
    </row>
    <row r="438" spans="1:11" s="494" customFormat="1" x14ac:dyDescent="0.25">
      <c r="A438" s="674" t="s">
        <v>131</v>
      </c>
      <c r="B438" s="674" t="s">
        <v>132</v>
      </c>
      <c r="C438" s="675"/>
      <c r="D438" s="511"/>
      <c r="E438" s="675"/>
      <c r="F438" s="675"/>
      <c r="G438" s="675"/>
      <c r="H438" s="676" t="s">
        <v>133</v>
      </c>
      <c r="I438" s="677"/>
      <c r="J438" s="512" t="s">
        <v>134</v>
      </c>
      <c r="K438" s="512" t="s">
        <v>15795</v>
      </c>
    </row>
    <row r="439" spans="1:11" x14ac:dyDescent="0.3">
      <c r="A439" s="136" t="s">
        <v>120</v>
      </c>
      <c r="B439" s="137" t="s">
        <v>178</v>
      </c>
      <c r="C439" s="173"/>
      <c r="D439" s="174"/>
      <c r="E439" s="138"/>
      <c r="F439" s="140"/>
      <c r="G439" s="140"/>
      <c r="H439" s="141" t="s">
        <v>168</v>
      </c>
      <c r="I439" s="175"/>
      <c r="J439" s="143">
        <f>TRUNC(SUM(J441:J447),2)</f>
        <v>0.52</v>
      </c>
      <c r="K439" s="143">
        <f>TRUNC(SUM(K441:K447),2)</f>
        <v>0.78</v>
      </c>
    </row>
    <row r="440" spans="1:11" s="687" customFormat="1" ht="27.6" x14ac:dyDescent="0.25">
      <c r="A440" s="522" t="s">
        <v>137</v>
      </c>
      <c r="B440" s="523" t="s">
        <v>19</v>
      </c>
      <c r="C440" s="524" t="s">
        <v>20</v>
      </c>
      <c r="D440" s="682" t="s">
        <v>138</v>
      </c>
      <c r="E440" s="525" t="s">
        <v>139</v>
      </c>
      <c r="F440" s="683" t="s">
        <v>140</v>
      </c>
      <c r="G440" s="684" t="s">
        <v>15796</v>
      </c>
      <c r="H440" s="685" t="s">
        <v>142</v>
      </c>
      <c r="I440" s="686"/>
      <c r="J440" s="684" t="s">
        <v>143</v>
      </c>
      <c r="K440" s="684" t="s">
        <v>15797</v>
      </c>
    </row>
    <row r="441" spans="1:11" ht="55.2" x14ac:dyDescent="0.3">
      <c r="A441" s="161">
        <v>1</v>
      </c>
      <c r="B441" s="152" t="str">
        <f>IF(H441="SINAPI",IFERROR(VLOOKUP(I441,'SINAPI-comp'!$B:$H,2,0),VLOOKUP(I441,'SINAPI-insumo'!$B:$H,2,0)))</f>
        <v>ESPARGIDOR DE ASFALTO PRESSURIZADO, TANQUE 6 M3 COM ISOLAÇÃO TÉRMICA, AQUECIDO COM 2 MAÇARICOS, COM BARRA ESPARGIDORA 3,60 M, MONTADO SOBRE CAMINHÃO TOCO, PBT 14.300 KG, POTÊNCIA 185 CV - CHI DIURNO. AF_05/2023</v>
      </c>
      <c r="C441" s="151" t="str">
        <f>IF(H441="SINAPI",IFERROR(VLOOKUP(I441,'SINAPI-comp'!$B:$H,3,0),VLOOKUP(I441,'SINAPI-insumo'!$B:$H,3,0)))</f>
        <v>CHI</v>
      </c>
      <c r="D441" s="153">
        <v>4.8999999999999998E-3</v>
      </c>
      <c r="E441" s="164" t="s">
        <v>179</v>
      </c>
      <c r="F441" s="155">
        <f>IFERROR(VLOOKUP(I441,'SINAPI-comp'!$B:$H,4,0)-G441,0)</f>
        <v>28.249999999999993</v>
      </c>
      <c r="G441" s="156">
        <f>IF(H441="SINAPI",IFERROR(VLOOKUP(I441,'SINAPI-comp'!$B:$H,7,0),VLOOKUP(I441,'SINAPI-insumo'!$B:$H,7,0)))</f>
        <v>45.52</v>
      </c>
      <c r="H441" s="168" t="s">
        <v>53</v>
      </c>
      <c r="I441" s="158">
        <v>91486</v>
      </c>
      <c r="J441" s="159">
        <f t="shared" ref="J441:K447" si="38">TRUNC($D441*F441,4)</f>
        <v>0.1384</v>
      </c>
      <c r="K441" s="159">
        <f t="shared" si="38"/>
        <v>0.223</v>
      </c>
    </row>
    <row r="442" spans="1:11" ht="55.2" x14ac:dyDescent="0.3">
      <c r="A442" s="161">
        <v>2</v>
      </c>
      <c r="B442" s="152" t="str">
        <f>IF(H442="SINAPI",IFERROR(VLOOKUP(I442,'SINAPI-comp'!$B:$H,2,0),VLOOKUP(I442,'SINAPI-insumo'!$B:$H,2,0)))</f>
        <v>ESPARGIDOR DE ASFALTO PRESSURIZADO, TANQUE 6 M3 COM ISOLAÇÃO TÉRMICA, AQUECIDO COM 2 MAÇARICOS, COM BARRA ESPARGIDORA 3,60 M, MONTADO SOBRE CAMINHÃO TOCO, PBT 14.300 KG, POTÊNCIA 185 CV - CHP DIURNO. AF_05/2023</v>
      </c>
      <c r="C442" s="151" t="str">
        <f>IF(H442="SINAPI",IFERROR(VLOOKUP(I442,'SINAPI-comp'!$B:$H,3,0),VLOOKUP(I442,'SINAPI-insumo'!$B:$H,3,0)))</f>
        <v>CHP</v>
      </c>
      <c r="D442" s="153">
        <v>1E-3</v>
      </c>
      <c r="E442" s="164" t="s">
        <v>179</v>
      </c>
      <c r="F442" s="155">
        <f>IFERROR(VLOOKUP(I442,'SINAPI-comp'!$B:$H,4,0)-G442,0)</f>
        <v>28.259999999999991</v>
      </c>
      <c r="G442" s="156">
        <f>IF(H442="SINAPI",IFERROR(VLOOKUP(I442,'SINAPI-comp'!$B:$H,7,0),VLOOKUP(I442,'SINAPI-insumo'!$B:$H,7,0)))</f>
        <v>261.79000000000002</v>
      </c>
      <c r="H442" s="168" t="s">
        <v>53</v>
      </c>
      <c r="I442" s="158">
        <v>83362</v>
      </c>
      <c r="J442" s="159">
        <f t="shared" si="38"/>
        <v>2.8199999999999999E-2</v>
      </c>
      <c r="K442" s="159">
        <f t="shared" si="38"/>
        <v>0.26169999999999999</v>
      </c>
    </row>
    <row r="443" spans="1:11" x14ac:dyDescent="0.3">
      <c r="A443" s="161">
        <v>3</v>
      </c>
      <c r="B443" s="152" t="str">
        <f>IF(H443="SINAPI",IFERROR(VLOOKUP(I443,'SINAPI-comp'!$B:$H,2,0),VLOOKUP(I443,'SINAPI-insumo'!$B:$H,2,0)))</f>
        <v>SERVENTE COM ENCARGOS COMPLEMENTARES</v>
      </c>
      <c r="C443" s="151" t="str">
        <f>IF(H443="SINAPI",IFERROR(VLOOKUP(I443,'SINAPI-comp'!$B:$H,3,0),VLOOKUP(I443,'SINAPI-insumo'!$B:$H,3,0)))</f>
        <v>H</v>
      </c>
      <c r="D443" s="153">
        <v>5.7999999999999996E-3</v>
      </c>
      <c r="E443" s="164" t="s">
        <v>179</v>
      </c>
      <c r="F443" s="155">
        <f>IFERROR(VLOOKUP(I443,'SINAPI-comp'!$B:$H,4,0)-G443,0)</f>
        <v>25.81</v>
      </c>
      <c r="G443" s="156">
        <f>IF(H443="SINAPI",IFERROR(VLOOKUP(I443,'SINAPI-comp'!$B:$H,7,0),VLOOKUP(I443,'SINAPI-insumo'!$B:$H,7,0)))</f>
        <v>0</v>
      </c>
      <c r="H443" s="168" t="s">
        <v>53</v>
      </c>
      <c r="I443" s="158">
        <v>88316</v>
      </c>
      <c r="J443" s="159">
        <f t="shared" si="38"/>
        <v>0.14960000000000001</v>
      </c>
      <c r="K443" s="159">
        <f t="shared" si="38"/>
        <v>0</v>
      </c>
    </row>
    <row r="444" spans="1:11" ht="27.6" x14ac:dyDescent="0.3">
      <c r="A444" s="161">
        <v>4</v>
      </c>
      <c r="B444" s="152" t="str">
        <f>IF(H444="SINAPI",IFERROR(VLOOKUP(I444,'SINAPI-comp'!$B:$H,2,0),VLOOKUP(I444,'SINAPI-insumo'!$B:$H,2,0)))</f>
        <v>TRATOR DE PNEUS, POTÊNCIA 85 CV, TRAÇÃO 4X4, PESO COM LASTRO DE 4.675 KG - CHI DIURNO. AF_06/2014</v>
      </c>
      <c r="C444" s="151" t="str">
        <f>IF(H444="SINAPI",IFERROR(VLOOKUP(I444,'SINAPI-comp'!$B:$H,3,0),VLOOKUP(I444,'SINAPI-insumo'!$B:$H,3,0)))</f>
        <v>CHI</v>
      </c>
      <c r="D444" s="153">
        <v>4.1000000000000003E-3</v>
      </c>
      <c r="E444" s="164" t="s">
        <v>179</v>
      </c>
      <c r="F444" s="155">
        <f>IFERROR(VLOOKUP(I444,'SINAPI-comp'!$B:$H,4,0)-G444,0)</f>
        <v>35.739999999999995</v>
      </c>
      <c r="G444" s="156">
        <f>IF(H444="SINAPI",IFERROR(VLOOKUP(I444,'SINAPI-comp'!$B:$H,7,0),VLOOKUP(I444,'SINAPI-insumo'!$B:$H,7,0)))</f>
        <v>17.55</v>
      </c>
      <c r="H444" s="168" t="s">
        <v>53</v>
      </c>
      <c r="I444" s="158">
        <v>89036</v>
      </c>
      <c r="J444" s="159">
        <f t="shared" si="38"/>
        <v>0.14649999999999999</v>
      </c>
      <c r="K444" s="159">
        <f t="shared" si="38"/>
        <v>7.1900000000000006E-2</v>
      </c>
    </row>
    <row r="445" spans="1:11" ht="27.6" x14ac:dyDescent="0.3">
      <c r="A445" s="161">
        <v>5</v>
      </c>
      <c r="B445" s="152" t="str">
        <f>IF(H445="SINAPI",IFERROR(VLOOKUP(I445,'SINAPI-comp'!$B:$H,2,0),VLOOKUP(I445,'SINAPI-insumo'!$B:$H,2,0)))</f>
        <v>TRATOR DE PNEUS, POTÊNCIA 85 CV, TRAÇÃO 4X4, PESO COM LASTRO DE 4.675 KG - CHP DIURNO. AF_06/2014</v>
      </c>
      <c r="C445" s="151" t="str">
        <f>IF(H445="SINAPI",IFERROR(VLOOKUP(I445,'SINAPI-comp'!$B:$H,3,0),VLOOKUP(I445,'SINAPI-insumo'!$B:$H,3,0)))</f>
        <v>CHP</v>
      </c>
      <c r="D445" s="153">
        <v>1.6999999999999999E-3</v>
      </c>
      <c r="E445" s="164" t="s">
        <v>179</v>
      </c>
      <c r="F445" s="155">
        <f>IFERROR(VLOOKUP(I445,'SINAPI-comp'!$B:$H,4,0)-G445,0)</f>
        <v>35.740000000000009</v>
      </c>
      <c r="G445" s="156">
        <f>IF(H445="SINAPI",IFERROR(VLOOKUP(I445,'SINAPI-comp'!$B:$H,7,0),VLOOKUP(I445,'SINAPI-insumo'!$B:$H,7,0)))</f>
        <v>105.32</v>
      </c>
      <c r="H445" s="168" t="s">
        <v>53</v>
      </c>
      <c r="I445" s="158">
        <v>89035</v>
      </c>
      <c r="J445" s="159">
        <f t="shared" si="38"/>
        <v>6.0699999999999997E-2</v>
      </c>
      <c r="K445" s="159">
        <f t="shared" si="38"/>
        <v>0.17899999999999999</v>
      </c>
    </row>
    <row r="446" spans="1:11" ht="27.6" x14ac:dyDescent="0.3">
      <c r="A446" s="161">
        <v>6</v>
      </c>
      <c r="B446" s="160" t="str">
        <f>IF(OR(H446="SINAPI",H446="SINAPI-I"),IFERROR(VLOOKUP(I446,'SINAPI-comp'!$B:$H,2,0),VLOOKUP(I446,'SINAPI-insumo'!$B:$H,2,0)))</f>
        <v>VASSOURA MECÂNICA REBOCÁVEL COM ESCOVA CILÍNDRICA, LARGURA ÚTIL DE VARRIMENTO DE 2,44 M - CHI DIURNO. AF_06/2014</v>
      </c>
      <c r="C446" s="151" t="str">
        <f>IF(OR(H446="SINAPI",H446="SINAPI-I"),IFERROR(VLOOKUP(I446,'SINAPI-comp'!$B:$H,3,0),VLOOKUP(I446,'SINAPI-insumo'!$B:$H,3,0)))</f>
        <v>CHI</v>
      </c>
      <c r="D446" s="153">
        <v>4.0000000000000001E-3</v>
      </c>
      <c r="E446" s="164" t="s">
        <v>179</v>
      </c>
      <c r="F446" s="155">
        <f>IFERROR(VLOOKUP(I446,'SINAPI-comp'!$B:$H,4,0)-G446,0)</f>
        <v>0</v>
      </c>
      <c r="G446" s="156">
        <f>IF(OR(H446="SINAPI",H446="SINAPI-I"),IFERROR(VLOOKUP(I446,'SINAPI-comp'!$B:$H,7,0),VLOOKUP(I446,'SINAPI-insumo'!$B:$H,7,0)))</f>
        <v>6.12</v>
      </c>
      <c r="H446" s="157" t="s">
        <v>53</v>
      </c>
      <c r="I446" s="158">
        <v>5841</v>
      </c>
      <c r="J446" s="159">
        <f t="shared" si="38"/>
        <v>0</v>
      </c>
      <c r="K446" s="159">
        <f t="shared" si="38"/>
        <v>2.4400000000000002E-2</v>
      </c>
    </row>
    <row r="447" spans="1:11" ht="27.6" x14ac:dyDescent="0.3">
      <c r="A447" s="161">
        <v>7</v>
      </c>
      <c r="B447" s="152" t="str">
        <f>IF(H447="SINAPI",IFERROR(VLOOKUP(I447,'SINAPI-comp'!$B:$H,2,0),VLOOKUP(I447,'SINAPI-insumo'!$B:$H,2,0)))</f>
        <v>VASSOURA MECÂNICA REBOCÁVEL COM ESCOVA CILÍNDRICA, LARGURA ÚTIL DE VARRIMENTO DE 2,44 M - CHP DIURNO. AF_06/2014</v>
      </c>
      <c r="C447" s="151" t="str">
        <f>IF(H447="SINAPI",IFERROR(VLOOKUP(I447,'SINAPI-comp'!$B:$H,3,0),VLOOKUP(I447,'SINAPI-insumo'!$B:$H,3,0)))</f>
        <v>CHP</v>
      </c>
      <c r="D447" s="153">
        <v>2E-3</v>
      </c>
      <c r="E447" s="164" t="s">
        <v>179</v>
      </c>
      <c r="F447" s="155">
        <f>IFERROR(VLOOKUP(I447,'SINAPI-comp'!$B:$H,4,0)-G447,0)</f>
        <v>0</v>
      </c>
      <c r="G447" s="156">
        <f>IF(H447="SINAPI",IFERROR(VLOOKUP(I447,'SINAPI-comp'!$B:$H,7,0),VLOOKUP(I447,'SINAPI-insumo'!$B:$H,7,0)))</f>
        <v>12.18</v>
      </c>
      <c r="H447" s="168" t="s">
        <v>53</v>
      </c>
      <c r="I447" s="158">
        <v>5839</v>
      </c>
      <c r="J447" s="159">
        <f t="shared" si="38"/>
        <v>0</v>
      </c>
      <c r="K447" s="159">
        <f t="shared" si="38"/>
        <v>2.4299999999999999E-2</v>
      </c>
    </row>
    <row r="450" spans="1:12" s="494" customFormat="1" x14ac:dyDescent="0.25">
      <c r="A450" s="674" t="s">
        <v>131</v>
      </c>
      <c r="B450" s="674" t="s">
        <v>132</v>
      </c>
      <c r="C450" s="675"/>
      <c r="D450" s="511"/>
      <c r="E450" s="675"/>
      <c r="F450" s="675"/>
      <c r="G450" s="675"/>
      <c r="H450" s="676" t="s">
        <v>133</v>
      </c>
      <c r="I450" s="677"/>
      <c r="J450" s="512" t="s">
        <v>134</v>
      </c>
      <c r="K450" s="512" t="s">
        <v>15795</v>
      </c>
    </row>
    <row r="451" spans="1:12" x14ac:dyDescent="0.3">
      <c r="A451" s="136" t="s">
        <v>15558</v>
      </c>
      <c r="B451" s="137" t="s">
        <v>16421</v>
      </c>
      <c r="C451" s="173"/>
      <c r="D451" s="174"/>
      <c r="E451" s="138"/>
      <c r="F451" s="140"/>
      <c r="G451" s="140"/>
      <c r="H451" s="141" t="s">
        <v>159</v>
      </c>
      <c r="I451" s="175"/>
      <c r="J451" s="143">
        <f>TRUNC(SUM(J453:J453),2)</f>
        <v>0</v>
      </c>
      <c r="K451" s="143">
        <f>TRUNC(SUM(K453:K453),2)</f>
        <v>198.97</v>
      </c>
    </row>
    <row r="452" spans="1:12" s="687" customFormat="1" ht="27.6" x14ac:dyDescent="0.25">
      <c r="A452" s="522" t="s">
        <v>137</v>
      </c>
      <c r="B452" s="523" t="s">
        <v>19</v>
      </c>
      <c r="C452" s="524" t="s">
        <v>20</v>
      </c>
      <c r="D452" s="682" t="s">
        <v>138</v>
      </c>
      <c r="E452" s="525" t="s">
        <v>139</v>
      </c>
      <c r="F452" s="683" t="s">
        <v>140</v>
      </c>
      <c r="G452" s="684" t="s">
        <v>15796</v>
      </c>
      <c r="H452" s="685" t="s">
        <v>142</v>
      </c>
      <c r="I452" s="686"/>
      <c r="J452" s="684" t="s">
        <v>143</v>
      </c>
      <c r="K452" s="684" t="s">
        <v>15797</v>
      </c>
    </row>
    <row r="453" spans="1:12" s="494" customFormat="1" x14ac:dyDescent="0.25">
      <c r="A453" s="526">
        <v>1</v>
      </c>
      <c r="B453" s="496" t="str">
        <f>VLOOKUP($I453,tabelas!$A:$L,4,0)</f>
        <v>TUBO CONCRETO ARMADO AGUAS PLUVIAIS, CLASSE PA-3, DN 300 MM</v>
      </c>
      <c r="C453" s="497" t="str">
        <f>VLOOKUP($I453,tabelas!$A:$L,5,0)</f>
        <v>M</v>
      </c>
      <c r="D453" s="498">
        <v>1</v>
      </c>
      <c r="E453" s="499"/>
      <c r="F453" s="500">
        <v>0</v>
      </c>
      <c r="G453" s="500">
        <f>VLOOKUP($I453,tabelas!$A:$L,12,0)</f>
        <v>198.97</v>
      </c>
      <c r="H453" s="495" t="s">
        <v>42</v>
      </c>
      <c r="I453" s="502" t="s">
        <v>16006</v>
      </c>
      <c r="J453" s="159">
        <f t="shared" ref="J453" si="39">TRUNC($D453*F453,4)</f>
        <v>0</v>
      </c>
      <c r="K453" s="159">
        <f t="shared" ref="K453" si="40">TRUNC($D453*G453,4)</f>
        <v>198.97</v>
      </c>
      <c r="L453" s="123"/>
    </row>
    <row r="456" spans="1:12" s="494" customFormat="1" x14ac:dyDescent="0.25">
      <c r="A456" s="674" t="s">
        <v>131</v>
      </c>
      <c r="B456" s="674" t="s">
        <v>132</v>
      </c>
      <c r="C456" s="675"/>
      <c r="D456" s="511"/>
      <c r="E456" s="675"/>
      <c r="F456" s="675"/>
      <c r="G456" s="675"/>
      <c r="H456" s="676" t="s">
        <v>133</v>
      </c>
      <c r="I456" s="677"/>
      <c r="J456" s="512" t="s">
        <v>134</v>
      </c>
      <c r="K456" s="512" t="s">
        <v>15795</v>
      </c>
    </row>
    <row r="457" spans="1:12" x14ac:dyDescent="0.3">
      <c r="A457" s="136" t="s">
        <v>15559</v>
      </c>
      <c r="B457" s="137" t="s">
        <v>16420</v>
      </c>
      <c r="C457" s="173"/>
      <c r="D457" s="174"/>
      <c r="E457" s="138"/>
      <c r="F457" s="140"/>
      <c r="G457" s="140"/>
      <c r="H457" s="141" t="s">
        <v>159</v>
      </c>
      <c r="I457" s="175"/>
      <c r="J457" s="143">
        <f>TRUNC(SUM(J459:J459),2)</f>
        <v>0</v>
      </c>
      <c r="K457" s="143">
        <f>TRUNC(SUM(K459:K459),2)</f>
        <v>221.53</v>
      </c>
    </row>
    <row r="458" spans="1:12" s="687" customFormat="1" ht="27.6" x14ac:dyDescent="0.25">
      <c r="A458" s="522" t="s">
        <v>137</v>
      </c>
      <c r="B458" s="523" t="s">
        <v>19</v>
      </c>
      <c r="C458" s="524" t="s">
        <v>20</v>
      </c>
      <c r="D458" s="682" t="s">
        <v>138</v>
      </c>
      <c r="E458" s="525" t="s">
        <v>139</v>
      </c>
      <c r="F458" s="683" t="s">
        <v>140</v>
      </c>
      <c r="G458" s="684" t="s">
        <v>15796</v>
      </c>
      <c r="H458" s="685" t="s">
        <v>142</v>
      </c>
      <c r="I458" s="686"/>
      <c r="J458" s="684" t="s">
        <v>143</v>
      </c>
      <c r="K458" s="684" t="s">
        <v>15797</v>
      </c>
    </row>
    <row r="459" spans="1:12" ht="27.6" x14ac:dyDescent="0.3">
      <c r="A459" s="161">
        <v>1</v>
      </c>
      <c r="B459" s="160" t="str">
        <f>IF(OR(H459="SINAPI",H459="SINAPI-I"),IFERROR(VLOOKUP(I459,'SINAPI-comp'!$B:$H,2,0),VLOOKUP(I459,'SINAPI-insumo'!$B:$H,2,0)))</f>
        <v>TUBO DE CONCRETO ARMADO PARA AGUAS PLUVIAIS, CLASSE PA-3, COM ENCAIXE PONTA E BOLSA, DIAMETRO NOMINAL DE 400 MM</v>
      </c>
      <c r="C459" s="151" t="str">
        <f>IF(OR(H459="SINAPI",H459="SINAPI-I"),IFERROR(VLOOKUP(I459,'SINAPI-comp'!$B:$H,3,0),VLOOKUP(I459,'SINAPI-insumo'!$B:$H,3,0)))</f>
        <v>M</v>
      </c>
      <c r="D459" s="153">
        <v>1</v>
      </c>
      <c r="E459" s="164"/>
      <c r="F459" s="155">
        <f>IFERROR(VLOOKUP(I459,'SINAPI-comp'!$B:$H,4,0)-G459,0)</f>
        <v>0</v>
      </c>
      <c r="G459" s="156">
        <f>IF(OR(H459="SINAPI",H459="SINAPI-I"),IFERROR(VLOOKUP(I459,'SINAPI-comp'!$B:$H,7,0),VLOOKUP(I459,'SINAPI-insumo'!$B:$H,7,0)))</f>
        <v>221.53</v>
      </c>
      <c r="H459" s="157" t="s">
        <v>149</v>
      </c>
      <c r="I459" s="158">
        <v>12576</v>
      </c>
      <c r="J459" s="159">
        <f>TRUNC($D459*F459,4)</f>
        <v>0</v>
      </c>
      <c r="K459" s="159">
        <f>TRUNC($D459*G459,4)</f>
        <v>221.53</v>
      </c>
    </row>
    <row r="462" spans="1:12" s="494" customFormat="1" x14ac:dyDescent="0.25">
      <c r="A462" s="674" t="s">
        <v>131</v>
      </c>
      <c r="B462" s="674" t="s">
        <v>132</v>
      </c>
      <c r="C462" s="675"/>
      <c r="D462" s="511"/>
      <c r="E462" s="675"/>
      <c r="F462" s="675"/>
      <c r="G462" s="675"/>
      <c r="H462" s="676" t="s">
        <v>133</v>
      </c>
      <c r="I462" s="677"/>
      <c r="J462" s="512" t="s">
        <v>134</v>
      </c>
      <c r="K462" s="512" t="s">
        <v>15795</v>
      </c>
    </row>
    <row r="463" spans="1:12" x14ac:dyDescent="0.3">
      <c r="A463" s="136" t="s">
        <v>15560</v>
      </c>
      <c r="B463" s="137" t="s">
        <v>16419</v>
      </c>
      <c r="C463" s="173"/>
      <c r="D463" s="174"/>
      <c r="E463" s="138"/>
      <c r="F463" s="140"/>
      <c r="G463" s="140"/>
      <c r="H463" s="141" t="s">
        <v>159</v>
      </c>
      <c r="I463" s="175"/>
      <c r="J463" s="143">
        <f>TRUNC(SUM(J465:J465),2)</f>
        <v>0</v>
      </c>
      <c r="K463" s="143">
        <f>TRUNC(SUM(K465:K465),2)</f>
        <v>298.48</v>
      </c>
    </row>
    <row r="464" spans="1:12" s="687" customFormat="1" ht="27.6" x14ac:dyDescent="0.25">
      <c r="A464" s="522" t="s">
        <v>137</v>
      </c>
      <c r="B464" s="523" t="s">
        <v>19</v>
      </c>
      <c r="C464" s="524" t="s">
        <v>20</v>
      </c>
      <c r="D464" s="682" t="s">
        <v>138</v>
      </c>
      <c r="E464" s="525" t="s">
        <v>139</v>
      </c>
      <c r="F464" s="683" t="s">
        <v>140</v>
      </c>
      <c r="G464" s="684" t="s">
        <v>15796</v>
      </c>
      <c r="H464" s="685" t="s">
        <v>142</v>
      </c>
      <c r="I464" s="686"/>
      <c r="J464" s="684" t="s">
        <v>143</v>
      </c>
      <c r="K464" s="684" t="s">
        <v>15797</v>
      </c>
    </row>
    <row r="465" spans="1:11" ht="27.6" x14ac:dyDescent="0.3">
      <c r="A465" s="161">
        <v>1</v>
      </c>
      <c r="B465" s="160" t="str">
        <f>IF(OR(H465="SINAPI",H465="SINAPI-I"),IFERROR(VLOOKUP(I465,'SINAPI-comp'!$B:$H,2,0),VLOOKUP(I465,'SINAPI-insumo'!$B:$H,2,0)))</f>
        <v>TUBO DE CONCRETO ARMADO PARA AGUAS PLUVIAIS, CLASSE PA-3, COM ENCAIXE PONTA E BOLSA, DIAMETRO NOMINAL DE 500 MM</v>
      </c>
      <c r="C465" s="151" t="str">
        <f>IF(OR(H465="SINAPI",H465="SINAPI-I"),IFERROR(VLOOKUP(I465,'SINAPI-comp'!$B:$H,3,0),VLOOKUP(I465,'SINAPI-insumo'!$B:$H,3,0)))</f>
        <v>M</v>
      </c>
      <c r="D465" s="153">
        <v>1</v>
      </c>
      <c r="E465" s="164"/>
      <c r="F465" s="155">
        <f>IFERROR(VLOOKUP(I465,'SINAPI-comp'!$B:$H,4,0)-G465,0)</f>
        <v>0</v>
      </c>
      <c r="G465" s="156">
        <f>IF(OR(H465="SINAPI",H465="SINAPI-I"),IFERROR(VLOOKUP(I465,'SINAPI-comp'!$B:$H,7,0),VLOOKUP(I465,'SINAPI-insumo'!$B:$H,7,0)))</f>
        <v>298.48</v>
      </c>
      <c r="H465" s="157" t="s">
        <v>149</v>
      </c>
      <c r="I465" s="158">
        <v>12577</v>
      </c>
      <c r="J465" s="159">
        <f>TRUNC($D465*F465,4)</f>
        <v>0</v>
      </c>
      <c r="K465" s="159">
        <f>TRUNC($D465*G465,4)</f>
        <v>298.48</v>
      </c>
    </row>
    <row r="468" spans="1:11" s="494" customFormat="1" x14ac:dyDescent="0.25">
      <c r="A468" s="674" t="s">
        <v>131</v>
      </c>
      <c r="B468" s="674" t="s">
        <v>132</v>
      </c>
      <c r="C468" s="675"/>
      <c r="D468" s="511"/>
      <c r="E468" s="675"/>
      <c r="F468" s="675"/>
      <c r="G468" s="675"/>
      <c r="H468" s="676" t="s">
        <v>133</v>
      </c>
      <c r="I468" s="677"/>
      <c r="J468" s="512" t="s">
        <v>134</v>
      </c>
      <c r="K468" s="512" t="s">
        <v>15795</v>
      </c>
    </row>
    <row r="469" spans="1:11" x14ac:dyDescent="0.3">
      <c r="A469" s="136" t="s">
        <v>15561</v>
      </c>
      <c r="B469" s="137" t="s">
        <v>16418</v>
      </c>
      <c r="C469" s="173"/>
      <c r="D469" s="174"/>
      <c r="E469" s="138"/>
      <c r="F469" s="140"/>
      <c r="G469" s="140"/>
      <c r="H469" s="141" t="s">
        <v>159</v>
      </c>
      <c r="I469" s="175"/>
      <c r="J469" s="143">
        <f>TRUNC(SUM(J471:J471),2)</f>
        <v>0</v>
      </c>
      <c r="K469" s="143">
        <f>TRUNC(SUM(K471:K471),2)</f>
        <v>648.74</v>
      </c>
    </row>
    <row r="470" spans="1:11" s="687" customFormat="1" ht="27.6" x14ac:dyDescent="0.25">
      <c r="A470" s="522" t="s">
        <v>137</v>
      </c>
      <c r="B470" s="523" t="s">
        <v>19</v>
      </c>
      <c r="C470" s="524" t="s">
        <v>20</v>
      </c>
      <c r="D470" s="682" t="s">
        <v>138</v>
      </c>
      <c r="E470" s="525" t="s">
        <v>139</v>
      </c>
      <c r="F470" s="683" t="s">
        <v>140</v>
      </c>
      <c r="G470" s="684" t="s">
        <v>15796</v>
      </c>
      <c r="H470" s="685" t="s">
        <v>142</v>
      </c>
      <c r="I470" s="686"/>
      <c r="J470" s="684" t="s">
        <v>143</v>
      </c>
      <c r="K470" s="684" t="s">
        <v>15797</v>
      </c>
    </row>
    <row r="471" spans="1:11" ht="27.6" x14ac:dyDescent="0.3">
      <c r="A471" s="161">
        <v>1</v>
      </c>
      <c r="B471" s="160" t="str">
        <f>IF(OR(H471="SINAPI",H471="SINAPI-I"),IFERROR(VLOOKUP(I471,'SINAPI-comp'!$B:$H,2,0),VLOOKUP(I471,'SINAPI-insumo'!$B:$H,2,0)))</f>
        <v>TUBO DE CONCRETO ARMADO PARA AGUAS PLUVIAIS, CLASSE PA-3, COM ENCAIXE PONTA E BOLSA, DIAMETRO NOMINAL DE 800 MM</v>
      </c>
      <c r="C471" s="151" t="str">
        <f>IF(OR(H471="SINAPI",H471="SINAPI-I"),IFERROR(VLOOKUP(I471,'SINAPI-comp'!$B:$H,3,0),VLOOKUP(I471,'SINAPI-insumo'!$B:$H,3,0)))</f>
        <v>M</v>
      </c>
      <c r="D471" s="153">
        <v>1</v>
      </c>
      <c r="E471" s="164"/>
      <c r="F471" s="155">
        <f>IFERROR(VLOOKUP(I471,'SINAPI-comp'!$B:$H,4,0)-G471,0)</f>
        <v>0</v>
      </c>
      <c r="G471" s="156">
        <f>IF(OR(H471="SINAPI",H471="SINAPI-I"),IFERROR(VLOOKUP(I471,'SINAPI-comp'!$B:$H,7,0),VLOOKUP(I471,'SINAPI-insumo'!$B:$H,7,0)))</f>
        <v>648.74</v>
      </c>
      <c r="H471" s="157" t="s">
        <v>149</v>
      </c>
      <c r="I471" s="158">
        <v>12580</v>
      </c>
      <c r="J471" s="159">
        <f>TRUNC($D471*F471,4)</f>
        <v>0</v>
      </c>
      <c r="K471" s="159">
        <f>TRUNC($D471*G471,4)</f>
        <v>648.74</v>
      </c>
    </row>
    <row r="474" spans="1:11" s="494" customFormat="1" x14ac:dyDescent="0.25">
      <c r="A474" s="674" t="s">
        <v>131</v>
      </c>
      <c r="B474" s="674" t="s">
        <v>132</v>
      </c>
      <c r="C474" s="675"/>
      <c r="D474" s="511"/>
      <c r="E474" s="675"/>
      <c r="F474" s="675"/>
      <c r="G474" s="675"/>
      <c r="H474" s="676" t="s">
        <v>133</v>
      </c>
      <c r="I474" s="677"/>
      <c r="J474" s="512" t="s">
        <v>134</v>
      </c>
      <c r="K474" s="512" t="s">
        <v>15795</v>
      </c>
    </row>
    <row r="475" spans="1:11" x14ac:dyDescent="0.3">
      <c r="A475" s="136" t="s">
        <v>15569</v>
      </c>
      <c r="B475" s="137" t="s">
        <v>15572</v>
      </c>
      <c r="C475" s="173"/>
      <c r="D475" s="174"/>
      <c r="E475" s="138"/>
      <c r="F475" s="140"/>
      <c r="G475" s="140"/>
      <c r="H475" s="141" t="s">
        <v>170</v>
      </c>
      <c r="I475" s="175"/>
      <c r="J475" s="143">
        <f>TRUNC(SUM(J477:J483),2)</f>
        <v>58.21</v>
      </c>
      <c r="K475" s="143">
        <f>TRUNC(SUM(K477:K483),2)</f>
        <v>128.43</v>
      </c>
    </row>
    <row r="476" spans="1:11" s="687" customFormat="1" ht="27.6" x14ac:dyDescent="0.25">
      <c r="A476" s="522" t="s">
        <v>137</v>
      </c>
      <c r="B476" s="523" t="s">
        <v>19</v>
      </c>
      <c r="C476" s="524" t="s">
        <v>20</v>
      </c>
      <c r="D476" s="682" t="s">
        <v>138</v>
      </c>
      <c r="E476" s="525" t="s">
        <v>139</v>
      </c>
      <c r="F476" s="683" t="s">
        <v>140</v>
      </c>
      <c r="G476" s="684" t="s">
        <v>15796</v>
      </c>
      <c r="H476" s="685" t="s">
        <v>142</v>
      </c>
      <c r="I476" s="686"/>
      <c r="J476" s="684" t="s">
        <v>143</v>
      </c>
      <c r="K476" s="684" t="s">
        <v>15797</v>
      </c>
    </row>
    <row r="477" spans="1:11" ht="27.6" x14ac:dyDescent="0.3">
      <c r="A477" s="161">
        <v>1</v>
      </c>
      <c r="B477" s="160" t="str">
        <f>IF(OR(H477="SINAPI",H477="SINAPI-I"),IFERROR(VLOOKUP(I477,'SINAPI-comp'!$B:$H,2,0),VLOOKUP(I477,'SINAPI-insumo'!$B:$H,2,0)))</f>
        <v>COMPACTADOR DE SOLOS DE PERCUSSÃO (SOQUETE) COM MOTOR A GASOLINA 4 TEMPOS, POTÊNCIA 4 CV - CHI DIURNO. AF_08/2015</v>
      </c>
      <c r="C477" s="151" t="str">
        <f>IF(OR(H477="SINAPI",H477="SINAPI-I"),IFERROR(VLOOKUP(I477,'SINAPI-comp'!$B:$H,3,0),VLOOKUP(I477,'SINAPI-insumo'!$B:$H,3,0)))</f>
        <v>CHI</v>
      </c>
      <c r="D477" s="153">
        <v>3.0200000000000001E-2</v>
      </c>
      <c r="E477" s="184" t="s">
        <v>188</v>
      </c>
      <c r="F477" s="155">
        <f>IFERROR(VLOOKUP(I477,'SINAPI-comp'!$B:$H,4,0)-G477,0)</f>
        <v>35.729999999999997</v>
      </c>
      <c r="G477" s="156">
        <f>IF(OR(H477="SINAPI",H477="SINAPI-I"),IFERROR(VLOOKUP(I477,'SINAPI-comp'!$B:$H,7,0),VLOOKUP(I477,'SINAPI-insumo'!$B:$H,7,0)))</f>
        <v>1.28</v>
      </c>
      <c r="H477" s="168" t="s">
        <v>53</v>
      </c>
      <c r="I477" s="158">
        <v>91534</v>
      </c>
      <c r="J477" s="159">
        <f t="shared" ref="J477:J483" si="41">TRUNC($D477*F477,4)</f>
        <v>1.079</v>
      </c>
      <c r="K477" s="159">
        <f t="shared" ref="K477:K483" si="42">TRUNC($D477*G477,4)</f>
        <v>3.8600000000000002E-2</v>
      </c>
    </row>
    <row r="478" spans="1:11" ht="27.6" x14ac:dyDescent="0.3">
      <c r="A478" s="161">
        <v>2</v>
      </c>
      <c r="B478" s="152" t="str">
        <f>IF(H478="SINAPI",IFERROR(VLOOKUP(I478,'SINAPI-comp'!$B:$H,2,0),VLOOKUP(I478,'SINAPI-insumo'!$B:$H,2,0)))</f>
        <v>COMPACTADOR DE SOLOS DE PERCUSSÃO (SOQUETE) COM MOTOR A GASOLINA 4 TEMPOS, POTÊNCIA 4 CV - CHP DIURNO. AF_08/2015</v>
      </c>
      <c r="C478" s="151" t="str">
        <f>IF(H478="SINAPI",IFERROR(VLOOKUP(I478,'SINAPI-comp'!$B:$H,3,0),VLOOKUP(I478,'SINAPI-insumo'!$B:$H,3,0)))</f>
        <v>CHP</v>
      </c>
      <c r="D478" s="153">
        <v>3.2500000000000001E-2</v>
      </c>
      <c r="E478" s="184" t="s">
        <v>188</v>
      </c>
      <c r="F478" s="155">
        <f>IFERROR(VLOOKUP(I478,'SINAPI-comp'!$B:$H,4,0)-G478,0)</f>
        <v>35.74</v>
      </c>
      <c r="G478" s="156">
        <f>IF(H478="SINAPI",IFERROR(VLOOKUP(I478,'SINAPI-comp'!$B:$H,7,0),VLOOKUP(I478,'SINAPI-insumo'!$B:$H,7,0)))</f>
        <v>8.94</v>
      </c>
      <c r="H478" s="168" t="s">
        <v>53</v>
      </c>
      <c r="I478" s="158">
        <v>91533</v>
      </c>
      <c r="J478" s="159">
        <f t="shared" si="41"/>
        <v>1.1615</v>
      </c>
      <c r="K478" s="159">
        <f t="shared" si="42"/>
        <v>0.29049999999999998</v>
      </c>
    </row>
    <row r="479" spans="1:11" x14ac:dyDescent="0.3">
      <c r="A479" s="161">
        <v>3</v>
      </c>
      <c r="B479" s="152" t="str">
        <f>IF(H479="SINAPI",IFERROR(VLOOKUP(I479,'SINAPI-comp'!$B:$H,2,0),VLOOKUP(I479,'SINAPI-insumo'!$B:$H,2,0)))</f>
        <v>PEDREIRO COM ENCARGOS COMPLEMENTARES</v>
      </c>
      <c r="C479" s="151" t="str">
        <f>IF(H479="SINAPI",IFERROR(VLOOKUP(I479,'SINAPI-comp'!$B:$H,3,0),VLOOKUP(I479,'SINAPI-insumo'!$B:$H,3,0)))</f>
        <v>H</v>
      </c>
      <c r="D479" s="153">
        <v>0.57199999999999995</v>
      </c>
      <c r="E479" s="184" t="s">
        <v>188</v>
      </c>
      <c r="F479" s="155">
        <f>IFERROR(VLOOKUP(I479,'SINAPI-comp'!$B:$H,4,0)-G479,0)</f>
        <v>31.11</v>
      </c>
      <c r="G479" s="156">
        <f>IF(H479="SINAPI",IFERROR(VLOOKUP(I479,'SINAPI-comp'!$B:$H,7,0),VLOOKUP(I479,'SINAPI-insumo'!$B:$H,7,0)))</f>
        <v>0</v>
      </c>
      <c r="H479" s="168" t="s">
        <v>53</v>
      </c>
      <c r="I479" s="158">
        <v>88309</v>
      </c>
      <c r="J479" s="159">
        <f t="shared" si="41"/>
        <v>17.794899999999998</v>
      </c>
      <c r="K479" s="159">
        <f t="shared" si="42"/>
        <v>0</v>
      </c>
    </row>
    <row r="480" spans="1:11" ht="55.2" x14ac:dyDescent="0.3">
      <c r="A480" s="161">
        <v>4</v>
      </c>
      <c r="B480" s="152" t="str">
        <f>IF(H480="SINAPI",IFERROR(VLOOKUP(I480,'SINAPI-comp'!$B:$H,2,0),VLOOKUP(I480,'SINAPI-insumo'!$B:$H,2,0)))</f>
        <v>RETROESCAVADEIRA SOBRE RODAS COM CARREGADEIRA, TRAÇÃO 4X4, POTÊNCIA LÍQ. 88 HP, CAÇAMBA CARREG. CAP. MÍN. 1 M3, CAÇAMBA RETRO CAP. 0,26 M3, PESO OPERACIONAL MÍN. 6.674 KG, PROFUNDIDADE ESCAVAÇÃO MÁX. 4,37 M - CHI DIURNO. AF_06/2014</v>
      </c>
      <c r="C480" s="151" t="str">
        <f>IF(H480="SINAPI",IFERROR(VLOOKUP(I480,'SINAPI-comp'!$B:$H,3,0),VLOOKUP(I480,'SINAPI-insumo'!$B:$H,3,0)))</f>
        <v>CHI</v>
      </c>
      <c r="D480" s="153">
        <v>0.3972</v>
      </c>
      <c r="E480" s="184" t="s">
        <v>188</v>
      </c>
      <c r="F480" s="155">
        <f>IFERROR(VLOOKUP(I480,'SINAPI-comp'!$B:$H,4,0)-G480,0)</f>
        <v>33.64</v>
      </c>
      <c r="G480" s="156">
        <f>IF(H480="SINAPI",IFERROR(VLOOKUP(I480,'SINAPI-comp'!$B:$H,7,0),VLOOKUP(I480,'SINAPI-insumo'!$B:$H,7,0)))</f>
        <v>32.64</v>
      </c>
      <c r="H480" s="168" t="s">
        <v>53</v>
      </c>
      <c r="I480" s="158">
        <v>5679</v>
      </c>
      <c r="J480" s="159">
        <f t="shared" si="41"/>
        <v>13.361800000000001</v>
      </c>
      <c r="K480" s="159">
        <f t="shared" si="42"/>
        <v>12.964600000000001</v>
      </c>
    </row>
    <row r="481" spans="1:11" ht="55.2" x14ac:dyDescent="0.3">
      <c r="A481" s="161">
        <v>5</v>
      </c>
      <c r="B481" s="152" t="str">
        <f>IF(H481="SINAPI",IFERROR(VLOOKUP(I481,'SINAPI-comp'!$B:$H,2,0),VLOOKUP(I481,'SINAPI-insumo'!$B:$H,2,0)))</f>
        <v>RETROESCAVADEIRA SOBRE RODAS COM CARREGADEIRA, TRAÇÃO 4X4, POTÊNCIA LÍQ. 88 HP, CAÇAMBA CARREG. CAP. MÍN. 1 M3, CAÇAMBA RETRO CAP. 0,26 M3, PESO OPERACIONAL MÍN. 6.674 KG, PROFUNDIDADE ESCAVAÇÃO MÁX. 4,37 M - CHP DIURNO. AF_06/2014</v>
      </c>
      <c r="C481" s="151" t="str">
        <f>IF(H481="SINAPI",IFERROR(VLOOKUP(I481,'SINAPI-comp'!$B:$H,3,0),VLOOKUP(I481,'SINAPI-insumo'!$B:$H,3,0)))</f>
        <v>CHP</v>
      </c>
      <c r="D481" s="153">
        <v>7.9399999999999998E-2</v>
      </c>
      <c r="E481" s="184" t="s">
        <v>188</v>
      </c>
      <c r="F481" s="155">
        <f>IFERROR(VLOOKUP(I481,'SINAPI-comp'!$B:$H,4,0)-G481,0)</f>
        <v>33.639999999999986</v>
      </c>
      <c r="G481" s="156">
        <f>IF(H481="SINAPI",IFERROR(VLOOKUP(I481,'SINAPI-comp'!$B:$H,7,0),VLOOKUP(I481,'SINAPI-insumo'!$B:$H,7,0)))</f>
        <v>119.93</v>
      </c>
      <c r="H481" s="168" t="s">
        <v>53</v>
      </c>
      <c r="I481" s="158">
        <v>5678</v>
      </c>
      <c r="J481" s="159">
        <f t="shared" si="41"/>
        <v>2.6709999999999998</v>
      </c>
      <c r="K481" s="159">
        <f t="shared" si="42"/>
        <v>9.5223999999999993</v>
      </c>
    </row>
    <row r="482" spans="1:11" x14ac:dyDescent="0.3">
      <c r="A482" s="161">
        <v>6</v>
      </c>
      <c r="B482" s="152" t="str">
        <f>IF(H482="SINAPI",IFERROR(VLOOKUP(I482,'SINAPI-comp'!$B:$H,2,0),VLOOKUP(I482,'SINAPI-insumo'!$B:$H,2,0)))</f>
        <v>SERVENTE COM ENCARGOS COMPLEMENTARES</v>
      </c>
      <c r="C482" s="151" t="str">
        <f>IF(H482="SINAPI",IFERROR(VLOOKUP(I482,'SINAPI-comp'!$B:$H,3,0),VLOOKUP(I482,'SINAPI-insumo'!$B:$H,3,0)))</f>
        <v>H</v>
      </c>
      <c r="D482" s="153">
        <v>0.8579</v>
      </c>
      <c r="E482" s="184" t="s">
        <v>188</v>
      </c>
      <c r="F482" s="155">
        <f>IFERROR(VLOOKUP(I482,'SINAPI-comp'!$B:$H,4,0)-G482,0)</f>
        <v>25.81</v>
      </c>
      <c r="G482" s="156">
        <f>IF(H482="SINAPI",IFERROR(VLOOKUP(I482,'SINAPI-comp'!$B:$H,7,0),VLOOKUP(I482,'SINAPI-insumo'!$B:$H,7,0)))</f>
        <v>0</v>
      </c>
      <c r="H482" s="168" t="s">
        <v>53</v>
      </c>
      <c r="I482" s="158">
        <v>88316</v>
      </c>
      <c r="J482" s="159">
        <f t="shared" si="41"/>
        <v>22.142299999999999</v>
      </c>
      <c r="K482" s="159">
        <f t="shared" si="42"/>
        <v>0</v>
      </c>
    </row>
    <row r="483" spans="1:11" ht="27.6" x14ac:dyDescent="0.3">
      <c r="A483" s="161">
        <v>7</v>
      </c>
      <c r="B483" s="152" t="str">
        <f>IF(H483="SINAPI",IFERROR(VLOOKUP(I483,'SINAPI-comp'!$B:$H,2,0),VLOOKUP(I483,'SINAPI-insumo'!$B:$H,2,0)))</f>
        <v>PEDRA DE MAO OU PEDRA RACHAO PARA ARRIMO/FUNDACAO (POSTO PEDREIRA/FORNECEDOR, SEM FRETE)</v>
      </c>
      <c r="C483" s="151" t="str">
        <f>IF(H483="SINAPI",IFERROR(VLOOKUP(I483,'SINAPI-comp'!$B:$H,3,0),VLOOKUP(I483,'SINAPI-insumo'!$B:$H,3,0)))</f>
        <v>M3</v>
      </c>
      <c r="D483" s="153">
        <v>1.1000000000000001</v>
      </c>
      <c r="E483" s="184" t="s">
        <v>502</v>
      </c>
      <c r="F483" s="155">
        <f>IFERROR(VLOOKUP(I483,'SINAPI-comp'!$B:$H,4,0)-G483,0)</f>
        <v>0</v>
      </c>
      <c r="G483" s="156">
        <f>IF(H483="SINAPI",IFERROR(VLOOKUP(I483,'SINAPI-comp'!$B:$H,7,0),VLOOKUP(I483,'SINAPI-insumo'!$B:$H,7,0)))</f>
        <v>96.02</v>
      </c>
      <c r="H483" s="168" t="s">
        <v>53</v>
      </c>
      <c r="I483" s="158">
        <v>4730</v>
      </c>
      <c r="J483" s="159">
        <f t="shared" si="41"/>
        <v>0</v>
      </c>
      <c r="K483" s="159">
        <f t="shared" si="42"/>
        <v>105.622</v>
      </c>
    </row>
    <row r="486" spans="1:11" s="494" customFormat="1" x14ac:dyDescent="0.25">
      <c r="A486" s="674" t="s">
        <v>131</v>
      </c>
      <c r="B486" s="674" t="s">
        <v>132</v>
      </c>
      <c r="C486" s="675"/>
      <c r="D486" s="511"/>
      <c r="E486" s="675"/>
      <c r="F486" s="675"/>
      <c r="G486" s="675"/>
      <c r="H486" s="676" t="s">
        <v>133</v>
      </c>
      <c r="I486" s="677"/>
      <c r="J486" s="512" t="s">
        <v>134</v>
      </c>
      <c r="K486" s="512" t="s">
        <v>15795</v>
      </c>
    </row>
    <row r="487" spans="1:11" x14ac:dyDescent="0.3">
      <c r="A487" s="136" t="s">
        <v>15570</v>
      </c>
      <c r="B487" s="137" t="s">
        <v>15571</v>
      </c>
      <c r="C487" s="173"/>
      <c r="D487" s="174"/>
      <c r="E487" s="138"/>
      <c r="F487" s="140"/>
      <c r="G487" s="140"/>
      <c r="H487" s="141" t="s">
        <v>170</v>
      </c>
      <c r="I487" s="175"/>
      <c r="J487" s="143">
        <f>TRUNC(SUM(J489:J495),2)</f>
        <v>62.52</v>
      </c>
      <c r="K487" s="143">
        <f>TRUNC(SUM(K489:K495),2)</f>
        <v>184.14</v>
      </c>
    </row>
    <row r="488" spans="1:11" s="687" customFormat="1" ht="27.6" x14ac:dyDescent="0.25">
      <c r="A488" s="522" t="s">
        <v>137</v>
      </c>
      <c r="B488" s="523" t="s">
        <v>19</v>
      </c>
      <c r="C488" s="524" t="s">
        <v>20</v>
      </c>
      <c r="D488" s="682" t="s">
        <v>138</v>
      </c>
      <c r="E488" s="525" t="s">
        <v>139</v>
      </c>
      <c r="F488" s="683" t="s">
        <v>140</v>
      </c>
      <c r="G488" s="684" t="s">
        <v>15796</v>
      </c>
      <c r="H488" s="685" t="s">
        <v>142</v>
      </c>
      <c r="I488" s="686"/>
      <c r="J488" s="684" t="s">
        <v>143</v>
      </c>
      <c r="K488" s="684" t="s">
        <v>15797</v>
      </c>
    </row>
    <row r="489" spans="1:11" ht="27.6" x14ac:dyDescent="0.3">
      <c r="A489" s="161">
        <v>1</v>
      </c>
      <c r="B489" s="160" t="str">
        <f>IF(OR(H489="SINAPI",H489="SINAPI-I"),IFERROR(VLOOKUP(I489,'SINAPI-comp'!$B:$H,2,0),VLOOKUP(I489,'SINAPI-insumo'!$B:$H,2,0)))</f>
        <v>COMPACTADOR DE SOLOS DE PERCUSSÃO (SOQUETE) COM MOTOR A GASOLINA 4 TEMPOS, POTÊNCIA 4 CV - CHI DIURNO. AF_08/2015</v>
      </c>
      <c r="C489" s="151" t="str">
        <f>IF(OR(H489="SINAPI",H489="SINAPI-I"),IFERROR(VLOOKUP(I489,'SINAPI-comp'!$B:$H,3,0),VLOOKUP(I489,'SINAPI-insumo'!$B:$H,3,0)))</f>
        <v>CHI</v>
      </c>
      <c r="D489" s="153">
        <v>3.0200000000000001E-2</v>
      </c>
      <c r="E489" s="184" t="s">
        <v>188</v>
      </c>
      <c r="F489" s="155">
        <f>IFERROR(VLOOKUP(I489,'SINAPI-comp'!$B:$H,4,0)-G489,0)</f>
        <v>35.729999999999997</v>
      </c>
      <c r="G489" s="156">
        <f>IF(OR(H489="SINAPI",H489="SINAPI-I"),IFERROR(VLOOKUP(I489,'SINAPI-comp'!$B:$H,7,0),VLOOKUP(I489,'SINAPI-insumo'!$B:$H,7,0)))</f>
        <v>1.28</v>
      </c>
      <c r="H489" s="168" t="s">
        <v>53</v>
      </c>
      <c r="I489" s="158">
        <v>91534</v>
      </c>
      <c r="J489" s="159">
        <f t="shared" ref="J489:J495" si="43">TRUNC($D489*F489,4)</f>
        <v>1.079</v>
      </c>
      <c r="K489" s="159">
        <f t="shared" ref="K489:K495" si="44">TRUNC($D489*G489,4)</f>
        <v>3.8600000000000002E-2</v>
      </c>
    </row>
    <row r="490" spans="1:11" ht="27.6" x14ac:dyDescent="0.3">
      <c r="A490" s="161">
        <v>2</v>
      </c>
      <c r="B490" s="152" t="str">
        <f>IF(H490="SINAPI",IFERROR(VLOOKUP(I490,'SINAPI-comp'!$B:$H,2,0),VLOOKUP(I490,'SINAPI-insumo'!$B:$H,2,0)))</f>
        <v>COMPACTADOR DE SOLOS DE PERCUSSÃO (SOQUETE) COM MOTOR A GASOLINA 4 TEMPOS, POTÊNCIA 4 CV - CHP DIURNO. AF_08/2015</v>
      </c>
      <c r="C490" s="151" t="str">
        <f>IF(H490="SINAPI",IFERROR(VLOOKUP(I490,'SINAPI-comp'!$B:$H,3,0),VLOOKUP(I490,'SINAPI-insumo'!$B:$H,3,0)))</f>
        <v>CHP</v>
      </c>
      <c r="D490" s="153">
        <v>3.2500000000000001E-2</v>
      </c>
      <c r="E490" s="184" t="s">
        <v>188</v>
      </c>
      <c r="F490" s="155">
        <f>IFERROR(VLOOKUP(I490,'SINAPI-comp'!$B:$H,4,0)-G490,0)</f>
        <v>35.74</v>
      </c>
      <c r="G490" s="156">
        <f>IF(H490="SINAPI",IFERROR(VLOOKUP(I490,'SINAPI-comp'!$B:$H,7,0),VLOOKUP(I490,'SINAPI-insumo'!$B:$H,7,0)))</f>
        <v>8.94</v>
      </c>
      <c r="H490" s="168" t="s">
        <v>53</v>
      </c>
      <c r="I490" s="158">
        <v>91533</v>
      </c>
      <c r="J490" s="159">
        <f t="shared" si="43"/>
        <v>1.1615</v>
      </c>
      <c r="K490" s="159">
        <f t="shared" si="44"/>
        <v>0.29049999999999998</v>
      </c>
    </row>
    <row r="491" spans="1:11" x14ac:dyDescent="0.3">
      <c r="A491" s="161">
        <v>3</v>
      </c>
      <c r="B491" s="152" t="str">
        <f>IF(H491="SINAPI",IFERROR(VLOOKUP(I491,'SINAPI-comp'!$B:$H,2,0),VLOOKUP(I491,'SINAPI-insumo'!$B:$H,2,0)))</f>
        <v>PEDREIRO COM ENCARGOS COMPLEMENTARES</v>
      </c>
      <c r="C491" s="151" t="str">
        <f>IF(H491="SINAPI",IFERROR(VLOOKUP(I491,'SINAPI-comp'!$B:$H,3,0),VLOOKUP(I491,'SINAPI-insumo'!$B:$H,3,0)))</f>
        <v>H</v>
      </c>
      <c r="D491" s="153">
        <v>0.57199999999999995</v>
      </c>
      <c r="E491" s="184" t="s">
        <v>188</v>
      </c>
      <c r="F491" s="155">
        <f>IFERROR(VLOOKUP(I491,'SINAPI-comp'!$B:$H,4,0)-G491,0)</f>
        <v>31.11</v>
      </c>
      <c r="G491" s="156">
        <f>IF(H491="SINAPI",IFERROR(VLOOKUP(I491,'SINAPI-comp'!$B:$H,7,0),VLOOKUP(I491,'SINAPI-insumo'!$B:$H,7,0)))</f>
        <v>0</v>
      </c>
      <c r="H491" s="168" t="s">
        <v>53</v>
      </c>
      <c r="I491" s="158">
        <v>88309</v>
      </c>
      <c r="J491" s="159">
        <f t="shared" si="43"/>
        <v>17.794899999999998</v>
      </c>
      <c r="K491" s="159">
        <f t="shared" si="44"/>
        <v>0</v>
      </c>
    </row>
    <row r="492" spans="1:11" ht="55.2" x14ac:dyDescent="0.3">
      <c r="A492" s="161">
        <v>4</v>
      </c>
      <c r="B492" s="152" t="str">
        <f>IF(H492="SINAPI",IFERROR(VLOOKUP(I492,'SINAPI-comp'!$B:$H,2,0),VLOOKUP(I492,'SINAPI-insumo'!$B:$H,2,0)))</f>
        <v>RETROESCAVADEIRA SOBRE RODAS COM CARREGADEIRA, TRAÇÃO 4X4, POTÊNCIA LÍQ. 88 HP, CAÇAMBA CARREG. CAP. MÍN. 1 M3, CAÇAMBA RETRO CAP. 0,26 M3, PESO OPERACIONAL MÍN. 6.674 KG, PROFUNDIDADE ESCAVAÇÃO MÁX. 4,37 M - CHI DIURNO. AF_06/2014</v>
      </c>
      <c r="C492" s="151" t="str">
        <f>IF(H492="SINAPI",IFERROR(VLOOKUP(I492,'SINAPI-comp'!$B:$H,3,0),VLOOKUP(I492,'SINAPI-insumo'!$B:$H,3,0)))</f>
        <v>CHI</v>
      </c>
      <c r="D492" s="153">
        <v>0.3972</v>
      </c>
      <c r="E492" s="184" t="s">
        <v>188</v>
      </c>
      <c r="F492" s="155">
        <f>IFERROR(VLOOKUP(I492,'SINAPI-comp'!$B:$H,4,0)-G492,0)</f>
        <v>33.64</v>
      </c>
      <c r="G492" s="156">
        <f>IF(H492="SINAPI",IFERROR(VLOOKUP(I492,'SINAPI-comp'!$B:$H,7,0),VLOOKUP(I492,'SINAPI-insumo'!$B:$H,7,0)))</f>
        <v>32.64</v>
      </c>
      <c r="H492" s="168" t="s">
        <v>53</v>
      </c>
      <c r="I492" s="158">
        <v>5679</v>
      </c>
      <c r="J492" s="159">
        <f t="shared" si="43"/>
        <v>13.361800000000001</v>
      </c>
      <c r="K492" s="159">
        <f t="shared" si="44"/>
        <v>12.964600000000001</v>
      </c>
    </row>
    <row r="493" spans="1:11" ht="55.2" x14ac:dyDescent="0.3">
      <c r="A493" s="161">
        <v>5</v>
      </c>
      <c r="B493" s="152" t="str">
        <f>IF(H493="SINAPI",IFERROR(VLOOKUP(I493,'SINAPI-comp'!$B:$H,2,0),VLOOKUP(I493,'SINAPI-insumo'!$B:$H,2,0)))</f>
        <v>RETROESCAVADEIRA SOBRE RODAS COM CARREGADEIRA, TRAÇÃO 4X4, POTÊNCIA LÍQ. 88 HP, CAÇAMBA CARREG. CAP. MÍN. 1 M3, CAÇAMBA RETRO CAP. 0,26 M3, PESO OPERACIONAL MÍN. 6.674 KG, PROFUNDIDADE ESCAVAÇÃO MÁX. 4,37 M - CHP DIURNO. AF_06/2014</v>
      </c>
      <c r="C493" s="151" t="str">
        <f>IF(H493="SINAPI",IFERROR(VLOOKUP(I493,'SINAPI-comp'!$B:$H,3,0),VLOOKUP(I493,'SINAPI-insumo'!$B:$H,3,0)))</f>
        <v>CHP</v>
      </c>
      <c r="D493" s="153">
        <v>7.9399999999999998E-2</v>
      </c>
      <c r="E493" s="184" t="s">
        <v>188</v>
      </c>
      <c r="F493" s="155">
        <f>IFERROR(VLOOKUP(I493,'SINAPI-comp'!$B:$H,4,0)-G493,0)</f>
        <v>33.639999999999986</v>
      </c>
      <c r="G493" s="156">
        <f>IF(H493="SINAPI",IFERROR(VLOOKUP(I493,'SINAPI-comp'!$B:$H,7,0),VLOOKUP(I493,'SINAPI-insumo'!$B:$H,7,0)))</f>
        <v>119.93</v>
      </c>
      <c r="H493" s="168" t="s">
        <v>53</v>
      </c>
      <c r="I493" s="158">
        <v>5678</v>
      </c>
      <c r="J493" s="159">
        <f t="shared" ref="J493:J494" si="45">TRUNC($D493*F493,4)</f>
        <v>2.6709999999999998</v>
      </c>
      <c r="K493" s="159">
        <f t="shared" ref="K493:K494" si="46">TRUNC($D493*G493,4)</f>
        <v>9.5223999999999993</v>
      </c>
    </row>
    <row r="494" spans="1:11" x14ac:dyDescent="0.3">
      <c r="A494" s="161">
        <v>6</v>
      </c>
      <c r="B494" s="152" t="str">
        <f>IF(H494="SINAPI",IFERROR(VLOOKUP(I494,'SINAPI-comp'!$B:$H,2,0),VLOOKUP(I494,'SINAPI-insumo'!$B:$H,2,0)))</f>
        <v>SERVENTE COM ENCARGOS COMPLEMENTARES</v>
      </c>
      <c r="C494" s="151" t="str">
        <f>IF(H494="SINAPI",IFERROR(VLOOKUP(I494,'SINAPI-comp'!$B:$H,3,0),VLOOKUP(I494,'SINAPI-insumo'!$B:$H,3,0)))</f>
        <v>H</v>
      </c>
      <c r="D494" s="153">
        <v>0.8579</v>
      </c>
      <c r="E494" s="184" t="s">
        <v>188</v>
      </c>
      <c r="F494" s="155">
        <f>IFERROR(VLOOKUP(I494,'SINAPI-comp'!$B:$H,4,0)-G494,0)</f>
        <v>25.81</v>
      </c>
      <c r="G494" s="156">
        <f>IF(H494="SINAPI",IFERROR(VLOOKUP(I494,'SINAPI-comp'!$B:$H,7,0),VLOOKUP(I494,'SINAPI-insumo'!$B:$H,7,0)))</f>
        <v>0</v>
      </c>
      <c r="H494" s="168" t="s">
        <v>53</v>
      </c>
      <c r="I494" s="158">
        <v>88316</v>
      </c>
      <c r="J494" s="159">
        <f t="shared" si="45"/>
        <v>22.142299999999999</v>
      </c>
      <c r="K494" s="159">
        <f t="shared" si="46"/>
        <v>0</v>
      </c>
    </row>
    <row r="495" spans="1:11" x14ac:dyDescent="0.3">
      <c r="A495" s="161">
        <v>7</v>
      </c>
      <c r="B495" s="152" t="str">
        <f>IF(H495="SINAPI",IFERROR(VLOOKUP(I495,'SINAPI-comp'!$B:$H,2,0),VLOOKUP(I495,'SINAPI-insumo'!$B:$H,2,0)))</f>
        <v>USINAGEM DE BRITA GRADUADA SIMPLES. AF_09/2025</v>
      </c>
      <c r="C495" s="151" t="str">
        <f>IF(H495="SINAPI",IFERROR(VLOOKUP(I495,'SINAPI-comp'!$B:$H,3,0),VLOOKUP(I495,'SINAPI-insumo'!$B:$H,3,0)))</f>
        <v>M3</v>
      </c>
      <c r="D495" s="153">
        <v>1</v>
      </c>
      <c r="E495" s="184"/>
      <c r="F495" s="155">
        <f>IFERROR(VLOOKUP(I495,'SINAPI-comp'!$B:$H,4,0)-G495,0)</f>
        <v>4.3099999999999739</v>
      </c>
      <c r="G495" s="156">
        <f>IF(H495="SINAPI",IFERROR(VLOOKUP(I495,'SINAPI-comp'!$B:$H,7,0),VLOOKUP(I495,'SINAPI-insumo'!$B:$H,7,0)))</f>
        <v>161.33000000000001</v>
      </c>
      <c r="H495" s="168" t="s">
        <v>53</v>
      </c>
      <c r="I495" s="158">
        <v>96393</v>
      </c>
      <c r="J495" s="159">
        <f t="shared" si="43"/>
        <v>4.3098999999999998</v>
      </c>
      <c r="K495" s="159">
        <f t="shared" si="44"/>
        <v>161.33000000000001</v>
      </c>
    </row>
    <row r="498" spans="1:11" s="494" customFormat="1" x14ac:dyDescent="0.25">
      <c r="A498" s="674" t="s">
        <v>131</v>
      </c>
      <c r="B498" s="674" t="s">
        <v>132</v>
      </c>
      <c r="C498" s="675"/>
      <c r="D498" s="511"/>
      <c r="E498" s="675"/>
      <c r="F498" s="675"/>
      <c r="G498" s="675"/>
      <c r="H498" s="676" t="s">
        <v>133</v>
      </c>
      <c r="I498" s="677"/>
      <c r="J498" s="512" t="s">
        <v>134</v>
      </c>
      <c r="K498" s="512" t="s">
        <v>15795</v>
      </c>
    </row>
    <row r="499" spans="1:11" x14ac:dyDescent="0.3">
      <c r="A499" s="136" t="s">
        <v>15588</v>
      </c>
      <c r="B499" s="137" t="s">
        <v>15590</v>
      </c>
      <c r="C499" s="173"/>
      <c r="D499" s="174"/>
      <c r="E499" s="652"/>
      <c r="F499" s="140"/>
      <c r="G499" s="140"/>
      <c r="H499" s="141" t="s">
        <v>170</v>
      </c>
      <c r="I499" s="175"/>
      <c r="J499" s="143">
        <f>TRUNC(SUM(J501:J503),2)</f>
        <v>1075.28</v>
      </c>
      <c r="K499" s="143">
        <f>TRUNC(SUM(K501:K503),2)</f>
        <v>1329.17</v>
      </c>
    </row>
    <row r="500" spans="1:11" s="687" customFormat="1" ht="27.6" x14ac:dyDescent="0.25">
      <c r="A500" s="522" t="s">
        <v>137</v>
      </c>
      <c r="B500" s="523" t="s">
        <v>19</v>
      </c>
      <c r="C500" s="524" t="s">
        <v>20</v>
      </c>
      <c r="D500" s="682" t="s">
        <v>138</v>
      </c>
      <c r="E500" s="525" t="s">
        <v>139</v>
      </c>
      <c r="F500" s="683" t="s">
        <v>140</v>
      </c>
      <c r="G500" s="684" t="s">
        <v>15796</v>
      </c>
      <c r="H500" s="685" t="s">
        <v>142</v>
      </c>
      <c r="I500" s="686"/>
      <c r="J500" s="684" t="s">
        <v>143</v>
      </c>
      <c r="K500" s="684" t="s">
        <v>15797</v>
      </c>
    </row>
    <row r="501" spans="1:11" x14ac:dyDescent="0.3">
      <c r="A501" s="161">
        <v>1</v>
      </c>
      <c r="B501" s="160" t="str">
        <f>IF(OR(H501="SINAPI",H501="SINAPI-I"),IFERROR(VLOOKUP(I501,'SINAPI-comp'!$B:$H,2,0),VLOOKUP(I501,'SINAPI-insumo'!$B:$H,2,0)))</f>
        <v>PEDREIRO COM ENCARGOS COMPLEMENTARES</v>
      </c>
      <c r="C501" s="151" t="str">
        <f>IF(OR(H501="SINAPI",H501="SINAPI-I"),IFERROR(VLOOKUP(I501,'SINAPI-comp'!$B:$H,3,0),VLOOKUP(I501,'SINAPI-insumo'!$B:$H,3,0)))</f>
        <v>H</v>
      </c>
      <c r="D501" s="153">
        <f>0.1015/0.0283</f>
        <v>3.5865724381625448</v>
      </c>
      <c r="E501" s="184" t="s">
        <v>15589</v>
      </c>
      <c r="F501" s="155">
        <f>IFERROR(VLOOKUP(I501,'SINAPI-comp'!$B:$H,4,0)-G501,0)</f>
        <v>31.11</v>
      </c>
      <c r="G501" s="156">
        <f>IF(OR(H501="SINAPI",H501="SINAPI-I"),IFERROR(VLOOKUP(I501,'SINAPI-comp'!$B:$H,7,0),VLOOKUP(I501,'SINAPI-insumo'!$B:$H,7,0)))</f>
        <v>0</v>
      </c>
      <c r="H501" s="168" t="s">
        <v>53</v>
      </c>
      <c r="I501" s="158">
        <v>88309</v>
      </c>
      <c r="J501" s="159">
        <f t="shared" ref="J501:J503" si="47">TRUNC($D501*F501,4)</f>
        <v>111.5782</v>
      </c>
      <c r="K501" s="159">
        <f t="shared" ref="K501:K503" si="48">TRUNC($D501*G501,4)</f>
        <v>0</v>
      </c>
    </row>
    <row r="502" spans="1:11" x14ac:dyDescent="0.3">
      <c r="A502" s="161">
        <v>2</v>
      </c>
      <c r="B502" s="152" t="str">
        <f>IF(H502="SINAPI",IFERROR(VLOOKUP(I502,'SINAPI-comp'!$B:$H,2,0),VLOOKUP(I502,'SINAPI-insumo'!$B:$H,2,0)))</f>
        <v>SERVENTE COM ENCARGOS COMPLEMENTARES</v>
      </c>
      <c r="C502" s="151" t="str">
        <f>IF(H502="SINAPI",IFERROR(VLOOKUP(I502,'SINAPI-comp'!$B:$H,3,0),VLOOKUP(I502,'SINAPI-insumo'!$B:$H,3,0)))</f>
        <v>H</v>
      </c>
      <c r="D502" s="153">
        <f>0.0798/0.0283</f>
        <v>2.8197879858657244</v>
      </c>
      <c r="E502" s="184" t="s">
        <v>15589</v>
      </c>
      <c r="F502" s="155">
        <f>IFERROR(VLOOKUP(I502,'SINAPI-comp'!$B:$H,4,0)-G502,0)</f>
        <v>25.81</v>
      </c>
      <c r="G502" s="156">
        <f>IF(H502="SINAPI",IFERROR(VLOOKUP(I502,'SINAPI-comp'!$B:$H,7,0),VLOOKUP(I502,'SINAPI-insumo'!$B:$H,7,0)))</f>
        <v>0</v>
      </c>
      <c r="H502" s="168" t="s">
        <v>53</v>
      </c>
      <c r="I502" s="158">
        <v>88316</v>
      </c>
      <c r="J502" s="159">
        <f t="shared" si="47"/>
        <v>72.778700000000001</v>
      </c>
      <c r="K502" s="159">
        <f t="shared" si="48"/>
        <v>0</v>
      </c>
    </row>
    <row r="503" spans="1:11" ht="27.6" x14ac:dyDescent="0.3">
      <c r="A503" s="161">
        <v>3</v>
      </c>
      <c r="B503" s="152" t="str">
        <f>IF(H503="SINAPI",IFERROR(VLOOKUP(I503,'SINAPI-comp'!$B:$H,2,0),VLOOKUP(I503,'SINAPI-insumo'!$B:$H,2,0)))</f>
        <v>PEÇA RETANGULAR PRÉ-MOLDADA, VOLUME DE CONCRETO ACIMA DE 100 LITROS, TAXA DE AÇO APROXIMADA DE 30KG/M³. AF_03/2024</v>
      </c>
      <c r="C503" s="151" t="str">
        <f>IF(H503="SINAPI",IFERROR(VLOOKUP(I503,'SINAPI-comp'!$B:$H,3,0),VLOOKUP(I503,'SINAPI-insumo'!$B:$H,3,0)))</f>
        <v>M3</v>
      </c>
      <c r="D503" s="153">
        <f>0.0385/0.0283</f>
        <v>1.3604240282685514</v>
      </c>
      <c r="E503" s="184" t="s">
        <v>15589</v>
      </c>
      <c r="F503" s="155">
        <f>IFERROR(VLOOKUP(I503,'SINAPI-comp'!$B:$H,4,0)-G503,0)</f>
        <v>654.8900000000001</v>
      </c>
      <c r="G503" s="156">
        <f>IF(H503="SINAPI",IFERROR(VLOOKUP(I503,'SINAPI-comp'!$B:$H,7,0),VLOOKUP(I503,'SINAPI-insumo'!$B:$H,7,0)))</f>
        <v>977.03</v>
      </c>
      <c r="H503" s="168" t="s">
        <v>53</v>
      </c>
      <c r="I503" s="158">
        <v>97736</v>
      </c>
      <c r="J503" s="159">
        <f t="shared" si="47"/>
        <v>890.928</v>
      </c>
      <c r="K503" s="159">
        <f t="shared" si="48"/>
        <v>1329.175</v>
      </c>
    </row>
    <row r="504" spans="1:11" x14ac:dyDescent="0.3">
      <c r="E504" s="653"/>
    </row>
    <row r="506" spans="1:11" s="494" customFormat="1" x14ac:dyDescent="0.25">
      <c r="A506" s="674" t="s">
        <v>131</v>
      </c>
      <c r="B506" s="674" t="s">
        <v>132</v>
      </c>
      <c r="C506" s="675"/>
      <c r="D506" s="511"/>
      <c r="E506" s="675"/>
      <c r="F506" s="675"/>
      <c r="G506" s="675"/>
      <c r="H506" s="676" t="s">
        <v>133</v>
      </c>
      <c r="I506" s="677"/>
      <c r="J506" s="512" t="s">
        <v>134</v>
      </c>
      <c r="K506" s="512" t="s">
        <v>15795</v>
      </c>
    </row>
    <row r="507" spans="1:11" x14ac:dyDescent="0.3">
      <c r="A507" s="136" t="s">
        <v>115</v>
      </c>
      <c r="B507" s="137" t="s">
        <v>193</v>
      </c>
      <c r="C507" s="173"/>
      <c r="D507" s="174"/>
      <c r="E507" s="138"/>
      <c r="F507" s="140"/>
      <c r="G507" s="140"/>
      <c r="H507" s="141" t="s">
        <v>136</v>
      </c>
      <c r="I507" s="175"/>
      <c r="J507" s="143">
        <f>TRUNC(SUM(J509:J514),2)</f>
        <v>820.73</v>
      </c>
      <c r="K507" s="143">
        <f>TRUNC(SUM(K509:K514),2)</f>
        <v>425.98</v>
      </c>
    </row>
    <row r="508" spans="1:11" s="687" customFormat="1" ht="27.6" x14ac:dyDescent="0.25">
      <c r="A508" s="522" t="s">
        <v>137</v>
      </c>
      <c r="B508" s="523" t="s">
        <v>19</v>
      </c>
      <c r="C508" s="524" t="s">
        <v>20</v>
      </c>
      <c r="D508" s="682" t="s">
        <v>138</v>
      </c>
      <c r="E508" s="525" t="s">
        <v>139</v>
      </c>
      <c r="F508" s="683" t="s">
        <v>140</v>
      </c>
      <c r="G508" s="684" t="s">
        <v>15796</v>
      </c>
      <c r="H508" s="685" t="s">
        <v>142</v>
      </c>
      <c r="I508" s="686"/>
      <c r="J508" s="684" t="s">
        <v>143</v>
      </c>
      <c r="K508" s="684" t="s">
        <v>15797</v>
      </c>
    </row>
    <row r="509" spans="1:11" ht="41.4" x14ac:dyDescent="0.3">
      <c r="A509" s="161">
        <v>1</v>
      </c>
      <c r="B509" s="160" t="str">
        <f>IF(OR(H509="SINAPI",H509="SINAPI-I"),IFERROR(VLOOKUP(I509,'SINAPI-comp'!$B:$H,2,0),VLOOKUP(I509,'SINAPI-insumo'!$B:$H,2,0)))</f>
        <v>TIJOLO CERAMICO MACICO COMUM DE *5 X 10 X 20* CM (L X A X C)</v>
      </c>
      <c r="C509" s="151" t="str">
        <f>IF(OR(H509="SINAPI",H509="SINAPI-I"),IFERROR(VLOOKUP(I509,'SINAPI-comp'!$B:$H,3,0),VLOOKUP(I509,'SINAPI-insumo'!$B:$H,3,0)))</f>
        <v>UN</v>
      </c>
      <c r="D509" s="153">
        <f>211.956*(3.2/1.92)</f>
        <v>353.26</v>
      </c>
      <c r="E509" s="184" t="s">
        <v>194</v>
      </c>
      <c r="F509" s="155">
        <f>IFERROR(VLOOKUP(I509,'SINAPI-comp'!$B:$H,4,0)-G509,0)</f>
        <v>0</v>
      </c>
      <c r="G509" s="156">
        <f>IF(OR(H509="SINAPI",H509="SINAPI-I"),IFERROR(VLOOKUP(I509,'SINAPI-comp'!$B:$H,7,0),VLOOKUP(I509,'SINAPI-insumo'!$B:$H,7,0)))</f>
        <v>0.63</v>
      </c>
      <c r="H509" s="157" t="s">
        <v>149</v>
      </c>
      <c r="I509" s="158">
        <v>7258</v>
      </c>
      <c r="J509" s="159">
        <f t="shared" ref="J509:K514" si="49">TRUNC($D509*F509,4)</f>
        <v>0</v>
      </c>
      <c r="K509" s="159">
        <f t="shared" si="49"/>
        <v>222.5538</v>
      </c>
    </row>
    <row r="510" spans="1:11" ht="41.4" x14ac:dyDescent="0.3">
      <c r="A510" s="161">
        <v>2</v>
      </c>
      <c r="B510" s="152" t="str">
        <f>IF(H510="SINAPI",IFERROR(VLOOKUP(I510,'SINAPI-comp'!$B:$H,2,0),VLOOKUP(I510,'SINAPI-insumo'!$B:$H,2,0)))</f>
        <v>ARGAMASSA TRAÇO 1:4 (EM VOLUME DE CIMENTO E AREIA GROSSA ÚMIDA) PARA CHAPISCO CONVENCIONAL, PREPARO MECÂNICO COM BETONEIRA ATÉ 600 L. AF_07/2026</v>
      </c>
      <c r="C510" s="151" t="str">
        <f>IF(H510="SINAPI",IFERROR(VLOOKUP(I510,'SINAPI-comp'!$B:$H,3,0),VLOOKUP(I510,'SINAPI-insumo'!$B:$H,3,0)))</f>
        <v>M3</v>
      </c>
      <c r="D510" s="153">
        <f>0.0017*(3.2/1.92)</f>
        <v>2.8333333333333331E-3</v>
      </c>
      <c r="E510" s="184" t="s">
        <v>195</v>
      </c>
      <c r="F510" s="155">
        <f>IFERROR(VLOOKUP(I510,'SINAPI-comp'!$B:$H,4,0)-G510,0)</f>
        <v>151.96999999999997</v>
      </c>
      <c r="G510" s="156">
        <f>IF(H510="SINAPI",IFERROR(VLOOKUP(I510,'SINAPI-comp'!$B:$H,7,0),VLOOKUP(I510,'SINAPI-insumo'!$B:$H,7,0)))</f>
        <v>434.31</v>
      </c>
      <c r="H510" s="168" t="s">
        <v>53</v>
      </c>
      <c r="I510" s="158">
        <v>87316</v>
      </c>
      <c r="J510" s="159">
        <f t="shared" si="49"/>
        <v>0.43049999999999999</v>
      </c>
      <c r="K510" s="159">
        <f t="shared" si="49"/>
        <v>1.2304999999999999</v>
      </c>
    </row>
    <row r="511" spans="1:11" x14ac:dyDescent="0.3">
      <c r="A511" s="161">
        <v>3</v>
      </c>
      <c r="B511" s="152" t="str">
        <f>IF(H511="SINAPI",IFERROR(VLOOKUP(I511,'SINAPI-comp'!$B:$H,2,0),VLOOKUP(I511,'SINAPI-insumo'!$B:$H,2,0)))</f>
        <v>PEDREIRO COM ENCARGOS COMPLEMENTARES</v>
      </c>
      <c r="C511" s="151" t="str">
        <f>IF(H511="SINAPI",IFERROR(VLOOKUP(I511,'SINAPI-comp'!$B:$H,3,0),VLOOKUP(I511,'SINAPI-insumo'!$B:$H,3,0)))</f>
        <v>H</v>
      </c>
      <c r="D511" s="153">
        <f>8.1329*(3.2/1.92)</f>
        <v>13.554833333333333</v>
      </c>
      <c r="E511" s="184" t="s">
        <v>195</v>
      </c>
      <c r="F511" s="155">
        <f>IFERROR(VLOOKUP(I511,'SINAPI-comp'!$B:$H,4,0)-G511,0)</f>
        <v>31.11</v>
      </c>
      <c r="G511" s="156">
        <f>IF(H511="SINAPI",IFERROR(VLOOKUP(I511,'SINAPI-comp'!$B:$H,7,0),VLOOKUP(I511,'SINAPI-insumo'!$B:$H,7,0)))</f>
        <v>0</v>
      </c>
      <c r="H511" s="168" t="s">
        <v>53</v>
      </c>
      <c r="I511" s="158">
        <v>88309</v>
      </c>
      <c r="J511" s="159">
        <f t="shared" si="49"/>
        <v>421.69080000000002</v>
      </c>
      <c r="K511" s="159">
        <f t="shared" si="49"/>
        <v>0</v>
      </c>
    </row>
    <row r="512" spans="1:11" x14ac:dyDescent="0.3">
      <c r="A512" s="161">
        <v>4</v>
      </c>
      <c r="B512" s="152" t="str">
        <f>IF(H512="SINAPI",IFERROR(VLOOKUP(I512,'SINAPI-comp'!$B:$H,2,0),VLOOKUP(I512,'SINAPI-insumo'!$B:$H,2,0)))</f>
        <v>SERVENTE COM ENCARGOS COMPLEMENTARES</v>
      </c>
      <c r="C512" s="151" t="str">
        <f>IF(H512="SINAPI",IFERROR(VLOOKUP(I512,'SINAPI-comp'!$B:$H,3,0),VLOOKUP(I512,'SINAPI-insumo'!$B:$H,3,0)))</f>
        <v>H</v>
      </c>
      <c r="D512" s="153">
        <f>8.1329*(3.2/1.92)</f>
        <v>13.554833333333333</v>
      </c>
      <c r="E512" s="184" t="s">
        <v>195</v>
      </c>
      <c r="F512" s="155">
        <f>IFERROR(VLOOKUP(I512,'SINAPI-comp'!$B:$H,4,0)-G512,0)</f>
        <v>25.81</v>
      </c>
      <c r="G512" s="156">
        <f>IF(H512="SINAPI",IFERROR(VLOOKUP(I512,'SINAPI-comp'!$B:$H,7,0),VLOOKUP(I512,'SINAPI-insumo'!$B:$H,7,0)))</f>
        <v>0</v>
      </c>
      <c r="H512" s="168" t="s">
        <v>53</v>
      </c>
      <c r="I512" s="158">
        <v>88316</v>
      </c>
      <c r="J512" s="159">
        <f t="shared" si="49"/>
        <v>349.85019999999997</v>
      </c>
      <c r="K512" s="159">
        <f t="shared" si="49"/>
        <v>0</v>
      </c>
    </row>
    <row r="513" spans="1:11" ht="27.6" x14ac:dyDescent="0.3">
      <c r="A513" s="161">
        <v>5</v>
      </c>
      <c r="B513" s="152" t="str">
        <f>IF(H513="SINAPI",IFERROR(VLOOKUP(I513,'SINAPI-comp'!$B:$H,2,0),VLOOKUP(I513,'SINAPI-insumo'!$B:$H,2,0)))</f>
        <v>ARGAMASSA TRAÇO 1:3 (EM VOLUME DE CIMENTO E AREIA MÉDIA ÚMIDA), PREPARO MECÂNICO COM BETONEIRA ATÉ 600 L. AF_07/2026</v>
      </c>
      <c r="C513" s="151" t="str">
        <f>IF(H513="SINAPI",IFERROR(VLOOKUP(I513,'SINAPI-comp'!$B:$H,3,0),VLOOKUP(I513,'SINAPI-insumo'!$B:$H,3,0)))</f>
        <v>M3</v>
      </c>
      <c r="D513" s="153">
        <f>0.1585*(3.2/1.92)</f>
        <v>0.26416666666666666</v>
      </c>
      <c r="E513" s="184" t="s">
        <v>195</v>
      </c>
      <c r="F513" s="155">
        <f>IFERROR(VLOOKUP(I513,'SINAPI-comp'!$B:$H,4,0)-G513,0)</f>
        <v>144.06000000000006</v>
      </c>
      <c r="G513" s="156">
        <f>IF(H513="SINAPI",IFERROR(VLOOKUP(I513,'SINAPI-comp'!$B:$H,7,0),VLOOKUP(I513,'SINAPI-insumo'!$B:$H,7,0)))</f>
        <v>567.30999999999995</v>
      </c>
      <c r="H513" s="168" t="s">
        <v>53</v>
      </c>
      <c r="I513" s="158">
        <v>88628</v>
      </c>
      <c r="J513" s="159">
        <f t="shared" si="49"/>
        <v>38.055799999999998</v>
      </c>
      <c r="K513" s="159">
        <f t="shared" si="49"/>
        <v>149.86429999999999</v>
      </c>
    </row>
    <row r="514" spans="1:11" ht="41.4" x14ac:dyDescent="0.3">
      <c r="A514" s="161">
        <v>6</v>
      </c>
      <c r="B514" s="152" t="str">
        <f>IF(H514="SINAPI",IFERROR(VLOOKUP(I514,'SINAPI-comp'!$B:$H,2,0),VLOOKUP(I514,'SINAPI-insumo'!$B:$H,2,0)))</f>
        <v>CONCRETO FCK = 20MPA, TRAÇO 1:2,7:3 (EM MASSA SECA DE CIMENTO/ AREIA MÉDIA/ BRITA 1) - PREPARO MECÂNICO COM BETONEIRA 600 L. AF_05/2021</v>
      </c>
      <c r="C514" s="151" t="str">
        <f>IF(H514="SINAPI",IFERROR(VLOOKUP(I514,'SINAPI-comp'!$B:$H,3,0),VLOOKUP(I514,'SINAPI-insumo'!$B:$H,3,0)))</f>
        <v>M3</v>
      </c>
      <c r="D514" s="153">
        <v>0.1163</v>
      </c>
      <c r="E514" s="184" t="s">
        <v>196</v>
      </c>
      <c r="F514" s="155">
        <f>IFERROR(VLOOKUP(I514,'SINAPI-comp'!$B:$H,4,0)-G514,0)</f>
        <v>92.050000000000068</v>
      </c>
      <c r="G514" s="156">
        <f>IF(H514="SINAPI",IFERROR(VLOOKUP(I514,'SINAPI-comp'!$B:$H,7,0),VLOOKUP(I514,'SINAPI-insumo'!$B:$H,7,0)))</f>
        <v>450.02</v>
      </c>
      <c r="H514" s="168" t="s">
        <v>53</v>
      </c>
      <c r="I514" s="158">
        <v>94970</v>
      </c>
      <c r="J514" s="159">
        <f t="shared" si="49"/>
        <v>10.705399999999999</v>
      </c>
      <c r="K514" s="159">
        <f t="shared" si="49"/>
        <v>52.337299999999999</v>
      </c>
    </row>
    <row r="517" spans="1:11" s="494" customFormat="1" x14ac:dyDescent="0.25">
      <c r="A517" s="674" t="s">
        <v>131</v>
      </c>
      <c r="B517" s="674" t="s">
        <v>132</v>
      </c>
      <c r="C517" s="675"/>
      <c r="D517" s="511"/>
      <c r="E517" s="675"/>
      <c r="F517" s="675"/>
      <c r="G517" s="675"/>
      <c r="H517" s="676" t="s">
        <v>133</v>
      </c>
      <c r="I517" s="677"/>
      <c r="J517" s="512" t="s">
        <v>134</v>
      </c>
      <c r="K517" s="512" t="s">
        <v>15795</v>
      </c>
    </row>
    <row r="518" spans="1:11" x14ac:dyDescent="0.3">
      <c r="A518" s="136" t="s">
        <v>116</v>
      </c>
      <c r="B518" s="137" t="s">
        <v>15459</v>
      </c>
      <c r="C518" s="173"/>
      <c r="D518" s="174"/>
      <c r="E518" s="138"/>
      <c r="F518" s="140"/>
      <c r="G518" s="140"/>
      <c r="H518" s="141" t="s">
        <v>159</v>
      </c>
      <c r="I518" s="175"/>
      <c r="J518" s="143">
        <f>TRUNC(SUM(J520:J524),2)</f>
        <v>690.02</v>
      </c>
      <c r="K518" s="143">
        <f>TRUNC(SUM(K520:K524),2)</f>
        <v>493.73</v>
      </c>
    </row>
    <row r="519" spans="1:11" s="687" customFormat="1" ht="27.6" x14ac:dyDescent="0.25">
      <c r="A519" s="522" t="s">
        <v>137</v>
      </c>
      <c r="B519" s="523" t="s">
        <v>19</v>
      </c>
      <c r="C519" s="524" t="s">
        <v>20</v>
      </c>
      <c r="D519" s="682" t="s">
        <v>138</v>
      </c>
      <c r="E519" s="525" t="s">
        <v>139</v>
      </c>
      <c r="F519" s="683" t="s">
        <v>140</v>
      </c>
      <c r="G519" s="684" t="s">
        <v>15796</v>
      </c>
      <c r="H519" s="685" t="s">
        <v>142</v>
      </c>
      <c r="I519" s="686"/>
      <c r="J519" s="684" t="s">
        <v>143</v>
      </c>
      <c r="K519" s="684" t="s">
        <v>15797</v>
      </c>
    </row>
    <row r="520" spans="1:11" ht="41.4" x14ac:dyDescent="0.3">
      <c r="A520" s="161">
        <v>1</v>
      </c>
      <c r="B520" s="160" t="str">
        <f>IF(OR(H520="SINAPI",H520="SINAPI-I"),IFERROR(VLOOKUP(I520,'SINAPI-comp'!$B:$H,2,0),VLOOKUP(I520,'SINAPI-insumo'!$B:$H,2,0)))</f>
        <v>TIJOLO CERAMICO MACICO COMUM DE *5 X 10 X 20* CM (L X A X C)</v>
      </c>
      <c r="C520" s="151" t="str">
        <f>IF(OR(H520="SINAPI",H520="SINAPI-I"),IFERROR(VLOOKUP(I520,'SINAPI-comp'!$B:$H,3,0),VLOOKUP(I520,'SINAPI-insumo'!$B:$H,3,0)))</f>
        <v>UN</v>
      </c>
      <c r="D520" s="153">
        <f>TRUNC(569.7707*(2.8/4.1),4)</f>
        <v>389.11160000000001</v>
      </c>
      <c r="E520" s="184" t="s">
        <v>197</v>
      </c>
      <c r="F520" s="155">
        <f>IFERROR(VLOOKUP(I520,'SINAPI-comp'!$B:$H,4,0)-G520,0)</f>
        <v>0</v>
      </c>
      <c r="G520" s="156">
        <f>IF(OR(H520="SINAPI",H520="SINAPI-I"),IFERROR(VLOOKUP(I520,'SINAPI-comp'!$B:$H,7,0),VLOOKUP(I520,'SINAPI-insumo'!$B:$H,7,0)))</f>
        <v>0.63</v>
      </c>
      <c r="H520" s="157" t="s">
        <v>149</v>
      </c>
      <c r="I520" s="158">
        <v>7258</v>
      </c>
      <c r="J520" s="159">
        <f t="shared" ref="J520:K524" si="50">TRUNC($D520*F520,4)</f>
        <v>0</v>
      </c>
      <c r="K520" s="159">
        <f t="shared" si="50"/>
        <v>245.1403</v>
      </c>
    </row>
    <row r="521" spans="1:11" ht="41.4" x14ac:dyDescent="0.3">
      <c r="A521" s="161">
        <v>2</v>
      </c>
      <c r="B521" s="152" t="str">
        <f>IF(H521="SINAPI",IFERROR(VLOOKUP(I521,'SINAPI-comp'!$B:$H,2,0),VLOOKUP(I521,'SINAPI-insumo'!$B:$H,2,0)))</f>
        <v>ARGAMASSA TRAÇO 1:4 (EM VOLUME DE CIMENTO E AREIA GROSSA ÚMIDA) PARA CHAPISCO CONVENCIONAL, PREPARO MECÂNICO COM BETONEIRA ATÉ 600 L. AF_07/2026</v>
      </c>
      <c r="C521" s="151" t="str">
        <f>IF(H521="SINAPI",IFERROR(VLOOKUP(I521,'SINAPI-comp'!$B:$H,3,0),VLOOKUP(I521,'SINAPI-insumo'!$B:$H,3,0)))</f>
        <v>M3</v>
      </c>
      <c r="D521" s="153">
        <f>TRUNC(0.0369*(2.8/4.1),4)</f>
        <v>2.52E-2</v>
      </c>
      <c r="E521" s="184" t="s">
        <v>198</v>
      </c>
      <c r="F521" s="155">
        <f>IFERROR(VLOOKUP(I521,'SINAPI-comp'!$B:$H,4,0)-G521,0)</f>
        <v>151.96999999999997</v>
      </c>
      <c r="G521" s="156">
        <f>IF(H521="SINAPI",IFERROR(VLOOKUP(I521,'SINAPI-comp'!$B:$H,7,0),VLOOKUP(I521,'SINAPI-insumo'!$B:$H,7,0)))</f>
        <v>434.31</v>
      </c>
      <c r="H521" s="168" t="s">
        <v>53</v>
      </c>
      <c r="I521" s="158">
        <v>87316</v>
      </c>
      <c r="J521" s="159">
        <f t="shared" si="50"/>
        <v>3.8296000000000001</v>
      </c>
      <c r="K521" s="159">
        <f t="shared" si="50"/>
        <v>10.944599999999999</v>
      </c>
    </row>
    <row r="522" spans="1:11" x14ac:dyDescent="0.3">
      <c r="A522" s="161">
        <v>3</v>
      </c>
      <c r="B522" s="152" t="str">
        <f>IF(H522="SINAPI",IFERROR(VLOOKUP(I522,'SINAPI-comp'!$B:$H,2,0),VLOOKUP(I522,'SINAPI-insumo'!$B:$H,2,0)))</f>
        <v>PEDREIRO COM ENCARGOS COMPLEMENTARES</v>
      </c>
      <c r="C522" s="151" t="str">
        <f>IF(H522="SINAPI",IFERROR(VLOOKUP(I522,'SINAPI-comp'!$B:$H,3,0),VLOOKUP(I522,'SINAPI-insumo'!$B:$H,3,0)))</f>
        <v>H</v>
      </c>
      <c r="D522" s="153">
        <f>TRUNC(17.8329*(2.8/4.1),4)</f>
        <v>12.1785</v>
      </c>
      <c r="E522" s="184" t="s">
        <v>198</v>
      </c>
      <c r="F522" s="155">
        <f>IFERROR(VLOOKUP(I522,'SINAPI-comp'!$B:$H,4,0)-G522,0)</f>
        <v>31.11</v>
      </c>
      <c r="G522" s="156">
        <f>IF(H522="SINAPI",IFERROR(VLOOKUP(I522,'SINAPI-comp'!$B:$H,7,0),VLOOKUP(I522,'SINAPI-insumo'!$B:$H,7,0)))</f>
        <v>0</v>
      </c>
      <c r="H522" s="168" t="s">
        <v>53</v>
      </c>
      <c r="I522" s="158">
        <v>88309</v>
      </c>
      <c r="J522" s="159">
        <f t="shared" si="50"/>
        <v>378.87310000000002</v>
      </c>
      <c r="K522" s="159">
        <f t="shared" si="50"/>
        <v>0</v>
      </c>
    </row>
    <row r="523" spans="1:11" x14ac:dyDescent="0.3">
      <c r="A523" s="161">
        <v>4</v>
      </c>
      <c r="B523" s="152" t="str">
        <f>IF(H523="SINAPI",IFERROR(VLOOKUP(I523,'SINAPI-comp'!$B:$H,2,0),VLOOKUP(I523,'SINAPI-insumo'!$B:$H,2,0)))</f>
        <v>SERVENTE COM ENCARGOS COMPLEMENTARES</v>
      </c>
      <c r="C523" s="151" t="str">
        <f>IF(H523="SINAPI",IFERROR(VLOOKUP(I523,'SINAPI-comp'!$B:$H,3,0),VLOOKUP(I523,'SINAPI-insumo'!$B:$H,3,0)))</f>
        <v>H</v>
      </c>
      <c r="D523" s="153">
        <f>TRUNC(14.0115*(2.8/4.1),4)</f>
        <v>9.5687999999999995</v>
      </c>
      <c r="E523" s="184" t="s">
        <v>198</v>
      </c>
      <c r="F523" s="155">
        <f>IFERROR(VLOOKUP(I523,'SINAPI-comp'!$B:$H,4,0)-G523,0)</f>
        <v>25.81</v>
      </c>
      <c r="G523" s="156">
        <f>IF(H523="SINAPI",IFERROR(VLOOKUP(I523,'SINAPI-comp'!$B:$H,7,0),VLOOKUP(I523,'SINAPI-insumo'!$B:$H,7,0)))</f>
        <v>0</v>
      </c>
      <c r="H523" s="168" t="s">
        <v>53</v>
      </c>
      <c r="I523" s="158">
        <v>88316</v>
      </c>
      <c r="J523" s="159">
        <f t="shared" si="50"/>
        <v>246.97069999999999</v>
      </c>
      <c r="K523" s="159">
        <f t="shared" si="50"/>
        <v>0</v>
      </c>
    </row>
    <row r="524" spans="1:11" ht="27.6" x14ac:dyDescent="0.3">
      <c r="A524" s="161">
        <v>5</v>
      </c>
      <c r="B524" s="152" t="str">
        <f>IF(H524="SINAPI",IFERROR(VLOOKUP(I524,'SINAPI-comp'!$B:$H,2,0),VLOOKUP(I524,'SINAPI-insumo'!$B:$H,2,0)))</f>
        <v>ARGAMASSA TRAÇO 1:3 (EM VOLUME DE CIMENTO E AREIA MÉDIA ÚMIDA), PREPARO MECÂNICO COM BETONEIRA ATÉ 600 L. AF_07/2026</v>
      </c>
      <c r="C524" s="151" t="str">
        <f>IF(H524="SINAPI",IFERROR(VLOOKUP(I524,'SINAPI-comp'!$B:$H,3,0),VLOOKUP(I524,'SINAPI-insumo'!$B:$H,3,0)))</f>
        <v>M3</v>
      </c>
      <c r="D524" s="153">
        <f>TRUNC(0.6135*(2.8/4.1),4)</f>
        <v>0.41889999999999999</v>
      </c>
      <c r="E524" s="184" t="s">
        <v>198</v>
      </c>
      <c r="F524" s="155">
        <f>IFERROR(VLOOKUP(I524,'SINAPI-comp'!$B:$H,4,0)-G524,0)</f>
        <v>144.06000000000006</v>
      </c>
      <c r="G524" s="156">
        <f>IF(H524="SINAPI",IFERROR(VLOOKUP(I524,'SINAPI-comp'!$B:$H,7,0),VLOOKUP(I524,'SINAPI-insumo'!$B:$H,7,0)))</f>
        <v>567.30999999999995</v>
      </c>
      <c r="H524" s="168" t="s">
        <v>53</v>
      </c>
      <c r="I524" s="158">
        <v>88628</v>
      </c>
      <c r="J524" s="159">
        <f t="shared" si="50"/>
        <v>60.346699999999998</v>
      </c>
      <c r="K524" s="159">
        <f t="shared" si="50"/>
        <v>237.64609999999999</v>
      </c>
    </row>
    <row r="527" spans="1:11" s="494" customFormat="1" x14ac:dyDescent="0.25">
      <c r="A527" s="674" t="s">
        <v>131</v>
      </c>
      <c r="B527" s="674" t="s">
        <v>132</v>
      </c>
      <c r="C527" s="675"/>
      <c r="D527" s="511"/>
      <c r="E527" s="675"/>
      <c r="F527" s="675"/>
      <c r="G527" s="675"/>
      <c r="H527" s="676" t="s">
        <v>133</v>
      </c>
      <c r="I527" s="677"/>
      <c r="J527" s="512" t="s">
        <v>134</v>
      </c>
      <c r="K527" s="512" t="s">
        <v>15795</v>
      </c>
    </row>
    <row r="528" spans="1:11" x14ac:dyDescent="0.3">
      <c r="A528" s="136" t="s">
        <v>117</v>
      </c>
      <c r="B528" s="137" t="s">
        <v>15472</v>
      </c>
      <c r="C528" s="173"/>
      <c r="D528" s="174"/>
      <c r="E528" s="138"/>
      <c r="F528" s="140"/>
      <c r="G528" s="140"/>
      <c r="H528" s="141" t="s">
        <v>136</v>
      </c>
      <c r="I528" s="175"/>
      <c r="J528" s="143">
        <f>TRUNC(SUM(J530:J535),2)</f>
        <v>1535.52</v>
      </c>
      <c r="K528" s="143">
        <f>TRUNC(SUM(K530:K535),2)</f>
        <v>782.36</v>
      </c>
    </row>
    <row r="529" spans="1:11" s="687" customFormat="1" ht="27.6" x14ac:dyDescent="0.25">
      <c r="A529" s="522" t="s">
        <v>137</v>
      </c>
      <c r="B529" s="523" t="s">
        <v>19</v>
      </c>
      <c r="C529" s="524" t="s">
        <v>20</v>
      </c>
      <c r="D529" s="682" t="s">
        <v>138</v>
      </c>
      <c r="E529" s="525" t="s">
        <v>139</v>
      </c>
      <c r="F529" s="683" t="s">
        <v>140</v>
      </c>
      <c r="G529" s="684" t="s">
        <v>15796</v>
      </c>
      <c r="H529" s="685" t="s">
        <v>142</v>
      </c>
      <c r="I529" s="686"/>
      <c r="J529" s="684" t="s">
        <v>143</v>
      </c>
      <c r="K529" s="684" t="s">
        <v>15797</v>
      </c>
    </row>
    <row r="530" spans="1:11" ht="41.4" x14ac:dyDescent="0.3">
      <c r="A530" s="161">
        <v>1</v>
      </c>
      <c r="B530" s="160" t="str">
        <f>IF(OR(H530="SINAPI",H530="SINAPI-I"),IFERROR(VLOOKUP(I530,'SINAPI-comp'!$B:$H,2,0),VLOOKUP(I530,'SINAPI-insumo'!$B:$H,2,0)))</f>
        <v>TIJOLO CERAMICO MACICO COMUM DE *5 X 10 X 20* CM (L X A X C)</v>
      </c>
      <c r="C530" s="151" t="str">
        <f>IF(OR(H530="SINAPI",H530="SINAPI-I"),IFERROR(VLOOKUP(I530,'SINAPI-comp'!$B:$H,3,0),VLOOKUP(I530,'SINAPI-insumo'!$B:$H,3,0)))</f>
        <v>UN</v>
      </c>
      <c r="D530" s="153">
        <f>211.956*(6/1.92)</f>
        <v>662.36249999999995</v>
      </c>
      <c r="E530" s="184" t="s">
        <v>199</v>
      </c>
      <c r="F530" s="155">
        <f>IFERROR(VLOOKUP(I530,'SINAPI-comp'!$B:$H,4,0)-G530,0)</f>
        <v>0</v>
      </c>
      <c r="G530" s="156">
        <f>IF(OR(H530="SINAPI",H530="SINAPI-I"),IFERROR(VLOOKUP(I530,'SINAPI-comp'!$B:$H,7,0),VLOOKUP(I530,'SINAPI-insumo'!$B:$H,7,0)))</f>
        <v>0.63</v>
      </c>
      <c r="H530" s="157" t="s">
        <v>149</v>
      </c>
      <c r="I530" s="158">
        <v>7258</v>
      </c>
      <c r="J530" s="159">
        <f t="shared" ref="J530:K535" si="51">TRUNC($D530*F530,4)</f>
        <v>0</v>
      </c>
      <c r="K530" s="159">
        <f t="shared" si="51"/>
        <v>417.28829999999999</v>
      </c>
    </row>
    <row r="531" spans="1:11" ht="41.4" x14ac:dyDescent="0.3">
      <c r="A531" s="161">
        <v>2</v>
      </c>
      <c r="B531" s="152" t="str">
        <f>IF(H531="SINAPI",IFERROR(VLOOKUP(I531,'SINAPI-comp'!$B:$H,2,0),VLOOKUP(I531,'SINAPI-insumo'!$B:$H,2,0)))</f>
        <v>ARGAMASSA TRAÇO 1:4 (EM VOLUME DE CIMENTO E AREIA GROSSA ÚMIDA) PARA CHAPISCO CONVENCIONAL, PREPARO MECÂNICO COM BETONEIRA ATÉ 600 L. AF_07/2026</v>
      </c>
      <c r="C531" s="151" t="str">
        <f>IF(H531="SINAPI",IFERROR(VLOOKUP(I531,'SINAPI-comp'!$B:$H,3,0),VLOOKUP(I531,'SINAPI-insumo'!$B:$H,3,0)))</f>
        <v>M3</v>
      </c>
      <c r="D531" s="153">
        <f>0.0017*(6/1.92)</f>
        <v>5.3124999999999995E-3</v>
      </c>
      <c r="E531" s="184" t="s">
        <v>200</v>
      </c>
      <c r="F531" s="155">
        <f>IFERROR(VLOOKUP(I531,'SINAPI-comp'!$B:$H,4,0)-G531,0)</f>
        <v>151.96999999999997</v>
      </c>
      <c r="G531" s="156">
        <f>IF(H531="SINAPI",IFERROR(VLOOKUP(I531,'SINAPI-comp'!$B:$H,7,0),VLOOKUP(I531,'SINAPI-insumo'!$B:$H,7,0)))</f>
        <v>434.31</v>
      </c>
      <c r="H531" s="168" t="s">
        <v>53</v>
      </c>
      <c r="I531" s="158">
        <v>87316</v>
      </c>
      <c r="J531" s="159">
        <f t="shared" si="51"/>
        <v>0.80730000000000002</v>
      </c>
      <c r="K531" s="159">
        <f t="shared" si="51"/>
        <v>2.3071999999999999</v>
      </c>
    </row>
    <row r="532" spans="1:11" x14ac:dyDescent="0.3">
      <c r="A532" s="161">
        <v>3</v>
      </c>
      <c r="B532" s="152" t="str">
        <f>IF(H532="SINAPI",IFERROR(VLOOKUP(I532,'SINAPI-comp'!$B:$H,2,0),VLOOKUP(I532,'SINAPI-insumo'!$B:$H,2,0)))</f>
        <v>PEDREIRO COM ENCARGOS COMPLEMENTARES</v>
      </c>
      <c r="C532" s="151" t="str">
        <f>IF(H532="SINAPI",IFERROR(VLOOKUP(I532,'SINAPI-comp'!$B:$H,3,0),VLOOKUP(I532,'SINAPI-insumo'!$B:$H,3,0)))</f>
        <v>H</v>
      </c>
      <c r="D532" s="153">
        <f>8.1329*(6/1.92)</f>
        <v>25.415312499999999</v>
      </c>
      <c r="E532" s="184" t="s">
        <v>200</v>
      </c>
      <c r="F532" s="155">
        <f>IFERROR(VLOOKUP(I532,'SINAPI-comp'!$B:$H,4,0)-G532,0)</f>
        <v>31.11</v>
      </c>
      <c r="G532" s="156">
        <f>IF(H532="SINAPI",IFERROR(VLOOKUP(I532,'SINAPI-comp'!$B:$H,7,0),VLOOKUP(I532,'SINAPI-insumo'!$B:$H,7,0)))</f>
        <v>0</v>
      </c>
      <c r="H532" s="168" t="s">
        <v>53</v>
      </c>
      <c r="I532" s="158">
        <v>88309</v>
      </c>
      <c r="J532" s="159">
        <f t="shared" si="51"/>
        <v>790.6703</v>
      </c>
      <c r="K532" s="159">
        <f t="shared" si="51"/>
        <v>0</v>
      </c>
    </row>
    <row r="533" spans="1:11" x14ac:dyDescent="0.3">
      <c r="A533" s="161">
        <v>4</v>
      </c>
      <c r="B533" s="152" t="str">
        <f>IF(H533="SINAPI",IFERROR(VLOOKUP(I533,'SINAPI-comp'!$B:$H,2,0),VLOOKUP(I533,'SINAPI-insumo'!$B:$H,2,0)))</f>
        <v>SERVENTE COM ENCARGOS COMPLEMENTARES</v>
      </c>
      <c r="C533" s="151" t="str">
        <f>IF(H533="SINAPI",IFERROR(VLOOKUP(I533,'SINAPI-comp'!$B:$H,3,0),VLOOKUP(I533,'SINAPI-insumo'!$B:$H,3,0)))</f>
        <v>H</v>
      </c>
      <c r="D533" s="153">
        <f>8.1329*(6/1.92)</f>
        <v>25.415312499999999</v>
      </c>
      <c r="E533" s="184" t="s">
        <v>200</v>
      </c>
      <c r="F533" s="155">
        <f>IFERROR(VLOOKUP(I533,'SINAPI-comp'!$B:$H,4,0)-G533,0)</f>
        <v>25.81</v>
      </c>
      <c r="G533" s="156">
        <f>IF(H533="SINAPI",IFERROR(VLOOKUP(I533,'SINAPI-comp'!$B:$H,7,0),VLOOKUP(I533,'SINAPI-insumo'!$B:$H,7,0)))</f>
        <v>0</v>
      </c>
      <c r="H533" s="168" t="s">
        <v>53</v>
      </c>
      <c r="I533" s="158">
        <v>88316</v>
      </c>
      <c r="J533" s="159">
        <f t="shared" si="51"/>
        <v>655.9692</v>
      </c>
      <c r="K533" s="159">
        <f t="shared" si="51"/>
        <v>0</v>
      </c>
    </row>
    <row r="534" spans="1:11" ht="27.6" x14ac:dyDescent="0.3">
      <c r="A534" s="161">
        <v>5</v>
      </c>
      <c r="B534" s="152" t="str">
        <f>IF(H534="SINAPI",IFERROR(VLOOKUP(I534,'SINAPI-comp'!$B:$H,2,0),VLOOKUP(I534,'SINAPI-insumo'!$B:$H,2,0)))</f>
        <v>ARGAMASSA TRAÇO 1:3 (EM VOLUME DE CIMENTO E AREIA MÉDIA ÚMIDA), PREPARO MECÂNICO COM BETONEIRA ATÉ 600 L. AF_07/2026</v>
      </c>
      <c r="C534" s="151" t="str">
        <f>IF(H534="SINAPI",IFERROR(VLOOKUP(I534,'SINAPI-comp'!$B:$H,3,0),VLOOKUP(I534,'SINAPI-insumo'!$B:$H,3,0)))</f>
        <v>M3</v>
      </c>
      <c r="D534" s="153">
        <f>0.1585*(6/1.92)</f>
        <v>0.49531249999999999</v>
      </c>
      <c r="E534" s="184" t="s">
        <v>200</v>
      </c>
      <c r="F534" s="155">
        <f>IFERROR(VLOOKUP(I534,'SINAPI-comp'!$B:$H,4,0)-G534,0)</f>
        <v>144.06000000000006</v>
      </c>
      <c r="G534" s="156">
        <f>IF(H534="SINAPI",IFERROR(VLOOKUP(I534,'SINAPI-comp'!$B:$H,7,0),VLOOKUP(I534,'SINAPI-insumo'!$B:$H,7,0)))</f>
        <v>567.30999999999995</v>
      </c>
      <c r="H534" s="168" t="s">
        <v>53</v>
      </c>
      <c r="I534" s="158">
        <v>88628</v>
      </c>
      <c r="J534" s="159">
        <f t="shared" si="51"/>
        <v>71.354699999999994</v>
      </c>
      <c r="K534" s="159">
        <f t="shared" si="51"/>
        <v>280.9957</v>
      </c>
    </row>
    <row r="535" spans="1:11" ht="41.4" x14ac:dyDescent="0.3">
      <c r="A535" s="161">
        <v>6</v>
      </c>
      <c r="B535" s="152" t="str">
        <f>IF(H535="SINAPI",IFERROR(VLOOKUP(I535,'SINAPI-comp'!$B:$H,2,0),VLOOKUP(I535,'SINAPI-insumo'!$B:$H,2,0)))</f>
        <v>CONCRETO FCK = 20MPA, TRAÇO 1:2,7:3 (EM MASSA SECA DE CIMENTO/ AREIA MÉDIA/ BRITA 1) - PREPARO MECÂNICO COM BETONEIRA 600 L. AF_05/2021</v>
      </c>
      <c r="C535" s="151" t="str">
        <f>IF(H535="SINAPI",IFERROR(VLOOKUP(I535,'SINAPI-comp'!$B:$H,3,0),VLOOKUP(I535,'SINAPI-insumo'!$B:$H,3,0)))</f>
        <v>M3</v>
      </c>
      <c r="D535" s="153">
        <f>0.1163*(1/0.64)</f>
        <v>0.18171875000000001</v>
      </c>
      <c r="E535" s="184" t="s">
        <v>201</v>
      </c>
      <c r="F535" s="155">
        <f>IFERROR(VLOOKUP(I535,'SINAPI-comp'!$B:$H,4,0)-G535,0)</f>
        <v>92.050000000000068</v>
      </c>
      <c r="G535" s="156">
        <f>IF(H535="SINAPI",IFERROR(VLOOKUP(I535,'SINAPI-comp'!$B:$H,7,0),VLOOKUP(I535,'SINAPI-insumo'!$B:$H,7,0)))</f>
        <v>450.02</v>
      </c>
      <c r="H535" s="168" t="s">
        <v>53</v>
      </c>
      <c r="I535" s="158">
        <v>94970</v>
      </c>
      <c r="J535" s="159">
        <f t="shared" si="51"/>
        <v>16.7272</v>
      </c>
      <c r="K535" s="159">
        <f t="shared" si="51"/>
        <v>81.777000000000001</v>
      </c>
    </row>
    <row r="538" spans="1:11" s="494" customFormat="1" x14ac:dyDescent="0.25">
      <c r="A538" s="674" t="s">
        <v>131</v>
      </c>
      <c r="B538" s="674" t="s">
        <v>132</v>
      </c>
      <c r="C538" s="675"/>
      <c r="D538" s="511"/>
      <c r="E538" s="675"/>
      <c r="F538" s="675"/>
      <c r="G538" s="675"/>
      <c r="H538" s="676" t="s">
        <v>133</v>
      </c>
      <c r="I538" s="677"/>
      <c r="J538" s="512" t="s">
        <v>134</v>
      </c>
      <c r="K538" s="512" t="s">
        <v>15795</v>
      </c>
    </row>
    <row r="539" spans="1:11" x14ac:dyDescent="0.3">
      <c r="A539" s="136" t="s">
        <v>118</v>
      </c>
      <c r="B539" s="137" t="s">
        <v>15460</v>
      </c>
      <c r="C539" s="173"/>
      <c r="D539" s="174"/>
      <c r="E539" s="138"/>
      <c r="F539" s="140"/>
      <c r="G539" s="140"/>
      <c r="H539" s="141" t="s">
        <v>136</v>
      </c>
      <c r="I539" s="175"/>
      <c r="J539" s="143">
        <f>TRUNC(SUM(J541:J546),2)</f>
        <v>1395.18</v>
      </c>
      <c r="K539" s="143">
        <f>TRUNC(SUM(K541:K546),2)</f>
        <v>1026.46</v>
      </c>
    </row>
    <row r="540" spans="1:11" s="687" customFormat="1" ht="27.6" x14ac:dyDescent="0.25">
      <c r="A540" s="522" t="s">
        <v>137</v>
      </c>
      <c r="B540" s="523" t="s">
        <v>19</v>
      </c>
      <c r="C540" s="524" t="s">
        <v>20</v>
      </c>
      <c r="D540" s="682" t="s">
        <v>138</v>
      </c>
      <c r="E540" s="525" t="s">
        <v>139</v>
      </c>
      <c r="F540" s="683" t="s">
        <v>140</v>
      </c>
      <c r="G540" s="684" t="s">
        <v>15796</v>
      </c>
      <c r="H540" s="685" t="s">
        <v>142</v>
      </c>
      <c r="I540" s="686"/>
      <c r="J540" s="684" t="s">
        <v>143</v>
      </c>
      <c r="K540" s="684" t="s">
        <v>15797</v>
      </c>
    </row>
    <row r="541" spans="1:11" ht="41.4" x14ac:dyDescent="0.3">
      <c r="A541" s="161">
        <v>1</v>
      </c>
      <c r="B541" s="160" t="str">
        <f>IF(OR(H541="SINAPI",H541="SINAPI-I"),IFERROR(VLOOKUP(I541,'SINAPI-comp'!$B:$H,2,0),VLOOKUP(I541,'SINAPI-insumo'!$B:$H,2,0)))</f>
        <v>TIJOLO CERAMICO MACICO COMUM DE *5 X 10 X 20* CM (L X A X C)</v>
      </c>
      <c r="C541" s="151" t="str">
        <f>IF(OR(H541="SINAPI",H541="SINAPI-I"),IFERROR(VLOOKUP(I541,'SINAPI-comp'!$B:$H,3,0),VLOOKUP(I541,'SINAPI-insumo'!$B:$H,3,0)))</f>
        <v>UN</v>
      </c>
      <c r="D541" s="153">
        <f>211.956*(5.17/1.92)</f>
        <v>570.73568750000004</v>
      </c>
      <c r="E541" s="184" t="s">
        <v>15468</v>
      </c>
      <c r="F541" s="155">
        <f>IFERROR(VLOOKUP(I541,'SINAPI-comp'!$B:$H,4,0)-G541,0)</f>
        <v>0</v>
      </c>
      <c r="G541" s="156">
        <f>IF(OR(H541="SINAPI",H541="SINAPI-I"),IFERROR(VLOOKUP(I541,'SINAPI-comp'!$B:$H,7,0),VLOOKUP(I541,'SINAPI-insumo'!$B:$H,7,0)))</f>
        <v>0.63</v>
      </c>
      <c r="H541" s="157" t="s">
        <v>149</v>
      </c>
      <c r="I541" s="158">
        <v>7258</v>
      </c>
      <c r="J541" s="159">
        <f t="shared" ref="J541:J546" si="52">TRUNC($D541*F541,4)</f>
        <v>0</v>
      </c>
      <c r="K541" s="159">
        <f t="shared" ref="K541:K546" si="53">TRUNC($D541*G541,4)</f>
        <v>359.5634</v>
      </c>
    </row>
    <row r="542" spans="1:11" ht="41.4" x14ac:dyDescent="0.3">
      <c r="A542" s="161">
        <v>2</v>
      </c>
      <c r="B542" s="152" t="str">
        <f>IF(H542="SINAPI",IFERROR(VLOOKUP(I542,'SINAPI-comp'!$B:$H,2,0),VLOOKUP(I542,'SINAPI-insumo'!$B:$H,2,0)))</f>
        <v>ARGAMASSA TRAÇO 1:4 (EM VOLUME DE CIMENTO E AREIA GROSSA ÚMIDA) PARA CHAPISCO CONVENCIONAL, PREPARO MECÂNICO COM BETONEIRA ATÉ 600 L. AF_07/2026</v>
      </c>
      <c r="C542" s="151" t="str">
        <f>IF(H542="SINAPI",IFERROR(VLOOKUP(I542,'SINAPI-comp'!$B:$H,3,0),VLOOKUP(I542,'SINAPI-insumo'!$B:$H,3,0)))</f>
        <v>M3</v>
      </c>
      <c r="D542" s="153">
        <f>0.0017*(5.17/1.92)</f>
        <v>4.5776041666666665E-3</v>
      </c>
      <c r="E542" s="184" t="s">
        <v>15461</v>
      </c>
      <c r="F542" s="155">
        <f>IFERROR(VLOOKUP(I542,'SINAPI-comp'!$B:$H,4,0)-G542,0)</f>
        <v>151.96999999999997</v>
      </c>
      <c r="G542" s="156">
        <f>IF(H542="SINAPI",IFERROR(VLOOKUP(I542,'SINAPI-comp'!$B:$H,7,0),VLOOKUP(I542,'SINAPI-insumo'!$B:$H,7,0)))</f>
        <v>434.31</v>
      </c>
      <c r="H542" s="168" t="s">
        <v>53</v>
      </c>
      <c r="I542" s="158">
        <v>87316</v>
      </c>
      <c r="J542" s="159">
        <f t="shared" si="52"/>
        <v>0.6956</v>
      </c>
      <c r="K542" s="159">
        <f t="shared" si="53"/>
        <v>1.988</v>
      </c>
    </row>
    <row r="543" spans="1:11" x14ac:dyDescent="0.3">
      <c r="A543" s="161">
        <v>3</v>
      </c>
      <c r="B543" s="152" t="str">
        <f>IF(H543="SINAPI",IFERROR(VLOOKUP(I543,'SINAPI-comp'!$B:$H,2,0),VLOOKUP(I543,'SINAPI-insumo'!$B:$H,2,0)))</f>
        <v>PEDREIRO COM ENCARGOS COMPLEMENTARES</v>
      </c>
      <c r="C543" s="151" t="str">
        <f>IF(H543="SINAPI",IFERROR(VLOOKUP(I543,'SINAPI-comp'!$B:$H,3,0),VLOOKUP(I543,'SINAPI-insumo'!$B:$H,3,0)))</f>
        <v>H</v>
      </c>
      <c r="D543" s="153">
        <f>8.1329*(5.17/1.92)</f>
        <v>21.899527604166668</v>
      </c>
      <c r="E543" s="184" t="s">
        <v>15461</v>
      </c>
      <c r="F543" s="155">
        <f>IFERROR(VLOOKUP(I543,'SINAPI-comp'!$B:$H,4,0)-G543,0)</f>
        <v>31.11</v>
      </c>
      <c r="G543" s="156">
        <f>IF(H543="SINAPI",IFERROR(VLOOKUP(I543,'SINAPI-comp'!$B:$H,7,0),VLOOKUP(I543,'SINAPI-insumo'!$B:$H,7,0)))</f>
        <v>0</v>
      </c>
      <c r="H543" s="168" t="s">
        <v>53</v>
      </c>
      <c r="I543" s="158">
        <v>88309</v>
      </c>
      <c r="J543" s="159">
        <f t="shared" si="52"/>
        <v>681.29430000000002</v>
      </c>
      <c r="K543" s="159">
        <f t="shared" si="53"/>
        <v>0</v>
      </c>
    </row>
    <row r="544" spans="1:11" x14ac:dyDescent="0.3">
      <c r="A544" s="161">
        <v>4</v>
      </c>
      <c r="B544" s="152" t="str">
        <f>IF(H544="SINAPI",IFERROR(VLOOKUP(I544,'SINAPI-comp'!$B:$H,2,0),VLOOKUP(I544,'SINAPI-insumo'!$B:$H,2,0)))</f>
        <v>SERVENTE COM ENCARGOS COMPLEMENTARES</v>
      </c>
      <c r="C544" s="151" t="str">
        <f>IF(H544="SINAPI",IFERROR(VLOOKUP(I544,'SINAPI-comp'!$B:$H,3,0),VLOOKUP(I544,'SINAPI-insumo'!$B:$H,3,0)))</f>
        <v>H</v>
      </c>
      <c r="D544" s="153">
        <f>8.1329*(5.17/1.92)</f>
        <v>21.899527604166668</v>
      </c>
      <c r="E544" s="184" t="s">
        <v>15461</v>
      </c>
      <c r="F544" s="155">
        <f>IFERROR(VLOOKUP(I544,'SINAPI-comp'!$B:$H,4,0)-G544,0)</f>
        <v>25.81</v>
      </c>
      <c r="G544" s="156">
        <f>IF(H544="SINAPI",IFERROR(VLOOKUP(I544,'SINAPI-comp'!$B:$H,7,0),VLOOKUP(I544,'SINAPI-insumo'!$B:$H,7,0)))</f>
        <v>0</v>
      </c>
      <c r="H544" s="168" t="s">
        <v>53</v>
      </c>
      <c r="I544" s="158">
        <v>88316</v>
      </c>
      <c r="J544" s="159">
        <f t="shared" si="52"/>
        <v>565.22680000000003</v>
      </c>
      <c r="K544" s="159">
        <f t="shared" si="53"/>
        <v>0</v>
      </c>
    </row>
    <row r="545" spans="1:11" ht="27.6" x14ac:dyDescent="0.3">
      <c r="A545" s="161">
        <v>5</v>
      </c>
      <c r="B545" s="152" t="str">
        <f>IF(H545="SINAPI",IFERROR(VLOOKUP(I545,'SINAPI-comp'!$B:$H,2,0),VLOOKUP(I545,'SINAPI-insumo'!$B:$H,2,0)))</f>
        <v>ARGAMASSA TRAÇO 1:3 (EM VOLUME DE CIMENTO E AREIA MÉDIA ÚMIDA), PREPARO MECÂNICO COM BETONEIRA ATÉ 600 L. AF_07/2026</v>
      </c>
      <c r="C545" s="151" t="str">
        <f>IF(H545="SINAPI",IFERROR(VLOOKUP(I545,'SINAPI-comp'!$B:$H,3,0),VLOOKUP(I545,'SINAPI-insumo'!$B:$H,3,0)))</f>
        <v>M3</v>
      </c>
      <c r="D545" s="153">
        <f>0.1585*(5.17/1.92)</f>
        <v>0.42679427083333338</v>
      </c>
      <c r="E545" s="184" t="s">
        <v>15461</v>
      </c>
      <c r="F545" s="155">
        <f>IFERROR(VLOOKUP(I545,'SINAPI-comp'!$B:$H,4,0)-G545,0)</f>
        <v>144.06000000000006</v>
      </c>
      <c r="G545" s="156">
        <f>IF(H545="SINAPI",IFERROR(VLOOKUP(I545,'SINAPI-comp'!$B:$H,7,0),VLOOKUP(I545,'SINAPI-insumo'!$B:$H,7,0)))</f>
        <v>567.30999999999995</v>
      </c>
      <c r="H545" s="168" t="s">
        <v>53</v>
      </c>
      <c r="I545" s="158">
        <v>88628</v>
      </c>
      <c r="J545" s="159">
        <f t="shared" si="52"/>
        <v>61.483899999999998</v>
      </c>
      <c r="K545" s="159">
        <f t="shared" si="53"/>
        <v>242.12459999999999</v>
      </c>
    </row>
    <row r="546" spans="1:11" ht="41.4" x14ac:dyDescent="0.3">
      <c r="A546" s="161">
        <v>6</v>
      </c>
      <c r="B546" s="152" t="str">
        <f>IF(H546="SINAPI",IFERROR(VLOOKUP(I546,'SINAPI-comp'!$B:$H,2,0),VLOOKUP(I546,'SINAPI-insumo'!$B:$H,2,0)))</f>
        <v>CONCRETO FCK = 20MPA, TRAÇO 1:2,7:3 (EM MASSA SECA DE CIMENTO/ AREIA MÉDIA/ BRITA 1) - PREPARO MECÂNICO COM BETONEIRA 600 L. AF_05/2021</v>
      </c>
      <c r="C546" s="151" t="str">
        <f>IF(H546="SINAPI",IFERROR(VLOOKUP(I546,'SINAPI-comp'!$B:$H,3,0),VLOOKUP(I546,'SINAPI-insumo'!$B:$H,3,0)))</f>
        <v>M3</v>
      </c>
      <c r="D546" s="153">
        <f>0.1163*(5.17/0.64)</f>
        <v>0.93948593749999998</v>
      </c>
      <c r="E546" s="184" t="s">
        <v>15461</v>
      </c>
      <c r="F546" s="155">
        <f>IFERROR(VLOOKUP(I546,'SINAPI-comp'!$B:$H,4,0)-G546,0)</f>
        <v>92.050000000000068</v>
      </c>
      <c r="G546" s="156">
        <f>IF(H546="SINAPI",IFERROR(VLOOKUP(I546,'SINAPI-comp'!$B:$H,7,0),VLOOKUP(I546,'SINAPI-insumo'!$B:$H,7,0)))</f>
        <v>450.02</v>
      </c>
      <c r="H546" s="168" t="s">
        <v>53</v>
      </c>
      <c r="I546" s="158">
        <v>94970</v>
      </c>
      <c r="J546" s="159">
        <f t="shared" si="52"/>
        <v>86.479600000000005</v>
      </c>
      <c r="K546" s="159">
        <f t="shared" si="53"/>
        <v>422.78739999999999</v>
      </c>
    </row>
    <row r="549" spans="1:11" s="494" customFormat="1" x14ac:dyDescent="0.25">
      <c r="A549" s="674" t="s">
        <v>131</v>
      </c>
      <c r="B549" s="674" t="s">
        <v>132</v>
      </c>
      <c r="C549" s="675"/>
      <c r="D549" s="511"/>
      <c r="E549" s="675"/>
      <c r="F549" s="675"/>
      <c r="G549" s="675"/>
      <c r="H549" s="676" t="s">
        <v>133</v>
      </c>
      <c r="I549" s="677"/>
      <c r="J549" s="512" t="s">
        <v>134</v>
      </c>
      <c r="K549" s="512" t="s">
        <v>15795</v>
      </c>
    </row>
    <row r="550" spans="1:11" x14ac:dyDescent="0.3">
      <c r="A550" s="136" t="s">
        <v>127</v>
      </c>
      <c r="B550" s="137" t="s">
        <v>15462</v>
      </c>
      <c r="C550" s="173"/>
      <c r="D550" s="174"/>
      <c r="E550" s="138"/>
      <c r="F550" s="140"/>
      <c r="G550" s="140"/>
      <c r="H550" s="141" t="s">
        <v>136</v>
      </c>
      <c r="I550" s="175"/>
      <c r="J550" s="143">
        <f>TRUNC(SUM(J552:J557),2)</f>
        <v>580.20000000000005</v>
      </c>
      <c r="K550" s="143">
        <f>TRUNC(SUM(K552:K557),2)</f>
        <v>426.86</v>
      </c>
    </row>
    <row r="551" spans="1:11" s="687" customFormat="1" ht="27.6" x14ac:dyDescent="0.25">
      <c r="A551" s="522" t="s">
        <v>137</v>
      </c>
      <c r="B551" s="523" t="s">
        <v>19</v>
      </c>
      <c r="C551" s="524" t="s">
        <v>20</v>
      </c>
      <c r="D551" s="682" t="s">
        <v>138</v>
      </c>
      <c r="E551" s="525" t="s">
        <v>139</v>
      </c>
      <c r="F551" s="683" t="s">
        <v>140</v>
      </c>
      <c r="G551" s="684" t="s">
        <v>15796</v>
      </c>
      <c r="H551" s="685" t="s">
        <v>142</v>
      </c>
      <c r="I551" s="686"/>
      <c r="J551" s="684" t="s">
        <v>143</v>
      </c>
      <c r="K551" s="684" t="s">
        <v>15797</v>
      </c>
    </row>
    <row r="552" spans="1:11" ht="41.4" x14ac:dyDescent="0.3">
      <c r="A552" s="161">
        <v>1</v>
      </c>
      <c r="B552" s="160" t="str">
        <f>IF(OR(H552="SINAPI",H552="SINAPI-I"),IFERROR(VLOOKUP(I552,'SINAPI-comp'!$B:$H,2,0),VLOOKUP(I552,'SINAPI-insumo'!$B:$H,2,0)))</f>
        <v>TIJOLO CERAMICO MACICO COMUM DE *5 X 10 X 20* CM (L X A X C)</v>
      </c>
      <c r="C552" s="151" t="str">
        <f>IF(OR(H552="SINAPI",H552="SINAPI-I"),IFERROR(VLOOKUP(I552,'SINAPI-comp'!$B:$H,3,0),VLOOKUP(I552,'SINAPI-insumo'!$B:$H,3,0)))</f>
        <v>UN</v>
      </c>
      <c r="D552" s="153">
        <f>211.956*(2.15/1.92)</f>
        <v>237.3465625</v>
      </c>
      <c r="E552" s="184" t="s">
        <v>15467</v>
      </c>
      <c r="F552" s="155">
        <f>IFERROR(VLOOKUP(I552,'SINAPI-comp'!$B:$H,4,0)-G552,0)</f>
        <v>0</v>
      </c>
      <c r="G552" s="156">
        <f>IF(OR(H552="SINAPI",H552="SINAPI-I"),IFERROR(VLOOKUP(I552,'SINAPI-comp'!$B:$H,7,0),VLOOKUP(I552,'SINAPI-insumo'!$B:$H,7,0)))</f>
        <v>0.63</v>
      </c>
      <c r="H552" s="157" t="s">
        <v>149</v>
      </c>
      <c r="I552" s="158">
        <v>7258</v>
      </c>
      <c r="J552" s="159">
        <f t="shared" ref="J552:J557" si="54">TRUNC($D552*F552,4)</f>
        <v>0</v>
      </c>
      <c r="K552" s="159">
        <f t="shared" ref="K552:K557" si="55">TRUNC($D552*G552,4)</f>
        <v>149.5283</v>
      </c>
    </row>
    <row r="553" spans="1:11" ht="41.4" x14ac:dyDescent="0.3">
      <c r="A553" s="161">
        <v>2</v>
      </c>
      <c r="B553" s="152" t="str">
        <f>IF(H553="SINAPI",IFERROR(VLOOKUP(I553,'SINAPI-comp'!$B:$H,2,0),VLOOKUP(I553,'SINAPI-insumo'!$B:$H,2,0)))</f>
        <v>ARGAMASSA TRAÇO 1:4 (EM VOLUME DE CIMENTO E AREIA GROSSA ÚMIDA) PARA CHAPISCO CONVENCIONAL, PREPARO MECÂNICO COM BETONEIRA ATÉ 600 L. AF_07/2026</v>
      </c>
      <c r="C553" s="151" t="str">
        <f>IF(H553="SINAPI",IFERROR(VLOOKUP(I553,'SINAPI-comp'!$B:$H,3,0),VLOOKUP(I553,'SINAPI-insumo'!$B:$H,3,0)))</f>
        <v>M3</v>
      </c>
      <c r="D553" s="153">
        <f>0.0017*(2.15/1.92)</f>
        <v>1.9036458333333334E-3</v>
      </c>
      <c r="E553" s="184" t="s">
        <v>15463</v>
      </c>
      <c r="F553" s="155">
        <f>IFERROR(VLOOKUP(I553,'SINAPI-comp'!$B:$H,4,0)-G553,0)</f>
        <v>151.96999999999997</v>
      </c>
      <c r="G553" s="156">
        <f>IF(H553="SINAPI",IFERROR(VLOOKUP(I553,'SINAPI-comp'!$B:$H,7,0),VLOOKUP(I553,'SINAPI-insumo'!$B:$H,7,0)))</f>
        <v>434.31</v>
      </c>
      <c r="H553" s="168" t="s">
        <v>53</v>
      </c>
      <c r="I553" s="158">
        <v>87316</v>
      </c>
      <c r="J553" s="159">
        <f t="shared" si="54"/>
        <v>0.28920000000000001</v>
      </c>
      <c r="K553" s="159">
        <f t="shared" si="55"/>
        <v>0.82669999999999999</v>
      </c>
    </row>
    <row r="554" spans="1:11" x14ac:dyDescent="0.3">
      <c r="A554" s="161">
        <v>3</v>
      </c>
      <c r="B554" s="152" t="str">
        <f>IF(H554="SINAPI",IFERROR(VLOOKUP(I554,'SINAPI-comp'!$B:$H,2,0),VLOOKUP(I554,'SINAPI-insumo'!$B:$H,2,0)))</f>
        <v>PEDREIRO COM ENCARGOS COMPLEMENTARES</v>
      </c>
      <c r="C554" s="151" t="str">
        <f>IF(H554="SINAPI",IFERROR(VLOOKUP(I554,'SINAPI-comp'!$B:$H,3,0),VLOOKUP(I554,'SINAPI-insumo'!$B:$H,3,0)))</f>
        <v>H</v>
      </c>
      <c r="D554" s="153">
        <f>8.1329*(2.15/1.92)</f>
        <v>9.1071536458333338</v>
      </c>
      <c r="E554" s="184" t="s">
        <v>15463</v>
      </c>
      <c r="F554" s="155">
        <f>IFERROR(VLOOKUP(I554,'SINAPI-comp'!$B:$H,4,0)-G554,0)</f>
        <v>31.11</v>
      </c>
      <c r="G554" s="156">
        <f>IF(H554="SINAPI",IFERROR(VLOOKUP(I554,'SINAPI-comp'!$B:$H,7,0),VLOOKUP(I554,'SINAPI-insumo'!$B:$H,7,0)))</f>
        <v>0</v>
      </c>
      <c r="H554" s="168" t="s">
        <v>53</v>
      </c>
      <c r="I554" s="158">
        <v>88309</v>
      </c>
      <c r="J554" s="159">
        <f t="shared" si="54"/>
        <v>283.32350000000002</v>
      </c>
      <c r="K554" s="159">
        <f t="shared" si="55"/>
        <v>0</v>
      </c>
    </row>
    <row r="555" spans="1:11" x14ac:dyDescent="0.3">
      <c r="A555" s="161">
        <v>4</v>
      </c>
      <c r="B555" s="152" t="str">
        <f>IF(H555="SINAPI",IFERROR(VLOOKUP(I555,'SINAPI-comp'!$B:$H,2,0),VLOOKUP(I555,'SINAPI-insumo'!$B:$H,2,0)))</f>
        <v>SERVENTE COM ENCARGOS COMPLEMENTARES</v>
      </c>
      <c r="C555" s="151" t="str">
        <f>IF(H555="SINAPI",IFERROR(VLOOKUP(I555,'SINAPI-comp'!$B:$H,3,0),VLOOKUP(I555,'SINAPI-insumo'!$B:$H,3,0)))</f>
        <v>H</v>
      </c>
      <c r="D555" s="153">
        <f>8.1329*(2.15/1.92)</f>
        <v>9.1071536458333338</v>
      </c>
      <c r="E555" s="184" t="s">
        <v>15463</v>
      </c>
      <c r="F555" s="155">
        <f>IFERROR(VLOOKUP(I555,'SINAPI-comp'!$B:$H,4,0)-G555,0)</f>
        <v>25.81</v>
      </c>
      <c r="G555" s="156">
        <f>IF(H555="SINAPI",IFERROR(VLOOKUP(I555,'SINAPI-comp'!$B:$H,7,0),VLOOKUP(I555,'SINAPI-insumo'!$B:$H,7,0)))</f>
        <v>0</v>
      </c>
      <c r="H555" s="168" t="s">
        <v>53</v>
      </c>
      <c r="I555" s="158">
        <v>88316</v>
      </c>
      <c r="J555" s="159">
        <f t="shared" si="54"/>
        <v>235.0556</v>
      </c>
      <c r="K555" s="159">
        <f t="shared" si="55"/>
        <v>0</v>
      </c>
    </row>
    <row r="556" spans="1:11" ht="27.6" x14ac:dyDescent="0.3">
      <c r="A556" s="161">
        <v>5</v>
      </c>
      <c r="B556" s="152" t="str">
        <f>IF(H556="SINAPI",IFERROR(VLOOKUP(I556,'SINAPI-comp'!$B:$H,2,0),VLOOKUP(I556,'SINAPI-insumo'!$B:$H,2,0)))</f>
        <v>ARGAMASSA TRAÇO 1:3 (EM VOLUME DE CIMENTO E AREIA MÉDIA ÚMIDA), PREPARO MECÂNICO COM BETONEIRA ATÉ 600 L. AF_07/2026</v>
      </c>
      <c r="C556" s="151" t="str">
        <f>IF(H556="SINAPI",IFERROR(VLOOKUP(I556,'SINAPI-comp'!$B:$H,3,0),VLOOKUP(I556,'SINAPI-insumo'!$B:$H,3,0)))</f>
        <v>M3</v>
      </c>
      <c r="D556" s="153">
        <f>0.1585*(2.15/1.92)</f>
        <v>0.17748697916666667</v>
      </c>
      <c r="E556" s="184" t="s">
        <v>15463</v>
      </c>
      <c r="F556" s="155">
        <f>IFERROR(VLOOKUP(I556,'SINAPI-comp'!$B:$H,4,0)-G556,0)</f>
        <v>144.06000000000006</v>
      </c>
      <c r="G556" s="156">
        <f>IF(H556="SINAPI",IFERROR(VLOOKUP(I556,'SINAPI-comp'!$B:$H,7,0),VLOOKUP(I556,'SINAPI-insumo'!$B:$H,7,0)))</f>
        <v>567.30999999999995</v>
      </c>
      <c r="H556" s="168" t="s">
        <v>53</v>
      </c>
      <c r="I556" s="158">
        <v>88628</v>
      </c>
      <c r="J556" s="159">
        <f t="shared" si="54"/>
        <v>25.5687</v>
      </c>
      <c r="K556" s="159">
        <f t="shared" si="55"/>
        <v>100.6901</v>
      </c>
    </row>
    <row r="557" spans="1:11" ht="41.4" x14ac:dyDescent="0.3">
      <c r="A557" s="161">
        <v>6</v>
      </c>
      <c r="B557" s="152" t="str">
        <f>IF(H557="SINAPI",IFERROR(VLOOKUP(I557,'SINAPI-comp'!$B:$H,2,0),VLOOKUP(I557,'SINAPI-insumo'!$B:$H,2,0)))</f>
        <v>CONCRETO FCK = 20MPA, TRAÇO 1:2,7:3 (EM MASSA SECA DE CIMENTO/ AREIA MÉDIA/ BRITA 1) - PREPARO MECÂNICO COM BETONEIRA 600 L. AF_05/2021</v>
      </c>
      <c r="C557" s="151" t="str">
        <f>IF(H557="SINAPI",IFERROR(VLOOKUP(I557,'SINAPI-comp'!$B:$H,3,0),VLOOKUP(I557,'SINAPI-insumo'!$B:$H,3,0)))</f>
        <v>M3</v>
      </c>
      <c r="D557" s="153">
        <f>0.1163*(2.15/0.64)</f>
        <v>0.3906953125</v>
      </c>
      <c r="E557" s="184" t="s">
        <v>15463</v>
      </c>
      <c r="F557" s="155">
        <f>IFERROR(VLOOKUP(I557,'SINAPI-comp'!$B:$H,4,0)-G557,0)</f>
        <v>92.050000000000068</v>
      </c>
      <c r="G557" s="156">
        <f>IF(H557="SINAPI",IFERROR(VLOOKUP(I557,'SINAPI-comp'!$B:$H,7,0),VLOOKUP(I557,'SINAPI-insumo'!$B:$H,7,0)))</f>
        <v>450.02</v>
      </c>
      <c r="H557" s="168" t="s">
        <v>53</v>
      </c>
      <c r="I557" s="158">
        <v>94970</v>
      </c>
      <c r="J557" s="159">
        <f t="shared" si="54"/>
        <v>35.963500000000003</v>
      </c>
      <c r="K557" s="159">
        <f t="shared" si="55"/>
        <v>175.82069999999999</v>
      </c>
    </row>
    <row r="560" spans="1:11" s="494" customFormat="1" x14ac:dyDescent="0.25">
      <c r="A560" s="674" t="s">
        <v>131</v>
      </c>
      <c r="B560" s="674" t="s">
        <v>132</v>
      </c>
      <c r="C560" s="675"/>
      <c r="D560" s="511"/>
      <c r="E560" s="675"/>
      <c r="F560" s="675"/>
      <c r="G560" s="675"/>
      <c r="H560" s="676" t="s">
        <v>133</v>
      </c>
      <c r="I560" s="677"/>
      <c r="J560" s="512" t="s">
        <v>134</v>
      </c>
      <c r="K560" s="512" t="s">
        <v>15795</v>
      </c>
    </row>
    <row r="561" spans="1:11" x14ac:dyDescent="0.3">
      <c r="A561" s="136" t="s">
        <v>128</v>
      </c>
      <c r="B561" s="137" t="s">
        <v>15464</v>
      </c>
      <c r="C561" s="173"/>
      <c r="D561" s="174"/>
      <c r="E561" s="138"/>
      <c r="F561" s="140"/>
      <c r="G561" s="140"/>
      <c r="H561" s="141" t="s">
        <v>136</v>
      </c>
      <c r="I561" s="175"/>
      <c r="J561" s="143">
        <f>TRUNC(SUM(J563:J568),2)</f>
        <v>518.13</v>
      </c>
      <c r="K561" s="143">
        <f>TRUNC(SUM(K563:K568),2)</f>
        <v>381.2</v>
      </c>
    </row>
    <row r="562" spans="1:11" s="687" customFormat="1" ht="27.6" x14ac:dyDescent="0.25">
      <c r="A562" s="522" t="s">
        <v>137</v>
      </c>
      <c r="B562" s="523" t="s">
        <v>19</v>
      </c>
      <c r="C562" s="524" t="s">
        <v>20</v>
      </c>
      <c r="D562" s="682" t="s">
        <v>138</v>
      </c>
      <c r="E562" s="525" t="s">
        <v>139</v>
      </c>
      <c r="F562" s="683" t="s">
        <v>140</v>
      </c>
      <c r="G562" s="684" t="s">
        <v>15796</v>
      </c>
      <c r="H562" s="685" t="s">
        <v>142</v>
      </c>
      <c r="I562" s="686"/>
      <c r="J562" s="684" t="s">
        <v>143</v>
      </c>
      <c r="K562" s="684" t="s">
        <v>15797</v>
      </c>
    </row>
    <row r="563" spans="1:11" ht="41.4" x14ac:dyDescent="0.3">
      <c r="A563" s="161">
        <v>1</v>
      </c>
      <c r="B563" s="160" t="str">
        <f>IF(OR(H563="SINAPI",H563="SINAPI-I"),IFERROR(VLOOKUP(I563,'SINAPI-comp'!$B:$H,2,0),VLOOKUP(I563,'SINAPI-insumo'!$B:$H,2,0)))</f>
        <v>TIJOLO CERAMICO MACICO COMUM DE *5 X 10 X 20* CM (L X A X C)</v>
      </c>
      <c r="C563" s="151" t="str">
        <f>IF(OR(H563="SINAPI",H563="SINAPI-I"),IFERROR(VLOOKUP(I563,'SINAPI-comp'!$B:$H,3,0),VLOOKUP(I563,'SINAPI-insumo'!$B:$H,3,0)))</f>
        <v>UN</v>
      </c>
      <c r="D563" s="153">
        <f>211.956*(1.92/1.92)</f>
        <v>211.95599999999999</v>
      </c>
      <c r="E563" s="184" t="s">
        <v>15466</v>
      </c>
      <c r="F563" s="155">
        <f>IFERROR(VLOOKUP(I563,'SINAPI-comp'!$B:$H,4,0)-G563,0)</f>
        <v>0</v>
      </c>
      <c r="G563" s="156">
        <f>IF(OR(H563="SINAPI",H563="SINAPI-I"),IFERROR(VLOOKUP(I563,'SINAPI-comp'!$B:$H,7,0),VLOOKUP(I563,'SINAPI-insumo'!$B:$H,7,0)))</f>
        <v>0.63</v>
      </c>
      <c r="H563" s="157" t="s">
        <v>149</v>
      </c>
      <c r="I563" s="158">
        <v>7258</v>
      </c>
      <c r="J563" s="159">
        <f t="shared" ref="J563:J568" si="56">TRUNC($D563*F563,4)</f>
        <v>0</v>
      </c>
      <c r="K563" s="159">
        <f t="shared" ref="K563:K568" si="57">TRUNC($D563*G563,4)</f>
        <v>133.53219999999999</v>
      </c>
    </row>
    <row r="564" spans="1:11" ht="41.4" x14ac:dyDescent="0.3">
      <c r="A564" s="161">
        <v>2</v>
      </c>
      <c r="B564" s="152" t="str">
        <f>IF(H564="SINAPI",IFERROR(VLOOKUP(I564,'SINAPI-comp'!$B:$H,2,0),VLOOKUP(I564,'SINAPI-insumo'!$B:$H,2,0)))</f>
        <v>ARGAMASSA TRAÇO 1:4 (EM VOLUME DE CIMENTO E AREIA GROSSA ÚMIDA) PARA CHAPISCO CONVENCIONAL, PREPARO MECÂNICO COM BETONEIRA ATÉ 600 L. AF_07/2026</v>
      </c>
      <c r="C564" s="151" t="str">
        <f>IF(H564="SINAPI",IFERROR(VLOOKUP(I564,'SINAPI-comp'!$B:$H,3,0),VLOOKUP(I564,'SINAPI-insumo'!$B:$H,3,0)))</f>
        <v>M3</v>
      </c>
      <c r="D564" s="153">
        <f>0.0017*(1.92/1.92)</f>
        <v>1.6999999999999999E-3</v>
      </c>
      <c r="E564" s="184" t="s">
        <v>15465</v>
      </c>
      <c r="F564" s="155">
        <f>IFERROR(VLOOKUP(I564,'SINAPI-comp'!$B:$H,4,0)-G564,0)</f>
        <v>151.96999999999997</v>
      </c>
      <c r="G564" s="156">
        <f>IF(H564="SINAPI",IFERROR(VLOOKUP(I564,'SINAPI-comp'!$B:$H,7,0),VLOOKUP(I564,'SINAPI-insumo'!$B:$H,7,0)))</f>
        <v>434.31</v>
      </c>
      <c r="H564" s="168" t="s">
        <v>53</v>
      </c>
      <c r="I564" s="158">
        <v>87316</v>
      </c>
      <c r="J564" s="159">
        <f t="shared" si="56"/>
        <v>0.25829999999999997</v>
      </c>
      <c r="K564" s="159">
        <f t="shared" si="57"/>
        <v>0.73829999999999996</v>
      </c>
    </row>
    <row r="565" spans="1:11" x14ac:dyDescent="0.3">
      <c r="A565" s="161">
        <v>3</v>
      </c>
      <c r="B565" s="152" t="str">
        <f>IF(H565="SINAPI",IFERROR(VLOOKUP(I565,'SINAPI-comp'!$B:$H,2,0),VLOOKUP(I565,'SINAPI-insumo'!$B:$H,2,0)))</f>
        <v>PEDREIRO COM ENCARGOS COMPLEMENTARES</v>
      </c>
      <c r="C565" s="151" t="str">
        <f>IF(H565="SINAPI",IFERROR(VLOOKUP(I565,'SINAPI-comp'!$B:$H,3,0),VLOOKUP(I565,'SINAPI-insumo'!$B:$H,3,0)))</f>
        <v>H</v>
      </c>
      <c r="D565" s="153">
        <f>8.1329*(1.92/1.92)</f>
        <v>8.1328999999999994</v>
      </c>
      <c r="E565" s="184" t="s">
        <v>15465</v>
      </c>
      <c r="F565" s="155">
        <f>IFERROR(VLOOKUP(I565,'SINAPI-comp'!$B:$H,4,0)-G565,0)</f>
        <v>31.11</v>
      </c>
      <c r="G565" s="156">
        <f>IF(H565="SINAPI",IFERROR(VLOOKUP(I565,'SINAPI-comp'!$B:$H,7,0),VLOOKUP(I565,'SINAPI-insumo'!$B:$H,7,0)))</f>
        <v>0</v>
      </c>
      <c r="H565" s="168" t="s">
        <v>53</v>
      </c>
      <c r="I565" s="158">
        <v>88309</v>
      </c>
      <c r="J565" s="159">
        <f t="shared" si="56"/>
        <v>253.0145</v>
      </c>
      <c r="K565" s="159">
        <f t="shared" si="57"/>
        <v>0</v>
      </c>
    </row>
    <row r="566" spans="1:11" x14ac:dyDescent="0.3">
      <c r="A566" s="161">
        <v>4</v>
      </c>
      <c r="B566" s="152" t="str">
        <f>IF(H566="SINAPI",IFERROR(VLOOKUP(I566,'SINAPI-comp'!$B:$H,2,0),VLOOKUP(I566,'SINAPI-insumo'!$B:$H,2,0)))</f>
        <v>SERVENTE COM ENCARGOS COMPLEMENTARES</v>
      </c>
      <c r="C566" s="151" t="str">
        <f>IF(H566="SINAPI",IFERROR(VLOOKUP(I566,'SINAPI-comp'!$B:$H,3,0),VLOOKUP(I566,'SINAPI-insumo'!$B:$H,3,0)))</f>
        <v>H</v>
      </c>
      <c r="D566" s="153">
        <f>8.1329*(1.92/1.92)</f>
        <v>8.1328999999999994</v>
      </c>
      <c r="E566" s="184" t="s">
        <v>15465</v>
      </c>
      <c r="F566" s="155">
        <f>IFERROR(VLOOKUP(I566,'SINAPI-comp'!$B:$H,4,0)-G566,0)</f>
        <v>25.81</v>
      </c>
      <c r="G566" s="156">
        <f>IF(H566="SINAPI",IFERROR(VLOOKUP(I566,'SINAPI-comp'!$B:$H,7,0),VLOOKUP(I566,'SINAPI-insumo'!$B:$H,7,0)))</f>
        <v>0</v>
      </c>
      <c r="H566" s="168" t="s">
        <v>53</v>
      </c>
      <c r="I566" s="158">
        <v>88316</v>
      </c>
      <c r="J566" s="159">
        <f t="shared" si="56"/>
        <v>209.9101</v>
      </c>
      <c r="K566" s="159">
        <f t="shared" si="57"/>
        <v>0</v>
      </c>
    </row>
    <row r="567" spans="1:11" ht="27.6" x14ac:dyDescent="0.3">
      <c r="A567" s="161">
        <v>5</v>
      </c>
      <c r="B567" s="152" t="str">
        <f>IF(H567="SINAPI",IFERROR(VLOOKUP(I567,'SINAPI-comp'!$B:$H,2,0),VLOOKUP(I567,'SINAPI-insumo'!$B:$H,2,0)))</f>
        <v>ARGAMASSA TRAÇO 1:3 (EM VOLUME DE CIMENTO E AREIA MÉDIA ÚMIDA), PREPARO MECÂNICO COM BETONEIRA ATÉ 600 L. AF_07/2026</v>
      </c>
      <c r="C567" s="151" t="str">
        <f>IF(H567="SINAPI",IFERROR(VLOOKUP(I567,'SINAPI-comp'!$B:$H,3,0),VLOOKUP(I567,'SINAPI-insumo'!$B:$H,3,0)))</f>
        <v>M3</v>
      </c>
      <c r="D567" s="153">
        <f>0.1585*(1.92/1.92)</f>
        <v>0.1585</v>
      </c>
      <c r="E567" s="184" t="s">
        <v>15465</v>
      </c>
      <c r="F567" s="155">
        <f>IFERROR(VLOOKUP(I567,'SINAPI-comp'!$B:$H,4,0)-G567,0)</f>
        <v>144.06000000000006</v>
      </c>
      <c r="G567" s="156">
        <f>IF(H567="SINAPI",IFERROR(VLOOKUP(I567,'SINAPI-comp'!$B:$H,7,0),VLOOKUP(I567,'SINAPI-insumo'!$B:$H,7,0)))</f>
        <v>567.30999999999995</v>
      </c>
      <c r="H567" s="168" t="s">
        <v>53</v>
      </c>
      <c r="I567" s="158">
        <v>88628</v>
      </c>
      <c r="J567" s="159">
        <f t="shared" si="56"/>
        <v>22.833500000000001</v>
      </c>
      <c r="K567" s="159">
        <f t="shared" si="57"/>
        <v>89.918599999999998</v>
      </c>
    </row>
    <row r="568" spans="1:11" ht="41.4" x14ac:dyDescent="0.3">
      <c r="A568" s="161">
        <v>6</v>
      </c>
      <c r="B568" s="152" t="str">
        <f>IF(H568="SINAPI",IFERROR(VLOOKUP(I568,'SINAPI-comp'!$B:$H,2,0),VLOOKUP(I568,'SINAPI-insumo'!$B:$H,2,0)))</f>
        <v>CONCRETO FCK = 20MPA, TRAÇO 1:2,7:3 (EM MASSA SECA DE CIMENTO/ AREIA MÉDIA/ BRITA 1) - PREPARO MECÂNICO COM BETONEIRA 600 L. AF_05/2021</v>
      </c>
      <c r="C568" s="151" t="str">
        <f>IF(H568="SINAPI",IFERROR(VLOOKUP(I568,'SINAPI-comp'!$B:$H,3,0),VLOOKUP(I568,'SINAPI-insumo'!$B:$H,3,0)))</f>
        <v>M3</v>
      </c>
      <c r="D568" s="153">
        <f>0.1163*(1.92/0.64)</f>
        <v>0.34889999999999999</v>
      </c>
      <c r="E568" s="184" t="s">
        <v>15465</v>
      </c>
      <c r="F568" s="155">
        <f>IFERROR(VLOOKUP(I568,'SINAPI-comp'!$B:$H,4,0)-G568,0)</f>
        <v>92.050000000000068</v>
      </c>
      <c r="G568" s="156">
        <f>IF(H568="SINAPI",IFERROR(VLOOKUP(I568,'SINAPI-comp'!$B:$H,7,0),VLOOKUP(I568,'SINAPI-insumo'!$B:$H,7,0)))</f>
        <v>450.02</v>
      </c>
      <c r="H568" s="168" t="s">
        <v>53</v>
      </c>
      <c r="I568" s="158">
        <v>94970</v>
      </c>
      <c r="J568" s="159">
        <f t="shared" si="56"/>
        <v>32.116199999999999</v>
      </c>
      <c r="K568" s="159">
        <f t="shared" si="57"/>
        <v>157.0119</v>
      </c>
    </row>
    <row r="571" spans="1:11" s="494" customFormat="1" x14ac:dyDescent="0.25">
      <c r="A571" s="674" t="s">
        <v>131</v>
      </c>
      <c r="B571" s="674" t="s">
        <v>132</v>
      </c>
      <c r="C571" s="675"/>
      <c r="D571" s="511"/>
      <c r="E571" s="675"/>
      <c r="F571" s="675"/>
      <c r="G571" s="675"/>
      <c r="H571" s="676" t="s">
        <v>133</v>
      </c>
      <c r="I571" s="677"/>
      <c r="J571" s="512" t="s">
        <v>134</v>
      </c>
      <c r="K571" s="512" t="s">
        <v>15795</v>
      </c>
    </row>
    <row r="572" spans="1:11" x14ac:dyDescent="0.3">
      <c r="A572" s="136" t="s">
        <v>122</v>
      </c>
      <c r="B572" s="137" t="s">
        <v>15471</v>
      </c>
      <c r="C572" s="173"/>
      <c r="D572" s="174"/>
      <c r="E572" s="138"/>
      <c r="F572" s="140"/>
      <c r="G572" s="140"/>
      <c r="H572" s="141" t="s">
        <v>136</v>
      </c>
      <c r="I572" s="175"/>
      <c r="J572" s="143">
        <f>TRUNC(SUM(J574:J579),2)</f>
        <v>617.98</v>
      </c>
      <c r="K572" s="143">
        <f>TRUNC(SUM(K574:K579),2)</f>
        <v>454.66</v>
      </c>
    </row>
    <row r="573" spans="1:11" s="687" customFormat="1" ht="27.6" x14ac:dyDescent="0.25">
      <c r="A573" s="522" t="s">
        <v>137</v>
      </c>
      <c r="B573" s="523" t="s">
        <v>19</v>
      </c>
      <c r="C573" s="524" t="s">
        <v>20</v>
      </c>
      <c r="D573" s="682" t="s">
        <v>138</v>
      </c>
      <c r="E573" s="525" t="s">
        <v>139</v>
      </c>
      <c r="F573" s="683" t="s">
        <v>140</v>
      </c>
      <c r="G573" s="684" t="s">
        <v>15796</v>
      </c>
      <c r="H573" s="685" t="s">
        <v>142</v>
      </c>
      <c r="I573" s="686"/>
      <c r="J573" s="684" t="s">
        <v>143</v>
      </c>
      <c r="K573" s="684" t="s">
        <v>15797</v>
      </c>
    </row>
    <row r="574" spans="1:11" ht="41.4" x14ac:dyDescent="0.3">
      <c r="A574" s="161">
        <v>1</v>
      </c>
      <c r="B574" s="160" t="str">
        <f>IF(OR(H574="SINAPI",H574="SINAPI-I"),IFERROR(VLOOKUP(I574,'SINAPI-comp'!$B:$H,2,0),VLOOKUP(I574,'SINAPI-insumo'!$B:$H,2,0)))</f>
        <v>TIJOLO CERAMICO MACICO COMUM DE *5 X 10 X 20* CM (L X A X C)</v>
      </c>
      <c r="C574" s="151" t="str">
        <f>IF(OR(H574="SINAPI",H574="SINAPI-I"),IFERROR(VLOOKUP(I574,'SINAPI-comp'!$B:$H,3,0),VLOOKUP(I574,'SINAPI-insumo'!$B:$H,3,0)))</f>
        <v>UN</v>
      </c>
      <c r="D574" s="153">
        <f>211.956*(2.29/1.92)</f>
        <v>252.80168750000001</v>
      </c>
      <c r="E574" s="184" t="s">
        <v>15469</v>
      </c>
      <c r="F574" s="155">
        <f>IFERROR(VLOOKUP(I574,'SINAPI-comp'!$B:$H,4,0)-G574,0)</f>
        <v>0</v>
      </c>
      <c r="G574" s="156">
        <f>IF(OR(H574="SINAPI",H574="SINAPI-I"),IFERROR(VLOOKUP(I574,'SINAPI-comp'!$B:$H,7,0),VLOOKUP(I574,'SINAPI-insumo'!$B:$H,7,0)))</f>
        <v>0.63</v>
      </c>
      <c r="H574" s="157" t="s">
        <v>149</v>
      </c>
      <c r="I574" s="158">
        <v>7258</v>
      </c>
      <c r="J574" s="159">
        <f t="shared" ref="J574:J579" si="58">TRUNC($D574*F574,4)</f>
        <v>0</v>
      </c>
      <c r="K574" s="159">
        <f t="shared" ref="K574:K579" si="59">TRUNC($D574*G574,4)</f>
        <v>159.26499999999999</v>
      </c>
    </row>
    <row r="575" spans="1:11" ht="41.4" x14ac:dyDescent="0.3">
      <c r="A575" s="161">
        <v>2</v>
      </c>
      <c r="B575" s="152" t="str">
        <f>IF(H575="SINAPI",IFERROR(VLOOKUP(I575,'SINAPI-comp'!$B:$H,2,0),VLOOKUP(I575,'SINAPI-insumo'!$B:$H,2,0)))</f>
        <v>ARGAMASSA TRAÇO 1:4 (EM VOLUME DE CIMENTO E AREIA GROSSA ÚMIDA) PARA CHAPISCO CONVENCIONAL, PREPARO MECÂNICO COM BETONEIRA ATÉ 600 L. AF_07/2026</v>
      </c>
      <c r="C575" s="151" t="str">
        <f>IF(H575="SINAPI",IFERROR(VLOOKUP(I575,'SINAPI-comp'!$B:$H,3,0),VLOOKUP(I575,'SINAPI-insumo'!$B:$H,3,0)))</f>
        <v>M3</v>
      </c>
      <c r="D575" s="153">
        <f>0.0017*(2.29/1.92)</f>
        <v>2.0276041666666667E-3</v>
      </c>
      <c r="E575" s="184" t="s">
        <v>15470</v>
      </c>
      <c r="F575" s="155">
        <f>IFERROR(VLOOKUP(I575,'SINAPI-comp'!$B:$H,4,0)-G575,0)</f>
        <v>151.96999999999997</v>
      </c>
      <c r="G575" s="156">
        <f>IF(H575="SINAPI",IFERROR(VLOOKUP(I575,'SINAPI-comp'!$B:$H,7,0),VLOOKUP(I575,'SINAPI-insumo'!$B:$H,7,0)))</f>
        <v>434.31</v>
      </c>
      <c r="H575" s="168" t="s">
        <v>53</v>
      </c>
      <c r="I575" s="158">
        <v>87316</v>
      </c>
      <c r="J575" s="159">
        <f t="shared" si="58"/>
        <v>0.30809999999999998</v>
      </c>
      <c r="K575" s="159">
        <f t="shared" si="59"/>
        <v>0.88060000000000005</v>
      </c>
    </row>
    <row r="576" spans="1:11" x14ac:dyDescent="0.3">
      <c r="A576" s="161">
        <v>3</v>
      </c>
      <c r="B576" s="152" t="str">
        <f>IF(H576="SINAPI",IFERROR(VLOOKUP(I576,'SINAPI-comp'!$B:$H,2,0),VLOOKUP(I576,'SINAPI-insumo'!$B:$H,2,0)))</f>
        <v>PEDREIRO COM ENCARGOS COMPLEMENTARES</v>
      </c>
      <c r="C576" s="151" t="str">
        <f>IF(H576="SINAPI",IFERROR(VLOOKUP(I576,'SINAPI-comp'!$B:$H,3,0),VLOOKUP(I576,'SINAPI-insumo'!$B:$H,3,0)))</f>
        <v>H</v>
      </c>
      <c r="D576" s="153">
        <f>8.1329*(2.29/1.92)</f>
        <v>9.700177604166667</v>
      </c>
      <c r="E576" s="184" t="s">
        <v>15470</v>
      </c>
      <c r="F576" s="155">
        <f>IFERROR(VLOOKUP(I576,'SINAPI-comp'!$B:$H,4,0)-G576,0)</f>
        <v>31.11</v>
      </c>
      <c r="G576" s="156">
        <f>IF(H576="SINAPI",IFERROR(VLOOKUP(I576,'SINAPI-comp'!$B:$H,7,0),VLOOKUP(I576,'SINAPI-insumo'!$B:$H,7,0)))</f>
        <v>0</v>
      </c>
      <c r="H576" s="168" t="s">
        <v>53</v>
      </c>
      <c r="I576" s="158">
        <v>88309</v>
      </c>
      <c r="J576" s="159">
        <f t="shared" si="58"/>
        <v>301.77249999999998</v>
      </c>
      <c r="K576" s="159">
        <f t="shared" si="59"/>
        <v>0</v>
      </c>
    </row>
    <row r="577" spans="1:12" x14ac:dyDescent="0.3">
      <c r="A577" s="161">
        <v>4</v>
      </c>
      <c r="B577" s="152" t="str">
        <f>IF(H577="SINAPI",IFERROR(VLOOKUP(I577,'SINAPI-comp'!$B:$H,2,0),VLOOKUP(I577,'SINAPI-insumo'!$B:$H,2,0)))</f>
        <v>SERVENTE COM ENCARGOS COMPLEMENTARES</v>
      </c>
      <c r="C577" s="151" t="str">
        <f>IF(H577="SINAPI",IFERROR(VLOOKUP(I577,'SINAPI-comp'!$B:$H,3,0),VLOOKUP(I577,'SINAPI-insumo'!$B:$H,3,0)))</f>
        <v>H</v>
      </c>
      <c r="D577" s="153">
        <f>8.1329*(2.29/1.92)</f>
        <v>9.700177604166667</v>
      </c>
      <c r="E577" s="184" t="s">
        <v>15470</v>
      </c>
      <c r="F577" s="155">
        <f>IFERROR(VLOOKUP(I577,'SINAPI-comp'!$B:$H,4,0)-G577,0)</f>
        <v>25.81</v>
      </c>
      <c r="G577" s="156">
        <f>IF(H577="SINAPI",IFERROR(VLOOKUP(I577,'SINAPI-comp'!$B:$H,7,0),VLOOKUP(I577,'SINAPI-insumo'!$B:$H,7,0)))</f>
        <v>0</v>
      </c>
      <c r="H577" s="168" t="s">
        <v>53</v>
      </c>
      <c r="I577" s="158">
        <v>88316</v>
      </c>
      <c r="J577" s="159">
        <f t="shared" si="58"/>
        <v>250.36150000000001</v>
      </c>
      <c r="K577" s="159">
        <f t="shared" si="59"/>
        <v>0</v>
      </c>
    </row>
    <row r="578" spans="1:12" ht="27.6" x14ac:dyDescent="0.3">
      <c r="A578" s="161">
        <v>5</v>
      </c>
      <c r="B578" s="152" t="str">
        <f>IF(H578="SINAPI",IFERROR(VLOOKUP(I578,'SINAPI-comp'!$B:$H,2,0),VLOOKUP(I578,'SINAPI-insumo'!$B:$H,2,0)))</f>
        <v>ARGAMASSA TRAÇO 1:3 (EM VOLUME DE CIMENTO E AREIA MÉDIA ÚMIDA), PREPARO MECÂNICO COM BETONEIRA ATÉ 600 L. AF_07/2026</v>
      </c>
      <c r="C578" s="151" t="str">
        <f>IF(H578="SINAPI",IFERROR(VLOOKUP(I578,'SINAPI-comp'!$B:$H,3,0),VLOOKUP(I578,'SINAPI-insumo'!$B:$H,3,0)))</f>
        <v>M3</v>
      </c>
      <c r="D578" s="153">
        <f>0.1585*(2.29/1.92)</f>
        <v>0.18904427083333336</v>
      </c>
      <c r="E578" s="184" t="s">
        <v>15470</v>
      </c>
      <c r="F578" s="155">
        <f>IFERROR(VLOOKUP(I578,'SINAPI-comp'!$B:$H,4,0)-G578,0)</f>
        <v>144.06000000000006</v>
      </c>
      <c r="G578" s="156">
        <f>IF(H578="SINAPI",IFERROR(VLOOKUP(I578,'SINAPI-comp'!$B:$H,7,0),VLOOKUP(I578,'SINAPI-insumo'!$B:$H,7,0)))</f>
        <v>567.30999999999995</v>
      </c>
      <c r="H578" s="168" t="s">
        <v>53</v>
      </c>
      <c r="I578" s="158">
        <v>88628</v>
      </c>
      <c r="J578" s="159">
        <f t="shared" si="58"/>
        <v>27.233699999999999</v>
      </c>
      <c r="K578" s="159">
        <f t="shared" si="59"/>
        <v>107.2467</v>
      </c>
    </row>
    <row r="579" spans="1:12" ht="41.4" x14ac:dyDescent="0.3">
      <c r="A579" s="161">
        <v>6</v>
      </c>
      <c r="B579" s="152" t="str">
        <f>IF(H579="SINAPI",IFERROR(VLOOKUP(I579,'SINAPI-comp'!$B:$H,2,0),VLOOKUP(I579,'SINAPI-insumo'!$B:$H,2,0)))</f>
        <v>CONCRETO FCK = 20MPA, TRAÇO 1:2,7:3 (EM MASSA SECA DE CIMENTO/ AREIA MÉDIA/ BRITA 1) - PREPARO MECÂNICO COM BETONEIRA 600 L. AF_05/2021</v>
      </c>
      <c r="C579" s="151" t="str">
        <f>IF(H579="SINAPI",IFERROR(VLOOKUP(I579,'SINAPI-comp'!$B:$H,3,0),VLOOKUP(I579,'SINAPI-insumo'!$B:$H,3,0)))</f>
        <v>M3</v>
      </c>
      <c r="D579" s="153">
        <f>0.1163*(2.29/0.64)</f>
        <v>0.4161359375</v>
      </c>
      <c r="E579" s="184" t="s">
        <v>15470</v>
      </c>
      <c r="F579" s="155">
        <f>IFERROR(VLOOKUP(I579,'SINAPI-comp'!$B:$H,4,0)-G579,0)</f>
        <v>92.050000000000068</v>
      </c>
      <c r="G579" s="156">
        <f>IF(H579="SINAPI",IFERROR(VLOOKUP(I579,'SINAPI-comp'!$B:$H,7,0),VLOOKUP(I579,'SINAPI-insumo'!$B:$H,7,0)))</f>
        <v>450.02</v>
      </c>
      <c r="H579" s="168" t="s">
        <v>53</v>
      </c>
      <c r="I579" s="158">
        <v>94970</v>
      </c>
      <c r="J579" s="159">
        <f t="shared" si="58"/>
        <v>38.305300000000003</v>
      </c>
      <c r="K579" s="159">
        <f t="shared" si="59"/>
        <v>187.26939999999999</v>
      </c>
    </row>
    <row r="582" spans="1:12" s="494" customFormat="1" x14ac:dyDescent="0.25">
      <c r="A582" s="674" t="s">
        <v>131</v>
      </c>
      <c r="B582" s="674" t="s">
        <v>132</v>
      </c>
      <c r="C582" s="675"/>
      <c r="D582" s="511"/>
      <c r="E582" s="675"/>
      <c r="F582" s="675"/>
      <c r="G582" s="675"/>
      <c r="H582" s="676" t="s">
        <v>133</v>
      </c>
      <c r="I582" s="677"/>
      <c r="J582" s="512" t="s">
        <v>134</v>
      </c>
      <c r="K582" s="512" t="s">
        <v>15795</v>
      </c>
    </row>
    <row r="583" spans="1:12" x14ac:dyDescent="0.3">
      <c r="A583" s="136" t="s">
        <v>15585</v>
      </c>
      <c r="B583" s="137" t="s">
        <v>15587</v>
      </c>
      <c r="C583" s="173"/>
      <c r="D583" s="174"/>
      <c r="E583" s="138"/>
      <c r="F583" s="140"/>
      <c r="G583" s="140"/>
      <c r="H583" s="141" t="s">
        <v>136</v>
      </c>
      <c r="I583" s="175"/>
      <c r="J583" s="143">
        <f>TRUNC(SUM(J585:J586),2)</f>
        <v>23.28</v>
      </c>
      <c r="K583" s="143">
        <f>TRUNC(SUM(K585:K586),2)</f>
        <v>657.55</v>
      </c>
    </row>
    <row r="584" spans="1:12" s="687" customFormat="1" ht="27.6" x14ac:dyDescent="0.25">
      <c r="A584" s="522" t="s">
        <v>137</v>
      </c>
      <c r="B584" s="523" t="s">
        <v>19</v>
      </c>
      <c r="C584" s="524" t="s">
        <v>20</v>
      </c>
      <c r="D584" s="682" t="s">
        <v>138</v>
      </c>
      <c r="E584" s="525" t="s">
        <v>139</v>
      </c>
      <c r="F584" s="683" t="s">
        <v>140</v>
      </c>
      <c r="G584" s="684" t="s">
        <v>15796</v>
      </c>
      <c r="H584" s="685" t="s">
        <v>142</v>
      </c>
      <c r="I584" s="686"/>
      <c r="J584" s="684" t="s">
        <v>143</v>
      </c>
      <c r="K584" s="684" t="s">
        <v>15797</v>
      </c>
    </row>
    <row r="585" spans="1:12" x14ac:dyDescent="0.3">
      <c r="A585" s="161">
        <v>1</v>
      </c>
      <c r="B585" s="152" t="str">
        <f>IF(H585="SINAPI",IFERROR(VLOOKUP(I585,'SINAPI-comp'!$B:$H,2,0),VLOOKUP(I585,'SINAPI-insumo'!$B:$H,2,0)))</f>
        <v>SERVENTE COM ENCARGOS COMPLEMENTARES</v>
      </c>
      <c r="C585" s="151" t="str">
        <f>IF(H585="SINAPI",IFERROR(VLOOKUP(I585,'SINAPI-comp'!$B:$H,3,0),VLOOKUP(I585,'SINAPI-insumo'!$B:$H,3,0)))</f>
        <v>H</v>
      </c>
      <c r="D585" s="153">
        <v>0.90229999999999999</v>
      </c>
      <c r="E585" s="184" t="s">
        <v>15586</v>
      </c>
      <c r="F585" s="155">
        <f>IFERROR(VLOOKUP(I585,'SINAPI-comp'!$B:$H,4,0)-G585,0)</f>
        <v>25.81</v>
      </c>
      <c r="G585" s="156">
        <f>IF(H585="SINAPI",IFERROR(VLOOKUP(I585,'SINAPI-comp'!$B:$H,7,0),VLOOKUP(I585,'SINAPI-insumo'!$B:$H,7,0)))</f>
        <v>0</v>
      </c>
      <c r="H585" s="168" t="s">
        <v>53</v>
      </c>
      <c r="I585" s="158">
        <v>88316</v>
      </c>
      <c r="J585" s="159">
        <f t="shared" ref="J585:J586" si="60">TRUNC($D585*F585,4)</f>
        <v>23.2883</v>
      </c>
      <c r="K585" s="159">
        <f t="shared" ref="K585:K586" si="61">TRUNC($D585*G585,4)</f>
        <v>0</v>
      </c>
    </row>
    <row r="586" spans="1:12" ht="41.4" x14ac:dyDescent="0.3">
      <c r="A586" s="161">
        <v>2</v>
      </c>
      <c r="B586" s="152" t="str">
        <f>IF(H586="SINAPI",IFERROR(VLOOKUP(I586,'SINAPI-comp'!$B:$H,2,0),VLOOKUP(I586,'SINAPI-insumo'!$B:$H,2,0)))</f>
        <v>TAMPAO FOFO ARTICULADO, COM BASE / REQUADRO, CLASSE D400 CARGA MAX 40 T, REDONDO, TAMPA 600 MM (COM INSCRICAO EM RELEVO DO TIPO DE REDE)</v>
      </c>
      <c r="C586" s="151" t="str">
        <f>IF(H586="SINAPI",IFERROR(VLOOKUP(I586,'SINAPI-comp'!$B:$H,3,0),VLOOKUP(I586,'SINAPI-insumo'!$B:$H,3,0)))</f>
        <v>UN</v>
      </c>
      <c r="D586" s="153">
        <v>1</v>
      </c>
      <c r="E586" s="184"/>
      <c r="F586" s="155">
        <f>IFERROR(VLOOKUP(I586,'SINAPI-comp'!$B:$H,4,0)-G586,0)</f>
        <v>0</v>
      </c>
      <c r="G586" s="156">
        <f>IF(H586="SINAPI",IFERROR(VLOOKUP(I586,'SINAPI-comp'!$B:$H,7,0),VLOOKUP(I586,'SINAPI-insumo'!$B:$H,7,0)))</f>
        <v>657.55</v>
      </c>
      <c r="H586" s="168" t="s">
        <v>53</v>
      </c>
      <c r="I586" s="158">
        <v>21090</v>
      </c>
      <c r="J586" s="159">
        <f t="shared" si="60"/>
        <v>0</v>
      </c>
      <c r="K586" s="159">
        <f t="shared" si="61"/>
        <v>657.55</v>
      </c>
    </row>
    <row r="589" spans="1:12" s="494" customFormat="1" x14ac:dyDescent="0.25">
      <c r="A589" s="674" t="s">
        <v>131</v>
      </c>
      <c r="B589" s="674" t="s">
        <v>132</v>
      </c>
      <c r="C589" s="675"/>
      <c r="D589" s="511"/>
      <c r="E589" s="675"/>
      <c r="F589" s="675"/>
      <c r="G589" s="675"/>
      <c r="H589" s="676" t="s">
        <v>133</v>
      </c>
      <c r="I589" s="677"/>
      <c r="J589" s="512" t="s">
        <v>134</v>
      </c>
      <c r="K589" s="512" t="s">
        <v>15795</v>
      </c>
    </row>
    <row r="590" spans="1:12" s="521" customFormat="1" x14ac:dyDescent="0.25">
      <c r="A590" s="513" t="s">
        <v>125</v>
      </c>
      <c r="B590" s="514" t="s">
        <v>15473</v>
      </c>
      <c r="C590" s="515"/>
      <c r="D590" s="516"/>
      <c r="E590" s="515"/>
      <c r="F590" s="517"/>
      <c r="G590" s="517"/>
      <c r="H590" s="518" t="s">
        <v>170</v>
      </c>
      <c r="I590" s="519"/>
      <c r="J590" s="520">
        <f>TRUNC(SUM(J592:J594),2)</f>
        <v>694.94</v>
      </c>
      <c r="K590" s="520">
        <f>TRUNC(SUM(K592:K594),2)</f>
        <v>1951.35</v>
      </c>
      <c r="L590" s="494"/>
    </row>
    <row r="591" spans="1:12" s="687" customFormat="1" ht="27.6" x14ac:dyDescent="0.25">
      <c r="A591" s="522" t="s">
        <v>137</v>
      </c>
      <c r="B591" s="523" t="s">
        <v>19</v>
      </c>
      <c r="C591" s="524" t="s">
        <v>20</v>
      </c>
      <c r="D591" s="682" t="s">
        <v>138</v>
      </c>
      <c r="E591" s="525" t="s">
        <v>139</v>
      </c>
      <c r="F591" s="683" t="s">
        <v>140</v>
      </c>
      <c r="G591" s="684" t="s">
        <v>15796</v>
      </c>
      <c r="H591" s="685" t="s">
        <v>142</v>
      </c>
      <c r="I591" s="686"/>
      <c r="J591" s="684" t="s">
        <v>143</v>
      </c>
      <c r="K591" s="684" t="s">
        <v>15797</v>
      </c>
    </row>
    <row r="592" spans="1:12" customFormat="1" ht="41.4" x14ac:dyDescent="0.3">
      <c r="A592" s="526">
        <v>1</v>
      </c>
      <c r="B592" s="152" t="str">
        <f>IF(H592="SINAPI",IFERROR(VLOOKUP(I592,'SINAPI-comp'!$B:$H,2,0),VLOOKUP(I592,'SINAPI-insumo'!$B:$H,2,0)))</f>
        <v>MONTAGEM E DESMONTAGEM DE FÔRMA DE PILARES RETANGULARES E ESTRUTURAS SIMILARES, PÉ-DIREITO DUPLO, EM CHAPA DE MADEIRA COMPENSADA RESINADA, 2 UTILIZAÇÕES. AF_09/2020</v>
      </c>
      <c r="C592" s="151" t="str">
        <f>IF(H592="SINAPI",IFERROR(VLOOKUP(I592,'SINAPI-comp'!$B:$H,3,0),VLOOKUP(I592,'SINAPI-insumo'!$B:$H,3,0)))</f>
        <v>M2</v>
      </c>
      <c r="D592" s="498">
        <v>4.45</v>
      </c>
      <c r="E592" s="546" t="s">
        <v>15474</v>
      </c>
      <c r="F592" s="155">
        <f>IFERROR(VLOOKUP(I592,'SINAPI-comp'!$B:$H,4,0)-G592,0)</f>
        <v>93.81</v>
      </c>
      <c r="G592" s="156">
        <f>IF(H592="SINAPI",IFERROR(VLOOKUP(I592,'SINAPI-comp'!$B:$H,7,0),VLOOKUP(I592,'SINAPI-insumo'!$B:$H,7,0)))</f>
        <v>87.87</v>
      </c>
      <c r="H592" s="547" t="s">
        <v>53</v>
      </c>
      <c r="I592" s="548">
        <v>92417</v>
      </c>
      <c r="J592" s="527">
        <f t="shared" ref="J592:K594" si="62">TRUNC($D592*F592,4)</f>
        <v>417.4545</v>
      </c>
      <c r="K592" s="527">
        <f t="shared" si="62"/>
        <v>391.0215</v>
      </c>
      <c r="L592" s="494"/>
    </row>
    <row r="593" spans="1:13" customFormat="1" ht="27.6" x14ac:dyDescent="0.3">
      <c r="A593" s="526">
        <v>2</v>
      </c>
      <c r="B593" s="152" t="str">
        <f>IF(H593="SINAPI",IFERROR(VLOOKUP(I593,'SINAPI-comp'!$B:$H,2,0),VLOOKUP(I593,'SINAPI-insumo'!$B:$H,2,0)))</f>
        <v>ARMAÇÃO DO SISTEMA DE PAREDES DE CONCRETO, EXECUTADA COMO REFORÇO, VERGALHÃO DE 6,3 MM DE DIÂMETRO. AF_12/2024</v>
      </c>
      <c r="C593" s="151" t="str">
        <f>IF(H593="SINAPI",IFERROR(VLOOKUP(I593,'SINAPI-comp'!$B:$H,3,0),VLOOKUP(I593,'SINAPI-insumo'!$B:$H,3,0)))</f>
        <v>KG</v>
      </c>
      <c r="D593" s="498">
        <f>D594*80</f>
        <v>84</v>
      </c>
      <c r="E593" s="546"/>
      <c r="F593" s="155">
        <f>IFERROR(VLOOKUP(I593,'SINAPI-comp'!$B:$H,4,0)-G593,0)</f>
        <v>2.8900000000000006</v>
      </c>
      <c r="G593" s="156">
        <f>IF(H593="SINAPI",IFERROR(VLOOKUP(I593,'SINAPI-comp'!$B:$H,7,0),VLOOKUP(I593,'SINAPI-insumo'!$B:$H,7,0)))</f>
        <v>8.6</v>
      </c>
      <c r="H593" s="547" t="s">
        <v>53</v>
      </c>
      <c r="I593" s="548">
        <v>91601</v>
      </c>
      <c r="J593" s="527">
        <f t="shared" si="62"/>
        <v>242.76</v>
      </c>
      <c r="K593" s="527">
        <f t="shared" si="62"/>
        <v>722.4</v>
      </c>
      <c r="L593" s="494"/>
    </row>
    <row r="594" spans="1:13" customFormat="1" ht="27.6" x14ac:dyDescent="0.3">
      <c r="A594" s="526">
        <v>3</v>
      </c>
      <c r="B594" s="152" t="str">
        <f>IF(H594="SINAPI",IFERROR(VLOOKUP(I594,'SINAPI-comp'!$B:$H,2,0),VLOOKUP(I594,'SINAPI-insumo'!$B:$H,2,0)))</f>
        <v>CONCRETAGEM DE CORTINA DE CONTENÇÃO, ATRAVÉS DE BOMBA - LANÇAMENTO, ADENSAMENTO E ACABAMENTO. AF_11/2024</v>
      </c>
      <c r="C594" s="151" t="str">
        <f>IF(H594="SINAPI",IFERROR(VLOOKUP(I594,'SINAPI-comp'!$B:$H,3,0),VLOOKUP(I594,'SINAPI-insumo'!$B:$H,3,0)))</f>
        <v>M3</v>
      </c>
      <c r="D594" s="498">
        <v>1.05</v>
      </c>
      <c r="E594" s="546"/>
      <c r="F594" s="155">
        <f>IFERROR(VLOOKUP(I594,'SINAPI-comp'!$B:$H,4,0)-G594,0)</f>
        <v>33.080000000000041</v>
      </c>
      <c r="G594" s="156">
        <f>IF(H594="SINAPI",IFERROR(VLOOKUP(I594,'SINAPI-comp'!$B:$H,7,0),VLOOKUP(I594,'SINAPI-insumo'!$B:$H,7,0)))</f>
        <v>798.03</v>
      </c>
      <c r="H594" s="547" t="s">
        <v>53</v>
      </c>
      <c r="I594" s="548">
        <v>100349</v>
      </c>
      <c r="J594" s="527">
        <f t="shared" si="62"/>
        <v>34.734000000000002</v>
      </c>
      <c r="K594" s="527">
        <f t="shared" si="62"/>
        <v>837.93150000000003</v>
      </c>
      <c r="L594" s="494"/>
    </row>
    <row r="595" spans="1:13" customFormat="1" ht="14.4" x14ac:dyDescent="0.3">
      <c r="A595" s="494"/>
      <c r="B595" s="494"/>
      <c r="C595" s="494"/>
      <c r="D595" s="549"/>
      <c r="E595" s="494"/>
      <c r="F595" s="494"/>
      <c r="G595" s="494"/>
      <c r="H595" s="494"/>
      <c r="I595" s="494"/>
      <c r="J595" s="494"/>
      <c r="K595" s="494"/>
      <c r="L595" s="494"/>
      <c r="M595" s="494"/>
    </row>
    <row r="596" spans="1:13" customFormat="1" ht="14.4" x14ac:dyDescent="0.3">
      <c r="D596" s="550"/>
      <c r="J596" s="433"/>
    </row>
    <row r="597" spans="1:13" s="494" customFormat="1" x14ac:dyDescent="0.25">
      <c r="A597" s="674" t="s">
        <v>131</v>
      </c>
      <c r="B597" s="674" t="s">
        <v>132</v>
      </c>
      <c r="C597" s="675"/>
      <c r="D597" s="511"/>
      <c r="E597" s="675"/>
      <c r="F597" s="675"/>
      <c r="G597" s="675"/>
      <c r="H597" s="676" t="s">
        <v>133</v>
      </c>
      <c r="I597" s="677"/>
      <c r="J597" s="512" t="s">
        <v>134</v>
      </c>
      <c r="K597" s="512" t="s">
        <v>15795</v>
      </c>
    </row>
    <row r="598" spans="1:13" x14ac:dyDescent="0.3">
      <c r="A598" s="136" t="s">
        <v>123</v>
      </c>
      <c r="B598" s="137" t="s">
        <v>202</v>
      </c>
      <c r="C598" s="173"/>
      <c r="D598" s="174"/>
      <c r="E598" s="138"/>
      <c r="F598" s="140"/>
      <c r="G598" s="140"/>
      <c r="H598" s="141" t="s">
        <v>168</v>
      </c>
      <c r="I598" s="175"/>
      <c r="J598" s="143">
        <f>TRUNC(SUM(J600:J603),2)</f>
        <v>61.5</v>
      </c>
      <c r="K598" s="143">
        <f>TRUNC(SUM(K600:K603),2)</f>
        <v>43.98</v>
      </c>
    </row>
    <row r="599" spans="1:13" s="687" customFormat="1" ht="27.6" x14ac:dyDescent="0.25">
      <c r="A599" s="522" t="s">
        <v>137</v>
      </c>
      <c r="B599" s="523" t="s">
        <v>19</v>
      </c>
      <c r="C599" s="524" t="s">
        <v>20</v>
      </c>
      <c r="D599" s="682" t="s">
        <v>138</v>
      </c>
      <c r="E599" s="525" t="s">
        <v>139</v>
      </c>
      <c r="F599" s="683" t="s">
        <v>140</v>
      </c>
      <c r="G599" s="684" t="s">
        <v>15796</v>
      </c>
      <c r="H599" s="685" t="s">
        <v>142</v>
      </c>
      <c r="I599" s="686"/>
      <c r="J599" s="684" t="s">
        <v>143</v>
      </c>
      <c r="K599" s="684" t="s">
        <v>15797</v>
      </c>
    </row>
    <row r="600" spans="1:13" x14ac:dyDescent="0.3">
      <c r="A600" s="161">
        <v>1</v>
      </c>
      <c r="B600" s="152" t="str">
        <f>IF(H600="SINAPI",IFERROR(VLOOKUP(I600,'SINAPI-comp'!$B:$H,2,0),VLOOKUP(I600,'SINAPI-insumo'!$B:$H,2,0)))</f>
        <v>PEDREIRO COM ENCARGOS COMPLEMENTARES</v>
      </c>
      <c r="C600" s="151" t="str">
        <f>IF(H600="SINAPI",IFERROR(VLOOKUP(I600,'SINAPI-comp'!$B:$H,3,0),VLOOKUP(I600,'SINAPI-insumo'!$B:$H,3,0)))</f>
        <v>H</v>
      </c>
      <c r="D600" s="153">
        <v>1.1004</v>
      </c>
      <c r="E600" s="164" t="s">
        <v>203</v>
      </c>
      <c r="F600" s="155">
        <f>IFERROR(VLOOKUP(I600,'SINAPI-comp'!$B:$H,4,0)-G600,0)</f>
        <v>31.11</v>
      </c>
      <c r="G600" s="156">
        <f>IF(H600="SINAPI",IFERROR(VLOOKUP(I600,'SINAPI-comp'!$B:$H,7,0),VLOOKUP(I600,'SINAPI-insumo'!$B:$H,7,0)))</f>
        <v>0</v>
      </c>
      <c r="H600" s="168" t="s">
        <v>53</v>
      </c>
      <c r="I600" s="158">
        <v>88309</v>
      </c>
      <c r="J600" s="159">
        <f t="shared" ref="J600:K603" si="63">TRUNC($D600*F600,4)</f>
        <v>34.233400000000003</v>
      </c>
      <c r="K600" s="159">
        <f t="shared" si="63"/>
        <v>0</v>
      </c>
    </row>
    <row r="601" spans="1:13" x14ac:dyDescent="0.3">
      <c r="A601" s="161">
        <v>2</v>
      </c>
      <c r="B601" s="152" t="str">
        <f>IF(H601="SINAPI",IFERROR(VLOOKUP(I601,'SINAPI-comp'!$B:$H,2,0),VLOOKUP(I601,'SINAPI-insumo'!$B:$H,2,0)))</f>
        <v>SERVENTE COM ENCARGOS COMPLEMENTARES</v>
      </c>
      <c r="C601" s="151" t="str">
        <f>IF(H601="SINAPI",IFERROR(VLOOKUP(I601,'SINAPI-comp'!$B:$H,3,0),VLOOKUP(I601,'SINAPI-insumo'!$B:$H,3,0)))</f>
        <v>H</v>
      </c>
      <c r="D601" s="153">
        <v>0.8357</v>
      </c>
      <c r="E601" s="164" t="s">
        <v>203</v>
      </c>
      <c r="F601" s="155">
        <f>IFERROR(VLOOKUP(I601,'SINAPI-comp'!$B:$H,4,0)-G601,0)</f>
        <v>25.81</v>
      </c>
      <c r="G601" s="156">
        <f>IF(H601="SINAPI",IFERROR(VLOOKUP(I601,'SINAPI-comp'!$B:$H,7,0),VLOOKUP(I601,'SINAPI-insumo'!$B:$H,7,0)))</f>
        <v>0</v>
      </c>
      <c r="H601" s="168" t="s">
        <v>53</v>
      </c>
      <c r="I601" s="158">
        <v>88316</v>
      </c>
      <c r="J601" s="159">
        <f t="shared" si="63"/>
        <v>21.569400000000002</v>
      </c>
      <c r="K601" s="159">
        <f t="shared" si="63"/>
        <v>0</v>
      </c>
    </row>
    <row r="602" spans="1:13" ht="41.4" x14ac:dyDescent="0.3">
      <c r="A602" s="161">
        <v>3</v>
      </c>
      <c r="B602" s="160" t="str">
        <f>IF(OR(H602="SINAPI",H602="SINAPI-I"),IFERROR(VLOOKUP(I602,'SINAPI-comp'!$B:$H,2,0),VLOOKUP(I602,'SINAPI-insumo'!$B:$H,2,0)))</f>
        <v>PEDRA GRANITICA OU BASALTICA IRREGULAR, FAIXA GRANULOMETRICA 100 A 150 MM PARA PAVIMENTACAO OU CALCAMENTO POLIEDRICO, POSTO PEDREIRA / FORNECEDOR (SEM FRETE)</v>
      </c>
      <c r="C602" s="151" t="str">
        <f>IF(OR(H602="SINAPI",H602="SINAPI-I"),IFERROR(VLOOKUP(I602,'SINAPI-comp'!$B:$H,3,0),VLOOKUP(I602,'SINAPI-insumo'!$B:$H,3,0)))</f>
        <v>M3</v>
      </c>
      <c r="D602" s="153">
        <v>0.25</v>
      </c>
      <c r="E602" s="164"/>
      <c r="F602" s="155">
        <f>IFERROR(VLOOKUP(I602,'SINAPI-comp'!$B:$H,4,0)-G602,0)</f>
        <v>0</v>
      </c>
      <c r="G602" s="156">
        <f>IF(OR(H602="SINAPI",H602="SINAPI-I"),IFERROR(VLOOKUP(I602,'SINAPI-comp'!$B:$H,7,0),VLOOKUP(I602,'SINAPI-insumo'!$B:$H,7,0)))</f>
        <v>110.8</v>
      </c>
      <c r="H602" s="157" t="s">
        <v>149</v>
      </c>
      <c r="I602" s="158">
        <v>13186</v>
      </c>
      <c r="J602" s="159">
        <f t="shared" si="63"/>
        <v>0</v>
      </c>
      <c r="K602" s="159">
        <f t="shared" si="63"/>
        <v>27.7</v>
      </c>
    </row>
    <row r="603" spans="1:13" ht="41.4" x14ac:dyDescent="0.3">
      <c r="A603" s="161">
        <v>4</v>
      </c>
      <c r="B603" s="152" t="str">
        <f>IF(H603="SINAPI",IFERROR(VLOOKUP(I603,'SINAPI-comp'!$B:$H,2,0),VLOOKUP(I603,'SINAPI-insumo'!$B:$H,2,0)))</f>
        <v>ARGAMASSA TRAÇO 1:4 (EM VOLUME DE CIMENTO E AREIA GROSSA ÚMIDA) PARA CHAPISCO CONVENCIONAL, PREPARO MECÂNICO COM BETONEIRA ATÉ 600 L. AF_07/2026</v>
      </c>
      <c r="C603" s="151" t="str">
        <f>IF(H603="SINAPI",IFERROR(VLOOKUP(I603,'SINAPI-comp'!$B:$H,3,0),VLOOKUP(I603,'SINAPI-insumo'!$B:$H,3,0)))</f>
        <v>M3</v>
      </c>
      <c r="D603" s="153">
        <f>D602*0.15</f>
        <v>3.7499999999999999E-2</v>
      </c>
      <c r="E603" s="164"/>
      <c r="F603" s="155">
        <f>IFERROR(VLOOKUP(I603,'SINAPI-comp'!$B:$H,4,0)-G603,0)</f>
        <v>151.96999999999997</v>
      </c>
      <c r="G603" s="156">
        <f>IF(H603="SINAPI",IFERROR(VLOOKUP(I603,'SINAPI-comp'!$B:$H,7,0),VLOOKUP(I603,'SINAPI-insumo'!$B:$H,7,0)))</f>
        <v>434.31</v>
      </c>
      <c r="H603" s="168" t="s">
        <v>53</v>
      </c>
      <c r="I603" s="158">
        <v>87316</v>
      </c>
      <c r="J603" s="159">
        <f t="shared" si="63"/>
        <v>5.6988000000000003</v>
      </c>
      <c r="K603" s="159">
        <f t="shared" si="63"/>
        <v>16.2866</v>
      </c>
    </row>
    <row r="606" spans="1:13" s="494" customFormat="1" x14ac:dyDescent="0.25">
      <c r="A606" s="674" t="s">
        <v>131</v>
      </c>
      <c r="B606" s="674" t="s">
        <v>132</v>
      </c>
      <c r="C606" s="675"/>
      <c r="D606" s="511"/>
      <c r="E606" s="675"/>
      <c r="F606" s="675"/>
      <c r="G606" s="675"/>
      <c r="H606" s="676" t="s">
        <v>133</v>
      </c>
      <c r="I606" s="677"/>
      <c r="J606" s="512" t="s">
        <v>134</v>
      </c>
      <c r="K606" s="512" t="s">
        <v>15795</v>
      </c>
    </row>
    <row r="607" spans="1:13" x14ac:dyDescent="0.3">
      <c r="A607" s="136" t="s">
        <v>121</v>
      </c>
      <c r="B607" s="137" t="s">
        <v>16014</v>
      </c>
      <c r="C607" s="173"/>
      <c r="D607" s="174"/>
      <c r="E607" s="138"/>
      <c r="F607" s="140"/>
      <c r="G607" s="140"/>
      <c r="H607" s="141" t="s">
        <v>170</v>
      </c>
      <c r="I607" s="175"/>
      <c r="J607" s="143">
        <f>TRUNC(SUM(J609:J613),2)</f>
        <v>23.32</v>
      </c>
      <c r="K607" s="143">
        <f>TRUNC(SUM(K609:K613),2)</f>
        <v>802.82</v>
      </c>
    </row>
    <row r="608" spans="1:13" s="687" customFormat="1" ht="27.6" x14ac:dyDescent="0.25">
      <c r="A608" s="522" t="s">
        <v>137</v>
      </c>
      <c r="B608" s="523" t="s">
        <v>19</v>
      </c>
      <c r="C608" s="524" t="s">
        <v>20</v>
      </c>
      <c r="D608" s="682" t="s">
        <v>138</v>
      </c>
      <c r="E608" s="525" t="s">
        <v>139</v>
      </c>
      <c r="F608" s="683" t="s">
        <v>140</v>
      </c>
      <c r="G608" s="684" t="s">
        <v>15796</v>
      </c>
      <c r="H608" s="685" t="s">
        <v>142</v>
      </c>
      <c r="I608" s="686"/>
      <c r="J608" s="684" t="s">
        <v>143</v>
      </c>
      <c r="K608" s="684" t="s">
        <v>15797</v>
      </c>
    </row>
    <row r="609" spans="1:11" x14ac:dyDescent="0.3">
      <c r="A609" s="161">
        <v>1</v>
      </c>
      <c r="B609" s="152" t="str">
        <f>IF(H609="SINAPI",IFERROR(VLOOKUP(I609,'SINAPI-comp'!$B:$H,2,0),VLOOKUP(I609,'SINAPI-insumo'!$B:$H,2,0)))</f>
        <v>PEDREIRO COM ENCARGOS COMPLEMENTARES</v>
      </c>
      <c r="C609" s="151" t="str">
        <f>IF(H609="SINAPI",IFERROR(VLOOKUP(I609,'SINAPI-comp'!$B:$H,3,0),VLOOKUP(I609,'SINAPI-insumo'!$B:$H,3,0)))</f>
        <v>H</v>
      </c>
      <c r="D609" s="153">
        <v>0.33400000000000002</v>
      </c>
      <c r="E609" s="164" t="s">
        <v>16417</v>
      </c>
      <c r="F609" s="155">
        <f>IFERROR(VLOOKUP(I609,'SINAPI-comp'!$B:$H,4,0)-G609,0)</f>
        <v>31.11</v>
      </c>
      <c r="G609" s="156">
        <f>IF(H609="SINAPI",IFERROR(VLOOKUP(I609,'SINAPI-comp'!$B:$H,7,0),VLOOKUP(I609,'SINAPI-insumo'!$B:$H,7,0)))</f>
        <v>0</v>
      </c>
      <c r="H609" s="168" t="s">
        <v>53</v>
      </c>
      <c r="I609" s="158">
        <v>88309</v>
      </c>
      <c r="J609" s="159">
        <f t="shared" ref="J609:K613" si="64">TRUNC($D609*F609,4)</f>
        <v>10.390700000000001</v>
      </c>
      <c r="K609" s="159">
        <f t="shared" si="64"/>
        <v>0</v>
      </c>
    </row>
    <row r="610" spans="1:11" x14ac:dyDescent="0.3">
      <c r="A610" s="161">
        <v>2</v>
      </c>
      <c r="B610" s="152" t="str">
        <f>IF(H610="SINAPI",IFERROR(VLOOKUP(I610,'SINAPI-comp'!$B:$H,2,0),VLOOKUP(I610,'SINAPI-insumo'!$B:$H,2,0)))</f>
        <v>SERVENTE COM ENCARGOS COMPLEMENTARES</v>
      </c>
      <c r="C610" s="151" t="str">
        <f>IF(H610="SINAPI",IFERROR(VLOOKUP(I610,'SINAPI-comp'!$B:$H,3,0),VLOOKUP(I610,'SINAPI-insumo'!$B:$H,3,0)))</f>
        <v>H</v>
      </c>
      <c r="D610" s="153">
        <v>0.501</v>
      </c>
      <c r="E610" s="164" t="s">
        <v>16417</v>
      </c>
      <c r="F610" s="155">
        <f>IFERROR(VLOOKUP(I610,'SINAPI-comp'!$B:$H,4,0)-G610,0)</f>
        <v>25.81</v>
      </c>
      <c r="G610" s="156">
        <f>IF(H610="SINAPI",IFERROR(VLOOKUP(I610,'SINAPI-comp'!$B:$H,7,0),VLOOKUP(I610,'SINAPI-insumo'!$B:$H,7,0)))</f>
        <v>0</v>
      </c>
      <c r="H610" s="168" t="s">
        <v>53</v>
      </c>
      <c r="I610" s="158">
        <v>88316</v>
      </c>
      <c r="J610" s="159">
        <f t="shared" si="64"/>
        <v>12.9308</v>
      </c>
      <c r="K610" s="159">
        <f t="shared" si="64"/>
        <v>0</v>
      </c>
    </row>
    <row r="611" spans="1:11" ht="27.6" x14ac:dyDescent="0.3">
      <c r="A611" s="161">
        <v>3</v>
      </c>
      <c r="B611" s="160" t="str">
        <f>IF(OR(H611="SINAPI",H611="SINAPI-I"),IFERROR(VLOOKUP(I611,'SINAPI-comp'!$B:$H,2,0),VLOOKUP(I611,'SINAPI-insumo'!$B:$H,2,0)))</f>
        <v>VIBRADOR DE IMERSÃO, DIÂMETRO DE PONTEIRA 45MM, MOTOR ELÉTRICO TRIFÁSICO POTÊNCIA DE 2 CV - CHI DIURNO. AF_06/2015</v>
      </c>
      <c r="C611" s="151" t="str">
        <f>IF(OR(H611="SINAPI",H611="SINAPI-I"),IFERROR(VLOOKUP(I611,'SINAPI-comp'!$B:$H,3,0),VLOOKUP(I611,'SINAPI-insumo'!$B:$H,3,0)))</f>
        <v>CHI</v>
      </c>
      <c r="D611" s="153">
        <v>7.4999999999999997E-2</v>
      </c>
      <c r="E611" s="164" t="s">
        <v>16417</v>
      </c>
      <c r="F611" s="155">
        <f>IFERROR(VLOOKUP(I611,'SINAPI-comp'!$B:$H,4,0)-G611,0)</f>
        <v>0</v>
      </c>
      <c r="G611" s="156">
        <f>IF(OR(H611="SINAPI",H611="SINAPI-I"),IFERROR(VLOOKUP(I611,'SINAPI-comp'!$B:$H,7,0),VLOOKUP(I611,'SINAPI-insumo'!$B:$H,7,0)))</f>
        <v>0.55000000000000004</v>
      </c>
      <c r="H611" s="157" t="s">
        <v>149</v>
      </c>
      <c r="I611" s="158">
        <v>90587</v>
      </c>
      <c r="J611" s="159">
        <f t="shared" ref="J611:J612" si="65">TRUNC($D611*F611,4)</f>
        <v>0</v>
      </c>
      <c r="K611" s="159">
        <f t="shared" ref="K611:K612" si="66">TRUNC($D611*G611,4)</f>
        <v>4.1200000000000001E-2</v>
      </c>
    </row>
    <row r="612" spans="1:11" ht="27.6" x14ac:dyDescent="0.3">
      <c r="A612" s="161">
        <v>4</v>
      </c>
      <c r="B612" s="160" t="str">
        <f>IF(OR(H612="SINAPI",H612="SINAPI-I"),IFERROR(VLOOKUP(I612,'SINAPI-comp'!$B:$H,2,0),VLOOKUP(I612,'SINAPI-insumo'!$B:$H,2,0)))</f>
        <v>VIBRADOR DE IMERSÃO, DIÂMETRO DE PONTEIRA 45MM, MOTOR ELÉTRICO TRIFÁSICO POTÊNCIA DE 2 CV - CHP DIURNO. AF_06/2015</v>
      </c>
      <c r="C612" s="151" t="str">
        <f>IF(OR(H612="SINAPI",H612="SINAPI-I"),IFERROR(VLOOKUP(I612,'SINAPI-comp'!$B:$H,3,0),VLOOKUP(I612,'SINAPI-insumo'!$B:$H,3,0)))</f>
        <v>CHP</v>
      </c>
      <c r="D612" s="153">
        <v>9.1999999999999998E-2</v>
      </c>
      <c r="E612" s="164" t="s">
        <v>16417</v>
      </c>
      <c r="F612" s="155">
        <f>IFERROR(VLOOKUP(I612,'SINAPI-comp'!$B:$H,4,0)-G612,0)</f>
        <v>0</v>
      </c>
      <c r="G612" s="156">
        <f>IF(OR(H612="SINAPI",H612="SINAPI-I"),IFERROR(VLOOKUP(I612,'SINAPI-comp'!$B:$H,7,0),VLOOKUP(I612,'SINAPI-insumo'!$B:$H,7,0)))</f>
        <v>1.44</v>
      </c>
      <c r="H612" s="157" t="s">
        <v>149</v>
      </c>
      <c r="I612" s="158">
        <v>90586</v>
      </c>
      <c r="J612" s="159">
        <f t="shared" si="65"/>
        <v>0</v>
      </c>
      <c r="K612" s="159">
        <f t="shared" si="66"/>
        <v>0.13239999999999999</v>
      </c>
    </row>
    <row r="613" spans="1:11" ht="41.4" x14ac:dyDescent="0.3">
      <c r="A613" s="161">
        <v>5</v>
      </c>
      <c r="B613" s="152" t="str">
        <f>IF(H613="SINAPI",IFERROR(VLOOKUP(I613,'SINAPI-comp'!$B:$H,2,0),VLOOKUP(I613,'SINAPI-insumo'!$B:$H,2,0)))</f>
        <v>CONCRETO USINADO BOMBEAVEL, CLASSE DE RESISTENCIA C20, COM BRITA 0 E 1, SLUMP = 130 +/- 20 MM, EXCLUI SERVICO DE BOMBEAMENTO (NBR 8953)</v>
      </c>
      <c r="C613" s="151" t="str">
        <f>IF(H613="SINAPI",IFERROR(VLOOKUP(I613,'SINAPI-comp'!$B:$H,3,0),VLOOKUP(I613,'SINAPI-insumo'!$B:$H,3,0)))</f>
        <v>M3</v>
      </c>
      <c r="D613" s="153">
        <v>1.23</v>
      </c>
      <c r="E613" s="164" t="s">
        <v>16417</v>
      </c>
      <c r="F613" s="155">
        <f>IFERROR(VLOOKUP(I613,'SINAPI-comp'!$B:$H,4,0)-G613,0)</f>
        <v>0</v>
      </c>
      <c r="G613" s="156">
        <f>IF(H613="SINAPI",IFERROR(VLOOKUP(I613,'SINAPI-comp'!$B:$H,7,0),VLOOKUP(I613,'SINAPI-insumo'!$B:$H,7,0)))</f>
        <v>652.55999999999995</v>
      </c>
      <c r="H613" s="168" t="s">
        <v>53</v>
      </c>
      <c r="I613" s="158">
        <v>38404</v>
      </c>
      <c r="J613" s="159">
        <f t="shared" si="64"/>
        <v>0</v>
      </c>
      <c r="K613" s="159">
        <f t="shared" si="64"/>
        <v>802.64880000000005</v>
      </c>
    </row>
    <row r="616" spans="1:11" s="494" customFormat="1" x14ac:dyDescent="0.25">
      <c r="A616" s="674" t="s">
        <v>131</v>
      </c>
      <c r="B616" s="674" t="s">
        <v>132</v>
      </c>
      <c r="C616" s="675"/>
      <c r="D616" s="511"/>
      <c r="E616" s="675"/>
      <c r="F616" s="675"/>
      <c r="G616" s="675"/>
      <c r="H616" s="676" t="s">
        <v>133</v>
      </c>
      <c r="I616" s="677"/>
      <c r="J616" s="512" t="s">
        <v>134</v>
      </c>
      <c r="K616" s="512" t="s">
        <v>15795</v>
      </c>
    </row>
    <row r="617" spans="1:11" x14ac:dyDescent="0.3">
      <c r="A617" s="136" t="s">
        <v>15552</v>
      </c>
      <c r="B617" s="137" t="s">
        <v>15553</v>
      </c>
      <c r="C617" s="173"/>
      <c r="D617" s="174"/>
      <c r="E617" s="138"/>
      <c r="F617" s="140"/>
      <c r="G617" s="140"/>
      <c r="H617" s="141" t="s">
        <v>159</v>
      </c>
      <c r="I617" s="175"/>
      <c r="J617" s="143">
        <f>TRUNC(SUM(J619:J621),2)</f>
        <v>12.73</v>
      </c>
      <c r="K617" s="143">
        <f>TRUNC(SUM(K619:K621),2)</f>
        <v>11.43</v>
      </c>
    </row>
    <row r="618" spans="1:11" s="687" customFormat="1" ht="27.6" x14ac:dyDescent="0.25">
      <c r="A618" s="522" t="s">
        <v>137</v>
      </c>
      <c r="B618" s="523" t="s">
        <v>19</v>
      </c>
      <c r="C618" s="524" t="s">
        <v>20</v>
      </c>
      <c r="D618" s="682" t="s">
        <v>138</v>
      </c>
      <c r="E618" s="525" t="s">
        <v>139</v>
      </c>
      <c r="F618" s="683" t="s">
        <v>140</v>
      </c>
      <c r="G618" s="684" t="s">
        <v>15796</v>
      </c>
      <c r="H618" s="685" t="s">
        <v>142</v>
      </c>
      <c r="I618" s="686"/>
      <c r="J618" s="684" t="s">
        <v>143</v>
      </c>
      <c r="K618" s="684" t="s">
        <v>15797</v>
      </c>
    </row>
    <row r="619" spans="1:11" ht="27.6" x14ac:dyDescent="0.3">
      <c r="A619" s="161">
        <v>1</v>
      </c>
      <c r="B619" s="152" t="str">
        <f>IF(H619="SINAPI",IFERROR(VLOOKUP(I619,'SINAPI-comp'!$B:$H,2,0),VLOOKUP(I619,'SINAPI-insumo'!$B:$H,2,0)))</f>
        <v>ESCAVADEIRA HIDRÁULICA SOBRE ESTEIRAS, CAÇAMBA 0,80 M3, PESO OPERACIONAL 17 T, POTENCIA BRUTA 111 HP - CHI DIURNO. AF_06/2014</v>
      </c>
      <c r="C619" s="151" t="str">
        <f>IF(H619="SINAPI",IFERROR(VLOOKUP(I619,'SINAPI-comp'!$B:$H,3,0),VLOOKUP(I619,'SINAPI-insumo'!$B:$H,3,0)))</f>
        <v>CHI</v>
      </c>
      <c r="D619" s="153">
        <v>7.4999999999999997E-2</v>
      </c>
      <c r="E619" s="164" t="s">
        <v>189</v>
      </c>
      <c r="F619" s="155">
        <f>IFERROR(VLOOKUP(I619,'SINAPI-comp'!$B:$H,4,0)-G619,0)</f>
        <v>33.629999999999995</v>
      </c>
      <c r="G619" s="156">
        <f>IF(H619="SINAPI",IFERROR(VLOOKUP(I619,'SINAPI-comp'!$B:$H,7,0),VLOOKUP(I619,'SINAPI-insumo'!$B:$H,7,0)))</f>
        <v>57.7</v>
      </c>
      <c r="H619" s="168" t="s">
        <v>53</v>
      </c>
      <c r="I619" s="158">
        <v>5632</v>
      </c>
      <c r="J619" s="159">
        <f t="shared" ref="J619:J621" si="67">TRUNC($D619*F619,4)</f>
        <v>2.5222000000000002</v>
      </c>
      <c r="K619" s="159">
        <f t="shared" ref="K619:K621" si="68">TRUNC($D619*G619,4)</f>
        <v>4.3274999999999997</v>
      </c>
    </row>
    <row r="620" spans="1:11" ht="27.6" x14ac:dyDescent="0.3">
      <c r="A620" s="161">
        <v>2</v>
      </c>
      <c r="B620" s="152" t="str">
        <f>IF(H620="SINAPI",IFERROR(VLOOKUP(I620,'SINAPI-comp'!$B:$H,2,0),VLOOKUP(I620,'SINAPI-insumo'!$B:$H,2,0)))</f>
        <v>ESCAVADEIRA HIDRÁULICA SOBRE ESTEIRAS, CAÇAMBA 0,80 M3, PESO OPERACIONAL 17 T, POTENCIA BRUTA 111 HP - CHP DIURNO. AF_06/2014</v>
      </c>
      <c r="C620" s="151" t="str">
        <f>IF(H620="SINAPI",IFERROR(VLOOKUP(I620,'SINAPI-comp'!$B:$H,3,0),VLOOKUP(I620,'SINAPI-insumo'!$B:$H,3,0)))</f>
        <v>CHP</v>
      </c>
      <c r="D620" s="153">
        <v>3.8600000000000002E-2</v>
      </c>
      <c r="E620" s="164" t="s">
        <v>189</v>
      </c>
      <c r="F620" s="155">
        <f>IFERROR(VLOOKUP(I620,'SINAPI-comp'!$B:$H,4,0)-G620,0)</f>
        <v>33.640000000000015</v>
      </c>
      <c r="G620" s="156">
        <f>IF(H620="SINAPI",IFERROR(VLOOKUP(I620,'SINAPI-comp'!$B:$H,7,0),VLOOKUP(I620,'SINAPI-insumo'!$B:$H,7,0)))</f>
        <v>184.2</v>
      </c>
      <c r="H620" s="168" t="s">
        <v>53</v>
      </c>
      <c r="I620" s="158">
        <v>5631</v>
      </c>
      <c r="J620" s="159">
        <f t="shared" si="67"/>
        <v>1.2985</v>
      </c>
      <c r="K620" s="159">
        <f t="shared" si="68"/>
        <v>7.1101000000000001</v>
      </c>
    </row>
    <row r="621" spans="1:11" x14ac:dyDescent="0.3">
      <c r="A621" s="161">
        <v>3</v>
      </c>
      <c r="B621" s="152" t="str">
        <f>IF(H621="SINAPI",IFERROR(VLOOKUP(I621,'SINAPI-comp'!$B:$H,2,0),VLOOKUP(I621,'SINAPI-insumo'!$B:$H,2,0)))</f>
        <v>SERVENTE COM ENCARGOS COMPLEMENTARES</v>
      </c>
      <c r="C621" s="151" t="str">
        <f>IF(H621="SINAPI",IFERROR(VLOOKUP(I621,'SINAPI-comp'!$B:$H,3,0),VLOOKUP(I621,'SINAPI-insumo'!$B:$H,3,0)))</f>
        <v>H</v>
      </c>
      <c r="D621" s="153">
        <v>0.34520000000000001</v>
      </c>
      <c r="E621" s="164" t="s">
        <v>189</v>
      </c>
      <c r="F621" s="155">
        <f>IFERROR(VLOOKUP(I621,'SINAPI-comp'!$B:$H,4,0)-G621,0)</f>
        <v>25.81</v>
      </c>
      <c r="G621" s="156">
        <f>IF(H621="SINAPI",IFERROR(VLOOKUP(I621,'SINAPI-comp'!$B:$H,7,0),VLOOKUP(I621,'SINAPI-insumo'!$B:$H,7,0)))</f>
        <v>0</v>
      </c>
      <c r="H621" s="168" t="s">
        <v>53</v>
      </c>
      <c r="I621" s="158">
        <v>88316</v>
      </c>
      <c r="J621" s="159">
        <f t="shared" si="67"/>
        <v>8.9095999999999993</v>
      </c>
      <c r="K621" s="159">
        <f t="shared" si="68"/>
        <v>0</v>
      </c>
    </row>
    <row r="624" spans="1:11" s="494" customFormat="1" x14ac:dyDescent="0.25">
      <c r="A624" s="674" t="s">
        <v>131</v>
      </c>
      <c r="B624" s="674" t="s">
        <v>132</v>
      </c>
      <c r="C624" s="675"/>
      <c r="D624" s="511"/>
      <c r="E624" s="675"/>
      <c r="F624" s="675"/>
      <c r="G624" s="675"/>
      <c r="H624" s="676" t="s">
        <v>133</v>
      </c>
      <c r="I624" s="677"/>
      <c r="J624" s="512" t="s">
        <v>134</v>
      </c>
      <c r="K624" s="512" t="s">
        <v>15795</v>
      </c>
    </row>
    <row r="625" spans="1:11" x14ac:dyDescent="0.3">
      <c r="A625" s="136" t="s">
        <v>15556</v>
      </c>
      <c r="B625" s="137" t="s">
        <v>15528</v>
      </c>
      <c r="C625" s="173"/>
      <c r="D625" s="174"/>
      <c r="E625" s="138"/>
      <c r="F625" s="140"/>
      <c r="G625" s="140"/>
      <c r="H625" s="141" t="s">
        <v>168</v>
      </c>
      <c r="I625" s="175"/>
      <c r="J625" s="143">
        <f>TRUNC(SUM(J627:J627),2)</f>
        <v>0.71</v>
      </c>
      <c r="K625" s="143">
        <f>TRUNC(SUM(K627:K627),2)</f>
        <v>0</v>
      </c>
    </row>
    <row r="626" spans="1:11" s="687" customFormat="1" ht="27.6" x14ac:dyDescent="0.25">
      <c r="A626" s="522" t="s">
        <v>137</v>
      </c>
      <c r="B626" s="523" t="s">
        <v>19</v>
      </c>
      <c r="C626" s="524" t="s">
        <v>20</v>
      </c>
      <c r="D626" s="682" t="s">
        <v>138</v>
      </c>
      <c r="E626" s="525" t="s">
        <v>139</v>
      </c>
      <c r="F626" s="683" t="s">
        <v>140</v>
      </c>
      <c r="G626" s="684" t="s">
        <v>15796</v>
      </c>
      <c r="H626" s="685" t="s">
        <v>142</v>
      </c>
      <c r="I626" s="686"/>
      <c r="J626" s="684" t="s">
        <v>143</v>
      </c>
      <c r="K626" s="684" t="s">
        <v>15797</v>
      </c>
    </row>
    <row r="627" spans="1:11" x14ac:dyDescent="0.3">
      <c r="A627" s="161">
        <v>1</v>
      </c>
      <c r="B627" s="152" t="str">
        <f>IF(H627="SINAPI",IFERROR(VLOOKUP(I627,'SINAPI-comp'!$B:$H,2,0),VLOOKUP(I627,'SINAPI-insumo'!$B:$H,2,0)))</f>
        <v>SERVENTE COM ENCARGOS COMPLEMENTARES</v>
      </c>
      <c r="C627" s="151" t="str">
        <f>IF(H627="SINAPI",IFERROR(VLOOKUP(I627,'SINAPI-comp'!$B:$H,3,0),VLOOKUP(I627,'SINAPI-insumo'!$B:$H,3,0)))</f>
        <v>H</v>
      </c>
      <c r="D627" s="153">
        <v>2.7799999999999998E-2</v>
      </c>
      <c r="E627" s="164" t="s">
        <v>204</v>
      </c>
      <c r="F627" s="155">
        <f>IFERROR(VLOOKUP(I627,'SINAPI-comp'!$B:$H,4,0)-G627,0)</f>
        <v>25.81</v>
      </c>
      <c r="G627" s="156">
        <f>IF(H627="SINAPI",IFERROR(VLOOKUP(I627,'SINAPI-comp'!$B:$H,7,0),VLOOKUP(I627,'SINAPI-insumo'!$B:$H,7,0)))</f>
        <v>0</v>
      </c>
      <c r="H627" s="168" t="s">
        <v>53</v>
      </c>
      <c r="I627" s="158">
        <v>88316</v>
      </c>
      <c r="J627" s="159">
        <f>TRUNC($D627*F627,4)</f>
        <v>0.71750000000000003</v>
      </c>
      <c r="K627" s="159">
        <f>TRUNC($D627*G627,4)</f>
        <v>0</v>
      </c>
    </row>
    <row r="630" spans="1:11" s="494" customFormat="1" x14ac:dyDescent="0.25">
      <c r="A630" s="674" t="s">
        <v>131</v>
      </c>
      <c r="B630" s="674" t="s">
        <v>132</v>
      </c>
      <c r="C630" s="675"/>
      <c r="D630" s="511"/>
      <c r="E630" s="675"/>
      <c r="F630" s="675"/>
      <c r="G630" s="675"/>
      <c r="H630" s="676" t="s">
        <v>133</v>
      </c>
      <c r="I630" s="677"/>
      <c r="J630" s="512" t="s">
        <v>134</v>
      </c>
      <c r="K630" s="512" t="s">
        <v>15795</v>
      </c>
    </row>
    <row r="631" spans="1:11" x14ac:dyDescent="0.3">
      <c r="A631" s="136" t="s">
        <v>15557</v>
      </c>
      <c r="B631" s="137" t="s">
        <v>205</v>
      </c>
      <c r="C631" s="173"/>
      <c r="D631" s="174"/>
      <c r="E631" s="138"/>
      <c r="F631" s="140"/>
      <c r="G631" s="140"/>
      <c r="H631" s="141" t="s">
        <v>136</v>
      </c>
      <c r="I631" s="175"/>
      <c r="J631" s="143">
        <f>TRUNC(SUM(J633:J633),2)</f>
        <v>1651.84</v>
      </c>
      <c r="K631" s="143">
        <f>TRUNC(SUM(K633:K633),2)</f>
        <v>0</v>
      </c>
    </row>
    <row r="632" spans="1:11" s="687" customFormat="1" ht="27.6" x14ac:dyDescent="0.25">
      <c r="A632" s="522" t="s">
        <v>137</v>
      </c>
      <c r="B632" s="523" t="s">
        <v>19</v>
      </c>
      <c r="C632" s="524" t="s">
        <v>20</v>
      </c>
      <c r="D632" s="682" t="s">
        <v>138</v>
      </c>
      <c r="E632" s="525" t="s">
        <v>139</v>
      </c>
      <c r="F632" s="683" t="s">
        <v>140</v>
      </c>
      <c r="G632" s="684" t="s">
        <v>15796</v>
      </c>
      <c r="H632" s="685" t="s">
        <v>142</v>
      </c>
      <c r="I632" s="686"/>
      <c r="J632" s="684" t="s">
        <v>143</v>
      </c>
      <c r="K632" s="684" t="s">
        <v>15797</v>
      </c>
    </row>
    <row r="633" spans="1:11" x14ac:dyDescent="0.3">
      <c r="A633" s="161">
        <v>1</v>
      </c>
      <c r="B633" s="152" t="str">
        <f>IF(H633="SINAPI",IFERROR(VLOOKUP(I633,'SINAPI-comp'!$B:$H,2,0),VLOOKUP(I633,'SINAPI-insumo'!$B:$H,2,0)))</f>
        <v>SERVENTE COM ENCARGOS COMPLEMENTARES</v>
      </c>
      <c r="C633" s="151" t="str">
        <f>IF(H633="SINAPI",IFERROR(VLOOKUP(I633,'SINAPI-comp'!$B:$H,3,0),VLOOKUP(I633,'SINAPI-insumo'!$B:$H,3,0)))</f>
        <v>H</v>
      </c>
      <c r="D633" s="153">
        <f>4*2*8</f>
        <v>64</v>
      </c>
      <c r="E633" s="164" t="s">
        <v>206</v>
      </c>
      <c r="F633" s="155">
        <f>IFERROR(VLOOKUP(I633,'SINAPI-comp'!$B:$H,4,0)-G633,0)</f>
        <v>25.81</v>
      </c>
      <c r="G633" s="156">
        <f>IF(H633="SINAPI",IFERROR(VLOOKUP(I633,'SINAPI-comp'!$B:$H,7,0),VLOOKUP(I633,'SINAPI-insumo'!$B:$H,7,0)))</f>
        <v>0</v>
      </c>
      <c r="H633" s="168" t="s">
        <v>53</v>
      </c>
      <c r="I633" s="158">
        <v>88316</v>
      </c>
      <c r="J633" s="159">
        <f>TRUNC($D633*F633,4)</f>
        <v>1651.84</v>
      </c>
      <c r="K633" s="159">
        <f>TRUNC($D633*G633,4)</f>
        <v>0</v>
      </c>
    </row>
    <row r="636" spans="1:11" s="494" customFormat="1" x14ac:dyDescent="0.25">
      <c r="A636" s="674" t="s">
        <v>131</v>
      </c>
      <c r="B636" s="674" t="s">
        <v>132</v>
      </c>
      <c r="C636" s="675"/>
      <c r="D636" s="511"/>
      <c r="E636" s="675"/>
      <c r="F636" s="675"/>
      <c r="G636" s="675"/>
      <c r="H636" s="676" t="s">
        <v>133</v>
      </c>
      <c r="I636" s="677"/>
      <c r="J636" s="512" t="s">
        <v>134</v>
      </c>
      <c r="K636" s="512" t="s">
        <v>15795</v>
      </c>
    </row>
    <row r="637" spans="1:11" x14ac:dyDescent="0.3">
      <c r="A637" s="136" t="s">
        <v>16422</v>
      </c>
      <c r="B637" s="137" t="s">
        <v>16424</v>
      </c>
      <c r="C637" s="173"/>
      <c r="D637" s="174"/>
      <c r="E637" s="138"/>
      <c r="F637" s="140"/>
      <c r="G637" s="140"/>
      <c r="H637" s="141" t="s">
        <v>159</v>
      </c>
      <c r="I637" s="175"/>
      <c r="J637" s="143">
        <f>TRUNC(SUM(J639:J642),2)</f>
        <v>1.83</v>
      </c>
      <c r="K637" s="143">
        <f>TRUNC(SUM(K639:K642),2)</f>
        <v>0.9</v>
      </c>
    </row>
    <row r="638" spans="1:11" s="687" customFormat="1" ht="27.6" x14ac:dyDescent="0.25">
      <c r="A638" s="522" t="s">
        <v>137</v>
      </c>
      <c r="B638" s="523" t="s">
        <v>19</v>
      </c>
      <c r="C638" s="524" t="s">
        <v>20</v>
      </c>
      <c r="D638" s="682" t="s">
        <v>138</v>
      </c>
      <c r="E638" s="525" t="s">
        <v>139</v>
      </c>
      <c r="F638" s="683" t="s">
        <v>140</v>
      </c>
      <c r="G638" s="684" t="s">
        <v>15796</v>
      </c>
      <c r="H638" s="685" t="s">
        <v>142</v>
      </c>
      <c r="I638" s="686"/>
      <c r="J638" s="684" t="s">
        <v>143</v>
      </c>
      <c r="K638" s="684" t="s">
        <v>15797</v>
      </c>
    </row>
    <row r="639" spans="1:11" ht="55.2" x14ac:dyDescent="0.3">
      <c r="A639" s="161">
        <v>1</v>
      </c>
      <c r="B639" s="152" t="str">
        <f>IF(H639="SINAPI",IFERROR(VLOOKUP(I639,'SINAPI-comp'!$B:$H,2,0),VLOOKUP(I639,'SINAPI-insumo'!$B:$H,2,0)))</f>
        <v>CORTADORA DE PISO COM MOTOR 4 TEMPOS A GASOLINA, POTÊNCIA DE 13 HP, COM DISCO DE CORTE DIAMANTADO SEGMENTADO PARA CONCRETO, DIÂMETRO DE 350 MM, FURO DE 1" (14 X 1") - CHI DIURNO. AF_08/2015</v>
      </c>
      <c r="C639" s="151" t="str">
        <f>IF(H639="SINAPI",IFERROR(VLOOKUP(I639,'SINAPI-comp'!$B:$H,3,0),VLOOKUP(I639,'SINAPI-insumo'!$B:$H,3,0)))</f>
        <v>CHI</v>
      </c>
      <c r="D639" s="153">
        <v>3.4000000000000002E-2</v>
      </c>
      <c r="E639" s="164" t="s">
        <v>16423</v>
      </c>
      <c r="F639" s="155">
        <f>IFERROR(VLOOKUP(I639,'SINAPI-comp'!$B:$H,4,0)-G639,0)</f>
        <v>0</v>
      </c>
      <c r="G639" s="156">
        <f>IF(H639="SINAPI",IFERROR(VLOOKUP(I639,'SINAPI-comp'!$B:$H,7,0),VLOOKUP(I639,'SINAPI-insumo'!$B:$H,7,0)))</f>
        <v>0.56999999999999995</v>
      </c>
      <c r="H639" s="168" t="s">
        <v>53</v>
      </c>
      <c r="I639" s="158">
        <v>91285</v>
      </c>
      <c r="J639" s="159">
        <f t="shared" ref="J639:J642" si="69">TRUNC($D639*F639,4)</f>
        <v>0</v>
      </c>
      <c r="K639" s="159">
        <f t="shared" ref="K639:K642" si="70">TRUNC($D639*G639,4)</f>
        <v>1.9300000000000001E-2</v>
      </c>
    </row>
    <row r="640" spans="1:11" ht="55.2" x14ac:dyDescent="0.3">
      <c r="A640" s="161">
        <v>2</v>
      </c>
      <c r="B640" s="152" t="str">
        <f>IF(H640="SINAPI",IFERROR(VLOOKUP(I640,'SINAPI-comp'!$B:$H,2,0),VLOOKUP(I640,'SINAPI-insumo'!$B:$H,2,0)))</f>
        <v>CORTADORA DE PISO COM MOTOR 4 TEMPOS A GASOLINA, POTÊNCIA DE 13 HP, COM DISCO DE CORTE DIAMANTADO SEGMENTADO PARA CONCRETO, DIÂMETRO DE 350 MM, FURO DE 1" (14 X 1") - CHP DIURNO. AF_08/2015</v>
      </c>
      <c r="C640" s="151" t="str">
        <f>IF(H640="SINAPI",IFERROR(VLOOKUP(I640,'SINAPI-comp'!$B:$H,3,0),VLOOKUP(I640,'SINAPI-insumo'!$B:$H,3,0)))</f>
        <v>CHP</v>
      </c>
      <c r="D640" s="153">
        <v>2.5000000000000001E-2</v>
      </c>
      <c r="E640" s="164" t="s">
        <v>16423</v>
      </c>
      <c r="F640" s="155">
        <f>IFERROR(VLOOKUP(I640,'SINAPI-comp'!$B:$H,4,0)-G640,0)</f>
        <v>0</v>
      </c>
      <c r="G640" s="156">
        <f>IF(H640="SINAPI",IFERROR(VLOOKUP(I640,'SINAPI-comp'!$B:$H,7,0),VLOOKUP(I640,'SINAPI-insumo'!$B:$H,7,0)))</f>
        <v>10.19</v>
      </c>
      <c r="H640" s="168" t="s">
        <v>53</v>
      </c>
      <c r="I640" s="158">
        <v>91283</v>
      </c>
      <c r="J640" s="159">
        <f t="shared" si="69"/>
        <v>0</v>
      </c>
      <c r="K640" s="159">
        <f t="shared" si="70"/>
        <v>0.25469999999999998</v>
      </c>
    </row>
    <row r="641" spans="1:11" ht="27.6" x14ac:dyDescent="0.3">
      <c r="A641" s="161">
        <v>3</v>
      </c>
      <c r="B641" s="152" t="str">
        <f>IF(H641="SINAPI",IFERROR(VLOOKUP(I641,'SINAPI-comp'!$B:$H,2,0),VLOOKUP(I641,'SINAPI-insumo'!$B:$H,2,0)))</f>
        <v>DISCO DE CORTE DIAMANTADO SEGMENTADO PARA CONCRETO/ASFALTO, DIAMETRO DE *350* MM, FURO DE 25,40 MM</v>
      </c>
      <c r="C641" s="151" t="str">
        <f>IF(H641="SINAPI",IFERROR(VLOOKUP(I641,'SINAPI-comp'!$B:$H,3,0),VLOOKUP(I641,'SINAPI-insumo'!$B:$H,3,0)))</f>
        <v>UN</v>
      </c>
      <c r="D641" s="153">
        <v>2E-3</v>
      </c>
      <c r="E641" s="164" t="s">
        <v>16423</v>
      </c>
      <c r="F641" s="155">
        <f>IFERROR(VLOOKUP(I641,'SINAPI-comp'!$B:$H,4,0)-G641,0)</f>
        <v>0</v>
      </c>
      <c r="G641" s="156">
        <f>IF(H641="SINAPI",IFERROR(VLOOKUP(I641,'SINAPI-comp'!$B:$H,7,0),VLOOKUP(I641,'SINAPI-insumo'!$B:$H,7,0)))</f>
        <v>314.39</v>
      </c>
      <c r="H641" s="168" t="s">
        <v>53</v>
      </c>
      <c r="I641" s="158">
        <v>13887</v>
      </c>
      <c r="J641" s="159">
        <f t="shared" ref="J641" si="71">TRUNC($D641*F641,4)</f>
        <v>0</v>
      </c>
      <c r="K641" s="159">
        <f t="shared" ref="K641" si="72">TRUNC($D641*G641,4)</f>
        <v>0.62870000000000004</v>
      </c>
    </row>
    <row r="642" spans="1:11" x14ac:dyDescent="0.3">
      <c r="A642" s="161">
        <v>4</v>
      </c>
      <c r="B642" s="152" t="str">
        <f>IF(H642="SINAPI",IFERROR(VLOOKUP(I642,'SINAPI-comp'!$B:$H,2,0),VLOOKUP(I642,'SINAPI-insumo'!$B:$H,2,0)))</f>
        <v>PEDREIRO COM ENCARGOS COMPLEMENTARES</v>
      </c>
      <c r="C642" s="151" t="str">
        <f>IF(H642="SINAPI",IFERROR(VLOOKUP(I642,'SINAPI-comp'!$B:$H,3,0),VLOOKUP(I642,'SINAPI-insumo'!$B:$H,3,0)))</f>
        <v>H</v>
      </c>
      <c r="D642" s="153">
        <v>5.8999999999999997E-2</v>
      </c>
      <c r="E642" s="164" t="s">
        <v>16423</v>
      </c>
      <c r="F642" s="155">
        <f>IFERROR(VLOOKUP(I642,'SINAPI-comp'!$B:$H,4,0)-G642,0)</f>
        <v>31.11</v>
      </c>
      <c r="G642" s="156">
        <f>IF(H642="SINAPI",IFERROR(VLOOKUP(I642,'SINAPI-comp'!$B:$H,7,0),VLOOKUP(I642,'SINAPI-insumo'!$B:$H,7,0)))</f>
        <v>0</v>
      </c>
      <c r="H642" s="168" t="s">
        <v>53</v>
      </c>
      <c r="I642" s="158">
        <v>88309</v>
      </c>
      <c r="J642" s="159">
        <f t="shared" si="69"/>
        <v>1.8353999999999999</v>
      </c>
      <c r="K642" s="159">
        <f t="shared" si="70"/>
        <v>0</v>
      </c>
    </row>
  </sheetData>
  <pageMargins left="0.51180555555555596" right="0.51180555555555596" top="0.78749999999999998" bottom="0.78749999999999998" header="0.511811023622047" footer="0.511811023622047"/>
  <pageSetup paperSize="9" fitToHeight="0" orientation="portrait" horizontalDpi="300" verticalDpi="30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M40"/>
  <sheetViews>
    <sheetView showGridLines="0" zoomScale="85" zoomScaleNormal="85" workbookViewId="0">
      <selection activeCell="V24" sqref="V24"/>
    </sheetView>
  </sheetViews>
  <sheetFormatPr defaultColWidth="8.5546875" defaultRowHeight="14.4" x14ac:dyDescent="0.3"/>
  <cols>
    <col min="1" max="1" width="12.33203125" customWidth="1"/>
    <col min="2" max="2" width="17.33203125" customWidth="1"/>
    <col min="3" max="3" width="24" customWidth="1"/>
    <col min="4" max="4" width="82.5546875" customWidth="1"/>
    <col min="5" max="5" width="8.33203125" customWidth="1"/>
    <col min="6" max="6" width="11.5546875" customWidth="1"/>
    <col min="7" max="7" width="19.109375" customWidth="1"/>
    <col min="8" max="8" width="20.33203125" customWidth="1"/>
    <col min="9" max="10" width="12" customWidth="1"/>
    <col min="12" max="12" width="23.109375" customWidth="1"/>
  </cols>
  <sheetData>
    <row r="1" spans="1:13" s="7" customFormat="1" ht="21" x14ac:dyDescent="0.25">
      <c r="A1" s="27"/>
      <c r="B1" s="28" t="s">
        <v>16</v>
      </c>
      <c r="C1" s="28"/>
      <c r="D1" s="29"/>
      <c r="E1" s="28"/>
      <c r="F1" s="28"/>
      <c r="G1" s="28"/>
      <c r="H1" s="28"/>
      <c r="I1" s="28"/>
      <c r="J1" s="28"/>
      <c r="K1" s="28"/>
      <c r="L1" s="185"/>
    </row>
    <row r="2" spans="1:13" s="7" customFormat="1" ht="17.399999999999999" x14ac:dyDescent="0.25">
      <c r="A2" s="34"/>
      <c r="B2" s="35" t="str">
        <f>dados!B2</f>
        <v>SECRETARIA MUNICIPAL DE OBRAS E INFRAESTRUTURA</v>
      </c>
      <c r="C2" s="35"/>
      <c r="D2" s="36"/>
      <c r="E2" s="35"/>
      <c r="F2" s="35"/>
      <c r="G2" s="35"/>
      <c r="H2" s="35"/>
      <c r="I2" s="35"/>
      <c r="J2" s="35"/>
      <c r="K2" s="35"/>
      <c r="L2" s="186"/>
    </row>
    <row r="3" spans="1:13" s="7" customFormat="1" ht="13.8" x14ac:dyDescent="0.25">
      <c r="A3" s="40"/>
      <c r="B3" s="129" t="str">
        <f>"Objeto: "&amp;dados!B3</f>
        <v>Objeto: Execução de Obras de Pavimentação e Redes de Drenagem na Rua Giruá</v>
      </c>
      <c r="C3" s="41"/>
      <c r="D3" s="43"/>
      <c r="E3" s="44"/>
      <c r="F3" s="44"/>
      <c r="G3" s="44"/>
      <c r="H3" s="44"/>
      <c r="I3" s="44"/>
      <c r="J3" s="44"/>
      <c r="K3" s="44"/>
      <c r="L3" s="187"/>
    </row>
    <row r="4" spans="1:13" s="7" customFormat="1" ht="13.8" x14ac:dyDescent="0.25">
      <c r="A4" s="40"/>
      <c r="B4" s="129" t="str">
        <f>"Endereço: "&amp;dados!B4</f>
        <v>Endereço: Rua Giruá, Vila Panorama, Lomba Pinheiro, Porto Alegre, RS</v>
      </c>
      <c r="C4" s="41"/>
      <c r="D4" s="43"/>
      <c r="E4" s="44"/>
      <c r="F4" s="44"/>
      <c r="G4" s="44"/>
      <c r="H4" s="44"/>
      <c r="I4" s="44"/>
      <c r="J4" s="44"/>
      <c r="K4" s="44"/>
      <c r="L4" s="187"/>
    </row>
    <row r="5" spans="1:13" s="7" customFormat="1" ht="13.8" x14ac:dyDescent="0.25">
      <c r="A5" s="40"/>
      <c r="B5" s="42"/>
      <c r="C5" s="41"/>
      <c r="D5" s="41"/>
      <c r="E5" s="44"/>
      <c r="F5" s="44"/>
      <c r="G5" s="44"/>
      <c r="H5" s="44"/>
      <c r="I5" s="44"/>
      <c r="J5" s="44"/>
      <c r="K5" s="44"/>
      <c r="L5" s="187"/>
    </row>
    <row r="6" spans="1:13" s="55" customFormat="1" ht="17.399999999999999" x14ac:dyDescent="0.25">
      <c r="A6" s="40"/>
      <c r="B6" s="188" t="s">
        <v>213</v>
      </c>
      <c r="C6" s="50"/>
      <c r="D6" s="51"/>
      <c r="E6" s="50"/>
      <c r="F6" s="50"/>
      <c r="G6" s="50"/>
      <c r="H6" s="50"/>
      <c r="I6" s="50"/>
      <c r="J6" s="50"/>
      <c r="K6" s="50"/>
      <c r="L6" s="189"/>
      <c r="M6" s="7"/>
    </row>
    <row r="7" spans="1:13" s="62" customFormat="1" ht="13.8" x14ac:dyDescent="0.25">
      <c r="A7" s="56"/>
      <c r="B7" s="57"/>
      <c r="C7" s="57"/>
      <c r="D7" s="57"/>
      <c r="E7" s="58"/>
      <c r="F7" s="58"/>
      <c r="G7" s="58"/>
      <c r="H7" s="58"/>
      <c r="I7" s="58"/>
      <c r="J7" s="58"/>
      <c r="K7" s="58"/>
      <c r="L7" s="190"/>
      <c r="M7" s="55"/>
    </row>
    <row r="8" spans="1:13" s="62" customFormat="1" ht="30" customHeight="1" x14ac:dyDescent="0.25">
      <c r="A8" s="65" t="s">
        <v>17</v>
      </c>
      <c r="B8" s="65" t="s">
        <v>18</v>
      </c>
      <c r="C8" s="64" t="s">
        <v>17</v>
      </c>
      <c r="D8" s="66" t="s">
        <v>19</v>
      </c>
      <c r="E8" s="66" t="s">
        <v>20</v>
      </c>
      <c r="F8" s="742" t="s">
        <v>214</v>
      </c>
      <c r="G8" s="742" t="s">
        <v>215</v>
      </c>
      <c r="H8" s="191"/>
      <c r="I8" s="192" t="s">
        <v>216</v>
      </c>
      <c r="J8" s="193">
        <f>dados!B9</f>
        <v>46204</v>
      </c>
      <c r="K8" s="194"/>
      <c r="L8" s="743" t="s">
        <v>217</v>
      </c>
    </row>
    <row r="9" spans="1:13" x14ac:dyDescent="0.3">
      <c r="A9" s="75"/>
      <c r="B9" s="75"/>
      <c r="C9" s="76"/>
      <c r="D9" s="69"/>
      <c r="E9" s="69"/>
      <c r="F9" s="742"/>
      <c r="G9" s="742"/>
      <c r="H9" s="77" t="s">
        <v>218</v>
      </c>
      <c r="I9" s="77" t="s">
        <v>219</v>
      </c>
      <c r="J9" s="77" t="s">
        <v>220</v>
      </c>
      <c r="K9" s="77" t="s">
        <v>221</v>
      </c>
      <c r="L9" s="743"/>
      <c r="M9" s="62"/>
    </row>
    <row r="10" spans="1:13" x14ac:dyDescent="0.3">
      <c r="A10" s="195" t="s">
        <v>152</v>
      </c>
      <c r="B10" s="195" t="s">
        <v>222</v>
      </c>
      <c r="C10" s="196" t="s">
        <v>223</v>
      </c>
      <c r="D10" s="197" t="s">
        <v>224</v>
      </c>
      <c r="E10" s="198" t="s">
        <v>136</v>
      </c>
      <c r="F10" s="199">
        <v>46023</v>
      </c>
      <c r="G10" s="200">
        <v>285.58999999999997</v>
      </c>
      <c r="H10" s="166"/>
      <c r="I10" s="201"/>
      <c r="J10" s="201"/>
      <c r="K10" s="201"/>
      <c r="L10" s="654">
        <f>G10</f>
        <v>285.58999999999997</v>
      </c>
    </row>
    <row r="11" spans="1:13" x14ac:dyDescent="0.3">
      <c r="A11" s="202" t="s">
        <v>225</v>
      </c>
      <c r="B11" s="202" t="s">
        <v>226</v>
      </c>
      <c r="C11" s="203"/>
      <c r="D11" s="204"/>
      <c r="E11" s="203"/>
      <c r="F11" s="199">
        <f>J8</f>
        <v>46204</v>
      </c>
      <c r="G11" s="203"/>
      <c r="H11" s="203"/>
      <c r="I11" s="203"/>
      <c r="J11" s="203"/>
      <c r="K11" s="203"/>
      <c r="L11" s="655"/>
    </row>
    <row r="12" spans="1:13" x14ac:dyDescent="0.3">
      <c r="A12" s="205"/>
      <c r="B12" s="206"/>
      <c r="C12" s="207"/>
      <c r="D12" s="208"/>
      <c r="E12" s="209"/>
      <c r="F12" s="210"/>
      <c r="G12" s="211"/>
      <c r="H12" s="212"/>
      <c r="I12" s="213"/>
      <c r="J12" s="213"/>
      <c r="K12" s="214"/>
      <c r="L12" s="656"/>
    </row>
    <row r="13" spans="1:13" ht="27.6" x14ac:dyDescent="0.3">
      <c r="A13" s="215" t="s">
        <v>165</v>
      </c>
      <c r="B13" s="215" t="s">
        <v>227</v>
      </c>
      <c r="C13" s="216" t="s">
        <v>228</v>
      </c>
      <c r="D13" s="217" t="s">
        <v>15599</v>
      </c>
      <c r="E13" s="218" t="s">
        <v>136</v>
      </c>
      <c r="F13" s="537">
        <v>46113</v>
      </c>
      <c r="G13" s="200">
        <v>181.2176</v>
      </c>
      <c r="H13" s="219"/>
      <c r="I13" s="220"/>
      <c r="J13" s="220"/>
      <c r="K13" s="221"/>
      <c r="L13" s="654">
        <f>TRUNC(G13*(1+K13),2)</f>
        <v>181.21</v>
      </c>
    </row>
    <row r="14" spans="1:13" ht="28.8" x14ac:dyDescent="0.3">
      <c r="A14" s="215" t="s">
        <v>155</v>
      </c>
      <c r="B14" s="215" t="s">
        <v>227</v>
      </c>
      <c r="C14" s="216" t="s">
        <v>229</v>
      </c>
      <c r="D14" s="222" t="s">
        <v>15600</v>
      </c>
      <c r="E14" s="218" t="s">
        <v>230</v>
      </c>
      <c r="F14" s="537">
        <v>46113</v>
      </c>
      <c r="G14" s="223">
        <v>335.50850000000003</v>
      </c>
      <c r="H14" s="203"/>
      <c r="I14" s="203"/>
      <c r="J14" s="203"/>
      <c r="K14" s="203"/>
      <c r="L14" s="654">
        <f>TRUNC(G14*(1+K14),2)</f>
        <v>335.5</v>
      </c>
    </row>
    <row r="15" spans="1:13" ht="27.6" x14ac:dyDescent="0.3">
      <c r="A15" s="504" t="s">
        <v>15448</v>
      </c>
      <c r="B15" s="504" t="s">
        <v>227</v>
      </c>
      <c r="C15" s="536" t="s">
        <v>15443</v>
      </c>
      <c r="D15" s="505" t="s">
        <v>15444</v>
      </c>
      <c r="E15" s="506" t="s">
        <v>230</v>
      </c>
      <c r="F15" s="537">
        <v>46113</v>
      </c>
      <c r="G15" s="538">
        <v>1901.2322999999999</v>
      </c>
      <c r="H15" s="539"/>
      <c r="I15" s="539"/>
      <c r="J15" s="539"/>
      <c r="K15" s="539"/>
      <c r="L15" s="657">
        <f t="shared" ref="L15:L17" si="0">TRUNC(G15*(1+K15),2)</f>
        <v>1901.23</v>
      </c>
    </row>
    <row r="16" spans="1:13" ht="16.5" customHeight="1" x14ac:dyDescent="0.3">
      <c r="A16" s="504" t="s">
        <v>15449</v>
      </c>
      <c r="B16" s="504" t="s">
        <v>227</v>
      </c>
      <c r="C16" s="536" t="s">
        <v>15445</v>
      </c>
      <c r="D16" s="505" t="s">
        <v>15446</v>
      </c>
      <c r="E16" s="506" t="s">
        <v>230</v>
      </c>
      <c r="F16" s="537">
        <v>46113</v>
      </c>
      <c r="G16" s="538">
        <v>169.17679999999999</v>
      </c>
      <c r="H16" s="539"/>
      <c r="I16" s="539"/>
      <c r="J16" s="539"/>
      <c r="K16" s="539"/>
      <c r="L16" s="657">
        <f t="shared" si="0"/>
        <v>169.17</v>
      </c>
    </row>
    <row r="17" spans="1:13" ht="16.5" customHeight="1" x14ac:dyDescent="0.3">
      <c r="A17" s="504" t="s">
        <v>15450</v>
      </c>
      <c r="B17" s="504" t="s">
        <v>227</v>
      </c>
      <c r="C17" s="536" t="s">
        <v>15447</v>
      </c>
      <c r="D17" s="505" t="s">
        <v>15562</v>
      </c>
      <c r="E17" s="506" t="s">
        <v>8120</v>
      </c>
      <c r="F17" s="537">
        <v>46113</v>
      </c>
      <c r="G17" s="538">
        <v>7.3472999999999997</v>
      </c>
      <c r="H17" s="539"/>
      <c r="I17" s="539"/>
      <c r="J17" s="539"/>
      <c r="K17" s="539"/>
      <c r="L17" s="657">
        <f t="shared" si="0"/>
        <v>7.34</v>
      </c>
    </row>
    <row r="18" spans="1:13" x14ac:dyDescent="0.3">
      <c r="A18" s="504" t="s">
        <v>15537</v>
      </c>
      <c r="B18" s="504" t="s">
        <v>227</v>
      </c>
      <c r="C18" s="536" t="s">
        <v>15535</v>
      </c>
      <c r="D18" s="505" t="s">
        <v>15536</v>
      </c>
      <c r="E18" s="506" t="s">
        <v>230</v>
      </c>
      <c r="F18" s="537">
        <v>46113</v>
      </c>
      <c r="G18" s="507">
        <v>37.642099999999999</v>
      </c>
      <c r="H18" s="539"/>
      <c r="I18" s="539"/>
      <c r="J18" s="539"/>
      <c r="K18" s="539"/>
      <c r="L18" s="657">
        <f>TRUNC(G18*(1+K18),2)</f>
        <v>37.64</v>
      </c>
    </row>
    <row r="19" spans="1:13" ht="27.6" x14ac:dyDescent="0.3">
      <c r="A19" s="503" t="s">
        <v>16431</v>
      </c>
      <c r="B19" s="536" t="s">
        <v>16429</v>
      </c>
      <c r="C19" s="536" t="s">
        <v>16428</v>
      </c>
      <c r="D19" s="505" t="s">
        <v>16430</v>
      </c>
      <c r="E19" s="506" t="s">
        <v>208</v>
      </c>
      <c r="F19" s="537">
        <v>46113</v>
      </c>
      <c r="G19" s="507">
        <v>3882.01</v>
      </c>
      <c r="H19" s="697"/>
      <c r="I19" s="509"/>
      <c r="J19" s="509"/>
      <c r="K19" s="221"/>
      <c r="L19" s="698">
        <f>TRUNC(G19*(1+K19),2)</f>
        <v>3882.01</v>
      </c>
    </row>
    <row r="20" spans="1:13" ht="27.6" x14ac:dyDescent="0.3">
      <c r="A20" s="503" t="s">
        <v>16432</v>
      </c>
      <c r="B20" s="536" t="s">
        <v>16429</v>
      </c>
      <c r="C20" s="536" t="s">
        <v>16434</v>
      </c>
      <c r="D20" s="505" t="s">
        <v>16435</v>
      </c>
      <c r="E20" s="506" t="s">
        <v>208</v>
      </c>
      <c r="F20" s="537">
        <v>46113</v>
      </c>
      <c r="G20" s="507">
        <v>5749.9</v>
      </c>
      <c r="H20" s="697"/>
      <c r="I20" s="509"/>
      <c r="J20" s="509"/>
      <c r="K20" s="221"/>
      <c r="L20" s="698">
        <f>TRUNC(G20*(1+K20),2)</f>
        <v>5749.9</v>
      </c>
    </row>
    <row r="21" spans="1:13" ht="27.6" x14ac:dyDescent="0.3">
      <c r="A21" s="503" t="s">
        <v>16433</v>
      </c>
      <c r="B21" s="536" t="s">
        <v>16429</v>
      </c>
      <c r="C21" s="536" t="s">
        <v>16437</v>
      </c>
      <c r="D21" s="505" t="s">
        <v>16436</v>
      </c>
      <c r="E21" s="506" t="s">
        <v>208</v>
      </c>
      <c r="F21" s="537">
        <v>46113</v>
      </c>
      <c r="G21" s="507">
        <v>5016.59</v>
      </c>
      <c r="H21" s="697"/>
      <c r="I21" s="509"/>
      <c r="J21" s="509"/>
      <c r="K21" s="221"/>
      <c r="L21" s="698">
        <f>TRUNC(G21*(1+K21),2)</f>
        <v>5016.59</v>
      </c>
    </row>
    <row r="22" spans="1:13" x14ac:dyDescent="0.3">
      <c r="A22" s="215"/>
      <c r="B22" s="215"/>
      <c r="C22" s="216"/>
      <c r="D22" s="217"/>
      <c r="E22" s="198"/>
      <c r="F22" s="199"/>
      <c r="G22" s="200"/>
      <c r="H22" s="219"/>
      <c r="I22" s="220"/>
      <c r="J22" s="220"/>
      <c r="K22" s="221"/>
      <c r="L22" s="654"/>
    </row>
    <row r="23" spans="1:13" ht="27.6" x14ac:dyDescent="0.3">
      <c r="A23" s="195" t="s">
        <v>41</v>
      </c>
      <c r="B23" s="215" t="s">
        <v>231</v>
      </c>
      <c r="C23" s="216" t="s">
        <v>232</v>
      </c>
      <c r="D23" s="217" t="s">
        <v>233</v>
      </c>
      <c r="E23" s="218" t="s">
        <v>170</v>
      </c>
      <c r="F23" s="199">
        <v>46232</v>
      </c>
      <c r="G23" s="200">
        <v>9.83</v>
      </c>
      <c r="H23" s="219"/>
      <c r="I23" s="220"/>
      <c r="J23" s="220"/>
      <c r="K23" s="221"/>
      <c r="L23" s="654">
        <f>TRUNC(G23*(1+K23),4)</f>
        <v>9.83</v>
      </c>
      <c r="M23" s="225"/>
    </row>
    <row r="24" spans="1:13" ht="27.6" x14ac:dyDescent="0.3">
      <c r="A24" s="195" t="s">
        <v>15598</v>
      </c>
      <c r="B24" s="215" t="s">
        <v>231</v>
      </c>
      <c r="C24" s="216" t="s">
        <v>15591</v>
      </c>
      <c r="D24" s="217" t="s">
        <v>15592</v>
      </c>
      <c r="E24" s="218" t="s">
        <v>208</v>
      </c>
      <c r="F24" s="199">
        <v>46119</v>
      </c>
      <c r="G24" s="200">
        <v>1590</v>
      </c>
      <c r="H24" s="219"/>
      <c r="I24" s="224"/>
      <c r="J24" s="220"/>
      <c r="K24" s="221"/>
      <c r="L24" s="654">
        <f>TRUNC(G24*(1+K24),2)</f>
        <v>1590</v>
      </c>
    </row>
    <row r="25" spans="1:13" x14ac:dyDescent="0.3">
      <c r="A25" s="215"/>
      <c r="B25" s="215"/>
      <c r="C25" s="216"/>
      <c r="D25" s="217"/>
      <c r="E25" s="198"/>
      <c r="F25" s="199"/>
      <c r="G25" s="200"/>
      <c r="H25" s="219"/>
      <c r="I25" s="220"/>
      <c r="J25" s="220"/>
      <c r="K25" s="221"/>
      <c r="L25" s="654"/>
    </row>
    <row r="26" spans="1:13" x14ac:dyDescent="0.3">
      <c r="A26" s="195" t="s">
        <v>177</v>
      </c>
      <c r="B26" s="504" t="s">
        <v>15430</v>
      </c>
      <c r="C26" s="504" t="s">
        <v>15596</v>
      </c>
      <c r="D26" s="217" t="s">
        <v>15593</v>
      </c>
      <c r="E26" s="218" t="s">
        <v>180</v>
      </c>
      <c r="F26" s="537">
        <v>46143</v>
      </c>
      <c r="G26" s="200">
        <f>TRUNC((3.08141935508307)/(1-($E$39+$E$38))*1000,2)</f>
        <v>4086.76</v>
      </c>
      <c r="H26" s="219"/>
      <c r="I26" s="220"/>
      <c r="J26" s="220"/>
      <c r="K26" s="221"/>
      <c r="L26" s="654">
        <f>TRUNC(G26*(1+K26),4)</f>
        <v>4086.76</v>
      </c>
      <c r="M26" s="225"/>
    </row>
    <row r="27" spans="1:13" x14ac:dyDescent="0.3">
      <c r="A27" s="503" t="s">
        <v>15434</v>
      </c>
      <c r="B27" s="504" t="s">
        <v>15430</v>
      </c>
      <c r="C27" s="504" t="s">
        <v>15597</v>
      </c>
      <c r="D27" s="505" t="s">
        <v>15594</v>
      </c>
      <c r="E27" s="506" t="s">
        <v>180</v>
      </c>
      <c r="F27" s="537">
        <v>46143</v>
      </c>
      <c r="G27" s="507">
        <f>TRUNC((4.32161411382218)/(1-($E$39+$E$38))*1000,4)</f>
        <v>5731.5837000000001</v>
      </c>
      <c r="H27" s="508"/>
      <c r="I27" s="509"/>
      <c r="J27" s="509"/>
      <c r="K27" s="510"/>
      <c r="L27" s="657">
        <f>TRUNC(G27*(1+K27),2)</f>
        <v>5731.58</v>
      </c>
    </row>
    <row r="28" spans="1:13" x14ac:dyDescent="0.3">
      <c r="A28" s="503" t="s">
        <v>15428</v>
      </c>
      <c r="B28" s="504" t="s">
        <v>15431</v>
      </c>
      <c r="C28" s="504" t="s">
        <v>15432</v>
      </c>
      <c r="D28" s="505" t="s">
        <v>15433</v>
      </c>
      <c r="E28" s="506" t="s">
        <v>180</v>
      </c>
      <c r="F28" s="537">
        <v>46143</v>
      </c>
      <c r="G28" s="507">
        <f>DMT!E29</f>
        <v>78.91</v>
      </c>
      <c r="H28" s="508"/>
      <c r="I28" s="509"/>
      <c r="J28" s="509"/>
      <c r="K28" s="510"/>
      <c r="L28" s="657">
        <f>TRUNC(G28*(1+K28),2)</f>
        <v>78.91</v>
      </c>
    </row>
    <row r="29" spans="1:13" ht="27.6" x14ac:dyDescent="0.3">
      <c r="A29" s="503" t="s">
        <v>15429</v>
      </c>
      <c r="B29" s="504" t="s">
        <v>15431</v>
      </c>
      <c r="C29" s="504" t="s">
        <v>15432</v>
      </c>
      <c r="D29" s="505" t="s">
        <v>15563</v>
      </c>
      <c r="E29" s="506" t="s">
        <v>180</v>
      </c>
      <c r="F29" s="537">
        <v>46143</v>
      </c>
      <c r="G29" s="507">
        <f>DMT!E28</f>
        <v>99.57</v>
      </c>
      <c r="H29" s="508"/>
      <c r="I29" s="509"/>
      <c r="J29" s="509"/>
      <c r="K29" s="510"/>
      <c r="L29" s="657">
        <f>TRUNC(G29*(1+K29),2)</f>
        <v>99.57</v>
      </c>
    </row>
    <row r="30" spans="1:13" x14ac:dyDescent="0.3">
      <c r="A30" s="215"/>
      <c r="B30" s="215"/>
      <c r="C30" s="216"/>
      <c r="D30" s="217"/>
      <c r="E30" s="198"/>
      <c r="F30" s="199"/>
      <c r="G30" s="200"/>
      <c r="H30" s="219"/>
      <c r="I30" s="220"/>
      <c r="J30" s="220"/>
      <c r="K30" s="221"/>
      <c r="L30" s="654"/>
    </row>
    <row r="31" spans="1:13" x14ac:dyDescent="0.3">
      <c r="A31" s="503" t="s">
        <v>16006</v>
      </c>
      <c r="B31" s="504" t="s">
        <v>16007</v>
      </c>
      <c r="C31" s="536">
        <v>36754</v>
      </c>
      <c r="D31" s="505" t="s">
        <v>16008</v>
      </c>
      <c r="E31" s="506" t="s">
        <v>159</v>
      </c>
      <c r="F31" s="537">
        <v>46204</v>
      </c>
      <c r="G31" s="507">
        <v>198.97</v>
      </c>
      <c r="H31" s="697"/>
      <c r="I31" s="509"/>
      <c r="J31" s="509"/>
      <c r="K31" s="221"/>
      <c r="L31" s="698">
        <f>TRUNC(G31*(1+K31),2)</f>
        <v>198.97</v>
      </c>
    </row>
    <row r="32" spans="1:13" x14ac:dyDescent="0.3">
      <c r="A32" s="123" t="s">
        <v>235</v>
      </c>
      <c r="B32" s="62"/>
      <c r="C32" s="62"/>
      <c r="D32" s="62"/>
      <c r="E32" s="62"/>
      <c r="F32" s="62"/>
      <c r="G32" s="62"/>
      <c r="H32" s="7"/>
      <c r="I32" s="7"/>
      <c r="J32" s="7"/>
      <c r="K32" s="7"/>
      <c r="L32" s="62"/>
    </row>
    <row r="33" spans="4:6" x14ac:dyDescent="0.3">
      <c r="D33" s="62"/>
    </row>
    <row r="35" spans="4:6" x14ac:dyDescent="0.3">
      <c r="D35" s="226" t="s">
        <v>15595</v>
      </c>
      <c r="E35" s="227"/>
    </row>
    <row r="36" spans="4:6" x14ac:dyDescent="0.3">
      <c r="D36" s="228" t="s">
        <v>236</v>
      </c>
      <c r="E36" s="229">
        <v>9.2499999999999999E-2</v>
      </c>
    </row>
    <row r="37" spans="4:6" ht="17.25" customHeight="1" x14ac:dyDescent="0.3">
      <c r="D37" s="228" t="s">
        <v>237</v>
      </c>
      <c r="E37" s="230">
        <v>3.6499999999999998E-2</v>
      </c>
      <c r="F37" s="435"/>
    </row>
    <row r="38" spans="4:6" x14ac:dyDescent="0.3">
      <c r="D38" s="228" t="s">
        <v>238</v>
      </c>
      <c r="E38" s="229">
        <v>7.5999999999999998E-2</v>
      </c>
    </row>
    <row r="39" spans="4:6" x14ac:dyDescent="0.3">
      <c r="D39" s="231" t="s">
        <v>239</v>
      </c>
      <c r="E39" s="229">
        <v>0.17</v>
      </c>
    </row>
    <row r="40" spans="4:6" ht="26.4" x14ac:dyDescent="0.3">
      <c r="D40" s="232" t="s">
        <v>240</v>
      </c>
      <c r="E40" s="233"/>
    </row>
  </sheetData>
  <mergeCells count="3">
    <mergeCell ref="F8:F9"/>
    <mergeCell ref="G8:G9"/>
    <mergeCell ref="L8:L9"/>
  </mergeCells>
  <pageMargins left="0.51180555555555596" right="0.51180555555555596" top="0.78749999999999998" bottom="0.78749999999999998" header="0.511811023622047" footer="0.511811023622047"/>
  <pageSetup paperSize="9" fitToHeight="0" orientation="landscape" horizontalDpi="300" verticalDpi="300"/>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O196"/>
  <sheetViews>
    <sheetView showGridLines="0" topLeftCell="A166" zoomScale="60" zoomScaleNormal="60" workbookViewId="0">
      <selection activeCell="S134" sqref="S134"/>
    </sheetView>
  </sheetViews>
  <sheetFormatPr defaultColWidth="9.109375" defaultRowHeight="14.4" x14ac:dyDescent="0.3"/>
  <cols>
    <col min="1" max="1" width="8.88671875" customWidth="1"/>
    <col min="2" max="2" width="79" style="234" customWidth="1"/>
    <col min="3" max="3" width="13" customWidth="1"/>
    <col min="4" max="4" width="10.6640625" style="234" customWidth="1"/>
    <col min="5" max="5" width="18.33203125" style="235" customWidth="1"/>
    <col min="6" max="6" width="25.44140625" customWidth="1"/>
    <col min="7" max="7" width="13.33203125" customWidth="1"/>
    <col min="8" max="8" width="25.44140625" customWidth="1"/>
    <col min="9" max="9" width="11.88671875" customWidth="1"/>
    <col min="10" max="10" width="25.44140625" customWidth="1"/>
    <col min="11" max="11" width="11.88671875" customWidth="1"/>
    <col min="12" max="12" width="25.44140625" customWidth="1"/>
    <col min="13" max="13" width="11.88671875" customWidth="1"/>
    <col min="14" max="14" width="20.44140625" customWidth="1"/>
    <col min="15" max="15" width="11.109375" customWidth="1"/>
    <col min="16365" max="16384" width="11.5546875" customWidth="1"/>
  </cols>
  <sheetData>
    <row r="1" spans="1:15" s="7" customFormat="1" ht="21" x14ac:dyDescent="0.25">
      <c r="A1" s="236"/>
      <c r="B1" s="237" t="s">
        <v>16</v>
      </c>
      <c r="C1" s="238"/>
      <c r="D1" s="239"/>
      <c r="E1" s="238"/>
      <c r="F1" s="238"/>
      <c r="G1" s="238"/>
      <c r="H1" s="238"/>
      <c r="I1" s="238"/>
      <c r="J1" s="238"/>
      <c r="K1" s="238"/>
      <c r="L1" s="238"/>
      <c r="M1" s="238"/>
      <c r="N1" s="238"/>
      <c r="O1" s="240"/>
    </row>
    <row r="2" spans="1:15" s="7" customFormat="1" ht="17.399999999999999" x14ac:dyDescent="0.25">
      <c r="A2" s="241"/>
      <c r="B2" s="242" t="s">
        <v>2</v>
      </c>
      <c r="C2" s="243"/>
      <c r="D2" s="244"/>
      <c r="E2" s="243"/>
      <c r="F2" s="243"/>
      <c r="G2" s="243"/>
      <c r="H2" s="243"/>
      <c r="I2" s="243"/>
      <c r="J2" s="243"/>
      <c r="K2" s="243"/>
      <c r="L2" s="243"/>
      <c r="M2" s="243"/>
      <c r="N2" s="243"/>
      <c r="O2" s="245"/>
    </row>
    <row r="3" spans="1:15" s="7" customFormat="1" ht="13.8" x14ac:dyDescent="0.25">
      <c r="A3" s="40"/>
      <c r="B3" s="246" t="str">
        <f>orcamento!D3</f>
        <v>Objeto: Execução de Obras de Pavimentação e Redes de Drenagem na Rua Giruá</v>
      </c>
      <c r="C3" s="41"/>
      <c r="D3" s="247"/>
      <c r="E3" s="44"/>
      <c r="F3" s="44"/>
      <c r="G3" s="44"/>
      <c r="H3" s="44"/>
      <c r="I3" s="44"/>
      <c r="J3" s="44"/>
      <c r="K3" s="44"/>
      <c r="L3" s="44"/>
      <c r="M3" s="44"/>
      <c r="N3" s="44"/>
      <c r="O3" s="187"/>
    </row>
    <row r="4" spans="1:15" s="7" customFormat="1" ht="13.8" x14ac:dyDescent="0.25">
      <c r="A4" s="40"/>
      <c r="B4" s="246" t="str">
        <f>orcamento!D4</f>
        <v>Endereço: Rua Giruá, Vila Panorama, Lomba Pinheiro, Porto Alegre, RS</v>
      </c>
      <c r="C4" s="41"/>
      <c r="D4" s="247"/>
      <c r="E4" s="44"/>
      <c r="F4" s="44"/>
      <c r="G4" s="44"/>
      <c r="H4" s="44"/>
      <c r="I4" s="44"/>
      <c r="J4" s="44"/>
      <c r="K4" s="44"/>
      <c r="L4" s="44"/>
      <c r="M4" s="44"/>
      <c r="N4" s="44"/>
      <c r="O4" s="187"/>
    </row>
    <row r="5" spans="1:15" s="7" customFormat="1" ht="13.8" x14ac:dyDescent="0.25">
      <c r="A5" s="40"/>
      <c r="B5" s="248"/>
      <c r="C5" s="41"/>
      <c r="D5" s="249"/>
      <c r="E5" s="44"/>
      <c r="F5" s="44"/>
      <c r="G5" s="44"/>
      <c r="H5" s="44"/>
      <c r="I5" s="44"/>
      <c r="J5" s="44"/>
      <c r="K5" s="44"/>
      <c r="L5" s="44"/>
      <c r="M5" s="44"/>
      <c r="N5" s="44"/>
      <c r="O5" s="187"/>
    </row>
    <row r="6" spans="1:15" s="55" customFormat="1" ht="17.399999999999999" x14ac:dyDescent="0.25">
      <c r="A6" s="40"/>
      <c r="B6" s="250" t="s">
        <v>241</v>
      </c>
      <c r="C6" s="243"/>
      <c r="D6" s="251"/>
      <c r="E6" s="243"/>
      <c r="F6" s="243"/>
      <c r="G6" s="243"/>
      <c r="H6" s="243"/>
      <c r="I6" s="243"/>
      <c r="J6" s="243"/>
      <c r="K6" s="243"/>
      <c r="L6" s="243"/>
      <c r="M6" s="243"/>
      <c r="N6" s="243"/>
      <c r="O6" s="245"/>
    </row>
    <row r="7" spans="1:15" x14ac:dyDescent="0.3">
      <c r="A7" s="252"/>
      <c r="B7" s="253"/>
      <c r="C7" s="254"/>
      <c r="D7" s="253"/>
      <c r="E7" s="255"/>
      <c r="F7" s="255"/>
      <c r="G7" s="256"/>
      <c r="H7" s="255"/>
      <c r="I7" s="256"/>
      <c r="J7" s="255"/>
      <c r="K7" s="256"/>
      <c r="L7" s="255"/>
      <c r="M7" s="256"/>
      <c r="N7" s="255"/>
      <c r="O7" s="257"/>
    </row>
    <row r="8" spans="1:15" ht="27.6" x14ac:dyDescent="0.3">
      <c r="A8" s="258" t="s">
        <v>137</v>
      </c>
      <c r="B8" s="259" t="s">
        <v>19</v>
      </c>
      <c r="C8" s="258" t="s">
        <v>21</v>
      </c>
      <c r="D8" s="259" t="s">
        <v>20</v>
      </c>
      <c r="E8" s="260" t="s">
        <v>246</v>
      </c>
      <c r="F8" s="658" t="s">
        <v>242</v>
      </c>
      <c r="G8" s="659"/>
      <c r="H8" s="658" t="s">
        <v>243</v>
      </c>
      <c r="I8" s="659"/>
      <c r="J8" s="658" t="s">
        <v>244</v>
      </c>
      <c r="K8" s="659"/>
      <c r="L8" s="658" t="s">
        <v>245</v>
      </c>
      <c r="M8" s="659"/>
      <c r="N8" s="658" t="s">
        <v>129</v>
      </c>
      <c r="O8" s="261"/>
    </row>
    <row r="9" spans="1:15" s="62" customFormat="1" ht="13.8" x14ac:dyDescent="0.25">
      <c r="A9" s="262"/>
      <c r="B9" s="263"/>
      <c r="C9" s="262"/>
      <c r="D9" s="263"/>
      <c r="E9" s="264"/>
      <c r="F9" s="81" t="s">
        <v>247</v>
      </c>
      <c r="G9" s="81" t="s">
        <v>248</v>
      </c>
      <c r="H9" s="81" t="s">
        <v>247</v>
      </c>
      <c r="I9" s="81" t="s">
        <v>248</v>
      </c>
      <c r="J9" s="81" t="s">
        <v>247</v>
      </c>
      <c r="K9" s="81" t="s">
        <v>248</v>
      </c>
      <c r="L9" s="81" t="s">
        <v>247</v>
      </c>
      <c r="M9" s="81" t="s">
        <v>248</v>
      </c>
      <c r="N9" s="81" t="s">
        <v>247</v>
      </c>
      <c r="O9" s="81" t="s">
        <v>248</v>
      </c>
    </row>
    <row r="10" spans="1:15" s="62" customFormat="1" ht="13.8" x14ac:dyDescent="0.25">
      <c r="A10" s="265">
        <f>orcamento!A10</f>
        <v>1</v>
      </c>
      <c r="B10" s="85" t="str">
        <f>orcamento!D10</f>
        <v>ADMINISTRAÇÃO LOCAL</v>
      </c>
      <c r="C10" s="266"/>
      <c r="D10" s="267"/>
      <c r="E10" s="268"/>
      <c r="F10" s="269"/>
      <c r="G10" s="270"/>
      <c r="H10" s="269"/>
      <c r="I10" s="270"/>
      <c r="J10" s="269"/>
      <c r="K10" s="270"/>
      <c r="L10" s="269"/>
      <c r="M10" s="270"/>
      <c r="N10" s="268"/>
      <c r="O10" s="271"/>
    </row>
    <row r="11" spans="1:15" s="62" customFormat="1" ht="13.8" x14ac:dyDescent="0.25">
      <c r="A11" s="154" t="str">
        <f>orcamento!A11</f>
        <v>1.1</v>
      </c>
      <c r="B11" s="272" t="str">
        <f>orcamento!D11</f>
        <v>EQUIPE E CONSUMOS DE ADMINISTRAÇÃO LOCAL</v>
      </c>
      <c r="C11" s="273">
        <f>orcamento!F11</f>
        <v>1</v>
      </c>
      <c r="D11" s="274" t="str">
        <f>orcamento!E11</f>
        <v>UN</v>
      </c>
      <c r="E11" s="275">
        <f>orcamento!K11</f>
        <v>159651.45000000001</v>
      </c>
      <c r="F11" s="276">
        <f>ROUND($E11*G11,2)</f>
        <v>14368.63</v>
      </c>
      <c r="G11" s="277">
        <f>TRUNC((SUM(F13:F15)+SUM(F18:F192))/(SUMPRODUCT($C18:$C192,$E18:$E192)),2)</f>
        <v>0.09</v>
      </c>
      <c r="H11" s="278">
        <f>ROUND($E11*I11,2)</f>
        <v>3193.03</v>
      </c>
      <c r="I11" s="277">
        <f>TRUNC((SUM(H13:H15)+SUM(H18:H192))/(SUMPRODUCT($C18:$C192,$E18:$E192)),2)</f>
        <v>0.02</v>
      </c>
      <c r="J11" s="276">
        <f>ROUND($E11*K11,2)</f>
        <v>73439.67</v>
      </c>
      <c r="K11" s="277">
        <f>TRUNC((SUM(J13:J15)+SUM(J18:J192))/(SUMPRODUCT($C18:$C192,$E18:$E192)),2)</f>
        <v>0.46</v>
      </c>
      <c r="L11" s="276">
        <f>ROUND(C11*E11-(F11+H11+J11),2)</f>
        <v>68650.12</v>
      </c>
      <c r="M11" s="277">
        <f>1-(G11+I11+K11)</f>
        <v>0.42999999999999994</v>
      </c>
      <c r="N11" s="279">
        <f>F11+H11+J11+L11</f>
        <v>159651.45000000001</v>
      </c>
      <c r="O11" s="280">
        <f>G11+I11+K11+M11</f>
        <v>1</v>
      </c>
    </row>
    <row r="12" spans="1:15" s="62" customFormat="1" ht="27.6" x14ac:dyDescent="0.25">
      <c r="A12" s="154" t="str">
        <f>orcamento!A12</f>
        <v>1.2</v>
      </c>
      <c r="B12" s="272" t="str">
        <f>orcamento!D12</f>
        <v>SERVIÇO DE VIGILÂNCIA NOTURNO (DIÁRIO) E DIURNO (FINAIS DE SEMANA E FERIADO)</v>
      </c>
      <c r="C12" s="273">
        <f>orcamento!F12</f>
        <v>1</v>
      </c>
      <c r="D12" s="274" t="str">
        <f>orcamento!E12</f>
        <v>UN</v>
      </c>
      <c r="E12" s="275">
        <f>orcamento!K12</f>
        <v>44037.88</v>
      </c>
      <c r="F12" s="276">
        <f>ROUND($E12*G12,2)</f>
        <v>3963.41</v>
      </c>
      <c r="G12" s="277">
        <f>G11</f>
        <v>0.09</v>
      </c>
      <c r="H12" s="278">
        <f>ROUND($E12*I12,2)</f>
        <v>880.76</v>
      </c>
      <c r="I12" s="277">
        <f>I11</f>
        <v>0.02</v>
      </c>
      <c r="J12" s="276">
        <f>ROUND($E12*K12,2)</f>
        <v>20257.419999999998</v>
      </c>
      <c r="K12" s="277">
        <f>K11</f>
        <v>0.46</v>
      </c>
      <c r="L12" s="276">
        <f t="shared" ref="L12" si="0">ROUND(C12*E12-(F12+H12+J12),2)</f>
        <v>18936.29</v>
      </c>
      <c r="M12" s="277">
        <f>M11</f>
        <v>0.42999999999999994</v>
      </c>
      <c r="N12" s="279">
        <f t="shared" ref="N12:N15" si="1">F12+H12+J12+L12</f>
        <v>44037.88</v>
      </c>
      <c r="O12" s="280">
        <f t="shared" ref="O12:O15" si="2">G12+I12+K12+M12</f>
        <v>1</v>
      </c>
    </row>
    <row r="13" spans="1:15" s="62" customFormat="1" ht="13.8" x14ac:dyDescent="0.25">
      <c r="A13" s="154" t="str">
        <f>orcamento!A13</f>
        <v>1.3</v>
      </c>
      <c r="B13" s="272" t="str">
        <f>orcamento!D13</f>
        <v>DOCUMENTO DE RESPONSABILIDADE TÉCNICA</v>
      </c>
      <c r="C13" s="273">
        <f>orcamento!F13</f>
        <v>1</v>
      </c>
      <c r="D13" s="274" t="str">
        <f>orcamento!E13</f>
        <v>UN</v>
      </c>
      <c r="E13" s="275">
        <f>orcamento!K13</f>
        <v>354.78999999999996</v>
      </c>
      <c r="F13" s="276">
        <f t="shared" ref="F13" si="3">ROUND($E13*G13,2)</f>
        <v>354.79</v>
      </c>
      <c r="G13" s="281">
        <v>1</v>
      </c>
      <c r="H13" s="276"/>
      <c r="I13" s="281"/>
      <c r="J13" s="282"/>
      <c r="K13" s="281"/>
      <c r="L13" s="282"/>
      <c r="M13" s="281"/>
      <c r="N13" s="279">
        <f t="shared" si="1"/>
        <v>354.79</v>
      </c>
      <c r="O13" s="280">
        <f t="shared" si="2"/>
        <v>1</v>
      </c>
    </row>
    <row r="14" spans="1:15" s="62" customFormat="1" ht="13.8" x14ac:dyDescent="0.25">
      <c r="A14" s="154" t="str">
        <f>orcamento!A14</f>
        <v>1.4</v>
      </c>
      <c r="B14" s="272" t="str">
        <f>orcamento!D14</f>
        <v>PROJETO AS BUILT (1.550m2 DE ÁREA CONSTRUÍDA)</v>
      </c>
      <c r="C14" s="273">
        <f>orcamento!F14</f>
        <v>1</v>
      </c>
      <c r="D14" s="274" t="str">
        <f>orcamento!E14</f>
        <v>UN</v>
      </c>
      <c r="E14" s="275">
        <f>orcamento!K14</f>
        <v>1973.2800000000002</v>
      </c>
      <c r="F14" s="276"/>
      <c r="G14" s="281"/>
      <c r="H14" s="276"/>
      <c r="I14" s="281"/>
      <c r="J14" s="282"/>
      <c r="K14" s="281"/>
      <c r="L14" s="276">
        <f t="shared" ref="L14:L15" si="4">ROUND($E14*M14,2)</f>
        <v>1973.28</v>
      </c>
      <c r="M14" s="281">
        <f>C14</f>
        <v>1</v>
      </c>
      <c r="N14" s="279">
        <f t="shared" si="1"/>
        <v>1973.28</v>
      </c>
      <c r="O14" s="280">
        <f t="shared" si="2"/>
        <v>1</v>
      </c>
    </row>
    <row r="15" spans="1:15" s="62" customFormat="1" ht="13.8" x14ac:dyDescent="0.25">
      <c r="A15" s="154" t="str">
        <f>orcamento!A15</f>
        <v>1.5</v>
      </c>
      <c r="B15" s="272" t="str">
        <f>orcamento!D15</f>
        <v>CADASTRO DE REDES (210m DE REDE DE DRENAGEM)</v>
      </c>
      <c r="C15" s="273">
        <f>orcamento!F15</f>
        <v>1</v>
      </c>
      <c r="D15" s="274" t="str">
        <f>orcamento!E15</f>
        <v>UN</v>
      </c>
      <c r="E15" s="275">
        <f>orcamento!K15</f>
        <v>1973.2800000000002</v>
      </c>
      <c r="F15" s="276"/>
      <c r="G15" s="281"/>
      <c r="H15" s="276"/>
      <c r="I15" s="281"/>
      <c r="J15" s="282"/>
      <c r="K15" s="281"/>
      <c r="L15" s="276">
        <f t="shared" si="4"/>
        <v>1973.28</v>
      </c>
      <c r="M15" s="281">
        <f>C15</f>
        <v>1</v>
      </c>
      <c r="N15" s="279">
        <f t="shared" si="1"/>
        <v>1973.28</v>
      </c>
      <c r="O15" s="280">
        <f t="shared" si="2"/>
        <v>1</v>
      </c>
    </row>
    <row r="16" spans="1:15" s="62" customFormat="1" ht="27.6" x14ac:dyDescent="0.25">
      <c r="A16" s="154" t="str">
        <f>orcamento!A16</f>
        <v>1.6</v>
      </c>
      <c r="B16" s="272" t="str">
        <f>orcamento!D16</f>
        <v>SERVIÇO DE LOCAÇÃO/TOPOGRAFIA (115M PAVIMENTO E 210M REDE DRENAGEM)</v>
      </c>
      <c r="C16" s="273">
        <f>orcamento!F16</f>
        <v>1</v>
      </c>
      <c r="D16" s="274" t="str">
        <f>orcamento!E16</f>
        <v>UN</v>
      </c>
      <c r="E16" s="275">
        <f>orcamento!K16</f>
        <v>6023.03</v>
      </c>
      <c r="F16" s="276">
        <f>ROUND($E16*G16,2)</f>
        <v>1505.76</v>
      </c>
      <c r="G16" s="281">
        <v>0.25</v>
      </c>
      <c r="H16" s="276">
        <f>ROUND($E16*I16,2)</f>
        <v>1505.76</v>
      </c>
      <c r="I16" s="281">
        <v>0.25</v>
      </c>
      <c r="J16" s="276">
        <f>ROUND($E16*K16,2)</f>
        <v>1505.76</v>
      </c>
      <c r="K16" s="281">
        <v>0.25</v>
      </c>
      <c r="L16" s="276">
        <f>ROUND(C16*E16-(F16+H16+J16),2)</f>
        <v>1505.75</v>
      </c>
      <c r="M16" s="281">
        <v>0.25</v>
      </c>
      <c r="N16" s="279">
        <f>F16+H16+J16+L16</f>
        <v>6023.03</v>
      </c>
      <c r="O16" s="280">
        <f>G16+I16+K16+M16</f>
        <v>1</v>
      </c>
    </row>
    <row r="17" spans="1:15" s="62" customFormat="1" ht="13.8" x14ac:dyDescent="0.25">
      <c r="A17" s="265">
        <f>orcamento!A17</f>
        <v>2</v>
      </c>
      <c r="B17" s="85" t="str">
        <f>orcamento!D17</f>
        <v>ENSAIOS</v>
      </c>
      <c r="C17" s="266"/>
      <c r="D17" s="267"/>
      <c r="E17" s="268"/>
      <c r="F17" s="269"/>
      <c r="G17" s="270"/>
      <c r="H17" s="269"/>
      <c r="I17" s="270"/>
      <c r="J17" s="269"/>
      <c r="K17" s="270"/>
      <c r="L17" s="269"/>
      <c r="M17" s="270"/>
      <c r="N17" s="268"/>
      <c r="O17" s="271"/>
    </row>
    <row r="18" spans="1:15" s="62" customFormat="1" ht="13.8" x14ac:dyDescent="0.25">
      <c r="A18" s="154" t="str">
        <f>orcamento!A18</f>
        <v>2.1</v>
      </c>
      <c r="B18" s="272" t="str">
        <f>orcamento!D18</f>
        <v>SUBLEITO</v>
      </c>
      <c r="C18" s="273"/>
      <c r="D18" s="274"/>
      <c r="E18" s="275"/>
      <c r="F18" s="276"/>
      <c r="G18" s="281"/>
      <c r="H18" s="276"/>
      <c r="I18" s="281"/>
      <c r="J18" s="276"/>
      <c r="K18" s="281"/>
      <c r="L18" s="276"/>
      <c r="M18" s="281"/>
      <c r="N18" s="279"/>
      <c r="O18" s="280"/>
    </row>
    <row r="19" spans="1:15" s="62" customFormat="1" ht="13.8" x14ac:dyDescent="0.25">
      <c r="A19" s="154" t="str">
        <f>orcamento!A19</f>
        <v>2.1.1</v>
      </c>
      <c r="B19" s="272" t="str">
        <f>orcamento!D19</f>
        <v>ENSAIO DE ÍNDICE SUPORTE CALIFORNIA</v>
      </c>
      <c r="C19" s="273">
        <f>orcamento!F19</f>
        <v>1</v>
      </c>
      <c r="D19" s="274" t="str">
        <f>orcamento!E19</f>
        <v>UN</v>
      </c>
      <c r="E19" s="275">
        <f>orcamento!K19</f>
        <v>383.40999999999997</v>
      </c>
      <c r="F19" s="276">
        <f t="shared" ref="F19:F23" si="5">ROUND($E19*G19,2)</f>
        <v>383.41</v>
      </c>
      <c r="G19" s="281">
        <v>1</v>
      </c>
      <c r="H19" s="276"/>
      <c r="I19" s="281"/>
      <c r="J19" s="276"/>
      <c r="K19" s="281"/>
      <c r="L19" s="276"/>
      <c r="M19" s="281"/>
      <c r="N19" s="279">
        <f t="shared" ref="N19:N38" si="6">F19+H19+J19+L19</f>
        <v>383.41</v>
      </c>
      <c r="O19" s="280">
        <f t="shared" ref="O19:O38" si="7">G19+I19+K19+M19</f>
        <v>1</v>
      </c>
    </row>
    <row r="20" spans="1:15" s="62" customFormat="1" ht="13.8" x14ac:dyDescent="0.25">
      <c r="A20" s="154" t="str">
        <f>orcamento!A20</f>
        <v>2.1.2</v>
      </c>
      <c r="B20" s="272" t="str">
        <f>orcamento!D20</f>
        <v>ENSAIO DE DENSIDADE / UMIDADE</v>
      </c>
      <c r="C20" s="273">
        <f>orcamento!F20</f>
        <v>3</v>
      </c>
      <c r="D20" s="274" t="str">
        <f>orcamento!E20</f>
        <v>UN</v>
      </c>
      <c r="E20" s="275">
        <f>orcamento!K20</f>
        <v>265.99</v>
      </c>
      <c r="F20" s="276">
        <f t="shared" si="5"/>
        <v>797.97</v>
      </c>
      <c r="G20" s="281">
        <v>3</v>
      </c>
      <c r="H20" s="276"/>
      <c r="I20" s="281"/>
      <c r="J20" s="276"/>
      <c r="K20" s="281"/>
      <c r="L20" s="276"/>
      <c r="M20" s="281"/>
      <c r="N20" s="279">
        <f t="shared" si="6"/>
        <v>797.97</v>
      </c>
      <c r="O20" s="280">
        <f t="shared" si="7"/>
        <v>3</v>
      </c>
    </row>
    <row r="21" spans="1:15" s="62" customFormat="1" ht="13.8" x14ac:dyDescent="0.25">
      <c r="A21" s="154" t="str">
        <f>orcamento!A21</f>
        <v>2.1.3</v>
      </c>
      <c r="B21" s="272" t="str">
        <f>orcamento!D21</f>
        <v>ENSAIO DE GRANULOMETRIA POR PENEIRAMENTO E SEDIMENTAÇÃO</v>
      </c>
      <c r="C21" s="273">
        <f>orcamento!F21</f>
        <v>2</v>
      </c>
      <c r="D21" s="274" t="str">
        <f>orcamento!E21</f>
        <v>UN</v>
      </c>
      <c r="E21" s="275">
        <f>orcamento!K21</f>
        <v>316.54000000000002</v>
      </c>
      <c r="F21" s="276">
        <f t="shared" si="5"/>
        <v>633.08000000000004</v>
      </c>
      <c r="G21" s="281">
        <v>2</v>
      </c>
      <c r="H21" s="276"/>
      <c r="I21" s="281"/>
      <c r="J21" s="276"/>
      <c r="K21" s="281"/>
      <c r="L21" s="276"/>
      <c r="M21" s="281"/>
      <c r="N21" s="279">
        <f t="shared" si="6"/>
        <v>633.08000000000004</v>
      </c>
      <c r="O21" s="280">
        <f t="shared" si="7"/>
        <v>2</v>
      </c>
    </row>
    <row r="22" spans="1:15" s="62" customFormat="1" ht="13.8" x14ac:dyDescent="0.25">
      <c r="A22" s="154" t="str">
        <f>orcamento!A22</f>
        <v>2.1.4</v>
      </c>
      <c r="B22" s="272" t="str">
        <f>orcamento!D22</f>
        <v>ENSAIO DE LIMITE DE LIQUIDEZ / LIMITE DE PLASTICIDADE</v>
      </c>
      <c r="C22" s="273">
        <f>orcamento!F22</f>
        <v>1</v>
      </c>
      <c r="D22" s="274" t="str">
        <f>orcamento!E22</f>
        <v>UN</v>
      </c>
      <c r="E22" s="275">
        <f>orcamento!K22</f>
        <v>316.54000000000002</v>
      </c>
      <c r="F22" s="276">
        <f t="shared" si="5"/>
        <v>316.54000000000002</v>
      </c>
      <c r="G22" s="281">
        <v>1</v>
      </c>
      <c r="H22" s="276"/>
      <c r="I22" s="281"/>
      <c r="J22" s="276"/>
      <c r="K22" s="281"/>
      <c r="L22" s="276"/>
      <c r="M22" s="281"/>
      <c r="N22" s="279">
        <f t="shared" si="6"/>
        <v>316.54000000000002</v>
      </c>
      <c r="O22" s="280">
        <f t="shared" si="7"/>
        <v>1</v>
      </c>
    </row>
    <row r="23" spans="1:15" s="62" customFormat="1" ht="13.8" x14ac:dyDescent="0.25">
      <c r="A23" s="154" t="str">
        <f>orcamento!A23</f>
        <v>2.1.5</v>
      </c>
      <c r="B23" s="272" t="str">
        <f>orcamento!D23</f>
        <v>ENSAIO DE COMPACTAÇÃO MÉTODO NORMAL</v>
      </c>
      <c r="C23" s="273">
        <f>orcamento!F23</f>
        <v>3</v>
      </c>
      <c r="D23" s="274" t="str">
        <f>orcamento!E23</f>
        <v>UN</v>
      </c>
      <c r="E23" s="275">
        <f>orcamento!K23</f>
        <v>316.54000000000002</v>
      </c>
      <c r="F23" s="276">
        <f t="shared" si="5"/>
        <v>949.62</v>
      </c>
      <c r="G23" s="281">
        <v>3</v>
      </c>
      <c r="H23" s="276"/>
      <c r="I23" s="281"/>
      <c r="J23" s="276"/>
      <c r="K23" s="281"/>
      <c r="L23" s="276"/>
      <c r="M23" s="281"/>
      <c r="N23" s="279">
        <f t="shared" si="6"/>
        <v>949.62</v>
      </c>
      <c r="O23" s="280">
        <f t="shared" si="7"/>
        <v>3</v>
      </c>
    </row>
    <row r="24" spans="1:15" s="62" customFormat="1" ht="13.8" x14ac:dyDescent="0.25">
      <c r="A24" s="154" t="str">
        <f>orcamento!A24</f>
        <v>2.2</v>
      </c>
      <c r="B24" s="272" t="str">
        <f>orcamento!D24</f>
        <v>BASE BG</v>
      </c>
      <c r="C24" s="273"/>
      <c r="D24" s="274"/>
      <c r="E24" s="275"/>
      <c r="F24" s="276"/>
      <c r="G24" s="281"/>
      <c r="H24" s="276"/>
      <c r="I24" s="281"/>
      <c r="J24" s="276"/>
      <c r="K24" s="281"/>
      <c r="L24" s="276"/>
      <c r="M24" s="281"/>
      <c r="N24" s="279"/>
      <c r="O24" s="280"/>
    </row>
    <row r="25" spans="1:15" s="62" customFormat="1" ht="13.8" x14ac:dyDescent="0.25">
      <c r="A25" s="154" t="str">
        <f>orcamento!A25</f>
        <v>2.2.1</v>
      </c>
      <c r="B25" s="272" t="str">
        <f>orcamento!D25</f>
        <v>ENSAIO DE UMIDADE ANTES DA COMPACTAÇÃO</v>
      </c>
      <c r="C25" s="273">
        <f>orcamento!F25</f>
        <v>2</v>
      </c>
      <c r="D25" s="274" t="str">
        <f>orcamento!E25</f>
        <v>UN</v>
      </c>
      <c r="E25" s="275">
        <f>orcamento!K25</f>
        <v>130.93</v>
      </c>
      <c r="F25" s="276"/>
      <c r="G25" s="281"/>
      <c r="H25" s="276">
        <f t="shared" ref="H25:H30" si="8">ROUND($E25*I25,2)</f>
        <v>261.86</v>
      </c>
      <c r="I25" s="281">
        <v>2</v>
      </c>
      <c r="J25" s="276"/>
      <c r="K25" s="281"/>
      <c r="L25" s="276"/>
      <c r="M25" s="281"/>
      <c r="N25" s="279">
        <f t="shared" si="6"/>
        <v>261.86</v>
      </c>
      <c r="O25" s="280">
        <f t="shared" si="7"/>
        <v>2</v>
      </c>
    </row>
    <row r="26" spans="1:15" s="62" customFormat="1" ht="13.8" x14ac:dyDescent="0.25">
      <c r="A26" s="154" t="str">
        <f>orcamento!A26</f>
        <v>2.2.2</v>
      </c>
      <c r="B26" s="272" t="str">
        <f>orcamento!D26</f>
        <v>ENSAIO DE ÍNDICE SUPORTE CALIFORNIA</v>
      </c>
      <c r="C26" s="273">
        <f>orcamento!F26</f>
        <v>1</v>
      </c>
      <c r="D26" s="274" t="str">
        <f>orcamento!E26</f>
        <v>UN</v>
      </c>
      <c r="E26" s="275">
        <f>orcamento!K26</f>
        <v>383.40999999999997</v>
      </c>
      <c r="F26" s="276"/>
      <c r="G26" s="281"/>
      <c r="H26" s="276">
        <f t="shared" si="8"/>
        <v>383.41</v>
      </c>
      <c r="I26" s="281">
        <v>1</v>
      </c>
      <c r="J26" s="276"/>
      <c r="K26" s="281"/>
      <c r="L26" s="276"/>
      <c r="M26" s="281"/>
      <c r="N26" s="279">
        <f t="shared" si="6"/>
        <v>383.41</v>
      </c>
      <c r="O26" s="280">
        <f t="shared" si="7"/>
        <v>1</v>
      </c>
    </row>
    <row r="27" spans="1:15" s="62" customFormat="1" ht="13.8" x14ac:dyDescent="0.25">
      <c r="A27" s="154" t="str">
        <f>orcamento!A27</f>
        <v>2.2.3</v>
      </c>
      <c r="B27" s="272" t="str">
        <f>orcamento!D27</f>
        <v>ENSAIO DE EQUIVALENTE AREIA</v>
      </c>
      <c r="C27" s="273">
        <f>orcamento!F27</f>
        <v>1</v>
      </c>
      <c r="D27" s="274" t="str">
        <f>orcamento!E27</f>
        <v>UN</v>
      </c>
      <c r="E27" s="275">
        <f>orcamento!K27</f>
        <v>150.08000000000001</v>
      </c>
      <c r="F27" s="276"/>
      <c r="G27" s="281"/>
      <c r="H27" s="276">
        <f t="shared" si="8"/>
        <v>150.08000000000001</v>
      </c>
      <c r="I27" s="281">
        <v>1</v>
      </c>
      <c r="J27" s="276"/>
      <c r="K27" s="281"/>
      <c r="L27" s="276"/>
      <c r="M27" s="281"/>
      <c r="N27" s="279">
        <f t="shared" si="6"/>
        <v>150.08000000000001</v>
      </c>
      <c r="O27" s="280">
        <f t="shared" si="7"/>
        <v>1</v>
      </c>
    </row>
    <row r="28" spans="1:15" s="62" customFormat="1" ht="13.8" x14ac:dyDescent="0.25">
      <c r="A28" s="154" t="str">
        <f>orcamento!A28</f>
        <v>2.2.4</v>
      </c>
      <c r="B28" s="272" t="str">
        <f>orcamento!D28</f>
        <v>ENSAIO DE MASSA ESPECÍFICA APARENTE</v>
      </c>
      <c r="C28" s="273">
        <f>orcamento!F28</f>
        <v>4</v>
      </c>
      <c r="D28" s="274" t="str">
        <f>orcamento!E28</f>
        <v>UN</v>
      </c>
      <c r="E28" s="275">
        <f>orcamento!K28</f>
        <v>116.39999999999999</v>
      </c>
      <c r="F28" s="276"/>
      <c r="G28" s="281"/>
      <c r="H28" s="276">
        <f t="shared" si="8"/>
        <v>465.6</v>
      </c>
      <c r="I28" s="281">
        <v>4</v>
      </c>
      <c r="J28" s="276"/>
      <c r="K28" s="281"/>
      <c r="L28" s="276"/>
      <c r="M28" s="281"/>
      <c r="N28" s="279">
        <f t="shared" si="6"/>
        <v>465.6</v>
      </c>
      <c r="O28" s="280">
        <f t="shared" si="7"/>
        <v>4</v>
      </c>
    </row>
    <row r="29" spans="1:15" s="62" customFormat="1" ht="13.8" x14ac:dyDescent="0.25">
      <c r="A29" s="154" t="str">
        <f>orcamento!A29</f>
        <v>2.2.5</v>
      </c>
      <c r="B29" s="272" t="str">
        <f>orcamento!D29</f>
        <v>ENSAIO DE LIMITE DE LIQUIDEZ / LIMITE DE PLASTICIDADE</v>
      </c>
      <c r="C29" s="273">
        <f>orcamento!F29</f>
        <v>2</v>
      </c>
      <c r="D29" s="274" t="str">
        <f>orcamento!E29</f>
        <v>UN</v>
      </c>
      <c r="E29" s="275">
        <f>orcamento!K29</f>
        <v>316.54000000000002</v>
      </c>
      <c r="F29" s="276"/>
      <c r="G29" s="281"/>
      <c r="H29" s="276">
        <f t="shared" si="8"/>
        <v>633.08000000000004</v>
      </c>
      <c r="I29" s="281">
        <v>2</v>
      </c>
      <c r="J29" s="276"/>
      <c r="K29" s="281"/>
      <c r="L29" s="276"/>
      <c r="M29" s="281"/>
      <c r="N29" s="279">
        <f t="shared" si="6"/>
        <v>633.08000000000004</v>
      </c>
      <c r="O29" s="280">
        <f t="shared" si="7"/>
        <v>2</v>
      </c>
    </row>
    <row r="30" spans="1:15" s="62" customFormat="1" ht="13.8" x14ac:dyDescent="0.25">
      <c r="A30" s="154" t="str">
        <f>orcamento!A30</f>
        <v>2.2.6</v>
      </c>
      <c r="B30" s="272" t="str">
        <f>orcamento!D30</f>
        <v>ENSAIO DE COMPACTAÇÃO MÉTODO MODIFICADO</v>
      </c>
      <c r="C30" s="273">
        <f>orcamento!F30</f>
        <v>2</v>
      </c>
      <c r="D30" s="274" t="str">
        <f>orcamento!E30</f>
        <v>UN</v>
      </c>
      <c r="E30" s="275">
        <f>orcamento!K30</f>
        <v>633.59</v>
      </c>
      <c r="F30" s="276"/>
      <c r="G30" s="281"/>
      <c r="H30" s="276">
        <f t="shared" si="8"/>
        <v>1267.18</v>
      </c>
      <c r="I30" s="281">
        <v>2</v>
      </c>
      <c r="J30" s="276"/>
      <c r="K30" s="281"/>
      <c r="L30" s="276"/>
      <c r="M30" s="281"/>
      <c r="N30" s="279">
        <f t="shared" si="6"/>
        <v>1267.18</v>
      </c>
      <c r="O30" s="280">
        <f t="shared" si="7"/>
        <v>2</v>
      </c>
    </row>
    <row r="31" spans="1:15" s="62" customFormat="1" ht="13.8" x14ac:dyDescent="0.25">
      <c r="A31" s="154" t="str">
        <f>orcamento!A31</f>
        <v>2.3</v>
      </c>
      <c r="B31" s="272" t="str">
        <f>orcamento!D31</f>
        <v>IMPRIMAÇÃO</v>
      </c>
      <c r="C31" s="273"/>
      <c r="D31" s="274"/>
      <c r="E31" s="275"/>
      <c r="F31" s="276"/>
      <c r="G31" s="281"/>
      <c r="H31" s="276"/>
      <c r="I31" s="281"/>
      <c r="J31" s="276"/>
      <c r="K31" s="281"/>
      <c r="L31" s="276"/>
      <c r="M31" s="281"/>
      <c r="N31" s="279"/>
      <c r="O31" s="280"/>
    </row>
    <row r="32" spans="1:15" s="62" customFormat="1" ht="13.8" x14ac:dyDescent="0.25">
      <c r="A32" s="154" t="str">
        <f>orcamento!A32</f>
        <v>2.3.1</v>
      </c>
      <c r="B32" s="272" t="str">
        <f>orcamento!D32</f>
        <v>ENSAIO DE TAXA APLICAÇÃO IMPRIMAÇÃO</v>
      </c>
      <c r="C32" s="273">
        <f>orcamento!F32</f>
        <v>1</v>
      </c>
      <c r="D32" s="274" t="str">
        <f>orcamento!E32</f>
        <v>UN</v>
      </c>
      <c r="E32" s="275">
        <f>orcamento!K32</f>
        <v>125.46</v>
      </c>
      <c r="F32" s="276"/>
      <c r="G32" s="281"/>
      <c r="H32" s="276"/>
      <c r="I32" s="281"/>
      <c r="J32" s="276"/>
      <c r="K32" s="281"/>
      <c r="L32" s="276">
        <f t="shared" ref="L32:L40" si="9">ROUND($E32*M32,2)</f>
        <v>125.46</v>
      </c>
      <c r="M32" s="281">
        <v>1</v>
      </c>
      <c r="N32" s="279">
        <f t="shared" si="6"/>
        <v>125.46</v>
      </c>
      <c r="O32" s="280">
        <f t="shared" si="7"/>
        <v>1</v>
      </c>
    </row>
    <row r="33" spans="1:15" s="62" customFormat="1" ht="13.8" x14ac:dyDescent="0.25">
      <c r="A33" s="154" t="str">
        <f>orcamento!A33</f>
        <v>2.4</v>
      </c>
      <c r="B33" s="272" t="str">
        <f>orcamento!D33</f>
        <v>MEIO-FIO</v>
      </c>
      <c r="C33" s="273"/>
      <c r="D33" s="274"/>
      <c r="E33" s="275"/>
      <c r="F33" s="276"/>
      <c r="G33" s="281"/>
      <c r="H33" s="276"/>
      <c r="I33" s="281"/>
      <c r="J33" s="276"/>
      <c r="K33" s="281"/>
      <c r="L33" s="276"/>
      <c r="M33" s="281"/>
      <c r="N33" s="279"/>
      <c r="O33" s="280"/>
    </row>
    <row r="34" spans="1:15" s="62" customFormat="1" ht="13.8" x14ac:dyDescent="0.25">
      <c r="A34" s="154" t="str">
        <f>orcamento!A34</f>
        <v>2.4.1</v>
      </c>
      <c r="B34" s="272" t="str">
        <f>orcamento!D34</f>
        <v>ENSAIO DE DESGASTE E RESISTENCIA</v>
      </c>
      <c r="C34" s="273">
        <f>orcamento!F34</f>
        <v>2</v>
      </c>
      <c r="D34" s="274" t="str">
        <f>orcamento!E34</f>
        <v>UN</v>
      </c>
      <c r="E34" s="275">
        <f>orcamento!K34</f>
        <v>226.76999999999998</v>
      </c>
      <c r="F34" s="276"/>
      <c r="G34" s="281"/>
      <c r="H34" s="276"/>
      <c r="I34" s="281"/>
      <c r="J34" s="276"/>
      <c r="K34" s="281"/>
      <c r="L34" s="276">
        <f t="shared" si="9"/>
        <v>453.54</v>
      </c>
      <c r="M34" s="281">
        <v>2</v>
      </c>
      <c r="N34" s="279">
        <f t="shared" si="6"/>
        <v>453.54</v>
      </c>
      <c r="O34" s="280">
        <f t="shared" si="7"/>
        <v>2</v>
      </c>
    </row>
    <row r="35" spans="1:15" s="62" customFormat="1" ht="13.8" x14ac:dyDescent="0.25">
      <c r="A35" s="154" t="str">
        <f>orcamento!A35</f>
        <v>2.5</v>
      </c>
      <c r="B35" s="272" t="str">
        <f>orcamento!D35</f>
        <v>CBUQ</v>
      </c>
      <c r="C35" s="273"/>
      <c r="D35" s="274"/>
      <c r="E35" s="275"/>
      <c r="F35" s="276"/>
      <c r="G35" s="281"/>
      <c r="H35" s="276"/>
      <c r="I35" s="281"/>
      <c r="J35" s="276"/>
      <c r="K35" s="281"/>
      <c r="L35" s="276"/>
      <c r="M35" s="281"/>
      <c r="N35" s="279"/>
      <c r="O35" s="280"/>
    </row>
    <row r="36" spans="1:15" s="62" customFormat="1" ht="13.8" x14ac:dyDescent="0.25">
      <c r="A36" s="154" t="str">
        <f>orcamento!A36</f>
        <v>2.5.1</v>
      </c>
      <c r="B36" s="272" t="str">
        <f>orcamento!D36</f>
        <v>ENSAIO DE EXTRAÇÃO DE BETUME / GRANULAMETRIA / MARSHALL</v>
      </c>
      <c r="C36" s="273">
        <f>orcamento!F36</f>
        <v>2</v>
      </c>
      <c r="D36" s="274" t="str">
        <f>orcamento!E36</f>
        <v>UN</v>
      </c>
      <c r="E36" s="275">
        <f>orcamento!K36</f>
        <v>988.39</v>
      </c>
      <c r="F36" s="276"/>
      <c r="G36" s="281"/>
      <c r="H36" s="276"/>
      <c r="I36" s="281"/>
      <c r="J36" s="276"/>
      <c r="K36" s="281"/>
      <c r="L36" s="276">
        <f t="shared" si="9"/>
        <v>1976.78</v>
      </c>
      <c r="M36" s="281">
        <v>2</v>
      </c>
      <c r="N36" s="279">
        <f t="shared" si="6"/>
        <v>1976.78</v>
      </c>
      <c r="O36" s="280">
        <f t="shared" si="7"/>
        <v>2</v>
      </c>
    </row>
    <row r="37" spans="1:15" s="62" customFormat="1" ht="13.8" x14ac:dyDescent="0.25">
      <c r="A37" s="154" t="str">
        <f>orcamento!A37</f>
        <v>2.5.2</v>
      </c>
      <c r="B37" s="272" t="str">
        <f>orcamento!D37</f>
        <v>ENSAIO DE TEMPERATURA INICIO ESPALHAMENTO</v>
      </c>
      <c r="C37" s="273">
        <f>orcamento!F37</f>
        <v>4</v>
      </c>
      <c r="D37" s="274" t="str">
        <f>orcamento!E37</f>
        <v>UN</v>
      </c>
      <c r="E37" s="275">
        <f>orcamento!K37</f>
        <v>89.71</v>
      </c>
      <c r="F37" s="276"/>
      <c r="G37" s="281"/>
      <c r="H37" s="276"/>
      <c r="I37" s="281"/>
      <c r="J37" s="276"/>
      <c r="K37" s="281"/>
      <c r="L37" s="276">
        <f t="shared" si="9"/>
        <v>358.84</v>
      </c>
      <c r="M37" s="281">
        <v>4</v>
      </c>
      <c r="N37" s="279">
        <f t="shared" si="6"/>
        <v>358.84</v>
      </c>
      <c r="O37" s="280">
        <f t="shared" si="7"/>
        <v>4</v>
      </c>
    </row>
    <row r="38" spans="1:15" s="62" customFormat="1" ht="13.8" x14ac:dyDescent="0.25">
      <c r="A38" s="154" t="str">
        <f>orcamento!A38</f>
        <v>2.5.3</v>
      </c>
      <c r="B38" s="272" t="str">
        <f>orcamento!D38</f>
        <v>ENSAIO DE COMPRESSÃO</v>
      </c>
      <c r="C38" s="273">
        <f>orcamento!F38</f>
        <v>2</v>
      </c>
      <c r="D38" s="274" t="str">
        <f>orcamento!E38</f>
        <v>UN</v>
      </c>
      <c r="E38" s="275">
        <f>orcamento!K38</f>
        <v>157.28</v>
      </c>
      <c r="F38" s="276"/>
      <c r="G38" s="281"/>
      <c r="H38" s="276"/>
      <c r="I38" s="281"/>
      <c r="J38" s="276"/>
      <c r="K38" s="281"/>
      <c r="L38" s="276">
        <f t="shared" si="9"/>
        <v>314.56</v>
      </c>
      <c r="M38" s="281">
        <v>2</v>
      </c>
      <c r="N38" s="279">
        <f t="shared" si="6"/>
        <v>314.56</v>
      </c>
      <c r="O38" s="280">
        <f t="shared" si="7"/>
        <v>2</v>
      </c>
    </row>
    <row r="39" spans="1:15" s="62" customFormat="1" ht="13.8" x14ac:dyDescent="0.25">
      <c r="A39" s="154" t="str">
        <f>orcamento!A39</f>
        <v>2.6</v>
      </c>
      <c r="B39" s="272" t="str">
        <f>orcamento!D39</f>
        <v>COLETA DE ENSAIOS</v>
      </c>
      <c r="C39" s="273"/>
      <c r="D39" s="274"/>
      <c r="E39" s="275"/>
      <c r="F39" s="276"/>
      <c r="G39" s="281"/>
      <c r="H39" s="276"/>
      <c r="I39" s="281"/>
      <c r="J39" s="276"/>
      <c r="K39" s="281"/>
      <c r="L39" s="276"/>
      <c r="M39" s="281"/>
      <c r="N39" s="279"/>
      <c r="O39" s="280"/>
    </row>
    <row r="40" spans="1:15" s="62" customFormat="1" ht="13.8" x14ac:dyDescent="0.25">
      <c r="A40" s="154" t="str">
        <f>orcamento!A40</f>
        <v>2.6.1</v>
      </c>
      <c r="B40" s="272" t="str">
        <f>orcamento!D40</f>
        <v>COLETA CONJUNTO DE AMOSTRAS</v>
      </c>
      <c r="C40" s="273">
        <f>orcamento!F40</f>
        <v>9</v>
      </c>
      <c r="D40" s="274" t="str">
        <f>orcamento!E40</f>
        <v>UN</v>
      </c>
      <c r="E40" s="275">
        <f>orcamento!K40</f>
        <v>71.3</v>
      </c>
      <c r="F40" s="276">
        <f t="shared" ref="F40:H40" si="10">ROUND($E40*G40,2)</f>
        <v>213.9</v>
      </c>
      <c r="G40" s="281">
        <v>3</v>
      </c>
      <c r="H40" s="276">
        <f t="shared" si="10"/>
        <v>213.9</v>
      </c>
      <c r="I40" s="281">
        <v>3</v>
      </c>
      <c r="J40" s="276"/>
      <c r="K40" s="281"/>
      <c r="L40" s="276">
        <f t="shared" si="9"/>
        <v>213.9</v>
      </c>
      <c r="M40" s="281">
        <v>3</v>
      </c>
      <c r="N40" s="279">
        <f t="shared" ref="N40" si="11">F40+H40+J40+L40</f>
        <v>641.70000000000005</v>
      </c>
      <c r="O40" s="280">
        <f t="shared" ref="O40" si="12">G40+I40+K40+M40</f>
        <v>9</v>
      </c>
    </row>
    <row r="41" spans="1:15" s="62" customFormat="1" ht="13.8" x14ac:dyDescent="0.25">
      <c r="A41" s="265">
        <f>orcamento!A41</f>
        <v>3</v>
      </c>
      <c r="B41" s="85" t="str">
        <f>orcamento!D41</f>
        <v>LOCAÇÕES NO CANTEIRO</v>
      </c>
      <c r="C41" s="266"/>
      <c r="D41" s="267"/>
      <c r="E41" s="268"/>
      <c r="F41" s="269"/>
      <c r="G41" s="270"/>
      <c r="H41" s="269"/>
      <c r="I41" s="270"/>
      <c r="J41" s="269"/>
      <c r="K41" s="270"/>
      <c r="L41" s="269"/>
      <c r="M41" s="270"/>
      <c r="N41" s="279"/>
      <c r="O41" s="280"/>
    </row>
    <row r="42" spans="1:15" s="62" customFormat="1" ht="41.4" x14ac:dyDescent="0.25">
      <c r="A42" s="154" t="str">
        <f>orcamento!A42</f>
        <v>3.1</v>
      </c>
      <c r="B42" s="272" t="str">
        <f>orcamento!D42</f>
        <v>LOCACAO DE CONTAINER 2,30 X 6,00 M, ALT. 2,50 M, PARA ESCRITORIO, SEM DIVISORIAS INTERNAS E SEM SANITARIO (NAO INCLUI MOBILIZACAO/DESMOBILIZACAO)</v>
      </c>
      <c r="C42" s="273">
        <f>orcamento!F42</f>
        <v>4</v>
      </c>
      <c r="D42" s="274" t="str">
        <f>orcamento!E42</f>
        <v>MES</v>
      </c>
      <c r="E42" s="275">
        <f>orcamento!K42</f>
        <v>1062.4100000000001</v>
      </c>
      <c r="F42" s="276">
        <f>ROUND($E42*G42,2)</f>
        <v>1062.4100000000001</v>
      </c>
      <c r="G42" s="281">
        <v>1</v>
      </c>
      <c r="H42" s="276">
        <f>ROUND($E42*I42,2)</f>
        <v>1062.4100000000001</v>
      </c>
      <c r="I42" s="281">
        <v>1</v>
      </c>
      <c r="J42" s="276">
        <f>ROUND($E42*K42,2)</f>
        <v>1062.4100000000001</v>
      </c>
      <c r="K42" s="281">
        <v>1</v>
      </c>
      <c r="L42" s="276">
        <f t="shared" ref="L42:L43" si="13">ROUND(C42*E42-(F42+H42+J42),2)</f>
        <v>1062.4100000000001</v>
      </c>
      <c r="M42" s="281">
        <v>1</v>
      </c>
      <c r="N42" s="279">
        <f t="shared" ref="N42:N43" si="14">F42+H42+J42+L42</f>
        <v>4249.6400000000003</v>
      </c>
      <c r="O42" s="280">
        <f t="shared" ref="O42:O43" si="15">G42+I42+K42+M42</f>
        <v>4</v>
      </c>
    </row>
    <row r="43" spans="1:15" s="62" customFormat="1" ht="27.6" x14ac:dyDescent="0.25">
      <c r="A43" s="154" t="str">
        <f>orcamento!A43</f>
        <v>3.2</v>
      </c>
      <c r="B43" s="272" t="str">
        <f>orcamento!D43</f>
        <v>LOCAÇÃO DE BANHEIRO QUÍMICO INDIVIDUAL, INCLUSO TRANSPORTE, LIMPEZA E REPOSIÇÃO DE PAPEL HIGIENICO</v>
      </c>
      <c r="C43" s="273">
        <f>orcamento!F43</f>
        <v>4</v>
      </c>
      <c r="D43" s="274" t="str">
        <f>orcamento!E43</f>
        <v>MES</v>
      </c>
      <c r="E43" s="275">
        <f>orcamento!K43</f>
        <v>1859.98</v>
      </c>
      <c r="F43" s="276">
        <f>ROUND($E43*G43,2)</f>
        <v>1859.98</v>
      </c>
      <c r="G43" s="281">
        <v>1</v>
      </c>
      <c r="H43" s="276">
        <f>ROUND($E43*I43,2)</f>
        <v>1859.98</v>
      </c>
      <c r="I43" s="281">
        <v>1</v>
      </c>
      <c r="J43" s="276">
        <f>ROUND($E43*K43,2)</f>
        <v>1859.98</v>
      </c>
      <c r="K43" s="281">
        <v>1</v>
      </c>
      <c r="L43" s="276">
        <f t="shared" si="13"/>
        <v>1859.98</v>
      </c>
      <c r="M43" s="281">
        <v>1</v>
      </c>
      <c r="N43" s="279">
        <f t="shared" si="14"/>
        <v>7439.92</v>
      </c>
      <c r="O43" s="280">
        <f t="shared" si="15"/>
        <v>4</v>
      </c>
    </row>
    <row r="44" spans="1:15" s="62" customFormat="1" ht="13.8" x14ac:dyDescent="0.25">
      <c r="A44" s="265">
        <f>orcamento!A44</f>
        <v>4</v>
      </c>
      <c r="B44" s="85" t="str">
        <f>orcamento!D44</f>
        <v>MOBILIZAÇÃO/DESMOBILIZAÇÃO</v>
      </c>
      <c r="C44" s="266"/>
      <c r="D44" s="267"/>
      <c r="E44" s="268"/>
      <c r="F44" s="269"/>
      <c r="G44" s="270"/>
      <c r="H44" s="269"/>
      <c r="I44" s="270"/>
      <c r="J44" s="269"/>
      <c r="K44" s="270"/>
      <c r="L44" s="269"/>
      <c r="M44" s="270"/>
      <c r="N44" s="279"/>
      <c r="O44" s="280"/>
    </row>
    <row r="45" spans="1:15" s="62" customFormat="1" ht="13.8" x14ac:dyDescent="0.25">
      <c r="A45" s="154" t="str">
        <f>orcamento!A45</f>
        <v>4.1</v>
      </c>
      <c r="B45" s="272" t="str">
        <f>orcamento!D45</f>
        <v>MOBILIZAÇÃO EQUIPAMENTOS AUTOPROPELIDOS E LEVES</v>
      </c>
      <c r="C45" s="273">
        <f>orcamento!F45</f>
        <v>1</v>
      </c>
      <c r="D45" s="274" t="str">
        <f>orcamento!E45</f>
        <v>UN</v>
      </c>
      <c r="E45" s="275">
        <f>orcamento!K45</f>
        <v>4261.45</v>
      </c>
      <c r="F45" s="276">
        <f>ROUND($E45*G45,2)</f>
        <v>4261.45</v>
      </c>
      <c r="G45" s="281">
        <f t="shared" ref="G45:G46" si="16">C45</f>
        <v>1</v>
      </c>
      <c r="H45" s="276"/>
      <c r="I45" s="281"/>
      <c r="J45" s="282"/>
      <c r="K45" s="281"/>
      <c r="L45" s="282"/>
      <c r="M45" s="281"/>
      <c r="N45" s="279">
        <f t="shared" ref="N45:N46" si="17">F45+H45+J45+L45</f>
        <v>4261.45</v>
      </c>
      <c r="O45" s="280">
        <f t="shared" ref="O45:O46" si="18">G45+I45+K45+M45</f>
        <v>1</v>
      </c>
    </row>
    <row r="46" spans="1:15" s="62" customFormat="1" ht="13.8" x14ac:dyDescent="0.25">
      <c r="A46" s="154" t="str">
        <f>orcamento!A46</f>
        <v>4.2</v>
      </c>
      <c r="B46" s="272" t="str">
        <f>orcamento!D46</f>
        <v>FRETE CONTAINER</v>
      </c>
      <c r="C46" s="273">
        <f>orcamento!F46</f>
        <v>1</v>
      </c>
      <c r="D46" s="274" t="str">
        <f>orcamento!E46</f>
        <v>UN</v>
      </c>
      <c r="E46" s="275">
        <f>orcamento!K46</f>
        <v>780.95</v>
      </c>
      <c r="F46" s="276">
        <f>ROUND($E46*G46,2)</f>
        <v>780.95</v>
      </c>
      <c r="G46" s="281">
        <f t="shared" si="16"/>
        <v>1</v>
      </c>
      <c r="H46" s="276"/>
      <c r="I46" s="281"/>
      <c r="J46" s="282"/>
      <c r="K46" s="281"/>
      <c r="L46" s="282"/>
      <c r="M46" s="281"/>
      <c r="N46" s="279">
        <f t="shared" si="17"/>
        <v>780.95</v>
      </c>
      <c r="O46" s="280">
        <f t="shared" si="18"/>
        <v>1</v>
      </c>
    </row>
    <row r="47" spans="1:15" s="62" customFormat="1" ht="27.6" x14ac:dyDescent="0.25">
      <c r="A47" s="154" t="str">
        <f>orcamento!A47</f>
        <v>4.3</v>
      </c>
      <c r="B47" s="272" t="str">
        <f>orcamento!D47</f>
        <v>INSTALAÇÃO E DESINSTALAÇÃO MECANIZADA DE CONTÊINER OU MÓDULO HABITÁVEL DE USOS DIVERSOS. AF_03/2024</v>
      </c>
      <c r="C47" s="273">
        <f>orcamento!F47</f>
        <v>1</v>
      </c>
      <c r="D47" s="274" t="str">
        <f>orcamento!E47</f>
        <v>UN</v>
      </c>
      <c r="E47" s="275">
        <f>orcamento!K47</f>
        <v>162.83999999999997</v>
      </c>
      <c r="F47" s="276">
        <f>ROUND($E47*G47,2)</f>
        <v>162.84</v>
      </c>
      <c r="G47" s="281">
        <f t="shared" ref="G47" si="19">C47</f>
        <v>1</v>
      </c>
      <c r="H47" s="276"/>
      <c r="I47" s="281"/>
      <c r="J47" s="282"/>
      <c r="K47" s="281"/>
      <c r="L47" s="282"/>
      <c r="M47" s="281"/>
      <c r="N47" s="279">
        <f t="shared" ref="N47" si="20">F47+H47+J47+L47</f>
        <v>162.84</v>
      </c>
      <c r="O47" s="280">
        <f t="shared" ref="O47" si="21">G47+I47+K47+M47</f>
        <v>1</v>
      </c>
    </row>
    <row r="48" spans="1:15" s="62" customFormat="1" ht="13.8" x14ac:dyDescent="0.25">
      <c r="A48" s="265">
        <f>orcamento!A48</f>
        <v>5</v>
      </c>
      <c r="B48" s="85" t="str">
        <f>orcamento!D48</f>
        <v>SINALIZAÇÃO DE OBRAS</v>
      </c>
      <c r="C48" s="266"/>
      <c r="D48" s="267"/>
      <c r="E48" s="268"/>
      <c r="F48" s="269"/>
      <c r="G48" s="270"/>
      <c r="H48" s="269"/>
      <c r="I48" s="270"/>
      <c r="J48" s="269"/>
      <c r="K48" s="270"/>
      <c r="L48" s="269"/>
      <c r="M48" s="270"/>
      <c r="N48" s="279"/>
      <c r="O48" s="280"/>
    </row>
    <row r="49" spans="1:15" s="62" customFormat="1" ht="27.6" x14ac:dyDescent="0.25">
      <c r="A49" s="154" t="str">
        <f>orcamento!A49</f>
        <v>5.1</v>
      </c>
      <c r="B49" s="272" t="str">
        <f>orcamento!D49</f>
        <v>CONE DE SINALIZACAO EM PVC FLEXIVEL, H = 70 / 76 CM - FORNECIMENTO E INSTALAÇÃO</v>
      </c>
      <c r="C49" s="273">
        <f>orcamento!F49</f>
        <v>9</v>
      </c>
      <c r="D49" s="274" t="str">
        <f>orcamento!E49</f>
        <v>UN</v>
      </c>
      <c r="E49" s="275">
        <f>orcamento!K49</f>
        <v>156.37</v>
      </c>
      <c r="F49" s="276">
        <f>ROUND($E49*G49,2)</f>
        <v>1407.33</v>
      </c>
      <c r="G49" s="281">
        <f t="shared" ref="G49:G52" si="22">C49</f>
        <v>9</v>
      </c>
      <c r="H49" s="276"/>
      <c r="I49" s="281"/>
      <c r="J49" s="282"/>
      <c r="K49" s="281"/>
      <c r="L49" s="282"/>
      <c r="M49" s="281"/>
      <c r="N49" s="279">
        <f t="shared" ref="N49:N52" si="23">F49+H49+J49+L49</f>
        <v>1407.33</v>
      </c>
      <c r="O49" s="280">
        <f t="shared" ref="O49:O52" si="24">G49+I49+K49+M49</f>
        <v>9</v>
      </c>
    </row>
    <row r="50" spans="1:15" s="62" customFormat="1" ht="13.8" x14ac:dyDescent="0.25">
      <c r="A50" s="154" t="str">
        <f>orcamento!A50</f>
        <v>5.2</v>
      </c>
      <c r="B50" s="272" t="str">
        <f>orcamento!D50</f>
        <v>TELA TAPUME LARANJA - FORNECIMENTO E INSTALAÇÃO COM MADEIRA</v>
      </c>
      <c r="C50" s="273">
        <f>orcamento!F50</f>
        <v>300</v>
      </c>
      <c r="D50" s="274" t="str">
        <f>orcamento!E50</f>
        <v>M</v>
      </c>
      <c r="E50" s="275">
        <f>orcamento!K50</f>
        <v>23.14</v>
      </c>
      <c r="F50" s="276">
        <f>ROUND($E50*G50,2)</f>
        <v>4628</v>
      </c>
      <c r="G50" s="281">
        <v>200</v>
      </c>
      <c r="H50" s="276"/>
      <c r="I50" s="281"/>
      <c r="J50" s="276">
        <f>ROUND($E50*K50,2)</f>
        <v>2314</v>
      </c>
      <c r="K50" s="281">
        <v>100</v>
      </c>
      <c r="L50" s="282"/>
      <c r="M50" s="281"/>
      <c r="N50" s="279">
        <f t="shared" si="23"/>
        <v>6942</v>
      </c>
      <c r="O50" s="280">
        <f t="shared" si="24"/>
        <v>300</v>
      </c>
    </row>
    <row r="51" spans="1:15" s="62" customFormat="1" ht="13.8" x14ac:dyDescent="0.25">
      <c r="A51" s="154" t="str">
        <f>orcamento!A51</f>
        <v>5.3</v>
      </c>
      <c r="B51" s="272" t="str">
        <f>orcamento!D51</f>
        <v>BALIZADOR REFLETIVO - FORNECIMENTO E MANUTENÇÃO</v>
      </c>
      <c r="C51" s="273">
        <f>orcamento!F51</f>
        <v>9</v>
      </c>
      <c r="D51" s="274" t="str">
        <f>orcamento!E51</f>
        <v>UN</v>
      </c>
      <c r="E51" s="275">
        <f>orcamento!K51</f>
        <v>253.89000000000001</v>
      </c>
      <c r="F51" s="276">
        <f>ROUND($E51*G51,2)</f>
        <v>2285.0100000000002</v>
      </c>
      <c r="G51" s="281">
        <f t="shared" si="22"/>
        <v>9</v>
      </c>
      <c r="H51" s="276"/>
      <c r="I51" s="281"/>
      <c r="J51" s="282"/>
      <c r="K51" s="281"/>
      <c r="L51" s="282"/>
      <c r="M51" s="281"/>
      <c r="N51" s="279">
        <f t="shared" si="23"/>
        <v>2285.0100000000002</v>
      </c>
      <c r="O51" s="280">
        <f t="shared" si="24"/>
        <v>9</v>
      </c>
    </row>
    <row r="52" spans="1:15" s="62" customFormat="1" ht="27.6" x14ac:dyDescent="0.25">
      <c r="A52" s="154" t="str">
        <f>orcamento!A52</f>
        <v>5.4</v>
      </c>
      <c r="B52" s="272" t="str">
        <f>orcamento!D52</f>
        <v>PASSADICOS C/ TÁBUAS DE MADEIRA P/ PEDESTRES - FORNEC., INST. E DESLOCAMENTOS AO LONGO DA OBRA</v>
      </c>
      <c r="C52" s="273">
        <f>orcamento!F52</f>
        <v>20</v>
      </c>
      <c r="D52" s="274" t="str">
        <f>orcamento!E52</f>
        <v>M2</v>
      </c>
      <c r="E52" s="275">
        <f>orcamento!K52</f>
        <v>119.75</v>
      </c>
      <c r="F52" s="276">
        <f>ROUND($E52*G52,2)</f>
        <v>2395</v>
      </c>
      <c r="G52" s="281">
        <f t="shared" si="22"/>
        <v>20</v>
      </c>
      <c r="H52" s="276"/>
      <c r="I52" s="281"/>
      <c r="J52" s="282"/>
      <c r="K52" s="281"/>
      <c r="L52" s="282"/>
      <c r="M52" s="281"/>
      <c r="N52" s="279">
        <f t="shared" si="23"/>
        <v>2395</v>
      </c>
      <c r="O52" s="280">
        <f t="shared" si="24"/>
        <v>20</v>
      </c>
    </row>
    <row r="53" spans="1:15" s="62" customFormat="1" ht="13.8" x14ac:dyDescent="0.25">
      <c r="A53" s="283">
        <f>orcamento!A53</f>
        <v>6</v>
      </c>
      <c r="B53" s="85" t="str">
        <f>orcamento!D53</f>
        <v>CANTEIRO DE OBRAS</v>
      </c>
      <c r="C53" s="266"/>
      <c r="D53" s="267"/>
      <c r="E53" s="268"/>
      <c r="F53" s="269"/>
      <c r="G53" s="270"/>
      <c r="H53" s="269"/>
      <c r="I53" s="270"/>
      <c r="J53" s="269"/>
      <c r="K53" s="270"/>
      <c r="L53" s="269"/>
      <c r="M53" s="270"/>
      <c r="N53" s="279"/>
      <c r="O53" s="280"/>
    </row>
    <row r="54" spans="1:15" s="62" customFormat="1" ht="27.6" x14ac:dyDescent="0.25">
      <c r="A54" s="154" t="str">
        <f>orcamento!A54</f>
        <v>6.1</v>
      </c>
      <c r="B54" s="272" t="str">
        <f>orcamento!D54</f>
        <v>FORNECIMENTO E INSTALAÇÃO DE PLACA DE OBRA COM CHAPA GALVANIZADA E ESTRUTURA DE MADEIRA. AF_03/2022_PS</v>
      </c>
      <c r="C54" s="273">
        <f>orcamento!F54</f>
        <v>6.96</v>
      </c>
      <c r="D54" s="274" t="str">
        <f>orcamento!E54</f>
        <v>M2</v>
      </c>
      <c r="E54" s="275">
        <f>orcamento!K54</f>
        <v>617.16000000000008</v>
      </c>
      <c r="F54" s="276">
        <f t="shared" ref="F54:F58" si="25">ROUND($E54*G54,2)</f>
        <v>4295.43</v>
      </c>
      <c r="G54" s="281">
        <f t="shared" ref="G54:G88" si="26">C54</f>
        <v>6.96</v>
      </c>
      <c r="H54" s="276"/>
      <c r="I54" s="281"/>
      <c r="J54" s="282"/>
      <c r="K54" s="281"/>
      <c r="L54" s="282"/>
      <c r="M54" s="281"/>
      <c r="N54" s="279">
        <f t="shared" ref="N54:N58" si="27">F54+H54+J54+L54</f>
        <v>4295.43</v>
      </c>
      <c r="O54" s="280">
        <f t="shared" ref="O54:O58" si="28">G54+I54+K54+M54</f>
        <v>6.96</v>
      </c>
    </row>
    <row r="55" spans="1:15" s="62" customFormat="1" ht="27.6" x14ac:dyDescent="0.25">
      <c r="A55" s="154" t="str">
        <f>orcamento!A55</f>
        <v>6.2</v>
      </c>
      <c r="B55" s="272" t="str">
        <f>orcamento!D55</f>
        <v>EXTINTOR DE INCÊNDIO PORTÁTIL COM CARGA DE ÁGUA PRESSURIZADA DE 10 L, CLASSE A - FORNECIMENTO E INSTALAÇÃO. AF_01/2026_PE</v>
      </c>
      <c r="C55" s="273">
        <f>orcamento!F55</f>
        <v>1</v>
      </c>
      <c r="D55" s="274" t="str">
        <f>orcamento!E55</f>
        <v>UN</v>
      </c>
      <c r="E55" s="275">
        <f>orcamento!K55</f>
        <v>279.63</v>
      </c>
      <c r="F55" s="276">
        <f t="shared" si="25"/>
        <v>279.63</v>
      </c>
      <c r="G55" s="281">
        <f t="shared" si="26"/>
        <v>1</v>
      </c>
      <c r="H55" s="276"/>
      <c r="I55" s="281"/>
      <c r="J55" s="282"/>
      <c r="K55" s="281"/>
      <c r="L55" s="282"/>
      <c r="M55" s="281"/>
      <c r="N55" s="279">
        <f t="shared" si="27"/>
        <v>279.63</v>
      </c>
      <c r="O55" s="280">
        <f t="shared" si="28"/>
        <v>1</v>
      </c>
    </row>
    <row r="56" spans="1:15" s="62" customFormat="1" ht="27.6" x14ac:dyDescent="0.25">
      <c r="A56" s="154" t="str">
        <f>orcamento!A56</f>
        <v>6.3</v>
      </c>
      <c r="B56" s="272" t="str">
        <f>orcamento!D56</f>
        <v>EXTINTOR DE INCÊNDIO PORTÁTIL COM CARGA DE PQS DE 8 KG, CLASSE BC - FORNECIMENTO E INSTALAÇÃO. AF_01/2026_PE</v>
      </c>
      <c r="C56" s="273">
        <f>orcamento!F56</f>
        <v>1</v>
      </c>
      <c r="D56" s="274" t="str">
        <f>orcamento!E56</f>
        <v>UN</v>
      </c>
      <c r="E56" s="275">
        <f>orcamento!K56</f>
        <v>369.34000000000003</v>
      </c>
      <c r="F56" s="276">
        <f t="shared" si="25"/>
        <v>369.34</v>
      </c>
      <c r="G56" s="281">
        <f t="shared" si="26"/>
        <v>1</v>
      </c>
      <c r="H56" s="276"/>
      <c r="I56" s="281"/>
      <c r="J56" s="282"/>
      <c r="K56" s="281"/>
      <c r="L56" s="282"/>
      <c r="M56" s="281"/>
      <c r="N56" s="279">
        <f t="shared" si="27"/>
        <v>369.34</v>
      </c>
      <c r="O56" s="280">
        <f t="shared" si="28"/>
        <v>1</v>
      </c>
    </row>
    <row r="57" spans="1:15" s="62" customFormat="1" ht="41.4" x14ac:dyDescent="0.25">
      <c r="A57" s="154" t="str">
        <f>orcamento!A57</f>
        <v>6.4</v>
      </c>
      <c r="B57" s="272" t="str">
        <f>orcamento!D57</f>
        <v>LIMPEZA MECANIZADA DE CAMADA VEGETAL, VEGETAÇÃO E PEQUENAS ÁRVORES (DIÂMETRO DE TRONCO MENOR QUE 0,20 M), COM TRATOR DE ESTEIRAS. AF_03/2024</v>
      </c>
      <c r="C57" s="273">
        <f>orcamento!F57</f>
        <v>165</v>
      </c>
      <c r="D57" s="274" t="str">
        <f>orcamento!E57</f>
        <v>M2</v>
      </c>
      <c r="E57" s="275">
        <f>orcamento!K57</f>
        <v>0.87</v>
      </c>
      <c r="F57" s="276">
        <f t="shared" si="25"/>
        <v>143.55000000000001</v>
      </c>
      <c r="G57" s="281">
        <f t="shared" si="26"/>
        <v>165</v>
      </c>
      <c r="H57" s="276"/>
      <c r="I57" s="281"/>
      <c r="J57" s="282"/>
      <c r="K57" s="281"/>
      <c r="L57" s="282"/>
      <c r="M57" s="281"/>
      <c r="N57" s="279">
        <f t="shared" si="27"/>
        <v>143.55000000000001</v>
      </c>
      <c r="O57" s="280">
        <f t="shared" si="28"/>
        <v>165</v>
      </c>
    </row>
    <row r="58" spans="1:15" s="62" customFormat="1" ht="41.4" x14ac:dyDescent="0.25">
      <c r="A58" s="154" t="str">
        <f>orcamento!A58</f>
        <v>6.5</v>
      </c>
      <c r="B58" s="272" t="str">
        <f>orcamento!D58</f>
        <v>FORNECIMENTO DE ENERGIA PARA INÍCIO DE INSTALAÇÃO DE CANTEIRO POR MEIO DE GRUPO GERADOR REBOCÁVEL, POTÊNCIA 66 KVA, MOTOR A DIESEL</v>
      </c>
      <c r="C58" s="273">
        <f>orcamento!F58</f>
        <v>1</v>
      </c>
      <c r="D58" s="274" t="str">
        <f>orcamento!E58</f>
        <v>UN</v>
      </c>
      <c r="E58" s="275">
        <f>orcamento!K58</f>
        <v>2056.5</v>
      </c>
      <c r="F58" s="276">
        <f t="shared" si="25"/>
        <v>2056.5</v>
      </c>
      <c r="G58" s="281">
        <f t="shared" si="26"/>
        <v>1</v>
      </c>
      <c r="H58" s="276"/>
      <c r="I58" s="281"/>
      <c r="J58" s="282"/>
      <c r="K58" s="281"/>
      <c r="L58" s="282"/>
      <c r="M58" s="281"/>
      <c r="N58" s="279">
        <f t="shared" si="27"/>
        <v>2056.5</v>
      </c>
      <c r="O58" s="280">
        <f t="shared" si="28"/>
        <v>1</v>
      </c>
    </row>
    <row r="59" spans="1:15" s="62" customFormat="1" ht="55.2" x14ac:dyDescent="0.25">
      <c r="A59" s="154" t="str">
        <f>orcamento!A59</f>
        <v>6.7</v>
      </c>
      <c r="B59" s="272" t="str">
        <f>orcamento!D59</f>
        <v>ASSENTAMENTO DE POSTE DE CONCRETO COM COMPRIMENTO NOMINAL DE 10 M, CARGA NOMINAL DE 300 DAN, ENGASTAMENTO BASE CONCRETADA COM 1 M DE CONCRETO E 0,6 M DE SOLO (NÃO INCLUI FORNECIMENTO). AF_04/2025</v>
      </c>
      <c r="C59" s="273">
        <f>orcamento!F59</f>
        <v>1</v>
      </c>
      <c r="D59" s="274" t="str">
        <f>orcamento!E59</f>
        <v>UN</v>
      </c>
      <c r="E59" s="275">
        <f>orcamento!K59</f>
        <v>1017.48</v>
      </c>
      <c r="F59" s="276">
        <f t="shared" ref="F59:F88" si="29">ROUND($E59*G59,2)</f>
        <v>1017.48</v>
      </c>
      <c r="G59" s="281">
        <f t="shared" si="26"/>
        <v>1</v>
      </c>
      <c r="H59" s="276"/>
      <c r="I59" s="281"/>
      <c r="J59" s="282"/>
      <c r="K59" s="281"/>
      <c r="L59" s="282"/>
      <c r="M59" s="281"/>
      <c r="N59" s="279">
        <f t="shared" ref="N59:N88" si="30">F59+H59+J59+L59</f>
        <v>1017.48</v>
      </c>
      <c r="O59" s="280">
        <f t="shared" ref="O59:O88" si="31">G59+I59+K59+M59</f>
        <v>1</v>
      </c>
    </row>
    <row r="60" spans="1:15" s="62" customFormat="1" ht="27.6" x14ac:dyDescent="0.25">
      <c r="A60" s="154" t="str">
        <f>orcamento!A60</f>
        <v>6.8</v>
      </c>
      <c r="B60" s="272" t="str">
        <f>orcamento!D60</f>
        <v>POSTE DE CONCRETO ARMADO DE SECAO CIRCULAR, EXTENSAO DE 10,00 M, RESISTENCIA DE 150 A 200 DAN, TIPO C-14</v>
      </c>
      <c r="C60" s="273">
        <f>orcamento!F60</f>
        <v>1</v>
      </c>
      <c r="D60" s="274" t="str">
        <f>orcamento!E60</f>
        <v>UN</v>
      </c>
      <c r="E60" s="275">
        <f>orcamento!K60</f>
        <v>1793.35</v>
      </c>
      <c r="F60" s="276">
        <f t="shared" si="29"/>
        <v>1793.35</v>
      </c>
      <c r="G60" s="281">
        <f t="shared" si="26"/>
        <v>1</v>
      </c>
      <c r="H60" s="276"/>
      <c r="I60" s="281"/>
      <c r="J60" s="282"/>
      <c r="K60" s="281"/>
      <c r="L60" s="282"/>
      <c r="M60" s="281"/>
      <c r="N60" s="279">
        <f t="shared" si="30"/>
        <v>1793.35</v>
      </c>
      <c r="O60" s="280">
        <f t="shared" si="31"/>
        <v>1</v>
      </c>
    </row>
    <row r="61" spans="1:15" s="62" customFormat="1" ht="41.4" x14ac:dyDescent="0.25">
      <c r="A61" s="154" t="str">
        <f>orcamento!A61</f>
        <v>6.9</v>
      </c>
      <c r="B61" s="272" t="str">
        <f>orcamento!D61</f>
        <v>ENTRADA DE ENERGIA ELÉTRICA, AÉREA, BIFÁSICA, COM CAIXA DE SOBREPOR, CABO DE 10 MM2 E DISJUNTOR DIN 50A (NÃO INCLUSO O POSTE DE CONCRETO). AF_12/2025</v>
      </c>
      <c r="C61" s="273">
        <f>orcamento!F61</f>
        <v>1</v>
      </c>
      <c r="D61" s="274" t="str">
        <f>orcamento!E61</f>
        <v>UN</v>
      </c>
      <c r="E61" s="275">
        <f>orcamento!K61</f>
        <v>2495.25</v>
      </c>
      <c r="F61" s="276">
        <f t="shared" si="29"/>
        <v>2495.25</v>
      </c>
      <c r="G61" s="281">
        <f t="shared" si="26"/>
        <v>1</v>
      </c>
      <c r="H61" s="276"/>
      <c r="I61" s="281"/>
      <c r="J61" s="282"/>
      <c r="K61" s="281"/>
      <c r="L61" s="282"/>
      <c r="M61" s="281"/>
      <c r="N61" s="279">
        <f t="shared" si="30"/>
        <v>2495.25</v>
      </c>
      <c r="O61" s="280">
        <f t="shared" si="31"/>
        <v>1</v>
      </c>
    </row>
    <row r="62" spans="1:15" s="62" customFormat="1" ht="27.6" x14ac:dyDescent="0.25">
      <c r="A62" s="154" t="str">
        <f>orcamento!A62</f>
        <v>6.10</v>
      </c>
      <c r="B62" s="272" t="str">
        <f>orcamento!D62</f>
        <v>CABO DE COBRE FLEXÍVEL ISOLADO, 10 MM², ANTI-CHAMA 0,6/1,0 KV, PARA CIRCUITOS TERMINAIS - FORNECIMENTO E INSTALAÇÃO. AF_03/2023</v>
      </c>
      <c r="C62" s="273">
        <f>orcamento!F62</f>
        <v>180</v>
      </c>
      <c r="D62" s="274" t="str">
        <f>orcamento!E62</f>
        <v>M</v>
      </c>
      <c r="E62" s="275">
        <f>orcamento!K62</f>
        <v>23.130000000000003</v>
      </c>
      <c r="F62" s="276">
        <f t="shared" si="29"/>
        <v>4163.3999999999996</v>
      </c>
      <c r="G62" s="281">
        <f t="shared" si="26"/>
        <v>180</v>
      </c>
      <c r="H62" s="276"/>
      <c r="I62" s="281"/>
      <c r="J62" s="282"/>
      <c r="K62" s="281"/>
      <c r="L62" s="282"/>
      <c r="M62" s="281"/>
      <c r="N62" s="279">
        <f t="shared" si="30"/>
        <v>4163.3999999999996</v>
      </c>
      <c r="O62" s="280">
        <f t="shared" si="31"/>
        <v>180</v>
      </c>
    </row>
    <row r="63" spans="1:15" s="62" customFormat="1" ht="27.6" x14ac:dyDescent="0.25">
      <c r="A63" s="154" t="str">
        <f>orcamento!A63</f>
        <v>6.11</v>
      </c>
      <c r="B63" s="272" t="str">
        <f>orcamento!D63</f>
        <v>CABO DE COBRE FLEXÍVEL ISOLADO, 4 MM², ANTI-CHAMA 0,6/1,0 KV, PARA CIRCUITOS TERMINAIS - FORNECIMENTO E INSTALAÇÃO. AF_03/2023</v>
      </c>
      <c r="C63" s="273">
        <f>orcamento!F63</f>
        <v>15</v>
      </c>
      <c r="D63" s="274" t="str">
        <f>orcamento!E63</f>
        <v>M</v>
      </c>
      <c r="E63" s="275">
        <f>orcamento!K63</f>
        <v>10.27</v>
      </c>
      <c r="F63" s="276">
        <f t="shared" si="29"/>
        <v>154.05000000000001</v>
      </c>
      <c r="G63" s="281">
        <f t="shared" si="26"/>
        <v>15</v>
      </c>
      <c r="H63" s="276"/>
      <c r="I63" s="281"/>
      <c r="J63" s="282"/>
      <c r="K63" s="281"/>
      <c r="L63" s="282"/>
      <c r="M63" s="281"/>
      <c r="N63" s="279">
        <f t="shared" si="30"/>
        <v>154.05000000000001</v>
      </c>
      <c r="O63" s="280">
        <f t="shared" si="31"/>
        <v>15</v>
      </c>
    </row>
    <row r="64" spans="1:15" s="62" customFormat="1" ht="27.6" x14ac:dyDescent="0.25">
      <c r="A64" s="154" t="str">
        <f>orcamento!A64</f>
        <v>6.12</v>
      </c>
      <c r="B64" s="272" t="str">
        <f>orcamento!D64</f>
        <v>CABO DE COBRE FLEXÍVEL ISOLADO, 2,5 MM², ANTI-CHAMA 0,6/1,0 KV, PARA CIRCUITOS TERMINAIS - FORNECIMENTO E INSTALAÇÃO. AF_03/2023</v>
      </c>
      <c r="C64" s="273">
        <f>orcamento!F64</f>
        <v>60</v>
      </c>
      <c r="D64" s="274" t="str">
        <f>orcamento!E64</f>
        <v>M</v>
      </c>
      <c r="E64" s="275">
        <f>orcamento!K64</f>
        <v>6.98</v>
      </c>
      <c r="F64" s="276">
        <f t="shared" si="29"/>
        <v>418.8</v>
      </c>
      <c r="G64" s="281">
        <f t="shared" si="26"/>
        <v>60</v>
      </c>
      <c r="H64" s="276"/>
      <c r="I64" s="281"/>
      <c r="J64" s="282"/>
      <c r="K64" s="281"/>
      <c r="L64" s="282"/>
      <c r="M64" s="281"/>
      <c r="N64" s="279">
        <f t="shared" si="30"/>
        <v>418.8</v>
      </c>
      <c r="O64" s="280">
        <f t="shared" si="31"/>
        <v>60</v>
      </c>
    </row>
    <row r="65" spans="1:15" s="62" customFormat="1" ht="41.4" x14ac:dyDescent="0.25">
      <c r="A65" s="154" t="str">
        <f>orcamento!A65</f>
        <v>6.13</v>
      </c>
      <c r="B65" s="272" t="str">
        <f>orcamento!D65</f>
        <v>ELETRODUTO FLEXÍVEL LISO, PEAD, DN 32 MM (1"), PARA CIRCUITOS TERMINAIS, INSTALADO EM FORRO - FORNECIMENTO E INSTALAÇÃO. AF_03/2023</v>
      </c>
      <c r="C65" s="273">
        <f>orcamento!F65</f>
        <v>25</v>
      </c>
      <c r="D65" s="274" t="str">
        <f>orcamento!E65</f>
        <v>M</v>
      </c>
      <c r="E65" s="275">
        <f>orcamento!K65</f>
        <v>25.73</v>
      </c>
      <c r="F65" s="276">
        <f t="shared" si="29"/>
        <v>643.25</v>
      </c>
      <c r="G65" s="281">
        <f t="shared" si="26"/>
        <v>25</v>
      </c>
      <c r="H65" s="276"/>
      <c r="I65" s="281"/>
      <c r="J65" s="282"/>
      <c r="K65" s="281"/>
      <c r="L65" s="282"/>
      <c r="M65" s="281"/>
      <c r="N65" s="279">
        <f t="shared" si="30"/>
        <v>643.25</v>
      </c>
      <c r="O65" s="280">
        <f t="shared" si="31"/>
        <v>25</v>
      </c>
    </row>
    <row r="66" spans="1:15" s="62" customFormat="1" ht="41.4" x14ac:dyDescent="0.25">
      <c r="A66" s="154" t="str">
        <f>orcamento!A66</f>
        <v>6.14</v>
      </c>
      <c r="B66" s="272" t="str">
        <f>orcamento!D66</f>
        <v>QUADRO DE DISTRIBUIÇÃO DE ENERGIA EM CHAPA DE AÇO GALVANIZADO, DE EMBUTIR, COM BARRAMENTO TRIFÁSICO, PARA 12 DISJUNTORES DIN 100A - FORNECIMENTO E INSTALAÇÃO. AF_07/2025</v>
      </c>
      <c r="C66" s="273">
        <f>orcamento!F66</f>
        <v>1</v>
      </c>
      <c r="D66" s="274" t="str">
        <f>orcamento!E66</f>
        <v>UN</v>
      </c>
      <c r="E66" s="275">
        <f>orcamento!K66</f>
        <v>541.52</v>
      </c>
      <c r="F66" s="276">
        <f t="shared" si="29"/>
        <v>541.52</v>
      </c>
      <c r="G66" s="281">
        <f t="shared" si="26"/>
        <v>1</v>
      </c>
      <c r="H66" s="276"/>
      <c r="I66" s="281"/>
      <c r="J66" s="282"/>
      <c r="K66" s="281"/>
      <c r="L66" s="282"/>
      <c r="M66" s="281"/>
      <c r="N66" s="279">
        <f t="shared" si="30"/>
        <v>541.52</v>
      </c>
      <c r="O66" s="280">
        <f t="shared" si="31"/>
        <v>1</v>
      </c>
    </row>
    <row r="67" spans="1:15" s="62" customFormat="1" ht="27.6" x14ac:dyDescent="0.25">
      <c r="A67" s="154" t="str">
        <f>orcamento!A67</f>
        <v>6.15</v>
      </c>
      <c r="B67" s="272" t="str">
        <f>orcamento!D67</f>
        <v>DISJUNTOR MONOPOLAR TIPO DIN, CORRENTE NOMINAL DE 50A - FORNECIMENTO E INSTALAÇÃO. AF_07/2025</v>
      </c>
      <c r="C67" s="273">
        <f>orcamento!F67</f>
        <v>1</v>
      </c>
      <c r="D67" s="274" t="str">
        <f>orcamento!E67</f>
        <v>UN</v>
      </c>
      <c r="E67" s="275">
        <f>orcamento!K67</f>
        <v>29.94</v>
      </c>
      <c r="F67" s="276">
        <f t="shared" si="29"/>
        <v>29.94</v>
      </c>
      <c r="G67" s="281">
        <f t="shared" si="26"/>
        <v>1</v>
      </c>
      <c r="H67" s="276"/>
      <c r="I67" s="281"/>
      <c r="J67" s="282"/>
      <c r="K67" s="281"/>
      <c r="L67" s="282"/>
      <c r="M67" s="281"/>
      <c r="N67" s="279">
        <f t="shared" si="30"/>
        <v>29.94</v>
      </c>
      <c r="O67" s="280">
        <f t="shared" si="31"/>
        <v>1</v>
      </c>
    </row>
    <row r="68" spans="1:15" s="62" customFormat="1" ht="27.6" x14ac:dyDescent="0.25">
      <c r="A68" s="154" t="str">
        <f>orcamento!A68</f>
        <v>6.16</v>
      </c>
      <c r="B68" s="272" t="str">
        <f>orcamento!D68</f>
        <v>DISJUNTOR MONOPOLAR TIPO DIN, CORRENTE NOMINAL DE 32A - FORNECIMENTO E INSTALAÇÃO. AF_07/2025</v>
      </c>
      <c r="C68" s="273">
        <f>orcamento!F68</f>
        <v>4</v>
      </c>
      <c r="D68" s="274" t="str">
        <f>orcamento!E68</f>
        <v>UN</v>
      </c>
      <c r="E68" s="275">
        <f>orcamento!K68</f>
        <v>18.190000000000001</v>
      </c>
      <c r="F68" s="276">
        <f t="shared" si="29"/>
        <v>72.760000000000005</v>
      </c>
      <c r="G68" s="281">
        <f t="shared" si="26"/>
        <v>4</v>
      </c>
      <c r="H68" s="276"/>
      <c r="I68" s="281"/>
      <c r="J68" s="282"/>
      <c r="K68" s="281"/>
      <c r="L68" s="282"/>
      <c r="M68" s="281"/>
      <c r="N68" s="279">
        <f t="shared" si="30"/>
        <v>72.760000000000005</v>
      </c>
      <c r="O68" s="280">
        <f t="shared" si="31"/>
        <v>4</v>
      </c>
    </row>
    <row r="69" spans="1:15" s="62" customFormat="1" ht="27.6" x14ac:dyDescent="0.25">
      <c r="A69" s="154" t="str">
        <f>orcamento!A69</f>
        <v>6.17</v>
      </c>
      <c r="B69" s="272" t="str">
        <f>orcamento!D69</f>
        <v>INTERRUPTOR SIMPLES (1 MÓDULO), 10A/250V, INCLUINDO SUPORTE E PLACA - FORNECIMENTO E INSTALAÇÃO. AF_03/2023</v>
      </c>
      <c r="C69" s="273">
        <f>orcamento!F69</f>
        <v>3</v>
      </c>
      <c r="D69" s="274" t="str">
        <f>orcamento!E69</f>
        <v>UN</v>
      </c>
      <c r="E69" s="275">
        <f>orcamento!K69</f>
        <v>42.5</v>
      </c>
      <c r="F69" s="276">
        <f t="shared" si="29"/>
        <v>127.5</v>
      </c>
      <c r="G69" s="281">
        <f t="shared" si="26"/>
        <v>3</v>
      </c>
      <c r="H69" s="276"/>
      <c r="I69" s="281"/>
      <c r="J69" s="282"/>
      <c r="K69" s="281"/>
      <c r="L69" s="282"/>
      <c r="M69" s="281"/>
      <c r="N69" s="279">
        <f t="shared" si="30"/>
        <v>127.5</v>
      </c>
      <c r="O69" s="280">
        <f t="shared" si="31"/>
        <v>3</v>
      </c>
    </row>
    <row r="70" spans="1:15" s="62" customFormat="1" ht="27.6" x14ac:dyDescent="0.25">
      <c r="A70" s="154" t="str">
        <f>orcamento!A70</f>
        <v>6.18</v>
      </c>
      <c r="B70" s="272" t="str">
        <f>orcamento!D70</f>
        <v>TOMADA MÉDIA DE EMBUTIR (1 MÓDULO), 2P+T 20 A, INCLUINDO SUPORTE E PLACA - FORNECIMENTO E INSTALAÇÃO. AF_03/2023</v>
      </c>
      <c r="C70" s="273">
        <f>orcamento!F70</f>
        <v>1</v>
      </c>
      <c r="D70" s="274" t="str">
        <f>orcamento!E70</f>
        <v>UN</v>
      </c>
      <c r="E70" s="275">
        <f>orcamento!K70</f>
        <v>53.2</v>
      </c>
      <c r="F70" s="276">
        <f t="shared" si="29"/>
        <v>53.2</v>
      </c>
      <c r="G70" s="281">
        <f t="shared" si="26"/>
        <v>1</v>
      </c>
      <c r="H70" s="276"/>
      <c r="I70" s="281"/>
      <c r="J70" s="282"/>
      <c r="K70" s="281"/>
      <c r="L70" s="282"/>
      <c r="M70" s="281"/>
      <c r="N70" s="279">
        <f t="shared" si="30"/>
        <v>53.2</v>
      </c>
      <c r="O70" s="280">
        <f t="shared" si="31"/>
        <v>1</v>
      </c>
    </row>
    <row r="71" spans="1:15" s="62" customFormat="1" ht="27.6" x14ac:dyDescent="0.25">
      <c r="A71" s="154" t="str">
        <f>orcamento!A71</f>
        <v>6.19</v>
      </c>
      <c r="B71" s="272" t="str">
        <f>orcamento!D71</f>
        <v>TOMADA MÉDIA DE EMBUTIR (1 MÓDULO), 2P+T 10 A, INCLUINDO SUPORTE E PLACA - FORNECIMENTO E INSTALAÇÃO. AF_03/2023</v>
      </c>
      <c r="C71" s="273">
        <f>orcamento!F71</f>
        <v>6</v>
      </c>
      <c r="D71" s="274" t="str">
        <f>orcamento!E71</f>
        <v>UN</v>
      </c>
      <c r="E71" s="275">
        <f>orcamento!K71</f>
        <v>50.14</v>
      </c>
      <c r="F71" s="276">
        <f t="shared" si="29"/>
        <v>300.83999999999997</v>
      </c>
      <c r="G71" s="281">
        <f t="shared" si="26"/>
        <v>6</v>
      </c>
      <c r="H71" s="276"/>
      <c r="I71" s="281"/>
      <c r="J71" s="282"/>
      <c r="K71" s="281"/>
      <c r="L71" s="282"/>
      <c r="M71" s="281"/>
      <c r="N71" s="279">
        <f t="shared" si="30"/>
        <v>300.83999999999997</v>
      </c>
      <c r="O71" s="280">
        <f t="shared" si="31"/>
        <v>6</v>
      </c>
    </row>
    <row r="72" spans="1:15" s="62" customFormat="1" ht="27.6" x14ac:dyDescent="0.25">
      <c r="A72" s="154" t="str">
        <f>orcamento!A72</f>
        <v>6.20</v>
      </c>
      <c r="B72" s="272" t="str">
        <f>orcamento!D72</f>
        <v>LUMINÁRIA TIPO PLAFON CIRCULAR, DE SOBREPOR, COM LED DE 12/13 W - FORNECIMENTO E INSTALAÇÃO. AF_09/2024</v>
      </c>
      <c r="C72" s="273">
        <f>orcamento!F72</f>
        <v>4</v>
      </c>
      <c r="D72" s="274" t="str">
        <f>orcamento!E72</f>
        <v>UN</v>
      </c>
      <c r="E72" s="275">
        <f>orcamento!K72</f>
        <v>36.619999999999997</v>
      </c>
      <c r="F72" s="276">
        <f t="shared" si="29"/>
        <v>146.47999999999999</v>
      </c>
      <c r="G72" s="281">
        <f t="shared" si="26"/>
        <v>4</v>
      </c>
      <c r="H72" s="276"/>
      <c r="I72" s="281"/>
      <c r="J72" s="282"/>
      <c r="K72" s="281"/>
      <c r="L72" s="282"/>
      <c r="M72" s="281"/>
      <c r="N72" s="279">
        <f t="shared" si="30"/>
        <v>146.47999999999999</v>
      </c>
      <c r="O72" s="280">
        <f t="shared" si="31"/>
        <v>4</v>
      </c>
    </row>
    <row r="73" spans="1:15" s="62" customFormat="1" ht="27.6" x14ac:dyDescent="0.25">
      <c r="A73" s="154" t="str">
        <f>orcamento!A73</f>
        <v>6.21</v>
      </c>
      <c r="B73" s="272" t="str">
        <f>orcamento!D73</f>
        <v>CAIXA D´ÁGUA EM POLIETILENO, 1500 LITROS - FORNECIMENTO E INSTALAÇÃO. AF_06/2021</v>
      </c>
      <c r="C73" s="273">
        <f>orcamento!F73</f>
        <v>1</v>
      </c>
      <c r="D73" s="274" t="str">
        <f>orcamento!E73</f>
        <v>UN</v>
      </c>
      <c r="E73" s="275">
        <f>orcamento!K73</f>
        <v>1447.7800000000002</v>
      </c>
      <c r="F73" s="276">
        <f t="shared" si="29"/>
        <v>1447.78</v>
      </c>
      <c r="G73" s="281">
        <f t="shared" si="26"/>
        <v>1</v>
      </c>
      <c r="H73" s="276"/>
      <c r="I73" s="281"/>
      <c r="J73" s="282"/>
      <c r="K73" s="281"/>
      <c r="L73" s="282"/>
      <c r="M73" s="281"/>
      <c r="N73" s="279">
        <f t="shared" si="30"/>
        <v>1447.78</v>
      </c>
      <c r="O73" s="280">
        <f t="shared" si="31"/>
        <v>1</v>
      </c>
    </row>
    <row r="74" spans="1:15" s="62" customFormat="1" ht="27.6" x14ac:dyDescent="0.25">
      <c r="A74" s="154" t="str">
        <f>orcamento!A74</f>
        <v>6.22</v>
      </c>
      <c r="B74" s="272" t="str">
        <f>orcamento!D74</f>
        <v>MANGUEIRA CRISTAL TRANCADA, PVC COM REFORCO, PRESSAO DE TRABALHO (PT) 250 LBS/POL2, DE 1" X *3,1* MM</v>
      </c>
      <c r="C74" s="273">
        <f>orcamento!F74</f>
        <v>30</v>
      </c>
      <c r="D74" s="274" t="str">
        <f>orcamento!E74</f>
        <v>M</v>
      </c>
      <c r="E74" s="275">
        <f>orcamento!K74</f>
        <v>26.779999999999998</v>
      </c>
      <c r="F74" s="276">
        <f t="shared" si="29"/>
        <v>803.4</v>
      </c>
      <c r="G74" s="281">
        <f t="shared" si="26"/>
        <v>30</v>
      </c>
      <c r="H74" s="276"/>
      <c r="I74" s="281"/>
      <c r="J74" s="282"/>
      <c r="K74" s="281"/>
      <c r="L74" s="282"/>
      <c r="M74" s="281"/>
      <c r="N74" s="279">
        <f t="shared" si="30"/>
        <v>803.4</v>
      </c>
      <c r="O74" s="280">
        <f t="shared" si="31"/>
        <v>30</v>
      </c>
    </row>
    <row r="75" spans="1:15" s="62" customFormat="1" ht="27.6" x14ac:dyDescent="0.25">
      <c r="A75" s="154" t="str">
        <f>orcamento!A75</f>
        <v>6.23</v>
      </c>
      <c r="B75" s="272" t="str">
        <f>orcamento!D75</f>
        <v>TUBO, PVC, SOLDÁVEL, DE 32MM, INSTALADO EM RAMAL OU SUB-RAMAL DE ÁGUA - FORNECIMENTO E INSTALAÇÃO. AF_06/2022</v>
      </c>
      <c r="C75" s="273">
        <f>orcamento!F75</f>
        <v>12</v>
      </c>
      <c r="D75" s="274" t="str">
        <f>orcamento!E75</f>
        <v>M</v>
      </c>
      <c r="E75" s="275">
        <f>orcamento!K75</f>
        <v>47.05</v>
      </c>
      <c r="F75" s="276">
        <f t="shared" si="29"/>
        <v>564.6</v>
      </c>
      <c r="G75" s="281">
        <f t="shared" si="26"/>
        <v>12</v>
      </c>
      <c r="H75" s="276"/>
      <c r="I75" s="281"/>
      <c r="J75" s="282"/>
      <c r="K75" s="281"/>
      <c r="L75" s="282"/>
      <c r="M75" s="281"/>
      <c r="N75" s="279">
        <f t="shared" si="30"/>
        <v>564.6</v>
      </c>
      <c r="O75" s="280">
        <f t="shared" si="31"/>
        <v>12</v>
      </c>
    </row>
    <row r="76" spans="1:15" s="62" customFormat="1" ht="27.6" x14ac:dyDescent="0.25">
      <c r="A76" s="154" t="str">
        <f>orcamento!A76</f>
        <v>6.24</v>
      </c>
      <c r="B76" s="272" t="str">
        <f>orcamento!D76</f>
        <v>TUBO, PVC, SOLDÁVEL, DE 25MM, INSTALADO EM RAMAL OU SUB-RAMAL DE ÁGUA - FORNECIMENTO E INSTALAÇÃO. AF_06/2022</v>
      </c>
      <c r="C76" s="273">
        <f>orcamento!F76</f>
        <v>12</v>
      </c>
      <c r="D76" s="274" t="str">
        <f>orcamento!E76</f>
        <v>M</v>
      </c>
      <c r="E76" s="275">
        <f>orcamento!K76</f>
        <v>34.04</v>
      </c>
      <c r="F76" s="276">
        <f t="shared" si="29"/>
        <v>408.48</v>
      </c>
      <c r="G76" s="281">
        <f t="shared" si="26"/>
        <v>12</v>
      </c>
      <c r="H76" s="276"/>
      <c r="I76" s="281"/>
      <c r="J76" s="282"/>
      <c r="K76" s="281"/>
      <c r="L76" s="282"/>
      <c r="M76" s="281"/>
      <c r="N76" s="279">
        <f t="shared" si="30"/>
        <v>408.48</v>
      </c>
      <c r="O76" s="280">
        <f t="shared" si="31"/>
        <v>12</v>
      </c>
    </row>
    <row r="77" spans="1:15" s="62" customFormat="1" ht="27.6" x14ac:dyDescent="0.25">
      <c r="A77" s="154" t="str">
        <f>orcamento!A77</f>
        <v>6.25</v>
      </c>
      <c r="B77" s="272" t="str">
        <f>orcamento!D77</f>
        <v>CURVA 90 GRAUS, PVC, SOLDÁVEL, DN 25MM, INSTALADO EM RAMAL OU SUB-RAMAL DE ÁGUA - FORNECIMENTO E INSTALAÇÃO. AF_06/2022</v>
      </c>
      <c r="C77" s="273">
        <f>orcamento!F77</f>
        <v>3</v>
      </c>
      <c r="D77" s="274" t="str">
        <f>orcamento!E77</f>
        <v>UN</v>
      </c>
      <c r="E77" s="275">
        <f>orcamento!K77</f>
        <v>17.260000000000002</v>
      </c>
      <c r="F77" s="276">
        <f t="shared" si="29"/>
        <v>51.78</v>
      </c>
      <c r="G77" s="281">
        <f t="shared" si="26"/>
        <v>3</v>
      </c>
      <c r="H77" s="276"/>
      <c r="I77" s="281"/>
      <c r="J77" s="282"/>
      <c r="K77" s="281"/>
      <c r="L77" s="282"/>
      <c r="M77" s="281"/>
      <c r="N77" s="279">
        <f t="shared" si="30"/>
        <v>51.78</v>
      </c>
      <c r="O77" s="280">
        <f t="shared" si="31"/>
        <v>3</v>
      </c>
    </row>
    <row r="78" spans="1:15" s="62" customFormat="1" ht="27.6" x14ac:dyDescent="0.25">
      <c r="A78" s="154" t="str">
        <f>orcamento!A78</f>
        <v>6.26</v>
      </c>
      <c r="B78" s="272" t="str">
        <f>orcamento!D78</f>
        <v>REGISTRO DE ESFERA, PVC, SOLDÁVEL, COM VOLANTE, DN 32 MM - FORNECIMENTO E INSTALAÇÃO. AF_08/2021</v>
      </c>
      <c r="C78" s="273">
        <f>orcamento!F78</f>
        <v>1</v>
      </c>
      <c r="D78" s="274" t="str">
        <f>orcamento!E78</f>
        <v>UN</v>
      </c>
      <c r="E78" s="275">
        <f>orcamento!K78</f>
        <v>73.89</v>
      </c>
      <c r="F78" s="276">
        <f t="shared" si="29"/>
        <v>73.89</v>
      </c>
      <c r="G78" s="281">
        <f t="shared" si="26"/>
        <v>1</v>
      </c>
      <c r="H78" s="276"/>
      <c r="I78" s="281"/>
      <c r="J78" s="282"/>
      <c r="K78" s="281"/>
      <c r="L78" s="282"/>
      <c r="M78" s="281"/>
      <c r="N78" s="279">
        <f t="shared" si="30"/>
        <v>73.89</v>
      </c>
      <c r="O78" s="280">
        <f t="shared" si="31"/>
        <v>1</v>
      </c>
    </row>
    <row r="79" spans="1:15" s="62" customFormat="1" ht="27.6" x14ac:dyDescent="0.25">
      <c r="A79" s="154" t="str">
        <f>orcamento!A79</f>
        <v>6.27</v>
      </c>
      <c r="B79" s="272" t="str">
        <f>orcamento!D79</f>
        <v>CURVA 90 GRAUS, PVC, SOLDÁVEL, DN 32MM, INSTALADO EM RAMAL OU SUB-RAMAL DE ÁGUA - FORNECIMENTO E INSTALAÇÃO. AF_06/2022</v>
      </c>
      <c r="C79" s="273">
        <f>orcamento!F79</f>
        <v>8</v>
      </c>
      <c r="D79" s="274" t="str">
        <f>orcamento!E79</f>
        <v>UN</v>
      </c>
      <c r="E79" s="275">
        <f>orcamento!K79</f>
        <v>25.29</v>
      </c>
      <c r="F79" s="276">
        <f t="shared" si="29"/>
        <v>202.32</v>
      </c>
      <c r="G79" s="281">
        <f t="shared" si="26"/>
        <v>8</v>
      </c>
      <c r="H79" s="276"/>
      <c r="I79" s="281"/>
      <c r="J79" s="282"/>
      <c r="K79" s="281"/>
      <c r="L79" s="282"/>
      <c r="M79" s="281"/>
      <c r="N79" s="279">
        <f t="shared" si="30"/>
        <v>202.32</v>
      </c>
      <c r="O79" s="280">
        <f t="shared" si="31"/>
        <v>8</v>
      </c>
    </row>
    <row r="80" spans="1:15" s="62" customFormat="1" ht="27.6" x14ac:dyDescent="0.25">
      <c r="A80" s="154" t="str">
        <f>orcamento!A80</f>
        <v>6.28</v>
      </c>
      <c r="B80" s="272" t="str">
        <f>orcamento!D80</f>
        <v>TORNEIRA PLÁSTICA 3/4" PARA TANQUE - FORNECIMENTO E INSTALAÇÃO. AF_02/2026</v>
      </c>
      <c r="C80" s="273">
        <f>orcamento!F80</f>
        <v>2</v>
      </c>
      <c r="D80" s="274" t="str">
        <f>orcamento!E80</f>
        <v>UN</v>
      </c>
      <c r="E80" s="275">
        <f>orcamento!K80</f>
        <v>34.56</v>
      </c>
      <c r="F80" s="276">
        <f t="shared" si="29"/>
        <v>69.12</v>
      </c>
      <c r="G80" s="281">
        <f t="shared" si="26"/>
        <v>2</v>
      </c>
      <c r="H80" s="276"/>
      <c r="I80" s="281"/>
      <c r="J80" s="282"/>
      <c r="K80" s="281"/>
      <c r="L80" s="282"/>
      <c r="M80" s="281"/>
      <c r="N80" s="279">
        <f t="shared" si="30"/>
        <v>69.12</v>
      </c>
      <c r="O80" s="280">
        <f t="shared" si="31"/>
        <v>2</v>
      </c>
    </row>
    <row r="81" spans="1:15" s="62" customFormat="1" ht="13.8" x14ac:dyDescent="0.25">
      <c r="A81" s="154" t="str">
        <f>orcamento!A81</f>
        <v>6.29</v>
      </c>
      <c r="B81" s="272" t="str">
        <f>orcamento!D81</f>
        <v>ESCAVAÇÃO MANUAL DE VALA. AF_09/2024</v>
      </c>
      <c r="C81" s="273">
        <f>orcamento!F81</f>
        <v>1.7999999999999998</v>
      </c>
      <c r="D81" s="274" t="str">
        <f>orcamento!E81</f>
        <v>M3</v>
      </c>
      <c r="E81" s="275">
        <f>orcamento!K81</f>
        <v>126.83</v>
      </c>
      <c r="F81" s="276">
        <f t="shared" si="29"/>
        <v>228.29</v>
      </c>
      <c r="G81" s="281">
        <f t="shared" si="26"/>
        <v>1.7999999999999998</v>
      </c>
      <c r="H81" s="276"/>
      <c r="I81" s="281"/>
      <c r="J81" s="282"/>
      <c r="K81" s="281"/>
      <c r="L81" s="282"/>
      <c r="M81" s="281"/>
      <c r="N81" s="279">
        <f t="shared" si="30"/>
        <v>228.29</v>
      </c>
      <c r="O81" s="280">
        <f t="shared" si="31"/>
        <v>1.7999999999999998</v>
      </c>
    </row>
    <row r="82" spans="1:15" s="62" customFormat="1" ht="13.8" x14ac:dyDescent="0.25">
      <c r="A82" s="154" t="str">
        <f>orcamento!A82</f>
        <v>6.30</v>
      </c>
      <c r="B82" s="272" t="str">
        <f>orcamento!D82</f>
        <v>REATERRO MANUAL DE VALAS, COM PLACA VIBRATÓRIA. AF_08/2023</v>
      </c>
      <c r="C82" s="273">
        <f>orcamento!F82</f>
        <v>1.7999999999999998</v>
      </c>
      <c r="D82" s="274" t="str">
        <f>orcamento!E82</f>
        <v>M3</v>
      </c>
      <c r="E82" s="275">
        <f>orcamento!K82</f>
        <v>31.85</v>
      </c>
      <c r="F82" s="276">
        <f t="shared" si="29"/>
        <v>57.33</v>
      </c>
      <c r="G82" s="281">
        <f t="shared" si="26"/>
        <v>1.7999999999999998</v>
      </c>
      <c r="H82" s="276"/>
      <c r="I82" s="281"/>
      <c r="J82" s="282"/>
      <c r="K82" s="281"/>
      <c r="L82" s="282"/>
      <c r="M82" s="281"/>
      <c r="N82" s="279">
        <f t="shared" si="30"/>
        <v>57.33</v>
      </c>
      <c r="O82" s="280">
        <f t="shared" si="31"/>
        <v>1.7999999999999998</v>
      </c>
    </row>
    <row r="83" spans="1:15" s="62" customFormat="1" ht="41.4" x14ac:dyDescent="0.25">
      <c r="A83" s="154" t="str">
        <f>orcamento!A83</f>
        <v>6.31</v>
      </c>
      <c r="B83" s="272" t="str">
        <f>orcamento!D83</f>
        <v>TUBO PVC, SERIE NORMAL, ESGOTO PREDIAL, DN 100 MM, FORNECIDO E INSTALADO EM RAMAL DE DESCARGA OU RAMAL DE ESGOTO SANITÁRIO. AF_08/2022</v>
      </c>
      <c r="C83" s="273">
        <f>orcamento!F83</f>
        <v>6</v>
      </c>
      <c r="D83" s="274" t="str">
        <f>orcamento!E83</f>
        <v>M</v>
      </c>
      <c r="E83" s="275">
        <f>orcamento!K83</f>
        <v>57.51</v>
      </c>
      <c r="F83" s="276">
        <f t="shared" si="29"/>
        <v>345.06</v>
      </c>
      <c r="G83" s="281">
        <f t="shared" si="26"/>
        <v>6</v>
      </c>
      <c r="H83" s="276"/>
      <c r="I83" s="281"/>
      <c r="J83" s="282"/>
      <c r="K83" s="281"/>
      <c r="L83" s="282"/>
      <c r="M83" s="281"/>
      <c r="N83" s="279">
        <f t="shared" si="30"/>
        <v>345.06</v>
      </c>
      <c r="O83" s="280">
        <f t="shared" si="31"/>
        <v>6</v>
      </c>
    </row>
    <row r="84" spans="1:15" s="62" customFormat="1" ht="41.4" x14ac:dyDescent="0.25">
      <c r="A84" s="154" t="str">
        <f>orcamento!A84</f>
        <v>6.32</v>
      </c>
      <c r="B84" s="272" t="str">
        <f>orcamento!D84</f>
        <v>TUBO PVC, SERIE NORMAL, ESGOTO PREDIAL, DN 50 MM, FORNECIDO E INSTALADO EM RAMAL DE DESCARGA OU RAMAL DE ESGOTO SANITÁRIO. AF_08/2022</v>
      </c>
      <c r="C84" s="273">
        <f>orcamento!F84</f>
        <v>8</v>
      </c>
      <c r="D84" s="274" t="str">
        <f>orcamento!E84</f>
        <v>M</v>
      </c>
      <c r="E84" s="275">
        <f>orcamento!K84</f>
        <v>41.31</v>
      </c>
      <c r="F84" s="276">
        <f t="shared" si="29"/>
        <v>330.48</v>
      </c>
      <c r="G84" s="281">
        <f t="shared" si="26"/>
        <v>8</v>
      </c>
      <c r="H84" s="276"/>
      <c r="I84" s="281"/>
      <c r="J84" s="282"/>
      <c r="K84" s="281"/>
      <c r="L84" s="282"/>
      <c r="M84" s="281"/>
      <c r="N84" s="279">
        <f t="shared" si="30"/>
        <v>330.48</v>
      </c>
      <c r="O84" s="280">
        <f t="shared" si="31"/>
        <v>8</v>
      </c>
    </row>
    <row r="85" spans="1:15" s="62" customFormat="1" ht="41.4" x14ac:dyDescent="0.25">
      <c r="A85" s="154" t="str">
        <f>orcamento!A85</f>
        <v>6.33</v>
      </c>
      <c r="B85" s="272" t="str">
        <f>orcamento!D85</f>
        <v>JOELHO 90 GRAUS, PVC, SERIE NORMAL, ESGOTO PREDIAL, DN 100 MM, JUNTA ELÁSTICA, FORNECIDO E INSTALADO EM PRUMADA DE ESGOTO SANITÁRIO OU VENTILAÇÃO. AF_08/2022</v>
      </c>
      <c r="C85" s="273">
        <f>orcamento!F85</f>
        <v>4</v>
      </c>
      <c r="D85" s="274" t="str">
        <f>orcamento!E85</f>
        <v>UN</v>
      </c>
      <c r="E85" s="275">
        <f>orcamento!K85</f>
        <v>41.21</v>
      </c>
      <c r="F85" s="276">
        <f t="shared" si="29"/>
        <v>164.84</v>
      </c>
      <c r="G85" s="281">
        <f t="shared" si="26"/>
        <v>4</v>
      </c>
      <c r="H85" s="276"/>
      <c r="I85" s="281"/>
      <c r="J85" s="282"/>
      <c r="K85" s="281"/>
      <c r="L85" s="282"/>
      <c r="M85" s="281"/>
      <c r="N85" s="279">
        <f t="shared" si="30"/>
        <v>164.84</v>
      </c>
      <c r="O85" s="280">
        <f t="shared" si="31"/>
        <v>4</v>
      </c>
    </row>
    <row r="86" spans="1:15" s="62" customFormat="1" ht="41.4" x14ac:dyDescent="0.25">
      <c r="A86" s="154" t="str">
        <f>orcamento!A86</f>
        <v>6.34</v>
      </c>
      <c r="B86" s="272" t="str">
        <f>orcamento!D86</f>
        <v>JOELHO 90 GRAUS, PVC, SERIE NORMAL, ESGOTO PREDIAL, DN 50 MM, JUNTA ELÁSTICA, FORNECIDO E INSTALADO EM PRUMADA DE ESGOTO SANITÁRIO OU VENTILAÇÃO. AF_08/2022</v>
      </c>
      <c r="C86" s="273">
        <f>orcamento!F86</f>
        <v>6</v>
      </c>
      <c r="D86" s="274" t="str">
        <f>orcamento!E86</f>
        <v>UN</v>
      </c>
      <c r="E86" s="275">
        <f>orcamento!K86</f>
        <v>13.6</v>
      </c>
      <c r="F86" s="276">
        <f t="shared" si="29"/>
        <v>81.599999999999994</v>
      </c>
      <c r="G86" s="281">
        <f t="shared" si="26"/>
        <v>6</v>
      </c>
      <c r="H86" s="276"/>
      <c r="I86" s="281"/>
      <c r="J86" s="282"/>
      <c r="K86" s="281"/>
      <c r="L86" s="282"/>
      <c r="M86" s="281"/>
      <c r="N86" s="279">
        <f t="shared" si="30"/>
        <v>81.599999999999994</v>
      </c>
      <c r="O86" s="280">
        <f t="shared" si="31"/>
        <v>6</v>
      </c>
    </row>
    <row r="87" spans="1:15" s="62" customFormat="1" ht="13.8" x14ac:dyDescent="0.25">
      <c r="A87" s="154" t="str">
        <f>orcamento!A87</f>
        <v>6.35</v>
      </c>
      <c r="B87" s="272" t="str">
        <f>orcamento!D87</f>
        <v>ESCAVAÇÃO MANUAL DE VALA. AF_09/2024</v>
      </c>
      <c r="C87" s="273">
        <f>orcamento!F87</f>
        <v>0.89999999999999991</v>
      </c>
      <c r="D87" s="274" t="str">
        <f>orcamento!E87</f>
        <v>M3</v>
      </c>
      <c r="E87" s="275">
        <f>orcamento!K87</f>
        <v>126.83</v>
      </c>
      <c r="F87" s="276">
        <f t="shared" si="29"/>
        <v>114.15</v>
      </c>
      <c r="G87" s="281">
        <f t="shared" si="26"/>
        <v>0.89999999999999991</v>
      </c>
      <c r="H87" s="276"/>
      <c r="I87" s="281"/>
      <c r="J87" s="282"/>
      <c r="K87" s="281"/>
      <c r="L87" s="282"/>
      <c r="M87" s="281"/>
      <c r="N87" s="279">
        <f t="shared" si="30"/>
        <v>114.15</v>
      </c>
      <c r="O87" s="280">
        <f t="shared" si="31"/>
        <v>0.89999999999999991</v>
      </c>
    </row>
    <row r="88" spans="1:15" s="62" customFormat="1" ht="13.8" x14ac:dyDescent="0.25">
      <c r="A88" s="154" t="str">
        <f>orcamento!A88</f>
        <v>6.36</v>
      </c>
      <c r="B88" s="272" t="str">
        <f>orcamento!D88</f>
        <v>REATERRO MANUAL DE VALAS, COM PLACA VIBRATÓRIA. AF_08/2023</v>
      </c>
      <c r="C88" s="273">
        <f>orcamento!F88</f>
        <v>0.89999999999999991</v>
      </c>
      <c r="D88" s="274" t="str">
        <f>orcamento!E88</f>
        <v>M3</v>
      </c>
      <c r="E88" s="275">
        <f>orcamento!K88</f>
        <v>31.85</v>
      </c>
      <c r="F88" s="276">
        <f t="shared" si="29"/>
        <v>28.67</v>
      </c>
      <c r="G88" s="281">
        <f t="shared" si="26"/>
        <v>0.89999999999999991</v>
      </c>
      <c r="H88" s="276"/>
      <c r="I88" s="281"/>
      <c r="J88" s="282"/>
      <c r="K88" s="281"/>
      <c r="L88" s="282"/>
      <c r="M88" s="281"/>
      <c r="N88" s="279">
        <f t="shared" si="30"/>
        <v>28.67</v>
      </c>
      <c r="O88" s="280">
        <f t="shared" si="31"/>
        <v>0.89999999999999991</v>
      </c>
    </row>
    <row r="89" spans="1:15" s="62" customFormat="1" ht="13.8" x14ac:dyDescent="0.25">
      <c r="A89" s="265">
        <f>orcamento!A89</f>
        <v>7</v>
      </c>
      <c r="B89" s="85" t="str">
        <f>orcamento!D89</f>
        <v>SERVIÇOS INICIAIS</v>
      </c>
      <c r="C89" s="266"/>
      <c r="D89" s="267"/>
      <c r="E89" s="268"/>
      <c r="F89" s="269"/>
      <c r="G89" s="270"/>
      <c r="H89" s="268"/>
      <c r="I89" s="270"/>
      <c r="J89" s="284"/>
      <c r="K89" s="270"/>
      <c r="L89" s="284"/>
      <c r="M89" s="270"/>
      <c r="N89" s="279"/>
      <c r="O89" s="280"/>
    </row>
    <row r="90" spans="1:15" s="62" customFormat="1" ht="41.4" x14ac:dyDescent="0.25">
      <c r="A90" s="154" t="str">
        <f>orcamento!A90</f>
        <v>7.1</v>
      </c>
      <c r="B90" s="272" t="str">
        <f>orcamento!D90</f>
        <v>LIMPEZA MECANIZADA DE CAMADA VEGETAL, VEGETAÇÃO E PEQUENAS ÁRVORES (DIÂMETRO DE TRONCO MENOR QUE 0,20 M), COM TRATOR DE ESTEIRAS. AF_03/2024</v>
      </c>
      <c r="C90" s="273">
        <f>orcamento!F90</f>
        <v>1287.1999999999998</v>
      </c>
      <c r="D90" s="274" t="str">
        <f>orcamento!E90</f>
        <v>M2</v>
      </c>
      <c r="E90" s="275">
        <f>orcamento!K90</f>
        <v>0.87</v>
      </c>
      <c r="F90" s="276">
        <f t="shared" ref="F90:F96" si="32">ROUND($E90*G90,2)</f>
        <v>1119.8599999999999</v>
      </c>
      <c r="G90" s="281">
        <f>C90</f>
        <v>1287.1999999999998</v>
      </c>
      <c r="H90" s="276"/>
      <c r="I90" s="281"/>
      <c r="J90" s="282"/>
      <c r="K90" s="281"/>
      <c r="L90" s="282"/>
      <c r="M90" s="281"/>
      <c r="N90" s="279">
        <f t="shared" ref="N90:N96" si="33">F90+H90+J90+L90</f>
        <v>1119.8599999999999</v>
      </c>
      <c r="O90" s="280">
        <f t="shared" ref="O90:O96" si="34">G90+I90+K90+M90</f>
        <v>1287.1999999999998</v>
      </c>
    </row>
    <row r="91" spans="1:15" s="62" customFormat="1" ht="27.6" x14ac:dyDescent="0.25">
      <c r="A91" s="154" t="str">
        <f>orcamento!A91</f>
        <v>7.2</v>
      </c>
      <c r="B91" s="272" t="str">
        <f>orcamento!D91</f>
        <v>DEMOLIÇÃO DE PISO DE CONCRETO SIMPLES, DE FORMA MECANIZADA COM MARTELETE, SEM REAPROVEITAMENTO. AF_09/2023</v>
      </c>
      <c r="C91" s="273">
        <f>orcamento!F91</f>
        <v>5.62</v>
      </c>
      <c r="D91" s="274" t="str">
        <f>orcamento!E91</f>
        <v>M3</v>
      </c>
      <c r="E91" s="275">
        <f>orcamento!K91</f>
        <v>152.31</v>
      </c>
      <c r="F91" s="276">
        <f t="shared" ref="F91:F94" si="35">ROUND($E91*G91,2)</f>
        <v>855.98</v>
      </c>
      <c r="G91" s="281">
        <f t="shared" ref="G91:G96" si="36">C91</f>
        <v>5.62</v>
      </c>
      <c r="H91" s="276"/>
      <c r="I91" s="281"/>
      <c r="J91" s="282"/>
      <c r="K91" s="281"/>
      <c r="L91" s="282"/>
      <c r="M91" s="281"/>
      <c r="N91" s="279">
        <f t="shared" ref="N91:N94" si="37">F91+H91+J91+L91</f>
        <v>855.98</v>
      </c>
      <c r="O91" s="280">
        <f t="shared" ref="O91:O94" si="38">G91+I91+K91+M91</f>
        <v>5.62</v>
      </c>
    </row>
    <row r="92" spans="1:15" s="62" customFormat="1" ht="27.6" x14ac:dyDescent="0.25">
      <c r="A92" s="154" t="str">
        <f>orcamento!A92</f>
        <v>7.3</v>
      </c>
      <c r="B92" s="272" t="str">
        <f>orcamento!D92</f>
        <v>DEMOLIÇÃO PARCIAL DE PAVIMENTO ASFÁLTICO, DE FORMA MECANIZADA, SEM REAPROVEITAMENTO. AF_09/2023</v>
      </c>
      <c r="C92" s="273">
        <f>orcamento!F92</f>
        <v>31.56</v>
      </c>
      <c r="D92" s="274" t="str">
        <f>orcamento!E92</f>
        <v>M2</v>
      </c>
      <c r="E92" s="275">
        <f>orcamento!K92</f>
        <v>29.08</v>
      </c>
      <c r="F92" s="276">
        <f t="shared" si="35"/>
        <v>917.76</v>
      </c>
      <c r="G92" s="281">
        <f t="shared" si="36"/>
        <v>31.56</v>
      </c>
      <c r="H92" s="276"/>
      <c r="I92" s="281"/>
      <c r="J92" s="282"/>
      <c r="K92" s="281"/>
      <c r="L92" s="282"/>
      <c r="M92" s="281"/>
      <c r="N92" s="279">
        <f t="shared" si="37"/>
        <v>917.76</v>
      </c>
      <c r="O92" s="280">
        <f t="shared" si="38"/>
        <v>31.56</v>
      </c>
    </row>
    <row r="93" spans="1:15" s="62" customFormat="1" ht="27.6" x14ac:dyDescent="0.25">
      <c r="A93" s="154" t="str">
        <f>orcamento!A93</f>
        <v>7.4</v>
      </c>
      <c r="B93" s="272" t="str">
        <f>orcamento!D93</f>
        <v>DEMOLIÇÃO DE GUIAS, SARJETAS OU SARJETÕES, DE FORMA MECANIZADA, SEM REAPROVEITAMENTO. AF_09/2023</v>
      </c>
      <c r="C93" s="273">
        <f>orcamento!F93</f>
        <v>9.44</v>
      </c>
      <c r="D93" s="274" t="str">
        <f>orcamento!E93</f>
        <v>M</v>
      </c>
      <c r="E93" s="275">
        <f>orcamento!K93</f>
        <v>19.68</v>
      </c>
      <c r="F93" s="276">
        <f t="shared" si="35"/>
        <v>185.78</v>
      </c>
      <c r="G93" s="281">
        <f t="shared" si="36"/>
        <v>9.44</v>
      </c>
      <c r="H93" s="276"/>
      <c r="I93" s="281"/>
      <c r="J93" s="282"/>
      <c r="K93" s="281"/>
      <c r="L93" s="282"/>
      <c r="M93" s="281"/>
      <c r="N93" s="279">
        <f t="shared" si="37"/>
        <v>185.78</v>
      </c>
      <c r="O93" s="280">
        <f t="shared" si="38"/>
        <v>9.44</v>
      </c>
    </row>
    <row r="94" spans="1:15" s="62" customFormat="1" ht="41.4" x14ac:dyDescent="0.25">
      <c r="A94" s="154" t="str">
        <f>orcamento!A94</f>
        <v>7.5</v>
      </c>
      <c r="B94" s="272" t="str">
        <f>orcamento!D94</f>
        <v>CARGA, MANOBRA E DESCARGA DE ENTULHO EM CAMINHÃO BASCULANTE 10 M³ - CARGA COM ESCAVADEIRA HIDRÁULICA (CAÇAMBA DE 0,80 M³ / 111 HP) E DESCARGA LIVRE (UNIDADE: M3). AF_02/2026</v>
      </c>
      <c r="C94" s="273">
        <f>orcamento!F94</f>
        <v>171.37</v>
      </c>
      <c r="D94" s="274" t="str">
        <f>orcamento!E94</f>
        <v>M3</v>
      </c>
      <c r="E94" s="275">
        <f>orcamento!K94</f>
        <v>12.01</v>
      </c>
      <c r="F94" s="276">
        <f t="shared" si="35"/>
        <v>2058.15</v>
      </c>
      <c r="G94" s="281">
        <f t="shared" si="36"/>
        <v>171.37</v>
      </c>
      <c r="H94" s="276"/>
      <c r="I94" s="281"/>
      <c r="J94" s="282"/>
      <c r="K94" s="281"/>
      <c r="L94" s="282"/>
      <c r="M94" s="281"/>
      <c r="N94" s="279">
        <f t="shared" si="37"/>
        <v>2058.15</v>
      </c>
      <c r="O94" s="280">
        <f t="shared" si="38"/>
        <v>171.37</v>
      </c>
    </row>
    <row r="95" spans="1:15" s="62" customFormat="1" ht="27.6" x14ac:dyDescent="0.25">
      <c r="A95" s="154" t="str">
        <f>orcamento!A95</f>
        <v>7.6</v>
      </c>
      <c r="B95" s="272" t="str">
        <f>orcamento!D95</f>
        <v>TRANSPORTE COM CAMINHÃO BASCULANTE DE 10 M³, EM VIA URBANA PAVIMENTADA, DMT ATÉ 30 KM (UNIDADE: M3XKM). AF_02/2026</v>
      </c>
      <c r="C95" s="273">
        <f>orcamento!F95</f>
        <v>1131.04</v>
      </c>
      <c r="D95" s="274" t="str">
        <f>orcamento!E95</f>
        <v>M3XKM</v>
      </c>
      <c r="E95" s="275">
        <f>orcamento!K95</f>
        <v>3.52</v>
      </c>
      <c r="F95" s="276">
        <f t="shared" si="32"/>
        <v>3981.26</v>
      </c>
      <c r="G95" s="281">
        <f t="shared" si="36"/>
        <v>1131.04</v>
      </c>
      <c r="H95" s="276"/>
      <c r="I95" s="281"/>
      <c r="J95" s="282"/>
      <c r="K95" s="281"/>
      <c r="L95" s="282"/>
      <c r="M95" s="281"/>
      <c r="N95" s="279">
        <f t="shared" si="33"/>
        <v>3981.26</v>
      </c>
      <c r="O95" s="280">
        <f t="shared" si="34"/>
        <v>1131.04</v>
      </c>
    </row>
    <row r="96" spans="1:15" s="62" customFormat="1" ht="13.8" x14ac:dyDescent="0.25">
      <c r="A96" s="154" t="str">
        <f>orcamento!A96</f>
        <v>7.7</v>
      </c>
      <c r="B96" s="272" t="str">
        <f>orcamento!D96</f>
        <v>TAXA PARA BOTA FORA</v>
      </c>
      <c r="C96" s="273">
        <f>orcamento!F96</f>
        <v>171.37</v>
      </c>
      <c r="D96" s="274" t="str">
        <f>orcamento!E96</f>
        <v>M3</v>
      </c>
      <c r="E96" s="275">
        <f>orcamento!K96</f>
        <v>11.5</v>
      </c>
      <c r="F96" s="276">
        <f t="shared" si="32"/>
        <v>1970.76</v>
      </c>
      <c r="G96" s="281">
        <f t="shared" si="36"/>
        <v>171.37</v>
      </c>
      <c r="H96" s="276"/>
      <c r="I96" s="281"/>
      <c r="J96" s="282"/>
      <c r="K96" s="281"/>
      <c r="L96" s="282"/>
      <c r="M96" s="281"/>
      <c r="N96" s="279">
        <f t="shared" si="33"/>
        <v>1970.76</v>
      </c>
      <c r="O96" s="280">
        <f t="shared" si="34"/>
        <v>171.37</v>
      </c>
    </row>
    <row r="97" spans="1:15" s="62" customFormat="1" ht="13.8" x14ac:dyDescent="0.25">
      <c r="A97" s="265">
        <f>orcamento!A97</f>
        <v>8</v>
      </c>
      <c r="B97" s="85" t="str">
        <f>orcamento!D97</f>
        <v>TERRAPLENAGEM</v>
      </c>
      <c r="C97" s="266"/>
      <c r="D97" s="267"/>
      <c r="E97" s="268"/>
      <c r="F97" s="269"/>
      <c r="G97" s="270"/>
      <c r="H97" s="269"/>
      <c r="I97" s="270"/>
      <c r="J97" s="269"/>
      <c r="K97" s="270"/>
      <c r="L97" s="269"/>
      <c r="M97" s="270"/>
      <c r="N97" s="279"/>
      <c r="O97" s="280"/>
    </row>
    <row r="98" spans="1:15" s="62" customFormat="1" ht="41.4" x14ac:dyDescent="0.25">
      <c r="A98" s="154" t="str">
        <f>orcamento!A98</f>
        <v>8.1</v>
      </c>
      <c r="B98" s="272" t="str">
        <f>orcamento!D98</f>
        <v>ESCAVAÇÃO HORIZONTAL, INCLUINDO CARGA, DESCARGA E TRANSPORTE EM SOLO DE 1A CATEGORIA COM TRATOR DE ESTEIRAS (125HP/LÂMINA: 2,70M3) E CAMINHÃO BASCULANTE DE 10M3, DMT ATÉ 200M. AF_07/2020</v>
      </c>
      <c r="C98" s="273">
        <f>orcamento!F98</f>
        <v>229.7</v>
      </c>
      <c r="D98" s="274" t="str">
        <f>orcamento!E98</f>
        <v>M3</v>
      </c>
      <c r="E98" s="275">
        <f>orcamento!K98</f>
        <v>19.47</v>
      </c>
      <c r="F98" s="276"/>
      <c r="G98" s="281"/>
      <c r="H98" s="276">
        <f t="shared" ref="H98:H102" si="39">ROUND($E98*I98,2)</f>
        <v>2236.13</v>
      </c>
      <c r="I98" s="281">
        <f t="shared" ref="I98:I102" si="40">C98/2</f>
        <v>114.85</v>
      </c>
      <c r="J98" s="276">
        <f t="shared" ref="J98:J102" si="41">ROUND(C98*E98-(F98+H98),2)</f>
        <v>2236.13</v>
      </c>
      <c r="K98" s="281">
        <f t="shared" ref="K98:K102" si="42">I98</f>
        <v>114.85</v>
      </c>
      <c r="L98" s="276"/>
      <c r="M98" s="281"/>
      <c r="N98" s="279">
        <f t="shared" ref="N98" si="43">F98+H98+J98+L98</f>
        <v>4472.26</v>
      </c>
      <c r="O98" s="280">
        <f t="shared" ref="O98" si="44">G98+I98+K98+M98</f>
        <v>229.7</v>
      </c>
    </row>
    <row r="99" spans="1:15" s="62" customFormat="1" ht="55.2" x14ac:dyDescent="0.25">
      <c r="A99" s="154" t="str">
        <f>orcamento!A99</f>
        <v>8.2</v>
      </c>
      <c r="B99" s="272" t="str">
        <f>orcamento!D99</f>
        <v>EXECUÇÃO E COMPACTAÇÃO DE CORPO DE ATERRO (95% DE ENERGIA DO PROCTOR NORMAL) COM SOLO PREDOMINANTEMENTE ARENOSO ESPESSURA 15CM - EXCLUSIVE MATERIAL, ESCAVAÇÃO, CARGA E TRANSPORTE. AF_09/2024</v>
      </c>
      <c r="C99" s="273">
        <f>orcamento!F99</f>
        <v>53.29</v>
      </c>
      <c r="D99" s="274" t="str">
        <f>orcamento!E99</f>
        <v>M3</v>
      </c>
      <c r="E99" s="275">
        <f>orcamento!K99</f>
        <v>8.7199999999999989</v>
      </c>
      <c r="F99" s="276"/>
      <c r="G99" s="281"/>
      <c r="H99" s="276">
        <f t="shared" si="39"/>
        <v>232.34</v>
      </c>
      <c r="I99" s="281">
        <f t="shared" si="40"/>
        <v>26.645</v>
      </c>
      <c r="J99" s="276">
        <f t="shared" si="41"/>
        <v>232.35</v>
      </c>
      <c r="K99" s="281">
        <f t="shared" si="42"/>
        <v>26.645</v>
      </c>
      <c r="L99" s="276"/>
      <c r="M99" s="281"/>
      <c r="N99" s="279">
        <f t="shared" ref="N99" si="45">F99+H99+J99+L99</f>
        <v>464.69</v>
      </c>
      <c r="O99" s="280">
        <f t="shared" ref="O99" si="46">G99+I99+K99+M99</f>
        <v>53.29</v>
      </c>
    </row>
    <row r="100" spans="1:15" s="62" customFormat="1" ht="55.2" x14ac:dyDescent="0.25">
      <c r="A100" s="154" t="str">
        <f>orcamento!A100</f>
        <v>8.3</v>
      </c>
      <c r="B100" s="272" t="str">
        <f>orcamento!D100</f>
        <v>CARGA, MANOBRA E DESCARGA DE SOLOS E MATERIAIS GRANULARES EM CAMINHÃO BASCULANTE 10 M³ - CARGA COM ESCAVADEIRA HIDRÁULICA (CAÇAMBA DE 1,20 M³ / 155 HP) E DESCARGA LIVRE (UNIDADE: M3). AF_02/2026</v>
      </c>
      <c r="C100" s="273">
        <f>orcamento!F100</f>
        <v>66.61</v>
      </c>
      <c r="D100" s="274" t="str">
        <f>orcamento!E100</f>
        <v>M3</v>
      </c>
      <c r="E100" s="275">
        <f>orcamento!K100</f>
        <v>9.2200000000000006</v>
      </c>
      <c r="F100" s="276"/>
      <c r="G100" s="281"/>
      <c r="H100" s="276">
        <f t="shared" si="39"/>
        <v>307.07</v>
      </c>
      <c r="I100" s="281">
        <f t="shared" si="40"/>
        <v>33.305</v>
      </c>
      <c r="J100" s="276">
        <f t="shared" si="41"/>
        <v>307.07</v>
      </c>
      <c r="K100" s="281">
        <f t="shared" si="42"/>
        <v>33.305</v>
      </c>
      <c r="L100" s="276"/>
      <c r="M100" s="281"/>
      <c r="N100" s="279">
        <f t="shared" ref="N100:N102" si="47">F100+H100+J100+L100</f>
        <v>614.14</v>
      </c>
      <c r="O100" s="280">
        <f t="shared" ref="O100:O102" si="48">G100+I100+K100+M100</f>
        <v>66.61</v>
      </c>
    </row>
    <row r="101" spans="1:15" s="62" customFormat="1" ht="27.6" x14ac:dyDescent="0.25">
      <c r="A101" s="154" t="str">
        <f>orcamento!A101</f>
        <v>8.4</v>
      </c>
      <c r="B101" s="272" t="str">
        <f>orcamento!D101</f>
        <v>TRANSPORTE COM CAMINHÃO BASCULANTE DE 10 M³, EM VIA URBANA PAVIMENTADA, DMT ATÉ 30 KM (UNIDADE: M3XKM). AF_02/2026</v>
      </c>
      <c r="C101" s="273">
        <f>orcamento!F101</f>
        <v>1455.38</v>
      </c>
      <c r="D101" s="274" t="str">
        <f>orcamento!E101</f>
        <v>M3XKM</v>
      </c>
      <c r="E101" s="275">
        <f>orcamento!K101</f>
        <v>3.52</v>
      </c>
      <c r="F101" s="276"/>
      <c r="G101" s="281"/>
      <c r="H101" s="276">
        <f t="shared" si="39"/>
        <v>2561.4699999999998</v>
      </c>
      <c r="I101" s="281">
        <f t="shared" si="40"/>
        <v>727.69</v>
      </c>
      <c r="J101" s="276">
        <f t="shared" si="41"/>
        <v>2561.4699999999998</v>
      </c>
      <c r="K101" s="281">
        <f t="shared" si="42"/>
        <v>727.69</v>
      </c>
      <c r="L101" s="276"/>
      <c r="M101" s="281"/>
      <c r="N101" s="279">
        <f t="shared" si="47"/>
        <v>5122.9399999999996</v>
      </c>
      <c r="O101" s="280">
        <f t="shared" si="48"/>
        <v>1455.38</v>
      </c>
    </row>
    <row r="102" spans="1:15" s="62" customFormat="1" ht="13.8" x14ac:dyDescent="0.25">
      <c r="A102" s="154" t="str">
        <f>orcamento!A102</f>
        <v>8.5</v>
      </c>
      <c r="B102" s="272" t="str">
        <f>orcamento!D102</f>
        <v>TAXA PARA BOTA FORA</v>
      </c>
      <c r="C102" s="273">
        <f>orcamento!F102</f>
        <v>220.51</v>
      </c>
      <c r="D102" s="274" t="str">
        <f>orcamento!E102</f>
        <v>M3</v>
      </c>
      <c r="E102" s="275">
        <f>orcamento!K102</f>
        <v>11.5</v>
      </c>
      <c r="F102" s="276"/>
      <c r="G102" s="281"/>
      <c r="H102" s="276">
        <f t="shared" si="39"/>
        <v>1267.93</v>
      </c>
      <c r="I102" s="281">
        <f t="shared" si="40"/>
        <v>110.255</v>
      </c>
      <c r="J102" s="276">
        <f t="shared" si="41"/>
        <v>1267.94</v>
      </c>
      <c r="K102" s="281">
        <f t="shared" si="42"/>
        <v>110.255</v>
      </c>
      <c r="L102" s="276"/>
      <c r="M102" s="281"/>
      <c r="N102" s="279">
        <f t="shared" si="47"/>
        <v>2535.87</v>
      </c>
      <c r="O102" s="280">
        <f t="shared" si="48"/>
        <v>220.51</v>
      </c>
    </row>
    <row r="103" spans="1:15" s="62" customFormat="1" ht="13.8" x14ac:dyDescent="0.25">
      <c r="A103" s="265">
        <f>orcamento!A103</f>
        <v>9</v>
      </c>
      <c r="B103" s="85" t="str">
        <f>orcamento!D103</f>
        <v>PAVIMENTAÇÃO VIÁRIA</v>
      </c>
      <c r="C103" s="266"/>
      <c r="D103" s="267"/>
      <c r="E103" s="268"/>
      <c r="F103" s="269"/>
      <c r="G103" s="270"/>
      <c r="H103" s="269"/>
      <c r="I103" s="270"/>
      <c r="J103" s="269"/>
      <c r="K103" s="270"/>
      <c r="L103" s="269"/>
      <c r="M103" s="270"/>
      <c r="N103" s="279"/>
      <c r="O103" s="280"/>
    </row>
    <row r="104" spans="1:15" s="62" customFormat="1" ht="41.4" x14ac:dyDescent="0.25">
      <c r="A104" s="154" t="str">
        <f>orcamento!A104</f>
        <v>9.1</v>
      </c>
      <c r="B104" s="272" t="str">
        <f>orcamento!D104</f>
        <v>REGULARIZAÇÃO E COMPACTAÇÃO DE SUBLEITO DE SOLO PREDOMINANTEMENTE ARGILOSO, PARA OBRAS DE CONSTRUÇÃO DE PAVIMENTOS. AF_09/2024</v>
      </c>
      <c r="C104" s="273">
        <f>orcamento!F104</f>
        <v>702.65</v>
      </c>
      <c r="D104" s="274" t="str">
        <f>orcamento!E104</f>
        <v>M2</v>
      </c>
      <c r="E104" s="275">
        <f>orcamento!K104</f>
        <v>3.76</v>
      </c>
      <c r="F104" s="276"/>
      <c r="G104" s="281"/>
      <c r="H104" s="276"/>
      <c r="I104" s="281"/>
      <c r="J104" s="276">
        <f t="shared" ref="J104" si="49">ROUND($E104*K104,2)</f>
        <v>1320.98</v>
      </c>
      <c r="K104" s="281">
        <f t="shared" ref="K104" si="50">C104/2</f>
        <v>351.32499999999999</v>
      </c>
      <c r="L104" s="276">
        <f t="shared" ref="L104" si="51">ROUND(C104*E104-(F104+H104+J104),2)</f>
        <v>1320.98</v>
      </c>
      <c r="M104" s="281">
        <f t="shared" ref="M104" si="52">K104</f>
        <v>351.32499999999999</v>
      </c>
      <c r="N104" s="279">
        <f t="shared" ref="N104" si="53">F104+H104+J104+L104</f>
        <v>2641.96</v>
      </c>
      <c r="O104" s="280">
        <f t="shared" ref="O104" si="54">G104+I104+K104+M104</f>
        <v>702.65</v>
      </c>
    </row>
    <row r="105" spans="1:15" s="62" customFormat="1" ht="41.4" x14ac:dyDescent="0.25">
      <c r="A105" s="154" t="str">
        <f>orcamento!A105</f>
        <v>9.2</v>
      </c>
      <c r="B105" s="272" t="str">
        <f>orcamento!D105</f>
        <v>CONSTRUÇÃO DE BASE E SUB-BASE PARA PAVIMENTAÇÃO DE RACHÃO, COM ESPESSURA DE 30 CM - EXCLUSIVE CARGA E TRANSPORTE. AF_09/2024</v>
      </c>
      <c r="C105" s="273">
        <f>orcamento!F105</f>
        <v>140.53</v>
      </c>
      <c r="D105" s="274" t="str">
        <f>orcamento!E105</f>
        <v>M3</v>
      </c>
      <c r="E105" s="275">
        <f>orcamento!K105</f>
        <v>154.91</v>
      </c>
      <c r="F105" s="276"/>
      <c r="G105" s="281"/>
      <c r="H105" s="276"/>
      <c r="I105" s="281"/>
      <c r="J105" s="276">
        <f t="shared" ref="J105:J118" si="55">ROUND($E105*K105,2)</f>
        <v>10884.75</v>
      </c>
      <c r="K105" s="281">
        <f t="shared" ref="K105:K118" si="56">C105/2</f>
        <v>70.265000000000001</v>
      </c>
      <c r="L105" s="276">
        <f t="shared" ref="L105:L118" si="57">ROUND(C105*E105-(F105+H105+J105),2)</f>
        <v>10884.75</v>
      </c>
      <c r="M105" s="281">
        <f t="shared" ref="M105:M118" si="58">K105</f>
        <v>70.265000000000001</v>
      </c>
      <c r="N105" s="279">
        <f t="shared" ref="N105" si="59">F105+H105+J105+L105</f>
        <v>21769.5</v>
      </c>
      <c r="O105" s="280">
        <f t="shared" ref="O105" si="60">G105+I105+K105+M105</f>
        <v>140.53</v>
      </c>
    </row>
    <row r="106" spans="1:15" s="62" customFormat="1" ht="41.4" x14ac:dyDescent="0.25">
      <c r="A106" s="154" t="str">
        <f>orcamento!A106</f>
        <v>9.3</v>
      </c>
      <c r="B106" s="272" t="str">
        <f>orcamento!D106</f>
        <v>CONSTRUÇÃO DE BASE E SUB-BASE PARA PAVIMENTAÇÃO DE BRITA GRADUADA SIMPLES, COM ESPESSURA DE 20 CM - EXCLUSIVE CARGA E TRANSPORTE. AF_09/2024</v>
      </c>
      <c r="C106" s="273">
        <f>orcamento!F106</f>
        <v>140.53</v>
      </c>
      <c r="D106" s="274" t="str">
        <f>orcamento!E106</f>
        <v>M3</v>
      </c>
      <c r="E106" s="275">
        <f>orcamento!K106</f>
        <v>221.79</v>
      </c>
      <c r="F106" s="276"/>
      <c r="G106" s="281"/>
      <c r="H106" s="276"/>
      <c r="I106" s="281"/>
      <c r="J106" s="276">
        <f t="shared" si="55"/>
        <v>15584.07</v>
      </c>
      <c r="K106" s="281">
        <f t="shared" si="56"/>
        <v>70.265000000000001</v>
      </c>
      <c r="L106" s="276">
        <f t="shared" si="57"/>
        <v>15584.08</v>
      </c>
      <c r="M106" s="281">
        <f t="shared" si="58"/>
        <v>70.265000000000001</v>
      </c>
      <c r="N106" s="279">
        <f t="shared" ref="N106:N114" si="61">F106+H106+J106+L106</f>
        <v>31168.15</v>
      </c>
      <c r="O106" s="280">
        <f t="shared" ref="O106:O114" si="62">G106+I106+K106+M106</f>
        <v>140.53</v>
      </c>
    </row>
    <row r="107" spans="1:15" s="62" customFormat="1" ht="41.4" x14ac:dyDescent="0.25">
      <c r="A107" s="154" t="str">
        <f>orcamento!A107</f>
        <v>9.4</v>
      </c>
      <c r="B107" s="272" t="str">
        <f>orcamento!D107</f>
        <v>MEIO-FIO EM TRECHO RETO, CONFECCIONADA EM CONCRETO PRÉ-FABRICADO, DIMENSÕES 100X15X13X30 CM , PARA VIAS URBANAS - FORNECIMENTO</v>
      </c>
      <c r="C107" s="273">
        <f>orcamento!F107</f>
        <v>239.93</v>
      </c>
      <c r="D107" s="274" t="str">
        <f>orcamento!E107</f>
        <v>M</v>
      </c>
      <c r="E107" s="275">
        <f>orcamento!K107</f>
        <v>44.53</v>
      </c>
      <c r="F107" s="276"/>
      <c r="G107" s="281"/>
      <c r="H107" s="276"/>
      <c r="I107" s="281"/>
      <c r="J107" s="276">
        <f t="shared" si="55"/>
        <v>5342.04</v>
      </c>
      <c r="K107" s="281">
        <f t="shared" si="56"/>
        <v>119.965</v>
      </c>
      <c r="L107" s="276">
        <f t="shared" si="57"/>
        <v>5342.04</v>
      </c>
      <c r="M107" s="281">
        <f t="shared" si="58"/>
        <v>119.965</v>
      </c>
      <c r="N107" s="279">
        <f t="shared" si="61"/>
        <v>10684.08</v>
      </c>
      <c r="O107" s="280">
        <f t="shared" si="62"/>
        <v>239.93</v>
      </c>
    </row>
    <row r="108" spans="1:15" s="62" customFormat="1" ht="41.4" x14ac:dyDescent="0.25">
      <c r="A108" s="154" t="str">
        <f>orcamento!A108</f>
        <v>9.5</v>
      </c>
      <c r="B108" s="272" t="str">
        <f>orcamento!D108</f>
        <v>MEIO-FIO EM TRECHO RETO, CONFECCIONADA EM CONCRETO PRÉ-FABRICADO, DIMENSÕES 100X15X13X30 CM , PARA VIAS URBANAS - EXECUÇÃO</v>
      </c>
      <c r="C108" s="273">
        <f>orcamento!F108</f>
        <v>239.93</v>
      </c>
      <c r="D108" s="274" t="str">
        <f>orcamento!E108</f>
        <v>M</v>
      </c>
      <c r="E108" s="275">
        <f>orcamento!K108</f>
        <v>18.990000000000002</v>
      </c>
      <c r="F108" s="276"/>
      <c r="G108" s="281"/>
      <c r="H108" s="276"/>
      <c r="I108" s="281"/>
      <c r="J108" s="276">
        <f t="shared" si="55"/>
        <v>2278.14</v>
      </c>
      <c r="K108" s="281">
        <f t="shared" si="56"/>
        <v>119.965</v>
      </c>
      <c r="L108" s="276">
        <f t="shared" si="57"/>
        <v>2278.13</v>
      </c>
      <c r="M108" s="281">
        <f t="shared" si="58"/>
        <v>119.965</v>
      </c>
      <c r="N108" s="279">
        <f t="shared" si="61"/>
        <v>4556.2700000000004</v>
      </c>
      <c r="O108" s="280">
        <f t="shared" si="62"/>
        <v>239.93</v>
      </c>
    </row>
    <row r="109" spans="1:15" s="62" customFormat="1" ht="13.8" x14ac:dyDescent="0.25">
      <c r="A109" s="154" t="str">
        <f>orcamento!A109</f>
        <v>9.6</v>
      </c>
      <c r="B109" s="272" t="str">
        <f>orcamento!D109</f>
        <v>IMPRIMAÇÃO ASFÁLTICA - FORNECIMENTO</v>
      </c>
      <c r="C109" s="273">
        <f>orcamento!F109</f>
        <v>0.77</v>
      </c>
      <c r="D109" s="274" t="str">
        <f>orcamento!E109</f>
        <v>T</v>
      </c>
      <c r="E109" s="275">
        <f>orcamento!K109</f>
        <v>5076.9800000000005</v>
      </c>
      <c r="F109" s="276"/>
      <c r="G109" s="281"/>
      <c r="H109" s="276"/>
      <c r="I109" s="281"/>
      <c r="J109" s="276">
        <f t="shared" si="55"/>
        <v>1954.64</v>
      </c>
      <c r="K109" s="281">
        <f t="shared" si="56"/>
        <v>0.38500000000000001</v>
      </c>
      <c r="L109" s="276">
        <f t="shared" si="57"/>
        <v>1954.63</v>
      </c>
      <c r="M109" s="281">
        <f t="shared" si="58"/>
        <v>0.38500000000000001</v>
      </c>
      <c r="N109" s="279">
        <f t="shared" si="61"/>
        <v>3909.2700000000004</v>
      </c>
      <c r="O109" s="280">
        <f t="shared" si="62"/>
        <v>0.77</v>
      </c>
    </row>
    <row r="110" spans="1:15" s="62" customFormat="1" ht="13.8" x14ac:dyDescent="0.25">
      <c r="A110" s="154" t="str">
        <f>orcamento!A110</f>
        <v>9.7</v>
      </c>
      <c r="B110" s="272" t="str">
        <f>orcamento!D110</f>
        <v>IMPRIMAÇÃO ASFALTICA - TRANSPORTE</v>
      </c>
      <c r="C110" s="273">
        <f>orcamento!F110</f>
        <v>0.77</v>
      </c>
      <c r="D110" s="274" t="str">
        <f>orcamento!E110</f>
        <v>T</v>
      </c>
      <c r="E110" s="275">
        <f>orcamento!K110</f>
        <v>123.69999999999999</v>
      </c>
      <c r="F110" s="276"/>
      <c r="G110" s="281"/>
      <c r="H110" s="276"/>
      <c r="I110" s="281"/>
      <c r="J110" s="276">
        <f t="shared" si="55"/>
        <v>47.62</v>
      </c>
      <c r="K110" s="281">
        <f t="shared" si="56"/>
        <v>0.38500000000000001</v>
      </c>
      <c r="L110" s="276">
        <f t="shared" si="57"/>
        <v>47.63</v>
      </c>
      <c r="M110" s="281">
        <f t="shared" si="58"/>
        <v>0.38500000000000001</v>
      </c>
      <c r="N110" s="279">
        <f t="shared" si="61"/>
        <v>95.25</v>
      </c>
      <c r="O110" s="280">
        <f t="shared" si="62"/>
        <v>0.77</v>
      </c>
    </row>
    <row r="111" spans="1:15" s="62" customFormat="1" ht="13.8" x14ac:dyDescent="0.25">
      <c r="A111" s="154" t="str">
        <f>orcamento!A111</f>
        <v>9.8</v>
      </c>
      <c r="B111" s="272" t="str">
        <f>orcamento!D111</f>
        <v>IMPRIMAÇÃO ASFÁLTICA - APLICAÇÃO</v>
      </c>
      <c r="C111" s="273">
        <f>orcamento!F111</f>
        <v>645.63</v>
      </c>
      <c r="D111" s="274" t="str">
        <f>orcamento!E111</f>
        <v>M2</v>
      </c>
      <c r="E111" s="275">
        <f>orcamento!K111</f>
        <v>1.61</v>
      </c>
      <c r="F111" s="276"/>
      <c r="G111" s="281"/>
      <c r="H111" s="276"/>
      <c r="I111" s="281"/>
      <c r="J111" s="276">
        <f t="shared" si="55"/>
        <v>519.73</v>
      </c>
      <c r="K111" s="281">
        <f t="shared" si="56"/>
        <v>322.815</v>
      </c>
      <c r="L111" s="276">
        <f t="shared" si="57"/>
        <v>519.73</v>
      </c>
      <c r="M111" s="281">
        <f t="shared" si="58"/>
        <v>322.815</v>
      </c>
      <c r="N111" s="279">
        <f t="shared" si="61"/>
        <v>1039.46</v>
      </c>
      <c r="O111" s="280">
        <f t="shared" si="62"/>
        <v>645.63</v>
      </c>
    </row>
    <row r="112" spans="1:15" s="62" customFormat="1" ht="41.4" x14ac:dyDescent="0.25">
      <c r="A112" s="154" t="str">
        <f>orcamento!A112</f>
        <v>9.9</v>
      </c>
      <c r="B112" s="272" t="str">
        <f>orcamento!D112</f>
        <v>USINAGEM CBUQ, INCLUSO FORNECIMENTO DE CONCRETO ASFALTICO (EXCETO CAP) E TRANSPORTE DA JAZIDA ATE PAVIMENTADORA, EXCLUSIVE TRANSPORTE ATE OBRA</v>
      </c>
      <c r="C112" s="273">
        <f>orcamento!F112</f>
        <v>73.08</v>
      </c>
      <c r="D112" s="274" t="str">
        <f>orcamento!E112</f>
        <v>T</v>
      </c>
      <c r="E112" s="275">
        <f>orcamento!K112</f>
        <v>307.23</v>
      </c>
      <c r="F112" s="276"/>
      <c r="G112" s="281"/>
      <c r="H112" s="276"/>
      <c r="I112" s="281"/>
      <c r="J112" s="276">
        <f t="shared" si="55"/>
        <v>11226.18</v>
      </c>
      <c r="K112" s="281">
        <f t="shared" si="56"/>
        <v>36.54</v>
      </c>
      <c r="L112" s="276">
        <f t="shared" si="57"/>
        <v>11226.19</v>
      </c>
      <c r="M112" s="281">
        <f t="shared" si="58"/>
        <v>36.54</v>
      </c>
      <c r="N112" s="279">
        <f t="shared" si="61"/>
        <v>22452.370000000003</v>
      </c>
      <c r="O112" s="280">
        <f t="shared" si="62"/>
        <v>73.08</v>
      </c>
    </row>
    <row r="113" spans="1:15" s="62" customFormat="1" ht="27.6" x14ac:dyDescent="0.25">
      <c r="A113" s="154" t="str">
        <f>orcamento!A113</f>
        <v>9.10</v>
      </c>
      <c r="B113" s="272" t="str">
        <f>orcamento!D113</f>
        <v>FORNECIMENTO DE CAP PARA PAVIMENTO DE CONCRETO ASFÁLTICO, INCLUSIVE TRANSPORTE ATE PAVIMENTADORA</v>
      </c>
      <c r="C113" s="273">
        <f>orcamento!F113</f>
        <v>4.38</v>
      </c>
      <c r="D113" s="274" t="str">
        <f>orcamento!E113</f>
        <v>T</v>
      </c>
      <c r="E113" s="275">
        <f>orcamento!K113</f>
        <v>7434.92</v>
      </c>
      <c r="F113" s="276"/>
      <c r="G113" s="281"/>
      <c r="H113" s="276"/>
      <c r="I113" s="281"/>
      <c r="J113" s="276">
        <f t="shared" si="55"/>
        <v>16282.47</v>
      </c>
      <c r="K113" s="281">
        <f t="shared" si="56"/>
        <v>2.19</v>
      </c>
      <c r="L113" s="276">
        <f t="shared" si="57"/>
        <v>16282.48</v>
      </c>
      <c r="M113" s="281">
        <f t="shared" si="58"/>
        <v>2.19</v>
      </c>
      <c r="N113" s="279">
        <f t="shared" si="61"/>
        <v>32564.949999999997</v>
      </c>
      <c r="O113" s="280">
        <f t="shared" si="62"/>
        <v>4.38</v>
      </c>
    </row>
    <row r="114" spans="1:15" s="62" customFormat="1" ht="47.25" customHeight="1" x14ac:dyDescent="0.25">
      <c r="A114" s="154" t="str">
        <f>orcamento!A114</f>
        <v>9.11</v>
      </c>
      <c r="B114" s="272" t="str">
        <f>orcamento!D114</f>
        <v>EXECUÇÃO DE PAVIMENTO COM APLICAÇÃO DE CONCRETO ASFÁLTICO, CAMADA DE ROLAMENTO, EXCLUSIVE CARGA E TRANSPORTE</v>
      </c>
      <c r="C114" s="273">
        <f>orcamento!F114</f>
        <v>32.28</v>
      </c>
      <c r="D114" s="274" t="str">
        <f>orcamento!E114</f>
        <v>M3</v>
      </c>
      <c r="E114" s="275">
        <f>orcamento!K114</f>
        <v>163.09</v>
      </c>
      <c r="F114" s="276"/>
      <c r="G114" s="281"/>
      <c r="H114" s="276"/>
      <c r="I114" s="281"/>
      <c r="J114" s="276">
        <f t="shared" si="55"/>
        <v>2632.27</v>
      </c>
      <c r="K114" s="281">
        <f t="shared" si="56"/>
        <v>16.14</v>
      </c>
      <c r="L114" s="276">
        <f t="shared" si="57"/>
        <v>2632.28</v>
      </c>
      <c r="M114" s="281">
        <f t="shared" si="58"/>
        <v>16.14</v>
      </c>
      <c r="N114" s="279">
        <f t="shared" si="61"/>
        <v>5264.55</v>
      </c>
      <c r="O114" s="280">
        <f t="shared" si="62"/>
        <v>32.28</v>
      </c>
    </row>
    <row r="115" spans="1:15" s="62" customFormat="1" ht="27.6" x14ac:dyDescent="0.25">
      <c r="A115" s="154" t="str">
        <f>orcamento!A115</f>
        <v>9.12</v>
      </c>
      <c r="B115" s="272" t="str">
        <f>orcamento!D115</f>
        <v>CARGA, MANOBRA E DESCARGA DE PRÉ-MOLDADOS DE CONCRETO, EM CAMINHÃO CARROCERIA COM GUINDAUTO (MUNCK) 11,7 TM</v>
      </c>
      <c r="C115" s="273">
        <f>orcamento!F115</f>
        <v>24.18</v>
      </c>
      <c r="D115" s="274" t="str">
        <f>orcamento!E115</f>
        <v>T</v>
      </c>
      <c r="E115" s="275">
        <f>orcamento!K115</f>
        <v>62.46</v>
      </c>
      <c r="F115" s="276"/>
      <c r="G115" s="281"/>
      <c r="H115" s="276"/>
      <c r="I115" s="281"/>
      <c r="J115" s="276">
        <f t="shared" si="55"/>
        <v>755.14</v>
      </c>
      <c r="K115" s="281">
        <f t="shared" si="56"/>
        <v>12.09</v>
      </c>
      <c r="L115" s="276">
        <f t="shared" si="57"/>
        <v>755.14</v>
      </c>
      <c r="M115" s="281">
        <f t="shared" si="58"/>
        <v>12.09</v>
      </c>
      <c r="N115" s="279">
        <f t="shared" ref="N115:N118" si="63">F115+H115+J115+L115</f>
        <v>1510.28</v>
      </c>
      <c r="O115" s="280">
        <f t="shared" ref="O115:O118" si="64">G115+I115+K115+M115</f>
        <v>24.18</v>
      </c>
    </row>
    <row r="116" spans="1:15" s="62" customFormat="1" ht="55.2" x14ac:dyDescent="0.25">
      <c r="A116" s="154" t="str">
        <f>orcamento!A116</f>
        <v>9.13</v>
      </c>
      <c r="B116" s="272" t="str">
        <f>orcamento!D116</f>
        <v>CARGA, MANOBRA E DESCARGA DE SOLOS E MATERIAIS GRANULARES EM CAMINHÃO BASCULANTE 10 M³ - CARGA COM ESCAVADEIRA HIDRÁULICA (CAÇAMBA DE 1,20 M³ / 155 HP) E DESCARGA LIVRE (UNIDADE: M3). AF_02/2026</v>
      </c>
      <c r="C116" s="273">
        <f>orcamento!F116</f>
        <v>376</v>
      </c>
      <c r="D116" s="274" t="str">
        <f>orcamento!E116</f>
        <v>M3</v>
      </c>
      <c r="E116" s="275">
        <f>orcamento!K116</f>
        <v>9.2200000000000006</v>
      </c>
      <c r="F116" s="276"/>
      <c r="G116" s="281"/>
      <c r="H116" s="276"/>
      <c r="I116" s="281"/>
      <c r="J116" s="276">
        <f t="shared" si="55"/>
        <v>1733.36</v>
      </c>
      <c r="K116" s="281">
        <f t="shared" si="56"/>
        <v>188</v>
      </c>
      <c r="L116" s="276">
        <f t="shared" si="57"/>
        <v>1733.36</v>
      </c>
      <c r="M116" s="281">
        <f t="shared" si="58"/>
        <v>188</v>
      </c>
      <c r="N116" s="279">
        <f t="shared" si="63"/>
        <v>3466.72</v>
      </c>
      <c r="O116" s="280">
        <f t="shared" si="64"/>
        <v>376</v>
      </c>
    </row>
    <row r="117" spans="1:15" s="62" customFormat="1" ht="41.4" x14ac:dyDescent="0.25">
      <c r="A117" s="154" t="str">
        <f>orcamento!A117</f>
        <v>9.14</v>
      </c>
      <c r="B117" s="272" t="str">
        <f>orcamento!D117</f>
        <v>TRANSPORTE COM CAMINHÃO CARROCERIA COM GUINDAUTO (MUNCK), MOMENTO MÁXIMO DE CARGA 11,7 TM, EM VIA URBANA PAVIMENTADA, DMT ATÉ 30KM (UNIDADE: TXKM). AF_02/2026</v>
      </c>
      <c r="C117" s="273">
        <f>orcamento!F117</f>
        <v>389.29</v>
      </c>
      <c r="D117" s="274" t="str">
        <f>orcamento!E117</f>
        <v>TXKM</v>
      </c>
      <c r="E117" s="275">
        <f>orcamento!K117</f>
        <v>3.96</v>
      </c>
      <c r="F117" s="276"/>
      <c r="G117" s="281"/>
      <c r="H117" s="276"/>
      <c r="I117" s="281"/>
      <c r="J117" s="276">
        <f t="shared" si="55"/>
        <v>770.79</v>
      </c>
      <c r="K117" s="281">
        <f t="shared" si="56"/>
        <v>194.64500000000001</v>
      </c>
      <c r="L117" s="276">
        <f t="shared" si="57"/>
        <v>770.8</v>
      </c>
      <c r="M117" s="281">
        <f t="shared" si="58"/>
        <v>194.64500000000001</v>
      </c>
      <c r="N117" s="279">
        <f t="shared" si="63"/>
        <v>1541.59</v>
      </c>
      <c r="O117" s="280">
        <f t="shared" si="64"/>
        <v>389.29</v>
      </c>
    </row>
    <row r="118" spans="1:15" s="62" customFormat="1" ht="27.6" x14ac:dyDescent="0.25">
      <c r="A118" s="154" t="str">
        <f>orcamento!A118</f>
        <v>9.15</v>
      </c>
      <c r="B118" s="272" t="str">
        <f>orcamento!D118</f>
        <v>TRANSPORTE COM CAMINHÃO BASCULANTE DE 10 M³, EM VIA URBANA PAVIMENTADA, DMT ATÉ 30 KM (UNIDADE: M3XKM). AF_02/2026</v>
      </c>
      <c r="C118" s="273">
        <f>orcamento!F118</f>
        <v>2068.04</v>
      </c>
      <c r="D118" s="274" t="str">
        <f>orcamento!E118</f>
        <v>M3XKM</v>
      </c>
      <c r="E118" s="275">
        <f>orcamento!K118</f>
        <v>3.52</v>
      </c>
      <c r="F118" s="276"/>
      <c r="G118" s="281"/>
      <c r="H118" s="276"/>
      <c r="I118" s="281"/>
      <c r="J118" s="276">
        <f t="shared" si="55"/>
        <v>3639.75</v>
      </c>
      <c r="K118" s="281">
        <f t="shared" si="56"/>
        <v>1034.02</v>
      </c>
      <c r="L118" s="276">
        <f t="shared" si="57"/>
        <v>3639.75</v>
      </c>
      <c r="M118" s="281">
        <f t="shared" si="58"/>
        <v>1034.02</v>
      </c>
      <c r="N118" s="279">
        <f t="shared" si="63"/>
        <v>7279.5</v>
      </c>
      <c r="O118" s="280">
        <f t="shared" si="64"/>
        <v>2068.04</v>
      </c>
    </row>
    <row r="119" spans="1:15" s="62" customFormat="1" ht="13.8" x14ac:dyDescent="0.25">
      <c r="A119" s="265">
        <f>orcamento!A119</f>
        <v>10</v>
      </c>
      <c r="B119" s="85" t="str">
        <f>orcamento!D119</f>
        <v>PAVIMENTAÇÃO PASSEIOS</v>
      </c>
      <c r="C119" s="266"/>
      <c r="D119" s="267"/>
      <c r="E119" s="268"/>
      <c r="F119" s="269"/>
      <c r="G119" s="270"/>
      <c r="H119" s="269"/>
      <c r="I119" s="270"/>
      <c r="J119" s="269"/>
      <c r="K119" s="269"/>
      <c r="L119" s="269"/>
      <c r="M119" s="269"/>
      <c r="N119" s="279"/>
      <c r="O119" s="280"/>
    </row>
    <row r="120" spans="1:15" s="62" customFormat="1" ht="43.5" customHeight="1" x14ac:dyDescent="0.25">
      <c r="A120" s="154" t="str">
        <f>orcamento!A120</f>
        <v>10.1</v>
      </c>
      <c r="B120" s="272" t="str">
        <f>orcamento!D120</f>
        <v>REGULARIZAÇÃO E COMPACTAÇÃO DE SUBLEITO DE SOLO PREDOMINANTEMENTE ARGILOSO, PARA OBRAS DE CONSTRUÇÃO DE PAVIMENTOS. AF_09/2024</v>
      </c>
      <c r="C120" s="273">
        <f>orcamento!F120</f>
        <v>427.66999999999996</v>
      </c>
      <c r="D120" s="274" t="str">
        <f>orcamento!E120</f>
        <v>M2</v>
      </c>
      <c r="E120" s="275">
        <f>orcamento!K120</f>
        <v>3.76</v>
      </c>
      <c r="F120" s="276"/>
      <c r="G120" s="281"/>
      <c r="H120" s="276"/>
      <c r="I120" s="281"/>
      <c r="J120" s="276">
        <f>ROUND($E120*K120,2)</f>
        <v>804.02</v>
      </c>
      <c r="K120" s="281">
        <f>C120/2</f>
        <v>213.83499999999998</v>
      </c>
      <c r="L120" s="276">
        <f>ROUND(C120*E120-(F120+H120+J120),2)</f>
        <v>804.02</v>
      </c>
      <c r="M120" s="281">
        <f>K120</f>
        <v>213.83499999999998</v>
      </c>
      <c r="N120" s="279">
        <f t="shared" ref="N120:O123" si="65">F120+H120+J120+L120</f>
        <v>1608.04</v>
      </c>
      <c r="O120" s="280">
        <f t="shared" si="65"/>
        <v>427.66999999999996</v>
      </c>
    </row>
    <row r="121" spans="1:15" s="62" customFormat="1" ht="27.6" x14ac:dyDescent="0.25">
      <c r="A121" s="154" t="str">
        <f>orcamento!A121</f>
        <v>10.2</v>
      </c>
      <c r="B121" s="272" t="str">
        <f>orcamento!D121</f>
        <v>LASTRO COM MATERIAL GRANULAR (PEDRA BRITADA N.2), APLICADO EM PISOS OU LAJES SOBRE SOLO, ESPESSURA DE *10 CM*. AF_01/2024</v>
      </c>
      <c r="C121" s="273">
        <f>orcamento!F121</f>
        <v>26.66</v>
      </c>
      <c r="D121" s="274" t="str">
        <f>orcamento!E121</f>
        <v>M3</v>
      </c>
      <c r="E121" s="275">
        <f>orcamento!K121</f>
        <v>233.61</v>
      </c>
      <c r="F121" s="276"/>
      <c r="G121" s="281"/>
      <c r="H121" s="276"/>
      <c r="I121" s="281"/>
      <c r="J121" s="276">
        <f>ROUND($E121*K121,2)</f>
        <v>3114.02</v>
      </c>
      <c r="K121" s="281">
        <f>C121/2</f>
        <v>13.33</v>
      </c>
      <c r="L121" s="276">
        <f>ROUND(C121*E121-(F121+H121+J121),2)</f>
        <v>3114.02</v>
      </c>
      <c r="M121" s="281">
        <f>K121</f>
        <v>13.33</v>
      </c>
      <c r="N121" s="279">
        <f t="shared" si="65"/>
        <v>6228.04</v>
      </c>
      <c r="O121" s="280">
        <f t="shared" si="65"/>
        <v>26.66</v>
      </c>
    </row>
    <row r="122" spans="1:15" s="62" customFormat="1" ht="41.4" x14ac:dyDescent="0.25">
      <c r="A122" s="154" t="str">
        <f>orcamento!A122</f>
        <v>10.3</v>
      </c>
      <c r="B122" s="272" t="str">
        <f>orcamento!D122</f>
        <v>EXECUÇÃO DE PASSEIO (CALÇADA) OU PISO DE CONCRETO COM CONCRETO MOLDADO IN LOCO, USINADO C20, ACABAMENTO CONVENCIONAL, NÃO ARMADO. AF_08/2022</v>
      </c>
      <c r="C122" s="273">
        <f>orcamento!F122</f>
        <v>29.81</v>
      </c>
      <c r="D122" s="274" t="str">
        <f>orcamento!E122</f>
        <v>M3</v>
      </c>
      <c r="E122" s="275">
        <f>orcamento!K122</f>
        <v>1116.01</v>
      </c>
      <c r="F122" s="276"/>
      <c r="G122" s="281"/>
      <c r="H122" s="276"/>
      <c r="I122" s="281"/>
      <c r="J122" s="276">
        <f>ROUND($E122*K122,2)</f>
        <v>16634.13</v>
      </c>
      <c r="K122" s="281">
        <f>C122/2</f>
        <v>14.904999999999999</v>
      </c>
      <c r="L122" s="276">
        <f>ROUND(C122*E122-(F122+H122+J122),2)</f>
        <v>16634.13</v>
      </c>
      <c r="M122" s="281">
        <f>K122</f>
        <v>14.904999999999999</v>
      </c>
      <c r="N122" s="279">
        <f t="shared" si="65"/>
        <v>33268.26</v>
      </c>
      <c r="O122" s="280">
        <f t="shared" si="65"/>
        <v>29.81</v>
      </c>
    </row>
    <row r="123" spans="1:15" s="62" customFormat="1" ht="27.6" x14ac:dyDescent="0.25">
      <c r="A123" s="154" t="str">
        <f>orcamento!A123</f>
        <v>10.4</v>
      </c>
      <c r="B123" s="272" t="str">
        <f>orcamento!D123</f>
        <v>ARMAÇÃO PARA EXECUÇÃO DE RADIER, PISO DE CONCRETO OU LAJE SOBRE SOLO, COM USO DE TELA Q-92. AF_07/2026</v>
      </c>
      <c r="C123" s="273">
        <f>orcamento!F123</f>
        <v>206.63</v>
      </c>
      <c r="D123" s="274" t="str">
        <f>orcamento!E123</f>
        <v>KG</v>
      </c>
      <c r="E123" s="275">
        <f>orcamento!K123</f>
        <v>21.34</v>
      </c>
      <c r="F123" s="276"/>
      <c r="G123" s="281"/>
      <c r="H123" s="276"/>
      <c r="I123" s="281"/>
      <c r="J123" s="276">
        <f>ROUND($E123*K123,2)</f>
        <v>2204.7399999999998</v>
      </c>
      <c r="K123" s="281">
        <f>C123/2</f>
        <v>103.315</v>
      </c>
      <c r="L123" s="276">
        <f>ROUND(C123*E123-(F123+H123+J123),2)</f>
        <v>2204.7399999999998</v>
      </c>
      <c r="M123" s="281">
        <f>K123</f>
        <v>103.315</v>
      </c>
      <c r="N123" s="279">
        <f t="shared" si="65"/>
        <v>4409.4799999999996</v>
      </c>
      <c r="O123" s="280">
        <f t="shared" si="65"/>
        <v>206.63</v>
      </c>
    </row>
    <row r="124" spans="1:15" s="62" customFormat="1" ht="27.6" x14ac:dyDescent="0.25">
      <c r="A124" s="154" t="str">
        <f>orcamento!A124</f>
        <v>10.5</v>
      </c>
      <c r="B124" s="272" t="str">
        <f>orcamento!D124</f>
        <v>PISO PODOTÁTIL DE ALERTA OU DIRECIONAL, DE CONCRETO, ASSENTADO SOBRE ARGAMASSA. AF_03/2024</v>
      </c>
      <c r="C124" s="273">
        <f>orcamento!F124</f>
        <v>70.400000000000006</v>
      </c>
      <c r="D124" s="274" t="str">
        <f>orcamento!E124</f>
        <v>M2</v>
      </c>
      <c r="E124" s="275">
        <f>orcamento!K124</f>
        <v>193.31</v>
      </c>
      <c r="F124" s="276"/>
      <c r="G124" s="281"/>
      <c r="H124" s="276"/>
      <c r="I124" s="281"/>
      <c r="J124" s="276">
        <f t="shared" ref="J124:J128" si="66">ROUND($E124*K124,2)</f>
        <v>6804.51</v>
      </c>
      <c r="K124" s="281">
        <f t="shared" ref="K124:K126" si="67">C124/2</f>
        <v>35.200000000000003</v>
      </c>
      <c r="L124" s="276">
        <f t="shared" ref="L124:L126" si="68">ROUND(C124*E124-(F124+H124+J124),2)</f>
        <v>6804.51</v>
      </c>
      <c r="M124" s="281">
        <f t="shared" ref="M124:M126" si="69">K124</f>
        <v>35.200000000000003</v>
      </c>
      <c r="N124" s="279">
        <f t="shared" ref="N124:N126" si="70">F124+H124+J124+L124</f>
        <v>13609.02</v>
      </c>
      <c r="O124" s="280">
        <f t="shared" ref="O124:O126" si="71">G124+I124+K124+M124</f>
        <v>70.400000000000006</v>
      </c>
    </row>
    <row r="125" spans="1:15" s="62" customFormat="1" ht="13.8" x14ac:dyDescent="0.25">
      <c r="A125" s="154" t="str">
        <f>orcamento!A125</f>
        <v>10.6</v>
      </c>
      <c r="B125" s="272" t="str">
        <f>orcamento!D125</f>
        <v>ESPALHAMENTO DE TERRA VEGETAL PARA O PLANTIO. AF_07/2024</v>
      </c>
      <c r="C125" s="273">
        <f>orcamento!F125</f>
        <v>120.23</v>
      </c>
      <c r="D125" s="274" t="str">
        <f>orcamento!E125</f>
        <v>M2</v>
      </c>
      <c r="E125" s="275">
        <f>orcamento!K125</f>
        <v>5.33</v>
      </c>
      <c r="F125" s="276"/>
      <c r="G125" s="281"/>
      <c r="H125" s="276"/>
      <c r="I125" s="281"/>
      <c r="J125" s="276">
        <f t="shared" si="66"/>
        <v>320.41000000000003</v>
      </c>
      <c r="K125" s="281">
        <f t="shared" si="67"/>
        <v>60.115000000000002</v>
      </c>
      <c r="L125" s="276">
        <f t="shared" si="68"/>
        <v>320.42</v>
      </c>
      <c r="M125" s="281">
        <f t="shared" si="69"/>
        <v>60.115000000000002</v>
      </c>
      <c r="N125" s="279">
        <f t="shared" si="70"/>
        <v>640.83000000000004</v>
      </c>
      <c r="O125" s="280">
        <f t="shared" si="71"/>
        <v>120.23</v>
      </c>
    </row>
    <row r="126" spans="1:15" s="62" customFormat="1" ht="13.8" x14ac:dyDescent="0.25">
      <c r="A126" s="154" t="str">
        <f>orcamento!A126</f>
        <v>10.7</v>
      </c>
      <c r="B126" s="272" t="str">
        <f>orcamento!D126</f>
        <v>PLANTIO DE GRAMA BATATAIS EM PLACAS. AF_07/2024</v>
      </c>
      <c r="C126" s="273">
        <f>orcamento!F126</f>
        <v>120.23</v>
      </c>
      <c r="D126" s="274" t="str">
        <f>orcamento!E126</f>
        <v>M2</v>
      </c>
      <c r="E126" s="275">
        <f>orcamento!K126</f>
        <v>29.26</v>
      </c>
      <c r="F126" s="276"/>
      <c r="G126" s="281"/>
      <c r="H126" s="276"/>
      <c r="I126" s="281"/>
      <c r="J126" s="276">
        <f t="shared" si="66"/>
        <v>1758.96</v>
      </c>
      <c r="K126" s="281">
        <f t="shared" si="67"/>
        <v>60.115000000000002</v>
      </c>
      <c r="L126" s="276">
        <f t="shared" si="68"/>
        <v>1758.97</v>
      </c>
      <c r="M126" s="281">
        <f t="shared" si="69"/>
        <v>60.115000000000002</v>
      </c>
      <c r="N126" s="279">
        <f t="shared" si="70"/>
        <v>3517.9300000000003</v>
      </c>
      <c r="O126" s="280">
        <f t="shared" si="71"/>
        <v>120.23</v>
      </c>
    </row>
    <row r="127" spans="1:15" s="62" customFormat="1" ht="52.5" customHeight="1" x14ac:dyDescent="0.25">
      <c r="A127" s="154" t="str">
        <f>orcamento!A127</f>
        <v>10.8</v>
      </c>
      <c r="B127" s="272" t="str">
        <f>orcamento!D127</f>
        <v>CARGA, MANOBRA E DESCARGA DE SOLOS E MATERIAIS GRANULARES EM CAMINHÃO BASCULANTE 10 M³ - CARGA COM ESCAVADEIRA HIDRÁULICA (CAÇAMBA DE 1,20 M³ / 155 HP) E DESCARGA LIVRE (UNIDADE: M3). AF_02/2026</v>
      </c>
      <c r="C127" s="273">
        <f>orcamento!F127</f>
        <v>29.32</v>
      </c>
      <c r="D127" s="274" t="str">
        <f>orcamento!E127</f>
        <v>M3</v>
      </c>
      <c r="E127" s="275">
        <f>orcamento!K127</f>
        <v>9.2200000000000006</v>
      </c>
      <c r="F127" s="276"/>
      <c r="G127" s="281"/>
      <c r="H127" s="276"/>
      <c r="I127" s="281"/>
      <c r="J127" s="276">
        <f t="shared" si="66"/>
        <v>135.16999999999999</v>
      </c>
      <c r="K127" s="281">
        <f t="shared" ref="K127:K128" si="72">C127/2</f>
        <v>14.66</v>
      </c>
      <c r="L127" s="276">
        <f t="shared" ref="L127:L128" si="73">ROUND(C127*E127-(F127+H127+J127),2)</f>
        <v>135.16</v>
      </c>
      <c r="M127" s="281">
        <f t="shared" ref="M127:M128" si="74">K127</f>
        <v>14.66</v>
      </c>
      <c r="N127" s="279">
        <f t="shared" ref="N127:N128" si="75">F127+H127+J127+L127</f>
        <v>270.33</v>
      </c>
      <c r="O127" s="280">
        <f t="shared" ref="O127:O128" si="76">G127+I127+K127+M127</f>
        <v>29.32</v>
      </c>
    </row>
    <row r="128" spans="1:15" s="62" customFormat="1" ht="27.6" x14ac:dyDescent="0.25">
      <c r="A128" s="154" t="str">
        <f>orcamento!A128</f>
        <v>10.9</v>
      </c>
      <c r="B128" s="272" t="str">
        <f>orcamento!D128</f>
        <v>TRANSPORTE COM CAMINHÃO BASCULANTE DE 10 M³, EM VIA URBANA PAVIMENTADA, DMT ATÉ 30 KM (UNIDADE: M3XKM). AF_02/2026</v>
      </c>
      <c r="C128" s="273">
        <f>orcamento!F128</f>
        <v>756.45</v>
      </c>
      <c r="D128" s="274" t="str">
        <f>orcamento!E128</f>
        <v>M3XKM</v>
      </c>
      <c r="E128" s="275">
        <f>orcamento!K128</f>
        <v>3.52</v>
      </c>
      <c r="F128" s="276"/>
      <c r="G128" s="281"/>
      <c r="H128" s="276"/>
      <c r="I128" s="281"/>
      <c r="J128" s="276">
        <f t="shared" si="66"/>
        <v>1331.35</v>
      </c>
      <c r="K128" s="281">
        <f t="shared" si="72"/>
        <v>378.22500000000002</v>
      </c>
      <c r="L128" s="276">
        <f t="shared" si="73"/>
        <v>1331.35</v>
      </c>
      <c r="M128" s="281">
        <f t="shared" si="74"/>
        <v>378.22500000000002</v>
      </c>
      <c r="N128" s="279">
        <f t="shared" si="75"/>
        <v>2662.7</v>
      </c>
      <c r="O128" s="280">
        <f t="shared" si="76"/>
        <v>756.45</v>
      </c>
    </row>
    <row r="129" spans="1:15" s="62" customFormat="1" ht="13.8" x14ac:dyDescent="0.25">
      <c r="A129" s="265">
        <f>orcamento!A129</f>
        <v>11</v>
      </c>
      <c r="B129" s="85" t="str">
        <f>orcamento!D129</f>
        <v>DRENAGEM - SERVIÇOS INICIAIS</v>
      </c>
      <c r="C129" s="266"/>
      <c r="D129" s="267"/>
      <c r="E129" s="268"/>
      <c r="F129" s="269"/>
      <c r="G129" s="270"/>
      <c r="H129" s="269"/>
      <c r="I129" s="270"/>
      <c r="J129" s="269"/>
      <c r="K129" s="270"/>
      <c r="L129" s="269"/>
      <c r="M129" s="270"/>
      <c r="N129" s="279"/>
      <c r="O129" s="280"/>
    </row>
    <row r="130" spans="1:15" s="62" customFormat="1" ht="13.8" x14ac:dyDescent="0.25">
      <c r="A130" s="154" t="str">
        <f>orcamento!A130</f>
        <v>11.1</v>
      </c>
      <c r="B130" s="272" t="str">
        <f>orcamento!D130</f>
        <v>CORTE MEÂNICO DE ASFALTO</v>
      </c>
      <c r="C130" s="273">
        <f>orcamento!F130</f>
        <v>80</v>
      </c>
      <c r="D130" s="274" t="str">
        <f>orcamento!E130</f>
        <v>M</v>
      </c>
      <c r="E130" s="275">
        <f>orcamento!K130</f>
        <v>3.39</v>
      </c>
      <c r="F130" s="276"/>
      <c r="G130" s="281"/>
      <c r="H130" s="276"/>
      <c r="I130" s="281"/>
      <c r="J130" s="276">
        <f t="shared" ref="J130" si="77">ROUND($E130*K130,2)</f>
        <v>135.6</v>
      </c>
      <c r="K130" s="281">
        <f>C130/2</f>
        <v>40</v>
      </c>
      <c r="L130" s="276">
        <f t="shared" ref="L130" si="78">ROUND(C130*E130-(F130+H130+J130),2)</f>
        <v>135.6</v>
      </c>
      <c r="M130" s="281">
        <f t="shared" ref="M130" si="79">K130</f>
        <v>40</v>
      </c>
      <c r="N130" s="279">
        <f t="shared" ref="N130" si="80">F130+H130+J130+L130</f>
        <v>271.2</v>
      </c>
      <c r="O130" s="280">
        <f t="shared" ref="O130" si="81">G130+I130+K130+M130</f>
        <v>80</v>
      </c>
    </row>
    <row r="131" spans="1:15" s="62" customFormat="1" ht="27.6" x14ac:dyDescent="0.25">
      <c r="A131" s="154" t="str">
        <f>orcamento!A131</f>
        <v>11.2</v>
      </c>
      <c r="B131" s="272" t="str">
        <f>orcamento!D131</f>
        <v>DEMOLIÇÃO PARCIAL DE PAVIMENTO ASFÁLTICO, DE FORMA MECANIZADA, SEM REAPROVEITAMENTO. AF_09/2023</v>
      </c>
      <c r="C131" s="273">
        <f>orcamento!F131</f>
        <v>317.2</v>
      </c>
      <c r="D131" s="274" t="str">
        <f>orcamento!E131</f>
        <v>M2</v>
      </c>
      <c r="E131" s="275">
        <f>orcamento!K131</f>
        <v>29.08</v>
      </c>
      <c r="F131" s="276"/>
      <c r="G131" s="281"/>
      <c r="H131" s="276"/>
      <c r="I131" s="281"/>
      <c r="J131" s="276">
        <f t="shared" ref="J131" si="82">ROUND($E131*K131,2)</f>
        <v>4612.09</v>
      </c>
      <c r="K131" s="281">
        <f>C131/2</f>
        <v>158.6</v>
      </c>
      <c r="L131" s="276">
        <f t="shared" ref="L131:L136" si="83">ROUND(C131*E131-(F131+H131+J131),2)</f>
        <v>4612.09</v>
      </c>
      <c r="M131" s="281">
        <f t="shared" ref="M131" si="84">K131</f>
        <v>158.6</v>
      </c>
      <c r="N131" s="279">
        <f t="shared" ref="N131" si="85">F131+H131+J131+L131</f>
        <v>9224.18</v>
      </c>
      <c r="O131" s="280">
        <f t="shared" ref="O131" si="86">G131+I131+K131+M131</f>
        <v>317.2</v>
      </c>
    </row>
    <row r="132" spans="1:15" s="62" customFormat="1" ht="27.6" x14ac:dyDescent="0.25">
      <c r="A132" s="154" t="str">
        <f>orcamento!A132</f>
        <v>11.3</v>
      </c>
      <c r="B132" s="272" t="str">
        <f>orcamento!D132</f>
        <v>DEMOLIÇÃO DE ALVENARIA DE TIJOLO MACIÇO, DE FORMA MANUAL, SEM REAPROVEITAMENTO. AF_09/2023</v>
      </c>
      <c r="C132" s="273">
        <f>orcamento!F132</f>
        <v>3.48</v>
      </c>
      <c r="D132" s="274" t="str">
        <f>orcamento!E132</f>
        <v>M3</v>
      </c>
      <c r="E132" s="275">
        <f>orcamento!K132</f>
        <v>158.07</v>
      </c>
      <c r="F132" s="276"/>
      <c r="G132" s="281"/>
      <c r="H132" s="276"/>
      <c r="I132" s="281"/>
      <c r="J132" s="276">
        <f t="shared" ref="J132" si="87">ROUND($E132*K132,2)</f>
        <v>275.04000000000002</v>
      </c>
      <c r="K132" s="281">
        <f>C132/2</f>
        <v>1.74</v>
      </c>
      <c r="L132" s="276">
        <f t="shared" si="83"/>
        <v>275.04000000000002</v>
      </c>
      <c r="M132" s="281">
        <f t="shared" ref="M132" si="88">K132</f>
        <v>1.74</v>
      </c>
      <c r="N132" s="279">
        <f t="shared" ref="N132" si="89">F132+H132+J132+L132</f>
        <v>550.08000000000004</v>
      </c>
      <c r="O132" s="280">
        <f t="shared" ref="O132" si="90">G132+I132+K132+M132</f>
        <v>3.48</v>
      </c>
    </row>
    <row r="133" spans="1:15" s="62" customFormat="1" ht="13.8" x14ac:dyDescent="0.25">
      <c r="A133" s="154" t="str">
        <f>orcamento!A133</f>
        <v>11.4</v>
      </c>
      <c r="B133" s="272" t="str">
        <f>orcamento!D133</f>
        <v>REMOÇÃO TUBO CONCRETO ARMADO AGUAS PLUVIAIS, DN 300 MM</v>
      </c>
      <c r="C133" s="273">
        <f>orcamento!F133</f>
        <v>59.84</v>
      </c>
      <c r="D133" s="274" t="str">
        <f>orcamento!E133</f>
        <v>M</v>
      </c>
      <c r="E133" s="275">
        <f>orcamento!K133</f>
        <v>30.009999999999998</v>
      </c>
      <c r="F133" s="276"/>
      <c r="G133" s="281"/>
      <c r="H133" s="276"/>
      <c r="I133" s="281"/>
      <c r="J133" s="276">
        <f t="shared" ref="J133:J136" si="91">ROUND($E133*K133,2)</f>
        <v>897.9</v>
      </c>
      <c r="K133" s="281">
        <f>C133/2</f>
        <v>29.92</v>
      </c>
      <c r="L133" s="276">
        <f t="shared" si="83"/>
        <v>897.9</v>
      </c>
      <c r="M133" s="281">
        <f t="shared" ref="M133:M136" si="92">K133</f>
        <v>29.92</v>
      </c>
      <c r="N133" s="279">
        <f t="shared" ref="N133:N136" si="93">F133+H133+J133+L133</f>
        <v>1795.8</v>
      </c>
      <c r="O133" s="280">
        <f t="shared" ref="O133:O136" si="94">G133+I133+K133+M133</f>
        <v>59.84</v>
      </c>
    </row>
    <row r="134" spans="1:15" s="62" customFormat="1" ht="41.4" x14ac:dyDescent="0.25">
      <c r="A134" s="154" t="str">
        <f>orcamento!A134</f>
        <v>11.5</v>
      </c>
      <c r="B134" s="272" t="str">
        <f>orcamento!D134</f>
        <v>CARGA, MANOBRA E DESCARGA DE ENTULHO EM CAMINHÃO BASCULANTE 10 M³ - CARGA COM ESCAVADEIRA HIDRÁULICA (CAÇAMBA DE 0,80 M³ / 111 HP) E DESCARGA LIVRE (UNIDADE: M3). AF_02/2026</v>
      </c>
      <c r="C134" s="273">
        <f>orcamento!F134</f>
        <v>32.46</v>
      </c>
      <c r="D134" s="274" t="str">
        <f>orcamento!E134</f>
        <v>M3</v>
      </c>
      <c r="E134" s="275">
        <f>orcamento!K134</f>
        <v>12.01</v>
      </c>
      <c r="F134" s="276"/>
      <c r="G134" s="281"/>
      <c r="H134" s="276"/>
      <c r="I134" s="281"/>
      <c r="J134" s="276">
        <f t="shared" si="91"/>
        <v>194.92</v>
      </c>
      <c r="K134" s="281">
        <f t="shared" ref="K134:K136" si="95">C134/2</f>
        <v>16.23</v>
      </c>
      <c r="L134" s="276">
        <f t="shared" si="83"/>
        <v>194.92</v>
      </c>
      <c r="M134" s="281">
        <f t="shared" si="92"/>
        <v>16.23</v>
      </c>
      <c r="N134" s="279">
        <f t="shared" si="93"/>
        <v>389.84</v>
      </c>
      <c r="O134" s="280">
        <f t="shared" si="94"/>
        <v>32.46</v>
      </c>
    </row>
    <row r="135" spans="1:15" s="62" customFormat="1" ht="27.6" x14ac:dyDescent="0.25">
      <c r="A135" s="154" t="str">
        <f>orcamento!A135</f>
        <v>11.6</v>
      </c>
      <c r="B135" s="272" t="str">
        <f>orcamento!D135</f>
        <v>TRANSPORTE COM CAMINHÃO BASCULANTE DE 10 M³, EM VIA URBANA PAVIMENTADA, DMT ATÉ 30 KM (UNIDADE: M3XKM). AF_02/2026</v>
      </c>
      <c r="C135" s="273">
        <f>orcamento!F135</f>
        <v>214.23</v>
      </c>
      <c r="D135" s="274" t="str">
        <f>orcamento!E135</f>
        <v>M3XKM</v>
      </c>
      <c r="E135" s="275">
        <f>orcamento!K135</f>
        <v>3.52</v>
      </c>
      <c r="F135" s="276"/>
      <c r="G135" s="281"/>
      <c r="H135" s="276"/>
      <c r="I135" s="281"/>
      <c r="J135" s="276">
        <f t="shared" si="91"/>
        <v>377.04</v>
      </c>
      <c r="K135" s="281">
        <f t="shared" si="95"/>
        <v>107.11499999999999</v>
      </c>
      <c r="L135" s="276">
        <f t="shared" si="83"/>
        <v>377.05</v>
      </c>
      <c r="M135" s="281">
        <f t="shared" si="92"/>
        <v>107.11499999999999</v>
      </c>
      <c r="N135" s="279">
        <f t="shared" si="93"/>
        <v>754.09</v>
      </c>
      <c r="O135" s="280">
        <f t="shared" si="94"/>
        <v>214.23</v>
      </c>
    </row>
    <row r="136" spans="1:15" s="62" customFormat="1" ht="13.8" x14ac:dyDescent="0.25">
      <c r="A136" s="154" t="str">
        <f>orcamento!A136</f>
        <v>11.7</v>
      </c>
      <c r="B136" s="272" t="str">
        <f>orcamento!D136</f>
        <v>TAXA PARA BOTA FORA</v>
      </c>
      <c r="C136" s="273">
        <f>orcamento!F136</f>
        <v>32.46</v>
      </c>
      <c r="D136" s="274" t="str">
        <f>orcamento!E136</f>
        <v>M3</v>
      </c>
      <c r="E136" s="275">
        <f>orcamento!K136</f>
        <v>11.5</v>
      </c>
      <c r="F136" s="276"/>
      <c r="G136" s="281"/>
      <c r="H136" s="276"/>
      <c r="I136" s="281"/>
      <c r="J136" s="276">
        <f t="shared" si="91"/>
        <v>186.65</v>
      </c>
      <c r="K136" s="281">
        <f t="shared" si="95"/>
        <v>16.23</v>
      </c>
      <c r="L136" s="276">
        <f t="shared" si="83"/>
        <v>186.64</v>
      </c>
      <c r="M136" s="281">
        <f t="shared" si="92"/>
        <v>16.23</v>
      </c>
      <c r="N136" s="279">
        <f t="shared" si="93"/>
        <v>373.28999999999996</v>
      </c>
      <c r="O136" s="280">
        <f t="shared" si="94"/>
        <v>32.46</v>
      </c>
    </row>
    <row r="137" spans="1:15" s="62" customFormat="1" ht="13.8" x14ac:dyDescent="0.25">
      <c r="A137" s="265">
        <f>orcamento!A137</f>
        <v>12</v>
      </c>
      <c r="B137" s="85" t="str">
        <f>orcamento!D137</f>
        <v>DRENAGEM - TERRAPLENAGEM</v>
      </c>
      <c r="C137" s="266"/>
      <c r="D137" s="267"/>
      <c r="E137" s="268"/>
      <c r="F137" s="269"/>
      <c r="G137" s="270"/>
      <c r="H137" s="269"/>
      <c r="I137" s="270"/>
      <c r="J137" s="269"/>
      <c r="K137" s="270"/>
      <c r="L137" s="269"/>
      <c r="M137" s="270"/>
      <c r="N137" s="279"/>
      <c r="O137" s="280"/>
    </row>
    <row r="138" spans="1:15" s="62" customFormat="1" ht="55.2" x14ac:dyDescent="0.25">
      <c r="A138" s="154" t="str">
        <f>orcamento!A138</f>
        <v>12.1</v>
      </c>
      <c r="B138" s="272" t="str">
        <f>orcamento!D138</f>
        <v>ESCAVAÇÃO MECANIZADA DE VALA COM PROFUNDIDADE ATÉ 1,5 M (MÉDIA MONTANTE E JUSANTE/UMA COMPOSIÇÃO POR TRECHO), RETROESCAV. (0,26 M3), LARGURA DE 0,8 M A 1,5 M, EM SOLO DE 1A CATEGORIA, LOCAIS COM BAIXO NÍVEL DE INTERFERÊNCIA. AF_09/2024</v>
      </c>
      <c r="C138" s="273">
        <f>orcamento!F138</f>
        <v>389.52</v>
      </c>
      <c r="D138" s="274" t="str">
        <f>orcamento!E138</f>
        <v>M3</v>
      </c>
      <c r="E138" s="275">
        <f>orcamento!K138</f>
        <v>10.78</v>
      </c>
      <c r="F138" s="276"/>
      <c r="G138" s="281"/>
      <c r="H138" s="276"/>
      <c r="I138" s="281"/>
      <c r="J138" s="276">
        <f t="shared" ref="J138:J146" si="96">ROUND($E138*K138,2)</f>
        <v>2099.5100000000002</v>
      </c>
      <c r="K138" s="281">
        <f>C138/2</f>
        <v>194.76</v>
      </c>
      <c r="L138" s="276">
        <f t="shared" ref="L138:L146" si="97">ROUND(C138*E138-(F138+H138+J138),2)</f>
        <v>2099.52</v>
      </c>
      <c r="M138" s="281">
        <f t="shared" ref="M138:M146" si="98">K138</f>
        <v>194.76</v>
      </c>
      <c r="N138" s="279">
        <f t="shared" ref="N138:N146" si="99">F138+H138+J138+L138</f>
        <v>4199.0300000000007</v>
      </c>
      <c r="O138" s="280">
        <f t="shared" ref="O138:O146" si="100">G138+I138+K138+M138</f>
        <v>389.52</v>
      </c>
    </row>
    <row r="139" spans="1:15" s="62" customFormat="1" ht="27.6" x14ac:dyDescent="0.25">
      <c r="A139" s="154" t="str">
        <f>orcamento!A139</f>
        <v>12.2</v>
      </c>
      <c r="B139" s="272" t="str">
        <f>orcamento!D139</f>
        <v>ESCORAMENTO DE VALA, TIPO CONTÍNUO, COM PROFUNDIDADE DE 0 A 1,5 M, LARGURA MENOR QUE 1,5 M. AF_01/2026</v>
      </c>
      <c r="C139" s="273">
        <f>orcamento!F139</f>
        <v>98.36</v>
      </c>
      <c r="D139" s="274" t="str">
        <f>orcamento!E139</f>
        <v>M2</v>
      </c>
      <c r="E139" s="275">
        <f>orcamento!K139</f>
        <v>91.25</v>
      </c>
      <c r="F139" s="276"/>
      <c r="G139" s="281"/>
      <c r="H139" s="276"/>
      <c r="I139" s="281"/>
      <c r="J139" s="276">
        <f t="shared" si="96"/>
        <v>4487.68</v>
      </c>
      <c r="K139" s="281">
        <f t="shared" ref="K139:K146" si="101">C139/2</f>
        <v>49.18</v>
      </c>
      <c r="L139" s="276">
        <f t="shared" si="97"/>
        <v>4487.67</v>
      </c>
      <c r="M139" s="281">
        <f t="shared" si="98"/>
        <v>49.18</v>
      </c>
      <c r="N139" s="279">
        <f t="shared" si="99"/>
        <v>8975.35</v>
      </c>
      <c r="O139" s="280">
        <f t="shared" si="100"/>
        <v>98.36</v>
      </c>
    </row>
    <row r="140" spans="1:15" s="62" customFormat="1" ht="27.6" x14ac:dyDescent="0.25">
      <c r="A140" s="154" t="str">
        <f>orcamento!A140</f>
        <v>12.3</v>
      </c>
      <c r="B140" s="272" t="str">
        <f>orcamento!D140</f>
        <v>PREPARO DE FUNDO DE VALA COM LARGURA MENOR QUE 1,5 M, COM CAMADA DE BRITA, LANÇAMENTO MECANIZADO. AF_01/2026</v>
      </c>
      <c r="C140" s="273">
        <f>orcamento!F140</f>
        <v>26.810000000000002</v>
      </c>
      <c r="D140" s="274" t="str">
        <f>orcamento!E140</f>
        <v>M3</v>
      </c>
      <c r="E140" s="275">
        <f>orcamento!K140</f>
        <v>372.17999999999995</v>
      </c>
      <c r="F140" s="276"/>
      <c r="G140" s="281"/>
      <c r="H140" s="276"/>
      <c r="I140" s="281"/>
      <c r="J140" s="276">
        <f t="shared" si="96"/>
        <v>4989.07</v>
      </c>
      <c r="K140" s="281">
        <f t="shared" si="101"/>
        <v>13.405000000000001</v>
      </c>
      <c r="L140" s="276">
        <f t="shared" si="97"/>
        <v>4989.08</v>
      </c>
      <c r="M140" s="281">
        <f t="shared" si="98"/>
        <v>13.405000000000001</v>
      </c>
      <c r="N140" s="279">
        <f t="shared" si="99"/>
        <v>9978.15</v>
      </c>
      <c r="O140" s="280">
        <f t="shared" si="100"/>
        <v>26.810000000000002</v>
      </c>
    </row>
    <row r="141" spans="1:15" s="62" customFormat="1" ht="27.6" x14ac:dyDescent="0.25">
      <c r="A141" s="154" t="str">
        <f>orcamento!A141</f>
        <v>12.4</v>
      </c>
      <c r="B141" s="272" t="str">
        <f>orcamento!D141</f>
        <v>EXECUÇÃO DE RADIER, ESPESSURA DE 10 CM, FCK = 30 MPA, COM USO DE FORMAS EM MADEIRA SERRADA</v>
      </c>
      <c r="C141" s="273">
        <f>orcamento!F141</f>
        <v>10.220000000000001</v>
      </c>
      <c r="D141" s="274" t="str">
        <f>orcamento!E141</f>
        <v>M2</v>
      </c>
      <c r="E141" s="275">
        <f>orcamento!K141</f>
        <v>220.48000000000002</v>
      </c>
      <c r="F141" s="276"/>
      <c r="G141" s="281"/>
      <c r="H141" s="276"/>
      <c r="I141" s="281"/>
      <c r="J141" s="276">
        <f t="shared" si="96"/>
        <v>1126.6500000000001</v>
      </c>
      <c r="K141" s="281">
        <f t="shared" si="101"/>
        <v>5.1100000000000003</v>
      </c>
      <c r="L141" s="276">
        <f t="shared" si="97"/>
        <v>1126.6600000000001</v>
      </c>
      <c r="M141" s="281">
        <f t="shared" si="98"/>
        <v>5.1100000000000003</v>
      </c>
      <c r="N141" s="279">
        <f t="shared" si="99"/>
        <v>2253.3100000000004</v>
      </c>
      <c r="O141" s="280">
        <f t="shared" si="100"/>
        <v>10.220000000000001</v>
      </c>
    </row>
    <row r="142" spans="1:15" s="62" customFormat="1" ht="27.6" x14ac:dyDescent="0.25">
      <c r="A142" s="154" t="str">
        <f>orcamento!A142</f>
        <v>12.5</v>
      </c>
      <c r="B142" s="272" t="str">
        <f>orcamento!D142</f>
        <v>ATERRO MECANIZADO DE VALA COM RETROESCAVADEIRA, COM BRITA, EXCLUSO CARGA/DESCARGA E TRANSPORTE</v>
      </c>
      <c r="C142" s="273">
        <f>orcamento!F142</f>
        <v>46.92</v>
      </c>
      <c r="D142" s="274" t="str">
        <f>orcamento!E142</f>
        <v>M3</v>
      </c>
      <c r="E142" s="275">
        <f>orcamento!K142</f>
        <v>183.74</v>
      </c>
      <c r="F142" s="276"/>
      <c r="G142" s="281"/>
      <c r="H142" s="276"/>
      <c r="I142" s="281"/>
      <c r="J142" s="276">
        <f t="shared" si="96"/>
        <v>4310.54</v>
      </c>
      <c r="K142" s="281">
        <f t="shared" si="101"/>
        <v>23.46</v>
      </c>
      <c r="L142" s="276">
        <f t="shared" si="97"/>
        <v>4310.54</v>
      </c>
      <c r="M142" s="281">
        <f t="shared" si="98"/>
        <v>23.46</v>
      </c>
      <c r="N142" s="279">
        <f t="shared" si="99"/>
        <v>8621.08</v>
      </c>
      <c r="O142" s="280">
        <f t="shared" si="100"/>
        <v>46.92</v>
      </c>
    </row>
    <row r="143" spans="1:15" s="62" customFormat="1" ht="55.2" x14ac:dyDescent="0.25">
      <c r="A143" s="154" t="str">
        <f>orcamento!A143</f>
        <v>12.6</v>
      </c>
      <c r="B143" s="272" t="str">
        <f>orcamento!D143</f>
        <v>REATERRO MECANIZADO DE VALA COM RETROESCAVADEIRA (CAPACIDADE DA CAÇAMBA DA RETRO: 0,26 M³/POTÊNCIA: 88 HP), LARGURA DE 0,8 A 1,5 M, PROFUNDIDADE ATÉ 1,5 M, COM SOLO (SEM SUBSTITUIÇÃO) DE 1ª CATEGORIA, COM PLACA VIBRATÓRIA. AF_08/2023</v>
      </c>
      <c r="C143" s="273">
        <f>orcamento!F143</f>
        <v>239.43</v>
      </c>
      <c r="D143" s="274" t="str">
        <f>orcamento!E143</f>
        <v>M3</v>
      </c>
      <c r="E143" s="275">
        <f>orcamento!K143</f>
        <v>18.62</v>
      </c>
      <c r="F143" s="276"/>
      <c r="G143" s="281"/>
      <c r="H143" s="276"/>
      <c r="I143" s="281"/>
      <c r="J143" s="276">
        <f t="shared" ref="J143" si="102">ROUND($E143*K143,2)</f>
        <v>2229.09</v>
      </c>
      <c r="K143" s="281">
        <f t="shared" ref="K143" si="103">C143/2</f>
        <v>119.715</v>
      </c>
      <c r="L143" s="276">
        <f t="shared" si="97"/>
        <v>2229.1</v>
      </c>
      <c r="M143" s="281">
        <f t="shared" ref="M143" si="104">K143</f>
        <v>119.715</v>
      </c>
      <c r="N143" s="279">
        <f t="shared" ref="N143" si="105">F143+H143+J143+L143</f>
        <v>4458.1900000000005</v>
      </c>
      <c r="O143" s="280">
        <f t="shared" ref="O143" si="106">G143+I143+K143+M143</f>
        <v>239.43</v>
      </c>
    </row>
    <row r="144" spans="1:15" s="62" customFormat="1" ht="55.2" x14ac:dyDescent="0.25">
      <c r="A144" s="154" t="str">
        <f>orcamento!A144</f>
        <v>12.7</v>
      </c>
      <c r="B144" s="272" t="str">
        <f>orcamento!D144</f>
        <v>CARGA, MANOBRA E DESCARGA DE SOLOS E MATERIAIS GRANULARES EM CAMINHÃO BASCULANTE 10 M³ - CARGA COM ESCAVADEIRA HIDRÁULICA (CAÇAMBA DE 1,20 M³ / 155 HP) E DESCARGA LIVRE (UNIDADE: M3). AF_02/2026</v>
      </c>
      <c r="C144" s="273">
        <f>orcamento!F144</f>
        <v>568</v>
      </c>
      <c r="D144" s="274" t="str">
        <f>orcamento!E144</f>
        <v>M3</v>
      </c>
      <c r="E144" s="275">
        <f>orcamento!K144</f>
        <v>9.2200000000000006</v>
      </c>
      <c r="F144" s="276"/>
      <c r="G144" s="281"/>
      <c r="H144" s="276"/>
      <c r="I144" s="281"/>
      <c r="J144" s="276">
        <f t="shared" si="96"/>
        <v>2618.48</v>
      </c>
      <c r="K144" s="281">
        <f t="shared" si="101"/>
        <v>284</v>
      </c>
      <c r="L144" s="276">
        <f t="shared" si="97"/>
        <v>2618.48</v>
      </c>
      <c r="M144" s="281">
        <f t="shared" si="98"/>
        <v>284</v>
      </c>
      <c r="N144" s="279">
        <f t="shared" si="99"/>
        <v>5236.96</v>
      </c>
      <c r="O144" s="280">
        <f t="shared" si="100"/>
        <v>568</v>
      </c>
    </row>
    <row r="145" spans="1:15" s="62" customFormat="1" ht="27.6" x14ac:dyDescent="0.25">
      <c r="A145" s="154" t="str">
        <f>orcamento!A145</f>
        <v>12.8</v>
      </c>
      <c r="B145" s="272" t="str">
        <f>orcamento!D145</f>
        <v>TRANSPORTE COM CAMINHÃO BASCULANTE DE 10 M³, EM VIA URBANA PAVIMENTADA, DMT ATÉ 30 KM (UNIDADE: M3XKM). AF_02/2026</v>
      </c>
      <c r="C145" s="273">
        <f>orcamento!F145</f>
        <v>1773.52</v>
      </c>
      <c r="D145" s="274" t="str">
        <f>orcamento!E145</f>
        <v>M3XKM</v>
      </c>
      <c r="E145" s="275">
        <f>orcamento!K145</f>
        <v>3.52</v>
      </c>
      <c r="F145" s="276"/>
      <c r="G145" s="281"/>
      <c r="H145" s="276"/>
      <c r="I145" s="281"/>
      <c r="J145" s="276">
        <f t="shared" si="96"/>
        <v>3121.4</v>
      </c>
      <c r="K145" s="281">
        <f t="shared" si="101"/>
        <v>886.76</v>
      </c>
      <c r="L145" s="276">
        <f t="shared" si="97"/>
        <v>3121.39</v>
      </c>
      <c r="M145" s="281">
        <f t="shared" si="98"/>
        <v>886.76</v>
      </c>
      <c r="N145" s="279">
        <f t="shared" si="99"/>
        <v>6242.79</v>
      </c>
      <c r="O145" s="280">
        <f t="shared" si="100"/>
        <v>1773.52</v>
      </c>
    </row>
    <row r="146" spans="1:15" s="62" customFormat="1" ht="13.8" x14ac:dyDescent="0.25">
      <c r="A146" s="154" t="str">
        <f>orcamento!A146</f>
        <v>12.9</v>
      </c>
      <c r="B146" s="272" t="str">
        <f>orcamento!D146</f>
        <v>TAXA PARA BOTA FORA</v>
      </c>
      <c r="C146" s="273">
        <f>orcamento!F146</f>
        <v>187.61</v>
      </c>
      <c r="D146" s="274" t="str">
        <f>orcamento!E146</f>
        <v>M3</v>
      </c>
      <c r="E146" s="275">
        <f>orcamento!K146</f>
        <v>11.5</v>
      </c>
      <c r="F146" s="276"/>
      <c r="G146" s="281"/>
      <c r="H146" s="276"/>
      <c r="I146" s="281"/>
      <c r="J146" s="276">
        <f t="shared" si="96"/>
        <v>1078.76</v>
      </c>
      <c r="K146" s="281">
        <f t="shared" si="101"/>
        <v>93.805000000000007</v>
      </c>
      <c r="L146" s="276">
        <f t="shared" si="97"/>
        <v>1078.76</v>
      </c>
      <c r="M146" s="281">
        <f t="shared" si="98"/>
        <v>93.805000000000007</v>
      </c>
      <c r="N146" s="279">
        <f t="shared" si="99"/>
        <v>2157.52</v>
      </c>
      <c r="O146" s="280">
        <f t="shared" si="100"/>
        <v>187.61</v>
      </c>
    </row>
    <row r="147" spans="1:15" s="62" customFormat="1" ht="13.8" x14ac:dyDescent="0.25">
      <c r="A147" s="265">
        <f>orcamento!A147</f>
        <v>13</v>
      </c>
      <c r="B147" s="85" t="str">
        <f>orcamento!D147</f>
        <v>DRENAGEM - FORNECIMENTO TUBULAÇÃO</v>
      </c>
      <c r="C147" s="266"/>
      <c r="D147" s="267"/>
      <c r="E147" s="268"/>
      <c r="F147" s="269"/>
      <c r="G147" s="270"/>
      <c r="H147" s="269"/>
      <c r="I147" s="270"/>
      <c r="J147" s="269"/>
      <c r="K147" s="270"/>
      <c r="L147" s="269"/>
      <c r="M147" s="270"/>
      <c r="N147" s="279"/>
      <c r="O147" s="280"/>
    </row>
    <row r="148" spans="1:15" s="62" customFormat="1" ht="41.4" x14ac:dyDescent="0.25">
      <c r="A148" s="154" t="str">
        <f>orcamento!A148</f>
        <v>13.1</v>
      </c>
      <c r="B148" s="272" t="str">
        <f>orcamento!D148</f>
        <v>TUBO DE CONCRETO ARMADO PARA AGUAS PLUVIAIS, CLASSE PA-3, COM ENCAIXE PONTA E BOLSA, COM ENCAIXE PARA ANEL DE VEDAÇÃO, DIAMETRO NOMINAL DE 300 MM - FORNECIMENTO</v>
      </c>
      <c r="C148" s="273">
        <f>orcamento!F148</f>
        <v>22.71</v>
      </c>
      <c r="D148" s="274" t="str">
        <f>orcamento!E148</f>
        <v>M</v>
      </c>
      <c r="E148" s="275">
        <f>orcamento!K148</f>
        <v>232.76</v>
      </c>
      <c r="F148" s="276"/>
      <c r="G148" s="281"/>
      <c r="H148" s="276"/>
      <c r="I148" s="281"/>
      <c r="J148" s="276">
        <f t="shared" ref="J148:J156" si="107">ROUND($E148*K148,2)</f>
        <v>2642.99</v>
      </c>
      <c r="K148" s="281">
        <f>C148/2</f>
        <v>11.355</v>
      </c>
      <c r="L148" s="276">
        <f t="shared" ref="L148:L156" si="108">ROUND(C148*E148-(F148+H148+J148),2)</f>
        <v>2642.99</v>
      </c>
      <c r="M148" s="281">
        <f t="shared" ref="M148:M156" si="109">K148</f>
        <v>11.355</v>
      </c>
      <c r="N148" s="279">
        <f t="shared" ref="N148:N156" si="110">F148+H148+J148+L148</f>
        <v>5285.98</v>
      </c>
      <c r="O148" s="280">
        <f t="shared" ref="O148:O156" si="111">G148+I148+K148+M148</f>
        <v>22.71</v>
      </c>
    </row>
    <row r="149" spans="1:15" s="62" customFormat="1" ht="41.4" x14ac:dyDescent="0.25">
      <c r="A149" s="154" t="str">
        <f>orcamento!A149</f>
        <v>13.2</v>
      </c>
      <c r="B149" s="272" t="str">
        <f>orcamento!D149</f>
        <v>TUBO DE CONCRETO ARMADO PARA AGUAS PLUVIAIS, CLASSE PA-3, COM ENCAIXE PONTA E BOLSA, COM ENCAIXE PARA ANEL DE VEDAÇÃO, DIAMETRO NOMINAL DE 400 MM - FORNECIMENTO</v>
      </c>
      <c r="C149" s="273">
        <f>orcamento!F149</f>
        <v>71.430000000000007</v>
      </c>
      <c r="D149" s="274" t="str">
        <f>orcamento!E149</f>
        <v>M</v>
      </c>
      <c r="E149" s="275">
        <f>orcamento!K149</f>
        <v>259.14999999999998</v>
      </c>
      <c r="F149" s="276"/>
      <c r="G149" s="281"/>
      <c r="H149" s="276"/>
      <c r="I149" s="281"/>
      <c r="J149" s="276">
        <f t="shared" si="107"/>
        <v>9255.5400000000009</v>
      </c>
      <c r="K149" s="281">
        <f t="shared" ref="K149:K156" si="112">C149/2</f>
        <v>35.715000000000003</v>
      </c>
      <c r="L149" s="276">
        <f t="shared" si="108"/>
        <v>9255.5400000000009</v>
      </c>
      <c r="M149" s="281">
        <f t="shared" si="109"/>
        <v>35.715000000000003</v>
      </c>
      <c r="N149" s="279">
        <f t="shared" si="110"/>
        <v>18511.080000000002</v>
      </c>
      <c r="O149" s="280">
        <f t="shared" si="111"/>
        <v>71.430000000000007</v>
      </c>
    </row>
    <row r="150" spans="1:15" s="62" customFormat="1" ht="41.4" x14ac:dyDescent="0.25">
      <c r="A150" s="154" t="str">
        <f>orcamento!A150</f>
        <v>13.3</v>
      </c>
      <c r="B150" s="272" t="str">
        <f>orcamento!D150</f>
        <v>TUBO DE CONCRETO ARMADO PARA AGUAS PLUVIAIS, CLASSE PA-3, COM ENCAIXE PONTA E BOLSA, COM ENCAIXE PARA ANEL DE VEDAÇÃO, DIAMETRO NOMINAL DE 500 MM - FORNECIMENTO</v>
      </c>
      <c r="C150" s="273">
        <f>orcamento!F150</f>
        <v>27.7</v>
      </c>
      <c r="D150" s="274" t="str">
        <f>orcamento!E150</f>
        <v>M</v>
      </c>
      <c r="E150" s="275">
        <f>orcamento!K150</f>
        <v>349.16</v>
      </c>
      <c r="F150" s="276"/>
      <c r="G150" s="281"/>
      <c r="H150" s="276"/>
      <c r="I150" s="281"/>
      <c r="J150" s="276">
        <f t="shared" si="107"/>
        <v>4835.87</v>
      </c>
      <c r="K150" s="281">
        <f t="shared" si="112"/>
        <v>13.85</v>
      </c>
      <c r="L150" s="276">
        <f t="shared" si="108"/>
        <v>4835.8599999999997</v>
      </c>
      <c r="M150" s="281">
        <f t="shared" si="109"/>
        <v>13.85</v>
      </c>
      <c r="N150" s="279">
        <f t="shared" si="110"/>
        <v>9671.73</v>
      </c>
      <c r="O150" s="280">
        <f t="shared" si="111"/>
        <v>27.7</v>
      </c>
    </row>
    <row r="151" spans="1:15" s="62" customFormat="1" ht="41.4" x14ac:dyDescent="0.25">
      <c r="A151" s="154" t="str">
        <f>orcamento!A151</f>
        <v>13.4</v>
      </c>
      <c r="B151" s="272" t="str">
        <f>orcamento!D151</f>
        <v>TUBO DE CONCRETO ARMADO PARA AGUAS PLUVIAIS, CLASSE PA-3, COM ENCAIXE PONTA E BOLSA, COM ENCAIXE PARA ANEL DE VEDAÇÃO, DIAMETRO NOMINAL DE 800 MM - FORNECIMENTO</v>
      </c>
      <c r="C151" s="273">
        <f>orcamento!F151</f>
        <v>88.1</v>
      </c>
      <c r="D151" s="274" t="str">
        <f>orcamento!E151</f>
        <v>M</v>
      </c>
      <c r="E151" s="275">
        <f>orcamento!K151</f>
        <v>758.9</v>
      </c>
      <c r="F151" s="276"/>
      <c r="G151" s="281"/>
      <c r="H151" s="276"/>
      <c r="I151" s="281"/>
      <c r="J151" s="276">
        <f t="shared" si="107"/>
        <v>33429.550000000003</v>
      </c>
      <c r="K151" s="281">
        <f t="shared" si="112"/>
        <v>44.05</v>
      </c>
      <c r="L151" s="276">
        <f t="shared" si="108"/>
        <v>33429.54</v>
      </c>
      <c r="M151" s="281">
        <f t="shared" si="109"/>
        <v>44.05</v>
      </c>
      <c r="N151" s="279">
        <f t="shared" si="110"/>
        <v>66859.09</v>
      </c>
      <c r="O151" s="280">
        <f t="shared" si="111"/>
        <v>88.1</v>
      </c>
    </row>
    <row r="152" spans="1:15" s="62" customFormat="1" ht="41.4" x14ac:dyDescent="0.25">
      <c r="A152" s="154" t="str">
        <f>orcamento!A152</f>
        <v>13.5</v>
      </c>
      <c r="B152" s="272" t="str">
        <f>orcamento!D152</f>
        <v>CARGA, MANOBRA E DESCARGA DE TUBOS DE CONCRETO, DN MENOR OU IGUAL A 300 MM, EM CAMINHÃO CARROCERIA COM GUINDAUTO (MUNCK) 11,7 TM. AF_02/2026</v>
      </c>
      <c r="C152" s="273">
        <f>orcamento!F152</f>
        <v>2.95</v>
      </c>
      <c r="D152" s="274" t="str">
        <f>orcamento!E152</f>
        <v>T</v>
      </c>
      <c r="E152" s="275">
        <f>orcamento!K152</f>
        <v>68.91</v>
      </c>
      <c r="F152" s="276"/>
      <c r="G152" s="281"/>
      <c r="H152" s="276"/>
      <c r="I152" s="281"/>
      <c r="J152" s="276">
        <f t="shared" si="107"/>
        <v>101.64</v>
      </c>
      <c r="K152" s="281">
        <f t="shared" si="112"/>
        <v>1.4750000000000001</v>
      </c>
      <c r="L152" s="276">
        <f t="shared" si="108"/>
        <v>101.64</v>
      </c>
      <c r="M152" s="281">
        <f t="shared" si="109"/>
        <v>1.4750000000000001</v>
      </c>
      <c r="N152" s="279">
        <f t="shared" si="110"/>
        <v>203.28</v>
      </c>
      <c r="O152" s="280">
        <f t="shared" si="111"/>
        <v>2.95</v>
      </c>
    </row>
    <row r="153" spans="1:15" s="62" customFormat="1" ht="27.6" x14ac:dyDescent="0.25">
      <c r="A153" s="154" t="str">
        <f>orcamento!A153</f>
        <v>13.6</v>
      </c>
      <c r="B153" s="272" t="str">
        <f>orcamento!D153</f>
        <v>CARGA, MANOBRA E DESCARGA DE TUBOS DE CONCRETO, DN 400 MM, EM CAMINHÃO CARROCERIA COM GUINDAUTO (MUNCK) 11,7 TM. AF_02/2026</v>
      </c>
      <c r="C153" s="273">
        <f>orcamento!F153</f>
        <v>10.92</v>
      </c>
      <c r="D153" s="274" t="str">
        <f>orcamento!E153</f>
        <v>T</v>
      </c>
      <c r="E153" s="275">
        <f>orcamento!K153</f>
        <v>63.05</v>
      </c>
      <c r="F153" s="276"/>
      <c r="G153" s="281"/>
      <c r="H153" s="276"/>
      <c r="I153" s="281"/>
      <c r="J153" s="276">
        <f t="shared" si="107"/>
        <v>344.25</v>
      </c>
      <c r="K153" s="281">
        <f t="shared" si="112"/>
        <v>5.46</v>
      </c>
      <c r="L153" s="276">
        <f t="shared" si="108"/>
        <v>344.26</v>
      </c>
      <c r="M153" s="281">
        <f t="shared" si="109"/>
        <v>5.46</v>
      </c>
      <c r="N153" s="279">
        <f t="shared" si="110"/>
        <v>688.51</v>
      </c>
      <c r="O153" s="280">
        <f t="shared" si="111"/>
        <v>10.92</v>
      </c>
    </row>
    <row r="154" spans="1:15" s="62" customFormat="1" ht="27.6" x14ac:dyDescent="0.25">
      <c r="A154" s="154" t="str">
        <f>orcamento!A154</f>
        <v>13.7</v>
      </c>
      <c r="B154" s="272" t="str">
        <f>orcamento!D154</f>
        <v>CARGA, MANOBRA E DESCARGA DE TUBOS DE CONCRETO, DN 500 MM, EM CAMINHÃO CARROCERIA COM GUINDAUTO (MUNCK) 11,7 TM. AF_02/2026</v>
      </c>
      <c r="C154" s="273">
        <f>orcamento!F154</f>
        <v>6.64</v>
      </c>
      <c r="D154" s="274" t="str">
        <f>orcamento!E154</f>
        <v>T</v>
      </c>
      <c r="E154" s="275">
        <f>orcamento!K154</f>
        <v>51.68</v>
      </c>
      <c r="F154" s="276"/>
      <c r="G154" s="281"/>
      <c r="H154" s="276"/>
      <c r="I154" s="281"/>
      <c r="J154" s="276">
        <f t="shared" si="107"/>
        <v>171.58</v>
      </c>
      <c r="K154" s="281">
        <f t="shared" si="112"/>
        <v>3.32</v>
      </c>
      <c r="L154" s="276">
        <f t="shared" si="108"/>
        <v>171.58</v>
      </c>
      <c r="M154" s="281">
        <f t="shared" si="109"/>
        <v>3.32</v>
      </c>
      <c r="N154" s="279">
        <f t="shared" si="110"/>
        <v>343.16</v>
      </c>
      <c r="O154" s="280">
        <f t="shared" si="111"/>
        <v>6.64</v>
      </c>
    </row>
    <row r="155" spans="1:15" s="62" customFormat="1" ht="27.6" x14ac:dyDescent="0.25">
      <c r="A155" s="154" t="str">
        <f>orcamento!A155</f>
        <v>13.8</v>
      </c>
      <c r="B155" s="272" t="str">
        <f>orcamento!D155</f>
        <v>CARGA, MANOBRA E DESCARGA DE TUBOS DE CONCRETO, DN 800 MM, EM CAMINHÃO CARROCERIA COM GUINDAUTO (MUNCK) 11,7 TM. AF_02/2026</v>
      </c>
      <c r="C155" s="273">
        <f>orcamento!F155</f>
        <v>39.200000000000003</v>
      </c>
      <c r="D155" s="274" t="str">
        <f>orcamento!E155</f>
        <v>T</v>
      </c>
      <c r="E155" s="275">
        <f>orcamento!K155</f>
        <v>40.28</v>
      </c>
      <c r="F155" s="276"/>
      <c r="G155" s="281"/>
      <c r="H155" s="276"/>
      <c r="I155" s="281"/>
      <c r="J155" s="276">
        <f t="shared" si="107"/>
        <v>789.49</v>
      </c>
      <c r="K155" s="281">
        <f t="shared" si="112"/>
        <v>19.600000000000001</v>
      </c>
      <c r="L155" s="276">
        <f t="shared" si="108"/>
        <v>789.49</v>
      </c>
      <c r="M155" s="281">
        <f t="shared" si="109"/>
        <v>19.600000000000001</v>
      </c>
      <c r="N155" s="279">
        <f t="shared" si="110"/>
        <v>1578.98</v>
      </c>
      <c r="O155" s="280">
        <f t="shared" si="111"/>
        <v>39.200000000000003</v>
      </c>
    </row>
    <row r="156" spans="1:15" s="62" customFormat="1" ht="41.4" x14ac:dyDescent="0.25">
      <c r="A156" s="154" t="str">
        <f>orcamento!A156</f>
        <v>13.9</v>
      </c>
      <c r="B156" s="272" t="str">
        <f>orcamento!D156</f>
        <v>TRANSPORTE COM CAMINHÃO CARROCERIA COM GUINDAUTO (MUNCK), MOMENTO MÁXIMO DE CARGA 11,7 TM, EM VIA URBANA PAVIMENTADA, DMT ATÉ 30KM (UNIDADE: TXKM). AF_02/2026</v>
      </c>
      <c r="C156" s="273">
        <f>orcamento!F156</f>
        <v>961.33</v>
      </c>
      <c r="D156" s="274" t="str">
        <f>orcamento!E156</f>
        <v>TXKM</v>
      </c>
      <c r="E156" s="275">
        <f>orcamento!K156</f>
        <v>3.96</v>
      </c>
      <c r="F156" s="276"/>
      <c r="G156" s="281"/>
      <c r="H156" s="276"/>
      <c r="I156" s="281"/>
      <c r="J156" s="276">
        <f t="shared" si="107"/>
        <v>1903.43</v>
      </c>
      <c r="K156" s="281">
        <f t="shared" si="112"/>
        <v>480.66500000000002</v>
      </c>
      <c r="L156" s="276">
        <f t="shared" si="108"/>
        <v>1903.44</v>
      </c>
      <c r="M156" s="281">
        <f t="shared" si="109"/>
        <v>480.66500000000002</v>
      </c>
      <c r="N156" s="279">
        <f t="shared" si="110"/>
        <v>3806.87</v>
      </c>
      <c r="O156" s="280">
        <f t="shared" si="111"/>
        <v>961.33</v>
      </c>
    </row>
    <row r="157" spans="1:15" s="62" customFormat="1" ht="13.8" x14ac:dyDescent="0.25">
      <c r="A157" s="265">
        <f>orcamento!A157</f>
        <v>14</v>
      </c>
      <c r="B157" s="85" t="str">
        <f>orcamento!D157</f>
        <v>DRENAGEM - ASSENTAMENTO TUBULAÇÃO</v>
      </c>
      <c r="C157" s="266"/>
      <c r="D157" s="267"/>
      <c r="E157" s="268"/>
      <c r="F157" s="269"/>
      <c r="G157" s="270"/>
      <c r="H157" s="269"/>
      <c r="I157" s="270"/>
      <c r="J157" s="269"/>
      <c r="K157" s="270"/>
      <c r="L157" s="269"/>
      <c r="M157" s="270"/>
      <c r="N157" s="279"/>
      <c r="O157" s="280"/>
    </row>
    <row r="158" spans="1:15" s="62" customFormat="1" ht="27.6" x14ac:dyDescent="0.25">
      <c r="A158" s="154" t="str">
        <f>orcamento!A158</f>
        <v>14.1</v>
      </c>
      <c r="B158" s="272" t="str">
        <f>orcamento!D158</f>
        <v>TUBO CONCRETO ARMADO AGUAS PLUVIAIS, CLASSE PA-3, ENCAIXE PONTA E BOLSA, DN 300 MM - ASSENAMENTO, INCLUSO ANEL DE VEDAÇÃO</v>
      </c>
      <c r="C158" s="273">
        <f>orcamento!F158</f>
        <v>22.71</v>
      </c>
      <c r="D158" s="274" t="str">
        <f>orcamento!E158</f>
        <v>M</v>
      </c>
      <c r="E158" s="275">
        <f>orcamento!K158</f>
        <v>60.570000000000007</v>
      </c>
      <c r="F158" s="276"/>
      <c r="G158" s="281"/>
      <c r="H158" s="276"/>
      <c r="I158" s="281"/>
      <c r="J158" s="276">
        <f>ROUND($E158*K158,2)</f>
        <v>687.77</v>
      </c>
      <c r="K158" s="281">
        <f>C158/2</f>
        <v>11.355</v>
      </c>
      <c r="L158" s="276">
        <f t="shared" ref="L158:L161" si="113">ROUND(C158*E158-(F158+H158+J158),2)</f>
        <v>687.77</v>
      </c>
      <c r="M158" s="281">
        <f>K158</f>
        <v>11.355</v>
      </c>
      <c r="N158" s="279">
        <f t="shared" ref="N158:N161" si="114">F158+H158+J158+L158</f>
        <v>1375.54</v>
      </c>
      <c r="O158" s="280">
        <f t="shared" ref="O158:O161" si="115">G158+I158+K158+M158</f>
        <v>22.71</v>
      </c>
    </row>
    <row r="159" spans="1:15" s="62" customFormat="1" ht="27.6" x14ac:dyDescent="0.25">
      <c r="A159" s="154" t="str">
        <f>orcamento!A159</f>
        <v>14.2</v>
      </c>
      <c r="B159" s="272" t="str">
        <f>orcamento!D159</f>
        <v>TUBO CONCRETO ARMADO AGUAS PLUVIAIS, CLASSE PA-3, ENCAIXE PONTA E BOLSA, DN 400 MM - ASSENTAMENTO, INCLUSO ANEL DE VEDAÇÃO</v>
      </c>
      <c r="C159" s="273">
        <f>orcamento!F159</f>
        <v>71.430000000000007</v>
      </c>
      <c r="D159" s="274" t="str">
        <f>orcamento!E159</f>
        <v>M</v>
      </c>
      <c r="E159" s="275">
        <f>orcamento!K159</f>
        <v>79.429999999999993</v>
      </c>
      <c r="F159" s="276"/>
      <c r="G159" s="281"/>
      <c r="H159" s="276"/>
      <c r="I159" s="281"/>
      <c r="J159" s="276">
        <f>ROUND($E159*K159,2)</f>
        <v>2836.84</v>
      </c>
      <c r="K159" s="281">
        <f t="shared" ref="K159:K161" si="116">C159/2</f>
        <v>35.715000000000003</v>
      </c>
      <c r="L159" s="276">
        <f t="shared" si="113"/>
        <v>2836.84</v>
      </c>
      <c r="M159" s="281">
        <f>K159</f>
        <v>35.715000000000003</v>
      </c>
      <c r="N159" s="279">
        <f t="shared" si="114"/>
        <v>5673.68</v>
      </c>
      <c r="O159" s="280">
        <f t="shared" si="115"/>
        <v>71.430000000000007</v>
      </c>
    </row>
    <row r="160" spans="1:15" s="62" customFormat="1" ht="27.6" x14ac:dyDescent="0.25">
      <c r="A160" s="154" t="str">
        <f>orcamento!A160</f>
        <v>14.3</v>
      </c>
      <c r="B160" s="272" t="str">
        <f>orcamento!D160</f>
        <v>TUBO CONCRETO ARMADO AGUAS PLUVIAIS, CLASSE PA-3, ENCAIXE PONTA E BOLSA, DN 500 MM - ASSENTAMENTO, INCLUSO ANEL DE VEDAÇÃO</v>
      </c>
      <c r="C160" s="273">
        <f>orcamento!F160</f>
        <v>27.7</v>
      </c>
      <c r="D160" s="274" t="str">
        <f>orcamento!E160</f>
        <v>M</v>
      </c>
      <c r="E160" s="275">
        <f>orcamento!K160</f>
        <v>99.789999999999992</v>
      </c>
      <c r="F160" s="276"/>
      <c r="G160" s="281"/>
      <c r="H160" s="276"/>
      <c r="I160" s="281"/>
      <c r="J160" s="276">
        <f>ROUND($E160*K160,2)</f>
        <v>1382.09</v>
      </c>
      <c r="K160" s="281">
        <f t="shared" si="116"/>
        <v>13.85</v>
      </c>
      <c r="L160" s="276">
        <f t="shared" si="113"/>
        <v>1382.09</v>
      </c>
      <c r="M160" s="281">
        <f>K160</f>
        <v>13.85</v>
      </c>
      <c r="N160" s="279">
        <f t="shared" si="114"/>
        <v>2764.18</v>
      </c>
      <c r="O160" s="280">
        <f t="shared" si="115"/>
        <v>27.7</v>
      </c>
    </row>
    <row r="161" spans="1:15" s="62" customFormat="1" ht="27.6" x14ac:dyDescent="0.25">
      <c r="A161" s="154" t="str">
        <f>orcamento!A161</f>
        <v>14.4</v>
      </c>
      <c r="B161" s="272" t="str">
        <f>orcamento!D161</f>
        <v>TUBO CONCRETO ARMADO AGUAS PLUVIAIS, CLASSE PA-3, ENCAIXE PONTA E BOLSA, DN 800 MM - ASSENTAMENTO, INCLUSO ANEL DE VEDAÇÃO</v>
      </c>
      <c r="C161" s="273">
        <f>orcamento!F161</f>
        <v>88.1</v>
      </c>
      <c r="D161" s="274" t="str">
        <f>orcamento!E161</f>
        <v>M</v>
      </c>
      <c r="E161" s="275">
        <f>orcamento!K161</f>
        <v>181.58999999999997</v>
      </c>
      <c r="F161" s="276"/>
      <c r="G161" s="281"/>
      <c r="H161" s="276"/>
      <c r="I161" s="281"/>
      <c r="J161" s="276">
        <f>ROUND($E161*K161,2)</f>
        <v>7999.04</v>
      </c>
      <c r="K161" s="281">
        <f t="shared" si="116"/>
        <v>44.05</v>
      </c>
      <c r="L161" s="276">
        <f t="shared" si="113"/>
        <v>7999.04</v>
      </c>
      <c r="M161" s="281">
        <f>K161</f>
        <v>44.05</v>
      </c>
      <c r="N161" s="279">
        <f t="shared" si="114"/>
        <v>15998.08</v>
      </c>
      <c r="O161" s="280">
        <f t="shared" si="115"/>
        <v>88.1</v>
      </c>
    </row>
    <row r="162" spans="1:15" s="62" customFormat="1" ht="13.8" x14ac:dyDescent="0.25">
      <c r="A162" s="265">
        <f>orcamento!A162</f>
        <v>15</v>
      </c>
      <c r="B162" s="85" t="str">
        <f>orcamento!D162</f>
        <v>DRENAGEM - POÇOS E CAIXAS</v>
      </c>
      <c r="C162" s="266"/>
      <c r="D162" s="267"/>
      <c r="E162" s="268"/>
      <c r="F162" s="269"/>
      <c r="G162" s="270"/>
      <c r="H162" s="269"/>
      <c r="I162" s="270"/>
      <c r="J162" s="269"/>
      <c r="K162" s="269"/>
      <c r="L162" s="269"/>
      <c r="M162" s="269"/>
      <c r="N162" s="279"/>
      <c r="O162" s="280"/>
    </row>
    <row r="163" spans="1:15" s="62" customFormat="1" ht="41.4" x14ac:dyDescent="0.25">
      <c r="A163" s="154" t="str">
        <f>orcamento!A163</f>
        <v>15.1</v>
      </c>
      <c r="B163" s="272" t="str">
        <f>orcamento!D163</f>
        <v>CAIXA PARA BOCA DE LOBO SIMPLES RETANGULAR, EM ALVENARIA COM TIJOLOS CERÂMICOS MACIÇOS, DIMENSÕES INTERNAS: 0,6X1X1,2 M. AF_12/2020</v>
      </c>
      <c r="C163" s="273">
        <f>orcamento!F163</f>
        <v>2</v>
      </c>
      <c r="D163" s="274" t="str">
        <f>orcamento!E163</f>
        <v>UN</v>
      </c>
      <c r="E163" s="275">
        <f>orcamento!K163</f>
        <v>2497.27</v>
      </c>
      <c r="F163" s="276"/>
      <c r="G163" s="281"/>
      <c r="H163" s="276"/>
      <c r="I163" s="281"/>
      <c r="J163" s="276">
        <f t="shared" ref="J163" si="117">ROUND($E163*K163,2)</f>
        <v>4994.54</v>
      </c>
      <c r="K163" s="281">
        <f>C163</f>
        <v>2</v>
      </c>
      <c r="L163" s="276"/>
      <c r="M163" s="281"/>
      <c r="N163" s="279">
        <f t="shared" ref="N163" si="118">F163+H163+J163+L163</f>
        <v>4994.54</v>
      </c>
      <c r="O163" s="280">
        <f t="shared" ref="O163" si="119">G163+I163+K163+M163</f>
        <v>2</v>
      </c>
    </row>
    <row r="164" spans="1:15" s="62" customFormat="1" ht="41.4" x14ac:dyDescent="0.25">
      <c r="A164" s="154" t="str">
        <f>orcamento!A164</f>
        <v>15.2</v>
      </c>
      <c r="B164" s="272" t="str">
        <f>orcamento!D164</f>
        <v>CAIXA PARA BOCA DE LOBO COMBINADA COM GRELHA RETANGULAR, EM ALVENARIA COM TIJOLOS CERÂMICOS MACIÇOS, DIMENSÕES INTERNAS: 1,3X1X1,2 M. AF_12/2020</v>
      </c>
      <c r="C164" s="273">
        <f>orcamento!F164</f>
        <v>1</v>
      </c>
      <c r="D164" s="274" t="str">
        <f>orcamento!E164</f>
        <v>UN</v>
      </c>
      <c r="E164" s="275">
        <f>orcamento!K164</f>
        <v>4072.16</v>
      </c>
      <c r="F164" s="276"/>
      <c r="G164" s="281"/>
      <c r="H164" s="276"/>
      <c r="I164" s="281"/>
      <c r="J164" s="276">
        <f t="shared" ref="J164:J171" si="120">ROUND($E164*K164,2)</f>
        <v>4072.16</v>
      </c>
      <c r="K164" s="281">
        <f t="shared" ref="K164:K173" si="121">C164</f>
        <v>1</v>
      </c>
      <c r="L164" s="276"/>
      <c r="M164" s="281"/>
      <c r="N164" s="279">
        <f t="shared" ref="N164:N171" si="122">F164+H164+J164+L164</f>
        <v>4072.16</v>
      </c>
      <c r="O164" s="280">
        <f t="shared" ref="O164:O171" si="123">G164+I164+K164+M164</f>
        <v>1</v>
      </c>
    </row>
    <row r="165" spans="1:15" s="62" customFormat="1" ht="13.8" x14ac:dyDescent="0.25">
      <c r="A165" s="154" t="str">
        <f>orcamento!A165</f>
        <v>15.3</v>
      </c>
      <c r="B165" s="272" t="str">
        <f>orcamento!D165</f>
        <v>POÇO DE VISITA TIPO A, 0,80x0,80x1,00m EM TIJOLO MACIÇO, SEM TAMPA</v>
      </c>
      <c r="C165" s="273">
        <f>orcamento!F165</f>
        <v>2</v>
      </c>
      <c r="D165" s="274" t="str">
        <f>orcamento!E165</f>
        <v>UN</v>
      </c>
      <c r="E165" s="275">
        <f>orcamento!K165</f>
        <v>1548.79</v>
      </c>
      <c r="F165" s="276"/>
      <c r="G165" s="281"/>
      <c r="H165" s="276"/>
      <c r="I165" s="281"/>
      <c r="J165" s="276">
        <f t="shared" si="120"/>
        <v>3097.58</v>
      </c>
      <c r="K165" s="281">
        <f t="shared" si="121"/>
        <v>2</v>
      </c>
      <c r="L165" s="276"/>
      <c r="M165" s="281"/>
      <c r="N165" s="279">
        <f t="shared" si="122"/>
        <v>3097.58</v>
      </c>
      <c r="O165" s="280">
        <f t="shared" si="123"/>
        <v>2</v>
      </c>
    </row>
    <row r="166" spans="1:15" s="62" customFormat="1" ht="13.8" x14ac:dyDescent="0.25">
      <c r="A166" s="154" t="str">
        <f>orcamento!A166</f>
        <v>15.4</v>
      </c>
      <c r="B166" s="272" t="str">
        <f>orcamento!D166</f>
        <v>METRO ADICIONAL POÇO DE VISITA TIPO A, 0,80x0,80m EM TIJOLO MACIÇO</v>
      </c>
      <c r="C166" s="273">
        <f>orcamento!F166</f>
        <v>0.59</v>
      </c>
      <c r="D166" s="274" t="str">
        <f>orcamento!E166</f>
        <v>M</v>
      </c>
      <c r="E166" s="275">
        <f>orcamento!K166</f>
        <v>1470.57</v>
      </c>
      <c r="F166" s="276"/>
      <c r="G166" s="281"/>
      <c r="H166" s="276"/>
      <c r="I166" s="281"/>
      <c r="J166" s="276">
        <f t="shared" si="120"/>
        <v>867.64</v>
      </c>
      <c r="K166" s="281">
        <f t="shared" si="121"/>
        <v>0.59</v>
      </c>
      <c r="L166" s="276"/>
      <c r="M166" s="281"/>
      <c r="N166" s="279">
        <f t="shared" si="122"/>
        <v>867.64</v>
      </c>
      <c r="O166" s="280">
        <f t="shared" si="123"/>
        <v>0.59</v>
      </c>
    </row>
    <row r="167" spans="1:15" s="62" customFormat="1" ht="27.6" x14ac:dyDescent="0.25">
      <c r="A167" s="154" t="str">
        <f>orcamento!A167</f>
        <v>15.5</v>
      </c>
      <c r="B167" s="272" t="str">
        <f>orcamento!D167</f>
        <v>POÇO DE VISITA TIPO B, 1,00x1,00x1,50m EM TIJOLO MACIÇO, SEM TAMPA (PV 03)</v>
      </c>
      <c r="C167" s="273">
        <f>orcamento!F167</f>
        <v>1</v>
      </c>
      <c r="D167" s="274" t="str">
        <f>orcamento!E167</f>
        <v>UN</v>
      </c>
      <c r="E167" s="275">
        <f>orcamento!K167</f>
        <v>2879.5</v>
      </c>
      <c r="F167" s="276"/>
      <c r="G167" s="281"/>
      <c r="H167" s="276"/>
      <c r="I167" s="281"/>
      <c r="J167" s="276">
        <f t="shared" si="120"/>
        <v>2879.5</v>
      </c>
      <c r="K167" s="281">
        <f t="shared" si="121"/>
        <v>1</v>
      </c>
      <c r="L167" s="276"/>
      <c r="M167" s="281"/>
      <c r="N167" s="279">
        <f t="shared" si="122"/>
        <v>2879.5</v>
      </c>
      <c r="O167" s="280">
        <f t="shared" si="123"/>
        <v>1</v>
      </c>
    </row>
    <row r="168" spans="1:15" s="62" customFormat="1" ht="27.6" x14ac:dyDescent="0.25">
      <c r="A168" s="154" t="str">
        <f>orcamento!A168</f>
        <v>15.6</v>
      </c>
      <c r="B168" s="272" t="str">
        <f>orcamento!D168</f>
        <v>POÇO DE VISITA TIPO E, 1,50x1,50x2,30m EM TIJOLO MACIÇO, SEM TAMPA (PV 04)</v>
      </c>
      <c r="C168" s="273">
        <f>orcamento!F168</f>
        <v>1</v>
      </c>
      <c r="D168" s="274" t="str">
        <f>orcamento!E168</f>
        <v>UN</v>
      </c>
      <c r="E168" s="275">
        <f>orcamento!K168</f>
        <v>3008.4000000000005</v>
      </c>
      <c r="F168" s="276"/>
      <c r="G168" s="281"/>
      <c r="H168" s="276"/>
      <c r="I168" s="281"/>
      <c r="J168" s="276">
        <f t="shared" si="120"/>
        <v>3008.4</v>
      </c>
      <c r="K168" s="281">
        <f t="shared" si="121"/>
        <v>1</v>
      </c>
      <c r="L168" s="276"/>
      <c r="M168" s="281"/>
      <c r="N168" s="279">
        <f t="shared" si="122"/>
        <v>3008.4</v>
      </c>
      <c r="O168" s="280">
        <f t="shared" si="123"/>
        <v>1</v>
      </c>
    </row>
    <row r="169" spans="1:15" s="62" customFormat="1" ht="27.6" x14ac:dyDescent="0.25">
      <c r="A169" s="154" t="str">
        <f>orcamento!A169</f>
        <v>15.7</v>
      </c>
      <c r="B169" s="272" t="str">
        <f>orcamento!D169</f>
        <v>POÇO DE VISITA TIPO E, 1,20x1,20x1,49m EM TIJOLO MACIÇO, SEM TAMPA (PV 05)</v>
      </c>
      <c r="C169" s="273">
        <f>orcamento!F169</f>
        <v>1</v>
      </c>
      <c r="D169" s="274" t="str">
        <f>orcamento!E169</f>
        <v>UN</v>
      </c>
      <c r="E169" s="275">
        <f>orcamento!K169</f>
        <v>1251.0700000000002</v>
      </c>
      <c r="F169" s="276"/>
      <c r="G169" s="281"/>
      <c r="H169" s="276"/>
      <c r="I169" s="281"/>
      <c r="J169" s="276">
        <f t="shared" si="120"/>
        <v>1251.07</v>
      </c>
      <c r="K169" s="281">
        <f t="shared" si="121"/>
        <v>1</v>
      </c>
      <c r="L169" s="276"/>
      <c r="M169" s="281"/>
      <c r="N169" s="279">
        <f t="shared" si="122"/>
        <v>1251.07</v>
      </c>
      <c r="O169" s="280">
        <f t="shared" si="123"/>
        <v>1</v>
      </c>
    </row>
    <row r="170" spans="1:15" s="62" customFormat="1" ht="27.6" x14ac:dyDescent="0.25">
      <c r="A170" s="154" t="str">
        <f>orcamento!A170</f>
        <v>15.8</v>
      </c>
      <c r="B170" s="272" t="str">
        <f>orcamento!D170</f>
        <v>POÇO DE VISITA TIPO E, 1,20x1,20x1,33m EM TIJOLO MACIÇO, SEM TAMPA (PV 06)</v>
      </c>
      <c r="C170" s="273">
        <f>orcamento!F170</f>
        <v>1</v>
      </c>
      <c r="D170" s="274" t="str">
        <f>orcamento!E170</f>
        <v>UN</v>
      </c>
      <c r="E170" s="275">
        <f>orcamento!K170</f>
        <v>1117.24</v>
      </c>
      <c r="F170" s="276"/>
      <c r="G170" s="281"/>
      <c r="H170" s="276"/>
      <c r="I170" s="281"/>
      <c r="J170" s="276">
        <f t="shared" si="120"/>
        <v>1117.24</v>
      </c>
      <c r="K170" s="281">
        <f t="shared" si="121"/>
        <v>1</v>
      </c>
      <c r="L170" s="276"/>
      <c r="M170" s="281"/>
      <c r="N170" s="279">
        <f t="shared" si="122"/>
        <v>1117.24</v>
      </c>
      <c r="O170" s="280">
        <f t="shared" si="123"/>
        <v>1</v>
      </c>
    </row>
    <row r="171" spans="1:15" s="62" customFormat="1" ht="27.6" x14ac:dyDescent="0.25">
      <c r="A171" s="154" t="str">
        <f>orcamento!A171</f>
        <v>15.9</v>
      </c>
      <c r="B171" s="272" t="str">
        <f>orcamento!D171</f>
        <v>POÇO DE VISITA TIPO E, 1,20x1,20x1,59m EM TIJOLO MACIÇO, SEM TAMPA (PV 07)</v>
      </c>
      <c r="C171" s="273">
        <f>orcamento!F171</f>
        <v>1</v>
      </c>
      <c r="D171" s="274" t="str">
        <f>orcamento!E171</f>
        <v>UN</v>
      </c>
      <c r="E171" s="275">
        <f>orcamento!K171</f>
        <v>1332.54</v>
      </c>
      <c r="F171" s="276"/>
      <c r="G171" s="281"/>
      <c r="H171" s="276"/>
      <c r="I171" s="281"/>
      <c r="J171" s="276">
        <f t="shared" si="120"/>
        <v>1332.54</v>
      </c>
      <c r="K171" s="281">
        <f t="shared" si="121"/>
        <v>1</v>
      </c>
      <c r="L171" s="276"/>
      <c r="M171" s="281"/>
      <c r="N171" s="279">
        <f t="shared" si="122"/>
        <v>1332.54</v>
      </c>
      <c r="O171" s="280">
        <f t="shared" si="123"/>
        <v>1</v>
      </c>
    </row>
    <row r="172" spans="1:15" s="62" customFormat="1" ht="41.4" x14ac:dyDescent="0.25">
      <c r="A172" s="154" t="str">
        <f>orcamento!A172</f>
        <v>15.10</v>
      </c>
      <c r="B172" s="272" t="str">
        <f>orcamento!D172</f>
        <v>TAMPA FOFO ARTICULADO, COM BASE / REQUADRO, CLASSE D400 CARGA MAX 40 T, REDONDO, Ø600 MM (COM INSCRICAO EM RELEVO DO TIPO DE REDE)</v>
      </c>
      <c r="C172" s="273">
        <f>orcamento!F172</f>
        <v>1</v>
      </c>
      <c r="D172" s="274" t="str">
        <f>orcamento!E172</f>
        <v>UN</v>
      </c>
      <c r="E172" s="275">
        <f>orcamento!K172</f>
        <v>845.8</v>
      </c>
      <c r="F172" s="276"/>
      <c r="G172" s="281"/>
      <c r="H172" s="276"/>
      <c r="I172" s="281"/>
      <c r="J172" s="276">
        <f t="shared" ref="J172:J173" si="124">ROUND($E172*K172,2)</f>
        <v>845.8</v>
      </c>
      <c r="K172" s="281">
        <f t="shared" si="121"/>
        <v>1</v>
      </c>
      <c r="L172" s="276"/>
      <c r="M172" s="281"/>
      <c r="N172" s="279">
        <f t="shared" ref="N172:N173" si="125">F172+H172+J172+L172</f>
        <v>845.8</v>
      </c>
      <c r="O172" s="280">
        <f t="shared" ref="O172:O173" si="126">G172+I172+K172+M172</f>
        <v>1</v>
      </c>
    </row>
    <row r="173" spans="1:15" s="62" customFormat="1" ht="27.6" x14ac:dyDescent="0.25">
      <c r="A173" s="154" t="str">
        <f>orcamento!A173</f>
        <v>15.11</v>
      </c>
      <c r="B173" s="272" t="str">
        <f>orcamento!D173</f>
        <v>TAMPA EM CONCRETO PRÉ-MOLDADO FCK = 30MPA PARA ESGOTO E DRENAGEM</v>
      </c>
      <c r="C173" s="273">
        <f>orcamento!F173</f>
        <v>1.22</v>
      </c>
      <c r="D173" s="274" t="str">
        <f>orcamento!E173</f>
        <v>M3</v>
      </c>
      <c r="E173" s="275">
        <f>orcamento!K173</f>
        <v>2987.0499999999997</v>
      </c>
      <c r="F173" s="276"/>
      <c r="G173" s="281"/>
      <c r="H173" s="276"/>
      <c r="I173" s="281"/>
      <c r="J173" s="276">
        <f t="shared" si="124"/>
        <v>3644.2</v>
      </c>
      <c r="K173" s="281">
        <f t="shared" si="121"/>
        <v>1.22</v>
      </c>
      <c r="L173" s="276"/>
      <c r="M173" s="281"/>
      <c r="N173" s="279">
        <f t="shared" si="125"/>
        <v>3644.2</v>
      </c>
      <c r="O173" s="280">
        <f t="shared" si="126"/>
        <v>1.22</v>
      </c>
    </row>
    <row r="174" spans="1:15" s="62" customFormat="1" ht="13.8" x14ac:dyDescent="0.25">
      <c r="A174" s="265">
        <f>orcamento!A174</f>
        <v>16</v>
      </c>
      <c r="B174" s="85" t="str">
        <f>orcamento!D174</f>
        <v>DRENAGEM - SERVIÇOS COMPLEMENTARES</v>
      </c>
      <c r="C174" s="266"/>
      <c r="D174" s="267"/>
      <c r="E174" s="268"/>
      <c r="F174" s="269"/>
      <c r="G174" s="270"/>
      <c r="H174" s="269"/>
      <c r="I174" s="270"/>
      <c r="J174" s="269"/>
      <c r="K174" s="269"/>
      <c r="L174" s="269"/>
      <c r="M174" s="269"/>
      <c r="N174" s="279"/>
      <c r="O174" s="280"/>
    </row>
    <row r="175" spans="1:15" s="62" customFormat="1" ht="13.8" x14ac:dyDescent="0.25">
      <c r="A175" s="154" t="str">
        <f>orcamento!A175</f>
        <v>16.1</v>
      </c>
      <c r="B175" s="272" t="str">
        <f>orcamento!D175</f>
        <v>ENVELOPAMENTO EM CONCRETO USINADO FCK = 20MPA</v>
      </c>
      <c r="C175" s="273">
        <f>orcamento!F175</f>
        <v>14.09</v>
      </c>
      <c r="D175" s="274" t="str">
        <f>orcamento!E175</f>
        <v>M3</v>
      </c>
      <c r="E175" s="275">
        <f>orcamento!K175</f>
        <v>1026.3100000000002</v>
      </c>
      <c r="F175" s="276"/>
      <c r="G175" s="281"/>
      <c r="H175" s="276"/>
      <c r="I175" s="281"/>
      <c r="J175" s="276">
        <f t="shared" ref="J175" si="127">ROUND($E175*K175,2)</f>
        <v>7230.35</v>
      </c>
      <c r="K175" s="281">
        <f>C175/2</f>
        <v>7.0449999999999999</v>
      </c>
      <c r="L175" s="276">
        <f t="shared" ref="L175:L187" si="128">ROUND(C175*E175-(F175+H175+J175),2)</f>
        <v>7230.36</v>
      </c>
      <c r="M175" s="281">
        <f>K175</f>
        <v>7.0449999999999999</v>
      </c>
      <c r="N175" s="279">
        <f t="shared" ref="N175" si="129">F175+H175+J175+L175</f>
        <v>14460.71</v>
      </c>
      <c r="O175" s="280">
        <f t="shared" ref="O175" si="130">G175+I175+K175+M175</f>
        <v>14.09</v>
      </c>
    </row>
    <row r="176" spans="1:15" s="62" customFormat="1" ht="13.8" x14ac:dyDescent="0.25">
      <c r="A176" s="154" t="str">
        <f>orcamento!A176</f>
        <v>16.2</v>
      </c>
      <c r="B176" s="272" t="str">
        <f>orcamento!D176</f>
        <v>CONCRETO ARMADO PARA ALA DE DRENAGEM, INCLUSO FORMA</v>
      </c>
      <c r="C176" s="273">
        <f>orcamento!F176</f>
        <v>0.57999999999999996</v>
      </c>
      <c r="D176" s="274" t="str">
        <f>orcamento!E176</f>
        <v>M3</v>
      </c>
      <c r="E176" s="275">
        <f>orcamento!K176</f>
        <v>3287.49</v>
      </c>
      <c r="F176" s="276"/>
      <c r="G176" s="281"/>
      <c r="H176" s="276"/>
      <c r="I176" s="281"/>
      <c r="J176" s="276">
        <f t="shared" ref="J176" si="131">ROUND($E176*K176,2)</f>
        <v>953.37</v>
      </c>
      <c r="K176" s="281">
        <f t="shared" ref="K176:K187" si="132">C176/2</f>
        <v>0.28999999999999998</v>
      </c>
      <c r="L176" s="276">
        <f t="shared" si="128"/>
        <v>953.37</v>
      </c>
      <c r="M176" s="281">
        <f t="shared" ref="M176" si="133">K176</f>
        <v>0.28999999999999998</v>
      </c>
      <c r="N176" s="279">
        <f t="shared" ref="N176" si="134">F176+H176+J176+L176</f>
        <v>1906.74</v>
      </c>
      <c r="O176" s="280">
        <f t="shared" ref="O176" si="135">G176+I176+K176+M176</f>
        <v>0.57999999999999996</v>
      </c>
    </row>
    <row r="177" spans="1:15" s="62" customFormat="1" ht="13.8" x14ac:dyDescent="0.25">
      <c r="A177" s="154" t="str">
        <f>orcamento!A177</f>
        <v>16.3</v>
      </c>
      <c r="B177" s="272" t="str">
        <f>orcamento!D177</f>
        <v>ALVENARIA DE PEDRA GRANITICA, E=25CM</v>
      </c>
      <c r="C177" s="273">
        <f>orcamento!F177</f>
        <v>2.78</v>
      </c>
      <c r="D177" s="274" t="str">
        <f>orcamento!E177</f>
        <v>M2</v>
      </c>
      <c r="E177" s="275">
        <f>orcamento!K177</f>
        <v>131.04</v>
      </c>
      <c r="F177" s="276"/>
      <c r="G177" s="281"/>
      <c r="H177" s="276"/>
      <c r="I177" s="281"/>
      <c r="J177" s="276">
        <f t="shared" ref="J177:J187" si="136">ROUND($E177*K177,2)</f>
        <v>182.15</v>
      </c>
      <c r="K177" s="281">
        <f t="shared" si="132"/>
        <v>1.39</v>
      </c>
      <c r="L177" s="276">
        <f t="shared" si="128"/>
        <v>182.14</v>
      </c>
      <c r="M177" s="281">
        <f t="shared" ref="M177:M187" si="137">K177</f>
        <v>1.39</v>
      </c>
      <c r="N177" s="279">
        <f t="shared" ref="N177:N187" si="138">F177+H177+J177+L177</f>
        <v>364.28999999999996</v>
      </c>
      <c r="O177" s="280">
        <f t="shared" ref="O177:O187" si="139">G177+I177+K177+M177</f>
        <v>2.78</v>
      </c>
    </row>
    <row r="178" spans="1:15" s="62" customFormat="1" ht="41.4" x14ac:dyDescent="0.25">
      <c r="A178" s="154" t="str">
        <f>orcamento!A178</f>
        <v>16.4</v>
      </c>
      <c r="B178" s="272" t="str">
        <f>orcamento!D178</f>
        <v>CONSTRUÇÃO DE BASE E SUB-BASE PARA PAVIMENTAÇÃO DE RACHÃO, COM ESPESSURA DE 30 CM - EXCLUSIVE CARGA E TRANSPORTE. AF_09/2024</v>
      </c>
      <c r="C178" s="273">
        <f>orcamento!F178</f>
        <v>47.58</v>
      </c>
      <c r="D178" s="274" t="str">
        <f>orcamento!E178</f>
        <v>M3</v>
      </c>
      <c r="E178" s="275">
        <f>orcamento!K178</f>
        <v>154.91</v>
      </c>
      <c r="F178" s="276"/>
      <c r="G178" s="281"/>
      <c r="H178" s="276"/>
      <c r="I178" s="281"/>
      <c r="J178" s="276">
        <f t="shared" si="136"/>
        <v>3685.31</v>
      </c>
      <c r="K178" s="281">
        <f t="shared" si="132"/>
        <v>23.79</v>
      </c>
      <c r="L178" s="276">
        <f t="shared" si="128"/>
        <v>3685.31</v>
      </c>
      <c r="M178" s="281">
        <f t="shared" si="137"/>
        <v>23.79</v>
      </c>
      <c r="N178" s="279">
        <f t="shared" si="138"/>
        <v>7370.62</v>
      </c>
      <c r="O178" s="280">
        <f t="shared" si="139"/>
        <v>47.58</v>
      </c>
    </row>
    <row r="179" spans="1:15" s="62" customFormat="1" ht="41.4" x14ac:dyDescent="0.25">
      <c r="A179" s="154" t="str">
        <f>orcamento!A179</f>
        <v>16.5</v>
      </c>
      <c r="B179" s="272" t="str">
        <f>orcamento!D179</f>
        <v>CONSTRUÇÃO DE BASE E SUB-BASE PARA PAVIMENTAÇÃO DE BRITA GRADUADA SIMPLES, COM ESPESSURA DE 20 CM - EXCLUSIVE CARGA E TRANSPORTE. AF_09/2024</v>
      </c>
      <c r="C179" s="273">
        <f>orcamento!F179</f>
        <v>47.58</v>
      </c>
      <c r="D179" s="274" t="str">
        <f>orcamento!E179</f>
        <v>M3</v>
      </c>
      <c r="E179" s="275">
        <f>orcamento!K179</f>
        <v>221.79</v>
      </c>
      <c r="F179" s="276"/>
      <c r="G179" s="281"/>
      <c r="H179" s="276"/>
      <c r="I179" s="281"/>
      <c r="J179" s="276">
        <f t="shared" si="136"/>
        <v>5276.38</v>
      </c>
      <c r="K179" s="281">
        <f t="shared" si="132"/>
        <v>23.79</v>
      </c>
      <c r="L179" s="276">
        <f t="shared" si="128"/>
        <v>5276.39</v>
      </c>
      <c r="M179" s="281">
        <f t="shared" si="137"/>
        <v>23.79</v>
      </c>
      <c r="N179" s="279">
        <f t="shared" si="138"/>
        <v>10552.77</v>
      </c>
      <c r="O179" s="280">
        <f t="shared" si="139"/>
        <v>47.58</v>
      </c>
    </row>
    <row r="180" spans="1:15" s="62" customFormat="1" ht="13.8" x14ac:dyDescent="0.25">
      <c r="A180" s="154" t="str">
        <f>orcamento!A180</f>
        <v>16.6</v>
      </c>
      <c r="B180" s="272" t="str">
        <f>orcamento!D180</f>
        <v>IMPRIMAÇÃO ASFÁLTICA - FORNECIMENTO</v>
      </c>
      <c r="C180" s="273">
        <f>orcamento!F180</f>
        <v>0.38</v>
      </c>
      <c r="D180" s="274" t="str">
        <f>orcamento!E180</f>
        <v>T</v>
      </c>
      <c r="E180" s="275">
        <f>orcamento!K180</f>
        <v>5076.9800000000005</v>
      </c>
      <c r="F180" s="276"/>
      <c r="G180" s="281"/>
      <c r="H180" s="276"/>
      <c r="I180" s="281"/>
      <c r="J180" s="276">
        <f t="shared" si="136"/>
        <v>964.63</v>
      </c>
      <c r="K180" s="281">
        <f t="shared" si="132"/>
        <v>0.19</v>
      </c>
      <c r="L180" s="276">
        <f t="shared" si="128"/>
        <v>964.62</v>
      </c>
      <c r="M180" s="281">
        <f t="shared" si="137"/>
        <v>0.19</v>
      </c>
      <c r="N180" s="279">
        <f t="shared" si="138"/>
        <v>1929.25</v>
      </c>
      <c r="O180" s="280">
        <f t="shared" si="139"/>
        <v>0.38</v>
      </c>
    </row>
    <row r="181" spans="1:15" s="62" customFormat="1" ht="13.8" x14ac:dyDescent="0.25">
      <c r="A181" s="154" t="str">
        <f>orcamento!A181</f>
        <v>16.7</v>
      </c>
      <c r="B181" s="272" t="str">
        <f>orcamento!D181</f>
        <v>IMPRIMAÇÃO ASFALTICA - TRANSPORTE</v>
      </c>
      <c r="C181" s="273">
        <f>orcamento!F181</f>
        <v>0.38</v>
      </c>
      <c r="D181" s="274" t="str">
        <f>orcamento!E181</f>
        <v>T</v>
      </c>
      <c r="E181" s="275">
        <f>orcamento!K181</f>
        <v>123.69999999999999</v>
      </c>
      <c r="F181" s="276"/>
      <c r="G181" s="281"/>
      <c r="H181" s="276"/>
      <c r="I181" s="281"/>
      <c r="J181" s="276">
        <f t="shared" si="136"/>
        <v>23.5</v>
      </c>
      <c r="K181" s="281">
        <f t="shared" si="132"/>
        <v>0.19</v>
      </c>
      <c r="L181" s="276">
        <f t="shared" si="128"/>
        <v>23.51</v>
      </c>
      <c r="M181" s="281">
        <f t="shared" si="137"/>
        <v>0.19</v>
      </c>
      <c r="N181" s="279">
        <f t="shared" si="138"/>
        <v>47.010000000000005</v>
      </c>
      <c r="O181" s="280">
        <f t="shared" si="139"/>
        <v>0.38</v>
      </c>
    </row>
    <row r="182" spans="1:15" s="62" customFormat="1" ht="13.8" x14ac:dyDescent="0.25">
      <c r="A182" s="154" t="str">
        <f>orcamento!A182</f>
        <v>16.8</v>
      </c>
      <c r="B182" s="272" t="str">
        <f>orcamento!D182</f>
        <v>IMPRIMAÇÃO ASFÁLTICA - APLICAÇÃO</v>
      </c>
      <c r="C182" s="273">
        <f>orcamento!F182</f>
        <v>317.17</v>
      </c>
      <c r="D182" s="274" t="str">
        <f>orcamento!E182</f>
        <v>M2</v>
      </c>
      <c r="E182" s="275">
        <f>orcamento!K182</f>
        <v>1.61</v>
      </c>
      <c r="F182" s="276"/>
      <c r="G182" s="281"/>
      <c r="H182" s="276"/>
      <c r="I182" s="281"/>
      <c r="J182" s="276">
        <f t="shared" si="136"/>
        <v>255.32</v>
      </c>
      <c r="K182" s="281">
        <f t="shared" si="132"/>
        <v>158.58500000000001</v>
      </c>
      <c r="L182" s="276">
        <f t="shared" si="128"/>
        <v>255.32</v>
      </c>
      <c r="M182" s="281">
        <f t="shared" si="137"/>
        <v>158.58500000000001</v>
      </c>
      <c r="N182" s="279">
        <f t="shared" si="138"/>
        <v>510.64</v>
      </c>
      <c r="O182" s="280">
        <f t="shared" si="139"/>
        <v>317.17</v>
      </c>
    </row>
    <row r="183" spans="1:15" s="62" customFormat="1" ht="41.4" x14ac:dyDescent="0.25">
      <c r="A183" s="154" t="str">
        <f>orcamento!A183</f>
        <v>16.9</v>
      </c>
      <c r="B183" s="272" t="str">
        <f>orcamento!D183</f>
        <v>USINAGEM CBUQ, INCLUSO FORNECIMENTO DE CONCRETO ASFALTICO (EXCETO CAP) E TRANSPORTE DA JAZIDA ATE PAVIMENTADORA, EXCLUSIVE TRANSPORTE ATE OBRA</v>
      </c>
      <c r="C183" s="273">
        <f>orcamento!F183</f>
        <v>35.9</v>
      </c>
      <c r="D183" s="274" t="str">
        <f>orcamento!E183</f>
        <v>T</v>
      </c>
      <c r="E183" s="275">
        <f>orcamento!K183</f>
        <v>307.23</v>
      </c>
      <c r="F183" s="276"/>
      <c r="G183" s="281"/>
      <c r="H183" s="276"/>
      <c r="I183" s="281"/>
      <c r="J183" s="276">
        <f t="shared" si="136"/>
        <v>5514.78</v>
      </c>
      <c r="K183" s="281">
        <f t="shared" si="132"/>
        <v>17.95</v>
      </c>
      <c r="L183" s="276">
        <f t="shared" si="128"/>
        <v>5514.78</v>
      </c>
      <c r="M183" s="281">
        <f t="shared" si="137"/>
        <v>17.95</v>
      </c>
      <c r="N183" s="279">
        <f t="shared" si="138"/>
        <v>11029.56</v>
      </c>
      <c r="O183" s="280">
        <f t="shared" si="139"/>
        <v>35.9</v>
      </c>
    </row>
    <row r="184" spans="1:15" s="62" customFormat="1" ht="27.6" x14ac:dyDescent="0.25">
      <c r="A184" s="154" t="str">
        <f>orcamento!A184</f>
        <v>16.10</v>
      </c>
      <c r="B184" s="272" t="str">
        <f>orcamento!D184</f>
        <v>FORNECIMENTO DE CAP PARA PAVIMENTO DE CONCRETO ASFÁLTICO, INCLUSIVE TRANSPORTE ATE PAVIMENTADORA</v>
      </c>
      <c r="C184" s="273">
        <f>orcamento!F184</f>
        <v>2.15</v>
      </c>
      <c r="D184" s="274" t="str">
        <f>orcamento!E184</f>
        <v>T</v>
      </c>
      <c r="E184" s="275">
        <f>orcamento!K184</f>
        <v>7434.92</v>
      </c>
      <c r="F184" s="276"/>
      <c r="G184" s="281"/>
      <c r="H184" s="276"/>
      <c r="I184" s="281"/>
      <c r="J184" s="276">
        <f t="shared" si="136"/>
        <v>7992.54</v>
      </c>
      <c r="K184" s="281">
        <f t="shared" si="132"/>
        <v>1.075</v>
      </c>
      <c r="L184" s="276">
        <f t="shared" si="128"/>
        <v>7992.54</v>
      </c>
      <c r="M184" s="281">
        <f t="shared" si="137"/>
        <v>1.075</v>
      </c>
      <c r="N184" s="279">
        <f t="shared" si="138"/>
        <v>15985.08</v>
      </c>
      <c r="O184" s="280">
        <f t="shared" si="139"/>
        <v>2.15</v>
      </c>
    </row>
    <row r="185" spans="1:15" s="62" customFormat="1" ht="41.25" customHeight="1" x14ac:dyDescent="0.25">
      <c r="A185" s="154" t="str">
        <f>orcamento!A185</f>
        <v>16.11</v>
      </c>
      <c r="B185" s="272" t="str">
        <f>orcamento!D185</f>
        <v>EXECUÇÃO DE PAVIMENTO COM APLICAÇÃO DE CONCRETO ASFÁLTICO, CAMADA DE ROLAMENTO, EXCLUSIVE CARGA E TRANSPORTE</v>
      </c>
      <c r="C185" s="273">
        <f>orcamento!F185</f>
        <v>15.86</v>
      </c>
      <c r="D185" s="274" t="str">
        <f>orcamento!E185</f>
        <v>M3</v>
      </c>
      <c r="E185" s="275">
        <f>orcamento!K185</f>
        <v>163.09</v>
      </c>
      <c r="F185" s="276"/>
      <c r="G185" s="281"/>
      <c r="H185" s="276"/>
      <c r="I185" s="281"/>
      <c r="J185" s="276">
        <f t="shared" si="136"/>
        <v>1293.3</v>
      </c>
      <c r="K185" s="281">
        <f t="shared" si="132"/>
        <v>7.93</v>
      </c>
      <c r="L185" s="276">
        <f t="shared" si="128"/>
        <v>1293.31</v>
      </c>
      <c r="M185" s="281">
        <f t="shared" si="137"/>
        <v>7.93</v>
      </c>
      <c r="N185" s="279">
        <f t="shared" si="138"/>
        <v>2586.6099999999997</v>
      </c>
      <c r="O185" s="280">
        <f t="shared" si="139"/>
        <v>15.86</v>
      </c>
    </row>
    <row r="186" spans="1:15" s="62" customFormat="1" ht="55.2" x14ac:dyDescent="0.25">
      <c r="A186" s="154" t="str">
        <f>orcamento!A186</f>
        <v>16.12</v>
      </c>
      <c r="B186" s="272" t="str">
        <f>orcamento!D186</f>
        <v>CARGA, MANOBRA E DESCARGA DE SOLOS E MATERIAIS GRANULARES EM CAMINHÃO BASCULANTE 10 M³ - CARGA COM ESCAVADEIRA HIDRÁULICA (CAÇAMBA DE 1,20 M³ / 155 HP) E DESCARGA LIVRE (UNIDADE: M3). AF_02/2026</v>
      </c>
      <c r="C186" s="273">
        <f>orcamento!F186</f>
        <v>158.6</v>
      </c>
      <c r="D186" s="274" t="str">
        <f>orcamento!E186</f>
        <v>M3</v>
      </c>
      <c r="E186" s="275">
        <f>orcamento!K186</f>
        <v>9.2200000000000006</v>
      </c>
      <c r="F186" s="276"/>
      <c r="G186" s="281"/>
      <c r="H186" s="276"/>
      <c r="I186" s="281"/>
      <c r="J186" s="276">
        <f t="shared" ref="J186" si="140">ROUND($E186*K186,2)</f>
        <v>731.15</v>
      </c>
      <c r="K186" s="281">
        <f t="shared" ref="K186" si="141">C186/2</f>
        <v>79.3</v>
      </c>
      <c r="L186" s="276">
        <f t="shared" si="128"/>
        <v>731.14</v>
      </c>
      <c r="M186" s="281">
        <f t="shared" ref="M186" si="142">K186</f>
        <v>79.3</v>
      </c>
      <c r="N186" s="279">
        <f t="shared" ref="N186" si="143">F186+H186+J186+L186</f>
        <v>1462.29</v>
      </c>
      <c r="O186" s="280">
        <f t="shared" ref="O186" si="144">G186+I186+K186+M186</f>
        <v>158.6</v>
      </c>
    </row>
    <row r="187" spans="1:15" s="62" customFormat="1" ht="27.6" x14ac:dyDescent="0.25">
      <c r="A187" s="154" t="str">
        <f>orcamento!A187</f>
        <v>16.13</v>
      </c>
      <c r="B187" s="272" t="str">
        <f>orcamento!D187</f>
        <v>TRANSPORTE COM CAMINHÃO BASCULANTE DE 10 M³, EM VIA URBANA PAVIMENTADA, DMT ATÉ 30 KM (UNIDADE: M3XKM). AF_02/2026</v>
      </c>
      <c r="C187" s="273">
        <f>orcamento!F187</f>
        <v>1046.76</v>
      </c>
      <c r="D187" s="274" t="str">
        <f>orcamento!E187</f>
        <v>M3XKM</v>
      </c>
      <c r="E187" s="275">
        <f>orcamento!K187</f>
        <v>3.52</v>
      </c>
      <c r="F187" s="276"/>
      <c r="G187" s="281"/>
      <c r="H187" s="276"/>
      <c r="I187" s="281"/>
      <c r="J187" s="276">
        <f t="shared" si="136"/>
        <v>1842.3</v>
      </c>
      <c r="K187" s="281">
        <f t="shared" si="132"/>
        <v>523.38</v>
      </c>
      <c r="L187" s="276">
        <f t="shared" si="128"/>
        <v>1842.3</v>
      </c>
      <c r="M187" s="281">
        <f t="shared" si="137"/>
        <v>523.38</v>
      </c>
      <c r="N187" s="279">
        <f t="shared" si="138"/>
        <v>3684.6</v>
      </c>
      <c r="O187" s="280">
        <f t="shared" si="139"/>
        <v>1046.76</v>
      </c>
    </row>
    <row r="188" spans="1:15" s="62" customFormat="1" ht="13.8" x14ac:dyDescent="0.25">
      <c r="A188" s="265">
        <f>orcamento!A188</f>
        <v>17</v>
      </c>
      <c r="B188" s="85" t="str">
        <f>orcamento!D188</f>
        <v>SERVIÇOS FINAIS E DESMOBILIZAÇÃO</v>
      </c>
      <c r="C188" s="266"/>
      <c r="D188" s="267"/>
      <c r="E188" s="268"/>
      <c r="F188" s="269"/>
      <c r="G188" s="270"/>
      <c r="H188" s="269"/>
      <c r="I188" s="270"/>
      <c r="J188" s="269"/>
      <c r="K188" s="270"/>
      <c r="L188" s="269"/>
      <c r="M188" s="270"/>
      <c r="N188" s="279"/>
      <c r="O188" s="280"/>
    </row>
    <row r="189" spans="1:15" s="62" customFormat="1" ht="13.8" x14ac:dyDescent="0.25">
      <c r="A189" s="154" t="str">
        <f>orcamento!A189</f>
        <v>17.1</v>
      </c>
      <c r="B189" s="272" t="str">
        <f>orcamento!D189</f>
        <v>LIMPEZA FINAL DE PAVIMENTOS</v>
      </c>
      <c r="C189" s="273">
        <f>orcamento!F189</f>
        <v>1320.07</v>
      </c>
      <c r="D189" s="274" t="str">
        <f>orcamento!E189</f>
        <v>M2</v>
      </c>
      <c r="E189" s="275">
        <f>orcamento!K189</f>
        <v>0.88</v>
      </c>
      <c r="F189" s="276"/>
      <c r="G189" s="281"/>
      <c r="H189" s="276"/>
      <c r="I189" s="281"/>
      <c r="J189" s="282"/>
      <c r="K189" s="281"/>
      <c r="L189" s="276">
        <f t="shared" ref="L189:L192" si="145">ROUND($E189*M189,2)</f>
        <v>1161.6600000000001</v>
      </c>
      <c r="M189" s="648">
        <f t="shared" ref="M189" si="146">C189</f>
        <v>1320.07</v>
      </c>
      <c r="N189" s="279">
        <f t="shared" ref="N189:N192" si="147">F189+H189+J189+L189</f>
        <v>1161.6600000000001</v>
      </c>
      <c r="O189" s="280">
        <f t="shared" ref="O189:O192" si="148">G189+I189+K189+M189</f>
        <v>1320.07</v>
      </c>
    </row>
    <row r="190" spans="1:15" s="62" customFormat="1" ht="13.8" x14ac:dyDescent="0.25">
      <c r="A190" s="154" t="str">
        <f>orcamento!A190</f>
        <v>17.2</v>
      </c>
      <c r="B190" s="272" t="str">
        <f>orcamento!D190</f>
        <v>DESMOBILIZAÇÃO EQUIPAMENTOS AUTOPROPELIDOS E LEVES</v>
      </c>
      <c r="C190" s="273">
        <f>orcamento!F190</f>
        <v>1</v>
      </c>
      <c r="D190" s="274" t="str">
        <f>orcamento!E190</f>
        <v>UN</v>
      </c>
      <c r="E190" s="275">
        <f>orcamento!K190</f>
        <v>4261.45</v>
      </c>
      <c r="F190" s="276"/>
      <c r="G190" s="281"/>
      <c r="H190" s="276"/>
      <c r="I190" s="281"/>
      <c r="J190" s="282"/>
      <c r="K190" s="281"/>
      <c r="L190" s="276">
        <f t="shared" si="145"/>
        <v>4261.45</v>
      </c>
      <c r="M190" s="648">
        <f>C190</f>
        <v>1</v>
      </c>
      <c r="N190" s="279">
        <f t="shared" si="147"/>
        <v>4261.45</v>
      </c>
      <c r="O190" s="280">
        <f t="shared" si="148"/>
        <v>1</v>
      </c>
    </row>
    <row r="191" spans="1:15" s="62" customFormat="1" ht="13.8" x14ac:dyDescent="0.25">
      <c r="A191" s="154" t="str">
        <f>orcamento!A191</f>
        <v>17.3</v>
      </c>
      <c r="B191" s="272" t="str">
        <f>orcamento!D191</f>
        <v>FRETE CONTAINER</v>
      </c>
      <c r="C191" s="273">
        <f>orcamento!F191</f>
        <v>2</v>
      </c>
      <c r="D191" s="274" t="str">
        <f>orcamento!E191</f>
        <v>UN</v>
      </c>
      <c r="E191" s="275">
        <f>orcamento!K191</f>
        <v>780.95</v>
      </c>
      <c r="F191" s="276"/>
      <c r="G191" s="281"/>
      <c r="H191" s="276"/>
      <c r="I191" s="281"/>
      <c r="J191" s="282"/>
      <c r="K191" s="281"/>
      <c r="L191" s="276">
        <f t="shared" si="145"/>
        <v>1561.9</v>
      </c>
      <c r="M191" s="648">
        <f t="shared" ref="M191:M192" si="149">C191</f>
        <v>2</v>
      </c>
      <c r="N191" s="279">
        <f t="shared" ref="N191" si="150">F191+H191+J191+L191</f>
        <v>1561.9</v>
      </c>
      <c r="O191" s="280">
        <f t="shared" ref="O191" si="151">G191+I191+K191+M191</f>
        <v>2</v>
      </c>
    </row>
    <row r="192" spans="1:15" s="62" customFormat="1" ht="13.8" x14ac:dyDescent="0.25">
      <c r="A192" s="154" t="str">
        <f>orcamento!A192</f>
        <v>17.4</v>
      </c>
      <c r="B192" s="272" t="str">
        <f>orcamento!D192</f>
        <v>DESMONTAGEM DO CANTEIRO</v>
      </c>
      <c r="C192" s="273">
        <f>orcamento!F192</f>
        <v>1</v>
      </c>
      <c r="D192" s="274" t="str">
        <f>orcamento!E192</f>
        <v>UN</v>
      </c>
      <c r="E192" s="275">
        <f>orcamento!K192</f>
        <v>2052.08</v>
      </c>
      <c r="F192" s="276"/>
      <c r="G192" s="281"/>
      <c r="H192" s="276"/>
      <c r="I192" s="281"/>
      <c r="J192" s="282"/>
      <c r="K192" s="281"/>
      <c r="L192" s="276">
        <f t="shared" si="145"/>
        <v>2052.08</v>
      </c>
      <c r="M192" s="648">
        <f t="shared" si="149"/>
        <v>1</v>
      </c>
      <c r="N192" s="279">
        <f t="shared" si="147"/>
        <v>2052.08</v>
      </c>
      <c r="O192" s="280">
        <f t="shared" si="148"/>
        <v>1</v>
      </c>
    </row>
    <row r="193" spans="2:15" x14ac:dyDescent="0.3">
      <c r="B193" s="285" t="s">
        <v>249</v>
      </c>
      <c r="C193" s="286"/>
      <c r="D193" s="287"/>
      <c r="E193" s="288"/>
      <c r="F193" s="745">
        <f>SUM(F11:F192)</f>
        <v>77493.689999999988</v>
      </c>
      <c r="G193" s="745"/>
      <c r="H193" s="745">
        <f>SUM(H11:H192)</f>
        <v>18481.990000000002</v>
      </c>
      <c r="I193" s="745"/>
      <c r="J193" s="745">
        <f>SUM(J11:J192)</f>
        <v>377299.69000000012</v>
      </c>
      <c r="K193" s="745"/>
      <c r="L193" s="745">
        <f>SUM(L11:L192)</f>
        <v>351586.18000000017</v>
      </c>
      <c r="M193" s="745"/>
      <c r="N193" s="745">
        <f>SUM(N10:N192)</f>
        <v>824861.5500000004</v>
      </c>
      <c r="O193" s="745"/>
    </row>
    <row r="194" spans="2:15" x14ac:dyDescent="0.3">
      <c r="B194" s="289"/>
      <c r="C194" s="290"/>
      <c r="D194" s="291"/>
      <c r="E194" s="292"/>
      <c r="F194" s="744">
        <f>F193/$N$193</f>
        <v>9.3947511555120919E-2</v>
      </c>
      <c r="G194" s="744"/>
      <c r="H194" s="744">
        <f>H193/$N$193</f>
        <v>2.2406172284306369E-2</v>
      </c>
      <c r="I194" s="744"/>
      <c r="J194" s="744">
        <f>J193/$N$193</f>
        <v>0.45740971924318685</v>
      </c>
      <c r="K194" s="744"/>
      <c r="L194" s="744">
        <f>L193/$N$193</f>
        <v>0.42623659691738569</v>
      </c>
      <c r="M194" s="744"/>
    </row>
    <row r="195" spans="2:15" x14ac:dyDescent="0.3">
      <c r="B195" s="285" t="s">
        <v>250</v>
      </c>
      <c r="C195" s="286"/>
      <c r="D195" s="287"/>
      <c r="E195" s="288"/>
      <c r="F195" s="745">
        <f>F193</f>
        <v>77493.689999999988</v>
      </c>
      <c r="G195" s="745"/>
      <c r="H195" s="745">
        <f>H193+F195</f>
        <v>95975.679999999993</v>
      </c>
      <c r="I195" s="745"/>
      <c r="J195" s="745">
        <f>J193+H195</f>
        <v>473275.37000000011</v>
      </c>
      <c r="K195" s="745"/>
      <c r="L195" s="745">
        <f>L193+J195</f>
        <v>824861.55000000028</v>
      </c>
      <c r="M195" s="745"/>
    </row>
    <row r="196" spans="2:15" x14ac:dyDescent="0.3">
      <c r="B196" s="289"/>
      <c r="C196" s="290"/>
      <c r="D196" s="291"/>
      <c r="E196" s="292"/>
      <c r="F196" s="744">
        <f>F195/$N$193</f>
        <v>9.3947511555120919E-2</v>
      </c>
      <c r="G196" s="744"/>
      <c r="H196" s="744">
        <f>H195/$N$193</f>
        <v>0.11635368383942729</v>
      </c>
      <c r="I196" s="744"/>
      <c r="J196" s="744">
        <f>J195/$N$193</f>
        <v>0.5737634030826142</v>
      </c>
      <c r="K196" s="744"/>
      <c r="L196" s="744">
        <f>L195/$N$193</f>
        <v>0.99999999999999989</v>
      </c>
      <c r="M196" s="744"/>
    </row>
  </sheetData>
  <mergeCells count="17">
    <mergeCell ref="N193:O193"/>
    <mergeCell ref="F194:G194"/>
    <mergeCell ref="H194:I194"/>
    <mergeCell ref="J194:K194"/>
    <mergeCell ref="L194:M194"/>
    <mergeCell ref="F193:G193"/>
    <mergeCell ref="H193:I193"/>
    <mergeCell ref="J193:K193"/>
    <mergeCell ref="L193:M193"/>
    <mergeCell ref="F196:G196"/>
    <mergeCell ref="H196:I196"/>
    <mergeCell ref="J196:K196"/>
    <mergeCell ref="L196:M196"/>
    <mergeCell ref="F195:G195"/>
    <mergeCell ref="H195:I195"/>
    <mergeCell ref="J195:K195"/>
    <mergeCell ref="L195:M195"/>
  </mergeCells>
  <pageMargins left="0.51180555555555596" right="0.51180555555555596" top="0.78749999999999998" bottom="0.78749999999999998" header="0.511811023622047" footer="0.511811023622047"/>
  <pageSetup paperSize="9" fitToWidth="2" fitToHeight="6" orientation="portrait"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G141"/>
  <sheetViews>
    <sheetView showGridLines="0" zoomScale="85" zoomScaleNormal="85" workbookViewId="0">
      <selection activeCell="F14" sqref="F14"/>
    </sheetView>
  </sheetViews>
  <sheetFormatPr defaultColWidth="9.109375" defaultRowHeight="14.4" x14ac:dyDescent="0.3"/>
  <cols>
    <col min="1" max="1" width="139.33203125" customWidth="1"/>
    <col min="2" max="2" width="19.6640625" style="225" bestFit="1" customWidth="1"/>
    <col min="3" max="3" width="19.109375" customWidth="1"/>
    <col min="4" max="4" width="17.44140625" customWidth="1"/>
  </cols>
  <sheetData>
    <row r="1" spans="1:7" s="293" customFormat="1" ht="21" x14ac:dyDescent="0.3">
      <c r="A1" s="27" t="s">
        <v>16</v>
      </c>
      <c r="B1" s="28"/>
      <c r="C1" s="28"/>
      <c r="D1" s="185"/>
      <c r="E1"/>
      <c r="F1"/>
      <c r="G1"/>
    </row>
    <row r="2" spans="1:7" s="293" customFormat="1" ht="17.399999999999999" x14ac:dyDescent="0.3">
      <c r="A2" s="34" t="s">
        <v>2</v>
      </c>
      <c r="B2" s="35"/>
      <c r="C2" s="35"/>
      <c r="D2" s="186"/>
      <c r="E2"/>
      <c r="F2"/>
      <c r="G2"/>
    </row>
    <row r="3" spans="1:7" s="293" customFormat="1" x14ac:dyDescent="0.3">
      <c r="A3" s="294" t="str">
        <f>orcamento!D3</f>
        <v>Objeto: Execução de Obras de Pavimentação e Redes de Drenagem na Rua Giruá</v>
      </c>
      <c r="B3" s="44"/>
      <c r="C3" s="44"/>
      <c r="D3" s="187"/>
      <c r="E3"/>
      <c r="F3"/>
      <c r="G3"/>
    </row>
    <row r="4" spans="1:7" s="293" customFormat="1" x14ac:dyDescent="0.3">
      <c r="A4" s="294" t="str">
        <f>orcamento!D4</f>
        <v>Endereço: Rua Giruá, Vila Panorama, Lomba Pinheiro, Porto Alegre, RS</v>
      </c>
      <c r="B4" s="44"/>
      <c r="C4" s="44"/>
      <c r="D4" s="187"/>
      <c r="E4"/>
      <c r="F4"/>
      <c r="G4"/>
    </row>
    <row r="5" spans="1:7" s="293" customFormat="1" x14ac:dyDescent="0.3">
      <c r="A5" s="40"/>
      <c r="B5" s="44"/>
      <c r="C5" s="44"/>
      <c r="D5" s="187"/>
      <c r="E5"/>
      <c r="F5"/>
      <c r="G5"/>
    </row>
    <row r="6" spans="1:7" s="7" customFormat="1" ht="17.399999999999999" x14ac:dyDescent="0.3">
      <c r="A6" s="51" t="s">
        <v>251</v>
      </c>
      <c r="B6" s="50"/>
      <c r="C6" s="50"/>
      <c r="D6" s="189"/>
      <c r="E6"/>
      <c r="F6"/>
      <c r="G6"/>
    </row>
    <row r="7" spans="1:7" s="62" customFormat="1" x14ac:dyDescent="0.3">
      <c r="A7" s="56"/>
      <c r="B7" s="58"/>
      <c r="C7" s="58"/>
      <c r="D7" s="190"/>
      <c r="E7"/>
      <c r="F7"/>
      <c r="G7"/>
    </row>
    <row r="8" spans="1:7" s="127" customFormat="1" ht="13.8" x14ac:dyDescent="0.25">
      <c r="A8" s="73" t="s">
        <v>252</v>
      </c>
      <c r="B8" s="295" t="s">
        <v>253</v>
      </c>
      <c r="C8" s="72" t="s">
        <v>254</v>
      </c>
      <c r="D8" s="72" t="s">
        <v>255</v>
      </c>
      <c r="E8" s="62"/>
      <c r="F8" s="62"/>
      <c r="G8" s="62"/>
    </row>
    <row r="9" spans="1:7" s="127" customFormat="1" x14ac:dyDescent="0.3">
      <c r="A9" s="296" t="s">
        <v>135</v>
      </c>
      <c r="B9" s="297">
        <v>159651.45000000001</v>
      </c>
      <c r="C9" s="298">
        <f t="shared" ref="C9:C41" si="0">B9/$B$138</f>
        <v>0.19354939019766415</v>
      </c>
      <c r="D9" s="299">
        <f>C9</f>
        <v>0.19354939019766415</v>
      </c>
    </row>
    <row r="10" spans="1:7" s="127" customFormat="1" ht="27.6" x14ac:dyDescent="0.3">
      <c r="A10" s="296" t="s">
        <v>16418</v>
      </c>
      <c r="B10" s="297">
        <v>66859.09</v>
      </c>
      <c r="C10" s="298">
        <f t="shared" si="0"/>
        <v>8.1054923702044313E-2</v>
      </c>
      <c r="D10" s="299">
        <f t="shared" ref="D10:D41" si="1">C10+D9</f>
        <v>0.27460431389970846</v>
      </c>
    </row>
    <row r="11" spans="1:7" s="127" customFormat="1" x14ac:dyDescent="0.3">
      <c r="A11" s="296" t="s">
        <v>15451</v>
      </c>
      <c r="B11" s="297">
        <v>48550.03</v>
      </c>
      <c r="C11" s="298">
        <f t="shared" si="0"/>
        <v>5.8858398721579407E-2</v>
      </c>
      <c r="D11" s="299">
        <f t="shared" si="1"/>
        <v>0.33346271262128785</v>
      </c>
    </row>
    <row r="12" spans="1:7" s="127" customFormat="1" x14ac:dyDescent="0.3">
      <c r="A12" s="296" t="s">
        <v>15793</v>
      </c>
      <c r="B12" s="297">
        <v>44037.88</v>
      </c>
      <c r="C12" s="298">
        <f t="shared" si="0"/>
        <v>5.3388207996845058E-2</v>
      </c>
      <c r="D12" s="299">
        <f t="shared" si="1"/>
        <v>0.38685092061813292</v>
      </c>
    </row>
    <row r="13" spans="1:7" s="127" customFormat="1" ht="27.6" x14ac:dyDescent="0.3">
      <c r="A13" s="296" t="s">
        <v>1086</v>
      </c>
      <c r="B13" s="297">
        <v>41720.92</v>
      </c>
      <c r="C13" s="298">
        <f t="shared" si="0"/>
        <v>5.0579300247417289E-2</v>
      </c>
      <c r="D13" s="299">
        <f t="shared" si="1"/>
        <v>0.43743022086555022</v>
      </c>
    </row>
    <row r="14" spans="1:7" s="127" customFormat="1" ht="27.6" x14ac:dyDescent="0.3">
      <c r="A14" s="296" t="s">
        <v>15438</v>
      </c>
      <c r="B14" s="297">
        <v>33481.93</v>
      </c>
      <c r="C14" s="298">
        <f t="shared" si="0"/>
        <v>4.0590969478453698E-2</v>
      </c>
      <c r="D14" s="299">
        <f t="shared" si="1"/>
        <v>0.47802119034400392</v>
      </c>
    </row>
    <row r="15" spans="1:7" s="127" customFormat="1" ht="27.6" x14ac:dyDescent="0.3">
      <c r="A15" s="296" t="s">
        <v>256</v>
      </c>
      <c r="B15" s="297">
        <v>33268.26</v>
      </c>
      <c r="C15" s="298">
        <f t="shared" si="0"/>
        <v>4.0331932067872493E-2</v>
      </c>
      <c r="D15" s="299">
        <f t="shared" si="1"/>
        <v>0.51835312241187637</v>
      </c>
    </row>
    <row r="16" spans="1:7" s="127" customFormat="1" x14ac:dyDescent="0.3">
      <c r="A16" s="300" t="s">
        <v>14649</v>
      </c>
      <c r="B16" s="301">
        <v>29727.879999999997</v>
      </c>
      <c r="C16" s="302">
        <f t="shared" si="0"/>
        <v>3.6039842080164849E-2</v>
      </c>
      <c r="D16" s="303">
        <f t="shared" si="1"/>
        <v>0.55439296449204123</v>
      </c>
    </row>
    <row r="17" spans="1:4" s="127" customFormat="1" ht="27.6" x14ac:dyDescent="0.3">
      <c r="A17" s="300" t="s">
        <v>1094</v>
      </c>
      <c r="B17" s="301">
        <v>29140.12</v>
      </c>
      <c r="C17" s="302">
        <f t="shared" si="0"/>
        <v>3.5327286136685614E-2</v>
      </c>
      <c r="D17" s="303">
        <f t="shared" si="1"/>
        <v>0.58972025062872679</v>
      </c>
    </row>
    <row r="18" spans="1:4" s="127" customFormat="1" ht="27.6" x14ac:dyDescent="0.3">
      <c r="A18" s="300" t="s">
        <v>16420</v>
      </c>
      <c r="B18" s="301">
        <v>18511.080000000002</v>
      </c>
      <c r="C18" s="302">
        <f t="shared" si="0"/>
        <v>2.2441438808731E-2</v>
      </c>
      <c r="D18" s="303">
        <f t="shared" si="1"/>
        <v>0.61216168943745775</v>
      </c>
    </row>
    <row r="19" spans="1:4" s="127" customFormat="1" ht="27.6" x14ac:dyDescent="0.3">
      <c r="A19" s="300" t="s">
        <v>16012</v>
      </c>
      <c r="B19" s="301">
        <v>15998.08</v>
      </c>
      <c r="C19" s="302">
        <f t="shared" si="0"/>
        <v>1.9394866932517345E-2</v>
      </c>
      <c r="D19" s="303">
        <f t="shared" si="1"/>
        <v>0.6315565563699751</v>
      </c>
    </row>
    <row r="20" spans="1:4" s="127" customFormat="1" x14ac:dyDescent="0.3">
      <c r="A20" s="300" t="s">
        <v>16014</v>
      </c>
      <c r="B20" s="301">
        <v>14460.71</v>
      </c>
      <c r="C20" s="302">
        <f t="shared" si="0"/>
        <v>1.7531075366526663E-2</v>
      </c>
      <c r="D20" s="303">
        <f t="shared" si="1"/>
        <v>0.64908763173650175</v>
      </c>
    </row>
    <row r="21" spans="1:4" s="127" customFormat="1" x14ac:dyDescent="0.3">
      <c r="A21" s="300" t="s">
        <v>258</v>
      </c>
      <c r="B21" s="301">
        <v>13609.02</v>
      </c>
      <c r="C21" s="302">
        <f t="shared" si="0"/>
        <v>1.6498550574941945E-2</v>
      </c>
      <c r="D21" s="303">
        <f t="shared" si="1"/>
        <v>0.66558618231144373</v>
      </c>
    </row>
    <row r="22" spans="1:4" s="127" customFormat="1" ht="27.6" x14ac:dyDescent="0.3">
      <c r="A22" s="300" t="s">
        <v>14538</v>
      </c>
      <c r="B22" s="301">
        <v>11050.44</v>
      </c>
      <c r="C22" s="302">
        <f t="shared" si="0"/>
        <v>1.3396720940623313E-2</v>
      </c>
      <c r="D22" s="303">
        <f t="shared" si="1"/>
        <v>0.678982903252067</v>
      </c>
    </row>
    <row r="23" spans="1:4" s="127" customFormat="1" ht="27.6" x14ac:dyDescent="0.3">
      <c r="A23" s="300" t="s">
        <v>171</v>
      </c>
      <c r="B23" s="301">
        <v>10684.08</v>
      </c>
      <c r="C23" s="302">
        <f t="shared" si="0"/>
        <v>1.2952573677364404E-2</v>
      </c>
      <c r="D23" s="303">
        <f t="shared" si="1"/>
        <v>0.69193547692943136</v>
      </c>
    </row>
    <row r="24" spans="1:4" s="127" customFormat="1" x14ac:dyDescent="0.3">
      <c r="A24" s="300" t="s">
        <v>2097</v>
      </c>
      <c r="B24" s="301">
        <v>10141.94</v>
      </c>
      <c r="C24" s="302">
        <f t="shared" si="0"/>
        <v>1.2295323984976634E-2</v>
      </c>
      <c r="D24" s="303">
        <f t="shared" si="1"/>
        <v>0.70423080091440804</v>
      </c>
    </row>
    <row r="25" spans="1:4" s="127" customFormat="1" x14ac:dyDescent="0.3">
      <c r="A25" s="300" t="s">
        <v>13444</v>
      </c>
      <c r="B25" s="301">
        <v>9978.15</v>
      </c>
      <c r="C25" s="302">
        <f t="shared" si="0"/>
        <v>1.2096757328548048E-2</v>
      </c>
      <c r="D25" s="303">
        <f t="shared" si="1"/>
        <v>0.71632755824295613</v>
      </c>
    </row>
    <row r="26" spans="1:4" s="127" customFormat="1" ht="27.6" x14ac:dyDescent="0.3">
      <c r="A26" s="300" t="s">
        <v>16419</v>
      </c>
      <c r="B26" s="301">
        <v>9671.73</v>
      </c>
      <c r="C26" s="302">
        <f t="shared" si="0"/>
        <v>1.1725276805543914E-2</v>
      </c>
      <c r="D26" s="303">
        <f t="shared" si="1"/>
        <v>0.72805283504850005</v>
      </c>
    </row>
    <row r="27" spans="1:4" s="127" customFormat="1" x14ac:dyDescent="0.3">
      <c r="A27" s="300" t="s">
        <v>13415</v>
      </c>
      <c r="B27" s="301">
        <v>8975.35</v>
      </c>
      <c r="C27" s="302">
        <f t="shared" si="0"/>
        <v>1.0881038157251969E-2</v>
      </c>
      <c r="D27" s="303">
        <f t="shared" si="1"/>
        <v>0.73893387320575199</v>
      </c>
    </row>
    <row r="28" spans="1:4" s="127" customFormat="1" x14ac:dyDescent="0.3">
      <c r="A28" s="300" t="s">
        <v>186</v>
      </c>
      <c r="B28" s="301">
        <v>8621.08</v>
      </c>
      <c r="C28" s="302">
        <f t="shared" si="0"/>
        <v>1.0451547899159565E-2</v>
      </c>
      <c r="D28" s="303">
        <f t="shared" si="1"/>
        <v>0.74938542110491158</v>
      </c>
    </row>
    <row r="29" spans="1:4" s="127" customFormat="1" x14ac:dyDescent="0.3">
      <c r="A29" s="300" t="s">
        <v>15427</v>
      </c>
      <c r="B29" s="301">
        <v>7851.16</v>
      </c>
      <c r="C29" s="302">
        <f t="shared" si="0"/>
        <v>9.5181548952063544E-3</v>
      </c>
      <c r="D29" s="303">
        <f t="shared" si="1"/>
        <v>0.75890357600011793</v>
      </c>
    </row>
    <row r="30" spans="1:4" s="127" customFormat="1" x14ac:dyDescent="0.3">
      <c r="A30" s="300" t="s">
        <v>15592</v>
      </c>
      <c r="B30" s="301">
        <v>7439.92</v>
      </c>
      <c r="C30" s="302">
        <f t="shared" si="0"/>
        <v>9.0195985011060371E-3</v>
      </c>
      <c r="D30" s="303">
        <f t="shared" si="1"/>
        <v>0.76792317450122394</v>
      </c>
    </row>
    <row r="31" spans="1:4" s="127" customFormat="1" x14ac:dyDescent="0.3">
      <c r="A31" s="300" t="s">
        <v>233</v>
      </c>
      <c r="B31" s="301">
        <v>7037.44</v>
      </c>
      <c r="C31" s="302">
        <f t="shared" si="0"/>
        <v>8.5316620710469554E-3</v>
      </c>
      <c r="D31" s="303">
        <f t="shared" si="1"/>
        <v>0.77645483657227088</v>
      </c>
    </row>
    <row r="32" spans="1:4" s="127" customFormat="1" x14ac:dyDescent="0.3">
      <c r="A32" s="300" t="s">
        <v>158</v>
      </c>
      <c r="B32" s="301">
        <v>6942</v>
      </c>
      <c r="C32" s="302">
        <f t="shared" si="0"/>
        <v>8.4159578052825975E-3</v>
      </c>
      <c r="D32" s="303">
        <f t="shared" si="1"/>
        <v>0.78487079437755347</v>
      </c>
    </row>
    <row r="33" spans="1:4" s="127" customFormat="1" ht="27.6" x14ac:dyDescent="0.3">
      <c r="A33" s="300" t="s">
        <v>271</v>
      </c>
      <c r="B33" s="301">
        <v>6228.04</v>
      </c>
      <c r="C33" s="302">
        <f t="shared" si="0"/>
        <v>7.5504064894284396E-3</v>
      </c>
      <c r="D33" s="303">
        <f t="shared" si="1"/>
        <v>0.79242120086698187</v>
      </c>
    </row>
    <row r="34" spans="1:4" s="127" customFormat="1" x14ac:dyDescent="0.3">
      <c r="A34" s="300" t="s">
        <v>15534</v>
      </c>
      <c r="B34" s="301">
        <v>6023.03</v>
      </c>
      <c r="C34" s="302">
        <f t="shared" si="0"/>
        <v>7.3018678104222476E-3</v>
      </c>
      <c r="D34" s="303">
        <f t="shared" si="1"/>
        <v>0.79972306867740417</v>
      </c>
    </row>
    <row r="35" spans="1:4" s="127" customFormat="1" x14ac:dyDescent="0.3">
      <c r="A35" s="738" t="s">
        <v>174</v>
      </c>
      <c r="B35" s="739">
        <v>5838.52</v>
      </c>
      <c r="C35" s="740">
        <f t="shared" si="0"/>
        <v>7.0781817869920135E-3</v>
      </c>
      <c r="D35" s="741">
        <f t="shared" si="1"/>
        <v>0.80680125046439621</v>
      </c>
    </row>
    <row r="36" spans="1:4" s="127" customFormat="1" ht="27.6" x14ac:dyDescent="0.3">
      <c r="A36" s="106" t="s">
        <v>16010</v>
      </c>
      <c r="B36" s="102">
        <v>5673.68</v>
      </c>
      <c r="C36" s="304">
        <f t="shared" si="0"/>
        <v>6.8783421896680737E-3</v>
      </c>
      <c r="D36" s="305">
        <f t="shared" si="1"/>
        <v>0.81367959265406431</v>
      </c>
    </row>
    <row r="37" spans="1:4" s="127" customFormat="1" ht="27.6" x14ac:dyDescent="0.3">
      <c r="A37" s="106" t="s">
        <v>14695</v>
      </c>
      <c r="B37" s="102">
        <v>5348.46</v>
      </c>
      <c r="C37" s="304">
        <f t="shared" si="0"/>
        <v>6.4840699630137949E-3</v>
      </c>
      <c r="D37" s="305">
        <f t="shared" si="1"/>
        <v>0.82016366261707807</v>
      </c>
    </row>
    <row r="38" spans="1:4" s="127" customFormat="1" ht="27.6" x14ac:dyDescent="0.3">
      <c r="A38" s="106" t="s">
        <v>16421</v>
      </c>
      <c r="B38" s="102">
        <v>5285.98</v>
      </c>
      <c r="C38" s="304">
        <f t="shared" si="0"/>
        <v>6.4083239181169259E-3</v>
      </c>
      <c r="D38" s="305">
        <f t="shared" si="1"/>
        <v>0.82657198653519504</v>
      </c>
    </row>
    <row r="39" spans="1:4" s="127" customFormat="1" ht="27.6" x14ac:dyDescent="0.3">
      <c r="A39" s="106" t="s">
        <v>270</v>
      </c>
      <c r="B39" s="102">
        <v>4994.54</v>
      </c>
      <c r="C39" s="304">
        <f t="shared" si="0"/>
        <v>6.0550040185531756E-3</v>
      </c>
      <c r="D39" s="305">
        <f t="shared" si="1"/>
        <v>0.83262699055374823</v>
      </c>
    </row>
    <row r="40" spans="1:4" s="127" customFormat="1" ht="27.6" x14ac:dyDescent="0.3">
      <c r="A40" s="106" t="s">
        <v>173</v>
      </c>
      <c r="B40" s="102">
        <v>4556.2700000000004</v>
      </c>
      <c r="C40" s="304">
        <f t="shared" si="0"/>
        <v>5.5236784888324612E-3</v>
      </c>
      <c r="D40" s="305">
        <f t="shared" si="1"/>
        <v>0.83815066904258073</v>
      </c>
    </row>
    <row r="41" spans="1:4" s="127" customFormat="1" ht="27.6" x14ac:dyDescent="0.3">
      <c r="A41" s="106" t="s">
        <v>261</v>
      </c>
      <c r="B41" s="102">
        <v>4472.26</v>
      </c>
      <c r="C41" s="304">
        <f t="shared" si="0"/>
        <v>5.4218310939575269E-3</v>
      </c>
      <c r="D41" s="305">
        <f t="shared" si="1"/>
        <v>0.84357250013653828</v>
      </c>
    </row>
    <row r="42" spans="1:4" s="127" customFormat="1" ht="27.6" x14ac:dyDescent="0.3">
      <c r="A42" s="106" t="s">
        <v>1080</v>
      </c>
      <c r="B42" s="102">
        <v>4458.1899999999996</v>
      </c>
      <c r="C42" s="304">
        <f t="shared" ref="C42:C105" si="2">B42/$B$138</f>
        <v>5.4047736859597836E-3</v>
      </c>
      <c r="D42" s="305">
        <f t="shared" ref="D42:D48" si="3">C42+D41</f>
        <v>0.8489772738224981</v>
      </c>
    </row>
    <row r="43" spans="1:4" s="127" customFormat="1" x14ac:dyDescent="0.3">
      <c r="A43" s="106" t="s">
        <v>16237</v>
      </c>
      <c r="B43" s="102">
        <v>4409.4799999999996</v>
      </c>
      <c r="C43" s="304">
        <f t="shared" si="2"/>
        <v>5.3457213516619854E-3</v>
      </c>
      <c r="D43" s="305">
        <f t="shared" si="3"/>
        <v>0.8543229951741601</v>
      </c>
    </row>
    <row r="44" spans="1:4" s="127" customFormat="1" x14ac:dyDescent="0.3">
      <c r="A44" s="106" t="s">
        <v>274</v>
      </c>
      <c r="B44" s="102">
        <v>4295.43</v>
      </c>
      <c r="C44" s="304">
        <f t="shared" si="2"/>
        <v>5.2074557239333089E-3</v>
      </c>
      <c r="D44" s="305">
        <f t="shared" si="3"/>
        <v>0.85953045089809343</v>
      </c>
    </row>
    <row r="45" spans="1:4" s="127" customFormat="1" x14ac:dyDescent="0.3">
      <c r="A45" s="106" t="s">
        <v>15555</v>
      </c>
      <c r="B45" s="102">
        <v>4261.45</v>
      </c>
      <c r="C45" s="304">
        <f t="shared" si="2"/>
        <v>5.1662609319103317E-3</v>
      </c>
      <c r="D45" s="305">
        <f t="shared" si="3"/>
        <v>0.86469671183000374</v>
      </c>
    </row>
    <row r="46" spans="1:4" s="127" customFormat="1" x14ac:dyDescent="0.3">
      <c r="A46" s="106" t="s">
        <v>15551</v>
      </c>
      <c r="B46" s="102">
        <v>4261.45</v>
      </c>
      <c r="C46" s="304">
        <f t="shared" si="2"/>
        <v>5.1662609319103317E-3</v>
      </c>
      <c r="D46" s="305">
        <f t="shared" si="3"/>
        <v>0.86986297276191404</v>
      </c>
    </row>
    <row r="47" spans="1:4" s="127" customFormat="1" ht="27.6" x14ac:dyDescent="0.3">
      <c r="A47" s="106" t="s">
        <v>1308</v>
      </c>
      <c r="B47" s="102">
        <v>4250</v>
      </c>
      <c r="C47" s="304">
        <f t="shared" si="2"/>
        <v>5.1523798145276635E-3</v>
      </c>
      <c r="D47" s="305">
        <f t="shared" si="3"/>
        <v>0.8750153525764417</v>
      </c>
    </row>
    <row r="48" spans="1:4" s="127" customFormat="1" ht="27.6" x14ac:dyDescent="0.3">
      <c r="A48" s="106" t="s">
        <v>209</v>
      </c>
      <c r="B48" s="102">
        <v>4249.6400000000003</v>
      </c>
      <c r="C48" s="304">
        <f t="shared" si="2"/>
        <v>5.1519433776492565E-3</v>
      </c>
      <c r="D48" s="305">
        <f t="shared" si="3"/>
        <v>0.88016729595409093</v>
      </c>
    </row>
    <row r="49" spans="1:4" s="127" customFormat="1" ht="41.4" x14ac:dyDescent="0.3">
      <c r="A49" s="106" t="s">
        <v>268</v>
      </c>
      <c r="B49" s="102">
        <v>4199.03</v>
      </c>
      <c r="C49" s="304">
        <f t="shared" si="2"/>
        <v>5.0905876264931982E-3</v>
      </c>
      <c r="D49" s="305">
        <f t="shared" ref="D49:D112" si="4">C49+D48</f>
        <v>0.8852578835805841</v>
      </c>
    </row>
    <row r="50" spans="1:4" s="127" customFormat="1" ht="27.6" x14ac:dyDescent="0.3">
      <c r="A50" s="106" t="s">
        <v>4194</v>
      </c>
      <c r="B50" s="102">
        <v>4163.3999999999996</v>
      </c>
      <c r="C50" s="304">
        <f t="shared" si="2"/>
        <v>5.0473924987775231E-3</v>
      </c>
      <c r="D50" s="305">
        <f t="shared" si="4"/>
        <v>0.89030527607936161</v>
      </c>
    </row>
    <row r="51" spans="1:4" s="127" customFormat="1" ht="27.6" x14ac:dyDescent="0.3">
      <c r="A51" s="106" t="s">
        <v>272</v>
      </c>
      <c r="B51" s="102">
        <v>4072.16</v>
      </c>
      <c r="C51" s="304">
        <f t="shared" si="2"/>
        <v>4.9367799965945808E-3</v>
      </c>
      <c r="D51" s="305">
        <f t="shared" si="4"/>
        <v>0.89524205607595619</v>
      </c>
    </row>
    <row r="52" spans="1:4" s="127" customFormat="1" x14ac:dyDescent="0.3">
      <c r="A52" s="106" t="s">
        <v>15590</v>
      </c>
      <c r="B52" s="102">
        <v>3644.2</v>
      </c>
      <c r="C52" s="304">
        <f t="shared" si="2"/>
        <v>4.4179535341415787E-3</v>
      </c>
      <c r="D52" s="305">
        <f t="shared" si="4"/>
        <v>0.89966000961009773</v>
      </c>
    </row>
    <row r="53" spans="1:4" s="127" customFormat="1" x14ac:dyDescent="0.3">
      <c r="A53" s="106" t="s">
        <v>269</v>
      </c>
      <c r="B53" s="102">
        <v>3517.93</v>
      </c>
      <c r="C53" s="304">
        <f t="shared" si="2"/>
        <v>4.2648732990403062E-3</v>
      </c>
      <c r="D53" s="305">
        <f t="shared" si="4"/>
        <v>0.90392488290913808</v>
      </c>
    </row>
    <row r="54" spans="1:4" s="127" customFormat="1" x14ac:dyDescent="0.3">
      <c r="A54" s="106" t="s">
        <v>193</v>
      </c>
      <c r="B54" s="102">
        <v>3097.58</v>
      </c>
      <c r="C54" s="304">
        <f t="shared" si="2"/>
        <v>3.7552726272669645E-3</v>
      </c>
      <c r="D54" s="305">
        <f t="shared" si="4"/>
        <v>0.90768015553640502</v>
      </c>
    </row>
    <row r="55" spans="1:4" s="127" customFormat="1" x14ac:dyDescent="0.3">
      <c r="A55" s="106" t="s">
        <v>15460</v>
      </c>
      <c r="B55" s="102">
        <v>3008.4</v>
      </c>
      <c r="C55" s="304">
        <f t="shared" si="2"/>
        <v>3.6471575138882408E-3</v>
      </c>
      <c r="D55" s="305">
        <f t="shared" si="4"/>
        <v>0.91132731305029324</v>
      </c>
    </row>
    <row r="56" spans="1:4" s="127" customFormat="1" x14ac:dyDescent="0.3">
      <c r="A56" s="106" t="s">
        <v>15472</v>
      </c>
      <c r="B56" s="102">
        <v>2879.5</v>
      </c>
      <c r="C56" s="304">
        <f t="shared" si="2"/>
        <v>3.4908888649252722E-3</v>
      </c>
      <c r="D56" s="305">
        <f t="shared" si="4"/>
        <v>0.91481820191521857</v>
      </c>
    </row>
    <row r="57" spans="1:4" s="127" customFormat="1" ht="27.6" x14ac:dyDescent="0.3">
      <c r="A57" s="106" t="s">
        <v>16011</v>
      </c>
      <c r="B57" s="102">
        <v>2764.18</v>
      </c>
      <c r="C57" s="304">
        <f t="shared" si="2"/>
        <v>3.3510835848755472E-3</v>
      </c>
      <c r="D57" s="305">
        <f t="shared" si="4"/>
        <v>0.91816928550009413</v>
      </c>
    </row>
    <row r="58" spans="1:4" s="127" customFormat="1" ht="27.6" x14ac:dyDescent="0.3">
      <c r="A58" s="106" t="s">
        <v>13849</v>
      </c>
      <c r="B58" s="102">
        <v>2495.25</v>
      </c>
      <c r="C58" s="304">
        <f t="shared" si="2"/>
        <v>3.0250531134588593E-3</v>
      </c>
      <c r="D58" s="305">
        <f t="shared" si="4"/>
        <v>0.92119433861355304</v>
      </c>
    </row>
    <row r="59" spans="1:4" s="127" customFormat="1" ht="27.6" x14ac:dyDescent="0.3">
      <c r="A59" s="106" t="s">
        <v>14526</v>
      </c>
      <c r="B59" s="102">
        <v>2447.9900000000002</v>
      </c>
      <c r="C59" s="304">
        <f t="shared" si="2"/>
        <v>2.9677586499213121E-3</v>
      </c>
      <c r="D59" s="305">
        <f t="shared" si="4"/>
        <v>0.92416209726347431</v>
      </c>
    </row>
    <row r="60" spans="1:4" s="127" customFormat="1" x14ac:dyDescent="0.3">
      <c r="A60" s="106" t="s">
        <v>167</v>
      </c>
      <c r="B60" s="102">
        <v>2395</v>
      </c>
      <c r="C60" s="304">
        <f t="shared" si="2"/>
        <v>2.9035175660691187E-3</v>
      </c>
      <c r="D60" s="305">
        <f t="shared" si="4"/>
        <v>0.92706561482954342</v>
      </c>
    </row>
    <row r="61" spans="1:4" s="127" customFormat="1" x14ac:dyDescent="0.3">
      <c r="A61" s="106" t="s">
        <v>169</v>
      </c>
      <c r="B61" s="102">
        <v>2342.8500000000004</v>
      </c>
      <c r="C61" s="304">
        <f t="shared" si="2"/>
        <v>2.8402948349332091E-3</v>
      </c>
      <c r="D61" s="305">
        <f t="shared" si="4"/>
        <v>0.92990590966447662</v>
      </c>
    </row>
    <row r="62" spans="1:4" s="127" customFormat="1" x14ac:dyDescent="0.3">
      <c r="A62" s="106" t="s">
        <v>163</v>
      </c>
      <c r="B62" s="102">
        <v>2285.0100000000002</v>
      </c>
      <c r="C62" s="304">
        <f t="shared" si="2"/>
        <v>2.7701739764691429E-3</v>
      </c>
      <c r="D62" s="305">
        <f t="shared" si="4"/>
        <v>0.93267608364094579</v>
      </c>
    </row>
    <row r="63" spans="1:4" s="127" customFormat="1" x14ac:dyDescent="0.3">
      <c r="A63" s="106" t="s">
        <v>184</v>
      </c>
      <c r="B63" s="102">
        <v>2253.31</v>
      </c>
      <c r="C63" s="304">
        <f t="shared" si="2"/>
        <v>2.7317432846760774E-3</v>
      </c>
      <c r="D63" s="305">
        <f t="shared" si="4"/>
        <v>0.93540782692562185</v>
      </c>
    </row>
    <row r="64" spans="1:4" s="127" customFormat="1" ht="27.6" x14ac:dyDescent="0.3">
      <c r="A64" s="106" t="s">
        <v>211</v>
      </c>
      <c r="B64" s="102">
        <v>2056.5</v>
      </c>
      <c r="C64" s="304">
        <f t="shared" si="2"/>
        <v>2.4931456679002681E-3</v>
      </c>
      <c r="D64" s="305">
        <f t="shared" si="4"/>
        <v>0.93790097259352212</v>
      </c>
    </row>
    <row r="65" spans="1:4" s="127" customFormat="1" x14ac:dyDescent="0.3">
      <c r="A65" s="106" t="s">
        <v>205</v>
      </c>
      <c r="B65" s="102">
        <v>2052.08</v>
      </c>
      <c r="C65" s="304">
        <f t="shared" si="2"/>
        <v>2.4877871928931593E-3</v>
      </c>
      <c r="D65" s="305">
        <f t="shared" si="4"/>
        <v>0.94038875978641523</v>
      </c>
    </row>
    <row r="66" spans="1:4" s="127" customFormat="1" x14ac:dyDescent="0.3">
      <c r="A66" s="106" t="s">
        <v>15839</v>
      </c>
      <c r="B66" s="102">
        <v>1976.78</v>
      </c>
      <c r="C66" s="304">
        <f t="shared" si="2"/>
        <v>2.3964991458263517E-3</v>
      </c>
      <c r="D66" s="305">
        <f t="shared" si="4"/>
        <v>0.94278525893224163</v>
      </c>
    </row>
    <row r="67" spans="1:4" s="127" customFormat="1" x14ac:dyDescent="0.3">
      <c r="A67" s="106" t="s">
        <v>15532</v>
      </c>
      <c r="B67" s="102">
        <v>1973.28</v>
      </c>
      <c r="C67" s="304">
        <f t="shared" si="2"/>
        <v>2.3922560095085053E-3</v>
      </c>
      <c r="D67" s="305">
        <f t="shared" si="4"/>
        <v>0.94517751494175017</v>
      </c>
    </row>
    <row r="68" spans="1:4" s="127" customFormat="1" x14ac:dyDescent="0.3">
      <c r="A68" s="106" t="s">
        <v>15717</v>
      </c>
      <c r="B68" s="102">
        <v>1973.28</v>
      </c>
      <c r="C68" s="304">
        <f t="shared" si="2"/>
        <v>2.3922560095085053E-3</v>
      </c>
      <c r="D68" s="305">
        <f t="shared" si="4"/>
        <v>0.94756977095125872</v>
      </c>
    </row>
    <row r="69" spans="1:4" s="127" customFormat="1" x14ac:dyDescent="0.3">
      <c r="A69" s="106" t="s">
        <v>15473</v>
      </c>
      <c r="B69" s="102">
        <v>1906.74</v>
      </c>
      <c r="C69" s="304">
        <f t="shared" si="2"/>
        <v>2.3115879264829359E-3</v>
      </c>
      <c r="D69" s="305">
        <f t="shared" si="4"/>
        <v>0.94988135887774161</v>
      </c>
    </row>
    <row r="70" spans="1:4" s="127" customFormat="1" x14ac:dyDescent="0.3">
      <c r="A70" s="106" t="s">
        <v>15553</v>
      </c>
      <c r="B70" s="102">
        <v>1795.8</v>
      </c>
      <c r="C70" s="304">
        <f t="shared" si="2"/>
        <v>2.17709262845383E-3</v>
      </c>
      <c r="D70" s="305">
        <f t="shared" si="4"/>
        <v>0.95205845150619539</v>
      </c>
    </row>
    <row r="71" spans="1:4" s="127" customFormat="1" x14ac:dyDescent="0.3">
      <c r="A71" s="106" t="s">
        <v>11847</v>
      </c>
      <c r="B71" s="102">
        <v>1793.35</v>
      </c>
      <c r="C71" s="304">
        <f t="shared" si="2"/>
        <v>2.1741224330313375E-3</v>
      </c>
      <c r="D71" s="305">
        <f t="shared" si="4"/>
        <v>0.95423257393922678</v>
      </c>
    </row>
    <row r="72" spans="1:4" s="127" customFormat="1" ht="27.6" x14ac:dyDescent="0.3">
      <c r="A72" s="106" t="s">
        <v>14566</v>
      </c>
      <c r="B72" s="102">
        <v>1578.98</v>
      </c>
      <c r="C72" s="304">
        <f t="shared" si="2"/>
        <v>1.9142363951865624E-3</v>
      </c>
      <c r="D72" s="305">
        <f t="shared" si="4"/>
        <v>0.95614681033441329</v>
      </c>
    </row>
    <row r="73" spans="1:4" s="127" customFormat="1" x14ac:dyDescent="0.3">
      <c r="A73" s="106" t="s">
        <v>178</v>
      </c>
      <c r="B73" s="102">
        <v>1550.1</v>
      </c>
      <c r="C73" s="304">
        <f t="shared" si="2"/>
        <v>1.879224458941019E-3</v>
      </c>
      <c r="D73" s="305">
        <f t="shared" si="4"/>
        <v>0.95802603479335435</v>
      </c>
    </row>
    <row r="74" spans="1:4" s="127" customFormat="1" x14ac:dyDescent="0.3">
      <c r="A74" s="106" t="s">
        <v>182</v>
      </c>
      <c r="B74" s="102">
        <v>1510.28</v>
      </c>
      <c r="C74" s="304">
        <f t="shared" si="2"/>
        <v>1.8309496908905504E-3</v>
      </c>
      <c r="D74" s="305">
        <f t="shared" si="4"/>
        <v>0.95985698448424495</v>
      </c>
    </row>
    <row r="75" spans="1:4" s="127" customFormat="1" x14ac:dyDescent="0.3">
      <c r="A75" s="106" t="s">
        <v>1450</v>
      </c>
      <c r="B75" s="102">
        <v>1447.78</v>
      </c>
      <c r="C75" s="304">
        <f t="shared" si="2"/>
        <v>1.7551793995004377E-3</v>
      </c>
      <c r="D75" s="305">
        <f t="shared" si="4"/>
        <v>0.96161216388374537</v>
      </c>
    </row>
    <row r="76" spans="1:4" s="127" customFormat="1" x14ac:dyDescent="0.3">
      <c r="A76" s="106" t="s">
        <v>210</v>
      </c>
      <c r="B76" s="102">
        <v>1407.33</v>
      </c>
      <c r="C76" s="304">
        <f t="shared" si="2"/>
        <v>1.7061408669127567E-3</v>
      </c>
      <c r="D76" s="305">
        <f t="shared" si="4"/>
        <v>0.96331830475065816</v>
      </c>
    </row>
    <row r="77" spans="1:4" s="127" customFormat="1" ht="27.6" x14ac:dyDescent="0.3">
      <c r="A77" s="106" t="s">
        <v>16013</v>
      </c>
      <c r="B77" s="102">
        <v>1375.54</v>
      </c>
      <c r="C77" s="304">
        <f t="shared" si="2"/>
        <v>1.66760106590009E-3</v>
      </c>
      <c r="D77" s="305">
        <f t="shared" si="4"/>
        <v>0.9649859058165583</v>
      </c>
    </row>
    <row r="78" spans="1:4" s="127" customFormat="1" x14ac:dyDescent="0.3">
      <c r="A78" s="106" t="s">
        <v>15471</v>
      </c>
      <c r="B78" s="102">
        <v>1332.54</v>
      </c>
      <c r="C78" s="304">
        <f t="shared" si="2"/>
        <v>1.6154711054236924E-3</v>
      </c>
      <c r="D78" s="305">
        <f t="shared" si="4"/>
        <v>0.966601376921982</v>
      </c>
    </row>
    <row r="79" spans="1:4" s="127" customFormat="1" x14ac:dyDescent="0.3">
      <c r="A79" s="106" t="s">
        <v>15842</v>
      </c>
      <c r="B79" s="102">
        <v>1267.18</v>
      </c>
      <c r="C79" s="304">
        <f t="shared" si="2"/>
        <v>1.5362335654995681E-3</v>
      </c>
      <c r="D79" s="305">
        <f t="shared" si="4"/>
        <v>0.96813761048748159</v>
      </c>
    </row>
    <row r="80" spans="1:4" s="127" customFormat="1" ht="27.6" x14ac:dyDescent="0.3">
      <c r="A80" s="106" t="s">
        <v>279</v>
      </c>
      <c r="B80" s="102">
        <v>1263.4099999999999</v>
      </c>
      <c r="C80" s="304">
        <f t="shared" si="2"/>
        <v>1.5316631015229163E-3</v>
      </c>
      <c r="D80" s="305">
        <f t="shared" si="4"/>
        <v>0.96966927358900445</v>
      </c>
    </row>
    <row r="81" spans="1:4" s="127" customFormat="1" x14ac:dyDescent="0.3">
      <c r="A81" s="106" t="s">
        <v>15462</v>
      </c>
      <c r="B81" s="102">
        <v>1251.07</v>
      </c>
      <c r="C81" s="304">
        <f t="shared" si="2"/>
        <v>1.5167030151908526E-3</v>
      </c>
      <c r="D81" s="305">
        <f t="shared" si="4"/>
        <v>0.97118597660419526</v>
      </c>
    </row>
    <row r="82" spans="1:4" s="127" customFormat="1" x14ac:dyDescent="0.3">
      <c r="A82" s="106" t="s">
        <v>15528</v>
      </c>
      <c r="B82" s="102">
        <v>1161.6600000000001</v>
      </c>
      <c r="C82" s="304">
        <f t="shared" si="2"/>
        <v>1.4083090671398132E-3</v>
      </c>
      <c r="D82" s="305">
        <f t="shared" si="4"/>
        <v>0.9725942856713351</v>
      </c>
    </row>
    <row r="83" spans="1:4" s="127" customFormat="1" x14ac:dyDescent="0.3">
      <c r="A83" s="106" t="s">
        <v>15464</v>
      </c>
      <c r="B83" s="102">
        <v>1117.24</v>
      </c>
      <c r="C83" s="304">
        <f t="shared" si="2"/>
        <v>1.3544576056430321E-3</v>
      </c>
      <c r="D83" s="305">
        <f t="shared" si="4"/>
        <v>0.97394874327697811</v>
      </c>
    </row>
    <row r="84" spans="1:4" s="127" customFormat="1" ht="27.6" x14ac:dyDescent="0.3">
      <c r="A84" s="106" t="s">
        <v>7077</v>
      </c>
      <c r="B84" s="102">
        <v>1017.48</v>
      </c>
      <c r="C84" s="304">
        <f t="shared" si="2"/>
        <v>1.23351609733779E-3</v>
      </c>
      <c r="D84" s="305">
        <f t="shared" si="4"/>
        <v>0.97518225937431591</v>
      </c>
    </row>
    <row r="85" spans="1:4" s="127" customFormat="1" x14ac:dyDescent="0.3">
      <c r="A85" s="106" t="s">
        <v>15847</v>
      </c>
      <c r="B85" s="102">
        <v>949.62000000000012</v>
      </c>
      <c r="C85" s="304">
        <f t="shared" si="2"/>
        <v>1.1512477457580612E-3</v>
      </c>
      <c r="D85" s="305">
        <f t="shared" si="4"/>
        <v>0.97633350712007394</v>
      </c>
    </row>
    <row r="86" spans="1:4" s="127" customFormat="1" x14ac:dyDescent="0.3">
      <c r="A86" s="106" t="s">
        <v>15846</v>
      </c>
      <c r="B86" s="102">
        <v>949.62</v>
      </c>
      <c r="C86" s="304">
        <f t="shared" si="2"/>
        <v>1.1512477457580612E-3</v>
      </c>
      <c r="D86" s="305">
        <f t="shared" si="4"/>
        <v>0.97748475486583197</v>
      </c>
    </row>
    <row r="87" spans="1:4" s="127" customFormat="1" x14ac:dyDescent="0.3">
      <c r="A87" s="106" t="s">
        <v>15459</v>
      </c>
      <c r="B87" s="102">
        <v>867.64</v>
      </c>
      <c r="C87" s="304">
        <f t="shared" si="2"/>
        <v>1.0518613699474781E-3</v>
      </c>
      <c r="D87" s="305">
        <f t="shared" si="4"/>
        <v>0.97853661623577948</v>
      </c>
    </row>
    <row r="88" spans="1:4" s="127" customFormat="1" x14ac:dyDescent="0.3">
      <c r="A88" s="106" t="s">
        <v>2094</v>
      </c>
      <c r="B88" s="102">
        <v>855.98</v>
      </c>
      <c r="C88" s="304">
        <f t="shared" si="2"/>
        <v>1.0377256643857387E-3</v>
      </c>
      <c r="D88" s="305">
        <f t="shared" si="4"/>
        <v>0.97957434190016524</v>
      </c>
    </row>
    <row r="89" spans="1:4" s="127" customFormat="1" ht="27.6" x14ac:dyDescent="0.3">
      <c r="A89" s="106" t="s">
        <v>15587</v>
      </c>
      <c r="B89" s="102">
        <v>845.8</v>
      </c>
      <c r="C89" s="304">
        <f t="shared" si="2"/>
        <v>1.025384199324117E-3</v>
      </c>
      <c r="D89" s="305">
        <f t="shared" si="4"/>
        <v>0.98059972609948931</v>
      </c>
    </row>
    <row r="90" spans="1:4" s="127" customFormat="1" x14ac:dyDescent="0.3">
      <c r="A90" s="106" t="s">
        <v>11207</v>
      </c>
      <c r="B90" s="102">
        <v>803.4</v>
      </c>
      <c r="C90" s="304">
        <f t="shared" si="2"/>
        <v>9.7398163364506465E-4</v>
      </c>
      <c r="D90" s="305">
        <f t="shared" si="4"/>
        <v>0.98157370773313435</v>
      </c>
    </row>
    <row r="91" spans="1:4" s="127" customFormat="1" x14ac:dyDescent="0.3">
      <c r="A91" s="106" t="s">
        <v>15849</v>
      </c>
      <c r="B91" s="102">
        <v>797.97</v>
      </c>
      <c r="C91" s="304">
        <f t="shared" si="2"/>
        <v>9.6739871072909175E-4</v>
      </c>
      <c r="D91" s="305">
        <f t="shared" si="4"/>
        <v>0.98254110644386339</v>
      </c>
    </row>
    <row r="92" spans="1:4" s="127" customFormat="1" x14ac:dyDescent="0.3">
      <c r="A92" s="106" t="s">
        <v>15850</v>
      </c>
      <c r="B92" s="102">
        <v>766.82</v>
      </c>
      <c r="C92" s="304">
        <f t="shared" si="2"/>
        <v>9.2963479750025955E-4</v>
      </c>
      <c r="D92" s="305">
        <f t="shared" si="4"/>
        <v>0.98347074124136369</v>
      </c>
    </row>
    <row r="93" spans="1:4" s="127" customFormat="1" ht="27.6" x14ac:dyDescent="0.3">
      <c r="A93" s="106" t="s">
        <v>14558</v>
      </c>
      <c r="B93" s="102">
        <v>688.51</v>
      </c>
      <c r="C93" s="304">
        <f t="shared" si="2"/>
        <v>8.3469765320010384E-4</v>
      </c>
      <c r="D93" s="305">
        <f t="shared" si="4"/>
        <v>0.98430543889456379</v>
      </c>
    </row>
    <row r="94" spans="1:4" s="127" customFormat="1" ht="27.6" x14ac:dyDescent="0.3">
      <c r="A94" s="106" t="s">
        <v>4278</v>
      </c>
      <c r="B94" s="102">
        <v>643.25</v>
      </c>
      <c r="C94" s="304">
        <f t="shared" si="2"/>
        <v>7.7982783898703986E-4</v>
      </c>
      <c r="D94" s="305">
        <f t="shared" si="4"/>
        <v>0.98508526673355079</v>
      </c>
    </row>
    <row r="95" spans="1:4" s="127" customFormat="1" x14ac:dyDescent="0.3">
      <c r="A95" s="106" t="s">
        <v>15836</v>
      </c>
      <c r="B95" s="102">
        <v>641.70000000000005</v>
      </c>
      <c r="C95" s="304">
        <f t="shared" si="2"/>
        <v>7.7794873576056509E-4</v>
      </c>
      <c r="D95" s="305">
        <f t="shared" si="4"/>
        <v>0.98586321546931133</v>
      </c>
    </row>
    <row r="96" spans="1:4" s="127" customFormat="1" x14ac:dyDescent="0.3">
      <c r="A96" s="106" t="s">
        <v>283</v>
      </c>
      <c r="B96" s="102">
        <v>640.83000000000004</v>
      </c>
      <c r="C96" s="304">
        <f t="shared" si="2"/>
        <v>7.7689401330441473E-4</v>
      </c>
      <c r="D96" s="305">
        <f t="shared" si="4"/>
        <v>0.98664010948261571</v>
      </c>
    </row>
    <row r="97" spans="1:4" s="127" customFormat="1" x14ac:dyDescent="0.3">
      <c r="A97" s="106" t="s">
        <v>15848</v>
      </c>
      <c r="B97" s="102">
        <v>633.08000000000004</v>
      </c>
      <c r="C97" s="304">
        <f t="shared" si="2"/>
        <v>7.6749849717204076E-4</v>
      </c>
      <c r="D97" s="305">
        <f t="shared" si="4"/>
        <v>0.98740760797978777</v>
      </c>
    </row>
    <row r="98" spans="1:4" s="127" customFormat="1" x14ac:dyDescent="0.3">
      <c r="A98" s="106" t="s">
        <v>5322</v>
      </c>
      <c r="B98" s="102">
        <v>564.6</v>
      </c>
      <c r="C98" s="304">
        <f t="shared" si="2"/>
        <v>6.844785043017221E-4</v>
      </c>
      <c r="D98" s="305">
        <f t="shared" si="4"/>
        <v>0.98809208648408953</v>
      </c>
    </row>
    <row r="99" spans="1:4" s="127" customFormat="1" x14ac:dyDescent="0.3">
      <c r="A99" s="106" t="s">
        <v>288</v>
      </c>
      <c r="B99" s="102">
        <v>550.08000000000004</v>
      </c>
      <c r="C99" s="304">
        <f t="shared" si="2"/>
        <v>6.668755502059711E-4</v>
      </c>
      <c r="D99" s="305">
        <f t="shared" si="4"/>
        <v>0.98875896203429547</v>
      </c>
    </row>
    <row r="100" spans="1:4" s="127" customFormat="1" ht="27.6" x14ac:dyDescent="0.3">
      <c r="A100" s="106" t="s">
        <v>4465</v>
      </c>
      <c r="B100" s="102">
        <v>541.52</v>
      </c>
      <c r="C100" s="304">
        <f t="shared" si="2"/>
        <v>6.5649805109718122E-4</v>
      </c>
      <c r="D100" s="305">
        <f t="shared" si="4"/>
        <v>0.98941546008539261</v>
      </c>
    </row>
    <row r="101" spans="1:4" s="127" customFormat="1" x14ac:dyDescent="0.3">
      <c r="A101" s="106" t="s">
        <v>15843</v>
      </c>
      <c r="B101" s="102">
        <v>465.6</v>
      </c>
      <c r="C101" s="304">
        <f t="shared" si="2"/>
        <v>5.6445836273978363E-4</v>
      </c>
      <c r="D101" s="305">
        <f t="shared" si="4"/>
        <v>0.98997991844813238</v>
      </c>
    </row>
    <row r="102" spans="1:4" s="127" customFormat="1" ht="27.6" x14ac:dyDescent="0.3">
      <c r="A102" s="106" t="s">
        <v>285</v>
      </c>
      <c r="B102" s="102">
        <v>464.69</v>
      </c>
      <c r="C102" s="304">
        <f t="shared" si="2"/>
        <v>5.6335514729714353E-4</v>
      </c>
      <c r="D102" s="305">
        <f t="shared" si="4"/>
        <v>0.99054327359542949</v>
      </c>
    </row>
    <row r="103" spans="1:4" s="127" customFormat="1" x14ac:dyDescent="0.3">
      <c r="A103" s="106" t="s">
        <v>15840</v>
      </c>
      <c r="B103" s="102">
        <v>453.54</v>
      </c>
      <c r="C103" s="304">
        <f t="shared" si="2"/>
        <v>5.4983772731314739E-4</v>
      </c>
      <c r="D103" s="305">
        <f t="shared" si="4"/>
        <v>0.99109311132274258</v>
      </c>
    </row>
    <row r="104" spans="1:4" s="127" customFormat="1" ht="27.6" x14ac:dyDescent="0.3">
      <c r="A104" s="106" t="s">
        <v>4198</v>
      </c>
      <c r="B104" s="102">
        <v>418.8</v>
      </c>
      <c r="C104" s="304">
        <f t="shared" si="2"/>
        <v>5.0772156854686718E-4</v>
      </c>
      <c r="D104" s="305">
        <f t="shared" si="4"/>
        <v>0.99160083289128942</v>
      </c>
    </row>
    <row r="105" spans="1:4" s="127" customFormat="1" x14ac:dyDescent="0.3">
      <c r="A105" s="106" t="s">
        <v>5319</v>
      </c>
      <c r="B105" s="102">
        <v>408.48</v>
      </c>
      <c r="C105" s="304">
        <f t="shared" si="2"/>
        <v>4.9521037803253176E-4</v>
      </c>
      <c r="D105" s="305">
        <f t="shared" si="4"/>
        <v>0.99209604326932199</v>
      </c>
    </row>
    <row r="106" spans="1:4" s="127" customFormat="1" x14ac:dyDescent="0.3">
      <c r="A106" s="106" t="s">
        <v>13956</v>
      </c>
      <c r="B106" s="102">
        <v>369.34</v>
      </c>
      <c r="C106" s="304">
        <f t="shared" ref="C106:C137" si="5">B106/$B$138</f>
        <v>4.4775999075238757E-4</v>
      </c>
      <c r="D106" s="305">
        <f t="shared" si="4"/>
        <v>0.99254380326007441</v>
      </c>
    </row>
    <row r="107" spans="1:4" s="127" customFormat="1" x14ac:dyDescent="0.3">
      <c r="A107" s="106" t="s">
        <v>202</v>
      </c>
      <c r="B107" s="102">
        <v>364.29</v>
      </c>
      <c r="C107" s="304">
        <f t="shared" si="5"/>
        <v>4.416377512080665E-4</v>
      </c>
      <c r="D107" s="305">
        <f t="shared" si="4"/>
        <v>0.9929854410112825</v>
      </c>
    </row>
    <row r="108" spans="1:4" s="127" customFormat="1" x14ac:dyDescent="0.3">
      <c r="A108" s="106" t="s">
        <v>15838</v>
      </c>
      <c r="B108" s="102">
        <v>358.84</v>
      </c>
      <c r="C108" s="304">
        <f t="shared" si="5"/>
        <v>4.3503058179884861E-4</v>
      </c>
      <c r="D108" s="305">
        <f t="shared" si="4"/>
        <v>0.99342047159308133</v>
      </c>
    </row>
    <row r="109" spans="1:4" s="127" customFormat="1" x14ac:dyDescent="0.3">
      <c r="A109" s="106" t="s">
        <v>224</v>
      </c>
      <c r="B109" s="102">
        <v>354.79</v>
      </c>
      <c r="C109" s="304">
        <f t="shared" si="5"/>
        <v>4.3012066691676935E-4</v>
      </c>
      <c r="D109" s="305">
        <f t="shared" si="4"/>
        <v>0.99385059225999806</v>
      </c>
    </row>
    <row r="110" spans="1:4" s="127" customFormat="1" ht="27.6" x14ac:dyDescent="0.3">
      <c r="A110" s="106" t="s">
        <v>5119</v>
      </c>
      <c r="B110" s="102">
        <v>345.06</v>
      </c>
      <c r="C110" s="304">
        <f t="shared" si="5"/>
        <v>4.1832474795315658E-4</v>
      </c>
      <c r="D110" s="305">
        <f t="shared" si="4"/>
        <v>0.99426891700795117</v>
      </c>
    </row>
    <row r="111" spans="1:4" s="127" customFormat="1" ht="27.6" x14ac:dyDescent="0.3">
      <c r="A111" s="106" t="s">
        <v>14560</v>
      </c>
      <c r="B111" s="102">
        <v>343.16</v>
      </c>
      <c r="C111" s="304">
        <f t="shared" si="5"/>
        <v>4.1602133109489719E-4</v>
      </c>
      <c r="D111" s="305">
        <f t="shared" si="4"/>
        <v>0.99468493833904603</v>
      </c>
    </row>
    <row r="112" spans="1:4" s="127" customFormat="1" x14ac:dyDescent="0.3">
      <c r="A112" s="106" t="s">
        <v>266</v>
      </c>
      <c r="B112" s="102">
        <v>342.44</v>
      </c>
      <c r="C112" s="304">
        <f t="shared" si="5"/>
        <v>4.1514845733808304E-4</v>
      </c>
      <c r="D112" s="305">
        <f t="shared" si="4"/>
        <v>0.99510008679638406</v>
      </c>
    </row>
    <row r="113" spans="1:7" s="127" customFormat="1" ht="27.6" x14ac:dyDescent="0.3">
      <c r="A113" s="106" t="s">
        <v>5124</v>
      </c>
      <c r="B113" s="102">
        <v>330.48</v>
      </c>
      <c r="C113" s="304">
        <f t="shared" si="5"/>
        <v>4.0064905437767114E-4</v>
      </c>
      <c r="D113" s="305">
        <f t="shared" ref="D113:D137" si="6">C113+D112</f>
        <v>0.99550073585076171</v>
      </c>
    </row>
    <row r="114" spans="1:7" s="127" customFormat="1" x14ac:dyDescent="0.3">
      <c r="A114" s="106" t="s">
        <v>15837</v>
      </c>
      <c r="B114" s="102">
        <v>314.56</v>
      </c>
      <c r="C114" s="304">
        <f t="shared" si="5"/>
        <v>3.8134884575478158E-4</v>
      </c>
      <c r="D114" s="305">
        <f t="shared" si="6"/>
        <v>0.99588208469651651</v>
      </c>
    </row>
    <row r="115" spans="1:7" s="127" customFormat="1" x14ac:dyDescent="0.3">
      <c r="A115" s="106" t="s">
        <v>4382</v>
      </c>
      <c r="B115" s="102">
        <v>300.83999999999997</v>
      </c>
      <c r="C115" s="304">
        <f t="shared" si="5"/>
        <v>3.6471575138882404E-4</v>
      </c>
      <c r="D115" s="305">
        <f t="shared" si="6"/>
        <v>0.99624680044790537</v>
      </c>
    </row>
    <row r="116" spans="1:7" s="127" customFormat="1" ht="27.6" x14ac:dyDescent="0.3">
      <c r="A116" s="106" t="s">
        <v>13957</v>
      </c>
      <c r="B116" s="102">
        <v>279.63</v>
      </c>
      <c r="C116" s="304">
        <f t="shared" si="5"/>
        <v>3.3900234530267543E-4</v>
      </c>
      <c r="D116" s="305">
        <f t="shared" si="6"/>
        <v>0.99658580279320808</v>
      </c>
    </row>
    <row r="117" spans="1:7" s="127" customFormat="1" x14ac:dyDescent="0.3">
      <c r="A117" s="106" t="s">
        <v>16424</v>
      </c>
      <c r="B117" s="102">
        <v>271.2</v>
      </c>
      <c r="C117" s="304">
        <f t="shared" si="5"/>
        <v>3.2878244839997699E-4</v>
      </c>
      <c r="D117" s="305">
        <f t="shared" si="6"/>
        <v>0.99691458524160803</v>
      </c>
    </row>
    <row r="118" spans="1:7" s="127" customFormat="1" x14ac:dyDescent="0.3">
      <c r="A118" s="106" t="s">
        <v>15845</v>
      </c>
      <c r="B118" s="102">
        <v>261.86</v>
      </c>
      <c r="C118" s="304">
        <f t="shared" si="5"/>
        <v>3.1745933605463857E-4</v>
      </c>
      <c r="D118" s="305">
        <f t="shared" si="6"/>
        <v>0.99723204457766268</v>
      </c>
    </row>
    <row r="119" spans="1:7" s="127" customFormat="1" ht="27.6" x14ac:dyDescent="0.3">
      <c r="A119" s="106" t="s">
        <v>14570</v>
      </c>
      <c r="B119" s="102">
        <v>203.28</v>
      </c>
      <c r="C119" s="304">
        <f t="shared" si="5"/>
        <v>2.4644135734051375E-4</v>
      </c>
      <c r="D119" s="305">
        <f t="shared" si="6"/>
        <v>0.99747848593500321</v>
      </c>
    </row>
    <row r="120" spans="1:7" s="127" customFormat="1" ht="27.6" x14ac:dyDescent="0.3">
      <c r="A120" s="106" t="s">
        <v>5188</v>
      </c>
      <c r="B120" s="102">
        <v>202.32</v>
      </c>
      <c r="C120" s="304">
        <f t="shared" si="5"/>
        <v>2.4527752566476163E-4</v>
      </c>
      <c r="D120" s="305">
        <f t="shared" si="6"/>
        <v>0.99772376346066793</v>
      </c>
    </row>
    <row r="121" spans="1:7" x14ac:dyDescent="0.3">
      <c r="A121" s="106" t="s">
        <v>294</v>
      </c>
      <c r="B121" s="102">
        <v>185.78</v>
      </c>
      <c r="C121" s="304">
        <f t="shared" si="5"/>
        <v>2.252256757512822E-4</v>
      </c>
      <c r="D121" s="305">
        <f t="shared" si="6"/>
        <v>0.99794898913641916</v>
      </c>
      <c r="E121" s="127"/>
      <c r="F121" s="127"/>
      <c r="G121" s="127"/>
    </row>
    <row r="122" spans="1:7" ht="27.6" x14ac:dyDescent="0.3">
      <c r="A122" s="106" t="s">
        <v>5064</v>
      </c>
      <c r="B122" s="102">
        <v>164.84</v>
      </c>
      <c r="C122" s="304">
        <f t="shared" si="5"/>
        <v>1.9983959732393884E-4</v>
      </c>
      <c r="D122" s="305">
        <f t="shared" si="6"/>
        <v>0.99814882873374311</v>
      </c>
      <c r="E122" s="127"/>
      <c r="F122" s="127"/>
      <c r="G122" s="127"/>
    </row>
    <row r="123" spans="1:7" x14ac:dyDescent="0.3">
      <c r="A123" s="106" t="s">
        <v>5911</v>
      </c>
      <c r="B123" s="102">
        <v>162.84</v>
      </c>
      <c r="C123" s="304">
        <f t="shared" si="5"/>
        <v>1.9741494799945523E-4</v>
      </c>
      <c r="D123" s="305">
        <f t="shared" si="6"/>
        <v>0.99834624368174252</v>
      </c>
      <c r="E123" s="127"/>
      <c r="F123" s="127"/>
      <c r="G123" s="127"/>
    </row>
    <row r="124" spans="1:7" ht="27.6" x14ac:dyDescent="0.3">
      <c r="A124" s="106" t="s">
        <v>4200</v>
      </c>
      <c r="B124" s="102">
        <v>154.05000000000001</v>
      </c>
      <c r="C124" s="304">
        <f t="shared" si="5"/>
        <v>1.867586142183498E-4</v>
      </c>
      <c r="D124" s="305">
        <f t="shared" si="6"/>
        <v>0.99853300229596087</v>
      </c>
      <c r="E124" s="127"/>
      <c r="F124" s="127"/>
      <c r="G124" s="127"/>
    </row>
    <row r="125" spans="1:7" x14ac:dyDescent="0.3">
      <c r="A125" s="106" t="s">
        <v>15844</v>
      </c>
      <c r="B125" s="102">
        <v>150.08000000000001</v>
      </c>
      <c r="C125" s="304">
        <f t="shared" si="5"/>
        <v>1.8194568530924984E-4</v>
      </c>
      <c r="D125" s="305">
        <f t="shared" si="6"/>
        <v>0.99871494798127014</v>
      </c>
      <c r="E125" s="127"/>
      <c r="F125" s="127"/>
      <c r="G125" s="127"/>
    </row>
    <row r="126" spans="1:7" x14ac:dyDescent="0.3">
      <c r="A126" s="106" t="s">
        <v>4148</v>
      </c>
      <c r="B126" s="102">
        <v>146.47999999999999</v>
      </c>
      <c r="C126" s="304">
        <f t="shared" si="5"/>
        <v>1.7758131652517931E-4</v>
      </c>
      <c r="D126" s="305">
        <f t="shared" si="6"/>
        <v>0.99889252929779537</v>
      </c>
      <c r="E126" s="127"/>
      <c r="F126" s="127"/>
      <c r="G126" s="127"/>
    </row>
    <row r="127" spans="1:7" x14ac:dyDescent="0.3">
      <c r="A127" s="106" t="s">
        <v>15435</v>
      </c>
      <c r="B127" s="102">
        <v>142.26</v>
      </c>
      <c r="C127" s="304">
        <f t="shared" si="5"/>
        <v>1.7246530645051892E-4</v>
      </c>
      <c r="D127" s="305">
        <f t="shared" si="6"/>
        <v>0.99906499460424592</v>
      </c>
      <c r="E127" s="127"/>
      <c r="F127" s="127"/>
      <c r="G127" s="127"/>
    </row>
    <row r="128" spans="1:7" x14ac:dyDescent="0.3">
      <c r="A128" s="106" t="s">
        <v>4324</v>
      </c>
      <c r="B128" s="102">
        <v>127.5</v>
      </c>
      <c r="C128" s="304">
        <f t="shared" si="5"/>
        <v>1.5457139443582991E-4</v>
      </c>
      <c r="D128" s="305">
        <f t="shared" si="6"/>
        <v>0.99921956599868178</v>
      </c>
      <c r="E128" s="127"/>
      <c r="F128" s="127"/>
      <c r="G128" s="127"/>
    </row>
    <row r="129" spans="1:7" x14ac:dyDescent="0.3">
      <c r="A129" s="106" t="s">
        <v>15841</v>
      </c>
      <c r="B129" s="102">
        <v>125.46</v>
      </c>
      <c r="C129" s="304">
        <f t="shared" si="5"/>
        <v>1.5209825212485662E-4</v>
      </c>
      <c r="D129" s="305">
        <f t="shared" si="6"/>
        <v>0.99937166425080659</v>
      </c>
      <c r="E129" s="127"/>
      <c r="F129" s="127"/>
      <c r="G129" s="127"/>
    </row>
    <row r="130" spans="1:7" x14ac:dyDescent="0.3">
      <c r="A130" s="106" t="s">
        <v>1061</v>
      </c>
      <c r="B130" s="102">
        <v>86</v>
      </c>
      <c r="C130" s="304">
        <f t="shared" si="5"/>
        <v>1.0425992095279507E-4</v>
      </c>
      <c r="D130" s="305">
        <f t="shared" si="6"/>
        <v>0.99947592417175934</v>
      </c>
      <c r="E130" s="127"/>
      <c r="F130" s="127"/>
      <c r="G130" s="127"/>
    </row>
    <row r="131" spans="1:7" ht="27.6" x14ac:dyDescent="0.3">
      <c r="A131" s="106" t="s">
        <v>5069</v>
      </c>
      <c r="B131" s="102">
        <v>81.599999999999994</v>
      </c>
      <c r="C131" s="304">
        <f t="shared" si="5"/>
        <v>9.8925692438931137E-5</v>
      </c>
      <c r="D131" s="305">
        <f t="shared" si="6"/>
        <v>0.99957484986419831</v>
      </c>
      <c r="E131" s="127"/>
      <c r="F131" s="127"/>
      <c r="G131" s="127"/>
    </row>
    <row r="132" spans="1:7" x14ac:dyDescent="0.3">
      <c r="A132" s="106" t="s">
        <v>8272</v>
      </c>
      <c r="B132" s="102">
        <v>73.89</v>
      </c>
      <c r="C132" s="304">
        <f t="shared" si="5"/>
        <v>8.9578669293046835E-5</v>
      </c>
      <c r="D132" s="305">
        <f t="shared" si="6"/>
        <v>0.99966442853349136</v>
      </c>
      <c r="E132" s="127"/>
      <c r="F132" s="127"/>
      <c r="G132" s="127"/>
    </row>
    <row r="133" spans="1:7" x14ac:dyDescent="0.3">
      <c r="A133" s="106" t="s">
        <v>4428</v>
      </c>
      <c r="B133" s="102">
        <v>72.760000000000005</v>
      </c>
      <c r="C133" s="304">
        <f t="shared" si="5"/>
        <v>8.8208742424713605E-5</v>
      </c>
      <c r="D133" s="305">
        <f t="shared" si="6"/>
        <v>0.99975263727591612</v>
      </c>
      <c r="E133" s="127"/>
      <c r="F133" s="127"/>
      <c r="G133" s="127"/>
    </row>
    <row r="134" spans="1:7" x14ac:dyDescent="0.3">
      <c r="A134" s="106" t="s">
        <v>14351</v>
      </c>
      <c r="B134" s="102">
        <v>69.12</v>
      </c>
      <c r="C134" s="304">
        <f t="shared" si="5"/>
        <v>8.3795880654153435E-5</v>
      </c>
      <c r="D134" s="305">
        <f t="shared" si="6"/>
        <v>0.99983643315657023</v>
      </c>
      <c r="E134" s="127"/>
      <c r="F134" s="127"/>
      <c r="G134" s="127"/>
    </row>
    <row r="135" spans="1:7" x14ac:dyDescent="0.3">
      <c r="A135" s="106" t="s">
        <v>4384</v>
      </c>
      <c r="B135" s="102">
        <v>53.2</v>
      </c>
      <c r="C135" s="304">
        <f t="shared" si="5"/>
        <v>6.4495672031263928E-5</v>
      </c>
      <c r="D135" s="305">
        <f t="shared" si="6"/>
        <v>0.99990092882860149</v>
      </c>
      <c r="E135" s="127"/>
      <c r="F135" s="127"/>
      <c r="G135" s="127"/>
    </row>
    <row r="136" spans="1:7" ht="27.6" x14ac:dyDescent="0.3">
      <c r="A136" s="106" t="s">
        <v>5185</v>
      </c>
      <c r="B136" s="102">
        <v>51.78</v>
      </c>
      <c r="C136" s="304">
        <f t="shared" si="5"/>
        <v>6.2774171010880565E-5</v>
      </c>
      <c r="D136" s="305">
        <f t="shared" si="6"/>
        <v>0.99996370299961235</v>
      </c>
      <c r="E136" s="127"/>
      <c r="F136" s="127"/>
      <c r="G136" s="127"/>
    </row>
    <row r="137" spans="1:7" x14ac:dyDescent="0.3">
      <c r="A137" s="106" t="s">
        <v>4430</v>
      </c>
      <c r="B137" s="102">
        <v>29.94</v>
      </c>
      <c r="C137" s="304">
        <f t="shared" si="5"/>
        <v>3.6297000387519588E-5</v>
      </c>
      <c r="D137" s="305">
        <f t="shared" si="6"/>
        <v>0.99999999999999989</v>
      </c>
      <c r="E137" s="127"/>
      <c r="F137" s="127"/>
      <c r="G137" s="127"/>
    </row>
    <row r="138" spans="1:7" x14ac:dyDescent="0.3">
      <c r="A138" s="306" t="s">
        <v>129</v>
      </c>
      <c r="B138" s="307">
        <f>SUM(B9:B137)</f>
        <v>824861.54999999981</v>
      </c>
      <c r="C138" s="24"/>
      <c r="D138" s="24"/>
      <c r="E138" s="24"/>
      <c r="F138" s="24"/>
      <c r="G138" s="24"/>
    </row>
    <row r="139" spans="1:7" x14ac:dyDescent="0.3">
      <c r="A139" s="308"/>
      <c r="B139" s="309"/>
      <c r="C139" s="308"/>
      <c r="D139" s="308"/>
    </row>
    <row r="140" spans="1:7" x14ac:dyDescent="0.3">
      <c r="A140" s="308"/>
      <c r="B140" s="309"/>
      <c r="C140" s="308"/>
      <c r="D140" s="308"/>
    </row>
    <row r="141" spans="1:7" x14ac:dyDescent="0.3">
      <c r="A141" s="308"/>
      <c r="B141" s="309"/>
      <c r="C141" s="308"/>
      <c r="D141" s="308"/>
    </row>
  </sheetData>
  <pageMargins left="0.70833333333333304" right="0.70833333333333304" top="0.74791666666666701" bottom="0.74791666666666701" header="0.511811023622047" footer="0.511811023622047"/>
  <pageSetup paperSize="9" fitToHeight="2" orientation="portrait" horizontalDpi="300" verticalDpi="30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16FEB2-C171-41BB-B6D9-5C91259FFDE4}">
  <dimension ref="A1:C23"/>
  <sheetViews>
    <sheetView showGridLines="0" zoomScale="115" zoomScaleNormal="115" workbookViewId="0">
      <selection activeCell="F28" sqref="F28"/>
    </sheetView>
  </sheetViews>
  <sheetFormatPr defaultColWidth="9.109375" defaultRowHeight="14.4" x14ac:dyDescent="0.3"/>
  <cols>
    <col min="1" max="1" width="18.109375" style="733" customWidth="1"/>
    <col min="2" max="2" width="48" style="733" customWidth="1"/>
    <col min="3" max="3" width="49.33203125" style="733" customWidth="1"/>
    <col min="4" max="16384" width="9.109375" style="733"/>
  </cols>
  <sheetData>
    <row r="1" spans="1:3" x14ac:dyDescent="0.3">
      <c r="A1" s="746" t="s">
        <v>16026</v>
      </c>
      <c r="B1" s="746"/>
      <c r="C1" s="732" t="s">
        <v>16027</v>
      </c>
    </row>
    <row r="2" spans="1:3" x14ac:dyDescent="0.3">
      <c r="A2" s="734">
        <v>1</v>
      </c>
      <c r="B2" s="735" t="s">
        <v>16015</v>
      </c>
      <c r="C2" s="736" t="s">
        <v>16017</v>
      </c>
    </row>
    <row r="3" spans="1:3" x14ac:dyDescent="0.3">
      <c r="A3" s="734">
        <v>2</v>
      </c>
      <c r="B3" s="735" t="s">
        <v>15718</v>
      </c>
      <c r="C3" s="736" t="s">
        <v>16016</v>
      </c>
    </row>
    <row r="4" spans="1:3" x14ac:dyDescent="0.3">
      <c r="A4" s="734">
        <v>3</v>
      </c>
      <c r="B4" s="735" t="s">
        <v>15406</v>
      </c>
      <c r="C4" s="736" t="s">
        <v>16017</v>
      </c>
    </row>
    <row r="5" spans="1:3" x14ac:dyDescent="0.3">
      <c r="A5" s="734">
        <v>4</v>
      </c>
      <c r="B5" s="735" t="s">
        <v>15407</v>
      </c>
      <c r="C5" s="736" t="s">
        <v>16018</v>
      </c>
    </row>
    <row r="6" spans="1:3" x14ac:dyDescent="0.3">
      <c r="A6" s="734">
        <v>5</v>
      </c>
      <c r="B6" s="735" t="s">
        <v>15408</v>
      </c>
      <c r="C6" s="736" t="s">
        <v>16019</v>
      </c>
    </row>
    <row r="7" spans="1:3" x14ac:dyDescent="0.3">
      <c r="A7" s="734">
        <v>6</v>
      </c>
      <c r="B7" s="735" t="s">
        <v>15409</v>
      </c>
      <c r="C7" s="736" t="s">
        <v>16020</v>
      </c>
    </row>
    <row r="8" spans="1:3" x14ac:dyDescent="0.3">
      <c r="A8" s="734">
        <v>7</v>
      </c>
      <c r="B8" s="735" t="s">
        <v>15410</v>
      </c>
      <c r="C8" s="736" t="s">
        <v>16018</v>
      </c>
    </row>
    <row r="9" spans="1:3" x14ac:dyDescent="0.3">
      <c r="A9" s="734">
        <v>8</v>
      </c>
      <c r="B9" s="735" t="s">
        <v>15412</v>
      </c>
      <c r="C9" s="736" t="s">
        <v>16021</v>
      </c>
    </row>
    <row r="10" spans="1:3" x14ac:dyDescent="0.3">
      <c r="A10" s="734" t="s">
        <v>16031</v>
      </c>
      <c r="B10" s="735" t="s">
        <v>15700</v>
      </c>
      <c r="C10" s="736" t="s">
        <v>443</v>
      </c>
    </row>
    <row r="11" spans="1:3" x14ac:dyDescent="0.3">
      <c r="A11" s="734" t="s">
        <v>15747</v>
      </c>
      <c r="B11" s="736" t="s">
        <v>16030</v>
      </c>
      <c r="C11" s="736" t="s">
        <v>16029</v>
      </c>
    </row>
    <row r="12" spans="1:3" ht="27.6" x14ac:dyDescent="0.3">
      <c r="A12" s="734" t="s">
        <v>16426</v>
      </c>
      <c r="B12" s="735" t="s">
        <v>15701</v>
      </c>
      <c r="C12" s="736" t="s">
        <v>16021</v>
      </c>
    </row>
    <row r="13" spans="1:3" x14ac:dyDescent="0.3">
      <c r="A13" s="734" t="s">
        <v>16425</v>
      </c>
      <c r="B13" s="735" t="s">
        <v>16427</v>
      </c>
      <c r="C13" s="736" t="s">
        <v>16022</v>
      </c>
    </row>
    <row r="14" spans="1:3" x14ac:dyDescent="0.3">
      <c r="A14" s="734">
        <v>11</v>
      </c>
      <c r="B14" s="735" t="s">
        <v>15568</v>
      </c>
      <c r="C14" s="736" t="s">
        <v>16018</v>
      </c>
    </row>
    <row r="15" spans="1:3" x14ac:dyDescent="0.3">
      <c r="A15" s="734">
        <v>12</v>
      </c>
      <c r="B15" s="735" t="s">
        <v>15413</v>
      </c>
      <c r="C15" s="736" t="s">
        <v>16021</v>
      </c>
    </row>
    <row r="16" spans="1:3" x14ac:dyDescent="0.3">
      <c r="A16" s="734">
        <v>13</v>
      </c>
      <c r="B16" s="735" t="s">
        <v>15414</v>
      </c>
      <c r="C16" s="736" t="s">
        <v>16023</v>
      </c>
    </row>
    <row r="17" spans="1:3" x14ac:dyDescent="0.3">
      <c r="A17" s="734">
        <v>14</v>
      </c>
      <c r="B17" s="735" t="s">
        <v>15415</v>
      </c>
      <c r="C17" s="736" t="s">
        <v>16023</v>
      </c>
    </row>
    <row r="18" spans="1:3" x14ac:dyDescent="0.3">
      <c r="A18" s="734">
        <v>15</v>
      </c>
      <c r="B18" s="735" t="s">
        <v>15416</v>
      </c>
      <c r="C18" s="736" t="s">
        <v>16023</v>
      </c>
    </row>
    <row r="19" spans="1:3" x14ac:dyDescent="0.3">
      <c r="A19" s="734" t="s">
        <v>16032</v>
      </c>
      <c r="B19" s="735" t="s">
        <v>15458</v>
      </c>
      <c r="C19" s="736" t="s">
        <v>443</v>
      </c>
    </row>
    <row r="20" spans="1:3" x14ac:dyDescent="0.3">
      <c r="A20" s="734" t="s">
        <v>15766</v>
      </c>
      <c r="B20" s="736" t="s">
        <v>16030</v>
      </c>
      <c r="C20" s="736" t="s">
        <v>16029</v>
      </c>
    </row>
    <row r="21" spans="1:3" x14ac:dyDescent="0.3">
      <c r="A21" s="734">
        <v>17</v>
      </c>
      <c r="B21" s="735" t="s">
        <v>16028</v>
      </c>
      <c r="C21" s="736" t="s">
        <v>16018</v>
      </c>
    </row>
    <row r="22" spans="1:3" x14ac:dyDescent="0.3">
      <c r="B22" s="737" t="s">
        <v>16024</v>
      </c>
    </row>
    <row r="23" spans="1:3" x14ac:dyDescent="0.3">
      <c r="B23" s="733" t="s">
        <v>16025</v>
      </c>
    </row>
  </sheetData>
  <mergeCells count="1">
    <mergeCell ref="A1:B1"/>
  </mergeCells>
  <pageMargins left="0.511811024" right="0.511811024" top="0.78740157499999996" bottom="0.78740157499999996" header="0.31496062000000002" footer="0.31496062000000002"/>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AF26"/>
  <sheetViews>
    <sheetView showGridLines="0" zoomScaleNormal="100" workbookViewId="0">
      <selection activeCell="H22" sqref="H22"/>
    </sheetView>
  </sheetViews>
  <sheetFormatPr defaultColWidth="9.109375" defaultRowHeight="14.4" x14ac:dyDescent="0.3"/>
  <cols>
    <col min="1" max="1" width="38" customWidth="1"/>
    <col min="2" max="2" width="43.109375" customWidth="1"/>
    <col min="3" max="3" width="35" style="308" customWidth="1"/>
    <col min="4" max="32" width="9.109375" style="308"/>
  </cols>
  <sheetData>
    <row r="1" spans="1:3" ht="15" customHeight="1" x14ac:dyDescent="0.3">
      <c r="A1" s="747" t="s">
        <v>296</v>
      </c>
      <c r="B1" s="748" t="s">
        <v>15403</v>
      </c>
      <c r="C1" s="749"/>
    </row>
    <row r="2" spans="1:3" x14ac:dyDescent="0.3">
      <c r="A2" s="747"/>
      <c r="B2" s="491" t="s">
        <v>15404</v>
      </c>
      <c r="C2" s="491" t="s">
        <v>15405</v>
      </c>
    </row>
    <row r="3" spans="1:3" x14ac:dyDescent="0.3">
      <c r="A3" s="310" t="s">
        <v>297</v>
      </c>
      <c r="B3" s="311">
        <v>4.4900000000000002E-2</v>
      </c>
      <c r="C3" s="311">
        <v>2.24E-2</v>
      </c>
    </row>
    <row r="4" spans="1:3" x14ac:dyDescent="0.3">
      <c r="A4" s="310" t="s">
        <v>298</v>
      </c>
      <c r="B4" s="311">
        <v>4.5999999999999999E-3</v>
      </c>
      <c r="C4" s="311">
        <v>3.8999999999999998E-3</v>
      </c>
    </row>
    <row r="5" spans="1:3" x14ac:dyDescent="0.3">
      <c r="A5" s="310" t="s">
        <v>299</v>
      </c>
      <c r="B5" s="311">
        <v>1.14E-2</v>
      </c>
      <c r="C5" s="311">
        <v>7.0000000000000001E-3</v>
      </c>
    </row>
    <row r="6" spans="1:3" x14ac:dyDescent="0.3">
      <c r="A6" s="310" t="s">
        <v>300</v>
      </c>
      <c r="B6" s="311">
        <v>1.8700000000000001E-2</v>
      </c>
      <c r="C6" s="311">
        <v>1.8700000000000001E-2</v>
      </c>
    </row>
    <row r="7" spans="1:3" x14ac:dyDescent="0.3">
      <c r="A7" s="310" t="s">
        <v>301</v>
      </c>
      <c r="B7" s="311">
        <v>7.8799999999999995E-2</v>
      </c>
      <c r="C7" s="311">
        <v>4.2999999999999997E-2</v>
      </c>
    </row>
    <row r="8" spans="1:3" x14ac:dyDescent="0.3">
      <c r="A8" s="312" t="s">
        <v>302</v>
      </c>
      <c r="B8" s="311"/>
      <c r="C8" s="311"/>
    </row>
    <row r="9" spans="1:3" x14ac:dyDescent="0.3">
      <c r="A9" s="310" t="s">
        <v>303</v>
      </c>
      <c r="B9" s="311">
        <v>6.4999999999999997E-3</v>
      </c>
      <c r="C9" s="311">
        <v>6.4999999999999997E-3</v>
      </c>
    </row>
    <row r="10" spans="1:3" x14ac:dyDescent="0.3">
      <c r="A10" s="310" t="s">
        <v>304</v>
      </c>
      <c r="B10" s="311">
        <v>0.03</v>
      </c>
      <c r="C10" s="311">
        <v>0.03</v>
      </c>
    </row>
    <row r="11" spans="1:3" x14ac:dyDescent="0.3">
      <c r="A11" s="310" t="s">
        <v>305</v>
      </c>
      <c r="B11" s="311">
        <v>2.5000000000000001E-2</v>
      </c>
      <c r="C11" s="311">
        <v>2.5000000000000001E-2</v>
      </c>
    </row>
    <row r="12" spans="1:3" s="313" customFormat="1" x14ac:dyDescent="0.25">
      <c r="A12" s="310" t="s">
        <v>306</v>
      </c>
      <c r="B12" s="311">
        <v>0</v>
      </c>
      <c r="C12" s="311">
        <v>0</v>
      </c>
    </row>
    <row r="13" spans="1:3" x14ac:dyDescent="0.3">
      <c r="A13" s="492" t="s">
        <v>307</v>
      </c>
      <c r="B13" s="493">
        <f>ROUNDDOWN((((1+(B3+B4+B5))*(1+B6)*(1+B7))/(1-(B9+B10+B11+B12))-1),4)</f>
        <v>0.24229999999999999</v>
      </c>
      <c r="C13" s="493">
        <f>ROUND((((1+(C3+C4+C5))*(1+C6)*(1+C7))/(1-(C9+C10+C11+C12))-1),4)</f>
        <v>0.16980000000000001</v>
      </c>
    </row>
    <row r="14" spans="1:3" s="313" customFormat="1" x14ac:dyDescent="0.3">
      <c r="A14" s="314" t="s">
        <v>308</v>
      </c>
      <c r="B14" s="315" t="s">
        <v>309</v>
      </c>
    </row>
    <row r="15" spans="1:3" s="313" customFormat="1" x14ac:dyDescent="0.3">
      <c r="A15" s="308"/>
      <c r="B15" s="316" t="s">
        <v>310</v>
      </c>
    </row>
    <row r="16" spans="1:3" s="313" customFormat="1" ht="13.2" x14ac:dyDescent="0.25"/>
    <row r="17" s="308" customFormat="1" x14ac:dyDescent="0.3"/>
    <row r="18" s="308" customFormat="1" x14ac:dyDescent="0.3"/>
    <row r="19" s="308" customFormat="1" x14ac:dyDescent="0.3"/>
    <row r="20" s="308" customFormat="1" x14ac:dyDescent="0.3"/>
    <row r="21" s="308" customFormat="1" x14ac:dyDescent="0.3"/>
    <row r="22" s="308" customFormat="1" x14ac:dyDescent="0.3"/>
    <row r="23" s="308" customFormat="1" x14ac:dyDescent="0.3"/>
    <row r="24" s="308" customFormat="1" x14ac:dyDescent="0.3"/>
    <row r="25" s="308" customFormat="1" x14ac:dyDescent="0.3"/>
    <row r="26" s="308" customFormat="1" x14ac:dyDescent="0.3"/>
  </sheetData>
  <mergeCells count="2">
    <mergeCell ref="A1:A2"/>
    <mergeCell ref="B1:C1"/>
  </mergeCells>
  <pageMargins left="0.7" right="0.7" top="0.75" bottom="0.75" header="0.511811023622047" footer="0.511811023622047"/>
  <pageSetup paperSize="9" fitToHeight="0" orientation="portrait" horizontalDpi="300" verticalDpi="30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IO39"/>
  <sheetViews>
    <sheetView showGridLines="0" zoomScale="85" zoomScaleNormal="85" workbookViewId="0">
      <selection activeCell="H41" sqref="H41"/>
    </sheetView>
  </sheetViews>
  <sheetFormatPr defaultColWidth="9.109375" defaultRowHeight="14.4" x14ac:dyDescent="0.3"/>
  <cols>
    <col min="1" max="1" width="5.44140625" style="317" customWidth="1"/>
    <col min="2" max="2" width="76.5546875" style="317" customWidth="1"/>
    <col min="3" max="3" width="12.44140625" style="318" customWidth="1"/>
    <col min="4" max="4" width="15.44140625" style="318" customWidth="1"/>
    <col min="5" max="38" width="9.109375" style="319"/>
    <col min="39" max="16384" width="9.109375" style="317"/>
  </cols>
  <sheetData>
    <row r="1" spans="1:4" x14ac:dyDescent="0.3">
      <c r="A1" s="753" t="s">
        <v>311</v>
      </c>
      <c r="B1" s="753"/>
      <c r="C1" s="753"/>
      <c r="D1" s="753"/>
    </row>
    <row r="2" spans="1:4" x14ac:dyDescent="0.3">
      <c r="A2" s="320" t="s">
        <v>312</v>
      </c>
      <c r="B2" s="320" t="s">
        <v>19</v>
      </c>
      <c r="C2" s="754" t="str">
        <f>dados!B10</f>
        <v>Não Desonerado</v>
      </c>
      <c r="D2" s="754"/>
    </row>
    <row r="3" spans="1:4" x14ac:dyDescent="0.3">
      <c r="A3" s="751" t="s">
        <v>313</v>
      </c>
      <c r="B3" s="751"/>
      <c r="C3" s="321" t="s">
        <v>314</v>
      </c>
      <c r="D3" s="321" t="s">
        <v>315</v>
      </c>
    </row>
    <row r="4" spans="1:4" x14ac:dyDescent="0.3">
      <c r="A4" s="322" t="s">
        <v>316</v>
      </c>
      <c r="B4" s="322" t="s">
        <v>317</v>
      </c>
      <c r="C4" s="478">
        <v>0.2</v>
      </c>
      <c r="D4" s="478">
        <v>0.2</v>
      </c>
    </row>
    <row r="5" spans="1:4" x14ac:dyDescent="0.3">
      <c r="A5" s="322" t="s">
        <v>318</v>
      </c>
      <c r="B5" s="322" t="s">
        <v>319</v>
      </c>
      <c r="C5" s="478">
        <v>1.4999999999999999E-2</v>
      </c>
      <c r="D5" s="478">
        <v>1.4999999999999999E-2</v>
      </c>
    </row>
    <row r="6" spans="1:4" x14ac:dyDescent="0.3">
      <c r="A6" s="322" t="s">
        <v>320</v>
      </c>
      <c r="B6" s="322" t="s">
        <v>321</v>
      </c>
      <c r="C6" s="478">
        <v>0.01</v>
      </c>
      <c r="D6" s="478">
        <v>0.01</v>
      </c>
    </row>
    <row r="7" spans="1:4" x14ac:dyDescent="0.3">
      <c r="A7" s="322" t="s">
        <v>322</v>
      </c>
      <c r="B7" s="322" t="s">
        <v>323</v>
      </c>
      <c r="C7" s="478">
        <v>2E-3</v>
      </c>
      <c r="D7" s="478">
        <v>2E-3</v>
      </c>
    </row>
    <row r="8" spans="1:4" x14ac:dyDescent="0.3">
      <c r="A8" s="322" t="s">
        <v>324</v>
      </c>
      <c r="B8" s="322" t="s">
        <v>325</v>
      </c>
      <c r="C8" s="478">
        <v>6.0000000000000001E-3</v>
      </c>
      <c r="D8" s="478">
        <v>6.0000000000000001E-3</v>
      </c>
    </row>
    <row r="9" spans="1:4" x14ac:dyDescent="0.3">
      <c r="A9" s="322" t="s">
        <v>326</v>
      </c>
      <c r="B9" s="322" t="s">
        <v>327</v>
      </c>
      <c r="C9" s="478">
        <v>2.5000000000000001E-2</v>
      </c>
      <c r="D9" s="478">
        <v>2.5000000000000001E-2</v>
      </c>
    </row>
    <row r="10" spans="1:4" x14ac:dyDescent="0.3">
      <c r="A10" s="322" t="s">
        <v>328</v>
      </c>
      <c r="B10" s="322" t="s">
        <v>329</v>
      </c>
      <c r="C10" s="478">
        <v>0.03</v>
      </c>
      <c r="D10" s="478">
        <v>0.03</v>
      </c>
    </row>
    <row r="11" spans="1:4" x14ac:dyDescent="0.3">
      <c r="A11" s="322" t="s">
        <v>330</v>
      </c>
      <c r="B11" s="322" t="s">
        <v>331</v>
      </c>
      <c r="C11" s="478">
        <v>0.08</v>
      </c>
      <c r="D11" s="478">
        <v>0.08</v>
      </c>
    </row>
    <row r="12" spans="1:4" x14ac:dyDescent="0.3">
      <c r="A12" s="322" t="s">
        <v>332</v>
      </c>
      <c r="B12" s="322" t="s">
        <v>333</v>
      </c>
      <c r="C12" s="478">
        <v>0</v>
      </c>
      <c r="D12" s="478">
        <v>0</v>
      </c>
    </row>
    <row r="13" spans="1:4" x14ac:dyDescent="0.3">
      <c r="A13" s="750" t="s">
        <v>334</v>
      </c>
      <c r="B13" s="750"/>
      <c r="C13" s="478">
        <v>0.36799999999999999</v>
      </c>
      <c r="D13" s="478">
        <v>0.36799999999999999</v>
      </c>
    </row>
    <row r="14" spans="1:4" x14ac:dyDescent="0.3">
      <c r="A14" s="751" t="s">
        <v>335</v>
      </c>
      <c r="B14" s="751"/>
      <c r="C14" s="479"/>
      <c r="D14" s="480"/>
    </row>
    <row r="15" spans="1:4" x14ac:dyDescent="0.3">
      <c r="A15" s="322" t="s">
        <v>336</v>
      </c>
      <c r="B15" s="322" t="s">
        <v>337</v>
      </c>
      <c r="C15" s="478">
        <v>0.17780000000000001</v>
      </c>
      <c r="D15" s="481">
        <v>0</v>
      </c>
    </row>
    <row r="16" spans="1:4" x14ac:dyDescent="0.3">
      <c r="A16" s="322" t="s">
        <v>339</v>
      </c>
      <c r="B16" s="322" t="s">
        <v>340</v>
      </c>
      <c r="C16" s="478">
        <v>4.2099999999999999E-2</v>
      </c>
      <c r="D16" s="481">
        <v>0</v>
      </c>
    </row>
    <row r="17" spans="1:249" x14ac:dyDescent="0.3">
      <c r="A17" s="322" t="s">
        <v>341</v>
      </c>
      <c r="B17" s="322" t="s">
        <v>342</v>
      </c>
      <c r="C17" s="478">
        <v>8.8000000000000005E-3</v>
      </c>
      <c r="D17" s="478">
        <v>6.7000000000000002E-3</v>
      </c>
    </row>
    <row r="18" spans="1:249" x14ac:dyDescent="0.3">
      <c r="A18" s="322" t="s">
        <v>343</v>
      </c>
      <c r="B18" s="322" t="s">
        <v>344</v>
      </c>
      <c r="C18" s="478">
        <v>0.10920000000000001</v>
      </c>
      <c r="D18" s="478">
        <v>8.2900000000000001E-2</v>
      </c>
    </row>
    <row r="19" spans="1:249" x14ac:dyDescent="0.3">
      <c r="A19" s="322" t="s">
        <v>345</v>
      </c>
      <c r="B19" s="322" t="s">
        <v>346</v>
      </c>
      <c r="C19" s="478">
        <v>6.9999999999999999E-4</v>
      </c>
      <c r="D19" s="478">
        <v>5.0000000000000001E-4</v>
      </c>
    </row>
    <row r="20" spans="1:249" x14ac:dyDescent="0.3">
      <c r="A20" s="322" t="s">
        <v>347</v>
      </c>
      <c r="B20" s="322" t="s">
        <v>348</v>
      </c>
      <c r="C20" s="478">
        <v>7.3000000000000001E-3</v>
      </c>
      <c r="D20" s="478">
        <v>5.5999999999999999E-3</v>
      </c>
    </row>
    <row r="21" spans="1:249" x14ac:dyDescent="0.3">
      <c r="A21" s="322" t="s">
        <v>349</v>
      </c>
      <c r="B21" s="322" t="s">
        <v>350</v>
      </c>
      <c r="C21" s="478">
        <v>1.6500000000000001E-2</v>
      </c>
      <c r="D21" s="481">
        <v>0</v>
      </c>
    </row>
    <row r="22" spans="1:249" x14ac:dyDescent="0.3">
      <c r="A22" s="322" t="s">
        <v>351</v>
      </c>
      <c r="B22" s="322" t="s">
        <v>352</v>
      </c>
      <c r="C22" s="478">
        <v>2.9999999999999997E-4</v>
      </c>
      <c r="D22" s="478">
        <v>2.0000000000000001E-4</v>
      </c>
    </row>
    <row r="23" spans="1:249" x14ac:dyDescent="0.3">
      <c r="A23" s="322" t="s">
        <v>353</v>
      </c>
      <c r="B23" s="322" t="s">
        <v>354</v>
      </c>
      <c r="C23" s="478">
        <v>0.1104</v>
      </c>
      <c r="D23" s="478">
        <v>8.3799999999999999E-2</v>
      </c>
    </row>
    <row r="24" spans="1:249" x14ac:dyDescent="0.3">
      <c r="A24" s="322" t="s">
        <v>355</v>
      </c>
      <c r="B24" s="322" t="s">
        <v>356</v>
      </c>
      <c r="C24" s="478">
        <v>4.0000000000000002E-4</v>
      </c>
      <c r="D24" s="478">
        <v>2.9999999999999997E-4</v>
      </c>
    </row>
    <row r="25" spans="1:249" x14ac:dyDescent="0.3">
      <c r="A25" s="750" t="s">
        <v>357</v>
      </c>
      <c r="B25" s="750"/>
      <c r="C25" s="478">
        <v>0.47349999999999998</v>
      </c>
      <c r="D25" s="482">
        <v>0.18</v>
      </c>
    </row>
    <row r="26" spans="1:249" x14ac:dyDescent="0.3">
      <c r="A26" s="751" t="s">
        <v>358</v>
      </c>
      <c r="B26" s="751"/>
      <c r="C26" s="479"/>
      <c r="D26" s="480"/>
    </row>
    <row r="27" spans="1:249" x14ac:dyDescent="0.3">
      <c r="A27" s="322" t="s">
        <v>359</v>
      </c>
      <c r="B27" s="322" t="s">
        <v>360</v>
      </c>
      <c r="C27" s="478">
        <v>4.1799999999999997E-2</v>
      </c>
      <c r="D27" s="482">
        <v>3.1699999999999999E-2</v>
      </c>
    </row>
    <row r="28" spans="1:249" x14ac:dyDescent="0.3">
      <c r="A28" s="322" t="s">
        <v>361</v>
      </c>
      <c r="B28" s="322" t="s">
        <v>362</v>
      </c>
      <c r="C28" s="481">
        <v>1.1000000000000001E-3</v>
      </c>
      <c r="D28" s="483">
        <v>8.0000000000000004E-4</v>
      </c>
    </row>
    <row r="29" spans="1:249" s="319" customFormat="1" x14ac:dyDescent="0.3">
      <c r="A29" s="322" t="s">
        <v>363</v>
      </c>
      <c r="B29" s="322" t="s">
        <v>364</v>
      </c>
      <c r="C29" s="481">
        <v>3.5900000000000001E-2</v>
      </c>
      <c r="D29" s="483">
        <v>2.7300000000000001E-2</v>
      </c>
      <c r="AM29" s="317"/>
      <c r="AN29" s="317"/>
      <c r="AO29" s="317"/>
      <c r="AP29" s="317"/>
      <c r="AQ29" s="317"/>
      <c r="AR29" s="317"/>
      <c r="AS29" s="317"/>
      <c r="AT29" s="317"/>
      <c r="AU29" s="317"/>
      <c r="AV29" s="317"/>
      <c r="AW29" s="317"/>
      <c r="AX29" s="317"/>
      <c r="AY29" s="317"/>
      <c r="AZ29" s="317"/>
      <c r="BA29" s="317"/>
      <c r="BB29" s="317"/>
      <c r="BC29" s="317"/>
      <c r="BD29" s="317"/>
      <c r="BE29" s="317"/>
      <c r="BF29" s="317"/>
      <c r="BG29" s="317"/>
      <c r="BH29" s="317"/>
      <c r="BI29" s="317"/>
      <c r="BJ29" s="317"/>
      <c r="BK29" s="317"/>
      <c r="BL29" s="317"/>
      <c r="BM29" s="317"/>
      <c r="BN29" s="317"/>
      <c r="BO29" s="317"/>
      <c r="BP29" s="317"/>
      <c r="BQ29" s="317"/>
      <c r="BR29" s="317"/>
      <c r="BS29" s="317"/>
      <c r="BT29" s="317"/>
      <c r="BU29" s="317"/>
      <c r="BV29" s="317"/>
      <c r="BW29" s="317"/>
      <c r="BX29" s="317"/>
      <c r="BY29" s="317"/>
      <c r="BZ29" s="317"/>
      <c r="CA29" s="317"/>
      <c r="CB29" s="317"/>
      <c r="CC29" s="317"/>
      <c r="CD29" s="317"/>
      <c r="CE29" s="317"/>
      <c r="CF29" s="317"/>
      <c r="CG29" s="317"/>
      <c r="CH29" s="317"/>
      <c r="CI29" s="317"/>
      <c r="CJ29" s="317"/>
      <c r="CK29" s="317"/>
      <c r="CL29" s="317"/>
      <c r="CM29" s="317"/>
      <c r="CN29" s="317"/>
      <c r="CO29" s="317"/>
      <c r="CP29" s="317"/>
      <c r="CQ29" s="317"/>
      <c r="CR29" s="317"/>
      <c r="CS29" s="317"/>
      <c r="CT29" s="317"/>
      <c r="CU29" s="317"/>
      <c r="CV29" s="317"/>
      <c r="CW29" s="317"/>
      <c r="CX29" s="317"/>
      <c r="CY29" s="317"/>
      <c r="CZ29" s="317"/>
      <c r="DA29" s="317"/>
      <c r="DB29" s="317"/>
      <c r="DC29" s="317"/>
      <c r="DD29" s="317"/>
      <c r="DE29" s="317"/>
      <c r="DF29" s="317"/>
      <c r="DG29" s="317"/>
      <c r="DH29" s="317"/>
      <c r="DI29" s="317"/>
      <c r="DJ29" s="317"/>
      <c r="DK29" s="317"/>
      <c r="DL29" s="317"/>
      <c r="DM29" s="317"/>
      <c r="DN29" s="317"/>
      <c r="DO29" s="317"/>
      <c r="DP29" s="317"/>
      <c r="DQ29" s="317"/>
      <c r="DR29" s="317"/>
      <c r="DS29" s="317"/>
      <c r="DT29" s="317"/>
      <c r="DU29" s="317"/>
      <c r="DV29" s="317"/>
      <c r="DW29" s="317"/>
      <c r="DX29" s="317"/>
      <c r="DY29" s="317"/>
      <c r="DZ29" s="317"/>
      <c r="EA29" s="317"/>
      <c r="EB29" s="317"/>
      <c r="EC29" s="317"/>
      <c r="ED29" s="317"/>
      <c r="EE29" s="317"/>
      <c r="EF29" s="317"/>
      <c r="EG29" s="317"/>
      <c r="EH29" s="317"/>
      <c r="EI29" s="317"/>
      <c r="EJ29" s="317"/>
      <c r="EK29" s="317"/>
      <c r="EL29" s="317"/>
      <c r="EM29" s="317"/>
      <c r="EN29" s="317"/>
      <c r="EO29" s="317"/>
      <c r="EP29" s="317"/>
      <c r="EQ29" s="317"/>
      <c r="ER29" s="317"/>
      <c r="ES29" s="317"/>
      <c r="ET29" s="317"/>
      <c r="EU29" s="317"/>
      <c r="EV29" s="317"/>
      <c r="EW29" s="317"/>
      <c r="EX29" s="317"/>
      <c r="EY29" s="317"/>
      <c r="EZ29" s="317"/>
      <c r="FA29" s="317"/>
      <c r="FB29" s="317"/>
      <c r="FC29" s="317"/>
      <c r="FD29" s="317"/>
      <c r="FE29" s="317"/>
      <c r="FF29" s="317"/>
      <c r="FG29" s="317"/>
      <c r="FH29" s="317"/>
      <c r="FI29" s="317"/>
      <c r="FJ29" s="317"/>
      <c r="FK29" s="317"/>
      <c r="FL29" s="317"/>
      <c r="FM29" s="317"/>
      <c r="FN29" s="317"/>
      <c r="FO29" s="317"/>
      <c r="FP29" s="317"/>
      <c r="FQ29" s="317"/>
      <c r="FR29" s="317"/>
      <c r="FS29" s="317"/>
      <c r="FT29" s="317"/>
      <c r="FU29" s="317"/>
      <c r="FV29" s="317"/>
      <c r="FW29" s="317"/>
      <c r="FX29" s="317"/>
      <c r="FY29" s="317"/>
      <c r="FZ29" s="317"/>
      <c r="GA29" s="317"/>
      <c r="GB29" s="317"/>
      <c r="GC29" s="317"/>
      <c r="GD29" s="317"/>
      <c r="GE29" s="317"/>
      <c r="GF29" s="317"/>
      <c r="GG29" s="317"/>
      <c r="GH29" s="317"/>
      <c r="GI29" s="317"/>
      <c r="GJ29" s="317"/>
      <c r="GK29" s="317"/>
      <c r="GL29" s="317"/>
      <c r="GM29" s="317"/>
      <c r="GN29" s="317"/>
      <c r="GO29" s="317"/>
      <c r="GP29" s="317"/>
      <c r="GQ29" s="317"/>
      <c r="GR29" s="317"/>
      <c r="GS29" s="317"/>
      <c r="GT29" s="317"/>
      <c r="GU29" s="317"/>
      <c r="GV29" s="317"/>
      <c r="GW29" s="317"/>
      <c r="GX29" s="317"/>
      <c r="GY29" s="317"/>
      <c r="GZ29" s="317"/>
      <c r="HA29" s="317"/>
      <c r="HB29" s="317"/>
      <c r="HC29" s="317"/>
      <c r="HD29" s="317"/>
      <c r="HE29" s="317"/>
      <c r="HF29" s="317"/>
      <c r="HG29" s="317"/>
      <c r="HH29" s="317"/>
      <c r="HI29" s="317"/>
      <c r="HJ29" s="317"/>
      <c r="HK29" s="317"/>
      <c r="HL29" s="317"/>
      <c r="HM29" s="317"/>
      <c r="HN29" s="317"/>
      <c r="HO29" s="317"/>
      <c r="HP29" s="317"/>
      <c r="HQ29" s="317"/>
      <c r="HR29" s="317"/>
      <c r="HS29" s="317"/>
      <c r="HT29" s="317"/>
      <c r="HU29" s="317"/>
      <c r="HV29" s="317"/>
      <c r="HW29" s="317"/>
      <c r="HX29" s="317"/>
      <c r="HY29" s="317"/>
      <c r="HZ29" s="317"/>
      <c r="IA29" s="317"/>
      <c r="IB29" s="317"/>
      <c r="IC29" s="317"/>
      <c r="ID29" s="317"/>
      <c r="IE29" s="317"/>
      <c r="IF29" s="317"/>
      <c r="IG29" s="317"/>
      <c r="IH29" s="317"/>
      <c r="II29" s="317"/>
      <c r="IJ29" s="317"/>
      <c r="IK29" s="317"/>
      <c r="IL29" s="317"/>
      <c r="IM29" s="317"/>
      <c r="IN29" s="317"/>
      <c r="IO29" s="317"/>
    </row>
    <row r="30" spans="1:249" s="319" customFormat="1" x14ac:dyDescent="0.3">
      <c r="A30" s="322" t="s">
        <v>365</v>
      </c>
      <c r="B30" s="322" t="s">
        <v>366</v>
      </c>
      <c r="C30" s="478">
        <v>1.78E-2</v>
      </c>
      <c r="D30" s="482">
        <v>1.35E-2</v>
      </c>
      <c r="AM30" s="317"/>
      <c r="AN30" s="317"/>
      <c r="AO30" s="317"/>
      <c r="AP30" s="317"/>
      <c r="AQ30" s="317"/>
      <c r="AR30" s="317"/>
      <c r="AS30" s="317"/>
      <c r="AT30" s="317"/>
      <c r="AU30" s="317"/>
      <c r="AV30" s="317"/>
      <c r="AW30" s="317"/>
      <c r="AX30" s="317"/>
      <c r="AY30" s="317"/>
      <c r="AZ30" s="317"/>
      <c r="BA30" s="317"/>
      <c r="BB30" s="317"/>
      <c r="BC30" s="317"/>
      <c r="BD30" s="317"/>
      <c r="BE30" s="317"/>
      <c r="BF30" s="317"/>
      <c r="BG30" s="317"/>
      <c r="BH30" s="317"/>
      <c r="BI30" s="317"/>
      <c r="BJ30" s="317"/>
      <c r="BK30" s="317"/>
      <c r="BL30" s="317"/>
      <c r="BM30" s="317"/>
      <c r="BN30" s="317"/>
      <c r="BO30" s="317"/>
      <c r="BP30" s="317"/>
      <c r="BQ30" s="317"/>
      <c r="BR30" s="317"/>
      <c r="BS30" s="317"/>
      <c r="BT30" s="317"/>
      <c r="BU30" s="317"/>
      <c r="BV30" s="317"/>
      <c r="BW30" s="317"/>
      <c r="BX30" s="317"/>
      <c r="BY30" s="317"/>
      <c r="BZ30" s="317"/>
      <c r="CA30" s="317"/>
      <c r="CB30" s="317"/>
      <c r="CC30" s="317"/>
      <c r="CD30" s="317"/>
      <c r="CE30" s="317"/>
      <c r="CF30" s="317"/>
      <c r="CG30" s="317"/>
      <c r="CH30" s="317"/>
      <c r="CI30" s="317"/>
      <c r="CJ30" s="317"/>
      <c r="CK30" s="317"/>
      <c r="CL30" s="317"/>
      <c r="CM30" s="317"/>
      <c r="CN30" s="317"/>
      <c r="CO30" s="317"/>
      <c r="CP30" s="317"/>
      <c r="CQ30" s="317"/>
      <c r="CR30" s="317"/>
      <c r="CS30" s="317"/>
      <c r="CT30" s="317"/>
      <c r="CU30" s="317"/>
      <c r="CV30" s="317"/>
      <c r="CW30" s="317"/>
      <c r="CX30" s="317"/>
      <c r="CY30" s="317"/>
      <c r="CZ30" s="317"/>
      <c r="DA30" s="317"/>
      <c r="DB30" s="317"/>
      <c r="DC30" s="317"/>
      <c r="DD30" s="317"/>
      <c r="DE30" s="317"/>
      <c r="DF30" s="317"/>
      <c r="DG30" s="317"/>
      <c r="DH30" s="317"/>
      <c r="DI30" s="317"/>
      <c r="DJ30" s="317"/>
      <c r="DK30" s="317"/>
      <c r="DL30" s="317"/>
      <c r="DM30" s="317"/>
      <c r="DN30" s="317"/>
      <c r="DO30" s="317"/>
      <c r="DP30" s="317"/>
      <c r="DQ30" s="317"/>
      <c r="DR30" s="317"/>
      <c r="DS30" s="317"/>
      <c r="DT30" s="317"/>
      <c r="DU30" s="317"/>
      <c r="DV30" s="317"/>
      <c r="DW30" s="317"/>
      <c r="DX30" s="317"/>
      <c r="DY30" s="317"/>
      <c r="DZ30" s="317"/>
      <c r="EA30" s="317"/>
      <c r="EB30" s="317"/>
      <c r="EC30" s="317"/>
      <c r="ED30" s="317"/>
      <c r="EE30" s="317"/>
      <c r="EF30" s="317"/>
      <c r="EG30" s="317"/>
      <c r="EH30" s="317"/>
      <c r="EI30" s="317"/>
      <c r="EJ30" s="317"/>
      <c r="EK30" s="317"/>
      <c r="EL30" s="317"/>
      <c r="EM30" s="317"/>
      <c r="EN30" s="317"/>
      <c r="EO30" s="317"/>
      <c r="EP30" s="317"/>
      <c r="EQ30" s="317"/>
      <c r="ER30" s="317"/>
      <c r="ES30" s="317"/>
      <c r="ET30" s="317"/>
      <c r="EU30" s="317"/>
      <c r="EV30" s="317"/>
      <c r="EW30" s="317"/>
      <c r="EX30" s="317"/>
      <c r="EY30" s="317"/>
      <c r="EZ30" s="317"/>
      <c r="FA30" s="317"/>
      <c r="FB30" s="317"/>
      <c r="FC30" s="317"/>
      <c r="FD30" s="317"/>
      <c r="FE30" s="317"/>
      <c r="FF30" s="317"/>
      <c r="FG30" s="317"/>
      <c r="FH30" s="317"/>
      <c r="FI30" s="317"/>
      <c r="FJ30" s="317"/>
      <c r="FK30" s="317"/>
      <c r="FL30" s="317"/>
      <c r="FM30" s="317"/>
      <c r="FN30" s="317"/>
      <c r="FO30" s="317"/>
      <c r="FP30" s="317"/>
      <c r="FQ30" s="317"/>
      <c r="FR30" s="317"/>
      <c r="FS30" s="317"/>
      <c r="FT30" s="317"/>
      <c r="FU30" s="317"/>
      <c r="FV30" s="317"/>
      <c r="FW30" s="317"/>
      <c r="FX30" s="317"/>
      <c r="FY30" s="317"/>
      <c r="FZ30" s="317"/>
      <c r="GA30" s="317"/>
      <c r="GB30" s="317"/>
      <c r="GC30" s="317"/>
      <c r="GD30" s="317"/>
      <c r="GE30" s="317"/>
      <c r="GF30" s="317"/>
      <c r="GG30" s="317"/>
      <c r="GH30" s="317"/>
      <c r="GI30" s="317"/>
      <c r="GJ30" s="317"/>
      <c r="GK30" s="317"/>
      <c r="GL30" s="317"/>
      <c r="GM30" s="317"/>
      <c r="GN30" s="317"/>
      <c r="GO30" s="317"/>
      <c r="GP30" s="317"/>
      <c r="GQ30" s="317"/>
      <c r="GR30" s="317"/>
      <c r="GS30" s="317"/>
      <c r="GT30" s="317"/>
      <c r="GU30" s="317"/>
      <c r="GV30" s="317"/>
      <c r="GW30" s="317"/>
      <c r="GX30" s="317"/>
      <c r="GY30" s="317"/>
      <c r="GZ30" s="317"/>
      <c r="HA30" s="317"/>
      <c r="HB30" s="317"/>
      <c r="HC30" s="317"/>
      <c r="HD30" s="317"/>
      <c r="HE30" s="317"/>
      <c r="HF30" s="317"/>
      <c r="HG30" s="317"/>
      <c r="HH30" s="317"/>
      <c r="HI30" s="317"/>
      <c r="HJ30" s="317"/>
      <c r="HK30" s="317"/>
      <c r="HL30" s="317"/>
      <c r="HM30" s="317"/>
      <c r="HN30" s="317"/>
      <c r="HO30" s="317"/>
      <c r="HP30" s="317"/>
      <c r="HQ30" s="317"/>
      <c r="HR30" s="317"/>
      <c r="HS30" s="317"/>
      <c r="HT30" s="317"/>
      <c r="HU30" s="317"/>
      <c r="HV30" s="317"/>
      <c r="HW30" s="317"/>
      <c r="HX30" s="317"/>
      <c r="HY30" s="317"/>
      <c r="HZ30" s="317"/>
      <c r="IA30" s="317"/>
      <c r="IB30" s="317"/>
      <c r="IC30" s="317"/>
      <c r="ID30" s="317"/>
      <c r="IE30" s="317"/>
      <c r="IF30" s="317"/>
      <c r="IG30" s="317"/>
      <c r="IH30" s="317"/>
      <c r="II30" s="317"/>
      <c r="IJ30" s="317"/>
      <c r="IK30" s="317"/>
      <c r="IL30" s="317"/>
      <c r="IM30" s="317"/>
      <c r="IN30" s="317"/>
      <c r="IO30" s="317"/>
    </row>
    <row r="31" spans="1:249" x14ac:dyDescent="0.3">
      <c r="A31" s="322" t="s">
        <v>367</v>
      </c>
      <c r="B31" s="322" t="s">
        <v>368</v>
      </c>
      <c r="C31" s="478">
        <v>3.5000000000000001E-3</v>
      </c>
      <c r="D31" s="482">
        <v>2.5999999999999999E-3</v>
      </c>
    </row>
    <row r="32" spans="1:249" x14ac:dyDescent="0.3">
      <c r="A32" s="750" t="s">
        <v>369</v>
      </c>
      <c r="B32" s="750"/>
      <c r="C32" s="478">
        <v>0.10009999999999999</v>
      </c>
      <c r="D32" s="482">
        <v>7.5899999999999995E-2</v>
      </c>
    </row>
    <row r="33" spans="1:249" x14ac:dyDescent="0.3">
      <c r="A33" s="751" t="s">
        <v>370</v>
      </c>
      <c r="B33" s="751"/>
      <c r="C33" s="484"/>
      <c r="D33" s="485"/>
    </row>
    <row r="34" spans="1:249" x14ac:dyDescent="0.3">
      <c r="A34" s="323" t="s">
        <v>371</v>
      </c>
      <c r="B34" s="323" t="s">
        <v>372</v>
      </c>
      <c r="C34" s="486">
        <v>0.17419999999999999</v>
      </c>
      <c r="D34" s="486">
        <v>6.6199999999999995E-2</v>
      </c>
    </row>
    <row r="35" spans="1:249" x14ac:dyDescent="0.3">
      <c r="A35" s="322" t="s">
        <v>373</v>
      </c>
      <c r="B35" s="322" t="s">
        <v>374</v>
      </c>
      <c r="C35" s="487">
        <v>3.7000000000000002E-3</v>
      </c>
      <c r="D35" s="487">
        <v>2.8E-3</v>
      </c>
    </row>
    <row r="36" spans="1:249" x14ac:dyDescent="0.3">
      <c r="A36" s="752" t="s">
        <v>375</v>
      </c>
      <c r="B36" s="752"/>
      <c r="C36" s="488">
        <v>0.1779</v>
      </c>
      <c r="D36" s="489">
        <v>6.9000000000000006E-2</v>
      </c>
    </row>
    <row r="37" spans="1:249" x14ac:dyDescent="0.3">
      <c r="A37" s="324"/>
      <c r="B37" s="325" t="s">
        <v>376</v>
      </c>
      <c r="C37" s="490">
        <v>1.1194999999999999</v>
      </c>
      <c r="D37" s="490">
        <v>0.69289999999999996</v>
      </c>
    </row>
    <row r="38" spans="1:249" x14ac:dyDescent="0.3">
      <c r="A38" s="319"/>
      <c r="B38" s="319" t="s">
        <v>377</v>
      </c>
      <c r="C38" s="326"/>
      <c r="D38" s="326"/>
      <c r="E38" s="326"/>
      <c r="F38" s="326"/>
      <c r="G38" s="326"/>
      <c r="H38" s="326"/>
      <c r="I38" s="326"/>
      <c r="J38" s="326"/>
      <c r="K38" s="326"/>
      <c r="L38" s="326"/>
      <c r="M38" s="326"/>
      <c r="N38" s="326"/>
      <c r="O38" s="326"/>
      <c r="P38" s="326"/>
      <c r="Q38" s="326"/>
      <c r="R38" s="326"/>
      <c r="S38" s="326"/>
      <c r="T38" s="326"/>
      <c r="U38" s="326"/>
      <c r="V38" s="326"/>
      <c r="W38" s="326"/>
      <c r="X38" s="326"/>
      <c r="Y38" s="326"/>
      <c r="Z38" s="326"/>
      <c r="AA38" s="326"/>
      <c r="AB38" s="326"/>
      <c r="AC38" s="326"/>
      <c r="AD38" s="326"/>
      <c r="AE38" s="326"/>
      <c r="AF38" s="326"/>
      <c r="AG38" s="326"/>
      <c r="AH38" s="326"/>
      <c r="AI38" s="326"/>
      <c r="AJ38" s="326"/>
      <c r="AK38" s="326"/>
      <c r="AL38" s="326"/>
      <c r="AM38" s="326"/>
      <c r="AN38" s="326"/>
      <c r="AO38" s="326"/>
      <c r="AP38" s="326"/>
      <c r="AQ38" s="326"/>
      <c r="AR38" s="326"/>
      <c r="AS38" s="326"/>
      <c r="AT38" s="326"/>
      <c r="AU38" s="326"/>
      <c r="AV38" s="326"/>
      <c r="AW38" s="326"/>
      <c r="AX38" s="326"/>
      <c r="AY38" s="326"/>
      <c r="AZ38" s="326"/>
      <c r="BA38" s="326"/>
      <c r="BB38" s="326"/>
      <c r="BC38" s="326"/>
      <c r="BD38" s="326"/>
      <c r="BE38" s="326"/>
      <c r="BF38" s="326"/>
      <c r="BG38" s="326"/>
      <c r="BH38" s="326"/>
      <c r="BI38" s="326"/>
      <c r="BJ38" s="326"/>
      <c r="BK38" s="326"/>
      <c r="BL38" s="326"/>
      <c r="BM38" s="326"/>
      <c r="BN38" s="326"/>
      <c r="BO38" s="326"/>
      <c r="BP38" s="326"/>
      <c r="BQ38" s="326"/>
      <c r="BR38" s="326"/>
      <c r="BS38" s="326"/>
      <c r="BT38" s="326"/>
      <c r="BU38" s="326"/>
      <c r="BV38" s="326"/>
      <c r="BW38" s="326"/>
      <c r="BX38" s="326"/>
      <c r="BY38" s="326"/>
      <c r="BZ38" s="326"/>
      <c r="CA38" s="326"/>
      <c r="CB38" s="326"/>
      <c r="CC38" s="326"/>
      <c r="CD38" s="326"/>
      <c r="CE38" s="326"/>
      <c r="CF38" s="326"/>
      <c r="CG38" s="326"/>
      <c r="CH38" s="326"/>
      <c r="CI38" s="326"/>
      <c r="CJ38" s="326"/>
      <c r="CK38" s="326"/>
      <c r="CL38" s="326"/>
      <c r="CM38" s="326"/>
      <c r="CN38" s="326"/>
      <c r="CO38" s="326"/>
      <c r="CP38" s="326"/>
      <c r="CQ38" s="326"/>
      <c r="CR38" s="326"/>
      <c r="CS38" s="326"/>
      <c r="CT38" s="326"/>
      <c r="CU38" s="326"/>
      <c r="CV38" s="326"/>
      <c r="CW38" s="326"/>
      <c r="CX38" s="326"/>
      <c r="CY38" s="326"/>
      <c r="CZ38" s="326"/>
      <c r="DA38" s="326"/>
      <c r="DB38" s="326"/>
      <c r="DC38" s="326"/>
      <c r="DD38" s="326"/>
      <c r="DE38" s="326"/>
      <c r="DF38" s="326"/>
      <c r="DG38" s="326"/>
      <c r="DH38" s="326"/>
      <c r="DI38" s="326"/>
      <c r="DJ38" s="326"/>
      <c r="DK38" s="326"/>
      <c r="DL38" s="326"/>
      <c r="DM38" s="326"/>
      <c r="DN38" s="326"/>
      <c r="DO38" s="326"/>
      <c r="DP38" s="326"/>
      <c r="DQ38" s="326"/>
      <c r="DR38" s="326"/>
      <c r="DS38" s="326"/>
      <c r="DT38" s="326"/>
      <c r="DU38" s="326"/>
      <c r="DV38" s="326"/>
      <c r="DW38" s="326"/>
      <c r="DX38" s="326"/>
      <c r="DY38" s="326"/>
      <c r="DZ38" s="326"/>
      <c r="EA38" s="326"/>
      <c r="EB38" s="326"/>
      <c r="EC38" s="326"/>
      <c r="ED38" s="326"/>
      <c r="EE38" s="326"/>
      <c r="EF38" s="326"/>
      <c r="EG38" s="326"/>
      <c r="EH38" s="326"/>
      <c r="EI38" s="326"/>
      <c r="EJ38" s="326"/>
      <c r="EK38" s="326"/>
      <c r="EL38" s="326"/>
      <c r="EM38" s="326"/>
      <c r="EN38" s="326"/>
      <c r="EO38" s="326"/>
      <c r="EP38" s="326"/>
      <c r="EQ38" s="326"/>
      <c r="ER38" s="326"/>
      <c r="ES38" s="326"/>
      <c r="ET38" s="326"/>
      <c r="EU38" s="326"/>
      <c r="EV38" s="326"/>
      <c r="EW38" s="326"/>
      <c r="EX38" s="326"/>
      <c r="EY38" s="326"/>
      <c r="EZ38" s="326"/>
      <c r="FA38" s="326"/>
      <c r="FB38" s="326"/>
      <c r="FC38" s="326"/>
      <c r="FD38" s="326"/>
      <c r="FE38" s="326"/>
      <c r="FF38" s="326"/>
      <c r="FG38" s="326"/>
      <c r="FH38" s="326"/>
      <c r="FI38" s="326"/>
      <c r="FJ38" s="326"/>
      <c r="FK38" s="326"/>
      <c r="FL38" s="326"/>
      <c r="FM38" s="326"/>
      <c r="FN38" s="326"/>
      <c r="FO38" s="326"/>
      <c r="FP38" s="326"/>
      <c r="FQ38" s="326"/>
      <c r="FR38" s="326"/>
      <c r="FS38" s="326"/>
      <c r="FT38" s="326"/>
      <c r="FU38" s="326"/>
      <c r="FV38" s="326"/>
      <c r="FW38" s="326"/>
      <c r="FX38" s="326"/>
      <c r="FY38" s="326"/>
      <c r="FZ38" s="326"/>
      <c r="GA38" s="326"/>
      <c r="GB38" s="326"/>
      <c r="GC38" s="326"/>
      <c r="GD38" s="326"/>
      <c r="GE38" s="326"/>
      <c r="GF38" s="326"/>
      <c r="GG38" s="326"/>
      <c r="GH38" s="326"/>
      <c r="GI38" s="326"/>
      <c r="GJ38" s="326"/>
      <c r="GK38" s="326"/>
      <c r="GL38" s="326"/>
      <c r="GM38" s="326"/>
      <c r="GN38" s="326"/>
      <c r="GO38" s="326"/>
      <c r="GP38" s="326"/>
      <c r="GQ38" s="326"/>
      <c r="GR38" s="326"/>
      <c r="GS38" s="326"/>
      <c r="GT38" s="326"/>
      <c r="GU38" s="326"/>
      <c r="GV38" s="326"/>
      <c r="GW38" s="326"/>
      <c r="GX38" s="326"/>
      <c r="GY38" s="326"/>
      <c r="GZ38" s="326"/>
      <c r="HA38" s="326"/>
      <c r="HB38" s="326"/>
      <c r="HC38" s="326"/>
      <c r="HD38" s="326"/>
      <c r="HE38" s="326"/>
      <c r="HF38" s="326"/>
      <c r="HG38" s="326"/>
      <c r="HH38" s="326"/>
      <c r="HI38" s="326"/>
      <c r="HJ38" s="326"/>
      <c r="HK38" s="326"/>
      <c r="HL38" s="326"/>
      <c r="HM38" s="326"/>
      <c r="HN38" s="326"/>
      <c r="HO38" s="326"/>
      <c r="HP38" s="326"/>
      <c r="HQ38" s="326"/>
      <c r="HR38" s="326"/>
      <c r="HS38" s="326"/>
      <c r="HT38" s="326"/>
      <c r="HU38" s="326"/>
      <c r="HV38" s="326"/>
      <c r="HW38" s="326"/>
      <c r="HX38" s="326"/>
      <c r="HY38" s="326"/>
      <c r="HZ38" s="326"/>
      <c r="IA38" s="326"/>
      <c r="IB38" s="326"/>
      <c r="IC38" s="326"/>
      <c r="ID38" s="326"/>
      <c r="IE38" s="326"/>
      <c r="IF38" s="326"/>
      <c r="IG38" s="326"/>
      <c r="IH38" s="326"/>
      <c r="II38" s="326"/>
      <c r="IJ38" s="326"/>
      <c r="IK38" s="326"/>
      <c r="IL38" s="326"/>
      <c r="IM38" s="326"/>
      <c r="IN38" s="326"/>
      <c r="IO38" s="326"/>
    </row>
    <row r="39" spans="1:249" x14ac:dyDescent="0.3">
      <c r="A39" s="319"/>
      <c r="B39" s="319"/>
      <c r="C39" s="326"/>
      <c r="D39" s="326"/>
      <c r="E39" s="326"/>
      <c r="F39" s="326"/>
      <c r="G39" s="326"/>
      <c r="H39" s="326"/>
      <c r="I39" s="326"/>
      <c r="J39" s="326"/>
      <c r="K39" s="326"/>
      <c r="L39" s="326"/>
      <c r="M39" s="326"/>
      <c r="N39" s="326"/>
      <c r="O39" s="326"/>
      <c r="P39" s="326"/>
      <c r="Q39" s="326"/>
      <c r="R39" s="326"/>
      <c r="S39" s="326"/>
      <c r="T39" s="326"/>
      <c r="U39" s="326"/>
      <c r="V39" s="326"/>
      <c r="W39" s="326"/>
      <c r="X39" s="326"/>
      <c r="Y39" s="326"/>
      <c r="Z39" s="326"/>
      <c r="AA39" s="326"/>
      <c r="AB39" s="326"/>
      <c r="AC39" s="326"/>
      <c r="AD39" s="326"/>
      <c r="AE39" s="326"/>
      <c r="AF39" s="326"/>
      <c r="AG39" s="326"/>
      <c r="AH39" s="326"/>
      <c r="AI39" s="326"/>
      <c r="AJ39" s="326"/>
      <c r="AK39" s="326"/>
      <c r="AL39" s="326"/>
      <c r="AM39" s="326"/>
      <c r="AN39" s="326"/>
      <c r="AO39" s="326"/>
      <c r="AP39" s="326"/>
      <c r="AQ39" s="326"/>
      <c r="AR39" s="326"/>
      <c r="AS39" s="326"/>
      <c r="AT39" s="326"/>
      <c r="AU39" s="326"/>
      <c r="AV39" s="326"/>
      <c r="AW39" s="326"/>
      <c r="AX39" s="326"/>
      <c r="AY39" s="326"/>
      <c r="AZ39" s="326"/>
      <c r="BA39" s="326"/>
      <c r="BB39" s="326"/>
      <c r="BC39" s="326"/>
      <c r="BD39" s="326"/>
      <c r="BE39" s="326"/>
      <c r="BF39" s="326"/>
      <c r="BG39" s="326"/>
      <c r="BH39" s="326"/>
      <c r="BI39" s="326"/>
      <c r="BJ39" s="326"/>
      <c r="BK39" s="326"/>
      <c r="BL39" s="326"/>
      <c r="BM39" s="326"/>
      <c r="BN39" s="326"/>
      <c r="BO39" s="326"/>
      <c r="BP39" s="326"/>
      <c r="BQ39" s="326"/>
      <c r="BR39" s="326"/>
      <c r="BS39" s="326"/>
      <c r="BT39" s="326"/>
      <c r="BU39" s="326"/>
      <c r="BV39" s="326"/>
      <c r="BW39" s="326"/>
      <c r="BX39" s="326"/>
      <c r="BY39" s="326"/>
      <c r="BZ39" s="326"/>
      <c r="CA39" s="326"/>
      <c r="CB39" s="326"/>
      <c r="CC39" s="326"/>
      <c r="CD39" s="326"/>
      <c r="CE39" s="326"/>
      <c r="CF39" s="326"/>
      <c r="CG39" s="326"/>
      <c r="CH39" s="326"/>
      <c r="CI39" s="326"/>
      <c r="CJ39" s="326"/>
      <c r="CK39" s="326"/>
      <c r="CL39" s="326"/>
      <c r="CM39" s="326"/>
      <c r="CN39" s="326"/>
      <c r="CO39" s="326"/>
      <c r="CP39" s="326"/>
      <c r="CQ39" s="326"/>
      <c r="CR39" s="326"/>
      <c r="CS39" s="326"/>
      <c r="CT39" s="326"/>
      <c r="CU39" s="326"/>
      <c r="CV39" s="326"/>
      <c r="CW39" s="326"/>
      <c r="CX39" s="326"/>
      <c r="CY39" s="326"/>
      <c r="CZ39" s="326"/>
      <c r="DA39" s="326"/>
      <c r="DB39" s="326"/>
      <c r="DC39" s="326"/>
      <c r="DD39" s="326"/>
      <c r="DE39" s="326"/>
      <c r="DF39" s="326"/>
      <c r="DG39" s="326"/>
      <c r="DH39" s="326"/>
      <c r="DI39" s="326"/>
      <c r="DJ39" s="326"/>
      <c r="DK39" s="326"/>
      <c r="DL39" s="326"/>
      <c r="DM39" s="326"/>
      <c r="DN39" s="326"/>
      <c r="DO39" s="326"/>
      <c r="DP39" s="326"/>
      <c r="DQ39" s="326"/>
      <c r="DR39" s="326"/>
      <c r="DS39" s="326"/>
      <c r="DT39" s="326"/>
      <c r="DU39" s="326"/>
      <c r="DV39" s="326"/>
      <c r="DW39" s="326"/>
      <c r="DX39" s="326"/>
      <c r="DY39" s="326"/>
      <c r="DZ39" s="326"/>
      <c r="EA39" s="326"/>
      <c r="EB39" s="326"/>
      <c r="EC39" s="326"/>
      <c r="ED39" s="326"/>
      <c r="EE39" s="326"/>
      <c r="EF39" s="326"/>
      <c r="EG39" s="326"/>
      <c r="EH39" s="326"/>
      <c r="EI39" s="326"/>
      <c r="EJ39" s="326"/>
      <c r="EK39" s="326"/>
      <c r="EL39" s="326"/>
      <c r="EM39" s="326"/>
      <c r="EN39" s="326"/>
      <c r="EO39" s="326"/>
      <c r="EP39" s="326"/>
      <c r="EQ39" s="326"/>
      <c r="ER39" s="326"/>
      <c r="ES39" s="326"/>
      <c r="ET39" s="326"/>
      <c r="EU39" s="326"/>
      <c r="EV39" s="326"/>
      <c r="EW39" s="326"/>
      <c r="EX39" s="326"/>
      <c r="EY39" s="326"/>
      <c r="EZ39" s="326"/>
      <c r="FA39" s="326"/>
      <c r="FB39" s="326"/>
      <c r="FC39" s="326"/>
      <c r="FD39" s="326"/>
      <c r="FE39" s="326"/>
      <c r="FF39" s="326"/>
      <c r="FG39" s="326"/>
      <c r="FH39" s="326"/>
      <c r="FI39" s="326"/>
      <c r="FJ39" s="326"/>
      <c r="FK39" s="326"/>
      <c r="FL39" s="326"/>
      <c r="FM39" s="326"/>
      <c r="FN39" s="326"/>
      <c r="FO39" s="326"/>
      <c r="FP39" s="326"/>
      <c r="FQ39" s="326"/>
      <c r="FR39" s="326"/>
      <c r="FS39" s="326"/>
      <c r="FT39" s="326"/>
      <c r="FU39" s="326"/>
      <c r="FV39" s="326"/>
      <c r="FW39" s="326"/>
      <c r="FX39" s="326"/>
      <c r="FY39" s="326"/>
      <c r="FZ39" s="326"/>
      <c r="GA39" s="326"/>
      <c r="GB39" s="326"/>
      <c r="GC39" s="326"/>
      <c r="GD39" s="326"/>
      <c r="GE39" s="326"/>
      <c r="GF39" s="326"/>
      <c r="GG39" s="326"/>
      <c r="GH39" s="326"/>
      <c r="GI39" s="326"/>
      <c r="GJ39" s="326"/>
      <c r="GK39" s="326"/>
      <c r="GL39" s="326"/>
      <c r="GM39" s="326"/>
      <c r="GN39" s="326"/>
      <c r="GO39" s="326"/>
      <c r="GP39" s="326"/>
      <c r="GQ39" s="326"/>
      <c r="GR39" s="326"/>
      <c r="GS39" s="326"/>
      <c r="GT39" s="326"/>
      <c r="GU39" s="326"/>
      <c r="GV39" s="326"/>
      <c r="GW39" s="326"/>
      <c r="GX39" s="326"/>
      <c r="GY39" s="326"/>
      <c r="GZ39" s="326"/>
      <c r="HA39" s="326"/>
      <c r="HB39" s="326"/>
      <c r="HC39" s="326"/>
      <c r="HD39" s="326"/>
      <c r="HE39" s="326"/>
      <c r="HF39" s="326"/>
      <c r="HG39" s="326"/>
      <c r="HH39" s="326"/>
      <c r="HI39" s="326"/>
      <c r="HJ39" s="326"/>
      <c r="HK39" s="326"/>
      <c r="HL39" s="326"/>
      <c r="HM39" s="326"/>
      <c r="HN39" s="326"/>
      <c r="HO39" s="326"/>
      <c r="HP39" s="326"/>
      <c r="HQ39" s="326"/>
      <c r="HR39" s="326"/>
      <c r="HS39" s="326"/>
      <c r="HT39" s="326"/>
      <c r="HU39" s="326"/>
      <c r="HV39" s="326"/>
      <c r="HW39" s="326"/>
      <c r="HX39" s="326"/>
      <c r="HY39" s="326"/>
      <c r="HZ39" s="326"/>
      <c r="IA39" s="326"/>
      <c r="IB39" s="326"/>
      <c r="IC39" s="326"/>
      <c r="ID39" s="326"/>
      <c r="IE39" s="326"/>
      <c r="IF39" s="326"/>
      <c r="IG39" s="326"/>
      <c r="IH39" s="326"/>
      <c r="II39" s="326"/>
      <c r="IJ39" s="326"/>
      <c r="IK39" s="326"/>
      <c r="IL39" s="326"/>
      <c r="IM39" s="326"/>
      <c r="IN39" s="326"/>
      <c r="IO39" s="326"/>
    </row>
  </sheetData>
  <mergeCells count="10">
    <mergeCell ref="A1:D1"/>
    <mergeCell ref="C2:D2"/>
    <mergeCell ref="A3:B3"/>
    <mergeCell ref="A13:B13"/>
    <mergeCell ref="A14:B14"/>
    <mergeCell ref="A25:B25"/>
    <mergeCell ref="A26:B26"/>
    <mergeCell ref="A32:B32"/>
    <mergeCell ref="A33:B33"/>
    <mergeCell ref="A36:B36"/>
  </mergeCells>
  <pageMargins left="0.70833333333333304" right="0.70833333333333304" top="0.74791666666666701" bottom="0.74791666666666701" header="0.511811023622047" footer="0.511811023622047"/>
  <pageSetup paperSize="9" fitToHeight="0" orientation="portrait" horizontalDpi="300" verticalDpi="30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O76"/>
  <sheetViews>
    <sheetView showGridLines="0" zoomScale="85" zoomScaleNormal="85" workbookViewId="0">
      <selection activeCell="I23" sqref="I23"/>
    </sheetView>
  </sheetViews>
  <sheetFormatPr defaultColWidth="9.109375" defaultRowHeight="13.8" x14ac:dyDescent="0.3"/>
  <cols>
    <col min="1" max="1" width="22.5546875" style="327" customWidth="1"/>
    <col min="2" max="2" width="24.5546875" style="327" customWidth="1"/>
    <col min="3" max="3" width="17.33203125" style="327" customWidth="1"/>
    <col min="4" max="4" width="19" style="327" customWidth="1"/>
    <col min="5" max="5" width="25.5546875" style="327" customWidth="1"/>
    <col min="6" max="6" width="9.109375" style="327"/>
    <col min="7" max="7" width="16" style="327" customWidth="1"/>
    <col min="8" max="8" width="29.88671875" style="327" customWidth="1"/>
    <col min="9" max="9" width="9.44140625" style="327" customWidth="1"/>
    <col min="10" max="10" width="14.109375" style="327" customWidth="1"/>
    <col min="11" max="11" width="21" style="327" customWidth="1"/>
    <col min="12" max="12" width="7.5546875" style="327" customWidth="1"/>
    <col min="13" max="13" width="13.33203125" style="327" customWidth="1"/>
    <col min="14" max="14" width="22.88671875" style="327" customWidth="1"/>
    <col min="15" max="16384" width="9.109375" style="327"/>
  </cols>
  <sheetData>
    <row r="1" spans="1:15" ht="28.5" customHeight="1" x14ac:dyDescent="0.3">
      <c r="A1" s="551" t="s">
        <v>464</v>
      </c>
      <c r="B1" s="762" t="str">
        <f>dados!B4</f>
        <v>Rua Giruá, Vila Panorama, Lomba Pinheiro, Porto Alegre, RS</v>
      </c>
      <c r="C1" s="763"/>
      <c r="D1" s="763"/>
      <c r="E1" s="764"/>
      <c r="F1" s="381"/>
      <c r="G1" s="381"/>
      <c r="H1" s="381"/>
      <c r="I1" s="381"/>
      <c r="J1" s="381"/>
      <c r="K1" s="381"/>
      <c r="L1" s="381"/>
      <c r="M1" s="381"/>
      <c r="N1" s="381"/>
      <c r="O1" s="381"/>
    </row>
    <row r="4" spans="1:15" s="331" customFormat="1" ht="13.2" x14ac:dyDescent="0.25">
      <c r="A4" s="328" t="s">
        <v>431</v>
      </c>
      <c r="B4" s="329"/>
      <c r="C4" s="329"/>
      <c r="D4" s="329"/>
      <c r="E4" s="330"/>
    </row>
    <row r="5" spans="1:15" s="331" customFormat="1" ht="13.2" x14ac:dyDescent="0.25">
      <c r="A5" s="332" t="s">
        <v>432</v>
      </c>
      <c r="B5" s="333"/>
      <c r="C5" s="333"/>
      <c r="D5" s="333"/>
      <c r="E5" s="334"/>
    </row>
    <row r="6" spans="1:15" s="331" customFormat="1" ht="12.75" customHeight="1" x14ac:dyDescent="0.25">
      <c r="A6" s="335" t="s">
        <v>433</v>
      </c>
      <c r="B6" s="336"/>
      <c r="C6" s="756" t="s">
        <v>434</v>
      </c>
      <c r="D6" s="756"/>
      <c r="E6" s="756"/>
    </row>
    <row r="7" spans="1:15" s="331" customFormat="1" ht="12.75" customHeight="1" x14ac:dyDescent="0.25">
      <c r="A7" s="337"/>
      <c r="B7" s="338"/>
      <c r="C7" s="756" t="s">
        <v>435</v>
      </c>
      <c r="D7" s="756"/>
      <c r="E7" s="756"/>
    </row>
    <row r="8" spans="1:15" s="331" customFormat="1" ht="13.2" x14ac:dyDescent="0.25">
      <c r="A8" s="339" t="s">
        <v>436</v>
      </c>
      <c r="B8" s="340"/>
      <c r="C8" s="341">
        <v>26.939</v>
      </c>
      <c r="D8" s="342" t="s">
        <v>437</v>
      </c>
      <c r="E8" s="343">
        <v>0.253</v>
      </c>
    </row>
    <row r="9" spans="1:15" s="331" customFormat="1" ht="13.2" x14ac:dyDescent="0.25">
      <c r="A9" s="339" t="s">
        <v>438</v>
      </c>
      <c r="B9" s="340"/>
      <c r="C9" s="341">
        <v>26.939</v>
      </c>
      <c r="D9" s="342" t="s">
        <v>437</v>
      </c>
      <c r="E9" s="343">
        <v>0.29899999999999999</v>
      </c>
    </row>
    <row r="10" spans="1:15" s="331" customFormat="1" ht="13.2" x14ac:dyDescent="0.25">
      <c r="A10" s="339" t="s">
        <v>439</v>
      </c>
      <c r="B10" s="340"/>
      <c r="C10" s="341">
        <v>26.939</v>
      </c>
      <c r="D10" s="342" t="s">
        <v>437</v>
      </c>
      <c r="E10" s="343">
        <v>0.41199999999999998</v>
      </c>
    </row>
    <row r="11" spans="1:15" s="331" customFormat="1" ht="13.2" x14ac:dyDescent="0.25">
      <c r="A11" s="765" t="s">
        <v>440</v>
      </c>
      <c r="B11" s="765"/>
      <c r="C11" s="765"/>
      <c r="D11" s="765"/>
      <c r="E11" s="765"/>
    </row>
    <row r="12" spans="1:15" s="331" customFormat="1" ht="13.2" x14ac:dyDescent="0.25"/>
    <row r="13" spans="1:15" s="331" customFormat="1" ht="13.2" x14ac:dyDescent="0.25">
      <c r="B13" s="344" t="s">
        <v>218</v>
      </c>
      <c r="C13" s="344" t="s">
        <v>441</v>
      </c>
      <c r="D13" s="344" t="s">
        <v>16416</v>
      </c>
      <c r="E13" s="344" t="s">
        <v>442</v>
      </c>
    </row>
    <row r="14" spans="1:15" s="331" customFormat="1" ht="14.4" x14ac:dyDescent="0.25">
      <c r="B14" s="345" t="s">
        <v>443</v>
      </c>
      <c r="C14" s="346">
        <v>270.23700000000002</v>
      </c>
      <c r="D14" s="346">
        <v>618.721</v>
      </c>
      <c r="E14" s="347">
        <f>TRUNC(D14/C14,4)</f>
        <v>2.2894999999999999</v>
      </c>
    </row>
    <row r="15" spans="1:15" s="331" customFormat="1" ht="13.2" x14ac:dyDescent="0.25"/>
    <row r="16" spans="1:15" s="331" customFormat="1" ht="13.2" x14ac:dyDescent="0.25">
      <c r="A16" s="348" t="s">
        <v>444</v>
      </c>
      <c r="B16" s="349"/>
      <c r="C16" s="349"/>
      <c r="D16" s="349"/>
      <c r="E16" s="350"/>
    </row>
    <row r="17" spans="1:15" s="331" customFormat="1" ht="12.75" customHeight="1" x14ac:dyDescent="0.25">
      <c r="A17" s="335" t="s">
        <v>433</v>
      </c>
      <c r="B17" s="336"/>
      <c r="C17" s="756" t="s">
        <v>434</v>
      </c>
      <c r="D17" s="756"/>
      <c r="E17" s="756"/>
    </row>
    <row r="18" spans="1:15" s="331" customFormat="1" ht="12.75" customHeight="1" x14ac:dyDescent="0.25">
      <c r="A18" s="337"/>
      <c r="B18" s="338"/>
      <c r="C18" s="756" t="s">
        <v>435</v>
      </c>
      <c r="D18" s="756"/>
      <c r="E18" s="756"/>
    </row>
    <row r="19" spans="1:15" s="331" customFormat="1" ht="13.2" x14ac:dyDescent="0.25">
      <c r="A19" s="339" t="s">
        <v>436</v>
      </c>
      <c r="B19" s="340"/>
      <c r="C19" s="341">
        <f>ROUND((C8*$E$14)/$E$25,3)</f>
        <v>74.308999999999997</v>
      </c>
      <c r="D19" s="342" t="s">
        <v>437</v>
      </c>
      <c r="E19" s="343">
        <f>ROUND((E8*$E$14)/$E$25,3)</f>
        <v>0.69799999999999995</v>
      </c>
    </row>
    <row r="20" spans="1:15" s="331" customFormat="1" ht="13.2" x14ac:dyDescent="0.25">
      <c r="A20" s="339" t="s">
        <v>438</v>
      </c>
      <c r="B20" s="340"/>
      <c r="C20" s="341">
        <f>ROUND((C9*$E$14)/$E$25,3)</f>
        <v>74.308999999999997</v>
      </c>
      <c r="D20" s="342" t="s">
        <v>437</v>
      </c>
      <c r="E20" s="343">
        <f>ROUND((E9*$E$14)/$E$25,3)</f>
        <v>0.82499999999999996</v>
      </c>
    </row>
    <row r="21" spans="1:15" s="331" customFormat="1" ht="13.2" x14ac:dyDescent="0.25">
      <c r="A21" s="339" t="s">
        <v>439</v>
      </c>
      <c r="B21" s="340"/>
      <c r="C21" s="341">
        <f>ROUND((C10*$E$14)/$E$25,3)</f>
        <v>74.308999999999997</v>
      </c>
      <c r="D21" s="342" t="s">
        <v>437</v>
      </c>
      <c r="E21" s="343">
        <f>ROUND((E10*$E$14)/$E$25,3)</f>
        <v>1.1359999999999999</v>
      </c>
    </row>
    <row r="22" spans="1:15" s="331" customFormat="1" ht="13.2" x14ac:dyDescent="0.25">
      <c r="C22" s="757" t="str">
        <f>CONCATENATE("(",C19," +",E19," D1 + ",E20," D2 + ",E21," D3",")")</f>
        <v>(74,309 +0,698 D1 + 0,825 D2 + 1,136 D3)</v>
      </c>
      <c r="D22" s="757"/>
      <c r="E22" s="757"/>
    </row>
    <row r="23" spans="1:15" s="331" customFormat="1" ht="13.2" x14ac:dyDescent="0.25">
      <c r="A23" s="351"/>
      <c r="B23" s="351"/>
      <c r="C23" s="351"/>
      <c r="D23" s="351"/>
      <c r="E23" s="351"/>
    </row>
    <row r="24" spans="1:15" s="331" customFormat="1" ht="13.2" x14ac:dyDescent="0.25">
      <c r="D24" s="758" t="s">
        <v>445</v>
      </c>
      <c r="E24" s="758"/>
    </row>
    <row r="25" spans="1:15" s="331" customFormat="1" ht="13.2" x14ac:dyDescent="0.25">
      <c r="D25" s="352" t="s">
        <v>446</v>
      </c>
      <c r="E25" s="353">
        <f>1-0.17</f>
        <v>0.83</v>
      </c>
    </row>
    <row r="26" spans="1:15" s="331" customFormat="1" ht="13.2" x14ac:dyDescent="0.25"/>
    <row r="27" spans="1:15" s="331" customFormat="1" ht="39.75" customHeight="1" x14ac:dyDescent="0.25">
      <c r="B27" s="552" t="s">
        <v>448</v>
      </c>
      <c r="C27" s="552" t="s">
        <v>449</v>
      </c>
      <c r="D27" s="552" t="s">
        <v>450</v>
      </c>
      <c r="E27" s="354" t="s">
        <v>451</v>
      </c>
    </row>
    <row r="28" spans="1:15" s="331" customFormat="1" ht="17.25" customHeight="1" x14ac:dyDescent="0.25">
      <c r="A28" s="649" t="s">
        <v>447</v>
      </c>
      <c r="B28" s="355">
        <f>C38</f>
        <v>36.200000000000003</v>
      </c>
      <c r="C28" s="355">
        <v>0</v>
      </c>
      <c r="D28" s="355">
        <v>0</v>
      </c>
      <c r="E28" s="650">
        <f>TRUNC($C$19+($E$19*B28)+($E$20*C28)+($E$21*D28),2)</f>
        <v>99.57</v>
      </c>
    </row>
    <row r="29" spans="1:15" s="331" customFormat="1" ht="17.25" customHeight="1" x14ac:dyDescent="0.25">
      <c r="A29" s="649" t="s">
        <v>15565</v>
      </c>
      <c r="B29" s="355">
        <f>C47</f>
        <v>6.6</v>
      </c>
      <c r="C29" s="355">
        <v>0</v>
      </c>
      <c r="D29" s="355">
        <v>0</v>
      </c>
      <c r="E29" s="650">
        <f>TRUNC($C$19+($E$19*B29)+($E$20*C29)+($E$21*D29),2)</f>
        <v>78.91</v>
      </c>
    </row>
    <row r="30" spans="1:15" s="331" customFormat="1" ht="13.2" x14ac:dyDescent="0.25"/>
    <row r="31" spans="1:15" s="362" customFormat="1" ht="18" customHeight="1" x14ac:dyDescent="0.3">
      <c r="A31" s="356" t="s">
        <v>452</v>
      </c>
      <c r="B31" s="357"/>
      <c r="C31" s="358"/>
      <c r="D31" s="359"/>
      <c r="E31" s="359"/>
      <c r="F31" s="360"/>
      <c r="G31" s="358"/>
      <c r="H31" s="358"/>
      <c r="I31" s="358"/>
      <c r="J31" s="358"/>
      <c r="K31" s="358"/>
      <c r="L31" s="358"/>
      <c r="M31" s="358"/>
      <c r="N31" s="358"/>
      <c r="O31" s="361"/>
    </row>
    <row r="32" spans="1:15" s="362" customFormat="1" ht="13.2" x14ac:dyDescent="0.3">
      <c r="A32" s="363" t="s">
        <v>453</v>
      </c>
      <c r="B32" s="364"/>
      <c r="C32" s="365"/>
      <c r="D32" s="366" t="s">
        <v>454</v>
      </c>
      <c r="E32" s="367"/>
      <c r="F32" s="368"/>
      <c r="G32" s="363" t="s">
        <v>455</v>
      </c>
      <c r="H32" s="364"/>
      <c r="I32" s="365"/>
      <c r="J32" s="363" t="s">
        <v>456</v>
      </c>
      <c r="K32" s="364"/>
      <c r="L32" s="365"/>
      <c r="M32" s="363" t="s">
        <v>457</v>
      </c>
      <c r="N32" s="364"/>
      <c r="O32" s="365"/>
    </row>
    <row r="33" spans="1:15" s="362" customFormat="1" ht="26.4" x14ac:dyDescent="0.3">
      <c r="A33" s="369"/>
      <c r="B33" s="370" t="s">
        <v>458</v>
      </c>
      <c r="C33" s="371">
        <f>MIN(C34:C36)</f>
        <v>29.6</v>
      </c>
      <c r="D33" s="369"/>
      <c r="E33" s="370" t="s">
        <v>458</v>
      </c>
      <c r="F33" s="371">
        <f>MIN(F34:F36)</f>
        <v>22.6</v>
      </c>
      <c r="G33" s="369"/>
      <c r="H33" s="370" t="s">
        <v>458</v>
      </c>
      <c r="I33" s="371">
        <f>MIN(I34:I36)</f>
        <v>26.6</v>
      </c>
      <c r="J33" s="369"/>
      <c r="K33" s="370" t="s">
        <v>458</v>
      </c>
      <c r="L33" s="371">
        <f>MIN(L34:L36)</f>
        <v>29.6</v>
      </c>
      <c r="M33" s="369"/>
      <c r="N33" s="370" t="s">
        <v>458</v>
      </c>
      <c r="O33" s="371">
        <f>MIN(O34:O36)</f>
        <v>28.2</v>
      </c>
    </row>
    <row r="34" spans="1:15" s="362" customFormat="1" ht="26.4" x14ac:dyDescent="0.3">
      <c r="A34" s="372" t="s">
        <v>459</v>
      </c>
      <c r="B34" s="369" t="s">
        <v>460</v>
      </c>
      <c r="C34" s="373">
        <v>75.2</v>
      </c>
      <c r="D34" s="372" t="s">
        <v>459</v>
      </c>
      <c r="E34" s="369" t="s">
        <v>460</v>
      </c>
      <c r="F34" s="373">
        <v>29.3</v>
      </c>
      <c r="G34" s="372" t="s">
        <v>459</v>
      </c>
      <c r="H34" s="369" t="s">
        <v>460</v>
      </c>
      <c r="I34" s="373">
        <v>26.6</v>
      </c>
      <c r="J34" s="372" t="s">
        <v>459</v>
      </c>
      <c r="K34" s="369" t="s">
        <v>460</v>
      </c>
      <c r="L34" s="373">
        <v>34.6</v>
      </c>
      <c r="M34" s="372" t="s">
        <v>459</v>
      </c>
      <c r="N34" s="369" t="s">
        <v>460</v>
      </c>
      <c r="O34" s="373">
        <v>39.200000000000003</v>
      </c>
    </row>
    <row r="35" spans="1:15" s="362" customFormat="1" ht="26.4" x14ac:dyDescent="0.3">
      <c r="A35" s="372" t="s">
        <v>461</v>
      </c>
      <c r="B35" s="369" t="s">
        <v>462</v>
      </c>
      <c r="C35" s="373">
        <v>29.6</v>
      </c>
      <c r="D35" s="372" t="s">
        <v>461</v>
      </c>
      <c r="E35" s="369" t="s">
        <v>462</v>
      </c>
      <c r="F35" s="373">
        <v>22.6</v>
      </c>
      <c r="G35" s="372" t="s">
        <v>461</v>
      </c>
      <c r="H35" s="369" t="s">
        <v>462</v>
      </c>
      <c r="I35" s="373">
        <v>32.1</v>
      </c>
      <c r="J35" s="372" t="s">
        <v>461</v>
      </c>
      <c r="K35" s="369" t="s">
        <v>462</v>
      </c>
      <c r="L35" s="373">
        <v>29.6</v>
      </c>
      <c r="M35" s="372" t="s">
        <v>461</v>
      </c>
      <c r="N35" s="369" t="s">
        <v>462</v>
      </c>
      <c r="O35" s="373">
        <v>28.2</v>
      </c>
    </row>
    <row r="36" spans="1:15" ht="26.4" x14ac:dyDescent="0.3">
      <c r="A36" s="372" t="s">
        <v>463</v>
      </c>
      <c r="B36" s="369" t="s">
        <v>15566</v>
      </c>
      <c r="C36" s="373">
        <v>34.200000000000003</v>
      </c>
      <c r="D36" s="369" t="s">
        <v>15566</v>
      </c>
      <c r="E36" s="369" t="s">
        <v>15566</v>
      </c>
      <c r="F36" s="373">
        <v>25.8</v>
      </c>
      <c r="G36" s="372" t="s">
        <v>463</v>
      </c>
      <c r="H36" s="369" t="s">
        <v>15566</v>
      </c>
      <c r="I36" s="373">
        <v>35.299999999999997</v>
      </c>
      <c r="J36" s="372" t="s">
        <v>463</v>
      </c>
      <c r="K36" s="369" t="s">
        <v>15566</v>
      </c>
      <c r="L36" s="373">
        <v>32.200000000000003</v>
      </c>
      <c r="M36" s="372" t="s">
        <v>463</v>
      </c>
      <c r="N36" s="369" t="s">
        <v>15566</v>
      </c>
      <c r="O36" s="373">
        <v>31.6</v>
      </c>
    </row>
    <row r="37" spans="1:15" ht="26.4" x14ac:dyDescent="0.3">
      <c r="A37" s="372" t="s">
        <v>464</v>
      </c>
      <c r="B37" s="369" t="s">
        <v>15477</v>
      </c>
      <c r="C37" s="374">
        <v>6.6</v>
      </c>
      <c r="D37" s="372" t="s">
        <v>464</v>
      </c>
      <c r="E37" s="369" t="s">
        <v>15477</v>
      </c>
      <c r="F37" s="374">
        <v>56.5</v>
      </c>
      <c r="G37" s="372" t="s">
        <v>464</v>
      </c>
      <c r="H37" s="369" t="s">
        <v>15477</v>
      </c>
      <c r="I37" s="374">
        <v>65</v>
      </c>
      <c r="J37" s="372" t="s">
        <v>464</v>
      </c>
      <c r="K37" s="369" t="s">
        <v>15477</v>
      </c>
      <c r="L37" s="374">
        <v>62.4</v>
      </c>
      <c r="M37" s="372" t="s">
        <v>464</v>
      </c>
      <c r="N37" s="369" t="s">
        <v>15477</v>
      </c>
      <c r="O37" s="374">
        <v>62.1</v>
      </c>
    </row>
    <row r="38" spans="1:15" ht="12.75" customHeight="1" x14ac:dyDescent="0.3">
      <c r="A38" s="759" t="s">
        <v>465</v>
      </c>
      <c r="B38" s="759"/>
      <c r="C38" s="375">
        <f>ROUND(C33+C37,2)</f>
        <v>36.200000000000003</v>
      </c>
      <c r="D38" s="376"/>
      <c r="E38" s="376"/>
      <c r="F38" s="376"/>
      <c r="G38" s="376"/>
      <c r="H38" s="376"/>
      <c r="I38" s="376"/>
      <c r="J38" s="376"/>
      <c r="K38" s="376"/>
      <c r="L38" s="376"/>
      <c r="M38" s="376"/>
      <c r="N38" s="376"/>
      <c r="O38" s="376"/>
    </row>
    <row r="39" spans="1:15" x14ac:dyDescent="0.3">
      <c r="A39" s="331"/>
      <c r="B39" s="331"/>
      <c r="C39" s="377"/>
      <c r="D39" s="331"/>
      <c r="E39" s="331"/>
      <c r="F39" s="377"/>
      <c r="G39" s="331"/>
      <c r="H39" s="331"/>
      <c r="I39" s="377"/>
      <c r="J39" s="331"/>
      <c r="K39" s="331"/>
      <c r="L39" s="377"/>
      <c r="M39" s="331"/>
      <c r="N39" s="331"/>
      <c r="O39" s="377"/>
    </row>
    <row r="40" spans="1:15" x14ac:dyDescent="0.3">
      <c r="A40" s="331"/>
      <c r="B40" s="331"/>
      <c r="C40" s="331"/>
      <c r="D40" s="331"/>
      <c r="E40" s="331"/>
      <c r="F40" s="331"/>
      <c r="G40" s="331"/>
      <c r="H40" s="331"/>
      <c r="I40" s="331"/>
      <c r="J40" s="331"/>
      <c r="K40" s="331"/>
      <c r="L40" s="331"/>
      <c r="M40" s="331"/>
      <c r="N40" s="331"/>
      <c r="O40" s="331"/>
    </row>
    <row r="41" spans="1:15" s="543" customFormat="1" ht="20.100000000000001" customHeight="1" x14ac:dyDescent="0.3">
      <c r="A41" s="540" t="s">
        <v>15564</v>
      </c>
      <c r="B41" s="541"/>
      <c r="C41" s="542"/>
    </row>
    <row r="42" spans="1:15" s="543" customFormat="1" ht="26.4" x14ac:dyDescent="0.3">
      <c r="A42" s="382" t="s">
        <v>475</v>
      </c>
      <c r="B42" s="383" t="s">
        <v>476</v>
      </c>
      <c r="C42" s="373">
        <v>6.6</v>
      </c>
    </row>
    <row r="43" spans="1:15" s="543" customFormat="1" ht="39.6" x14ac:dyDescent="0.3">
      <c r="A43" s="382" t="s">
        <v>15452</v>
      </c>
      <c r="B43" s="383" t="s">
        <v>15456</v>
      </c>
      <c r="C43" s="373">
        <v>56.5</v>
      </c>
    </row>
    <row r="44" spans="1:15" s="543" customFormat="1" ht="26.4" x14ac:dyDescent="0.3">
      <c r="A44" s="382" t="s">
        <v>15453</v>
      </c>
      <c r="B44" s="383" t="s">
        <v>15478</v>
      </c>
      <c r="C44" s="373">
        <v>65</v>
      </c>
    </row>
    <row r="45" spans="1:15" s="543" customFormat="1" ht="26.4" x14ac:dyDescent="0.3">
      <c r="A45" s="382" t="s">
        <v>15454</v>
      </c>
      <c r="B45" s="383" t="s">
        <v>15479</v>
      </c>
      <c r="C45" s="373">
        <v>62.4</v>
      </c>
    </row>
    <row r="46" spans="1:15" s="543" customFormat="1" ht="26.4" x14ac:dyDescent="0.3">
      <c r="A46" s="382" t="s">
        <v>15455</v>
      </c>
      <c r="B46" s="383" t="s">
        <v>15480</v>
      </c>
      <c r="C46" s="373">
        <v>62.1</v>
      </c>
    </row>
    <row r="47" spans="1:15" s="545" customFormat="1" x14ac:dyDescent="0.3">
      <c r="A47" s="760" t="s">
        <v>15457</v>
      </c>
      <c r="B47" s="761"/>
      <c r="C47" s="544">
        <f>C42</f>
        <v>6.6</v>
      </c>
    </row>
    <row r="48" spans="1:15" s="543" customFormat="1" ht="13.2" x14ac:dyDescent="0.3"/>
    <row r="49" spans="1:15" s="543" customFormat="1" ht="13.2" x14ac:dyDescent="0.3"/>
    <row r="50" spans="1:15" ht="18" customHeight="1" x14ac:dyDescent="0.3">
      <c r="A50" s="378" t="s">
        <v>466</v>
      </c>
      <c r="B50" s="379"/>
      <c r="C50" s="380"/>
      <c r="D50" s="381"/>
      <c r="E50" s="381"/>
      <c r="F50" s="381"/>
      <c r="G50" s="381"/>
      <c r="H50" s="381"/>
      <c r="I50" s="381"/>
      <c r="J50" s="381"/>
      <c r="K50" s="381"/>
      <c r="L50" s="381"/>
      <c r="M50" s="381"/>
      <c r="N50" s="381"/>
      <c r="O50" s="381"/>
    </row>
    <row r="51" spans="1:15" ht="26.4" x14ac:dyDescent="0.3">
      <c r="A51" s="382" t="s">
        <v>467</v>
      </c>
      <c r="B51" s="383" t="s">
        <v>468</v>
      </c>
      <c r="C51" s="373">
        <v>26.1</v>
      </c>
      <c r="D51" s="381"/>
      <c r="E51" s="381"/>
      <c r="F51" s="381"/>
      <c r="G51" s="381"/>
      <c r="H51" s="381"/>
      <c r="I51" s="381"/>
      <c r="J51" s="381"/>
      <c r="K51" s="381"/>
      <c r="L51" s="381"/>
      <c r="M51" s="381"/>
      <c r="N51" s="381"/>
      <c r="O51" s="381"/>
    </row>
    <row r="52" spans="1:15" ht="26.4" x14ac:dyDescent="0.3">
      <c r="A52" s="382" t="s">
        <v>469</v>
      </c>
      <c r="B52" s="383" t="s">
        <v>470</v>
      </c>
      <c r="C52" s="373">
        <v>29.9</v>
      </c>
      <c r="D52" s="381"/>
      <c r="E52" s="381"/>
      <c r="F52" s="381"/>
      <c r="G52" s="381"/>
      <c r="H52" s="381"/>
      <c r="I52" s="381"/>
      <c r="J52" s="381"/>
      <c r="K52" s="381"/>
      <c r="L52" s="381"/>
      <c r="M52" s="381"/>
      <c r="N52" s="381"/>
      <c r="O52" s="381"/>
    </row>
    <row r="53" spans="1:15" ht="39.6" x14ac:dyDescent="0.3">
      <c r="A53" s="382" t="s">
        <v>471</v>
      </c>
      <c r="B53" s="383" t="s">
        <v>472</v>
      </c>
      <c r="C53" s="373">
        <v>21</v>
      </c>
      <c r="D53" s="381"/>
      <c r="E53" s="381"/>
      <c r="F53" s="381"/>
      <c r="G53" s="381"/>
      <c r="H53" s="381"/>
      <c r="I53" s="381"/>
      <c r="J53" s="381"/>
      <c r="K53" s="381"/>
      <c r="L53" s="381"/>
      <c r="M53" s="381"/>
      <c r="N53" s="381"/>
      <c r="O53" s="381"/>
    </row>
    <row r="54" spans="1:15" ht="26.4" x14ac:dyDescent="0.3">
      <c r="A54" s="384" t="s">
        <v>473</v>
      </c>
      <c r="B54" s="385" t="s">
        <v>474</v>
      </c>
      <c r="C54" s="373">
        <v>16.100000000000001</v>
      </c>
      <c r="D54" s="381"/>
      <c r="E54" s="381"/>
      <c r="F54" s="381"/>
      <c r="G54" s="381"/>
      <c r="H54" s="381"/>
      <c r="I54" s="381"/>
      <c r="J54" s="381"/>
      <c r="K54" s="381"/>
      <c r="L54" s="381"/>
      <c r="M54" s="381"/>
      <c r="N54" s="381"/>
      <c r="O54" s="381"/>
    </row>
    <row r="55" spans="1:15" ht="12.75" customHeight="1" x14ac:dyDescent="0.3">
      <c r="A55" s="755" t="s">
        <v>465</v>
      </c>
      <c r="B55" s="755"/>
      <c r="C55" s="386">
        <f>C54</f>
        <v>16.100000000000001</v>
      </c>
    </row>
    <row r="58" spans="1:15" ht="22.5" customHeight="1" x14ac:dyDescent="0.3">
      <c r="A58" s="378" t="s">
        <v>15584</v>
      </c>
      <c r="B58" s="379"/>
      <c r="C58" s="380"/>
    </row>
    <row r="59" spans="1:15" ht="26.4" x14ac:dyDescent="0.3">
      <c r="A59" s="387" t="s">
        <v>475</v>
      </c>
      <c r="B59" s="388" t="s">
        <v>476</v>
      </c>
      <c r="C59" s="373">
        <v>6.6</v>
      </c>
    </row>
    <row r="60" spans="1:15" ht="26.4" x14ac:dyDescent="0.3">
      <c r="A60" s="387" t="s">
        <v>477</v>
      </c>
      <c r="B60" s="388" t="s">
        <v>478</v>
      </c>
      <c r="C60" s="373">
        <v>46</v>
      </c>
    </row>
    <row r="61" spans="1:15" ht="26.4" x14ac:dyDescent="0.3">
      <c r="A61" s="387" t="s">
        <v>479</v>
      </c>
      <c r="B61" s="388" t="s">
        <v>480</v>
      </c>
      <c r="C61" s="373">
        <v>63.4</v>
      </c>
    </row>
    <row r="62" spans="1:15" ht="12.75" customHeight="1" x14ac:dyDescent="0.3">
      <c r="A62" s="755" t="s">
        <v>465</v>
      </c>
      <c r="B62" s="755"/>
      <c r="C62" s="386">
        <f>C59</f>
        <v>6.6</v>
      </c>
    </row>
    <row r="63" spans="1:15" x14ac:dyDescent="0.3">
      <c r="A63" s="381"/>
      <c r="B63" s="381"/>
      <c r="C63" s="381"/>
      <c r="D63" s="381"/>
      <c r="E63" s="381"/>
      <c r="F63" s="381"/>
      <c r="G63" s="381"/>
      <c r="H63" s="381"/>
      <c r="I63" s="381"/>
      <c r="J63" s="381"/>
      <c r="K63" s="381"/>
      <c r="L63" s="381"/>
      <c r="M63" s="381"/>
      <c r="N63" s="381"/>
      <c r="O63" s="381"/>
    </row>
    <row r="64" spans="1:15" x14ac:dyDescent="0.3">
      <c r="A64" s="381"/>
      <c r="B64" s="381"/>
      <c r="C64" s="381"/>
      <c r="D64" s="381"/>
      <c r="E64" s="381"/>
      <c r="F64" s="381"/>
      <c r="G64" s="381"/>
      <c r="H64" s="381"/>
      <c r="I64" s="381"/>
      <c r="J64" s="381"/>
      <c r="K64" s="381"/>
      <c r="L64" s="381"/>
      <c r="M64" s="381"/>
      <c r="N64" s="381"/>
      <c r="O64" s="381"/>
    </row>
    <row r="65" spans="1:3" ht="19.5" customHeight="1" x14ac:dyDescent="0.3">
      <c r="A65" s="378" t="s">
        <v>15583</v>
      </c>
      <c r="B65" s="379"/>
      <c r="C65" s="380"/>
    </row>
    <row r="66" spans="1:3" ht="26.4" x14ac:dyDescent="0.3">
      <c r="A66" s="387" t="s">
        <v>481</v>
      </c>
      <c r="B66" s="388" t="s">
        <v>482</v>
      </c>
      <c r="C66" s="373">
        <v>25.6</v>
      </c>
    </row>
    <row r="67" spans="1:3" ht="26.4" x14ac:dyDescent="0.3">
      <c r="A67" s="387" t="s">
        <v>483</v>
      </c>
      <c r="B67" s="388" t="s">
        <v>484</v>
      </c>
      <c r="C67" s="373">
        <v>25.8</v>
      </c>
    </row>
    <row r="68" spans="1:3" ht="26.4" x14ac:dyDescent="0.3">
      <c r="A68" s="387" t="s">
        <v>485</v>
      </c>
      <c r="B68" s="388" t="s">
        <v>486</v>
      </c>
      <c r="C68" s="373">
        <v>25.5</v>
      </c>
    </row>
    <row r="69" spans="1:3" ht="12.75" customHeight="1" x14ac:dyDescent="0.3">
      <c r="A69" s="755" t="s">
        <v>465</v>
      </c>
      <c r="B69" s="755"/>
      <c r="C69" s="386">
        <f>C68</f>
        <v>25.5</v>
      </c>
    </row>
    <row r="72" spans="1:3" ht="19.5" customHeight="1" x14ac:dyDescent="0.3">
      <c r="A72" s="378" t="s">
        <v>487</v>
      </c>
      <c r="B72" s="379"/>
      <c r="C72" s="380"/>
    </row>
    <row r="73" spans="1:3" ht="26.4" x14ac:dyDescent="0.3">
      <c r="A73" s="387" t="s">
        <v>488</v>
      </c>
      <c r="B73" s="388" t="s">
        <v>476</v>
      </c>
      <c r="C73" s="373">
        <v>6.6</v>
      </c>
    </row>
    <row r="74" spans="1:3" ht="39.6" x14ac:dyDescent="0.3">
      <c r="A74" s="387" t="s">
        <v>489</v>
      </c>
      <c r="B74" s="388" t="s">
        <v>490</v>
      </c>
      <c r="C74" s="373">
        <v>6.6</v>
      </c>
    </row>
    <row r="75" spans="1:3" x14ac:dyDescent="0.3">
      <c r="A75" s="387"/>
      <c r="B75" s="388"/>
      <c r="C75" s="373"/>
    </row>
    <row r="76" spans="1:3" ht="12.75" customHeight="1" x14ac:dyDescent="0.3">
      <c r="A76" s="755" t="s">
        <v>465</v>
      </c>
      <c r="B76" s="755"/>
      <c r="C76" s="386">
        <f>C74</f>
        <v>6.6</v>
      </c>
    </row>
  </sheetData>
  <mergeCells count="14">
    <mergeCell ref="B1:E1"/>
    <mergeCell ref="C6:E6"/>
    <mergeCell ref="C7:E7"/>
    <mergeCell ref="A11:E11"/>
    <mergeCell ref="C17:E17"/>
    <mergeCell ref="A69:B69"/>
    <mergeCell ref="A76:B76"/>
    <mergeCell ref="A55:B55"/>
    <mergeCell ref="A62:B62"/>
    <mergeCell ref="C18:E18"/>
    <mergeCell ref="C22:E22"/>
    <mergeCell ref="D24:E24"/>
    <mergeCell ref="A38:B38"/>
    <mergeCell ref="A47:B47"/>
  </mergeCells>
  <pageMargins left="0.51180555555555596" right="0.51180555555555596" top="0.78749999999999998" bottom="0.78749999999999998" header="0.511811023622047" footer="0.511811023622047"/>
  <pageSetup paperSize="9" fitToWidth="0" orientation="landscape" horizontalDpi="300" verticalDpi="30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AI48"/>
  <sheetViews>
    <sheetView showGridLines="0" zoomScale="85" zoomScaleNormal="85" workbookViewId="0">
      <selection activeCell="Q35" sqref="Q35"/>
    </sheetView>
  </sheetViews>
  <sheetFormatPr defaultColWidth="8.88671875" defaultRowHeight="15.6" x14ac:dyDescent="0.3"/>
  <cols>
    <col min="1" max="1" width="41.44140625" style="604" customWidth="1"/>
    <col min="2" max="2" width="17.109375" style="604" customWidth="1"/>
    <col min="3" max="3" width="16" style="604" customWidth="1"/>
    <col min="4" max="4" width="16" style="555" customWidth="1"/>
    <col min="5" max="5" width="3" style="555" customWidth="1"/>
    <col min="6" max="6" width="3.109375" style="555" customWidth="1"/>
    <col min="7" max="7" width="12.6640625" style="560" customWidth="1"/>
    <col min="8" max="8" width="1.6640625" style="555" customWidth="1"/>
    <col min="9" max="9" width="11.33203125" style="555" customWidth="1"/>
    <col min="10" max="10" width="15" style="555" customWidth="1"/>
    <col min="11" max="11" width="12.44140625" style="555" customWidth="1"/>
    <col min="12" max="12" width="13.88671875" style="555" customWidth="1"/>
    <col min="13" max="13" width="9.5546875" style="555" customWidth="1"/>
    <col min="14" max="14" width="13.33203125" style="555" customWidth="1"/>
    <col min="15" max="15" width="1.6640625" style="555" customWidth="1"/>
    <col min="16" max="16" width="16.5546875" style="555" customWidth="1"/>
    <col min="17" max="17" width="1.6640625" style="555" customWidth="1"/>
    <col min="18" max="18" width="12.6640625" style="555" customWidth="1"/>
    <col min="19" max="19" width="15.5546875" style="555" customWidth="1"/>
    <col min="20" max="20" width="12" style="555" customWidth="1"/>
    <col min="21" max="21" width="14.88671875" style="555" customWidth="1"/>
    <col min="22" max="22" width="10" style="555" customWidth="1"/>
    <col min="23" max="23" width="13.33203125" style="555" customWidth="1"/>
    <col min="24" max="25" width="4" style="555" customWidth="1"/>
    <col min="26" max="31" width="8.88671875" style="555"/>
    <col min="32" max="32" width="17.5546875" style="555" customWidth="1"/>
    <col min="33" max="33" width="15.6640625" style="555" customWidth="1"/>
    <col min="34" max="34" width="15.88671875" style="555" customWidth="1"/>
    <col min="35" max="16384" width="8.88671875" style="555"/>
  </cols>
  <sheetData>
    <row r="1" spans="1:35" ht="18" customHeight="1" x14ac:dyDescent="0.3">
      <c r="A1" s="636" t="s">
        <v>380</v>
      </c>
      <c r="B1" s="636"/>
      <c r="C1" s="636"/>
      <c r="D1" s="636"/>
      <c r="E1" s="636"/>
      <c r="F1" s="553"/>
      <c r="G1" s="638" t="s">
        <v>381</v>
      </c>
      <c r="H1" s="638"/>
      <c r="I1" s="638"/>
      <c r="J1" s="638"/>
      <c r="K1" s="638"/>
      <c r="L1" s="638"/>
      <c r="M1" s="638"/>
      <c r="N1" s="638"/>
      <c r="O1" s="638"/>
      <c r="P1" s="638"/>
      <c r="Q1" s="638"/>
      <c r="R1" s="638"/>
      <c r="S1" s="638"/>
      <c r="T1" s="638"/>
      <c r="U1" s="638"/>
      <c r="V1" s="638"/>
      <c r="W1" s="638"/>
      <c r="X1" s="554"/>
      <c r="Z1" s="643" t="s">
        <v>15481</v>
      </c>
      <c r="AA1" s="643"/>
      <c r="AB1" s="643"/>
      <c r="AC1" s="643"/>
      <c r="AD1" s="643"/>
      <c r="AE1" s="643"/>
      <c r="AF1" s="643"/>
      <c r="AG1" s="643"/>
      <c r="AH1" s="643"/>
      <c r="AI1" s="556"/>
    </row>
    <row r="2" spans="1:35" ht="18" customHeight="1" x14ac:dyDescent="0.3">
      <c r="A2" s="637" t="s">
        <v>15482</v>
      </c>
      <c r="B2" s="637"/>
      <c r="C2" s="637"/>
      <c r="D2" s="637"/>
      <c r="E2" s="637"/>
      <c r="F2" s="553"/>
      <c r="G2" s="642"/>
      <c r="H2" s="642"/>
      <c r="I2" s="642"/>
      <c r="J2" s="642"/>
      <c r="K2" s="642"/>
      <c r="L2" s="642"/>
      <c r="M2" s="642"/>
      <c r="N2" s="642"/>
      <c r="O2" s="642"/>
      <c r="P2" s="642"/>
      <c r="Q2" s="642"/>
      <c r="R2" s="642"/>
      <c r="S2" s="642"/>
      <c r="T2" s="642"/>
      <c r="U2" s="642"/>
      <c r="V2" s="642"/>
      <c r="W2" s="642"/>
      <c r="X2" s="554"/>
      <c r="Z2" s="642"/>
      <c r="AA2" s="642"/>
      <c r="AB2" s="642"/>
      <c r="AC2" s="642"/>
      <c r="AD2" s="642"/>
      <c r="AE2" s="642"/>
      <c r="AF2" s="642"/>
      <c r="AG2" s="642"/>
      <c r="AH2" s="642"/>
      <c r="AI2" s="557"/>
    </row>
    <row r="3" spans="1:35" s="560" customFormat="1" x14ac:dyDescent="0.3">
      <c r="A3" s="561" t="s">
        <v>15483</v>
      </c>
      <c r="B3" s="561"/>
      <c r="C3" s="561"/>
      <c r="D3" s="561"/>
      <c r="E3" s="561"/>
      <c r="F3" s="558"/>
      <c r="G3" s="581"/>
      <c r="H3" s="581"/>
      <c r="I3" s="581"/>
      <c r="J3" s="581"/>
      <c r="K3" s="581"/>
      <c r="L3" s="581"/>
      <c r="M3" s="581"/>
      <c r="N3" s="581"/>
      <c r="O3" s="581"/>
      <c r="P3" s="581"/>
      <c r="Q3" s="581"/>
      <c r="R3" s="581"/>
      <c r="S3" s="581"/>
      <c r="T3" s="581"/>
      <c r="U3" s="581"/>
      <c r="V3" s="581"/>
      <c r="W3" s="581"/>
      <c r="X3" s="559"/>
      <c r="Z3" s="581"/>
      <c r="AA3" s="581"/>
      <c r="AB3" s="581"/>
      <c r="AC3" s="581"/>
      <c r="AD3" s="581"/>
      <c r="AE3" s="581"/>
      <c r="AF3" s="581"/>
      <c r="AG3" s="581"/>
      <c r="AH3" s="581"/>
      <c r="AI3" s="561"/>
    </row>
    <row r="4" spans="1:35" ht="18" customHeight="1" x14ac:dyDescent="0.3">
      <c r="A4" s="635" t="s">
        <v>15484</v>
      </c>
      <c r="B4" s="561"/>
      <c r="C4" s="561"/>
      <c r="D4" s="561"/>
      <c r="E4" s="561"/>
      <c r="F4" s="553"/>
      <c r="G4" s="640"/>
      <c r="H4" s="641"/>
      <c r="I4" s="641"/>
      <c r="J4" s="641"/>
      <c r="K4" s="641"/>
      <c r="L4" s="641"/>
      <c r="M4" s="641"/>
      <c r="N4" s="641"/>
      <c r="O4" s="641"/>
      <c r="P4" s="641"/>
      <c r="Q4" s="641"/>
      <c r="R4" s="641"/>
      <c r="S4" s="641"/>
      <c r="T4" s="641"/>
      <c r="U4" s="641"/>
      <c r="V4" s="641"/>
      <c r="W4" s="641"/>
      <c r="X4" s="554"/>
      <c r="Z4" s="640"/>
      <c r="AA4" s="640"/>
      <c r="AB4" s="640"/>
      <c r="AC4" s="640"/>
      <c r="AD4" s="640"/>
      <c r="AE4" s="640"/>
      <c r="AF4" s="640"/>
      <c r="AG4" s="640"/>
      <c r="AH4" s="640"/>
      <c r="AI4" s="562"/>
    </row>
    <row r="5" spans="1:35" ht="18" customHeight="1" x14ac:dyDescent="0.3">
      <c r="A5" s="564" t="s">
        <v>382</v>
      </c>
      <c r="B5" s="564">
        <f>5*20+14.14</f>
        <v>114.14</v>
      </c>
      <c r="C5" s="565" t="s">
        <v>413</v>
      </c>
      <c r="D5" s="563"/>
      <c r="E5" s="563"/>
      <c r="F5" s="553"/>
      <c r="G5" s="568"/>
      <c r="H5" s="566"/>
      <c r="I5" s="566"/>
      <c r="J5" s="566"/>
      <c r="K5" s="566"/>
      <c r="L5" s="566"/>
      <c r="M5" s="566"/>
      <c r="N5" s="566"/>
      <c r="O5" s="566"/>
      <c r="P5" s="566"/>
      <c r="Q5" s="566"/>
      <c r="R5" s="566"/>
      <c r="S5" s="566"/>
      <c r="T5" s="566"/>
      <c r="U5" s="566"/>
      <c r="V5" s="566"/>
      <c r="W5" s="566"/>
      <c r="X5" s="554"/>
      <c r="Y5" s="567"/>
      <c r="Z5" s="568"/>
      <c r="AA5" s="569"/>
      <c r="AB5" s="569"/>
      <c r="AC5" s="569"/>
      <c r="AD5" s="569"/>
      <c r="AE5" s="569"/>
      <c r="AF5" s="569"/>
      <c r="AG5" s="569"/>
      <c r="AH5" s="569"/>
      <c r="AI5" s="570"/>
    </row>
    <row r="6" spans="1:35" ht="18" customHeight="1" x14ac:dyDescent="0.3">
      <c r="A6" s="563"/>
      <c r="B6" s="563"/>
      <c r="C6" s="563"/>
      <c r="D6" s="563"/>
      <c r="E6" s="563"/>
      <c r="F6" s="553"/>
      <c r="G6" s="801" t="s">
        <v>383</v>
      </c>
      <c r="H6" s="571"/>
      <c r="I6" s="802" t="s">
        <v>15485</v>
      </c>
      <c r="J6" s="803"/>
      <c r="K6" s="803"/>
      <c r="L6" s="803"/>
      <c r="M6" s="803"/>
      <c r="N6" s="804"/>
      <c r="O6" s="572"/>
      <c r="P6" s="805" t="s">
        <v>385</v>
      </c>
      <c r="Q6" s="571"/>
      <c r="R6" s="796" t="s">
        <v>15486</v>
      </c>
      <c r="S6" s="797"/>
      <c r="T6" s="797"/>
      <c r="U6" s="797"/>
      <c r="V6" s="797"/>
      <c r="W6" s="798"/>
      <c r="X6" s="554"/>
      <c r="Y6" s="567"/>
      <c r="Z6" s="573" t="s">
        <v>15487</v>
      </c>
      <c r="AA6" s="574"/>
      <c r="AB6" s="574"/>
      <c r="AC6" s="574"/>
      <c r="AD6" s="574"/>
      <c r="AE6" s="574"/>
      <c r="AF6" s="574"/>
      <c r="AG6" s="806" t="s">
        <v>387</v>
      </c>
      <c r="AH6" s="806"/>
      <c r="AI6" s="575"/>
    </row>
    <row r="7" spans="1:35" ht="18" customHeight="1" x14ac:dyDescent="0.3">
      <c r="A7" s="644" t="s">
        <v>388</v>
      </c>
      <c r="B7" s="644"/>
      <c r="C7" s="644"/>
      <c r="D7" s="644"/>
      <c r="F7" s="553"/>
      <c r="G7" s="801"/>
      <c r="H7" s="571"/>
      <c r="I7" s="794" t="s">
        <v>389</v>
      </c>
      <c r="J7" s="795"/>
      <c r="K7" s="796" t="s">
        <v>390</v>
      </c>
      <c r="L7" s="797"/>
      <c r="M7" s="798"/>
      <c r="N7" s="799" t="s">
        <v>391</v>
      </c>
      <c r="O7" s="572"/>
      <c r="P7" s="805"/>
      <c r="Q7" s="571"/>
      <c r="R7" s="794" t="s">
        <v>389</v>
      </c>
      <c r="S7" s="795"/>
      <c r="T7" s="796" t="s">
        <v>390</v>
      </c>
      <c r="U7" s="797"/>
      <c r="V7" s="798"/>
      <c r="W7" s="799" t="s">
        <v>391</v>
      </c>
      <c r="X7" s="554"/>
      <c r="Y7" s="567"/>
      <c r="Z7" s="785" t="s">
        <v>392</v>
      </c>
      <c r="AA7" s="785"/>
      <c r="AB7" s="785"/>
      <c r="AC7" s="785"/>
      <c r="AD7" s="785"/>
      <c r="AE7" s="785" t="s">
        <v>393</v>
      </c>
      <c r="AF7" s="807" t="s">
        <v>394</v>
      </c>
      <c r="AG7" s="785" t="s">
        <v>395</v>
      </c>
      <c r="AH7" s="785" t="s">
        <v>396</v>
      </c>
      <c r="AI7" s="567"/>
    </row>
    <row r="8" spans="1:35" ht="18" customHeight="1" x14ac:dyDescent="0.3">
      <c r="A8" s="576" t="s">
        <v>397</v>
      </c>
      <c r="B8" s="576" t="s">
        <v>398</v>
      </c>
      <c r="C8" s="577" t="s">
        <v>399</v>
      </c>
      <c r="D8" s="577" t="s">
        <v>379</v>
      </c>
      <c r="F8" s="553"/>
      <c r="G8" s="801"/>
      <c r="H8" s="571"/>
      <c r="I8" s="578" t="s">
        <v>400</v>
      </c>
      <c r="J8" s="578" t="s">
        <v>378</v>
      </c>
      <c r="K8" s="578" t="s">
        <v>401</v>
      </c>
      <c r="L8" s="578" t="s">
        <v>378</v>
      </c>
      <c r="M8" s="578" t="s">
        <v>402</v>
      </c>
      <c r="N8" s="800"/>
      <c r="O8" s="572"/>
      <c r="P8" s="805"/>
      <c r="Q8" s="571"/>
      <c r="R8" s="578" t="s">
        <v>400</v>
      </c>
      <c r="S8" s="578" t="s">
        <v>378</v>
      </c>
      <c r="T8" s="578" t="s">
        <v>401</v>
      </c>
      <c r="U8" s="578" t="s">
        <v>378</v>
      </c>
      <c r="V8" s="578" t="s">
        <v>402</v>
      </c>
      <c r="W8" s="800"/>
      <c r="X8" s="554"/>
      <c r="Y8" s="567"/>
      <c r="Z8" s="785"/>
      <c r="AA8" s="785"/>
      <c r="AB8" s="785"/>
      <c r="AC8" s="785"/>
      <c r="AD8" s="785"/>
      <c r="AE8" s="785"/>
      <c r="AF8" s="807"/>
      <c r="AG8" s="785"/>
      <c r="AH8" s="785"/>
      <c r="AI8" s="567"/>
    </row>
    <row r="9" spans="1:35" ht="18" customHeight="1" x14ac:dyDescent="0.3">
      <c r="A9" s="579" t="s">
        <v>15488</v>
      </c>
      <c r="B9" s="645">
        <v>0.05</v>
      </c>
      <c r="C9" s="588">
        <v>645.63</v>
      </c>
      <c r="D9" s="580">
        <f>TRUNC(C9*B9,2)</f>
        <v>32.28</v>
      </c>
      <c r="F9" s="553"/>
      <c r="G9" s="632"/>
      <c r="H9" s="581"/>
      <c r="I9" s="581"/>
      <c r="J9" s="581"/>
      <c r="K9" s="581"/>
      <c r="L9" s="581"/>
      <c r="M9" s="581"/>
      <c r="N9" s="581"/>
      <c r="O9" s="581"/>
      <c r="P9" s="581"/>
      <c r="Q9" s="581"/>
      <c r="R9" s="581"/>
      <c r="S9" s="581"/>
      <c r="T9" s="581"/>
      <c r="U9" s="581"/>
      <c r="V9" s="581"/>
      <c r="W9" s="581"/>
      <c r="X9" s="554"/>
      <c r="Y9" s="567"/>
      <c r="Z9" s="788" t="s">
        <v>403</v>
      </c>
      <c r="AA9" s="789"/>
      <c r="AB9" s="789"/>
      <c r="AC9" s="789"/>
      <c r="AD9" s="789"/>
      <c r="AE9" s="582" t="s">
        <v>404</v>
      </c>
      <c r="AF9" s="583">
        <f>R27/Z23</f>
        <v>200.28800000000001</v>
      </c>
      <c r="AG9" s="584">
        <f>AF18</f>
        <v>53.295599999999993</v>
      </c>
      <c r="AH9" s="585">
        <f>AF9-AG9</f>
        <v>146.99240000000003</v>
      </c>
      <c r="AI9" s="586"/>
    </row>
    <row r="10" spans="1:35" ht="18" customHeight="1" x14ac:dyDescent="0.3">
      <c r="A10" s="587" t="s">
        <v>15489</v>
      </c>
      <c r="B10" s="645">
        <v>0.2</v>
      </c>
      <c r="C10" s="588">
        <f>C15</f>
        <v>702.65</v>
      </c>
      <c r="D10" s="580">
        <f t="shared" ref="D10:D12" si="0">TRUNC(C10*B10,2)</f>
        <v>140.53</v>
      </c>
      <c r="F10" s="553"/>
      <c r="G10" s="633" t="s">
        <v>15490</v>
      </c>
      <c r="H10" s="589"/>
      <c r="I10" s="590">
        <v>2.2284000000000002</v>
      </c>
      <c r="J10" s="590">
        <v>0.16289999999999999</v>
      </c>
      <c r="K10" s="590">
        <v>0</v>
      </c>
      <c r="L10" s="590">
        <v>0.92010000000000003</v>
      </c>
      <c r="M10" s="590">
        <v>0</v>
      </c>
      <c r="N10" s="590">
        <v>1.3913</v>
      </c>
      <c r="O10" s="591"/>
      <c r="P10" s="592">
        <v>0</v>
      </c>
      <c r="Q10" s="589"/>
      <c r="R10" s="590">
        <v>0</v>
      </c>
      <c r="S10" s="590">
        <v>0</v>
      </c>
      <c r="T10" s="590">
        <v>0</v>
      </c>
      <c r="U10" s="590">
        <v>0</v>
      </c>
      <c r="V10" s="590">
        <v>0</v>
      </c>
      <c r="W10" s="590">
        <v>0</v>
      </c>
      <c r="X10" s="554"/>
      <c r="Y10" s="567"/>
      <c r="Z10" s="790" t="s">
        <v>405</v>
      </c>
      <c r="AA10" s="791"/>
      <c r="AB10" s="791"/>
      <c r="AC10" s="791"/>
      <c r="AD10" s="791"/>
      <c r="AE10" s="593" t="s">
        <v>404</v>
      </c>
      <c r="AF10" s="594">
        <f>S27/Z23</f>
        <v>29.416000000000004</v>
      </c>
      <c r="AG10" s="595" t="s">
        <v>338</v>
      </c>
      <c r="AH10" s="596">
        <f>AF10</f>
        <v>29.416000000000004</v>
      </c>
      <c r="AI10" s="567"/>
    </row>
    <row r="11" spans="1:35" ht="18" customHeight="1" x14ac:dyDescent="0.3">
      <c r="A11" s="587" t="s">
        <v>15491</v>
      </c>
      <c r="B11" s="645">
        <v>0.2</v>
      </c>
      <c r="C11" s="588">
        <f>C15</f>
        <v>702.65</v>
      </c>
      <c r="D11" s="580">
        <f t="shared" si="0"/>
        <v>140.53</v>
      </c>
      <c r="F11" s="553"/>
      <c r="G11" s="633" t="s">
        <v>15492</v>
      </c>
      <c r="H11" s="589"/>
      <c r="I11" s="590">
        <f>I34-6.5*0.11</f>
        <v>1.7871000000000001</v>
      </c>
      <c r="J11" s="590">
        <v>0.29020000000000001</v>
      </c>
      <c r="K11" s="590">
        <v>0</v>
      </c>
      <c r="L11" s="590">
        <v>0.47389999999999999</v>
      </c>
      <c r="M11" s="590">
        <v>0</v>
      </c>
      <c r="N11" s="590">
        <v>1.2027000000000001</v>
      </c>
      <c r="O11" s="591"/>
      <c r="P11" s="592">
        <f>10-2.93</f>
        <v>7.07</v>
      </c>
      <c r="Q11" s="589"/>
      <c r="R11" s="590">
        <f t="shared" ref="R11:W25" si="1">((I11+I10)/2)*$P11</f>
        <v>14.194792500000002</v>
      </c>
      <c r="S11" s="590">
        <f t="shared" si="1"/>
        <v>1.6017085</v>
      </c>
      <c r="T11" s="590">
        <f t="shared" si="1"/>
        <v>0</v>
      </c>
      <c r="U11" s="590">
        <f t="shared" si="1"/>
        <v>4.9277900000000008</v>
      </c>
      <c r="V11" s="590">
        <f t="shared" si="1"/>
        <v>0</v>
      </c>
      <c r="W11" s="590">
        <f t="shared" si="1"/>
        <v>9.1697900000000008</v>
      </c>
      <c r="X11" s="554"/>
      <c r="Y11" s="567"/>
      <c r="Z11" s="779" t="s">
        <v>15493</v>
      </c>
      <c r="AA11" s="780"/>
      <c r="AB11" s="780"/>
      <c r="AC11" s="780"/>
      <c r="AD11" s="780"/>
      <c r="AE11" s="597" t="s">
        <v>404</v>
      </c>
      <c r="AF11" s="598">
        <f>W27/Z23</f>
        <v>102.976</v>
      </c>
      <c r="AG11" s="599" t="s">
        <v>338</v>
      </c>
      <c r="AH11" s="600">
        <f>AF11</f>
        <v>102.976</v>
      </c>
      <c r="AI11" s="567"/>
    </row>
    <row r="12" spans="1:35" ht="18" customHeight="1" x14ac:dyDescent="0.3">
      <c r="A12" s="587" t="s">
        <v>15494</v>
      </c>
      <c r="B12" s="645">
        <v>0</v>
      </c>
      <c r="C12" s="588">
        <f>C15</f>
        <v>702.65</v>
      </c>
      <c r="D12" s="580">
        <f t="shared" si="0"/>
        <v>0</v>
      </c>
      <c r="F12" s="553"/>
      <c r="G12" s="633">
        <v>1</v>
      </c>
      <c r="H12" s="589"/>
      <c r="I12" s="590">
        <f t="shared" ref="I12:I21" si="2">I35-6.5*0.11</f>
        <v>2.8234000000000004</v>
      </c>
      <c r="J12" s="590">
        <v>0.13020000000000001</v>
      </c>
      <c r="K12" s="590">
        <v>0</v>
      </c>
      <c r="L12" s="590">
        <v>0.42270000000000002</v>
      </c>
      <c r="M12" s="590">
        <v>0</v>
      </c>
      <c r="N12" s="590">
        <v>1.2163999999999999</v>
      </c>
      <c r="O12" s="591"/>
      <c r="P12" s="592">
        <v>10</v>
      </c>
      <c r="Q12" s="589"/>
      <c r="R12" s="590">
        <f t="shared" si="1"/>
        <v>23.052500000000002</v>
      </c>
      <c r="S12" s="590">
        <f t="shared" si="1"/>
        <v>2.1019999999999999</v>
      </c>
      <c r="T12" s="590">
        <f t="shared" si="1"/>
        <v>0</v>
      </c>
      <c r="U12" s="590">
        <f t="shared" si="1"/>
        <v>4.4830000000000005</v>
      </c>
      <c r="V12" s="590">
        <f t="shared" si="1"/>
        <v>0</v>
      </c>
      <c r="W12" s="590">
        <f t="shared" si="1"/>
        <v>12.095500000000001</v>
      </c>
      <c r="X12" s="554"/>
      <c r="Y12" s="567"/>
      <c r="Z12" s="781" t="s">
        <v>28</v>
      </c>
      <c r="AA12" s="781"/>
      <c r="AB12" s="781"/>
      <c r="AC12" s="781"/>
      <c r="AD12" s="781"/>
      <c r="AE12" s="601" t="s">
        <v>404</v>
      </c>
      <c r="AF12" s="602">
        <f>SUM(AF9:AF11)</f>
        <v>332.68</v>
      </c>
      <c r="AG12" s="603">
        <f>SUM(AG9:AG11)</f>
        <v>53.295599999999993</v>
      </c>
      <c r="AH12" s="603">
        <f>SUM(AH9:AH11)</f>
        <v>279.38440000000003</v>
      </c>
      <c r="AI12" s="567"/>
    </row>
    <row r="13" spans="1:35" ht="18" customHeight="1" x14ac:dyDescent="0.3">
      <c r="A13" s="560"/>
      <c r="D13" s="604"/>
      <c r="F13" s="553"/>
      <c r="G13" s="633" t="s">
        <v>15495</v>
      </c>
      <c r="H13" s="589"/>
      <c r="I13" s="590">
        <f t="shared" si="2"/>
        <v>2.5540000000000003</v>
      </c>
      <c r="J13" s="590">
        <v>0.1522</v>
      </c>
      <c r="K13" s="590">
        <v>0</v>
      </c>
      <c r="L13" s="590">
        <v>0.36570000000000003</v>
      </c>
      <c r="M13" s="590">
        <v>0</v>
      </c>
      <c r="N13" s="590">
        <v>1.3293999999999999</v>
      </c>
      <c r="O13" s="591"/>
      <c r="P13" s="592">
        <v>10</v>
      </c>
      <c r="Q13" s="589"/>
      <c r="R13" s="590">
        <f t="shared" si="1"/>
        <v>26.887000000000004</v>
      </c>
      <c r="S13" s="590">
        <f t="shared" si="1"/>
        <v>1.4119999999999999</v>
      </c>
      <c r="T13" s="590">
        <f t="shared" si="1"/>
        <v>0</v>
      </c>
      <c r="U13" s="590">
        <f t="shared" si="1"/>
        <v>3.9420000000000002</v>
      </c>
      <c r="V13" s="590">
        <f t="shared" si="1"/>
        <v>0</v>
      </c>
      <c r="W13" s="590">
        <f t="shared" si="1"/>
        <v>12.728999999999999</v>
      </c>
      <c r="X13" s="554"/>
      <c r="Y13" s="567"/>
      <c r="Z13" s="569"/>
      <c r="AA13" s="605"/>
      <c r="AB13" s="605"/>
      <c r="AC13" s="605"/>
      <c r="AD13" s="605"/>
      <c r="AE13" s="569"/>
      <c r="AF13" s="569"/>
      <c r="AG13" s="606"/>
      <c r="AH13" s="606"/>
      <c r="AI13" s="607"/>
    </row>
    <row r="14" spans="1:35" ht="18" customHeight="1" x14ac:dyDescent="0.3">
      <c r="A14" s="560" t="s">
        <v>15496</v>
      </c>
      <c r="C14" s="608">
        <f>W27/0.1</f>
        <v>1287.1999999999998</v>
      </c>
      <c r="D14" s="609" t="s">
        <v>408</v>
      </c>
      <c r="F14" s="553"/>
      <c r="G14" s="633">
        <v>2</v>
      </c>
      <c r="H14" s="589"/>
      <c r="I14" s="590">
        <f t="shared" si="2"/>
        <v>2.0587</v>
      </c>
      <c r="J14" s="590">
        <v>0.1699</v>
      </c>
      <c r="K14" s="590">
        <v>0</v>
      </c>
      <c r="L14" s="590">
        <v>0.4496</v>
      </c>
      <c r="M14" s="590">
        <v>0</v>
      </c>
      <c r="N14" s="590">
        <v>1.1555</v>
      </c>
      <c r="O14" s="591"/>
      <c r="P14" s="592">
        <v>10</v>
      </c>
      <c r="Q14" s="589"/>
      <c r="R14" s="590">
        <f t="shared" si="1"/>
        <v>23.063500000000001</v>
      </c>
      <c r="S14" s="590">
        <f t="shared" si="1"/>
        <v>1.6105</v>
      </c>
      <c r="T14" s="590">
        <f t="shared" si="1"/>
        <v>0</v>
      </c>
      <c r="U14" s="590">
        <f t="shared" si="1"/>
        <v>4.0765000000000002</v>
      </c>
      <c r="V14" s="590">
        <f t="shared" si="1"/>
        <v>0</v>
      </c>
      <c r="W14" s="590">
        <f t="shared" si="1"/>
        <v>12.424499999999998</v>
      </c>
      <c r="X14" s="554"/>
      <c r="Y14" s="567"/>
      <c r="Z14" s="792" t="s">
        <v>409</v>
      </c>
      <c r="AA14" s="793"/>
      <c r="AB14" s="793"/>
      <c r="AC14" s="793"/>
      <c r="AD14" s="793"/>
      <c r="AE14" s="793"/>
      <c r="AF14" s="793"/>
      <c r="AG14" s="783" t="s">
        <v>410</v>
      </c>
      <c r="AH14" s="784"/>
      <c r="AI14" s="610"/>
    </row>
    <row r="15" spans="1:35" ht="18" customHeight="1" x14ac:dyDescent="0.3">
      <c r="A15" s="560" t="s">
        <v>15497</v>
      </c>
      <c r="C15" s="608">
        <v>702.65</v>
      </c>
      <c r="D15" s="609" t="s">
        <v>408</v>
      </c>
      <c r="F15" s="553"/>
      <c r="G15" s="633" t="s">
        <v>15498</v>
      </c>
      <c r="H15" s="589"/>
      <c r="I15" s="590">
        <f t="shared" si="2"/>
        <v>2.2305000000000001</v>
      </c>
      <c r="J15" s="590">
        <v>0.21809999999999999</v>
      </c>
      <c r="K15" s="590">
        <v>0</v>
      </c>
      <c r="L15" s="590">
        <v>0.12559999999999999</v>
      </c>
      <c r="M15" s="590">
        <v>0</v>
      </c>
      <c r="N15" s="590">
        <v>1.121</v>
      </c>
      <c r="O15" s="591"/>
      <c r="P15" s="592">
        <v>10</v>
      </c>
      <c r="Q15" s="589"/>
      <c r="R15" s="590">
        <f t="shared" si="1"/>
        <v>21.446000000000002</v>
      </c>
      <c r="S15" s="590">
        <f t="shared" si="1"/>
        <v>1.94</v>
      </c>
      <c r="T15" s="590">
        <f t="shared" si="1"/>
        <v>0</v>
      </c>
      <c r="U15" s="590">
        <f t="shared" si="1"/>
        <v>2.8759999999999994</v>
      </c>
      <c r="V15" s="590">
        <f t="shared" si="1"/>
        <v>0</v>
      </c>
      <c r="W15" s="590">
        <f t="shared" si="1"/>
        <v>11.3825</v>
      </c>
      <c r="X15" s="554"/>
      <c r="Y15" s="567"/>
      <c r="Z15" s="785" t="s">
        <v>392</v>
      </c>
      <c r="AA15" s="785"/>
      <c r="AB15" s="785"/>
      <c r="AC15" s="785"/>
      <c r="AD15" s="785"/>
      <c r="AE15" s="785" t="s">
        <v>393</v>
      </c>
      <c r="AF15" s="786" t="s">
        <v>395</v>
      </c>
      <c r="AG15" s="787" t="s">
        <v>386</v>
      </c>
      <c r="AH15" s="787" t="s">
        <v>411</v>
      </c>
      <c r="AI15" s="575"/>
    </row>
    <row r="16" spans="1:35" ht="18" customHeight="1" x14ac:dyDescent="0.3">
      <c r="A16" s="555" t="s">
        <v>407</v>
      </c>
      <c r="C16" s="611">
        <f>SUM(C17:C19)</f>
        <v>357.27</v>
      </c>
      <c r="D16" s="612" t="s">
        <v>408</v>
      </c>
      <c r="F16" s="553"/>
      <c r="G16" s="633">
        <v>3</v>
      </c>
      <c r="H16" s="589"/>
      <c r="I16" s="590">
        <f t="shared" si="2"/>
        <v>2.6880000000000002</v>
      </c>
      <c r="J16" s="590">
        <v>0.80600000000000005</v>
      </c>
      <c r="K16" s="590">
        <v>0</v>
      </c>
      <c r="L16" s="590">
        <v>0.64780000000000004</v>
      </c>
      <c r="M16" s="590">
        <v>0</v>
      </c>
      <c r="N16" s="590">
        <v>1.1991000000000001</v>
      </c>
      <c r="O16" s="591"/>
      <c r="P16" s="592">
        <v>10</v>
      </c>
      <c r="Q16" s="589"/>
      <c r="R16" s="590">
        <f t="shared" si="1"/>
        <v>24.592500000000001</v>
      </c>
      <c r="S16" s="590">
        <f t="shared" si="1"/>
        <v>5.1204999999999998</v>
      </c>
      <c r="T16" s="590">
        <f t="shared" si="1"/>
        <v>0</v>
      </c>
      <c r="U16" s="590">
        <f t="shared" si="1"/>
        <v>3.8670000000000004</v>
      </c>
      <c r="V16" s="590">
        <f t="shared" si="1"/>
        <v>0</v>
      </c>
      <c r="W16" s="590">
        <f t="shared" si="1"/>
        <v>11.6005</v>
      </c>
      <c r="X16" s="554"/>
      <c r="Y16" s="567"/>
      <c r="Z16" s="785"/>
      <c r="AA16" s="785"/>
      <c r="AB16" s="785"/>
      <c r="AC16" s="785"/>
      <c r="AD16" s="785"/>
      <c r="AE16" s="785"/>
      <c r="AF16" s="786"/>
      <c r="AG16" s="787"/>
      <c r="AH16" s="787"/>
      <c r="AI16" s="575"/>
    </row>
    <row r="17" spans="1:35" ht="18" customHeight="1" x14ac:dyDescent="0.3">
      <c r="A17" s="782" t="s">
        <v>15499</v>
      </c>
      <c r="B17" s="782"/>
      <c r="C17" s="608">
        <v>217.65</v>
      </c>
      <c r="D17" s="612" t="s">
        <v>408</v>
      </c>
      <c r="F17" s="553"/>
      <c r="G17" s="633" t="s">
        <v>15500</v>
      </c>
      <c r="H17" s="589"/>
      <c r="I17" s="590">
        <f t="shared" si="2"/>
        <v>2.2018</v>
      </c>
      <c r="J17" s="590">
        <v>0.34399999999999997</v>
      </c>
      <c r="K17" s="590">
        <v>0</v>
      </c>
      <c r="L17" s="590">
        <v>0.65720000000000001</v>
      </c>
      <c r="M17" s="590">
        <v>0</v>
      </c>
      <c r="N17" s="590">
        <v>1.1766000000000001</v>
      </c>
      <c r="O17" s="591"/>
      <c r="P17" s="592">
        <v>10</v>
      </c>
      <c r="Q17" s="589"/>
      <c r="R17" s="590">
        <f t="shared" si="1"/>
        <v>24.449000000000002</v>
      </c>
      <c r="S17" s="590">
        <f t="shared" si="1"/>
        <v>5.75</v>
      </c>
      <c r="T17" s="590">
        <f t="shared" si="1"/>
        <v>0</v>
      </c>
      <c r="U17" s="590">
        <f t="shared" si="1"/>
        <v>6.5250000000000004</v>
      </c>
      <c r="V17" s="590">
        <f t="shared" si="1"/>
        <v>0</v>
      </c>
      <c r="W17" s="590">
        <f t="shared" si="1"/>
        <v>11.878500000000001</v>
      </c>
      <c r="X17" s="554"/>
      <c r="Y17" s="567"/>
      <c r="Z17" s="775" t="s">
        <v>403</v>
      </c>
      <c r="AA17" s="776"/>
      <c r="AB17" s="776"/>
      <c r="AC17" s="776"/>
      <c r="AD17" s="776"/>
      <c r="AE17" s="582" t="s">
        <v>404</v>
      </c>
      <c r="AF17" s="613">
        <f>T27</f>
        <v>0</v>
      </c>
      <c r="AG17" s="584" t="s">
        <v>338</v>
      </c>
      <c r="AH17" s="585">
        <f>AF17</f>
        <v>0</v>
      </c>
      <c r="AI17" s="575"/>
    </row>
    <row r="18" spans="1:35" ht="18" customHeight="1" x14ac:dyDescent="0.3">
      <c r="A18" s="782" t="s">
        <v>15501</v>
      </c>
      <c r="B18" s="782"/>
      <c r="C18" s="608">
        <v>139.62</v>
      </c>
      <c r="D18" s="612" t="s">
        <v>408</v>
      </c>
      <c r="F18" s="553"/>
      <c r="G18" s="633">
        <v>4</v>
      </c>
      <c r="H18" s="589"/>
      <c r="I18" s="590">
        <f t="shared" si="2"/>
        <v>2.2583000000000002</v>
      </c>
      <c r="J18" s="590">
        <v>0.59730000000000005</v>
      </c>
      <c r="K18" s="590">
        <v>0</v>
      </c>
      <c r="L18" s="590">
        <v>0.4168</v>
      </c>
      <c r="M18" s="590">
        <v>0</v>
      </c>
      <c r="N18" s="590">
        <v>1.1523000000000001</v>
      </c>
      <c r="O18" s="591"/>
      <c r="P18" s="592">
        <v>10</v>
      </c>
      <c r="Q18" s="589"/>
      <c r="R18" s="590">
        <f t="shared" si="1"/>
        <v>22.300500000000003</v>
      </c>
      <c r="S18" s="590">
        <f t="shared" si="1"/>
        <v>4.7065000000000001</v>
      </c>
      <c r="T18" s="590">
        <f t="shared" si="1"/>
        <v>0</v>
      </c>
      <c r="U18" s="590">
        <f t="shared" si="1"/>
        <v>5.37</v>
      </c>
      <c r="V18" s="590">
        <f t="shared" si="1"/>
        <v>0</v>
      </c>
      <c r="W18" s="590">
        <f t="shared" si="1"/>
        <v>11.644500000000001</v>
      </c>
      <c r="X18" s="554"/>
      <c r="Y18" s="567"/>
      <c r="Z18" s="777" t="s">
        <v>15502</v>
      </c>
      <c r="AA18" s="778"/>
      <c r="AB18" s="778"/>
      <c r="AC18" s="778"/>
      <c r="AD18" s="778"/>
      <c r="AE18" s="593" t="s">
        <v>404</v>
      </c>
      <c r="AF18" s="614">
        <f>U27+0.02*2*114.14</f>
        <v>53.295599999999993</v>
      </c>
      <c r="AG18" s="595">
        <f>AF18</f>
        <v>53.295599999999993</v>
      </c>
      <c r="AH18" s="596" t="s">
        <v>338</v>
      </c>
      <c r="AI18" s="575"/>
    </row>
    <row r="19" spans="1:35" ht="18" customHeight="1" x14ac:dyDescent="0.3">
      <c r="A19" s="560"/>
      <c r="B19" s="615" t="s">
        <v>15503</v>
      </c>
      <c r="C19" s="608">
        <v>0</v>
      </c>
      <c r="D19" s="609" t="s">
        <v>408</v>
      </c>
      <c r="F19" s="553"/>
      <c r="G19" s="633" t="s">
        <v>15504</v>
      </c>
      <c r="H19" s="589"/>
      <c r="I19" s="590">
        <f t="shared" si="2"/>
        <v>2.2610000000000001</v>
      </c>
      <c r="J19" s="590">
        <v>0.69650000000000001</v>
      </c>
      <c r="K19" s="590">
        <v>0</v>
      </c>
      <c r="L19" s="590">
        <v>0.43919999999999998</v>
      </c>
      <c r="M19" s="590">
        <v>0</v>
      </c>
      <c r="N19" s="590">
        <v>1.1244000000000001</v>
      </c>
      <c r="O19" s="591"/>
      <c r="P19" s="592">
        <v>10</v>
      </c>
      <c r="Q19" s="589"/>
      <c r="R19" s="590">
        <f t="shared" si="1"/>
        <v>22.596500000000002</v>
      </c>
      <c r="S19" s="590">
        <f t="shared" si="1"/>
        <v>6.4690000000000003</v>
      </c>
      <c r="T19" s="590">
        <f t="shared" si="1"/>
        <v>0</v>
      </c>
      <c r="U19" s="590">
        <f t="shared" si="1"/>
        <v>4.28</v>
      </c>
      <c r="V19" s="590">
        <f t="shared" si="1"/>
        <v>0</v>
      </c>
      <c r="W19" s="590">
        <f t="shared" si="1"/>
        <v>11.3835</v>
      </c>
      <c r="X19" s="554"/>
      <c r="Y19" s="567"/>
      <c r="Z19" s="779" t="s">
        <v>15505</v>
      </c>
      <c r="AA19" s="780"/>
      <c r="AB19" s="780"/>
      <c r="AC19" s="780"/>
      <c r="AD19" s="780"/>
      <c r="AE19" s="597" t="s">
        <v>404</v>
      </c>
      <c r="AF19" s="616">
        <f>V27</f>
        <v>0</v>
      </c>
      <c r="AG19" s="599" t="s">
        <v>338</v>
      </c>
      <c r="AH19" s="600">
        <f>AF19</f>
        <v>0</v>
      </c>
      <c r="AI19" s="575"/>
    </row>
    <row r="20" spans="1:35" ht="18" customHeight="1" x14ac:dyDescent="0.3">
      <c r="A20" s="560" t="s">
        <v>15506</v>
      </c>
      <c r="B20" s="615"/>
      <c r="C20" s="611">
        <f>SUM(C21:C22)</f>
        <v>176</v>
      </c>
      <c r="D20" s="609" t="s">
        <v>413</v>
      </c>
      <c r="F20" s="553"/>
      <c r="G20" s="633">
        <v>5</v>
      </c>
      <c r="H20" s="589"/>
      <c r="I20" s="590">
        <f t="shared" si="2"/>
        <v>1.9223000000000003</v>
      </c>
      <c r="J20" s="590">
        <v>2.6499999999999999E-2</v>
      </c>
      <c r="K20" s="590">
        <v>0</v>
      </c>
      <c r="L20" s="590">
        <v>0.39300000000000002</v>
      </c>
      <c r="M20" s="590">
        <v>0</v>
      </c>
      <c r="N20" s="590">
        <v>1.0186999999999999</v>
      </c>
      <c r="O20" s="591"/>
      <c r="P20" s="592">
        <v>10</v>
      </c>
      <c r="Q20" s="589"/>
      <c r="R20" s="590">
        <f t="shared" si="1"/>
        <v>20.916500000000006</v>
      </c>
      <c r="S20" s="590">
        <f t="shared" si="1"/>
        <v>3.6149999999999998</v>
      </c>
      <c r="T20" s="590">
        <f t="shared" si="1"/>
        <v>0</v>
      </c>
      <c r="U20" s="590">
        <f t="shared" si="1"/>
        <v>4.1610000000000005</v>
      </c>
      <c r="V20" s="590">
        <f t="shared" si="1"/>
        <v>0</v>
      </c>
      <c r="W20" s="590">
        <f t="shared" si="1"/>
        <v>10.7155</v>
      </c>
      <c r="X20" s="554"/>
      <c r="Y20" s="567"/>
      <c r="Z20" s="781" t="s">
        <v>415</v>
      </c>
      <c r="AA20" s="781"/>
      <c r="AB20" s="781"/>
      <c r="AC20" s="781"/>
      <c r="AD20" s="781"/>
      <c r="AE20" s="601" t="s">
        <v>404</v>
      </c>
      <c r="AF20" s="617">
        <f>SUM(AF17:AF19)</f>
        <v>53.295599999999993</v>
      </c>
      <c r="AG20" s="603">
        <f t="shared" ref="AG20:AH20" si="3">SUM(AG17:AG19)</f>
        <v>53.295599999999993</v>
      </c>
      <c r="AH20" s="603">
        <f t="shared" si="3"/>
        <v>0</v>
      </c>
      <c r="AI20" s="575"/>
    </row>
    <row r="21" spans="1:35" ht="18" customHeight="1" x14ac:dyDescent="0.3">
      <c r="A21" s="615"/>
      <c r="B21" s="615" t="s">
        <v>15507</v>
      </c>
      <c r="C21" s="608">
        <v>46</v>
      </c>
      <c r="D21" s="609" t="s">
        <v>413</v>
      </c>
      <c r="F21" s="553"/>
      <c r="G21" s="633" t="s">
        <v>15508</v>
      </c>
      <c r="H21" s="589"/>
      <c r="I21" s="590">
        <f t="shared" si="2"/>
        <v>2.7278000000000002</v>
      </c>
      <c r="J21" s="590">
        <v>0.1658</v>
      </c>
      <c r="K21" s="590">
        <v>0</v>
      </c>
      <c r="L21" s="590">
        <v>0.1598</v>
      </c>
      <c r="M21" s="590">
        <v>0</v>
      </c>
      <c r="N21" s="590">
        <v>1.0106999999999999</v>
      </c>
      <c r="O21" s="591"/>
      <c r="P21" s="592">
        <v>6.76</v>
      </c>
      <c r="Q21" s="589"/>
      <c r="R21" s="590">
        <f t="shared" si="1"/>
        <v>15.717338</v>
      </c>
      <c r="S21" s="590">
        <f t="shared" si="1"/>
        <v>0.64997399999999994</v>
      </c>
      <c r="T21" s="590">
        <f t="shared" si="1"/>
        <v>0</v>
      </c>
      <c r="U21" s="590">
        <f t="shared" si="1"/>
        <v>1.8684639999999999</v>
      </c>
      <c r="V21" s="590">
        <f t="shared" si="1"/>
        <v>0</v>
      </c>
      <c r="W21" s="590">
        <f t="shared" si="1"/>
        <v>6.8593719999999996</v>
      </c>
      <c r="X21" s="554"/>
    </row>
    <row r="22" spans="1:35" ht="18" customHeight="1" x14ac:dyDescent="0.3">
      <c r="A22" s="615"/>
      <c r="B22" s="615" t="s">
        <v>15509</v>
      </c>
      <c r="C22" s="608">
        <v>130</v>
      </c>
      <c r="D22" s="609" t="s">
        <v>413</v>
      </c>
      <c r="F22" s="553"/>
      <c r="G22" s="633" t="s">
        <v>15510</v>
      </c>
      <c r="H22" s="589"/>
      <c r="I22" s="590">
        <f>I45-3.5*0.11</f>
        <v>1.6411999999999998</v>
      </c>
      <c r="J22" s="590">
        <v>0.2752</v>
      </c>
      <c r="K22" s="590">
        <v>0</v>
      </c>
      <c r="L22" s="590">
        <v>0.26619999999999999</v>
      </c>
      <c r="M22" s="590">
        <v>0</v>
      </c>
      <c r="N22" s="590">
        <v>1.0364</v>
      </c>
      <c r="O22" s="591"/>
      <c r="P22" s="592">
        <f>8.79-6.76</f>
        <v>2.0299999999999994</v>
      </c>
      <c r="Q22" s="589"/>
      <c r="R22" s="590">
        <f t="shared" si="1"/>
        <v>4.4345349999999986</v>
      </c>
      <c r="S22" s="590">
        <f t="shared" si="1"/>
        <v>0.44761499999999987</v>
      </c>
      <c r="T22" s="590">
        <f t="shared" si="1"/>
        <v>0</v>
      </c>
      <c r="U22" s="590">
        <f t="shared" si="1"/>
        <v>0.43238999999999983</v>
      </c>
      <c r="V22" s="590">
        <f t="shared" si="1"/>
        <v>0</v>
      </c>
      <c r="W22" s="590">
        <f t="shared" si="1"/>
        <v>2.0778064999999994</v>
      </c>
      <c r="X22" s="554"/>
      <c r="Z22" s="561" t="s">
        <v>15511</v>
      </c>
    </row>
    <row r="23" spans="1:35" ht="18" customHeight="1" x14ac:dyDescent="0.3">
      <c r="A23" s="555" t="s">
        <v>412</v>
      </c>
      <c r="C23" s="608">
        <f>13.53+110.74+3+112.66</f>
        <v>239.93</v>
      </c>
      <c r="D23" s="609" t="s">
        <v>413</v>
      </c>
      <c r="F23" s="553"/>
      <c r="G23" s="633" t="s">
        <v>15512</v>
      </c>
      <c r="H23" s="589"/>
      <c r="I23" s="590">
        <f>I46-3.5*0.11</f>
        <v>1.7886</v>
      </c>
      <c r="J23" s="590">
        <v>0.36799999999999999</v>
      </c>
      <c r="K23" s="590">
        <v>0</v>
      </c>
      <c r="L23" s="590">
        <v>0.35670000000000002</v>
      </c>
      <c r="M23" s="590">
        <v>0</v>
      </c>
      <c r="N23" s="590">
        <v>0.95189999999999997</v>
      </c>
      <c r="O23" s="591"/>
      <c r="P23" s="592">
        <f>10-8.79</f>
        <v>1.2100000000000009</v>
      </c>
      <c r="Q23" s="589"/>
      <c r="R23" s="590">
        <f t="shared" si="1"/>
        <v>2.0750290000000011</v>
      </c>
      <c r="S23" s="590">
        <f t="shared" si="1"/>
        <v>0.38913600000000026</v>
      </c>
      <c r="T23" s="590">
        <f t="shared" si="1"/>
        <v>0</v>
      </c>
      <c r="U23" s="590">
        <f t="shared" si="1"/>
        <v>0.37685450000000026</v>
      </c>
      <c r="V23" s="590">
        <f t="shared" si="1"/>
        <v>0</v>
      </c>
      <c r="W23" s="590">
        <f t="shared" si="1"/>
        <v>1.2029215000000009</v>
      </c>
      <c r="X23" s="554"/>
      <c r="Z23" s="555">
        <v>1.25</v>
      </c>
      <c r="AA23" s="555" t="s">
        <v>15513</v>
      </c>
    </row>
    <row r="24" spans="1:35" ht="18" customHeight="1" x14ac:dyDescent="0.3">
      <c r="A24" s="615"/>
      <c r="B24" s="615" t="s">
        <v>15514</v>
      </c>
      <c r="C24" s="608">
        <v>54.27</v>
      </c>
      <c r="D24" s="609" t="s">
        <v>413</v>
      </c>
      <c r="F24" s="553"/>
      <c r="G24" s="633" t="s">
        <v>15515</v>
      </c>
      <c r="H24" s="589"/>
      <c r="I24" s="590">
        <f>I47-3.5*0.11</f>
        <v>1.4670000000000001</v>
      </c>
      <c r="J24" s="590">
        <v>1.23E-2</v>
      </c>
      <c r="K24" s="590">
        <v>0</v>
      </c>
      <c r="L24" s="590">
        <v>0.59419999999999995</v>
      </c>
      <c r="M24" s="590">
        <v>0</v>
      </c>
      <c r="N24" s="590">
        <v>0.9345</v>
      </c>
      <c r="O24" s="591"/>
      <c r="P24" s="592">
        <v>1.79</v>
      </c>
      <c r="Q24" s="589"/>
      <c r="R24" s="590">
        <f t="shared" si="1"/>
        <v>2.9137620000000002</v>
      </c>
      <c r="S24" s="590">
        <f t="shared" si="1"/>
        <v>0.34036849999999996</v>
      </c>
      <c r="T24" s="590">
        <f t="shared" si="1"/>
        <v>0</v>
      </c>
      <c r="U24" s="590">
        <f t="shared" si="1"/>
        <v>0.85105549999999996</v>
      </c>
      <c r="V24" s="590">
        <f t="shared" si="1"/>
        <v>0</v>
      </c>
      <c r="W24" s="590">
        <f t="shared" si="1"/>
        <v>1.6883280000000001</v>
      </c>
      <c r="X24" s="554"/>
      <c r="AA24" s="555" t="s">
        <v>15516</v>
      </c>
    </row>
    <row r="25" spans="1:35" ht="18" customHeight="1" x14ac:dyDescent="0.3">
      <c r="A25" s="615"/>
      <c r="B25" s="615" t="s">
        <v>15517</v>
      </c>
      <c r="C25" s="608">
        <f>17*2</f>
        <v>34</v>
      </c>
      <c r="D25" s="609" t="s">
        <v>413</v>
      </c>
      <c r="F25" s="553"/>
      <c r="G25" s="633" t="s">
        <v>15518</v>
      </c>
      <c r="H25" s="589"/>
      <c r="I25" s="590">
        <v>0</v>
      </c>
      <c r="J25" s="590">
        <v>0.51729999999999998</v>
      </c>
      <c r="K25" s="590">
        <v>0</v>
      </c>
      <c r="L25" s="590">
        <v>0</v>
      </c>
      <c r="M25" s="590">
        <v>0</v>
      </c>
      <c r="N25" s="590">
        <v>0.65880000000000005</v>
      </c>
      <c r="O25" s="591"/>
      <c r="P25" s="592">
        <f>14.14-11.79</f>
        <v>2.3500000000000014</v>
      </c>
      <c r="Q25" s="589"/>
      <c r="R25" s="590">
        <f t="shared" si="1"/>
        <v>1.7237250000000011</v>
      </c>
      <c r="S25" s="590">
        <f t="shared" si="1"/>
        <v>0.62228000000000028</v>
      </c>
      <c r="T25" s="590">
        <f t="shared" si="1"/>
        <v>0</v>
      </c>
      <c r="U25" s="590">
        <f t="shared" si="1"/>
        <v>0.69818500000000039</v>
      </c>
      <c r="V25" s="590">
        <f t="shared" si="1"/>
        <v>0</v>
      </c>
      <c r="W25" s="590">
        <f t="shared" si="1"/>
        <v>1.8721275000000013</v>
      </c>
      <c r="X25" s="554"/>
      <c r="AA25" s="555" t="s">
        <v>15519</v>
      </c>
    </row>
    <row r="26" spans="1:35" ht="18" customHeight="1" x14ac:dyDescent="0.3">
      <c r="A26" s="615"/>
      <c r="B26" s="615" t="s">
        <v>15520</v>
      </c>
      <c r="C26" s="608">
        <v>13.53</v>
      </c>
      <c r="D26" s="609" t="s">
        <v>408</v>
      </c>
      <c r="F26" s="553"/>
      <c r="G26" s="634"/>
      <c r="H26" s="589"/>
      <c r="I26" s="591"/>
      <c r="J26" s="591"/>
      <c r="K26" s="591"/>
      <c r="L26" s="591"/>
      <c r="M26" s="591"/>
      <c r="N26" s="591"/>
      <c r="O26" s="591"/>
      <c r="P26" s="591"/>
      <c r="Q26" s="589"/>
      <c r="R26" s="591"/>
      <c r="S26" s="591"/>
      <c r="T26" s="591"/>
      <c r="U26" s="591"/>
      <c r="V26" s="591"/>
      <c r="W26" s="591"/>
      <c r="X26" s="554"/>
    </row>
    <row r="27" spans="1:35" ht="18" customHeight="1" x14ac:dyDescent="0.3">
      <c r="A27" s="615"/>
      <c r="B27" s="615" t="s">
        <v>15521</v>
      </c>
      <c r="C27" s="611">
        <f>C23-C24-C25-C26</f>
        <v>138.13</v>
      </c>
      <c r="D27" s="609" t="s">
        <v>408</v>
      </c>
      <c r="F27" s="553"/>
      <c r="G27" s="767" t="s">
        <v>422</v>
      </c>
      <c r="H27" s="768"/>
      <c r="I27" s="768"/>
      <c r="J27" s="768"/>
      <c r="K27" s="768"/>
      <c r="L27" s="768"/>
      <c r="M27" s="768"/>
      <c r="N27" s="768"/>
      <c r="O27" s="768"/>
      <c r="P27" s="769"/>
      <c r="Q27" s="571"/>
      <c r="R27" s="618">
        <f t="shared" ref="R27:V27" si="4">TRUNC(SUM(R10:R25),2)</f>
        <v>250.36</v>
      </c>
      <c r="S27" s="618">
        <f t="shared" si="4"/>
        <v>36.770000000000003</v>
      </c>
      <c r="T27" s="618">
        <f t="shared" si="4"/>
        <v>0</v>
      </c>
      <c r="U27" s="618">
        <f>TRUNC(SUM(U10:U25),2)</f>
        <v>48.73</v>
      </c>
      <c r="V27" s="618">
        <f t="shared" si="4"/>
        <v>0</v>
      </c>
      <c r="W27" s="618">
        <f>TRUNC(SUM(W10:W25),2)</f>
        <v>128.72</v>
      </c>
      <c r="X27" s="554"/>
    </row>
    <row r="28" spans="1:35" ht="18" customHeight="1" x14ac:dyDescent="0.3">
      <c r="A28" s="555" t="s">
        <v>414</v>
      </c>
      <c r="C28" s="608">
        <v>120.23</v>
      </c>
      <c r="D28" s="609" t="s">
        <v>408</v>
      </c>
      <c r="F28" s="553"/>
      <c r="G28" s="565"/>
      <c r="H28" s="575"/>
      <c r="I28" s="575"/>
      <c r="J28" s="575"/>
      <c r="K28" s="575"/>
      <c r="L28" s="575"/>
      <c r="M28" s="575"/>
      <c r="N28" s="575"/>
      <c r="O28" s="575"/>
      <c r="P28" s="575"/>
      <c r="Q28" s="575"/>
      <c r="R28" s="575"/>
      <c r="S28" s="575"/>
      <c r="T28" s="575"/>
      <c r="U28" s="575"/>
      <c r="V28" s="575"/>
      <c r="W28" s="575"/>
      <c r="X28" s="554"/>
    </row>
    <row r="29" spans="1:35" ht="18" customHeight="1" x14ac:dyDescent="0.3">
      <c r="A29" s="555"/>
      <c r="D29" s="604"/>
      <c r="F29" s="553"/>
      <c r="G29" s="639" t="s">
        <v>426</v>
      </c>
      <c r="H29" s="619"/>
      <c r="I29" s="619"/>
      <c r="J29" s="619"/>
      <c r="L29" s="619"/>
      <c r="M29" s="619"/>
      <c r="N29" s="619"/>
      <c r="O29" s="575"/>
      <c r="P29" s="575"/>
      <c r="Q29" s="575"/>
      <c r="R29" s="575"/>
      <c r="S29" s="575"/>
      <c r="T29" s="575"/>
      <c r="U29" s="575"/>
      <c r="V29" s="575"/>
      <c r="W29" s="575"/>
      <c r="X29" s="554"/>
    </row>
    <row r="30" spans="1:35" ht="18" customHeight="1" x14ac:dyDescent="0.3">
      <c r="A30" s="555"/>
      <c r="F30" s="553"/>
      <c r="G30" s="770" t="s">
        <v>383</v>
      </c>
      <c r="H30" s="619"/>
      <c r="I30" s="771" t="s">
        <v>384</v>
      </c>
      <c r="J30" s="771"/>
      <c r="K30" s="771"/>
      <c r="L30" s="771"/>
      <c r="M30" s="771"/>
      <c r="N30" s="771"/>
      <c r="O30" s="575"/>
      <c r="P30" s="575"/>
      <c r="Q30" s="575"/>
      <c r="R30" s="575"/>
      <c r="S30" s="575"/>
      <c r="T30" s="575"/>
      <c r="U30" s="575"/>
      <c r="V30" s="575"/>
      <c r="W30" s="575"/>
    </row>
    <row r="31" spans="1:35" ht="18" customHeight="1" x14ac:dyDescent="0.3">
      <c r="A31" s="555"/>
      <c r="F31" s="553"/>
      <c r="G31" s="770"/>
      <c r="H31" s="619"/>
      <c r="I31" s="772" t="s">
        <v>389</v>
      </c>
      <c r="J31" s="772"/>
      <c r="K31" s="773" t="s">
        <v>390</v>
      </c>
      <c r="L31" s="773"/>
      <c r="M31" s="773"/>
      <c r="N31" s="774" t="s">
        <v>391</v>
      </c>
      <c r="O31" s="575"/>
      <c r="P31" s="575"/>
      <c r="Q31" s="575"/>
      <c r="R31" s="575"/>
      <c r="S31" s="575"/>
      <c r="T31" s="575"/>
      <c r="U31" s="575"/>
      <c r="V31" s="575"/>
      <c r="W31" s="575"/>
    </row>
    <row r="32" spans="1:35" ht="18" customHeight="1" x14ac:dyDescent="0.3">
      <c r="A32" s="766" t="s">
        <v>15522</v>
      </c>
      <c r="B32" s="766"/>
      <c r="C32" s="766"/>
      <c r="F32" s="553"/>
      <c r="G32" s="770"/>
      <c r="H32" s="619"/>
      <c r="I32" s="620" t="s">
        <v>400</v>
      </c>
      <c r="J32" s="620" t="s">
        <v>378</v>
      </c>
      <c r="K32" s="620" t="s">
        <v>401</v>
      </c>
      <c r="L32" s="620" t="s">
        <v>378</v>
      </c>
      <c r="M32" s="620" t="s">
        <v>402</v>
      </c>
      <c r="N32" s="774"/>
      <c r="O32" s="575"/>
      <c r="P32" s="575"/>
      <c r="Q32" s="575"/>
      <c r="R32" s="575"/>
      <c r="S32" s="575"/>
      <c r="T32" s="575"/>
      <c r="U32" s="575"/>
      <c r="V32" s="575"/>
      <c r="W32" s="575"/>
    </row>
    <row r="33" spans="1:23" ht="18" customHeight="1" x14ac:dyDescent="0.3">
      <c r="A33" s="576" t="s">
        <v>416</v>
      </c>
      <c r="B33" s="576" t="s">
        <v>417</v>
      </c>
      <c r="C33" s="577" t="s">
        <v>418</v>
      </c>
      <c r="F33" s="553"/>
      <c r="G33" s="633" t="s">
        <v>15490</v>
      </c>
      <c r="H33" s="589"/>
      <c r="I33" s="590">
        <v>3.13</v>
      </c>
      <c r="J33" s="621"/>
      <c r="O33" s="575"/>
      <c r="P33" s="575"/>
      <c r="Q33" s="575"/>
      <c r="R33" s="575"/>
      <c r="S33" s="575"/>
      <c r="T33" s="575"/>
      <c r="U33" s="575"/>
      <c r="V33" s="575"/>
      <c r="W33" s="575"/>
    </row>
    <row r="34" spans="1:23" ht="18" customHeight="1" x14ac:dyDescent="0.3">
      <c r="A34" s="622" t="s">
        <v>419</v>
      </c>
      <c r="B34" s="623" t="s">
        <v>408</v>
      </c>
      <c r="C34" s="624">
        <v>31.56</v>
      </c>
      <c r="F34" s="553"/>
      <c r="G34" s="633" t="s">
        <v>15492</v>
      </c>
      <c r="H34" s="589"/>
      <c r="I34" s="590">
        <v>2.5021</v>
      </c>
      <c r="O34" s="575"/>
      <c r="P34" s="575"/>
      <c r="Q34" s="575"/>
      <c r="R34" s="575"/>
      <c r="S34" s="575"/>
      <c r="T34" s="575"/>
      <c r="U34" s="575"/>
      <c r="V34" s="575"/>
      <c r="W34" s="575"/>
    </row>
    <row r="35" spans="1:23" ht="18" customHeight="1" x14ac:dyDescent="0.3">
      <c r="A35" s="622" t="s">
        <v>420</v>
      </c>
      <c r="B35" s="623" t="s">
        <v>408</v>
      </c>
      <c r="C35" s="624">
        <v>0</v>
      </c>
      <c r="F35" s="553"/>
      <c r="G35" s="633">
        <v>1</v>
      </c>
      <c r="H35" s="589"/>
      <c r="I35" s="590">
        <v>3.5384000000000002</v>
      </c>
      <c r="O35" s="575"/>
      <c r="P35" s="575"/>
      <c r="Q35" s="575"/>
      <c r="R35" s="575"/>
      <c r="S35" s="575"/>
      <c r="T35" s="575"/>
      <c r="U35" s="575"/>
      <c r="V35" s="575"/>
      <c r="W35" s="575"/>
    </row>
    <row r="36" spans="1:23" ht="18" customHeight="1" x14ac:dyDescent="0.3">
      <c r="A36" s="622" t="s">
        <v>421</v>
      </c>
      <c r="B36" s="623" t="s">
        <v>408</v>
      </c>
      <c r="C36" s="624">
        <v>80.3</v>
      </c>
      <c r="F36" s="553"/>
      <c r="G36" s="633" t="s">
        <v>15495</v>
      </c>
      <c r="H36" s="589"/>
      <c r="I36" s="590">
        <v>3.2690000000000001</v>
      </c>
      <c r="O36" s="575"/>
      <c r="P36" s="575"/>
      <c r="Q36" s="575"/>
      <c r="R36" s="575"/>
      <c r="S36" s="575"/>
      <c r="T36" s="575"/>
      <c r="U36" s="575"/>
      <c r="V36" s="575"/>
      <c r="W36" s="575"/>
    </row>
    <row r="37" spans="1:23" ht="18" customHeight="1" x14ac:dyDescent="0.3">
      <c r="A37" s="622" t="s">
        <v>15523</v>
      </c>
      <c r="B37" s="623" t="s">
        <v>408</v>
      </c>
      <c r="C37" s="624">
        <v>0</v>
      </c>
      <c r="F37" s="553"/>
      <c r="G37" s="633">
        <v>2</v>
      </c>
      <c r="H37" s="589"/>
      <c r="I37" s="590">
        <v>2.7736999999999998</v>
      </c>
      <c r="O37" s="575"/>
      <c r="P37" s="575"/>
      <c r="Q37" s="575"/>
      <c r="R37" s="575"/>
      <c r="S37" s="575"/>
      <c r="T37" s="575"/>
      <c r="U37" s="575"/>
      <c r="V37" s="575"/>
      <c r="W37" s="575"/>
    </row>
    <row r="38" spans="1:23" ht="18" customHeight="1" x14ac:dyDescent="0.3">
      <c r="A38" s="622" t="s">
        <v>423</v>
      </c>
      <c r="B38" s="623" t="s">
        <v>408</v>
      </c>
      <c r="C38" s="624">
        <v>0</v>
      </c>
      <c r="F38" s="553"/>
      <c r="G38" s="633" t="s">
        <v>15498</v>
      </c>
      <c r="H38" s="589"/>
      <c r="I38" s="590">
        <v>2.9455</v>
      </c>
      <c r="O38" s="575"/>
      <c r="P38" s="575"/>
      <c r="Q38" s="575"/>
      <c r="R38" s="575"/>
      <c r="S38" s="575"/>
      <c r="T38" s="575"/>
      <c r="U38" s="575"/>
      <c r="V38" s="575"/>
      <c r="W38" s="575"/>
    </row>
    <row r="39" spans="1:23" s="625" customFormat="1" ht="18" customHeight="1" x14ac:dyDescent="0.3">
      <c r="A39" s="622" t="s">
        <v>424</v>
      </c>
      <c r="B39" s="623" t="s">
        <v>408</v>
      </c>
      <c r="C39" s="624">
        <v>0</v>
      </c>
      <c r="F39" s="626"/>
      <c r="G39" s="633">
        <v>3</v>
      </c>
      <c r="H39" s="589"/>
      <c r="I39" s="590">
        <v>3.403</v>
      </c>
      <c r="O39" s="627"/>
      <c r="P39" s="627"/>
      <c r="Q39" s="627"/>
      <c r="R39" s="627"/>
      <c r="S39" s="627"/>
      <c r="T39" s="627"/>
      <c r="U39" s="627"/>
      <c r="V39" s="627"/>
      <c r="W39" s="627"/>
    </row>
    <row r="40" spans="1:23" ht="18" customHeight="1" x14ac:dyDescent="0.3">
      <c r="A40" s="622" t="s">
        <v>425</v>
      </c>
      <c r="B40" s="623" t="s">
        <v>408</v>
      </c>
      <c r="C40" s="624">
        <v>0</v>
      </c>
      <c r="F40" s="553"/>
      <c r="G40" s="633" t="s">
        <v>15500</v>
      </c>
      <c r="H40" s="589"/>
      <c r="I40" s="590">
        <v>2.9167999999999998</v>
      </c>
      <c r="O40" s="575"/>
      <c r="P40" s="575"/>
      <c r="Q40" s="575"/>
      <c r="R40" s="575"/>
      <c r="S40" s="575"/>
      <c r="T40" s="575"/>
      <c r="U40" s="575"/>
      <c r="V40" s="575"/>
      <c r="W40" s="575"/>
    </row>
    <row r="41" spans="1:23" ht="18" customHeight="1" x14ac:dyDescent="0.3">
      <c r="A41" s="622" t="s">
        <v>430</v>
      </c>
      <c r="B41" s="623" t="s">
        <v>413</v>
      </c>
      <c r="C41" s="624">
        <f>4.01+5.43</f>
        <v>9.44</v>
      </c>
      <c r="F41" s="553"/>
      <c r="G41" s="633">
        <v>4</v>
      </c>
      <c r="H41" s="589"/>
      <c r="I41" s="590">
        <v>2.9733000000000001</v>
      </c>
      <c r="O41" s="575"/>
      <c r="P41" s="575"/>
      <c r="Q41" s="575"/>
      <c r="R41" s="575"/>
      <c r="S41" s="575"/>
      <c r="T41" s="575"/>
      <c r="U41" s="575"/>
      <c r="V41" s="575"/>
      <c r="W41" s="575"/>
    </row>
    <row r="42" spans="1:23" ht="18" customHeight="1" x14ac:dyDescent="0.3">
      <c r="A42" s="622" t="s">
        <v>15524</v>
      </c>
      <c r="B42" s="623" t="s">
        <v>15525</v>
      </c>
      <c r="C42" s="628">
        <v>0</v>
      </c>
      <c r="F42" s="553"/>
      <c r="G42" s="633" t="s">
        <v>15504</v>
      </c>
      <c r="H42" s="589"/>
      <c r="I42" s="590">
        <v>2.976</v>
      </c>
      <c r="O42" s="575"/>
      <c r="P42" s="575"/>
      <c r="Q42" s="575"/>
      <c r="R42" s="575"/>
      <c r="S42" s="575"/>
      <c r="T42" s="575"/>
      <c r="U42" s="575"/>
      <c r="V42" s="575"/>
      <c r="W42" s="575"/>
    </row>
    <row r="43" spans="1:23" ht="18" customHeight="1" x14ac:dyDescent="0.3">
      <c r="A43" s="629" t="s">
        <v>15526</v>
      </c>
      <c r="B43" s="630" t="s">
        <v>15525</v>
      </c>
      <c r="C43" s="631">
        <v>0</v>
      </c>
      <c r="F43" s="553"/>
      <c r="G43" s="633">
        <v>5</v>
      </c>
      <c r="H43" s="589"/>
      <c r="I43" s="590">
        <v>2.6373000000000002</v>
      </c>
      <c r="O43" s="575"/>
      <c r="P43" s="575"/>
      <c r="Q43" s="575"/>
      <c r="R43" s="575"/>
      <c r="S43" s="575"/>
      <c r="T43" s="575"/>
      <c r="U43" s="575"/>
      <c r="V43" s="575"/>
      <c r="W43" s="575"/>
    </row>
    <row r="44" spans="1:23" ht="18" customHeight="1" x14ac:dyDescent="0.3">
      <c r="A44" s="611"/>
      <c r="F44" s="553"/>
      <c r="G44" s="633" t="s">
        <v>15508</v>
      </c>
      <c r="H44" s="589"/>
      <c r="I44" s="590">
        <v>3.4428000000000001</v>
      </c>
      <c r="O44" s="575"/>
      <c r="P44" s="575"/>
      <c r="Q44" s="575"/>
      <c r="R44" s="575"/>
      <c r="S44" s="575"/>
      <c r="T44" s="575"/>
      <c r="U44" s="575"/>
      <c r="V44" s="575"/>
      <c r="W44" s="575"/>
    </row>
    <row r="45" spans="1:23" ht="18" customHeight="1" x14ac:dyDescent="0.3">
      <c r="F45" s="553"/>
      <c r="G45" s="633" t="s">
        <v>15510</v>
      </c>
      <c r="H45" s="589"/>
      <c r="I45" s="590">
        <v>2.0261999999999998</v>
      </c>
      <c r="O45" s="575"/>
      <c r="P45" s="575"/>
      <c r="Q45" s="575"/>
      <c r="R45" s="575"/>
      <c r="S45" s="575"/>
      <c r="T45" s="575"/>
      <c r="U45" s="575"/>
      <c r="V45" s="575"/>
      <c r="W45" s="575"/>
    </row>
    <row r="46" spans="1:23" ht="18" customHeight="1" x14ac:dyDescent="0.3">
      <c r="F46" s="553"/>
      <c r="G46" s="633" t="s">
        <v>15512</v>
      </c>
      <c r="H46" s="589"/>
      <c r="I46" s="590">
        <v>2.1736</v>
      </c>
      <c r="O46" s="575"/>
      <c r="P46" s="575"/>
      <c r="Q46" s="575"/>
      <c r="R46" s="575"/>
      <c r="S46" s="575"/>
      <c r="T46" s="575"/>
      <c r="U46" s="575"/>
      <c r="V46" s="575"/>
      <c r="W46" s="575"/>
    </row>
    <row r="47" spans="1:23" ht="18" customHeight="1" x14ac:dyDescent="0.3">
      <c r="F47" s="553"/>
      <c r="G47" s="633" t="s">
        <v>15515</v>
      </c>
      <c r="H47" s="589"/>
      <c r="I47" s="590">
        <v>1.8520000000000001</v>
      </c>
      <c r="O47" s="575"/>
      <c r="P47" s="575"/>
      <c r="Q47" s="575"/>
      <c r="R47" s="575"/>
      <c r="S47" s="575"/>
      <c r="T47" s="575"/>
      <c r="U47" s="575"/>
      <c r="V47" s="575"/>
      <c r="W47" s="575"/>
    </row>
    <row r="48" spans="1:23" ht="18" customHeight="1" x14ac:dyDescent="0.3">
      <c r="F48" s="553"/>
      <c r="G48" s="633" t="s">
        <v>15518</v>
      </c>
      <c r="H48" s="589"/>
      <c r="I48" s="590">
        <v>0</v>
      </c>
      <c r="O48" s="575"/>
      <c r="P48" s="575"/>
      <c r="Q48" s="575"/>
      <c r="R48" s="575"/>
      <c r="S48" s="575"/>
      <c r="T48" s="575"/>
      <c r="U48" s="575"/>
      <c r="V48" s="575"/>
      <c r="W48" s="575"/>
    </row>
  </sheetData>
  <mergeCells count="40">
    <mergeCell ref="AG6:AH6"/>
    <mergeCell ref="T7:V7"/>
    <mergeCell ref="W7:W8"/>
    <mergeCell ref="Z7:AD8"/>
    <mergeCell ref="AE7:AE8"/>
    <mergeCell ref="AF7:AF8"/>
    <mergeCell ref="AG7:AG8"/>
    <mergeCell ref="AH7:AH8"/>
    <mergeCell ref="I7:J7"/>
    <mergeCell ref="K7:M7"/>
    <mergeCell ref="N7:N8"/>
    <mergeCell ref="R7:S7"/>
    <mergeCell ref="G6:G8"/>
    <mergeCell ref="I6:N6"/>
    <mergeCell ref="P6:P8"/>
    <mergeCell ref="R6:W6"/>
    <mergeCell ref="Z9:AD9"/>
    <mergeCell ref="Z10:AD10"/>
    <mergeCell ref="Z11:AD11"/>
    <mergeCell ref="Z12:AD12"/>
    <mergeCell ref="Z14:AF14"/>
    <mergeCell ref="AG14:AH14"/>
    <mergeCell ref="Z15:AD16"/>
    <mergeCell ref="AE15:AE16"/>
    <mergeCell ref="AF15:AF16"/>
    <mergeCell ref="AG15:AG16"/>
    <mergeCell ref="AH15:AH16"/>
    <mergeCell ref="Z17:AD17"/>
    <mergeCell ref="Z18:AD18"/>
    <mergeCell ref="Z19:AD19"/>
    <mergeCell ref="Z20:AD20"/>
    <mergeCell ref="A17:B17"/>
    <mergeCell ref="A18:B18"/>
    <mergeCell ref="A32:C32"/>
    <mergeCell ref="G27:P27"/>
    <mergeCell ref="G30:G32"/>
    <mergeCell ref="I30:N30"/>
    <mergeCell ref="I31:J31"/>
    <mergeCell ref="K31:M31"/>
    <mergeCell ref="N31:N32"/>
  </mergeCells>
  <conditionalFormatting sqref="I33:I48">
    <cfRule type="cellIs" dxfId="2" priority="1" operator="equal">
      <formula>0</formula>
    </cfRule>
  </conditionalFormatting>
  <conditionalFormatting sqref="I10:N26">
    <cfRule type="cellIs" dxfId="1" priority="3" operator="equal">
      <formula>0</formula>
    </cfRule>
  </conditionalFormatting>
  <conditionalFormatting sqref="I31:N31">
    <cfRule type="cellIs" dxfId="0" priority="2" operator="equal">
      <formula>0</formula>
    </cfRule>
  </conditionalFormatting>
  <pageMargins left="0.51180555555555596" right="0.51180555555555596" top="0.78749999999999998" bottom="0.78749999999999998" header="0.511811023622047" footer="0.511811023622047"/>
  <pageSetup paperSize="9" fitToHeight="0" orientation="landscape" horizontalDpi="300" verticalDpi="30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364FC3-EDAE-4E93-8850-E041925CDA9A}">
  <dimension ref="A1:D94"/>
  <sheetViews>
    <sheetView showGridLines="0" topLeftCell="A61" workbookViewId="0">
      <selection activeCell="H93" sqref="H93"/>
    </sheetView>
  </sheetViews>
  <sheetFormatPr defaultColWidth="9.109375" defaultRowHeight="14.4" x14ac:dyDescent="0.3"/>
  <cols>
    <col min="1" max="1" width="6.44140625" style="664" customWidth="1"/>
    <col min="2" max="2" width="57.33203125" style="664" bestFit="1" customWidth="1"/>
    <col min="3" max="3" width="11.33203125" style="664" customWidth="1"/>
    <col min="4" max="4" width="11.5546875" style="664" customWidth="1"/>
    <col min="5" max="16384" width="9.109375" style="664"/>
  </cols>
  <sheetData>
    <row r="1" spans="1:4" x14ac:dyDescent="0.3">
      <c r="A1" s="662" t="s">
        <v>15602</v>
      </c>
      <c r="B1" s="663" t="s">
        <v>416</v>
      </c>
      <c r="C1" s="663" t="s">
        <v>427</v>
      </c>
      <c r="D1" s="663" t="s">
        <v>15603</v>
      </c>
    </row>
    <row r="2" spans="1:4" x14ac:dyDescent="0.3">
      <c r="A2" s="665" t="s">
        <v>15604</v>
      </c>
      <c r="B2" s="666"/>
      <c r="C2" s="667" t="s">
        <v>15437</v>
      </c>
      <c r="D2" s="668"/>
    </row>
    <row r="3" spans="1:4" x14ac:dyDescent="0.3">
      <c r="A3" s="661" t="s">
        <v>29</v>
      </c>
      <c r="B3" s="666" t="s">
        <v>15605</v>
      </c>
      <c r="C3" s="667">
        <v>389.52</v>
      </c>
      <c r="D3" s="668" t="s">
        <v>404</v>
      </c>
    </row>
    <row r="4" spans="1:4" x14ac:dyDescent="0.3">
      <c r="A4" s="661" t="s">
        <v>32</v>
      </c>
      <c r="B4" s="666" t="s">
        <v>15606</v>
      </c>
      <c r="C4" s="669">
        <v>0</v>
      </c>
      <c r="D4" s="668" t="s">
        <v>404</v>
      </c>
    </row>
    <row r="5" spans="1:4" x14ac:dyDescent="0.3">
      <c r="A5" s="661" t="s">
        <v>34</v>
      </c>
      <c r="B5" s="666" t="s">
        <v>15607</v>
      </c>
      <c r="C5" s="669">
        <v>0</v>
      </c>
      <c r="D5" s="668" t="s">
        <v>404</v>
      </c>
    </row>
    <row r="6" spans="1:4" x14ac:dyDescent="0.3">
      <c r="A6" s="661" t="s">
        <v>36</v>
      </c>
      <c r="B6" s="666" t="s">
        <v>15608</v>
      </c>
      <c r="C6" s="669">
        <v>0</v>
      </c>
      <c r="D6" s="668" t="s">
        <v>404</v>
      </c>
    </row>
    <row r="7" spans="1:4" x14ac:dyDescent="0.3">
      <c r="A7" s="661" t="s">
        <v>428</v>
      </c>
      <c r="B7" s="666" t="s">
        <v>15609</v>
      </c>
      <c r="C7" s="669">
        <v>389.52</v>
      </c>
      <c r="D7" s="668" t="s">
        <v>404</v>
      </c>
    </row>
    <row r="8" spans="1:4" x14ac:dyDescent="0.3">
      <c r="A8" s="661" t="s">
        <v>15422</v>
      </c>
      <c r="B8" s="666" t="s">
        <v>15610</v>
      </c>
      <c r="C8" s="669">
        <v>0</v>
      </c>
      <c r="D8" s="668" t="s">
        <v>404</v>
      </c>
    </row>
    <row r="9" spans="1:4" x14ac:dyDescent="0.3">
      <c r="A9" s="661" t="s">
        <v>15611</v>
      </c>
      <c r="B9" s="666" t="s">
        <v>15612</v>
      </c>
      <c r="C9" s="669">
        <v>0</v>
      </c>
      <c r="D9" s="668" t="s">
        <v>404</v>
      </c>
    </row>
    <row r="10" spans="1:4" x14ac:dyDescent="0.3">
      <c r="A10" s="661" t="s">
        <v>15613</v>
      </c>
      <c r="B10" s="666" t="s">
        <v>15614</v>
      </c>
      <c r="C10" s="669">
        <v>0</v>
      </c>
      <c r="D10" s="668" t="s">
        <v>404</v>
      </c>
    </row>
    <row r="11" spans="1:4" x14ac:dyDescent="0.3">
      <c r="A11" s="661" t="s">
        <v>15615</v>
      </c>
      <c r="B11" s="666" t="s">
        <v>15616</v>
      </c>
      <c r="C11" s="669">
        <v>0</v>
      </c>
      <c r="D11" s="668" t="s">
        <v>404</v>
      </c>
    </row>
    <row r="12" spans="1:4" x14ac:dyDescent="0.3">
      <c r="A12" s="661"/>
      <c r="B12" s="666"/>
      <c r="C12" s="667"/>
      <c r="D12" s="668"/>
    </row>
    <row r="13" spans="1:4" x14ac:dyDescent="0.3">
      <c r="A13" s="665" t="s">
        <v>15617</v>
      </c>
      <c r="B13" s="666"/>
      <c r="C13" s="667" t="s">
        <v>15437</v>
      </c>
      <c r="D13" s="668"/>
    </row>
    <row r="14" spans="1:4" x14ac:dyDescent="0.3">
      <c r="A14" s="661" t="s">
        <v>38</v>
      </c>
      <c r="B14" s="666" t="s">
        <v>15618</v>
      </c>
      <c r="C14" s="667">
        <v>114.18</v>
      </c>
      <c r="D14" s="668" t="s">
        <v>404</v>
      </c>
    </row>
    <row r="15" spans="1:4" x14ac:dyDescent="0.3">
      <c r="A15" s="661" t="s">
        <v>39</v>
      </c>
      <c r="B15" s="666" t="s">
        <v>15619</v>
      </c>
      <c r="C15" s="667">
        <v>0</v>
      </c>
      <c r="D15" s="668" t="s">
        <v>404</v>
      </c>
    </row>
    <row r="16" spans="1:4" x14ac:dyDescent="0.3">
      <c r="A16" s="661"/>
      <c r="B16" s="670"/>
      <c r="C16" s="671"/>
      <c r="D16" s="672"/>
    </row>
    <row r="17" spans="1:4" x14ac:dyDescent="0.3">
      <c r="A17" s="665" t="s">
        <v>15620</v>
      </c>
      <c r="B17" s="666"/>
      <c r="C17" s="667" t="s">
        <v>15437</v>
      </c>
      <c r="D17" s="668"/>
    </row>
    <row r="18" spans="1:4" x14ac:dyDescent="0.3">
      <c r="A18" s="661" t="s">
        <v>43</v>
      </c>
      <c r="B18" s="660" t="s">
        <v>15621</v>
      </c>
      <c r="C18" s="667">
        <v>239.43</v>
      </c>
      <c r="D18" s="668" t="s">
        <v>404</v>
      </c>
    </row>
    <row r="19" spans="1:4" x14ac:dyDescent="0.3">
      <c r="A19" s="661" t="s">
        <v>45</v>
      </c>
      <c r="B19" s="660" t="s">
        <v>15622</v>
      </c>
      <c r="C19" s="667">
        <v>12.02</v>
      </c>
      <c r="D19" s="668" t="s">
        <v>404</v>
      </c>
    </row>
    <row r="20" spans="1:4" x14ac:dyDescent="0.3">
      <c r="A20" s="661" t="s">
        <v>15623</v>
      </c>
      <c r="B20" s="660" t="s">
        <v>15624</v>
      </c>
      <c r="C20" s="667">
        <v>34.9</v>
      </c>
      <c r="D20" s="668" t="s">
        <v>404</v>
      </c>
    </row>
    <row r="21" spans="1:4" x14ac:dyDescent="0.3">
      <c r="A21" s="661" t="s">
        <v>15625</v>
      </c>
      <c r="B21" s="661" t="s">
        <v>15626</v>
      </c>
      <c r="C21" s="667">
        <v>0</v>
      </c>
      <c r="D21" s="668" t="s">
        <v>404</v>
      </c>
    </row>
    <row r="22" spans="1:4" x14ac:dyDescent="0.3">
      <c r="A22" s="661" t="s">
        <v>15627</v>
      </c>
      <c r="B22" s="661" t="s">
        <v>15628</v>
      </c>
      <c r="C22" s="667">
        <v>0</v>
      </c>
      <c r="D22" s="668" t="s">
        <v>404</v>
      </c>
    </row>
    <row r="23" spans="1:4" x14ac:dyDescent="0.3">
      <c r="A23" s="661"/>
      <c r="B23" s="670"/>
      <c r="C23" s="671"/>
      <c r="D23" s="672"/>
    </row>
    <row r="24" spans="1:4" x14ac:dyDescent="0.3">
      <c r="A24" s="665" t="s">
        <v>15629</v>
      </c>
      <c r="B24" s="666"/>
      <c r="C24" s="667" t="s">
        <v>15437</v>
      </c>
      <c r="D24" s="668"/>
    </row>
    <row r="25" spans="1:4" x14ac:dyDescent="0.3">
      <c r="A25" s="661" t="s">
        <v>47</v>
      </c>
      <c r="B25" s="666" t="s">
        <v>15630</v>
      </c>
      <c r="C25" s="667">
        <v>98.36</v>
      </c>
      <c r="D25" s="668" t="s">
        <v>408</v>
      </c>
    </row>
    <row r="26" spans="1:4" x14ac:dyDescent="0.3">
      <c r="A26" s="661" t="s">
        <v>48</v>
      </c>
      <c r="B26" s="666" t="s">
        <v>15631</v>
      </c>
      <c r="C26" s="667">
        <v>0</v>
      </c>
      <c r="D26" s="668" t="s">
        <v>408</v>
      </c>
    </row>
    <row r="27" spans="1:4" x14ac:dyDescent="0.3">
      <c r="A27" s="661" t="s">
        <v>50</v>
      </c>
      <c r="B27" s="666" t="s">
        <v>15632</v>
      </c>
      <c r="C27" s="667">
        <v>0</v>
      </c>
      <c r="D27" s="668" t="s">
        <v>413</v>
      </c>
    </row>
    <row r="28" spans="1:4" x14ac:dyDescent="0.3">
      <c r="A28" s="661" t="s">
        <v>15423</v>
      </c>
      <c r="B28" s="666" t="s">
        <v>15633</v>
      </c>
      <c r="C28" s="667">
        <v>0</v>
      </c>
      <c r="D28" s="668" t="s">
        <v>408</v>
      </c>
    </row>
    <row r="29" spans="1:4" x14ac:dyDescent="0.3">
      <c r="A29" s="661"/>
      <c r="B29" s="670"/>
      <c r="C29" s="671"/>
      <c r="D29" s="672"/>
    </row>
    <row r="30" spans="1:4" x14ac:dyDescent="0.3">
      <c r="A30" s="665" t="s">
        <v>15634</v>
      </c>
      <c r="B30" s="666"/>
      <c r="C30" s="667" t="s">
        <v>15437</v>
      </c>
      <c r="D30" s="668"/>
    </row>
    <row r="31" spans="1:4" x14ac:dyDescent="0.3">
      <c r="A31" s="661" t="s">
        <v>52</v>
      </c>
      <c r="B31" s="666" t="s">
        <v>15635</v>
      </c>
      <c r="C31" s="667">
        <v>0</v>
      </c>
      <c r="D31" s="668" t="s">
        <v>404</v>
      </c>
    </row>
    <row r="32" spans="1:4" x14ac:dyDescent="0.3">
      <c r="A32" s="661" t="s">
        <v>54</v>
      </c>
      <c r="B32" s="666" t="s">
        <v>15636</v>
      </c>
      <c r="C32" s="667">
        <v>10.220000000000001</v>
      </c>
      <c r="D32" s="668" t="s">
        <v>404</v>
      </c>
    </row>
    <row r="33" spans="1:4" x14ac:dyDescent="0.3">
      <c r="A33" s="661" t="s">
        <v>55</v>
      </c>
      <c r="B33" s="666" t="s">
        <v>15637</v>
      </c>
      <c r="C33" s="667">
        <v>12.51</v>
      </c>
      <c r="D33" s="668" t="s">
        <v>404</v>
      </c>
    </row>
    <row r="34" spans="1:4" x14ac:dyDescent="0.3">
      <c r="A34" s="661" t="s">
        <v>56</v>
      </c>
      <c r="B34" s="666" t="s">
        <v>15638</v>
      </c>
      <c r="C34" s="667">
        <v>14.3</v>
      </c>
      <c r="D34" s="668" t="s">
        <v>404</v>
      </c>
    </row>
    <row r="35" spans="1:4" x14ac:dyDescent="0.3">
      <c r="A35" s="661"/>
      <c r="B35" s="670"/>
      <c r="C35" s="671"/>
      <c r="D35" s="672"/>
    </row>
    <row r="36" spans="1:4" x14ac:dyDescent="0.3">
      <c r="A36" s="665" t="s">
        <v>15639</v>
      </c>
      <c r="B36" s="666"/>
      <c r="C36" s="667" t="s">
        <v>15437</v>
      </c>
      <c r="D36" s="668"/>
    </row>
    <row r="37" spans="1:4" x14ac:dyDescent="0.3">
      <c r="A37" s="661" t="s">
        <v>57</v>
      </c>
      <c r="B37" s="666" t="s">
        <v>15640</v>
      </c>
      <c r="C37" s="667">
        <v>22.71</v>
      </c>
      <c r="D37" s="668" t="s">
        <v>413</v>
      </c>
    </row>
    <row r="38" spans="1:4" x14ac:dyDescent="0.3">
      <c r="A38" s="661" t="s">
        <v>58</v>
      </c>
      <c r="B38" s="666" t="s">
        <v>15641</v>
      </c>
      <c r="C38" s="667">
        <v>71.430000000000007</v>
      </c>
      <c r="D38" s="668" t="s">
        <v>413</v>
      </c>
    </row>
    <row r="39" spans="1:4" x14ac:dyDescent="0.3">
      <c r="A39" s="661" t="s">
        <v>59</v>
      </c>
      <c r="B39" s="666" t="s">
        <v>15642</v>
      </c>
      <c r="C39" s="667">
        <v>27.7</v>
      </c>
      <c r="D39" s="668" t="s">
        <v>413</v>
      </c>
    </row>
    <row r="40" spans="1:4" x14ac:dyDescent="0.3">
      <c r="A40" s="661" t="s">
        <v>60</v>
      </c>
      <c r="B40" s="666" t="s">
        <v>15643</v>
      </c>
      <c r="C40" s="667">
        <v>0</v>
      </c>
      <c r="D40" s="668" t="s">
        <v>413</v>
      </c>
    </row>
    <row r="41" spans="1:4" x14ac:dyDescent="0.3">
      <c r="A41" s="661" t="s">
        <v>61</v>
      </c>
      <c r="B41" s="666" t="s">
        <v>15644</v>
      </c>
      <c r="C41" s="667">
        <v>88.1</v>
      </c>
      <c r="D41" s="668" t="s">
        <v>413</v>
      </c>
    </row>
    <row r="42" spans="1:4" x14ac:dyDescent="0.3">
      <c r="A42" s="661" t="s">
        <v>62</v>
      </c>
      <c r="B42" s="666" t="s">
        <v>15645</v>
      </c>
      <c r="C42" s="667">
        <v>0</v>
      </c>
      <c r="D42" s="668" t="s">
        <v>413</v>
      </c>
    </row>
    <row r="43" spans="1:4" x14ac:dyDescent="0.3">
      <c r="A43" s="661" t="s">
        <v>15527</v>
      </c>
      <c r="B43" s="666" t="s">
        <v>15646</v>
      </c>
      <c r="C43" s="667">
        <v>0</v>
      </c>
      <c r="D43" s="668" t="s">
        <v>413</v>
      </c>
    </row>
    <row r="44" spans="1:4" x14ac:dyDescent="0.3">
      <c r="A44" s="661" t="s">
        <v>15647</v>
      </c>
      <c r="B44" s="666" t="s">
        <v>15648</v>
      </c>
      <c r="C44" s="667">
        <v>0</v>
      </c>
      <c r="D44" s="668" t="s">
        <v>413</v>
      </c>
    </row>
    <row r="45" spans="1:4" x14ac:dyDescent="0.3">
      <c r="A45" s="661"/>
      <c r="B45" s="670"/>
      <c r="C45" s="671"/>
      <c r="D45" s="672"/>
    </row>
    <row r="46" spans="1:4" x14ac:dyDescent="0.3">
      <c r="A46" s="665" t="s">
        <v>15649</v>
      </c>
      <c r="B46" s="666"/>
      <c r="C46" s="667" t="s">
        <v>15437</v>
      </c>
      <c r="D46" s="668"/>
    </row>
    <row r="47" spans="1:4" x14ac:dyDescent="0.3">
      <c r="A47" s="661" t="s">
        <v>63</v>
      </c>
      <c r="B47" s="666" t="s">
        <v>15650</v>
      </c>
      <c r="C47" s="667">
        <v>15.86</v>
      </c>
      <c r="D47" s="668" t="s">
        <v>404</v>
      </c>
    </row>
    <row r="48" spans="1:4" x14ac:dyDescent="0.3">
      <c r="A48" s="661" t="s">
        <v>64</v>
      </c>
      <c r="B48" s="666" t="s">
        <v>15651</v>
      </c>
      <c r="C48" s="667">
        <v>0</v>
      </c>
      <c r="D48" s="668" t="s">
        <v>404</v>
      </c>
    </row>
    <row r="49" spans="1:4" x14ac:dyDescent="0.3">
      <c r="A49" s="661" t="s">
        <v>15601</v>
      </c>
      <c r="B49" s="666" t="s">
        <v>15652</v>
      </c>
      <c r="C49" s="667">
        <v>0</v>
      </c>
      <c r="D49" s="668" t="s">
        <v>408</v>
      </c>
    </row>
    <row r="50" spans="1:4" x14ac:dyDescent="0.3">
      <c r="A50" s="661" t="s">
        <v>65</v>
      </c>
      <c r="B50" s="666" t="s">
        <v>15653</v>
      </c>
      <c r="C50" s="667">
        <v>0</v>
      </c>
      <c r="D50" s="668" t="s">
        <v>408</v>
      </c>
    </row>
    <row r="51" spans="1:4" x14ac:dyDescent="0.3">
      <c r="A51" s="661" t="s">
        <v>66</v>
      </c>
      <c r="B51" s="666" t="s">
        <v>15654</v>
      </c>
      <c r="C51" s="667">
        <v>0</v>
      </c>
      <c r="D51" s="668" t="s">
        <v>408</v>
      </c>
    </row>
    <row r="52" spans="1:4" x14ac:dyDescent="0.3">
      <c r="A52" s="661" t="s">
        <v>67</v>
      </c>
      <c r="B52" s="666" t="s">
        <v>15655</v>
      </c>
      <c r="C52" s="667">
        <v>0</v>
      </c>
      <c r="D52" s="668" t="s">
        <v>408</v>
      </c>
    </row>
    <row r="53" spans="1:4" x14ac:dyDescent="0.3">
      <c r="A53" s="661" t="s">
        <v>68</v>
      </c>
      <c r="B53" s="666" t="s">
        <v>15656</v>
      </c>
      <c r="C53" s="667">
        <v>0</v>
      </c>
      <c r="D53" s="668" t="s">
        <v>408</v>
      </c>
    </row>
    <row r="54" spans="1:4" x14ac:dyDescent="0.3">
      <c r="A54" s="661" t="s">
        <v>15657</v>
      </c>
      <c r="B54" s="666" t="s">
        <v>15658</v>
      </c>
      <c r="C54" s="667">
        <v>0</v>
      </c>
      <c r="D54" s="668" t="s">
        <v>408</v>
      </c>
    </row>
    <row r="55" spans="1:4" x14ac:dyDescent="0.3">
      <c r="A55" s="661" t="s">
        <v>15659</v>
      </c>
      <c r="B55" s="666" t="s">
        <v>15660</v>
      </c>
      <c r="C55" s="667">
        <v>0</v>
      </c>
      <c r="D55" s="668" t="s">
        <v>413</v>
      </c>
    </row>
    <row r="56" spans="1:4" x14ac:dyDescent="0.3">
      <c r="A56" s="661" t="s">
        <v>15661</v>
      </c>
      <c r="B56" s="666" t="s">
        <v>15662</v>
      </c>
      <c r="C56" s="667">
        <v>0</v>
      </c>
      <c r="D56" s="668" t="s">
        <v>408</v>
      </c>
    </row>
    <row r="57" spans="1:4" x14ac:dyDescent="0.3">
      <c r="A57" s="661"/>
      <c r="B57" s="670"/>
      <c r="C57" s="671"/>
      <c r="D57" s="672"/>
    </row>
    <row r="58" spans="1:4" x14ac:dyDescent="0.3">
      <c r="A58" s="665" t="s">
        <v>15663</v>
      </c>
      <c r="B58" s="666"/>
      <c r="C58" s="667" t="s">
        <v>15437</v>
      </c>
      <c r="D58" s="668"/>
    </row>
    <row r="59" spans="1:4" x14ac:dyDescent="0.3">
      <c r="A59" s="661" t="s">
        <v>69</v>
      </c>
      <c r="B59" s="673" t="s">
        <v>15664</v>
      </c>
      <c r="C59" s="667">
        <v>2</v>
      </c>
      <c r="D59" s="668" t="s">
        <v>15665</v>
      </c>
    </row>
    <row r="60" spans="1:4" x14ac:dyDescent="0.3">
      <c r="A60" s="661" t="s">
        <v>70</v>
      </c>
      <c r="B60" s="673" t="s">
        <v>15666</v>
      </c>
      <c r="C60" s="667">
        <v>0</v>
      </c>
      <c r="D60" s="668" t="s">
        <v>15665</v>
      </c>
    </row>
    <row r="61" spans="1:4" x14ac:dyDescent="0.3">
      <c r="A61" s="661" t="s">
        <v>71</v>
      </c>
      <c r="B61" s="666" t="s">
        <v>15667</v>
      </c>
      <c r="C61" s="667">
        <v>0.59</v>
      </c>
      <c r="D61" s="668" t="s">
        <v>413</v>
      </c>
    </row>
    <row r="62" spans="1:4" x14ac:dyDescent="0.3">
      <c r="A62" s="661" t="s">
        <v>73</v>
      </c>
      <c r="B62" s="666" t="s">
        <v>15668</v>
      </c>
      <c r="C62" s="667">
        <v>1</v>
      </c>
      <c r="D62" s="668" t="s">
        <v>15665</v>
      </c>
    </row>
    <row r="63" spans="1:4" x14ac:dyDescent="0.3">
      <c r="A63" s="661" t="s">
        <v>75</v>
      </c>
      <c r="B63" s="666" t="s">
        <v>15669</v>
      </c>
      <c r="C63" s="667">
        <v>0</v>
      </c>
      <c r="D63" s="668" t="s">
        <v>15665</v>
      </c>
    </row>
    <row r="64" spans="1:4" x14ac:dyDescent="0.3">
      <c r="A64" s="661" t="s">
        <v>76</v>
      </c>
      <c r="B64" s="666" t="s">
        <v>15670</v>
      </c>
      <c r="C64" s="667">
        <v>0</v>
      </c>
      <c r="D64" s="668" t="s">
        <v>413</v>
      </c>
    </row>
    <row r="65" spans="1:4" x14ac:dyDescent="0.3">
      <c r="A65" s="661" t="s">
        <v>77</v>
      </c>
      <c r="B65" s="666" t="s">
        <v>15671</v>
      </c>
      <c r="C65" s="667">
        <v>2.4</v>
      </c>
      <c r="D65" s="668" t="s">
        <v>413</v>
      </c>
    </row>
    <row r="66" spans="1:4" x14ac:dyDescent="0.3">
      <c r="A66" s="661" t="s">
        <v>78</v>
      </c>
      <c r="B66" s="666" t="s">
        <v>15672</v>
      </c>
      <c r="C66" s="667">
        <v>4.41</v>
      </c>
      <c r="D66" s="668" t="s">
        <v>413</v>
      </c>
    </row>
    <row r="67" spans="1:4" x14ac:dyDescent="0.3">
      <c r="A67" s="661" t="s">
        <v>79</v>
      </c>
      <c r="B67" s="666" t="s">
        <v>15673</v>
      </c>
      <c r="C67" s="667">
        <v>1</v>
      </c>
      <c r="D67" s="668" t="s">
        <v>15665</v>
      </c>
    </row>
    <row r="68" spans="1:4" x14ac:dyDescent="0.3">
      <c r="A68" s="661" t="s">
        <v>80</v>
      </c>
      <c r="B68" s="666" t="s">
        <v>15674</v>
      </c>
      <c r="C68" s="667">
        <v>0</v>
      </c>
      <c r="D68" s="668" t="s">
        <v>15665</v>
      </c>
    </row>
    <row r="69" spans="1:4" x14ac:dyDescent="0.3">
      <c r="A69" s="661" t="s">
        <v>81</v>
      </c>
      <c r="B69" s="666" t="s">
        <v>15675</v>
      </c>
      <c r="C69" s="667">
        <v>2</v>
      </c>
      <c r="D69" s="668" t="s">
        <v>15665</v>
      </c>
    </row>
    <row r="70" spans="1:4" x14ac:dyDescent="0.3">
      <c r="A70" s="661" t="s">
        <v>82</v>
      </c>
      <c r="B70" s="666" t="s">
        <v>15676</v>
      </c>
      <c r="C70" s="667">
        <v>0</v>
      </c>
      <c r="D70" s="668" t="s">
        <v>15665</v>
      </c>
    </row>
    <row r="71" spans="1:4" x14ac:dyDescent="0.3">
      <c r="A71" s="661" t="s">
        <v>83</v>
      </c>
      <c r="B71" s="666" t="s">
        <v>15677</v>
      </c>
      <c r="C71" s="667">
        <v>1</v>
      </c>
      <c r="D71" s="668" t="s">
        <v>15665</v>
      </c>
    </row>
    <row r="72" spans="1:4" x14ac:dyDescent="0.3">
      <c r="A72" s="661" t="s">
        <v>84</v>
      </c>
      <c r="B72" s="666" t="s">
        <v>15678</v>
      </c>
      <c r="C72" s="667">
        <v>0</v>
      </c>
      <c r="D72" s="668" t="s">
        <v>15665</v>
      </c>
    </row>
    <row r="73" spans="1:4" x14ac:dyDescent="0.3">
      <c r="A73" s="661" t="s">
        <v>85</v>
      </c>
      <c r="B73" s="666" t="s">
        <v>15679</v>
      </c>
      <c r="C73" s="667">
        <v>0</v>
      </c>
      <c r="D73" s="668" t="s">
        <v>15665</v>
      </c>
    </row>
    <row r="74" spans="1:4" x14ac:dyDescent="0.3">
      <c r="A74" s="661"/>
      <c r="B74" s="670"/>
      <c r="C74" s="671"/>
      <c r="D74" s="672"/>
    </row>
    <row r="75" spans="1:4" x14ac:dyDescent="0.3">
      <c r="A75" s="665" t="s">
        <v>15680</v>
      </c>
      <c r="B75" s="666"/>
      <c r="C75" s="667" t="s">
        <v>15437</v>
      </c>
      <c r="D75" s="668"/>
    </row>
    <row r="76" spans="1:4" x14ac:dyDescent="0.3">
      <c r="A76" s="661" t="s">
        <v>87</v>
      </c>
      <c r="B76" s="666" t="s">
        <v>15681</v>
      </c>
      <c r="C76" s="667">
        <v>14.09</v>
      </c>
      <c r="D76" s="668" t="s">
        <v>404</v>
      </c>
    </row>
    <row r="77" spans="1:4" x14ac:dyDescent="0.3">
      <c r="A77" s="661"/>
      <c r="B77" s="670"/>
      <c r="C77" s="671"/>
      <c r="D77" s="672"/>
    </row>
    <row r="78" spans="1:4" x14ac:dyDescent="0.3">
      <c r="A78" s="665" t="s">
        <v>15682</v>
      </c>
      <c r="B78" s="666"/>
      <c r="C78" s="667" t="s">
        <v>15437</v>
      </c>
      <c r="D78" s="668"/>
    </row>
    <row r="79" spans="1:4" x14ac:dyDescent="0.3">
      <c r="A79" s="661" t="s">
        <v>96</v>
      </c>
      <c r="B79" s="666" t="s">
        <v>15683</v>
      </c>
      <c r="C79" s="667">
        <v>0</v>
      </c>
      <c r="D79" s="668" t="s">
        <v>404</v>
      </c>
    </row>
    <row r="80" spans="1:4" x14ac:dyDescent="0.3">
      <c r="A80" s="661" t="s">
        <v>97</v>
      </c>
      <c r="B80" s="666" t="s">
        <v>15684</v>
      </c>
      <c r="C80" s="667">
        <v>0</v>
      </c>
      <c r="D80" s="668" t="s">
        <v>15685</v>
      </c>
    </row>
    <row r="81" spans="1:4" x14ac:dyDescent="0.3">
      <c r="A81" s="661" t="s">
        <v>98</v>
      </c>
      <c r="B81" s="666" t="s">
        <v>15686</v>
      </c>
      <c r="C81" s="667">
        <v>0</v>
      </c>
      <c r="D81" s="668" t="s">
        <v>408</v>
      </c>
    </row>
    <row r="82" spans="1:4" x14ac:dyDescent="0.3">
      <c r="A82" s="661"/>
      <c r="B82" s="670"/>
      <c r="C82" s="671"/>
      <c r="D82" s="672"/>
    </row>
    <row r="83" spans="1:4" x14ac:dyDescent="0.3">
      <c r="A83" s="665" t="s">
        <v>15687</v>
      </c>
      <c r="B83" s="666"/>
      <c r="C83" s="667" t="s">
        <v>15437</v>
      </c>
      <c r="D83" s="668"/>
    </row>
    <row r="84" spans="1:4" x14ac:dyDescent="0.3">
      <c r="A84" s="661" t="s">
        <v>102</v>
      </c>
      <c r="B84" s="666" t="s">
        <v>429</v>
      </c>
      <c r="C84" s="667">
        <v>51</v>
      </c>
      <c r="D84" s="668" t="s">
        <v>413</v>
      </c>
    </row>
    <row r="85" spans="1:4" x14ac:dyDescent="0.3">
      <c r="A85" s="661" t="s">
        <v>104</v>
      </c>
      <c r="B85" s="666" t="s">
        <v>15688</v>
      </c>
      <c r="C85" s="667">
        <v>209.95</v>
      </c>
      <c r="D85" s="668" t="s">
        <v>413</v>
      </c>
    </row>
    <row r="86" spans="1:4" x14ac:dyDescent="0.3">
      <c r="A86" s="661" t="s">
        <v>106</v>
      </c>
      <c r="B86" s="666" t="s">
        <v>15689</v>
      </c>
      <c r="C86" s="667">
        <v>0</v>
      </c>
      <c r="D86" s="668" t="s">
        <v>404</v>
      </c>
    </row>
    <row r="87" spans="1:4" x14ac:dyDescent="0.3">
      <c r="A87" s="661" t="s">
        <v>108</v>
      </c>
      <c r="B87" s="666" t="s">
        <v>15690</v>
      </c>
      <c r="C87" s="667">
        <v>2.78</v>
      </c>
      <c r="D87" s="668" t="s">
        <v>408</v>
      </c>
    </row>
    <row r="88" spans="1:4" x14ac:dyDescent="0.3">
      <c r="A88" s="661" t="s">
        <v>15573</v>
      </c>
      <c r="B88" s="666" t="s">
        <v>15691</v>
      </c>
      <c r="C88" s="667">
        <v>0.57999999999999996</v>
      </c>
      <c r="D88" s="668" t="s">
        <v>404</v>
      </c>
    </row>
    <row r="89" spans="1:4" x14ac:dyDescent="0.3">
      <c r="A89" s="661" t="s">
        <v>15574</v>
      </c>
      <c r="B89" s="666" t="s">
        <v>15692</v>
      </c>
      <c r="C89" s="667">
        <v>15.86</v>
      </c>
      <c r="D89" s="668" t="s">
        <v>404</v>
      </c>
    </row>
    <row r="90" spans="1:4" x14ac:dyDescent="0.3">
      <c r="A90" s="661" t="s">
        <v>15575</v>
      </c>
      <c r="B90" s="666" t="s">
        <v>15693</v>
      </c>
      <c r="C90" s="667">
        <v>317.17</v>
      </c>
      <c r="D90" s="668" t="s">
        <v>408</v>
      </c>
    </row>
    <row r="91" spans="1:4" x14ac:dyDescent="0.3">
      <c r="A91" s="661" t="s">
        <v>15576</v>
      </c>
      <c r="B91" s="666" t="s">
        <v>15694</v>
      </c>
      <c r="C91" s="667">
        <v>47.58</v>
      </c>
      <c r="D91" s="668" t="s">
        <v>404</v>
      </c>
    </row>
    <row r="92" spans="1:4" x14ac:dyDescent="0.3">
      <c r="A92" s="661" t="s">
        <v>15577</v>
      </c>
      <c r="B92" s="666" t="s">
        <v>15695</v>
      </c>
      <c r="C92" s="667">
        <v>47.58</v>
      </c>
      <c r="D92" s="668" t="s">
        <v>404</v>
      </c>
    </row>
    <row r="93" spans="1:4" ht="19.2" x14ac:dyDescent="0.3">
      <c r="A93" s="661" t="s">
        <v>15696</v>
      </c>
      <c r="B93" s="666" t="s">
        <v>15697</v>
      </c>
      <c r="C93" s="667">
        <v>3.48</v>
      </c>
      <c r="D93" s="668" t="s">
        <v>404</v>
      </c>
    </row>
    <row r="94" spans="1:4" x14ac:dyDescent="0.3">
      <c r="A94" s="661" t="s">
        <v>15698</v>
      </c>
      <c r="B94" s="666" t="s">
        <v>15699</v>
      </c>
      <c r="C94" s="667">
        <v>59.84</v>
      </c>
      <c r="D94" s="668" t="s">
        <v>413</v>
      </c>
    </row>
  </sheetData>
  <pageMargins left="0.511811024" right="0.511811024" top="0.78740157499999996" bottom="0.78740157499999996" header="0.31496062000000002" footer="0.3149606200000000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pageSetUpPr fitToPage="1"/>
  </sheetPr>
  <dimension ref="A1:C10"/>
  <sheetViews>
    <sheetView showGridLines="0" zoomScale="115" zoomScaleNormal="115" workbookViewId="0">
      <selection activeCell="E26" sqref="E26"/>
    </sheetView>
  </sheetViews>
  <sheetFormatPr defaultColWidth="8.5546875" defaultRowHeight="14.4" x14ac:dyDescent="0.3"/>
  <cols>
    <col min="1" max="1" width="20.5546875" customWidth="1"/>
    <col min="2" max="2" width="19.6640625" style="389" customWidth="1"/>
    <col min="3" max="3" width="32.6640625" customWidth="1"/>
  </cols>
  <sheetData>
    <row r="1" spans="1:3" x14ac:dyDescent="0.3">
      <c r="A1" s="390" t="s">
        <v>397</v>
      </c>
      <c r="B1" s="391" t="s">
        <v>491</v>
      </c>
      <c r="C1" s="390" t="s">
        <v>492</v>
      </c>
    </row>
    <row r="2" spans="1:3" x14ac:dyDescent="0.3">
      <c r="A2" s="392" t="s">
        <v>493</v>
      </c>
      <c r="B2" s="393">
        <v>0.4</v>
      </c>
      <c r="C2" s="392" t="s">
        <v>494</v>
      </c>
    </row>
    <row r="3" spans="1:3" x14ac:dyDescent="0.3">
      <c r="A3" s="392" t="s">
        <v>495</v>
      </c>
      <c r="B3" s="393">
        <v>0.38890000000000002</v>
      </c>
      <c r="C3" s="392" t="s">
        <v>187</v>
      </c>
    </row>
    <row r="4" spans="1:3" x14ac:dyDescent="0.3">
      <c r="A4" s="392" t="s">
        <v>496</v>
      </c>
      <c r="B4" s="393">
        <v>0.3</v>
      </c>
      <c r="C4" s="392" t="s">
        <v>497</v>
      </c>
    </row>
    <row r="5" spans="1:3" x14ac:dyDescent="0.3">
      <c r="A5" s="392" t="s">
        <v>498</v>
      </c>
      <c r="B5" s="393">
        <v>0.25</v>
      </c>
      <c r="C5" s="392" t="s">
        <v>499</v>
      </c>
    </row>
    <row r="6" spans="1:3" x14ac:dyDescent="0.3">
      <c r="A6" s="392" t="s">
        <v>500</v>
      </c>
      <c r="B6" s="393">
        <v>0.25</v>
      </c>
      <c r="C6" s="392" t="s">
        <v>499</v>
      </c>
    </row>
    <row r="7" spans="1:3" x14ac:dyDescent="0.3">
      <c r="A7" s="392" t="s">
        <v>501</v>
      </c>
      <c r="B7" s="393">
        <v>0.1</v>
      </c>
      <c r="C7" s="392" t="s">
        <v>188</v>
      </c>
    </row>
    <row r="8" spans="1:3" x14ac:dyDescent="0.3">
      <c r="A8" s="392" t="s">
        <v>406</v>
      </c>
      <c r="B8" s="393">
        <v>0.1</v>
      </c>
      <c r="C8" s="392" t="s">
        <v>502</v>
      </c>
    </row>
    <row r="9" spans="1:3" x14ac:dyDescent="0.3">
      <c r="A9" s="392" t="s">
        <v>503</v>
      </c>
      <c r="B9" s="394">
        <v>2.4</v>
      </c>
      <c r="C9" s="392" t="s">
        <v>504</v>
      </c>
    </row>
    <row r="10" spans="1:3" x14ac:dyDescent="0.3">
      <c r="A10" s="392" t="s">
        <v>15567</v>
      </c>
      <c r="B10" s="651">
        <v>0.2</v>
      </c>
      <c r="C10" s="392" t="s">
        <v>494</v>
      </c>
    </row>
  </sheetData>
  <pageMargins left="0.51180555555555596" right="0.51180555555555596" top="0.78749999999999998" bottom="0.78749999999999998" header="0.511811023622047" footer="0.511811023622047"/>
  <pageSetup paperSize="9" fitToHeight="0" orientation="portrait" horizontalDpi="300" verticalDpi="30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J10689"/>
  <sheetViews>
    <sheetView zoomScale="85" zoomScaleNormal="85" workbookViewId="0">
      <selection activeCell="L1" sqref="L1"/>
    </sheetView>
  </sheetViews>
  <sheetFormatPr defaultColWidth="8.5546875" defaultRowHeight="14.4" x14ac:dyDescent="0.3"/>
  <cols>
    <col min="1" max="1" width="17.6640625" customWidth="1"/>
    <col min="2" max="2" width="14.6640625" customWidth="1"/>
    <col min="3" max="3" width="101.33203125" customWidth="1"/>
    <col min="4" max="5" width="11.6640625" customWidth="1"/>
    <col min="6" max="6" width="5.6640625" customWidth="1"/>
    <col min="7" max="7" width="18.5546875" customWidth="1"/>
    <col min="8" max="8" width="19" customWidth="1"/>
    <col min="255" max="255" width="147.44140625" customWidth="1"/>
    <col min="257" max="257" width="21.88671875" customWidth="1"/>
    <col min="258" max="258" width="14.5546875" customWidth="1"/>
    <col min="259" max="259" width="22.5546875" customWidth="1"/>
    <col min="260" max="260" width="18.5546875" customWidth="1"/>
    <col min="261" max="261" width="23" customWidth="1"/>
    <col min="262" max="262" width="30" customWidth="1"/>
    <col min="263" max="263" width="16.44140625" customWidth="1"/>
    <col min="511" max="511" width="147.44140625" customWidth="1"/>
    <col min="513" max="513" width="21.88671875" customWidth="1"/>
    <col min="514" max="514" width="14.5546875" customWidth="1"/>
    <col min="515" max="515" width="22.5546875" customWidth="1"/>
    <col min="516" max="516" width="18.5546875" customWidth="1"/>
    <col min="517" max="517" width="23" customWidth="1"/>
    <col min="518" max="518" width="30" customWidth="1"/>
    <col min="519" max="519" width="16.44140625" customWidth="1"/>
    <col min="767" max="767" width="147.44140625" customWidth="1"/>
    <col min="769" max="769" width="21.88671875" customWidth="1"/>
    <col min="770" max="770" width="14.5546875" customWidth="1"/>
    <col min="771" max="771" width="22.5546875" customWidth="1"/>
    <col min="772" max="772" width="18.5546875" customWidth="1"/>
    <col min="773" max="773" width="23" customWidth="1"/>
    <col min="774" max="774" width="30" customWidth="1"/>
    <col min="775" max="775" width="16.44140625" customWidth="1"/>
    <col min="1023" max="1023" width="147.44140625" customWidth="1"/>
    <col min="1025" max="1025" width="21.88671875" customWidth="1"/>
    <col min="1026" max="1026" width="14.5546875" customWidth="1"/>
    <col min="1027" max="1027" width="22.5546875" customWidth="1"/>
    <col min="1028" max="1028" width="18.5546875" customWidth="1"/>
    <col min="1029" max="1029" width="23" customWidth="1"/>
    <col min="1030" max="1030" width="30" customWidth="1"/>
    <col min="1031" max="1031" width="16.44140625" customWidth="1"/>
    <col min="1279" max="1279" width="147.44140625" customWidth="1"/>
    <col min="1281" max="1281" width="21.88671875" customWidth="1"/>
    <col min="1282" max="1282" width="14.5546875" customWidth="1"/>
    <col min="1283" max="1283" width="22.5546875" customWidth="1"/>
    <col min="1284" max="1284" width="18.5546875" customWidth="1"/>
    <col min="1285" max="1285" width="23" customWidth="1"/>
    <col min="1286" max="1286" width="30" customWidth="1"/>
    <col min="1287" max="1287" width="16.44140625" customWidth="1"/>
    <col min="1535" max="1535" width="147.44140625" customWidth="1"/>
    <col min="1537" max="1537" width="21.88671875" customWidth="1"/>
    <col min="1538" max="1538" width="14.5546875" customWidth="1"/>
    <col min="1539" max="1539" width="22.5546875" customWidth="1"/>
    <col min="1540" max="1540" width="18.5546875" customWidth="1"/>
    <col min="1541" max="1541" width="23" customWidth="1"/>
    <col min="1542" max="1542" width="30" customWidth="1"/>
    <col min="1543" max="1543" width="16.44140625" customWidth="1"/>
    <col min="1791" max="1791" width="147.44140625" customWidth="1"/>
    <col min="1793" max="1793" width="21.88671875" customWidth="1"/>
    <col min="1794" max="1794" width="14.5546875" customWidth="1"/>
    <col min="1795" max="1795" width="22.5546875" customWidth="1"/>
    <col min="1796" max="1796" width="18.5546875" customWidth="1"/>
    <col min="1797" max="1797" width="23" customWidth="1"/>
    <col min="1798" max="1798" width="30" customWidth="1"/>
    <col min="1799" max="1799" width="16.44140625" customWidth="1"/>
    <col min="2047" max="2047" width="147.44140625" customWidth="1"/>
    <col min="2049" max="2049" width="21.88671875" customWidth="1"/>
    <col min="2050" max="2050" width="14.5546875" customWidth="1"/>
    <col min="2051" max="2051" width="22.5546875" customWidth="1"/>
    <col min="2052" max="2052" width="18.5546875" customWidth="1"/>
    <col min="2053" max="2053" width="23" customWidth="1"/>
    <col min="2054" max="2054" width="30" customWidth="1"/>
    <col min="2055" max="2055" width="16.44140625" customWidth="1"/>
    <col min="2303" max="2303" width="147.44140625" customWidth="1"/>
    <col min="2305" max="2305" width="21.88671875" customWidth="1"/>
    <col min="2306" max="2306" width="14.5546875" customWidth="1"/>
    <col min="2307" max="2307" width="22.5546875" customWidth="1"/>
    <col min="2308" max="2308" width="18.5546875" customWidth="1"/>
    <col min="2309" max="2309" width="23" customWidth="1"/>
    <col min="2310" max="2310" width="30" customWidth="1"/>
    <col min="2311" max="2311" width="16.44140625" customWidth="1"/>
    <col min="2559" max="2559" width="147.44140625" customWidth="1"/>
    <col min="2561" max="2561" width="21.88671875" customWidth="1"/>
    <col min="2562" max="2562" width="14.5546875" customWidth="1"/>
    <col min="2563" max="2563" width="22.5546875" customWidth="1"/>
    <col min="2564" max="2564" width="18.5546875" customWidth="1"/>
    <col min="2565" max="2565" width="23" customWidth="1"/>
    <col min="2566" max="2566" width="30" customWidth="1"/>
    <col min="2567" max="2567" width="16.44140625" customWidth="1"/>
    <col min="2815" max="2815" width="147.44140625" customWidth="1"/>
    <col min="2817" max="2817" width="21.88671875" customWidth="1"/>
    <col min="2818" max="2818" width="14.5546875" customWidth="1"/>
    <col min="2819" max="2819" width="22.5546875" customWidth="1"/>
    <col min="2820" max="2820" width="18.5546875" customWidth="1"/>
    <col min="2821" max="2821" width="23" customWidth="1"/>
    <col min="2822" max="2822" width="30" customWidth="1"/>
    <col min="2823" max="2823" width="16.44140625" customWidth="1"/>
    <col min="3071" max="3071" width="147.44140625" customWidth="1"/>
    <col min="3073" max="3073" width="21.88671875" customWidth="1"/>
    <col min="3074" max="3074" width="14.5546875" customWidth="1"/>
    <col min="3075" max="3075" width="22.5546875" customWidth="1"/>
    <col min="3076" max="3076" width="18.5546875" customWidth="1"/>
    <col min="3077" max="3077" width="23" customWidth="1"/>
    <col min="3078" max="3078" width="30" customWidth="1"/>
    <col min="3079" max="3079" width="16.44140625" customWidth="1"/>
    <col min="3327" max="3327" width="147.44140625" customWidth="1"/>
    <col min="3329" max="3329" width="21.88671875" customWidth="1"/>
    <col min="3330" max="3330" width="14.5546875" customWidth="1"/>
    <col min="3331" max="3331" width="22.5546875" customWidth="1"/>
    <col min="3332" max="3332" width="18.5546875" customWidth="1"/>
    <col min="3333" max="3333" width="23" customWidth="1"/>
    <col min="3334" max="3334" width="30" customWidth="1"/>
    <col min="3335" max="3335" width="16.44140625" customWidth="1"/>
    <col min="3583" max="3583" width="147.44140625" customWidth="1"/>
    <col min="3585" max="3585" width="21.88671875" customWidth="1"/>
    <col min="3586" max="3586" width="14.5546875" customWidth="1"/>
    <col min="3587" max="3587" width="22.5546875" customWidth="1"/>
    <col min="3588" max="3588" width="18.5546875" customWidth="1"/>
    <col min="3589" max="3589" width="23" customWidth="1"/>
    <col min="3590" max="3590" width="30" customWidth="1"/>
    <col min="3591" max="3591" width="16.44140625" customWidth="1"/>
    <col min="3839" max="3839" width="147.44140625" customWidth="1"/>
    <col min="3841" max="3841" width="21.88671875" customWidth="1"/>
    <col min="3842" max="3842" width="14.5546875" customWidth="1"/>
    <col min="3843" max="3843" width="22.5546875" customWidth="1"/>
    <col min="3844" max="3844" width="18.5546875" customWidth="1"/>
    <col min="3845" max="3845" width="23" customWidth="1"/>
    <col min="3846" max="3846" width="30" customWidth="1"/>
    <col min="3847" max="3847" width="16.44140625" customWidth="1"/>
    <col min="4095" max="4095" width="147.44140625" customWidth="1"/>
    <col min="4097" max="4097" width="21.88671875" customWidth="1"/>
    <col min="4098" max="4098" width="14.5546875" customWidth="1"/>
    <col min="4099" max="4099" width="22.5546875" customWidth="1"/>
    <col min="4100" max="4100" width="18.5546875" customWidth="1"/>
    <col min="4101" max="4101" width="23" customWidth="1"/>
    <col min="4102" max="4102" width="30" customWidth="1"/>
    <col min="4103" max="4103" width="16.44140625" customWidth="1"/>
    <col min="4351" max="4351" width="147.44140625" customWidth="1"/>
    <col min="4353" max="4353" width="21.88671875" customWidth="1"/>
    <col min="4354" max="4354" width="14.5546875" customWidth="1"/>
    <col min="4355" max="4355" width="22.5546875" customWidth="1"/>
    <col min="4356" max="4356" width="18.5546875" customWidth="1"/>
    <col min="4357" max="4357" width="23" customWidth="1"/>
    <col min="4358" max="4358" width="30" customWidth="1"/>
    <col min="4359" max="4359" width="16.44140625" customWidth="1"/>
    <col min="4607" max="4607" width="147.44140625" customWidth="1"/>
    <col min="4609" max="4609" width="21.88671875" customWidth="1"/>
    <col min="4610" max="4610" width="14.5546875" customWidth="1"/>
    <col min="4611" max="4611" width="22.5546875" customWidth="1"/>
    <col min="4612" max="4612" width="18.5546875" customWidth="1"/>
    <col min="4613" max="4613" width="23" customWidth="1"/>
    <col min="4614" max="4614" width="30" customWidth="1"/>
    <col min="4615" max="4615" width="16.44140625" customWidth="1"/>
    <col min="4863" max="4863" width="147.44140625" customWidth="1"/>
    <col min="4865" max="4865" width="21.88671875" customWidth="1"/>
    <col min="4866" max="4866" width="14.5546875" customWidth="1"/>
    <col min="4867" max="4867" width="22.5546875" customWidth="1"/>
    <col min="4868" max="4868" width="18.5546875" customWidth="1"/>
    <col min="4869" max="4869" width="23" customWidth="1"/>
    <col min="4870" max="4870" width="30" customWidth="1"/>
    <col min="4871" max="4871" width="16.44140625" customWidth="1"/>
    <col min="5119" max="5119" width="147.44140625" customWidth="1"/>
    <col min="5121" max="5121" width="21.88671875" customWidth="1"/>
    <col min="5122" max="5122" width="14.5546875" customWidth="1"/>
    <col min="5123" max="5123" width="22.5546875" customWidth="1"/>
    <col min="5124" max="5124" width="18.5546875" customWidth="1"/>
    <col min="5125" max="5125" width="23" customWidth="1"/>
    <col min="5126" max="5126" width="30" customWidth="1"/>
    <col min="5127" max="5127" width="16.44140625" customWidth="1"/>
    <col min="5375" max="5375" width="147.44140625" customWidth="1"/>
    <col min="5377" max="5377" width="21.88671875" customWidth="1"/>
    <col min="5378" max="5378" width="14.5546875" customWidth="1"/>
    <col min="5379" max="5379" width="22.5546875" customWidth="1"/>
    <col min="5380" max="5380" width="18.5546875" customWidth="1"/>
    <col min="5381" max="5381" width="23" customWidth="1"/>
    <col min="5382" max="5382" width="30" customWidth="1"/>
    <col min="5383" max="5383" width="16.44140625" customWidth="1"/>
    <col min="5631" max="5631" width="147.44140625" customWidth="1"/>
    <col min="5633" max="5633" width="21.88671875" customWidth="1"/>
    <col min="5634" max="5634" width="14.5546875" customWidth="1"/>
    <col min="5635" max="5635" width="22.5546875" customWidth="1"/>
    <col min="5636" max="5636" width="18.5546875" customWidth="1"/>
    <col min="5637" max="5637" width="23" customWidth="1"/>
    <col min="5638" max="5638" width="30" customWidth="1"/>
    <col min="5639" max="5639" width="16.44140625" customWidth="1"/>
    <col min="5887" max="5887" width="147.44140625" customWidth="1"/>
    <col min="5889" max="5889" width="21.88671875" customWidth="1"/>
    <col min="5890" max="5890" width="14.5546875" customWidth="1"/>
    <col min="5891" max="5891" width="22.5546875" customWidth="1"/>
    <col min="5892" max="5892" width="18.5546875" customWidth="1"/>
    <col min="5893" max="5893" width="23" customWidth="1"/>
    <col min="5894" max="5894" width="30" customWidth="1"/>
    <col min="5895" max="5895" width="16.44140625" customWidth="1"/>
    <col min="6143" max="6143" width="147.44140625" customWidth="1"/>
    <col min="6145" max="6145" width="21.88671875" customWidth="1"/>
    <col min="6146" max="6146" width="14.5546875" customWidth="1"/>
    <col min="6147" max="6147" width="22.5546875" customWidth="1"/>
    <col min="6148" max="6148" width="18.5546875" customWidth="1"/>
    <col min="6149" max="6149" width="23" customWidth="1"/>
    <col min="6150" max="6150" width="30" customWidth="1"/>
    <col min="6151" max="6151" width="16.44140625" customWidth="1"/>
    <col min="6399" max="6399" width="147.44140625" customWidth="1"/>
    <col min="6401" max="6401" width="21.88671875" customWidth="1"/>
    <col min="6402" max="6402" width="14.5546875" customWidth="1"/>
    <col min="6403" max="6403" width="22.5546875" customWidth="1"/>
    <col min="6404" max="6404" width="18.5546875" customWidth="1"/>
    <col min="6405" max="6405" width="23" customWidth="1"/>
    <col min="6406" max="6406" width="30" customWidth="1"/>
    <col min="6407" max="6407" width="16.44140625" customWidth="1"/>
    <col min="6655" max="6655" width="147.44140625" customWidth="1"/>
    <col min="6657" max="6657" width="21.88671875" customWidth="1"/>
    <col min="6658" max="6658" width="14.5546875" customWidth="1"/>
    <col min="6659" max="6659" width="22.5546875" customWidth="1"/>
    <col min="6660" max="6660" width="18.5546875" customWidth="1"/>
    <col min="6661" max="6661" width="23" customWidth="1"/>
    <col min="6662" max="6662" width="30" customWidth="1"/>
    <col min="6663" max="6663" width="16.44140625" customWidth="1"/>
    <col min="6911" max="6911" width="147.44140625" customWidth="1"/>
    <col min="6913" max="6913" width="21.88671875" customWidth="1"/>
    <col min="6914" max="6914" width="14.5546875" customWidth="1"/>
    <col min="6915" max="6915" width="22.5546875" customWidth="1"/>
    <col min="6916" max="6916" width="18.5546875" customWidth="1"/>
    <col min="6917" max="6917" width="23" customWidth="1"/>
    <col min="6918" max="6918" width="30" customWidth="1"/>
    <col min="6919" max="6919" width="16.44140625" customWidth="1"/>
    <col min="7167" max="7167" width="147.44140625" customWidth="1"/>
    <col min="7169" max="7169" width="21.88671875" customWidth="1"/>
    <col min="7170" max="7170" width="14.5546875" customWidth="1"/>
    <col min="7171" max="7171" width="22.5546875" customWidth="1"/>
    <col min="7172" max="7172" width="18.5546875" customWidth="1"/>
    <col min="7173" max="7173" width="23" customWidth="1"/>
    <col min="7174" max="7174" width="30" customWidth="1"/>
    <col min="7175" max="7175" width="16.44140625" customWidth="1"/>
    <col min="7423" max="7423" width="147.44140625" customWidth="1"/>
    <col min="7425" max="7425" width="21.88671875" customWidth="1"/>
    <col min="7426" max="7426" width="14.5546875" customWidth="1"/>
    <col min="7427" max="7427" width="22.5546875" customWidth="1"/>
    <col min="7428" max="7428" width="18.5546875" customWidth="1"/>
    <col min="7429" max="7429" width="23" customWidth="1"/>
    <col min="7430" max="7430" width="30" customWidth="1"/>
    <col min="7431" max="7431" width="16.44140625" customWidth="1"/>
    <col min="7679" max="7679" width="147.44140625" customWidth="1"/>
    <col min="7681" max="7681" width="21.88671875" customWidth="1"/>
    <col min="7682" max="7682" width="14.5546875" customWidth="1"/>
    <col min="7683" max="7683" width="22.5546875" customWidth="1"/>
    <col min="7684" max="7684" width="18.5546875" customWidth="1"/>
    <col min="7685" max="7685" width="23" customWidth="1"/>
    <col min="7686" max="7686" width="30" customWidth="1"/>
    <col min="7687" max="7687" width="16.44140625" customWidth="1"/>
    <col min="7935" max="7935" width="147.44140625" customWidth="1"/>
    <col min="7937" max="7937" width="21.88671875" customWidth="1"/>
    <col min="7938" max="7938" width="14.5546875" customWidth="1"/>
    <col min="7939" max="7939" width="22.5546875" customWidth="1"/>
    <col min="7940" max="7940" width="18.5546875" customWidth="1"/>
    <col min="7941" max="7941" width="23" customWidth="1"/>
    <col min="7942" max="7942" width="30" customWidth="1"/>
    <col min="7943" max="7943" width="16.44140625" customWidth="1"/>
    <col min="8191" max="8191" width="147.44140625" customWidth="1"/>
    <col min="8193" max="8193" width="21.88671875" customWidth="1"/>
    <col min="8194" max="8194" width="14.5546875" customWidth="1"/>
    <col min="8195" max="8195" width="22.5546875" customWidth="1"/>
    <col min="8196" max="8196" width="18.5546875" customWidth="1"/>
    <col min="8197" max="8197" width="23" customWidth="1"/>
    <col min="8198" max="8198" width="30" customWidth="1"/>
    <col min="8199" max="8199" width="16.44140625" customWidth="1"/>
    <col min="8447" max="8447" width="147.44140625" customWidth="1"/>
    <col min="8449" max="8449" width="21.88671875" customWidth="1"/>
    <col min="8450" max="8450" width="14.5546875" customWidth="1"/>
    <col min="8451" max="8451" width="22.5546875" customWidth="1"/>
    <col min="8452" max="8452" width="18.5546875" customWidth="1"/>
    <col min="8453" max="8453" width="23" customWidth="1"/>
    <col min="8454" max="8454" width="30" customWidth="1"/>
    <col min="8455" max="8455" width="16.44140625" customWidth="1"/>
    <col min="8703" max="8703" width="147.44140625" customWidth="1"/>
    <col min="8705" max="8705" width="21.88671875" customWidth="1"/>
    <col min="8706" max="8706" width="14.5546875" customWidth="1"/>
    <col min="8707" max="8707" width="22.5546875" customWidth="1"/>
    <col min="8708" max="8708" width="18.5546875" customWidth="1"/>
    <col min="8709" max="8709" width="23" customWidth="1"/>
    <col min="8710" max="8710" width="30" customWidth="1"/>
    <col min="8711" max="8711" width="16.44140625" customWidth="1"/>
    <col min="8959" max="8959" width="147.44140625" customWidth="1"/>
    <col min="8961" max="8961" width="21.88671875" customWidth="1"/>
    <col min="8962" max="8962" width="14.5546875" customWidth="1"/>
    <col min="8963" max="8963" width="22.5546875" customWidth="1"/>
    <col min="8964" max="8964" width="18.5546875" customWidth="1"/>
    <col min="8965" max="8965" width="23" customWidth="1"/>
    <col min="8966" max="8966" width="30" customWidth="1"/>
    <col min="8967" max="8967" width="16.44140625" customWidth="1"/>
    <col min="9215" max="9215" width="147.44140625" customWidth="1"/>
    <col min="9217" max="9217" width="21.88671875" customWidth="1"/>
    <col min="9218" max="9218" width="14.5546875" customWidth="1"/>
    <col min="9219" max="9219" width="22.5546875" customWidth="1"/>
    <col min="9220" max="9220" width="18.5546875" customWidth="1"/>
    <col min="9221" max="9221" width="23" customWidth="1"/>
    <col min="9222" max="9222" width="30" customWidth="1"/>
    <col min="9223" max="9223" width="16.44140625" customWidth="1"/>
    <col min="9471" max="9471" width="147.44140625" customWidth="1"/>
    <col min="9473" max="9473" width="21.88671875" customWidth="1"/>
    <col min="9474" max="9474" width="14.5546875" customWidth="1"/>
    <col min="9475" max="9475" width="22.5546875" customWidth="1"/>
    <col min="9476" max="9476" width="18.5546875" customWidth="1"/>
    <col min="9477" max="9477" width="23" customWidth="1"/>
    <col min="9478" max="9478" width="30" customWidth="1"/>
    <col min="9479" max="9479" width="16.44140625" customWidth="1"/>
    <col min="9727" max="9727" width="147.44140625" customWidth="1"/>
    <col min="9729" max="9729" width="21.88671875" customWidth="1"/>
    <col min="9730" max="9730" width="14.5546875" customWidth="1"/>
    <col min="9731" max="9731" width="22.5546875" customWidth="1"/>
    <col min="9732" max="9732" width="18.5546875" customWidth="1"/>
    <col min="9733" max="9733" width="23" customWidth="1"/>
    <col min="9734" max="9734" width="30" customWidth="1"/>
    <col min="9735" max="9735" width="16.44140625" customWidth="1"/>
    <col min="9983" max="9983" width="147.44140625" customWidth="1"/>
    <col min="9985" max="9985" width="21.88671875" customWidth="1"/>
    <col min="9986" max="9986" width="14.5546875" customWidth="1"/>
    <col min="9987" max="9987" width="22.5546875" customWidth="1"/>
    <col min="9988" max="9988" width="18.5546875" customWidth="1"/>
    <col min="9989" max="9989" width="23" customWidth="1"/>
    <col min="9990" max="9990" width="30" customWidth="1"/>
    <col min="9991" max="9991" width="16.44140625" customWidth="1"/>
    <col min="10239" max="10239" width="147.44140625" customWidth="1"/>
    <col min="10241" max="10241" width="21.88671875" customWidth="1"/>
    <col min="10242" max="10242" width="14.5546875" customWidth="1"/>
    <col min="10243" max="10243" width="22.5546875" customWidth="1"/>
    <col min="10244" max="10244" width="18.5546875" customWidth="1"/>
    <col min="10245" max="10245" width="23" customWidth="1"/>
    <col min="10246" max="10246" width="30" customWidth="1"/>
    <col min="10247" max="10247" width="16.44140625" customWidth="1"/>
    <col min="10495" max="10495" width="147.44140625" customWidth="1"/>
    <col min="10497" max="10497" width="21.88671875" customWidth="1"/>
    <col min="10498" max="10498" width="14.5546875" customWidth="1"/>
    <col min="10499" max="10499" width="22.5546875" customWidth="1"/>
    <col min="10500" max="10500" width="18.5546875" customWidth="1"/>
    <col min="10501" max="10501" width="23" customWidth="1"/>
    <col min="10502" max="10502" width="30" customWidth="1"/>
    <col min="10503" max="10503" width="16.44140625" customWidth="1"/>
    <col min="10751" max="10751" width="147.44140625" customWidth="1"/>
    <col min="10753" max="10753" width="21.88671875" customWidth="1"/>
    <col min="10754" max="10754" width="14.5546875" customWidth="1"/>
    <col min="10755" max="10755" width="22.5546875" customWidth="1"/>
    <col min="10756" max="10756" width="18.5546875" customWidth="1"/>
    <col min="10757" max="10757" width="23" customWidth="1"/>
    <col min="10758" max="10758" width="30" customWidth="1"/>
    <col min="10759" max="10759" width="16.44140625" customWidth="1"/>
    <col min="11007" max="11007" width="147.44140625" customWidth="1"/>
    <col min="11009" max="11009" width="21.88671875" customWidth="1"/>
    <col min="11010" max="11010" width="14.5546875" customWidth="1"/>
    <col min="11011" max="11011" width="22.5546875" customWidth="1"/>
    <col min="11012" max="11012" width="18.5546875" customWidth="1"/>
    <col min="11013" max="11013" width="23" customWidth="1"/>
    <col min="11014" max="11014" width="30" customWidth="1"/>
    <col min="11015" max="11015" width="16.44140625" customWidth="1"/>
    <col min="11263" max="11263" width="147.44140625" customWidth="1"/>
    <col min="11265" max="11265" width="21.88671875" customWidth="1"/>
    <col min="11266" max="11266" width="14.5546875" customWidth="1"/>
    <col min="11267" max="11267" width="22.5546875" customWidth="1"/>
    <col min="11268" max="11268" width="18.5546875" customWidth="1"/>
    <col min="11269" max="11269" width="23" customWidth="1"/>
    <col min="11270" max="11270" width="30" customWidth="1"/>
    <col min="11271" max="11271" width="16.44140625" customWidth="1"/>
    <col min="11519" max="11519" width="147.44140625" customWidth="1"/>
    <col min="11521" max="11521" width="21.88671875" customWidth="1"/>
    <col min="11522" max="11522" width="14.5546875" customWidth="1"/>
    <col min="11523" max="11523" width="22.5546875" customWidth="1"/>
    <col min="11524" max="11524" width="18.5546875" customWidth="1"/>
    <col min="11525" max="11525" width="23" customWidth="1"/>
    <col min="11526" max="11526" width="30" customWidth="1"/>
    <col min="11527" max="11527" width="16.44140625" customWidth="1"/>
    <col min="11775" max="11775" width="147.44140625" customWidth="1"/>
    <col min="11777" max="11777" width="21.88671875" customWidth="1"/>
    <col min="11778" max="11778" width="14.5546875" customWidth="1"/>
    <col min="11779" max="11779" width="22.5546875" customWidth="1"/>
    <col min="11780" max="11780" width="18.5546875" customWidth="1"/>
    <col min="11781" max="11781" width="23" customWidth="1"/>
    <col min="11782" max="11782" width="30" customWidth="1"/>
    <col min="11783" max="11783" width="16.44140625" customWidth="1"/>
    <col min="12031" max="12031" width="147.44140625" customWidth="1"/>
    <col min="12033" max="12033" width="21.88671875" customWidth="1"/>
    <col min="12034" max="12034" width="14.5546875" customWidth="1"/>
    <col min="12035" max="12035" width="22.5546875" customWidth="1"/>
    <col min="12036" max="12036" width="18.5546875" customWidth="1"/>
    <col min="12037" max="12037" width="23" customWidth="1"/>
    <col min="12038" max="12038" width="30" customWidth="1"/>
    <col min="12039" max="12039" width="16.44140625" customWidth="1"/>
    <col min="12287" max="12287" width="147.44140625" customWidth="1"/>
    <col min="12289" max="12289" width="21.88671875" customWidth="1"/>
    <col min="12290" max="12290" width="14.5546875" customWidth="1"/>
    <col min="12291" max="12291" width="22.5546875" customWidth="1"/>
    <col min="12292" max="12292" width="18.5546875" customWidth="1"/>
    <col min="12293" max="12293" width="23" customWidth="1"/>
    <col min="12294" max="12294" width="30" customWidth="1"/>
    <col min="12295" max="12295" width="16.44140625" customWidth="1"/>
    <col min="12543" max="12543" width="147.44140625" customWidth="1"/>
    <col min="12545" max="12545" width="21.88671875" customWidth="1"/>
    <col min="12546" max="12546" width="14.5546875" customWidth="1"/>
    <col min="12547" max="12547" width="22.5546875" customWidth="1"/>
    <col min="12548" max="12548" width="18.5546875" customWidth="1"/>
    <col min="12549" max="12549" width="23" customWidth="1"/>
    <col min="12550" max="12550" width="30" customWidth="1"/>
    <col min="12551" max="12551" width="16.44140625" customWidth="1"/>
    <col min="12799" max="12799" width="147.44140625" customWidth="1"/>
    <col min="12801" max="12801" width="21.88671875" customWidth="1"/>
    <col min="12802" max="12802" width="14.5546875" customWidth="1"/>
    <col min="12803" max="12803" width="22.5546875" customWidth="1"/>
    <col min="12804" max="12804" width="18.5546875" customWidth="1"/>
    <col min="12805" max="12805" width="23" customWidth="1"/>
    <col min="12806" max="12806" width="30" customWidth="1"/>
    <col min="12807" max="12807" width="16.44140625" customWidth="1"/>
    <col min="13055" max="13055" width="147.44140625" customWidth="1"/>
    <col min="13057" max="13057" width="21.88671875" customWidth="1"/>
    <col min="13058" max="13058" width="14.5546875" customWidth="1"/>
    <col min="13059" max="13059" width="22.5546875" customWidth="1"/>
    <col min="13060" max="13060" width="18.5546875" customWidth="1"/>
    <col min="13061" max="13061" width="23" customWidth="1"/>
    <col min="13062" max="13062" width="30" customWidth="1"/>
    <col min="13063" max="13063" width="16.44140625" customWidth="1"/>
    <col min="13311" max="13311" width="147.44140625" customWidth="1"/>
    <col min="13313" max="13313" width="21.88671875" customWidth="1"/>
    <col min="13314" max="13314" width="14.5546875" customWidth="1"/>
    <col min="13315" max="13315" width="22.5546875" customWidth="1"/>
    <col min="13316" max="13316" width="18.5546875" customWidth="1"/>
    <col min="13317" max="13317" width="23" customWidth="1"/>
    <col min="13318" max="13318" width="30" customWidth="1"/>
    <col min="13319" max="13319" width="16.44140625" customWidth="1"/>
    <col min="13567" max="13567" width="147.44140625" customWidth="1"/>
    <col min="13569" max="13569" width="21.88671875" customWidth="1"/>
    <col min="13570" max="13570" width="14.5546875" customWidth="1"/>
    <col min="13571" max="13571" width="22.5546875" customWidth="1"/>
    <col min="13572" max="13572" width="18.5546875" customWidth="1"/>
    <col min="13573" max="13573" width="23" customWidth="1"/>
    <col min="13574" max="13574" width="30" customWidth="1"/>
    <col min="13575" max="13575" width="16.44140625" customWidth="1"/>
    <col min="13823" max="13823" width="147.44140625" customWidth="1"/>
    <col min="13825" max="13825" width="21.88671875" customWidth="1"/>
    <col min="13826" max="13826" width="14.5546875" customWidth="1"/>
    <col min="13827" max="13827" width="22.5546875" customWidth="1"/>
    <col min="13828" max="13828" width="18.5546875" customWidth="1"/>
    <col min="13829" max="13829" width="23" customWidth="1"/>
    <col min="13830" max="13830" width="30" customWidth="1"/>
    <col min="13831" max="13831" width="16.44140625" customWidth="1"/>
    <col min="14079" max="14079" width="147.44140625" customWidth="1"/>
    <col min="14081" max="14081" width="21.88671875" customWidth="1"/>
    <col min="14082" max="14082" width="14.5546875" customWidth="1"/>
    <col min="14083" max="14083" width="22.5546875" customWidth="1"/>
    <col min="14084" max="14084" width="18.5546875" customWidth="1"/>
    <col min="14085" max="14085" width="23" customWidth="1"/>
    <col min="14086" max="14086" width="30" customWidth="1"/>
    <col min="14087" max="14087" width="16.44140625" customWidth="1"/>
    <col min="14335" max="14335" width="147.44140625" customWidth="1"/>
    <col min="14337" max="14337" width="21.88671875" customWidth="1"/>
    <col min="14338" max="14338" width="14.5546875" customWidth="1"/>
    <col min="14339" max="14339" width="22.5546875" customWidth="1"/>
    <col min="14340" max="14340" width="18.5546875" customWidth="1"/>
    <col min="14341" max="14341" width="23" customWidth="1"/>
    <col min="14342" max="14342" width="30" customWidth="1"/>
    <col min="14343" max="14343" width="16.44140625" customWidth="1"/>
    <col min="14591" max="14591" width="147.44140625" customWidth="1"/>
    <col min="14593" max="14593" width="21.88671875" customWidth="1"/>
    <col min="14594" max="14594" width="14.5546875" customWidth="1"/>
    <col min="14595" max="14595" width="22.5546875" customWidth="1"/>
    <col min="14596" max="14596" width="18.5546875" customWidth="1"/>
    <col min="14597" max="14597" width="23" customWidth="1"/>
    <col min="14598" max="14598" width="30" customWidth="1"/>
    <col min="14599" max="14599" width="16.44140625" customWidth="1"/>
    <col min="14847" max="14847" width="147.44140625" customWidth="1"/>
    <col min="14849" max="14849" width="21.88671875" customWidth="1"/>
    <col min="14850" max="14850" width="14.5546875" customWidth="1"/>
    <col min="14851" max="14851" width="22.5546875" customWidth="1"/>
    <col min="14852" max="14852" width="18.5546875" customWidth="1"/>
    <col min="14853" max="14853" width="23" customWidth="1"/>
    <col min="14854" max="14854" width="30" customWidth="1"/>
    <col min="14855" max="14855" width="16.44140625" customWidth="1"/>
    <col min="15103" max="15103" width="147.44140625" customWidth="1"/>
    <col min="15105" max="15105" width="21.88671875" customWidth="1"/>
    <col min="15106" max="15106" width="14.5546875" customWidth="1"/>
    <col min="15107" max="15107" width="22.5546875" customWidth="1"/>
    <col min="15108" max="15108" width="18.5546875" customWidth="1"/>
    <col min="15109" max="15109" width="23" customWidth="1"/>
    <col min="15110" max="15110" width="30" customWidth="1"/>
    <col min="15111" max="15111" width="16.44140625" customWidth="1"/>
    <col min="15359" max="15359" width="147.44140625" customWidth="1"/>
    <col min="15361" max="15361" width="21.88671875" customWidth="1"/>
    <col min="15362" max="15362" width="14.5546875" customWidth="1"/>
    <col min="15363" max="15363" width="22.5546875" customWidth="1"/>
    <col min="15364" max="15364" width="18.5546875" customWidth="1"/>
    <col min="15365" max="15365" width="23" customWidth="1"/>
    <col min="15366" max="15366" width="30" customWidth="1"/>
    <col min="15367" max="15367" width="16.44140625" customWidth="1"/>
    <col min="15615" max="15615" width="147.44140625" customWidth="1"/>
    <col min="15617" max="15617" width="21.88671875" customWidth="1"/>
    <col min="15618" max="15618" width="14.5546875" customWidth="1"/>
    <col min="15619" max="15619" width="22.5546875" customWidth="1"/>
    <col min="15620" max="15620" width="18.5546875" customWidth="1"/>
    <col min="15621" max="15621" width="23" customWidth="1"/>
    <col min="15622" max="15622" width="30" customWidth="1"/>
    <col min="15623" max="15623" width="16.44140625" customWidth="1"/>
    <col min="15871" max="15871" width="147.44140625" customWidth="1"/>
    <col min="15873" max="15873" width="21.88671875" customWidth="1"/>
    <col min="15874" max="15874" width="14.5546875" customWidth="1"/>
    <col min="15875" max="15875" width="22.5546875" customWidth="1"/>
    <col min="15876" max="15876" width="18.5546875" customWidth="1"/>
    <col min="15877" max="15877" width="23" customWidth="1"/>
    <col min="15878" max="15878" width="30" customWidth="1"/>
    <col min="15879" max="15879" width="16.44140625" customWidth="1"/>
    <col min="16127" max="16127" width="147.44140625" customWidth="1"/>
    <col min="16129" max="16129" width="21.88671875" customWidth="1"/>
    <col min="16130" max="16130" width="14.5546875" customWidth="1"/>
    <col min="16131" max="16131" width="22.5546875" customWidth="1"/>
    <col min="16132" max="16132" width="18.5546875" customWidth="1"/>
    <col min="16133" max="16133" width="23" customWidth="1"/>
    <col min="16134" max="16134" width="30" customWidth="1"/>
    <col min="16135" max="16135" width="16.44140625" customWidth="1"/>
  </cols>
  <sheetData>
    <row r="1" spans="1:8" x14ac:dyDescent="0.3">
      <c r="A1" s="395" t="s">
        <v>505</v>
      </c>
      <c r="G1" s="396"/>
      <c r="H1" s="396"/>
    </row>
    <row r="2" spans="1:8" x14ac:dyDescent="0.3">
      <c r="A2" s="397" t="s">
        <v>506</v>
      </c>
    </row>
    <row r="3" spans="1:8" x14ac:dyDescent="0.3">
      <c r="A3" s="397" t="s">
        <v>507</v>
      </c>
      <c r="B3" s="708" t="s">
        <v>16033</v>
      </c>
      <c r="D3" s="712" t="s">
        <v>14763</v>
      </c>
    </row>
    <row r="4" spans="1:8" ht="15" customHeight="1" x14ac:dyDescent="0.3">
      <c r="A4" s="397" t="s">
        <v>508</v>
      </c>
      <c r="B4" s="708" t="s">
        <v>16034</v>
      </c>
      <c r="D4" s="713" t="s">
        <v>14764</v>
      </c>
      <c r="E4" s="477" t="s">
        <v>509</v>
      </c>
      <c r="F4" s="477"/>
    </row>
    <row r="5" spans="1:8" x14ac:dyDescent="0.3">
      <c r="D5" s="477" t="s">
        <v>510</v>
      </c>
      <c r="E5" s="714" t="s">
        <v>511</v>
      </c>
      <c r="F5" s="714"/>
    </row>
    <row r="6" spans="1:8" x14ac:dyDescent="0.3">
      <c r="A6" s="395" t="s">
        <v>512</v>
      </c>
      <c r="B6" s="710" t="s">
        <v>513</v>
      </c>
      <c r="D6" s="477" t="s">
        <v>314</v>
      </c>
      <c r="E6" s="715">
        <v>1.1194999999999999</v>
      </c>
      <c r="F6" s="715"/>
    </row>
    <row r="7" spans="1:8" x14ac:dyDescent="0.3">
      <c r="B7" s="710" t="s">
        <v>514</v>
      </c>
      <c r="D7" s="477" t="s">
        <v>315</v>
      </c>
      <c r="E7" s="715">
        <v>0.69289999999999996</v>
      </c>
      <c r="F7" s="715"/>
    </row>
    <row r="8" spans="1:8" x14ac:dyDescent="0.3">
      <c r="B8" s="710" t="s">
        <v>515</v>
      </c>
    </row>
    <row r="9" spans="1:8" ht="15" customHeight="1" x14ac:dyDescent="0.3">
      <c r="B9" t="s">
        <v>516</v>
      </c>
      <c r="E9" s="477" t="s">
        <v>509</v>
      </c>
      <c r="F9" s="477"/>
    </row>
    <row r="10" spans="1:8" ht="26.4" x14ac:dyDescent="0.3">
      <c r="A10" s="398" t="s">
        <v>517</v>
      </c>
      <c r="B10" s="477" t="s">
        <v>518</v>
      </c>
      <c r="C10" s="477" t="s">
        <v>416</v>
      </c>
      <c r="D10" s="477" t="s">
        <v>417</v>
      </c>
      <c r="E10" s="477" t="s">
        <v>519</v>
      </c>
      <c r="F10" s="477" t="s">
        <v>520</v>
      </c>
      <c r="G10" s="399" t="s">
        <v>521</v>
      </c>
      <c r="H10" s="399" t="s">
        <v>522</v>
      </c>
    </row>
    <row r="11" spans="1:8" x14ac:dyDescent="0.3">
      <c r="A11" s="400"/>
      <c r="B11" s="709">
        <v>104658</v>
      </c>
      <c r="C11" s="710" t="s">
        <v>258</v>
      </c>
      <c r="D11" s="709" t="s">
        <v>168</v>
      </c>
      <c r="E11" s="716">
        <v>155.61000000000001</v>
      </c>
      <c r="F11" s="717">
        <v>0</v>
      </c>
      <c r="G11">
        <f>VLOOKUP(B11,'SINAPI-%MO'!B:E,4,0)</f>
        <v>0.33979999999999999</v>
      </c>
      <c r="H11" s="225">
        <f t="shared" ref="H11:H74" si="0">IF(E11&gt;0,TRUNC(E11*(1-G11),2),"")</f>
        <v>102.73</v>
      </c>
    </row>
    <row r="12" spans="1:8" x14ac:dyDescent="0.3">
      <c r="A12" s="400"/>
      <c r="B12" s="709">
        <v>105002</v>
      </c>
      <c r="C12" s="710" t="s">
        <v>523</v>
      </c>
      <c r="D12" s="709" t="s">
        <v>136</v>
      </c>
      <c r="E12" s="716">
        <v>791.89</v>
      </c>
      <c r="F12" s="717">
        <v>0</v>
      </c>
      <c r="G12">
        <f>VLOOKUP(B12,'SINAPI-%MO'!B:E,4,0)</f>
        <v>0.49690000000000001</v>
      </c>
      <c r="H12" s="225">
        <f t="shared" si="0"/>
        <v>398.39</v>
      </c>
    </row>
    <row r="13" spans="1:8" x14ac:dyDescent="0.3">
      <c r="A13" s="400"/>
      <c r="B13" s="709">
        <v>105004</v>
      </c>
      <c r="C13" s="710" t="s">
        <v>524</v>
      </c>
      <c r="D13" s="709" t="s">
        <v>168</v>
      </c>
      <c r="E13" s="716">
        <v>136.31</v>
      </c>
      <c r="F13" s="717">
        <v>0</v>
      </c>
      <c r="G13">
        <f>VLOOKUP(B13,'SINAPI-%MO'!B:E,4,0)</f>
        <v>0.49980000000000002</v>
      </c>
      <c r="H13" s="225">
        <f t="shared" si="0"/>
        <v>68.180000000000007</v>
      </c>
    </row>
    <row r="14" spans="1:8" x14ac:dyDescent="0.3">
      <c r="A14" s="400"/>
      <c r="B14" s="709">
        <v>105003</v>
      </c>
      <c r="C14" s="710" t="s">
        <v>525</v>
      </c>
      <c r="D14" s="709" t="s">
        <v>136</v>
      </c>
      <c r="E14" s="716">
        <v>1293.05</v>
      </c>
      <c r="F14" s="717">
        <v>4.9000000000000002E-2</v>
      </c>
      <c r="G14">
        <f>VLOOKUP(B14,'SINAPI-%MO'!B:E,4,0)</f>
        <v>0.61419999999999997</v>
      </c>
      <c r="H14" s="225">
        <f t="shared" si="0"/>
        <v>498.85</v>
      </c>
    </row>
    <row r="15" spans="1:8" x14ac:dyDescent="0.3">
      <c r="A15" s="400"/>
      <c r="B15" s="709">
        <v>105005</v>
      </c>
      <c r="C15" s="710" t="s">
        <v>526</v>
      </c>
      <c r="D15" s="709" t="s">
        <v>168</v>
      </c>
      <c r="E15" s="716">
        <v>229.11</v>
      </c>
      <c r="F15" s="717">
        <v>5.1200000000000002E-2</v>
      </c>
      <c r="G15">
        <f>VLOOKUP(B15,'SINAPI-%MO'!B:E,4,0)</f>
        <v>0.62119999999999997</v>
      </c>
      <c r="H15" s="225">
        <f t="shared" si="0"/>
        <v>86.78</v>
      </c>
    </row>
    <row r="16" spans="1:8" x14ac:dyDescent="0.3">
      <c r="A16" s="400"/>
      <c r="B16" s="709">
        <v>105006</v>
      </c>
      <c r="C16" s="710" t="s">
        <v>527</v>
      </c>
      <c r="D16" s="709" t="s">
        <v>136</v>
      </c>
      <c r="E16" s="716">
        <v>0</v>
      </c>
      <c r="F16" s="717"/>
      <c r="G16" t="e">
        <f>VLOOKUP(B16,'SINAPI-%MO'!B:E,4,0)</f>
        <v>#N/A</v>
      </c>
      <c r="H16" s="225" t="str">
        <f t="shared" si="0"/>
        <v/>
      </c>
    </row>
    <row r="17" spans="1:10" x14ac:dyDescent="0.3">
      <c r="A17" s="400"/>
      <c r="B17" s="709">
        <v>104999</v>
      </c>
      <c r="C17" s="710" t="s">
        <v>528</v>
      </c>
      <c r="D17" s="709" t="s">
        <v>136</v>
      </c>
      <c r="E17" s="716">
        <v>0</v>
      </c>
      <c r="F17" s="717"/>
      <c r="G17" t="e">
        <f>VLOOKUP(B17,'SINAPI-%MO'!B:E,4,0)</f>
        <v>#N/A</v>
      </c>
      <c r="H17" s="225" t="str">
        <f t="shared" si="0"/>
        <v/>
      </c>
    </row>
    <row r="18" spans="1:10" x14ac:dyDescent="0.3">
      <c r="A18" s="400"/>
      <c r="B18" s="709">
        <v>105000</v>
      </c>
      <c r="C18" s="710" t="s">
        <v>529</v>
      </c>
      <c r="D18" s="709" t="s">
        <v>159</v>
      </c>
      <c r="E18" s="716">
        <v>1254.52</v>
      </c>
      <c r="F18" s="717">
        <v>9.2999999999999992E-3</v>
      </c>
      <c r="G18">
        <f>VLOOKUP(B18,'SINAPI-%MO'!B:E,4,0)</f>
        <v>0.35449999999999998</v>
      </c>
      <c r="H18" s="225">
        <f t="shared" si="0"/>
        <v>809.79</v>
      </c>
    </row>
    <row r="19" spans="1:10" x14ac:dyDescent="0.3">
      <c r="A19" s="400"/>
      <c r="B19" s="709">
        <v>105001</v>
      </c>
      <c r="C19" s="710" t="s">
        <v>530</v>
      </c>
      <c r="D19" s="709" t="s">
        <v>159</v>
      </c>
      <c r="E19" s="716">
        <v>1291.6600000000001</v>
      </c>
      <c r="F19" s="717">
        <v>9.1000000000000004E-3</v>
      </c>
      <c r="G19">
        <f>VLOOKUP(B19,'SINAPI-%MO'!B:E,4,0)</f>
        <v>0.34920000000000001</v>
      </c>
      <c r="H19" s="225">
        <f t="shared" si="0"/>
        <v>840.61</v>
      </c>
      <c r="J19" s="402"/>
    </row>
    <row r="20" spans="1:10" x14ac:dyDescent="0.3">
      <c r="A20" s="400"/>
      <c r="B20" s="709">
        <v>107344</v>
      </c>
      <c r="C20" s="710" t="s">
        <v>16272</v>
      </c>
      <c r="D20" s="709" t="s">
        <v>168</v>
      </c>
      <c r="E20" s="716">
        <v>0</v>
      </c>
      <c r="F20" s="717"/>
      <c r="G20" t="e">
        <f>VLOOKUP(B20,'SINAPI-%MO'!B:E,4,0)</f>
        <v>#N/A</v>
      </c>
      <c r="H20" s="225" t="str">
        <f t="shared" si="0"/>
        <v/>
      </c>
    </row>
    <row r="21" spans="1:10" x14ac:dyDescent="0.3">
      <c r="A21" s="400"/>
      <c r="B21" s="709">
        <v>107342</v>
      </c>
      <c r="C21" s="710" t="s">
        <v>16273</v>
      </c>
      <c r="D21" s="709" t="s">
        <v>168</v>
      </c>
      <c r="E21" s="716">
        <v>0</v>
      </c>
      <c r="F21" s="717"/>
      <c r="G21" t="e">
        <f>VLOOKUP(B21,'SINAPI-%MO'!B:E,4,0)</f>
        <v>#N/A</v>
      </c>
      <c r="H21" s="225" t="str">
        <f t="shared" si="0"/>
        <v/>
      </c>
    </row>
    <row r="22" spans="1:10" x14ac:dyDescent="0.3">
      <c r="A22" s="400"/>
      <c r="B22" s="709">
        <v>107348</v>
      </c>
      <c r="C22" s="710" t="s">
        <v>16274</v>
      </c>
      <c r="D22" s="709" t="s">
        <v>168</v>
      </c>
      <c r="E22" s="716">
        <v>0</v>
      </c>
      <c r="F22" s="717"/>
      <c r="G22" t="e">
        <f>VLOOKUP(B22,'SINAPI-%MO'!B:E,4,0)</f>
        <v>#N/A</v>
      </c>
      <c r="H22" s="225" t="str">
        <f t="shared" si="0"/>
        <v/>
      </c>
    </row>
    <row r="23" spans="1:10" x14ac:dyDescent="0.3">
      <c r="A23" s="400"/>
      <c r="B23" s="709">
        <v>107346</v>
      </c>
      <c r="C23" s="710" t="s">
        <v>16275</v>
      </c>
      <c r="D23" s="709" t="s">
        <v>168</v>
      </c>
      <c r="E23" s="716">
        <v>0</v>
      </c>
      <c r="F23" s="717"/>
      <c r="G23" t="e">
        <f>VLOOKUP(B23,'SINAPI-%MO'!B:E,4,0)</f>
        <v>#N/A</v>
      </c>
      <c r="H23" s="225" t="str">
        <f t="shared" si="0"/>
        <v/>
      </c>
    </row>
    <row r="24" spans="1:10" x14ac:dyDescent="0.3">
      <c r="A24" s="400"/>
      <c r="B24" s="709">
        <v>107350</v>
      </c>
      <c r="C24" s="710" t="s">
        <v>16276</v>
      </c>
      <c r="D24" s="709" t="s">
        <v>168</v>
      </c>
      <c r="E24" s="716">
        <v>0</v>
      </c>
      <c r="F24" s="717"/>
      <c r="G24" t="e">
        <f>VLOOKUP(B24,'SINAPI-%MO'!B:E,4,0)</f>
        <v>#N/A</v>
      </c>
      <c r="H24" s="225" t="str">
        <f t="shared" si="0"/>
        <v/>
      </c>
    </row>
    <row r="25" spans="1:10" x14ac:dyDescent="0.3">
      <c r="A25" s="400"/>
      <c r="B25" s="709">
        <v>107349</v>
      </c>
      <c r="C25" s="710" t="s">
        <v>16277</v>
      </c>
      <c r="D25" s="709" t="s">
        <v>168</v>
      </c>
      <c r="E25" s="716">
        <v>0</v>
      </c>
      <c r="F25" s="717"/>
      <c r="G25" t="e">
        <f>VLOOKUP(B25,'SINAPI-%MO'!B:E,4,0)</f>
        <v>#N/A</v>
      </c>
      <c r="H25" s="225" t="str">
        <f t="shared" si="0"/>
        <v/>
      </c>
    </row>
    <row r="26" spans="1:10" x14ac:dyDescent="0.3">
      <c r="A26" s="400"/>
      <c r="B26" s="709">
        <v>107352</v>
      </c>
      <c r="C26" s="710" t="s">
        <v>16278</v>
      </c>
      <c r="D26" s="709" t="s">
        <v>168</v>
      </c>
      <c r="E26" s="716">
        <v>0</v>
      </c>
      <c r="F26" s="717"/>
      <c r="G26" t="e">
        <f>VLOOKUP(B26,'SINAPI-%MO'!B:E,4,0)</f>
        <v>#N/A</v>
      </c>
      <c r="H26" s="225" t="str">
        <f t="shared" si="0"/>
        <v/>
      </c>
    </row>
    <row r="27" spans="1:10" x14ac:dyDescent="0.3">
      <c r="A27" s="400"/>
      <c r="B27" s="709">
        <v>107351</v>
      </c>
      <c r="C27" s="710" t="s">
        <v>16279</v>
      </c>
      <c r="D27" s="709" t="s">
        <v>168</v>
      </c>
      <c r="E27" s="716">
        <v>0</v>
      </c>
      <c r="F27" s="717"/>
      <c r="G27" t="e">
        <f>VLOOKUP(B27,'SINAPI-%MO'!B:E,4,0)</f>
        <v>#N/A</v>
      </c>
      <c r="H27" s="225" t="str">
        <f t="shared" si="0"/>
        <v/>
      </c>
    </row>
    <row r="28" spans="1:10" x14ac:dyDescent="0.3">
      <c r="A28" s="400"/>
      <c r="B28" s="709">
        <v>107354</v>
      </c>
      <c r="C28" s="710" t="s">
        <v>16280</v>
      </c>
      <c r="D28" s="709" t="s">
        <v>168</v>
      </c>
      <c r="E28" s="716">
        <v>0</v>
      </c>
      <c r="F28" s="717"/>
      <c r="G28" t="e">
        <f>VLOOKUP(B28,'SINAPI-%MO'!B:E,4,0)</f>
        <v>#N/A</v>
      </c>
      <c r="H28" s="225" t="str">
        <f t="shared" si="0"/>
        <v/>
      </c>
    </row>
    <row r="29" spans="1:10" x14ac:dyDescent="0.3">
      <c r="A29" s="400"/>
      <c r="B29" s="709">
        <v>107353</v>
      </c>
      <c r="C29" s="710" t="s">
        <v>16281</v>
      </c>
      <c r="D29" s="709" t="s">
        <v>168</v>
      </c>
      <c r="E29" s="716">
        <v>0</v>
      </c>
      <c r="F29" s="717"/>
      <c r="G29" t="e">
        <f>VLOOKUP(B29,'SINAPI-%MO'!B:E,4,0)</f>
        <v>#N/A</v>
      </c>
      <c r="H29" s="225" t="str">
        <f t="shared" si="0"/>
        <v/>
      </c>
    </row>
    <row r="30" spans="1:10" x14ac:dyDescent="0.3">
      <c r="A30" s="400"/>
      <c r="B30" s="709">
        <v>107336</v>
      </c>
      <c r="C30" s="710" t="s">
        <v>16282</v>
      </c>
      <c r="D30" s="709" t="s">
        <v>168</v>
      </c>
      <c r="E30" s="716">
        <v>0</v>
      </c>
      <c r="F30" s="717"/>
      <c r="G30" t="e">
        <f>VLOOKUP(B30,'SINAPI-%MO'!B:E,4,0)</f>
        <v>#N/A</v>
      </c>
      <c r="H30" s="225" t="str">
        <f t="shared" si="0"/>
        <v/>
      </c>
    </row>
    <row r="31" spans="1:10" x14ac:dyDescent="0.3">
      <c r="A31" s="400"/>
      <c r="B31" s="709">
        <v>107334</v>
      </c>
      <c r="C31" s="710" t="s">
        <v>16283</v>
      </c>
      <c r="D31" s="709" t="s">
        <v>168</v>
      </c>
      <c r="E31" s="716">
        <v>0</v>
      </c>
      <c r="F31" s="717"/>
      <c r="G31" t="e">
        <f>VLOOKUP(B31,'SINAPI-%MO'!B:E,4,0)</f>
        <v>#N/A</v>
      </c>
      <c r="H31" s="225" t="str">
        <f t="shared" si="0"/>
        <v/>
      </c>
    </row>
    <row r="32" spans="1:10" x14ac:dyDescent="0.3">
      <c r="A32" s="400"/>
      <c r="B32" s="709">
        <v>89306</v>
      </c>
      <c r="C32" s="710" t="s">
        <v>16035</v>
      </c>
      <c r="D32" s="709" t="s">
        <v>168</v>
      </c>
      <c r="E32" s="716">
        <v>104.23</v>
      </c>
      <c r="F32" s="717">
        <v>0</v>
      </c>
      <c r="G32">
        <f>VLOOKUP(B32,'SINAPI-%MO'!B:E,4,0)</f>
        <v>0.52229999999999999</v>
      </c>
      <c r="H32" s="225">
        <f t="shared" si="0"/>
        <v>49.79</v>
      </c>
    </row>
    <row r="33" spans="1:8" x14ac:dyDescent="0.3">
      <c r="A33" s="400"/>
      <c r="B33" s="709">
        <v>89290</v>
      </c>
      <c r="C33" s="710" t="s">
        <v>16036</v>
      </c>
      <c r="D33" s="709" t="s">
        <v>168</v>
      </c>
      <c r="E33" s="716">
        <v>94.21</v>
      </c>
      <c r="F33" s="717">
        <v>0</v>
      </c>
      <c r="G33">
        <f>VLOOKUP(B33,'SINAPI-%MO'!B:E,4,0)</f>
        <v>0.48599999999999999</v>
      </c>
      <c r="H33" s="225">
        <f t="shared" si="0"/>
        <v>48.42</v>
      </c>
    </row>
    <row r="34" spans="1:8" x14ac:dyDescent="0.3">
      <c r="A34" s="400"/>
      <c r="B34" s="709">
        <v>107340</v>
      </c>
      <c r="C34" s="710" t="s">
        <v>16284</v>
      </c>
      <c r="D34" s="709" t="s">
        <v>168</v>
      </c>
      <c r="E34" s="716">
        <v>0</v>
      </c>
      <c r="F34" s="717"/>
      <c r="G34" t="e">
        <f>VLOOKUP(B34,'SINAPI-%MO'!B:E,4,0)</f>
        <v>#N/A</v>
      </c>
      <c r="H34" s="225" t="str">
        <f t="shared" si="0"/>
        <v/>
      </c>
    </row>
    <row r="35" spans="1:8" x14ac:dyDescent="0.3">
      <c r="A35" s="400"/>
      <c r="B35" s="709">
        <v>107338</v>
      </c>
      <c r="C35" s="710" t="s">
        <v>16285</v>
      </c>
      <c r="D35" s="709" t="s">
        <v>168</v>
      </c>
      <c r="E35" s="716">
        <v>0</v>
      </c>
      <c r="F35" s="717"/>
      <c r="G35" t="e">
        <f>VLOOKUP(B35,'SINAPI-%MO'!B:E,4,0)</f>
        <v>#N/A</v>
      </c>
      <c r="H35" s="225" t="str">
        <f t="shared" si="0"/>
        <v/>
      </c>
    </row>
    <row r="36" spans="1:8" x14ac:dyDescent="0.3">
      <c r="A36" s="400"/>
      <c r="B36" s="709">
        <v>107343</v>
      </c>
      <c r="C36" s="710" t="s">
        <v>16286</v>
      </c>
      <c r="D36" s="709" t="s">
        <v>168</v>
      </c>
      <c r="E36" s="716">
        <v>0</v>
      </c>
      <c r="F36" s="717"/>
      <c r="G36" t="e">
        <f>VLOOKUP(B36,'SINAPI-%MO'!B:E,4,0)</f>
        <v>#N/A</v>
      </c>
      <c r="H36" s="225" t="str">
        <f t="shared" si="0"/>
        <v/>
      </c>
    </row>
    <row r="37" spans="1:8" x14ac:dyDescent="0.3">
      <c r="A37" s="400"/>
      <c r="B37" s="709">
        <v>107341</v>
      </c>
      <c r="C37" s="710" t="s">
        <v>16287</v>
      </c>
      <c r="D37" s="709" t="s">
        <v>168</v>
      </c>
      <c r="E37" s="716">
        <v>0</v>
      </c>
      <c r="F37" s="717"/>
      <c r="G37" t="e">
        <f>VLOOKUP(B37,'SINAPI-%MO'!B:E,4,0)</f>
        <v>#N/A</v>
      </c>
      <c r="H37" s="225" t="str">
        <f t="shared" si="0"/>
        <v/>
      </c>
    </row>
    <row r="38" spans="1:8" x14ac:dyDescent="0.3">
      <c r="A38" s="400"/>
      <c r="B38" s="709">
        <v>107347</v>
      </c>
      <c r="C38" s="710" t="s">
        <v>16288</v>
      </c>
      <c r="D38" s="709" t="s">
        <v>168</v>
      </c>
      <c r="E38" s="716">
        <v>0</v>
      </c>
      <c r="F38" s="717"/>
      <c r="G38" t="e">
        <f>VLOOKUP(B38,'SINAPI-%MO'!B:E,4,0)</f>
        <v>#N/A</v>
      </c>
      <c r="H38" s="225" t="str">
        <f t="shared" si="0"/>
        <v/>
      </c>
    </row>
    <row r="39" spans="1:8" x14ac:dyDescent="0.3">
      <c r="A39" s="400"/>
      <c r="B39" s="709">
        <v>107345</v>
      </c>
      <c r="C39" s="710" t="s">
        <v>16289</v>
      </c>
      <c r="D39" s="709" t="s">
        <v>168</v>
      </c>
      <c r="E39" s="716">
        <v>0</v>
      </c>
      <c r="F39" s="717"/>
      <c r="G39" t="e">
        <f>VLOOKUP(B39,'SINAPI-%MO'!B:E,4,0)</f>
        <v>#N/A</v>
      </c>
      <c r="H39" s="225" t="str">
        <f t="shared" si="0"/>
        <v/>
      </c>
    </row>
    <row r="40" spans="1:8" x14ac:dyDescent="0.3">
      <c r="A40" s="400"/>
      <c r="B40" s="709">
        <v>107335</v>
      </c>
      <c r="C40" s="710" t="s">
        <v>16290</v>
      </c>
      <c r="D40" s="709" t="s">
        <v>168</v>
      </c>
      <c r="E40" s="716">
        <v>0</v>
      </c>
      <c r="F40" s="717"/>
      <c r="G40" t="e">
        <f>VLOOKUP(B40,'SINAPI-%MO'!B:E,4,0)</f>
        <v>#N/A</v>
      </c>
      <c r="H40" s="225" t="str">
        <f t="shared" si="0"/>
        <v/>
      </c>
    </row>
    <row r="41" spans="1:8" x14ac:dyDescent="0.3">
      <c r="A41" s="400"/>
      <c r="B41" s="709">
        <v>107333</v>
      </c>
      <c r="C41" s="710" t="s">
        <v>16291</v>
      </c>
      <c r="D41" s="709" t="s">
        <v>168</v>
      </c>
      <c r="E41" s="716">
        <v>0</v>
      </c>
      <c r="F41" s="717"/>
      <c r="G41" t="e">
        <f>VLOOKUP(B41,'SINAPI-%MO'!B:E,4,0)</f>
        <v>#N/A</v>
      </c>
      <c r="H41" s="225" t="str">
        <f t="shared" si="0"/>
        <v/>
      </c>
    </row>
    <row r="42" spans="1:8" x14ac:dyDescent="0.3">
      <c r="A42" s="400"/>
      <c r="B42" s="709">
        <v>89298</v>
      </c>
      <c r="C42" s="710" t="s">
        <v>16037</v>
      </c>
      <c r="D42" s="709" t="s">
        <v>168</v>
      </c>
      <c r="E42" s="716">
        <v>98.22</v>
      </c>
      <c r="F42" s="717">
        <v>0</v>
      </c>
      <c r="G42">
        <f>VLOOKUP(B42,'SINAPI-%MO'!B:E,4,0)</f>
        <v>0.49059999999999998</v>
      </c>
      <c r="H42" s="225">
        <f t="shared" si="0"/>
        <v>50.03</v>
      </c>
    </row>
    <row r="43" spans="1:8" x14ac:dyDescent="0.3">
      <c r="A43" s="400"/>
      <c r="B43" s="709">
        <v>89282</v>
      </c>
      <c r="C43" s="710" t="s">
        <v>16038</v>
      </c>
      <c r="D43" s="709" t="s">
        <v>168</v>
      </c>
      <c r="E43" s="716">
        <v>88.32</v>
      </c>
      <c r="F43" s="717">
        <v>0</v>
      </c>
      <c r="G43">
        <f>VLOOKUP(B43,'SINAPI-%MO'!B:E,4,0)</f>
        <v>0.44779999999999998</v>
      </c>
      <c r="H43" s="225">
        <f t="shared" si="0"/>
        <v>48.77</v>
      </c>
    </row>
    <row r="44" spans="1:8" x14ac:dyDescent="0.3">
      <c r="A44" s="400"/>
      <c r="B44" s="709">
        <v>107339</v>
      </c>
      <c r="C44" s="710" t="s">
        <v>16292</v>
      </c>
      <c r="D44" s="709" t="s">
        <v>168</v>
      </c>
      <c r="E44" s="716">
        <v>0</v>
      </c>
      <c r="F44" s="717"/>
      <c r="G44" t="e">
        <f>VLOOKUP(B44,'SINAPI-%MO'!B:E,4,0)</f>
        <v>#N/A</v>
      </c>
      <c r="H44" s="225" t="str">
        <f t="shared" si="0"/>
        <v/>
      </c>
    </row>
    <row r="45" spans="1:8" x14ac:dyDescent="0.3">
      <c r="A45" s="400"/>
      <c r="B45" s="709">
        <v>107337</v>
      </c>
      <c r="C45" s="710" t="s">
        <v>16293</v>
      </c>
      <c r="D45" s="709" t="s">
        <v>168</v>
      </c>
      <c r="E45" s="716">
        <v>0</v>
      </c>
      <c r="F45" s="717"/>
      <c r="G45" t="e">
        <f>VLOOKUP(B45,'SINAPI-%MO'!B:E,4,0)</f>
        <v>#N/A</v>
      </c>
      <c r="H45" s="225" t="str">
        <f t="shared" si="0"/>
        <v/>
      </c>
    </row>
    <row r="46" spans="1:8" x14ac:dyDescent="0.3">
      <c r="A46" s="400"/>
      <c r="B46" s="709">
        <v>107358</v>
      </c>
      <c r="C46" s="710" t="s">
        <v>16294</v>
      </c>
      <c r="D46" s="709" t="s">
        <v>168</v>
      </c>
      <c r="E46" s="716">
        <v>0</v>
      </c>
      <c r="F46" s="717"/>
      <c r="G46" t="e">
        <f>VLOOKUP(B46,'SINAPI-%MO'!B:E,4,0)</f>
        <v>#N/A</v>
      </c>
      <c r="H46" s="225" t="str">
        <f t="shared" si="0"/>
        <v/>
      </c>
    </row>
    <row r="47" spans="1:8" x14ac:dyDescent="0.3">
      <c r="A47" s="400"/>
      <c r="B47" s="709">
        <v>107356</v>
      </c>
      <c r="C47" s="710" t="s">
        <v>16295</v>
      </c>
      <c r="D47" s="709" t="s">
        <v>168</v>
      </c>
      <c r="E47" s="716">
        <v>0</v>
      </c>
      <c r="F47" s="717"/>
      <c r="G47" t="e">
        <f>VLOOKUP(B47,'SINAPI-%MO'!B:E,4,0)</f>
        <v>#N/A</v>
      </c>
      <c r="H47" s="225" t="str">
        <f t="shared" si="0"/>
        <v/>
      </c>
    </row>
    <row r="48" spans="1:8" x14ac:dyDescent="0.3">
      <c r="A48" s="400"/>
      <c r="B48" s="709">
        <v>107357</v>
      </c>
      <c r="C48" s="710" t="s">
        <v>16296</v>
      </c>
      <c r="D48" s="709" t="s">
        <v>168</v>
      </c>
      <c r="E48" s="716">
        <v>0</v>
      </c>
      <c r="F48" s="717"/>
      <c r="G48" t="e">
        <f>VLOOKUP(B48,'SINAPI-%MO'!B:E,4,0)</f>
        <v>#N/A</v>
      </c>
      <c r="H48" s="225" t="str">
        <f t="shared" si="0"/>
        <v/>
      </c>
    </row>
    <row r="49" spans="1:8" x14ac:dyDescent="0.3">
      <c r="A49" s="400"/>
      <c r="B49" s="709">
        <v>107355</v>
      </c>
      <c r="C49" s="710" t="s">
        <v>16297</v>
      </c>
      <c r="D49" s="709" t="s">
        <v>168</v>
      </c>
      <c r="E49" s="716">
        <v>0</v>
      </c>
      <c r="F49" s="717"/>
      <c r="G49" t="e">
        <f>VLOOKUP(B49,'SINAPI-%MO'!B:E,4,0)</f>
        <v>#N/A</v>
      </c>
      <c r="H49" s="225" t="str">
        <f t="shared" si="0"/>
        <v/>
      </c>
    </row>
    <row r="50" spans="1:8" x14ac:dyDescent="0.3">
      <c r="A50" s="400"/>
      <c r="B50" s="709">
        <v>107368</v>
      </c>
      <c r="C50" s="710" t="s">
        <v>16298</v>
      </c>
      <c r="D50" s="709" t="s">
        <v>168</v>
      </c>
      <c r="E50" s="716">
        <v>0</v>
      </c>
      <c r="F50" s="717"/>
      <c r="G50" t="e">
        <f>VLOOKUP(B50,'SINAPI-%MO'!B:E,4,0)</f>
        <v>#N/A</v>
      </c>
      <c r="H50" s="225" t="str">
        <f t="shared" si="0"/>
        <v/>
      </c>
    </row>
    <row r="51" spans="1:8" x14ac:dyDescent="0.3">
      <c r="A51" s="400"/>
      <c r="B51" s="709">
        <v>105771</v>
      </c>
      <c r="C51" s="710" t="s">
        <v>16299</v>
      </c>
      <c r="D51" s="709" t="s">
        <v>168</v>
      </c>
      <c r="E51" s="716">
        <v>0</v>
      </c>
      <c r="F51" s="717"/>
      <c r="G51" t="e">
        <f>VLOOKUP(B51,'SINAPI-%MO'!B:E,4,0)</f>
        <v>#N/A</v>
      </c>
      <c r="H51" s="225" t="str">
        <f t="shared" si="0"/>
        <v/>
      </c>
    </row>
    <row r="52" spans="1:8" x14ac:dyDescent="0.3">
      <c r="A52" s="400"/>
      <c r="B52" s="709">
        <v>107369</v>
      </c>
      <c r="C52" s="710" t="s">
        <v>16300</v>
      </c>
      <c r="D52" s="709" t="s">
        <v>168</v>
      </c>
      <c r="E52" s="716">
        <v>0</v>
      </c>
      <c r="F52" s="717"/>
      <c r="G52" t="e">
        <f>VLOOKUP(B52,'SINAPI-%MO'!B:E,4,0)</f>
        <v>#N/A</v>
      </c>
      <c r="H52" s="225" t="str">
        <f t="shared" si="0"/>
        <v/>
      </c>
    </row>
    <row r="53" spans="1:8" x14ac:dyDescent="0.3">
      <c r="A53" s="400"/>
      <c r="B53" s="709">
        <v>105770</v>
      </c>
      <c r="C53" s="710" t="s">
        <v>16301</v>
      </c>
      <c r="D53" s="709" t="s">
        <v>168</v>
      </c>
      <c r="E53" s="716">
        <v>0</v>
      </c>
      <c r="F53" s="717"/>
      <c r="G53" t="e">
        <f>VLOOKUP(B53,'SINAPI-%MO'!B:E,4,0)</f>
        <v>#N/A</v>
      </c>
      <c r="H53" s="225" t="str">
        <f t="shared" si="0"/>
        <v/>
      </c>
    </row>
    <row r="54" spans="1:8" x14ac:dyDescent="0.3">
      <c r="A54" s="400"/>
      <c r="B54" s="709">
        <v>89480</v>
      </c>
      <c r="C54" s="710" t="s">
        <v>16039</v>
      </c>
      <c r="D54" s="709" t="s">
        <v>168</v>
      </c>
      <c r="E54" s="716">
        <v>202.45</v>
      </c>
      <c r="F54" s="717">
        <v>0</v>
      </c>
      <c r="G54">
        <f>VLOOKUP(B54,'SINAPI-%MO'!B:E,4,0)</f>
        <v>0.3745</v>
      </c>
      <c r="H54" s="225">
        <f t="shared" si="0"/>
        <v>126.63</v>
      </c>
    </row>
    <row r="55" spans="1:8" x14ac:dyDescent="0.3">
      <c r="A55" s="400"/>
      <c r="B55" s="709">
        <v>89464</v>
      </c>
      <c r="C55" s="710" t="s">
        <v>16040</v>
      </c>
      <c r="D55" s="709" t="s">
        <v>168</v>
      </c>
      <c r="E55" s="716">
        <v>172.85</v>
      </c>
      <c r="F55" s="717">
        <v>0</v>
      </c>
      <c r="G55">
        <f>VLOOKUP(B55,'SINAPI-%MO'!B:E,4,0)</f>
        <v>0.28849999999999998</v>
      </c>
      <c r="H55" s="225">
        <f t="shared" si="0"/>
        <v>122.98</v>
      </c>
    </row>
    <row r="56" spans="1:8" x14ac:dyDescent="0.3">
      <c r="A56" s="400"/>
      <c r="B56" s="709">
        <v>107370</v>
      </c>
      <c r="C56" s="710" t="s">
        <v>16302</v>
      </c>
      <c r="D56" s="709" t="s">
        <v>168</v>
      </c>
      <c r="E56" s="716">
        <v>0</v>
      </c>
      <c r="F56" s="717"/>
      <c r="G56" t="e">
        <f>VLOOKUP(B56,'SINAPI-%MO'!B:E,4,0)</f>
        <v>#N/A</v>
      </c>
      <c r="H56" s="225" t="str">
        <f t="shared" si="0"/>
        <v/>
      </c>
    </row>
    <row r="57" spans="1:8" x14ac:dyDescent="0.3">
      <c r="A57" s="400"/>
      <c r="B57" s="709">
        <v>105769</v>
      </c>
      <c r="C57" s="710" t="s">
        <v>16303</v>
      </c>
      <c r="D57" s="709" t="s">
        <v>168</v>
      </c>
      <c r="E57" s="716">
        <v>0</v>
      </c>
      <c r="F57" s="717"/>
      <c r="G57" t="e">
        <f>VLOOKUP(B57,'SINAPI-%MO'!B:E,4,0)</f>
        <v>#N/A</v>
      </c>
      <c r="H57" s="225" t="str">
        <f t="shared" si="0"/>
        <v/>
      </c>
    </row>
    <row r="58" spans="1:8" x14ac:dyDescent="0.3">
      <c r="A58" s="400"/>
      <c r="B58" s="709">
        <v>107371</v>
      </c>
      <c r="C58" s="710" t="s">
        <v>16304</v>
      </c>
      <c r="D58" s="709" t="s">
        <v>168</v>
      </c>
      <c r="E58" s="716">
        <v>0</v>
      </c>
      <c r="F58" s="717"/>
      <c r="G58" t="e">
        <f>VLOOKUP(B58,'SINAPI-%MO'!B:E,4,0)</f>
        <v>#N/A</v>
      </c>
      <c r="H58" s="225" t="str">
        <f t="shared" si="0"/>
        <v/>
      </c>
    </row>
    <row r="59" spans="1:8" x14ac:dyDescent="0.3">
      <c r="A59" s="400"/>
      <c r="B59" s="709">
        <v>105768</v>
      </c>
      <c r="C59" s="710" t="s">
        <v>16305</v>
      </c>
      <c r="D59" s="709" t="s">
        <v>168</v>
      </c>
      <c r="E59" s="716">
        <v>0</v>
      </c>
      <c r="F59" s="717"/>
      <c r="G59" t="e">
        <f>VLOOKUP(B59,'SINAPI-%MO'!B:E,4,0)</f>
        <v>#N/A</v>
      </c>
      <c r="H59" s="225" t="str">
        <f t="shared" si="0"/>
        <v/>
      </c>
    </row>
    <row r="60" spans="1:8" x14ac:dyDescent="0.3">
      <c r="A60" s="400"/>
      <c r="B60" s="709">
        <v>107372</v>
      </c>
      <c r="C60" s="710" t="s">
        <v>16306</v>
      </c>
      <c r="D60" s="709" t="s">
        <v>168</v>
      </c>
      <c r="E60" s="716">
        <v>0</v>
      </c>
      <c r="F60" s="717"/>
      <c r="G60" t="e">
        <f>VLOOKUP(B60,'SINAPI-%MO'!B:E,4,0)</f>
        <v>#N/A</v>
      </c>
      <c r="H60" s="225" t="str">
        <f t="shared" si="0"/>
        <v/>
      </c>
    </row>
    <row r="61" spans="1:8" x14ac:dyDescent="0.3">
      <c r="A61" s="400"/>
      <c r="B61" s="709">
        <v>105767</v>
      </c>
      <c r="C61" s="710" t="s">
        <v>16307</v>
      </c>
      <c r="D61" s="709" t="s">
        <v>168</v>
      </c>
      <c r="E61" s="716">
        <v>0</v>
      </c>
      <c r="F61" s="717"/>
      <c r="G61" t="e">
        <f>VLOOKUP(B61,'SINAPI-%MO'!B:E,4,0)</f>
        <v>#N/A</v>
      </c>
      <c r="H61" s="225" t="str">
        <f t="shared" si="0"/>
        <v/>
      </c>
    </row>
    <row r="62" spans="1:8" x14ac:dyDescent="0.3">
      <c r="A62" s="400"/>
      <c r="B62" s="709">
        <v>107366</v>
      </c>
      <c r="C62" s="710" t="s">
        <v>16308</v>
      </c>
      <c r="D62" s="709" t="s">
        <v>168</v>
      </c>
      <c r="E62" s="716">
        <v>0</v>
      </c>
      <c r="F62" s="717"/>
      <c r="G62" t="e">
        <f>VLOOKUP(B62,'SINAPI-%MO'!B:E,4,0)</f>
        <v>#N/A</v>
      </c>
      <c r="H62" s="225" t="str">
        <f t="shared" si="0"/>
        <v/>
      </c>
    </row>
    <row r="63" spans="1:8" x14ac:dyDescent="0.3">
      <c r="A63" s="400"/>
      <c r="B63" s="709">
        <v>105773</v>
      </c>
      <c r="C63" s="710" t="s">
        <v>16309</v>
      </c>
      <c r="D63" s="709" t="s">
        <v>168</v>
      </c>
      <c r="E63" s="716">
        <v>0</v>
      </c>
      <c r="F63" s="717"/>
      <c r="G63" t="e">
        <f>VLOOKUP(B63,'SINAPI-%MO'!B:E,4,0)</f>
        <v>#N/A</v>
      </c>
      <c r="H63" s="225" t="str">
        <f t="shared" si="0"/>
        <v/>
      </c>
    </row>
    <row r="64" spans="1:8" x14ac:dyDescent="0.3">
      <c r="A64" s="400"/>
      <c r="B64" s="709">
        <v>89478</v>
      </c>
      <c r="C64" s="710" t="s">
        <v>16041</v>
      </c>
      <c r="D64" s="709" t="s">
        <v>168</v>
      </c>
      <c r="E64" s="716">
        <v>166.44</v>
      </c>
      <c r="F64" s="717">
        <v>0</v>
      </c>
      <c r="G64">
        <f>VLOOKUP(B64,'SINAPI-%MO'!B:E,4,0)</f>
        <v>0.38850000000000001</v>
      </c>
      <c r="H64" s="225">
        <f t="shared" si="0"/>
        <v>101.77</v>
      </c>
    </row>
    <row r="65" spans="1:8" x14ac:dyDescent="0.3">
      <c r="A65" s="400"/>
      <c r="B65" s="709">
        <v>89462</v>
      </c>
      <c r="C65" s="710" t="s">
        <v>16042</v>
      </c>
      <c r="D65" s="709" t="s">
        <v>168</v>
      </c>
      <c r="E65" s="716">
        <v>141.04</v>
      </c>
      <c r="F65" s="717">
        <v>0</v>
      </c>
      <c r="G65">
        <f>VLOOKUP(B65,'SINAPI-%MO'!B:E,4,0)</f>
        <v>0.29909999999999998</v>
      </c>
      <c r="H65" s="225">
        <f t="shared" si="0"/>
        <v>98.85</v>
      </c>
    </row>
    <row r="66" spans="1:8" x14ac:dyDescent="0.3">
      <c r="A66" s="400"/>
      <c r="B66" s="709">
        <v>107367</v>
      </c>
      <c r="C66" s="710" t="s">
        <v>16310</v>
      </c>
      <c r="D66" s="709" t="s">
        <v>168</v>
      </c>
      <c r="E66" s="716">
        <v>0</v>
      </c>
      <c r="F66" s="717"/>
      <c r="G66" t="e">
        <f>VLOOKUP(B66,'SINAPI-%MO'!B:E,4,0)</f>
        <v>#N/A</v>
      </c>
      <c r="H66" s="225" t="str">
        <f t="shared" si="0"/>
        <v/>
      </c>
    </row>
    <row r="67" spans="1:8" x14ac:dyDescent="0.3">
      <c r="A67" s="400"/>
      <c r="B67" s="709">
        <v>105772</v>
      </c>
      <c r="C67" s="710" t="s">
        <v>16311</v>
      </c>
      <c r="D67" s="709" t="s">
        <v>168</v>
      </c>
      <c r="E67" s="716">
        <v>0</v>
      </c>
      <c r="F67" s="717"/>
      <c r="G67" t="e">
        <f>VLOOKUP(B67,'SINAPI-%MO'!B:E,4,0)</f>
        <v>#N/A</v>
      </c>
      <c r="H67" s="225" t="str">
        <f t="shared" si="0"/>
        <v/>
      </c>
    </row>
    <row r="68" spans="1:8" x14ac:dyDescent="0.3">
      <c r="A68" s="400"/>
      <c r="B68" s="709">
        <v>104444</v>
      </c>
      <c r="C68" s="710" t="s">
        <v>16312</v>
      </c>
      <c r="D68" s="709" t="s">
        <v>168</v>
      </c>
      <c r="E68" s="716">
        <v>0</v>
      </c>
      <c r="F68" s="717"/>
      <c r="G68" t="e">
        <f>VLOOKUP(B68,'SINAPI-%MO'!B:E,4,0)</f>
        <v>#N/A</v>
      </c>
      <c r="H68" s="225" t="str">
        <f t="shared" si="0"/>
        <v/>
      </c>
    </row>
    <row r="69" spans="1:8" x14ac:dyDescent="0.3">
      <c r="A69" s="400"/>
      <c r="B69" s="709">
        <v>104442</v>
      </c>
      <c r="C69" s="710" t="s">
        <v>16313</v>
      </c>
      <c r="D69" s="709" t="s">
        <v>168</v>
      </c>
      <c r="E69" s="716">
        <v>0</v>
      </c>
      <c r="F69" s="717"/>
      <c r="G69" t="e">
        <f>VLOOKUP(B69,'SINAPI-%MO'!B:E,4,0)</f>
        <v>#N/A</v>
      </c>
      <c r="H69" s="225" t="str">
        <f t="shared" si="0"/>
        <v/>
      </c>
    </row>
    <row r="70" spans="1:8" x14ac:dyDescent="0.3">
      <c r="A70" s="400"/>
      <c r="B70" s="709">
        <v>107361</v>
      </c>
      <c r="C70" s="710" t="s">
        <v>16314</v>
      </c>
      <c r="D70" s="709" t="s">
        <v>168</v>
      </c>
      <c r="E70" s="716">
        <v>0</v>
      </c>
      <c r="F70" s="717"/>
      <c r="G70" t="e">
        <f>VLOOKUP(B70,'SINAPI-%MO'!B:E,4,0)</f>
        <v>#N/A</v>
      </c>
      <c r="H70" s="225" t="str">
        <f t="shared" si="0"/>
        <v/>
      </c>
    </row>
    <row r="71" spans="1:8" x14ac:dyDescent="0.3">
      <c r="A71" s="400"/>
      <c r="B71" s="709">
        <v>105764</v>
      </c>
      <c r="C71" s="710" t="s">
        <v>16315</v>
      </c>
      <c r="D71" s="709" t="s">
        <v>168</v>
      </c>
      <c r="E71" s="716">
        <v>0</v>
      </c>
      <c r="F71" s="717"/>
      <c r="G71" t="e">
        <f>VLOOKUP(B71,'SINAPI-%MO'!B:E,4,0)</f>
        <v>#N/A</v>
      </c>
      <c r="H71" s="225" t="str">
        <f t="shared" si="0"/>
        <v/>
      </c>
    </row>
    <row r="72" spans="1:8" x14ac:dyDescent="0.3">
      <c r="A72" s="400"/>
      <c r="B72" s="709">
        <v>107362</v>
      </c>
      <c r="C72" s="710" t="s">
        <v>16316</v>
      </c>
      <c r="D72" s="709" t="s">
        <v>168</v>
      </c>
      <c r="E72" s="716">
        <v>0</v>
      </c>
      <c r="F72" s="717"/>
      <c r="G72" t="e">
        <f>VLOOKUP(B72,'SINAPI-%MO'!B:E,4,0)</f>
        <v>#N/A</v>
      </c>
      <c r="H72" s="225" t="str">
        <f t="shared" si="0"/>
        <v/>
      </c>
    </row>
    <row r="73" spans="1:8" x14ac:dyDescent="0.3">
      <c r="A73" s="400"/>
      <c r="B73" s="709">
        <v>105763</v>
      </c>
      <c r="C73" s="710" t="s">
        <v>16317</v>
      </c>
      <c r="D73" s="709" t="s">
        <v>168</v>
      </c>
      <c r="E73" s="716">
        <v>0</v>
      </c>
      <c r="F73" s="717"/>
      <c r="G73" t="e">
        <f>VLOOKUP(B73,'SINAPI-%MO'!B:E,4,0)</f>
        <v>#N/A</v>
      </c>
      <c r="H73" s="225" t="str">
        <f t="shared" si="0"/>
        <v/>
      </c>
    </row>
    <row r="74" spans="1:8" x14ac:dyDescent="0.3">
      <c r="A74" s="400"/>
      <c r="B74" s="709">
        <v>89472</v>
      </c>
      <c r="C74" s="710" t="s">
        <v>16043</v>
      </c>
      <c r="D74" s="709" t="s">
        <v>168</v>
      </c>
      <c r="E74" s="716">
        <v>170.36</v>
      </c>
      <c r="F74" s="717">
        <v>0</v>
      </c>
      <c r="G74">
        <f>VLOOKUP(B74,'SINAPI-%MO'!B:E,4,0)</f>
        <v>0.36080000000000001</v>
      </c>
      <c r="H74" s="225">
        <f t="shared" si="0"/>
        <v>108.89</v>
      </c>
    </row>
    <row r="75" spans="1:8" x14ac:dyDescent="0.3">
      <c r="A75" s="400"/>
      <c r="B75" s="709">
        <v>89455</v>
      </c>
      <c r="C75" s="710" t="s">
        <v>16044</v>
      </c>
      <c r="D75" s="709" t="s">
        <v>168</v>
      </c>
      <c r="E75" s="716">
        <v>142.69</v>
      </c>
      <c r="F75" s="717">
        <v>0</v>
      </c>
      <c r="G75">
        <f>VLOOKUP(B75,'SINAPI-%MO'!B:E,4,0)</f>
        <v>0.25940000000000002</v>
      </c>
      <c r="H75" s="225">
        <f t="shared" ref="H75:H138" si="1">IF(E75&gt;0,TRUNC(E75*(1-G75),2),"")</f>
        <v>105.67</v>
      </c>
    </row>
    <row r="76" spans="1:8" x14ac:dyDescent="0.3">
      <c r="A76" s="400"/>
      <c r="B76" s="709">
        <v>107363</v>
      </c>
      <c r="C76" s="710" t="s">
        <v>16318</v>
      </c>
      <c r="D76" s="709" t="s">
        <v>168</v>
      </c>
      <c r="E76" s="716">
        <v>0</v>
      </c>
      <c r="F76" s="717"/>
      <c r="G76" t="e">
        <f>VLOOKUP(B76,'SINAPI-%MO'!B:E,4,0)</f>
        <v>#N/A</v>
      </c>
      <c r="H76" s="225" t="str">
        <f t="shared" si="1"/>
        <v/>
      </c>
    </row>
    <row r="77" spans="1:8" x14ac:dyDescent="0.3">
      <c r="A77" s="400"/>
      <c r="B77" s="709">
        <v>105762</v>
      </c>
      <c r="C77" s="710" t="s">
        <v>16319</v>
      </c>
      <c r="D77" s="709" t="s">
        <v>168</v>
      </c>
      <c r="E77" s="716">
        <v>0</v>
      </c>
      <c r="F77" s="717"/>
      <c r="G77" t="e">
        <f>VLOOKUP(B77,'SINAPI-%MO'!B:E,4,0)</f>
        <v>#N/A</v>
      </c>
      <c r="H77" s="225" t="str">
        <f t="shared" si="1"/>
        <v/>
      </c>
    </row>
    <row r="78" spans="1:8" x14ac:dyDescent="0.3">
      <c r="A78" s="400"/>
      <c r="B78" s="709">
        <v>107364</v>
      </c>
      <c r="C78" s="710" t="s">
        <v>16320</v>
      </c>
      <c r="D78" s="709" t="s">
        <v>168</v>
      </c>
      <c r="E78" s="716">
        <v>0</v>
      </c>
      <c r="F78" s="717"/>
      <c r="G78" t="e">
        <f>VLOOKUP(B78,'SINAPI-%MO'!B:E,4,0)</f>
        <v>#N/A</v>
      </c>
      <c r="H78" s="225" t="str">
        <f t="shared" si="1"/>
        <v/>
      </c>
    </row>
    <row r="79" spans="1:8" x14ac:dyDescent="0.3">
      <c r="A79" s="400"/>
      <c r="B79" s="709">
        <v>105761</v>
      </c>
      <c r="C79" s="710" t="s">
        <v>16321</v>
      </c>
      <c r="D79" s="709" t="s">
        <v>168</v>
      </c>
      <c r="E79" s="716">
        <v>0</v>
      </c>
      <c r="F79" s="717"/>
      <c r="G79" t="e">
        <f>VLOOKUP(B79,'SINAPI-%MO'!B:E,4,0)</f>
        <v>#N/A</v>
      </c>
      <c r="H79" s="225" t="str">
        <f t="shared" si="1"/>
        <v/>
      </c>
    </row>
    <row r="80" spans="1:8" x14ac:dyDescent="0.3">
      <c r="A80" s="400"/>
      <c r="B80" s="709">
        <v>107365</v>
      </c>
      <c r="C80" s="710" t="s">
        <v>16322</v>
      </c>
      <c r="D80" s="709" t="s">
        <v>168</v>
      </c>
      <c r="E80" s="716">
        <v>0</v>
      </c>
      <c r="F80" s="717"/>
      <c r="G80" t="e">
        <f>VLOOKUP(B80,'SINAPI-%MO'!B:E,4,0)</f>
        <v>#N/A</v>
      </c>
      <c r="H80" s="225" t="str">
        <f t="shared" si="1"/>
        <v/>
      </c>
    </row>
    <row r="81" spans="1:8" x14ac:dyDescent="0.3">
      <c r="A81" s="400"/>
      <c r="B81" s="709">
        <v>105760</v>
      </c>
      <c r="C81" s="710" t="s">
        <v>16323</v>
      </c>
      <c r="D81" s="709" t="s">
        <v>168</v>
      </c>
      <c r="E81" s="716">
        <v>0</v>
      </c>
      <c r="F81" s="717"/>
      <c r="G81" t="e">
        <f>VLOOKUP(B81,'SINAPI-%MO'!B:E,4,0)</f>
        <v>#N/A</v>
      </c>
      <c r="H81" s="225" t="str">
        <f t="shared" si="1"/>
        <v/>
      </c>
    </row>
    <row r="82" spans="1:8" x14ac:dyDescent="0.3">
      <c r="A82" s="400"/>
      <c r="B82" s="709">
        <v>107359</v>
      </c>
      <c r="C82" s="710" t="s">
        <v>16324</v>
      </c>
      <c r="D82" s="709" t="s">
        <v>168</v>
      </c>
      <c r="E82" s="716">
        <v>0</v>
      </c>
      <c r="F82" s="717"/>
      <c r="G82" t="e">
        <f>VLOOKUP(B82,'SINAPI-%MO'!B:E,4,0)</f>
        <v>#N/A</v>
      </c>
      <c r="H82" s="225" t="str">
        <f t="shared" si="1"/>
        <v/>
      </c>
    </row>
    <row r="83" spans="1:8" x14ac:dyDescent="0.3">
      <c r="A83" s="400"/>
      <c r="B83" s="709">
        <v>105766</v>
      </c>
      <c r="C83" s="710" t="s">
        <v>16325</v>
      </c>
      <c r="D83" s="709" t="s">
        <v>168</v>
      </c>
      <c r="E83" s="716">
        <v>0</v>
      </c>
      <c r="F83" s="717"/>
      <c r="G83" t="e">
        <f>VLOOKUP(B83,'SINAPI-%MO'!B:E,4,0)</f>
        <v>#N/A</v>
      </c>
      <c r="H83" s="225" t="str">
        <f t="shared" si="1"/>
        <v/>
      </c>
    </row>
    <row r="84" spans="1:8" x14ac:dyDescent="0.3">
      <c r="A84" s="400"/>
      <c r="B84" s="709">
        <v>89470</v>
      </c>
      <c r="C84" s="710" t="s">
        <v>16045</v>
      </c>
      <c r="D84" s="709" t="s">
        <v>168</v>
      </c>
      <c r="E84" s="716">
        <v>137.75</v>
      </c>
      <c r="F84" s="717">
        <v>0</v>
      </c>
      <c r="G84">
        <f>VLOOKUP(B84,'SINAPI-%MO'!B:E,4,0)</f>
        <v>0.38600000000000001</v>
      </c>
      <c r="H84" s="225">
        <f t="shared" si="1"/>
        <v>84.57</v>
      </c>
    </row>
    <row r="85" spans="1:8" x14ac:dyDescent="0.3">
      <c r="A85" s="400"/>
      <c r="B85" s="709">
        <v>89453</v>
      </c>
      <c r="C85" s="710" t="s">
        <v>16046</v>
      </c>
      <c r="D85" s="709" t="s">
        <v>168</v>
      </c>
      <c r="E85" s="716">
        <v>113.84</v>
      </c>
      <c r="F85" s="717">
        <v>0</v>
      </c>
      <c r="G85">
        <f>VLOOKUP(B85,'SINAPI-%MO'!B:E,4,0)</f>
        <v>0.27960000000000002</v>
      </c>
      <c r="H85" s="225">
        <f t="shared" si="1"/>
        <v>82.01</v>
      </c>
    </row>
    <row r="86" spans="1:8" x14ac:dyDescent="0.3">
      <c r="A86" s="400"/>
      <c r="B86" s="709">
        <v>107360</v>
      </c>
      <c r="C86" s="710" t="s">
        <v>16326</v>
      </c>
      <c r="D86" s="709" t="s">
        <v>168</v>
      </c>
      <c r="E86" s="716">
        <v>0</v>
      </c>
      <c r="F86" s="717"/>
      <c r="G86" t="e">
        <f>VLOOKUP(B86,'SINAPI-%MO'!B:E,4,0)</f>
        <v>#N/A</v>
      </c>
      <c r="H86" s="225" t="str">
        <f t="shared" si="1"/>
        <v/>
      </c>
    </row>
    <row r="87" spans="1:8" x14ac:dyDescent="0.3">
      <c r="A87" s="400"/>
      <c r="B87" s="709">
        <v>105765</v>
      </c>
      <c r="C87" s="710" t="s">
        <v>16327</v>
      </c>
      <c r="D87" s="709" t="s">
        <v>168</v>
      </c>
      <c r="E87" s="716">
        <v>0</v>
      </c>
      <c r="F87" s="717"/>
      <c r="G87" t="e">
        <f>VLOOKUP(B87,'SINAPI-%MO'!B:E,4,0)</f>
        <v>#N/A</v>
      </c>
      <c r="H87" s="225" t="str">
        <f t="shared" si="1"/>
        <v/>
      </c>
    </row>
    <row r="88" spans="1:8" x14ac:dyDescent="0.3">
      <c r="A88" s="400"/>
      <c r="B88" s="709">
        <v>104443</v>
      </c>
      <c r="C88" s="710" t="s">
        <v>16328</v>
      </c>
      <c r="D88" s="709" t="s">
        <v>168</v>
      </c>
      <c r="E88" s="716">
        <v>0</v>
      </c>
      <c r="F88" s="717"/>
      <c r="G88" t="e">
        <f>VLOOKUP(B88,'SINAPI-%MO'!B:E,4,0)</f>
        <v>#N/A</v>
      </c>
      <c r="H88" s="225" t="str">
        <f t="shared" si="1"/>
        <v/>
      </c>
    </row>
    <row r="89" spans="1:8" x14ac:dyDescent="0.3">
      <c r="A89" s="400"/>
      <c r="B89" s="709">
        <v>104441</v>
      </c>
      <c r="C89" s="710" t="s">
        <v>16329</v>
      </c>
      <c r="D89" s="709" t="s">
        <v>168</v>
      </c>
      <c r="E89" s="716">
        <v>0</v>
      </c>
      <c r="F89" s="717"/>
      <c r="G89" t="e">
        <f>VLOOKUP(B89,'SINAPI-%MO'!B:E,4,0)</f>
        <v>#N/A</v>
      </c>
      <c r="H89" s="225" t="str">
        <f t="shared" si="1"/>
        <v/>
      </c>
    </row>
    <row r="90" spans="1:8" x14ac:dyDescent="0.3">
      <c r="A90" s="400"/>
      <c r="B90" s="709">
        <v>107376</v>
      </c>
      <c r="C90" s="710" t="s">
        <v>16330</v>
      </c>
      <c r="D90" s="709" t="s">
        <v>168</v>
      </c>
      <c r="E90" s="716">
        <v>0</v>
      </c>
      <c r="F90" s="717"/>
      <c r="G90" t="e">
        <f>VLOOKUP(B90,'SINAPI-%MO'!B:E,4,0)</f>
        <v>#N/A</v>
      </c>
      <c r="H90" s="225" t="str">
        <f t="shared" si="1"/>
        <v/>
      </c>
    </row>
    <row r="91" spans="1:8" x14ac:dyDescent="0.3">
      <c r="A91" s="400"/>
      <c r="B91" s="709">
        <v>107374</v>
      </c>
      <c r="C91" s="710" t="s">
        <v>16331</v>
      </c>
      <c r="D91" s="709" t="s">
        <v>168</v>
      </c>
      <c r="E91" s="716">
        <v>0</v>
      </c>
      <c r="F91" s="717"/>
      <c r="G91" t="e">
        <f>VLOOKUP(B91,'SINAPI-%MO'!B:E,4,0)</f>
        <v>#N/A</v>
      </c>
      <c r="H91" s="225" t="str">
        <f t="shared" si="1"/>
        <v/>
      </c>
    </row>
    <row r="92" spans="1:8" x14ac:dyDescent="0.3">
      <c r="A92" s="400"/>
      <c r="B92" s="709">
        <v>107375</v>
      </c>
      <c r="C92" s="710" t="s">
        <v>16332</v>
      </c>
      <c r="D92" s="709" t="s">
        <v>168</v>
      </c>
      <c r="E92" s="716">
        <v>0</v>
      </c>
      <c r="F92" s="717"/>
      <c r="G92" t="e">
        <f>VLOOKUP(B92,'SINAPI-%MO'!B:E,4,0)</f>
        <v>#N/A</v>
      </c>
      <c r="H92" s="225" t="str">
        <f t="shared" si="1"/>
        <v/>
      </c>
    </row>
    <row r="93" spans="1:8" x14ac:dyDescent="0.3">
      <c r="A93" s="400"/>
      <c r="B93" s="709">
        <v>107373</v>
      </c>
      <c r="C93" s="710" t="s">
        <v>16333</v>
      </c>
      <c r="D93" s="709" t="s">
        <v>168</v>
      </c>
      <c r="E93" s="716">
        <v>0</v>
      </c>
      <c r="F93" s="717"/>
      <c r="G93" t="e">
        <f>VLOOKUP(B93,'SINAPI-%MO'!B:E,4,0)</f>
        <v>#N/A</v>
      </c>
      <c r="H93" s="225" t="str">
        <f t="shared" si="1"/>
        <v/>
      </c>
    </row>
    <row r="94" spans="1:8" x14ac:dyDescent="0.3">
      <c r="A94" s="400"/>
      <c r="B94" s="709">
        <v>103354</v>
      </c>
      <c r="C94" s="710" t="s">
        <v>531</v>
      </c>
      <c r="D94" s="709" t="s">
        <v>168</v>
      </c>
      <c r="E94" s="716">
        <v>98.17</v>
      </c>
      <c r="F94" s="717">
        <v>0</v>
      </c>
      <c r="G94">
        <f>VLOOKUP(B94,'SINAPI-%MO'!B:E,4,0)</f>
        <v>0.63429999999999997</v>
      </c>
      <c r="H94" s="225">
        <f t="shared" si="1"/>
        <v>35.9</v>
      </c>
    </row>
    <row r="95" spans="1:8" x14ac:dyDescent="0.3">
      <c r="A95" s="400"/>
      <c r="B95" s="709">
        <v>103355</v>
      </c>
      <c r="C95" s="710" t="s">
        <v>532</v>
      </c>
      <c r="D95" s="709" t="s">
        <v>168</v>
      </c>
      <c r="E95" s="716">
        <v>99.73</v>
      </c>
      <c r="F95" s="717">
        <v>0</v>
      </c>
      <c r="G95">
        <f>VLOOKUP(B95,'SINAPI-%MO'!B:E,4,0)</f>
        <v>0.64139999999999997</v>
      </c>
      <c r="H95" s="225">
        <f t="shared" si="1"/>
        <v>35.76</v>
      </c>
    </row>
    <row r="96" spans="1:8" x14ac:dyDescent="0.3">
      <c r="A96" s="400"/>
      <c r="B96" s="709">
        <v>103330</v>
      </c>
      <c r="C96" s="710" t="s">
        <v>533</v>
      </c>
      <c r="D96" s="709" t="s">
        <v>168</v>
      </c>
      <c r="E96" s="716">
        <v>90.82</v>
      </c>
      <c r="F96" s="717">
        <v>0</v>
      </c>
      <c r="G96">
        <f>VLOOKUP(B96,'SINAPI-%MO'!B:E,4,0)</f>
        <v>0.59740000000000004</v>
      </c>
      <c r="H96" s="225">
        <f t="shared" si="1"/>
        <v>36.56</v>
      </c>
    </row>
    <row r="97" spans="1:8" x14ac:dyDescent="0.3">
      <c r="A97" s="400"/>
      <c r="B97" s="709">
        <v>103331</v>
      </c>
      <c r="C97" s="710" t="s">
        <v>534</v>
      </c>
      <c r="D97" s="709" t="s">
        <v>168</v>
      </c>
      <c r="E97" s="716">
        <v>92.28</v>
      </c>
      <c r="F97" s="717">
        <v>0</v>
      </c>
      <c r="G97">
        <f>VLOOKUP(B97,'SINAPI-%MO'!B:E,4,0)</f>
        <v>0.60540000000000005</v>
      </c>
      <c r="H97" s="225">
        <f t="shared" si="1"/>
        <v>36.409999999999997</v>
      </c>
    </row>
    <row r="98" spans="1:8" x14ac:dyDescent="0.3">
      <c r="A98" s="400"/>
      <c r="B98" s="709">
        <v>103358</v>
      </c>
      <c r="C98" s="710" t="s">
        <v>535</v>
      </c>
      <c r="D98" s="709" t="s">
        <v>168</v>
      </c>
      <c r="E98" s="716">
        <v>76.84</v>
      </c>
      <c r="F98" s="717">
        <v>0</v>
      </c>
      <c r="G98">
        <f>VLOOKUP(B98,'SINAPI-%MO'!B:E,4,0)</f>
        <v>0.56569999999999998</v>
      </c>
      <c r="H98" s="225">
        <f t="shared" si="1"/>
        <v>33.369999999999997</v>
      </c>
    </row>
    <row r="99" spans="1:8" x14ac:dyDescent="0.3">
      <c r="A99" s="400"/>
      <c r="B99" s="709">
        <v>103359</v>
      </c>
      <c r="C99" s="710" t="s">
        <v>536</v>
      </c>
      <c r="D99" s="709" t="s">
        <v>168</v>
      </c>
      <c r="E99" s="716">
        <v>78.08</v>
      </c>
      <c r="F99" s="717">
        <v>0</v>
      </c>
      <c r="G99">
        <f>VLOOKUP(B99,'SINAPI-%MO'!B:E,4,0)</f>
        <v>0.57420000000000004</v>
      </c>
      <c r="H99" s="225">
        <f t="shared" si="1"/>
        <v>33.24</v>
      </c>
    </row>
    <row r="100" spans="1:8" x14ac:dyDescent="0.3">
      <c r="A100" s="400"/>
      <c r="B100" s="709">
        <v>103366</v>
      </c>
      <c r="C100" s="710" t="s">
        <v>537</v>
      </c>
      <c r="D100" s="709" t="s">
        <v>168</v>
      </c>
      <c r="E100" s="716">
        <v>67.239999999999995</v>
      </c>
      <c r="F100" s="717">
        <v>0</v>
      </c>
      <c r="G100">
        <f>VLOOKUP(B100,'SINAPI-%MO'!B:E,4,0)</f>
        <v>0.50070000000000003</v>
      </c>
      <c r="H100" s="225">
        <f t="shared" si="1"/>
        <v>33.57</v>
      </c>
    </row>
    <row r="101" spans="1:8" x14ac:dyDescent="0.3">
      <c r="A101" s="400"/>
      <c r="B101" s="709">
        <v>103367</v>
      </c>
      <c r="C101" s="710" t="s">
        <v>538</v>
      </c>
      <c r="D101" s="709" t="s">
        <v>168</v>
      </c>
      <c r="E101" s="716">
        <v>68.37</v>
      </c>
      <c r="F101" s="717">
        <v>0</v>
      </c>
      <c r="G101">
        <f>VLOOKUP(B101,'SINAPI-%MO'!B:E,4,0)</f>
        <v>0.51049999999999995</v>
      </c>
      <c r="H101" s="225">
        <f t="shared" si="1"/>
        <v>33.46</v>
      </c>
    </row>
    <row r="102" spans="1:8" x14ac:dyDescent="0.3">
      <c r="A102" s="400"/>
      <c r="B102" s="709">
        <v>103360</v>
      </c>
      <c r="C102" s="710" t="s">
        <v>539</v>
      </c>
      <c r="D102" s="709" t="s">
        <v>168</v>
      </c>
      <c r="E102" s="716">
        <v>89.82</v>
      </c>
      <c r="F102" s="717">
        <v>0</v>
      </c>
      <c r="G102">
        <f>VLOOKUP(B102,'SINAPI-%MO'!B:E,4,0)</f>
        <v>0.57099999999999995</v>
      </c>
      <c r="H102" s="225">
        <f t="shared" si="1"/>
        <v>38.53</v>
      </c>
    </row>
    <row r="103" spans="1:8" x14ac:dyDescent="0.3">
      <c r="A103" s="400"/>
      <c r="B103" s="709">
        <v>103361</v>
      </c>
      <c r="C103" s="710" t="s">
        <v>540</v>
      </c>
      <c r="D103" s="709" t="s">
        <v>168</v>
      </c>
      <c r="E103" s="716">
        <v>91.39</v>
      </c>
      <c r="F103" s="717">
        <v>0</v>
      </c>
      <c r="G103">
        <f>VLOOKUP(B103,'SINAPI-%MO'!B:E,4,0)</f>
        <v>0.57989999999999997</v>
      </c>
      <c r="H103" s="225">
        <f t="shared" si="1"/>
        <v>38.39</v>
      </c>
    </row>
    <row r="104" spans="1:8" x14ac:dyDescent="0.3">
      <c r="A104" s="400"/>
      <c r="B104" s="709">
        <v>103368</v>
      </c>
      <c r="C104" s="710" t="s">
        <v>541</v>
      </c>
      <c r="D104" s="709" t="s">
        <v>168</v>
      </c>
      <c r="E104" s="716">
        <v>76.099999999999994</v>
      </c>
      <c r="F104" s="717">
        <v>0</v>
      </c>
      <c r="G104">
        <f>VLOOKUP(B104,'SINAPI-%MO'!B:E,4,0)</f>
        <v>0.51580000000000004</v>
      </c>
      <c r="H104" s="225">
        <f t="shared" si="1"/>
        <v>36.840000000000003</v>
      </c>
    </row>
    <row r="105" spans="1:8" x14ac:dyDescent="0.3">
      <c r="A105" s="400"/>
      <c r="B105" s="709">
        <v>103369</v>
      </c>
      <c r="C105" s="710" t="s">
        <v>542</v>
      </c>
      <c r="D105" s="709" t="s">
        <v>168</v>
      </c>
      <c r="E105" s="716">
        <v>77.52</v>
      </c>
      <c r="F105" s="717">
        <v>0</v>
      </c>
      <c r="G105">
        <f>VLOOKUP(B105,'SINAPI-%MO'!B:E,4,0)</f>
        <v>0.52629999999999999</v>
      </c>
      <c r="H105" s="225">
        <f t="shared" si="1"/>
        <v>36.72</v>
      </c>
    </row>
    <row r="106" spans="1:8" x14ac:dyDescent="0.3">
      <c r="A106" s="400"/>
      <c r="B106" s="709">
        <v>103334</v>
      </c>
      <c r="C106" s="710" t="s">
        <v>543</v>
      </c>
      <c r="D106" s="709" t="s">
        <v>168</v>
      </c>
      <c r="E106" s="716">
        <v>159.09</v>
      </c>
      <c r="F106" s="717">
        <v>0</v>
      </c>
      <c r="G106">
        <f>VLOOKUP(B106,'SINAPI-%MO'!B:E,4,0)</f>
        <v>0.65890000000000004</v>
      </c>
      <c r="H106" s="225">
        <f t="shared" si="1"/>
        <v>54.26</v>
      </c>
    </row>
    <row r="107" spans="1:8" x14ac:dyDescent="0.3">
      <c r="A107" s="400"/>
      <c r="B107" s="709">
        <v>103335</v>
      </c>
      <c r="C107" s="710" t="s">
        <v>544</v>
      </c>
      <c r="D107" s="709" t="s">
        <v>168</v>
      </c>
      <c r="E107" s="716">
        <v>161.83000000000001</v>
      </c>
      <c r="F107" s="717">
        <v>0</v>
      </c>
      <c r="G107">
        <f>VLOOKUP(B107,'SINAPI-%MO'!B:E,4,0)</f>
        <v>0.66620000000000001</v>
      </c>
      <c r="H107" s="225">
        <f t="shared" si="1"/>
        <v>54.01</v>
      </c>
    </row>
    <row r="108" spans="1:8" x14ac:dyDescent="0.3">
      <c r="A108" s="400"/>
      <c r="B108" s="709">
        <v>103362</v>
      </c>
      <c r="C108" s="710" t="s">
        <v>545</v>
      </c>
      <c r="D108" s="709" t="s">
        <v>168</v>
      </c>
      <c r="E108" s="716">
        <v>109.13</v>
      </c>
      <c r="F108" s="717">
        <v>0</v>
      </c>
      <c r="G108">
        <f>VLOOKUP(B108,'SINAPI-%MO'!B:E,4,0)</f>
        <v>0.53620000000000001</v>
      </c>
      <c r="H108" s="225">
        <f t="shared" si="1"/>
        <v>50.61</v>
      </c>
    </row>
    <row r="109" spans="1:8" x14ac:dyDescent="0.3">
      <c r="A109" s="400"/>
      <c r="B109" s="709">
        <v>103363</v>
      </c>
      <c r="C109" s="710" t="s">
        <v>546</v>
      </c>
      <c r="D109" s="709" t="s">
        <v>168</v>
      </c>
      <c r="E109" s="716">
        <v>110.9</v>
      </c>
      <c r="F109" s="717">
        <v>0</v>
      </c>
      <c r="G109">
        <f>VLOOKUP(B109,'SINAPI-%MO'!B:E,4,0)</f>
        <v>0.54510000000000003</v>
      </c>
      <c r="H109" s="225">
        <f t="shared" si="1"/>
        <v>50.44</v>
      </c>
    </row>
    <row r="110" spans="1:8" x14ac:dyDescent="0.3">
      <c r="A110" s="400"/>
      <c r="B110" s="709">
        <v>103370</v>
      </c>
      <c r="C110" s="710" t="s">
        <v>547</v>
      </c>
      <c r="D110" s="709" t="s">
        <v>168</v>
      </c>
      <c r="E110" s="716">
        <v>96.52</v>
      </c>
      <c r="F110" s="717">
        <v>0</v>
      </c>
      <c r="G110">
        <f>VLOOKUP(B110,'SINAPI-%MO'!B:E,4,0)</f>
        <v>0.46779999999999999</v>
      </c>
      <c r="H110" s="225">
        <f t="shared" si="1"/>
        <v>51.36</v>
      </c>
    </row>
    <row r="111" spans="1:8" x14ac:dyDescent="0.3">
      <c r="A111" s="400"/>
      <c r="B111" s="709">
        <v>103371</v>
      </c>
      <c r="C111" s="710" t="s">
        <v>548</v>
      </c>
      <c r="D111" s="709" t="s">
        <v>168</v>
      </c>
      <c r="E111" s="716">
        <v>98.13</v>
      </c>
      <c r="F111" s="717">
        <v>0</v>
      </c>
      <c r="G111">
        <f>VLOOKUP(B111,'SINAPI-%MO'!B:E,4,0)</f>
        <v>0.47789999999999999</v>
      </c>
      <c r="H111" s="225">
        <f t="shared" si="1"/>
        <v>51.23</v>
      </c>
    </row>
    <row r="112" spans="1:8" x14ac:dyDescent="0.3">
      <c r="A112" s="400"/>
      <c r="B112" s="709">
        <v>103332</v>
      </c>
      <c r="C112" s="710" t="s">
        <v>549</v>
      </c>
      <c r="D112" s="709" t="s">
        <v>168</v>
      </c>
      <c r="E112" s="716">
        <v>132.82</v>
      </c>
      <c r="F112" s="717">
        <v>0</v>
      </c>
      <c r="G112">
        <f>VLOOKUP(B112,'SINAPI-%MO'!B:E,4,0)</f>
        <v>0.74080000000000001</v>
      </c>
      <c r="H112" s="225">
        <f t="shared" si="1"/>
        <v>34.42</v>
      </c>
    </row>
    <row r="113" spans="1:8" x14ac:dyDescent="0.3">
      <c r="A113" s="400"/>
      <c r="B113" s="709">
        <v>103333</v>
      </c>
      <c r="C113" s="710" t="s">
        <v>550</v>
      </c>
      <c r="D113" s="709" t="s">
        <v>168</v>
      </c>
      <c r="E113" s="716">
        <v>134.38999999999999</v>
      </c>
      <c r="F113" s="717">
        <v>0</v>
      </c>
      <c r="G113">
        <f>VLOOKUP(B113,'SINAPI-%MO'!B:E,4,0)</f>
        <v>0.74480000000000002</v>
      </c>
      <c r="H113" s="225">
        <f t="shared" si="1"/>
        <v>34.29</v>
      </c>
    </row>
    <row r="114" spans="1:8" x14ac:dyDescent="0.3">
      <c r="A114" s="400"/>
      <c r="B114" s="709">
        <v>103352</v>
      </c>
      <c r="C114" s="710" t="s">
        <v>551</v>
      </c>
      <c r="D114" s="709" t="s">
        <v>168</v>
      </c>
      <c r="E114" s="716">
        <v>113.99</v>
      </c>
      <c r="F114" s="717">
        <v>0</v>
      </c>
      <c r="G114">
        <f>VLOOKUP(B114,'SINAPI-%MO'!B:E,4,0)</f>
        <v>0.70750000000000002</v>
      </c>
      <c r="H114" s="225">
        <f t="shared" si="1"/>
        <v>33.340000000000003</v>
      </c>
    </row>
    <row r="115" spans="1:8" x14ac:dyDescent="0.3">
      <c r="A115" s="400"/>
      <c r="B115" s="709">
        <v>103353</v>
      </c>
      <c r="C115" s="710" t="s">
        <v>552</v>
      </c>
      <c r="D115" s="709" t="s">
        <v>168</v>
      </c>
      <c r="E115" s="716">
        <v>115.45</v>
      </c>
      <c r="F115" s="717">
        <v>0</v>
      </c>
      <c r="G115">
        <f>VLOOKUP(B115,'SINAPI-%MO'!B:E,4,0)</f>
        <v>0.71230000000000004</v>
      </c>
      <c r="H115" s="225">
        <f t="shared" si="1"/>
        <v>33.21</v>
      </c>
    </row>
    <row r="116" spans="1:8" x14ac:dyDescent="0.3">
      <c r="A116" s="400"/>
      <c r="B116" s="709">
        <v>103328</v>
      </c>
      <c r="C116" s="710" t="s">
        <v>553</v>
      </c>
      <c r="D116" s="709" t="s">
        <v>168</v>
      </c>
      <c r="E116" s="716">
        <v>104.24</v>
      </c>
      <c r="F116" s="717">
        <v>0</v>
      </c>
      <c r="G116">
        <f>VLOOKUP(B116,'SINAPI-%MO'!B:E,4,0)</f>
        <v>0.69259999999999999</v>
      </c>
      <c r="H116" s="225">
        <f t="shared" si="1"/>
        <v>32.04</v>
      </c>
    </row>
    <row r="117" spans="1:8" x14ac:dyDescent="0.3">
      <c r="A117" s="400"/>
      <c r="B117" s="709">
        <v>103329</v>
      </c>
      <c r="C117" s="710" t="s">
        <v>554</v>
      </c>
      <c r="D117" s="709" t="s">
        <v>168</v>
      </c>
      <c r="E117" s="716">
        <v>105.6</v>
      </c>
      <c r="F117" s="717">
        <v>0</v>
      </c>
      <c r="G117">
        <f>VLOOKUP(B117,'SINAPI-%MO'!B:E,4,0)</f>
        <v>0.69779999999999998</v>
      </c>
      <c r="H117" s="225">
        <f t="shared" si="1"/>
        <v>31.91</v>
      </c>
    </row>
    <row r="118" spans="1:8" x14ac:dyDescent="0.3">
      <c r="A118" s="400"/>
      <c r="B118" s="709">
        <v>103356</v>
      </c>
      <c r="C118" s="710" t="s">
        <v>555</v>
      </c>
      <c r="D118" s="709" t="s">
        <v>168</v>
      </c>
      <c r="E118" s="716">
        <v>67.41</v>
      </c>
      <c r="F118" s="717">
        <v>0</v>
      </c>
      <c r="G118">
        <f>VLOOKUP(B118,'SINAPI-%MO'!B:E,4,0)</f>
        <v>0.51949999999999996</v>
      </c>
      <c r="H118" s="225">
        <f t="shared" si="1"/>
        <v>32.39</v>
      </c>
    </row>
    <row r="119" spans="1:8" x14ac:dyDescent="0.3">
      <c r="A119" s="400"/>
      <c r="B119" s="709">
        <v>103357</v>
      </c>
      <c r="C119" s="710" t="s">
        <v>556</v>
      </c>
      <c r="D119" s="709" t="s">
        <v>168</v>
      </c>
      <c r="E119" s="716">
        <v>68.56</v>
      </c>
      <c r="F119" s="717">
        <v>0</v>
      </c>
      <c r="G119">
        <f>VLOOKUP(B119,'SINAPI-%MO'!B:E,4,0)</f>
        <v>0.5292</v>
      </c>
      <c r="H119" s="225">
        <f t="shared" si="1"/>
        <v>32.270000000000003</v>
      </c>
    </row>
    <row r="120" spans="1:8" x14ac:dyDescent="0.3">
      <c r="A120" s="400"/>
      <c r="B120" s="709">
        <v>103364</v>
      </c>
      <c r="C120" s="710" t="s">
        <v>557</v>
      </c>
      <c r="D120" s="709" t="s">
        <v>168</v>
      </c>
      <c r="E120" s="716">
        <v>56.15</v>
      </c>
      <c r="F120" s="717">
        <v>0</v>
      </c>
      <c r="G120">
        <f>VLOOKUP(B120,'SINAPI-%MO'!B:E,4,0)</f>
        <v>0.48049999999999998</v>
      </c>
      <c r="H120" s="225">
        <f t="shared" si="1"/>
        <v>29.16</v>
      </c>
    </row>
    <row r="121" spans="1:8" x14ac:dyDescent="0.3">
      <c r="A121" s="400"/>
      <c r="B121" s="709">
        <v>103365</v>
      </c>
      <c r="C121" s="710" t="s">
        <v>558</v>
      </c>
      <c r="D121" s="709" t="s">
        <v>168</v>
      </c>
      <c r="E121" s="716">
        <v>56.98</v>
      </c>
      <c r="F121" s="717">
        <v>0</v>
      </c>
      <c r="G121">
        <f>VLOOKUP(B121,'SINAPI-%MO'!B:E,4,0)</f>
        <v>0.49330000000000002</v>
      </c>
      <c r="H121" s="225">
        <f t="shared" si="1"/>
        <v>28.87</v>
      </c>
    </row>
    <row r="122" spans="1:8" x14ac:dyDescent="0.3">
      <c r="A122" s="400"/>
      <c r="B122" s="709">
        <v>103350</v>
      </c>
      <c r="C122" s="710" t="s">
        <v>559</v>
      </c>
      <c r="D122" s="709" t="s">
        <v>168</v>
      </c>
      <c r="E122" s="716">
        <v>193.58</v>
      </c>
      <c r="F122" s="717">
        <v>0</v>
      </c>
      <c r="G122">
        <f>VLOOKUP(B122,'SINAPI-%MO'!B:E,4,0)</f>
        <v>0.69920000000000004</v>
      </c>
      <c r="H122" s="225">
        <f t="shared" si="1"/>
        <v>58.22</v>
      </c>
    </row>
    <row r="123" spans="1:8" x14ac:dyDescent="0.3">
      <c r="A123" s="400"/>
      <c r="B123" s="709">
        <v>103351</v>
      </c>
      <c r="C123" s="710" t="s">
        <v>560</v>
      </c>
      <c r="D123" s="709" t="s">
        <v>168</v>
      </c>
      <c r="E123" s="716">
        <v>195.58</v>
      </c>
      <c r="F123" s="717">
        <v>0</v>
      </c>
      <c r="G123">
        <f>VLOOKUP(B123,'SINAPI-%MO'!B:E,4,0)</f>
        <v>0.70320000000000005</v>
      </c>
      <c r="H123" s="225">
        <f t="shared" si="1"/>
        <v>58.04</v>
      </c>
    </row>
    <row r="124" spans="1:8" x14ac:dyDescent="0.3">
      <c r="A124" s="400"/>
      <c r="B124" s="709">
        <v>103344</v>
      </c>
      <c r="C124" s="710" t="s">
        <v>561</v>
      </c>
      <c r="D124" s="709" t="s">
        <v>168</v>
      </c>
      <c r="E124" s="716">
        <v>90.97</v>
      </c>
      <c r="F124" s="717">
        <v>0</v>
      </c>
      <c r="G124">
        <f>VLOOKUP(B124,'SINAPI-%MO'!B:E,4,0)</f>
        <v>0.48420000000000002</v>
      </c>
      <c r="H124" s="225">
        <f t="shared" si="1"/>
        <v>46.92</v>
      </c>
    </row>
    <row r="125" spans="1:8" x14ac:dyDescent="0.3">
      <c r="A125" s="400"/>
      <c r="B125" s="709">
        <v>103345</v>
      </c>
      <c r="C125" s="710" t="s">
        <v>562</v>
      </c>
      <c r="D125" s="709" t="s">
        <v>168</v>
      </c>
      <c r="E125" s="716">
        <v>92.79</v>
      </c>
      <c r="F125" s="717">
        <v>0</v>
      </c>
      <c r="G125">
        <f>VLOOKUP(B125,'SINAPI-%MO'!B:E,4,0)</f>
        <v>0.49630000000000002</v>
      </c>
      <c r="H125" s="225">
        <f t="shared" si="1"/>
        <v>46.73</v>
      </c>
    </row>
    <row r="126" spans="1:8" x14ac:dyDescent="0.3">
      <c r="A126" s="400"/>
      <c r="B126" s="709">
        <v>103348</v>
      </c>
      <c r="C126" s="710" t="s">
        <v>563</v>
      </c>
      <c r="D126" s="709" t="s">
        <v>168</v>
      </c>
      <c r="E126" s="716">
        <v>76.62</v>
      </c>
      <c r="F126" s="717">
        <v>0</v>
      </c>
      <c r="G126">
        <f>VLOOKUP(B126,'SINAPI-%MO'!B:E,4,0)</f>
        <v>0.44650000000000001</v>
      </c>
      <c r="H126" s="225">
        <f t="shared" si="1"/>
        <v>42.4</v>
      </c>
    </row>
    <row r="127" spans="1:8" x14ac:dyDescent="0.3">
      <c r="A127" s="400"/>
      <c r="B127" s="709">
        <v>103349</v>
      </c>
      <c r="C127" s="710" t="s">
        <v>564</v>
      </c>
      <c r="D127" s="709" t="s">
        <v>168</v>
      </c>
      <c r="E127" s="716">
        <v>78.28</v>
      </c>
      <c r="F127" s="717">
        <v>0</v>
      </c>
      <c r="G127">
        <f>VLOOKUP(B127,'SINAPI-%MO'!B:E,4,0)</f>
        <v>0.46010000000000001</v>
      </c>
      <c r="H127" s="225">
        <f t="shared" si="1"/>
        <v>42.26</v>
      </c>
    </row>
    <row r="128" spans="1:8" x14ac:dyDescent="0.3">
      <c r="A128" s="400"/>
      <c r="B128" s="709">
        <v>103346</v>
      </c>
      <c r="C128" s="710" t="s">
        <v>565</v>
      </c>
      <c r="D128" s="709" t="s">
        <v>168</v>
      </c>
      <c r="E128" s="716">
        <v>100.91</v>
      </c>
      <c r="F128" s="717">
        <v>0</v>
      </c>
      <c r="G128">
        <f>VLOOKUP(B128,'SINAPI-%MO'!B:E,4,0)</f>
        <v>0.51190000000000002</v>
      </c>
      <c r="H128" s="225">
        <f t="shared" si="1"/>
        <v>49.25</v>
      </c>
    </row>
    <row r="129" spans="1:8" x14ac:dyDescent="0.3">
      <c r="A129" s="400"/>
      <c r="B129" s="709">
        <v>103347</v>
      </c>
      <c r="C129" s="710" t="s">
        <v>566</v>
      </c>
      <c r="D129" s="709" t="s">
        <v>168</v>
      </c>
      <c r="E129" s="716">
        <v>102.85</v>
      </c>
      <c r="F129" s="717">
        <v>0</v>
      </c>
      <c r="G129">
        <f>VLOOKUP(B129,'SINAPI-%MO'!B:E,4,0)</f>
        <v>0.52300000000000002</v>
      </c>
      <c r="H129" s="225">
        <f t="shared" si="1"/>
        <v>49.05</v>
      </c>
    </row>
    <row r="130" spans="1:8" x14ac:dyDescent="0.3">
      <c r="A130" s="400"/>
      <c r="B130" s="709">
        <v>103324</v>
      </c>
      <c r="C130" s="710" t="s">
        <v>567</v>
      </c>
      <c r="D130" s="709" t="s">
        <v>168</v>
      </c>
      <c r="E130" s="716">
        <v>86.88</v>
      </c>
      <c r="F130" s="717">
        <v>0</v>
      </c>
      <c r="G130">
        <f>VLOOKUP(B130,'SINAPI-%MO'!B:E,4,0)</f>
        <v>0.45569999999999999</v>
      </c>
      <c r="H130" s="225">
        <f t="shared" si="1"/>
        <v>47.28</v>
      </c>
    </row>
    <row r="131" spans="1:8" x14ac:dyDescent="0.3">
      <c r="A131" s="400"/>
      <c r="B131" s="709">
        <v>103325</v>
      </c>
      <c r="C131" s="710" t="s">
        <v>568</v>
      </c>
      <c r="D131" s="709" t="s">
        <v>168</v>
      </c>
      <c r="E131" s="716">
        <v>88.65</v>
      </c>
      <c r="F131" s="717">
        <v>0</v>
      </c>
      <c r="G131">
        <f>VLOOKUP(B131,'SINAPI-%MO'!B:E,4,0)</f>
        <v>0.46839999999999998</v>
      </c>
      <c r="H131" s="225">
        <f t="shared" si="1"/>
        <v>47.12</v>
      </c>
    </row>
    <row r="132" spans="1:8" x14ac:dyDescent="0.3">
      <c r="A132" s="400"/>
      <c r="B132" s="709">
        <v>103326</v>
      </c>
      <c r="C132" s="710" t="s">
        <v>569</v>
      </c>
      <c r="D132" s="709" t="s">
        <v>168</v>
      </c>
      <c r="E132" s="716">
        <v>102.28</v>
      </c>
      <c r="F132" s="717">
        <v>0</v>
      </c>
      <c r="G132">
        <f>VLOOKUP(B132,'SINAPI-%MO'!B:E,4,0)</f>
        <v>0.44590000000000002</v>
      </c>
      <c r="H132" s="225">
        <f t="shared" si="1"/>
        <v>56.67</v>
      </c>
    </row>
    <row r="133" spans="1:8" x14ac:dyDescent="0.3">
      <c r="A133" s="400"/>
      <c r="B133" s="709">
        <v>103327</v>
      </c>
      <c r="C133" s="710" t="s">
        <v>570</v>
      </c>
      <c r="D133" s="709" t="s">
        <v>168</v>
      </c>
      <c r="E133" s="716">
        <v>104.35</v>
      </c>
      <c r="F133" s="717">
        <v>0</v>
      </c>
      <c r="G133">
        <f>VLOOKUP(B133,'SINAPI-%MO'!B:E,4,0)</f>
        <v>0.4587</v>
      </c>
      <c r="H133" s="225">
        <f t="shared" si="1"/>
        <v>56.48</v>
      </c>
    </row>
    <row r="134" spans="1:8" x14ac:dyDescent="0.3">
      <c r="A134" s="400"/>
      <c r="B134" s="709">
        <v>103322</v>
      </c>
      <c r="C134" s="710" t="s">
        <v>571</v>
      </c>
      <c r="D134" s="709" t="s">
        <v>168</v>
      </c>
      <c r="E134" s="716">
        <v>65</v>
      </c>
      <c r="F134" s="717">
        <v>0</v>
      </c>
      <c r="G134">
        <f>VLOOKUP(B134,'SINAPI-%MO'!B:E,4,0)</f>
        <v>0.42309999999999998</v>
      </c>
      <c r="H134" s="225">
        <f t="shared" si="1"/>
        <v>37.49</v>
      </c>
    </row>
    <row r="135" spans="1:8" x14ac:dyDescent="0.3">
      <c r="A135" s="400"/>
      <c r="B135" s="709">
        <v>103323</v>
      </c>
      <c r="C135" s="710" t="s">
        <v>572</v>
      </c>
      <c r="D135" s="709" t="s">
        <v>168</v>
      </c>
      <c r="E135" s="716">
        <v>66.56</v>
      </c>
      <c r="F135" s="717">
        <v>0</v>
      </c>
      <c r="G135">
        <f>VLOOKUP(B135,'SINAPI-%MO'!B:E,4,0)</f>
        <v>0.43869999999999998</v>
      </c>
      <c r="H135" s="225">
        <f t="shared" si="1"/>
        <v>37.36</v>
      </c>
    </row>
    <row r="136" spans="1:8" x14ac:dyDescent="0.3">
      <c r="A136" s="400"/>
      <c r="B136" s="709">
        <v>103338</v>
      </c>
      <c r="C136" s="710" t="s">
        <v>573</v>
      </c>
      <c r="D136" s="709" t="s">
        <v>168</v>
      </c>
      <c r="E136" s="716">
        <v>135.82</v>
      </c>
      <c r="F136" s="717">
        <v>0</v>
      </c>
      <c r="G136">
        <f>VLOOKUP(B136,'SINAPI-%MO'!B:E,4,0)</f>
        <v>0.43230000000000002</v>
      </c>
      <c r="H136" s="225">
        <f t="shared" si="1"/>
        <v>77.099999999999994</v>
      </c>
    </row>
    <row r="137" spans="1:8" x14ac:dyDescent="0.3">
      <c r="A137" s="400"/>
      <c r="B137" s="709">
        <v>103339</v>
      </c>
      <c r="C137" s="710" t="s">
        <v>574</v>
      </c>
      <c r="D137" s="709" t="s">
        <v>168</v>
      </c>
      <c r="E137" s="716">
        <v>137.35</v>
      </c>
      <c r="F137" s="717">
        <v>0</v>
      </c>
      <c r="G137">
        <f>VLOOKUP(B137,'SINAPI-%MO'!B:E,4,0)</f>
        <v>0.43969999999999998</v>
      </c>
      <c r="H137" s="225">
        <f t="shared" si="1"/>
        <v>76.95</v>
      </c>
    </row>
    <row r="138" spans="1:8" x14ac:dyDescent="0.3">
      <c r="A138" s="400"/>
      <c r="B138" s="709">
        <v>103340</v>
      </c>
      <c r="C138" s="710" t="s">
        <v>575</v>
      </c>
      <c r="D138" s="709" t="s">
        <v>168</v>
      </c>
      <c r="E138" s="716">
        <v>164.94</v>
      </c>
      <c r="F138" s="717">
        <v>0</v>
      </c>
      <c r="G138">
        <f>VLOOKUP(B138,'SINAPI-%MO'!B:E,4,0)</f>
        <v>0.40379999999999999</v>
      </c>
      <c r="H138" s="225">
        <f t="shared" si="1"/>
        <v>98.33</v>
      </c>
    </row>
    <row r="139" spans="1:8" x14ac:dyDescent="0.3">
      <c r="A139" s="400"/>
      <c r="B139" s="709">
        <v>103341</v>
      </c>
      <c r="C139" s="710" t="s">
        <v>576</v>
      </c>
      <c r="D139" s="709" t="s">
        <v>168</v>
      </c>
      <c r="E139" s="716">
        <v>166.86</v>
      </c>
      <c r="F139" s="717">
        <v>0</v>
      </c>
      <c r="G139">
        <f>VLOOKUP(B139,'SINAPI-%MO'!B:E,4,0)</f>
        <v>0.41170000000000001</v>
      </c>
      <c r="H139" s="225">
        <f t="shared" ref="H139:H202" si="2">IF(E139&gt;0,TRUNC(E139*(1-G139),2),"")</f>
        <v>98.16</v>
      </c>
    </row>
    <row r="140" spans="1:8" x14ac:dyDescent="0.3">
      <c r="A140" s="400"/>
      <c r="B140" s="709">
        <v>103336</v>
      </c>
      <c r="C140" s="710" t="s">
        <v>577</v>
      </c>
      <c r="D140" s="709" t="s">
        <v>168</v>
      </c>
      <c r="E140" s="716">
        <v>103.69</v>
      </c>
      <c r="F140" s="717">
        <v>0</v>
      </c>
      <c r="G140">
        <f>VLOOKUP(B140,'SINAPI-%MO'!B:E,4,0)</f>
        <v>0.41560000000000002</v>
      </c>
      <c r="H140" s="225">
        <f t="shared" si="2"/>
        <v>60.59</v>
      </c>
    </row>
    <row r="141" spans="1:8" x14ac:dyDescent="0.3">
      <c r="A141" s="400"/>
      <c r="B141" s="709">
        <v>103337</v>
      </c>
      <c r="C141" s="710" t="s">
        <v>578</v>
      </c>
      <c r="D141" s="709" t="s">
        <v>168</v>
      </c>
      <c r="E141" s="716">
        <v>104.99</v>
      </c>
      <c r="F141" s="717">
        <v>0</v>
      </c>
      <c r="G141">
        <f>VLOOKUP(B141,'SINAPI-%MO'!B:E,4,0)</f>
        <v>0.4239</v>
      </c>
      <c r="H141" s="225">
        <f t="shared" si="2"/>
        <v>60.48</v>
      </c>
    </row>
    <row r="142" spans="1:8" x14ac:dyDescent="0.3">
      <c r="A142" s="400"/>
      <c r="B142" s="709">
        <v>103342</v>
      </c>
      <c r="C142" s="710" t="s">
        <v>579</v>
      </c>
      <c r="D142" s="709" t="s">
        <v>168</v>
      </c>
      <c r="E142" s="716">
        <v>140.82</v>
      </c>
      <c r="F142" s="717">
        <v>0</v>
      </c>
      <c r="G142">
        <f>VLOOKUP(B142,'SINAPI-%MO'!B:E,4,0)</f>
        <v>0.36509999999999998</v>
      </c>
      <c r="H142" s="225">
        <f t="shared" si="2"/>
        <v>89.4</v>
      </c>
    </row>
    <row r="143" spans="1:8" x14ac:dyDescent="0.3">
      <c r="A143" s="400"/>
      <c r="B143" s="709">
        <v>103343</v>
      </c>
      <c r="C143" s="710" t="s">
        <v>580</v>
      </c>
      <c r="D143" s="709" t="s">
        <v>168</v>
      </c>
      <c r="E143" s="716">
        <v>142.51</v>
      </c>
      <c r="F143" s="717">
        <v>0</v>
      </c>
      <c r="G143">
        <f>VLOOKUP(B143,'SINAPI-%MO'!B:E,4,0)</f>
        <v>0.37369999999999998</v>
      </c>
      <c r="H143" s="225">
        <f t="shared" si="2"/>
        <v>89.25</v>
      </c>
    </row>
    <row r="144" spans="1:8" x14ac:dyDescent="0.3">
      <c r="A144" s="400"/>
      <c r="B144" s="709">
        <v>103318</v>
      </c>
      <c r="C144" s="710" t="s">
        <v>581</v>
      </c>
      <c r="D144" s="709" t="s">
        <v>168</v>
      </c>
      <c r="E144" s="716">
        <v>120.03</v>
      </c>
      <c r="F144" s="717">
        <v>0</v>
      </c>
      <c r="G144">
        <f>VLOOKUP(B144,'SINAPI-%MO'!B:E,4,0)</f>
        <v>0.37919999999999998</v>
      </c>
      <c r="H144" s="225">
        <f t="shared" si="2"/>
        <v>74.510000000000005</v>
      </c>
    </row>
    <row r="145" spans="1:8" x14ac:dyDescent="0.3">
      <c r="A145" s="400"/>
      <c r="B145" s="709">
        <v>103319</v>
      </c>
      <c r="C145" s="710" t="s">
        <v>582</v>
      </c>
      <c r="D145" s="709" t="s">
        <v>168</v>
      </c>
      <c r="E145" s="716">
        <v>121.56</v>
      </c>
      <c r="F145" s="717">
        <v>0</v>
      </c>
      <c r="G145">
        <f>VLOOKUP(B145,'SINAPI-%MO'!B:E,4,0)</f>
        <v>0.38819999999999999</v>
      </c>
      <c r="H145" s="225">
        <f t="shared" si="2"/>
        <v>74.37</v>
      </c>
    </row>
    <row r="146" spans="1:8" x14ac:dyDescent="0.3">
      <c r="A146" s="400"/>
      <c r="B146" s="709">
        <v>103320</v>
      </c>
      <c r="C146" s="710" t="s">
        <v>583</v>
      </c>
      <c r="D146" s="709" t="s">
        <v>168</v>
      </c>
      <c r="E146" s="716">
        <v>144.66999999999999</v>
      </c>
      <c r="F146" s="717">
        <v>0</v>
      </c>
      <c r="G146">
        <f>VLOOKUP(B146,'SINAPI-%MO'!B:E,4,0)</f>
        <v>0.3569</v>
      </c>
      <c r="H146" s="225">
        <f t="shared" si="2"/>
        <v>93.03</v>
      </c>
    </row>
    <row r="147" spans="1:8" x14ac:dyDescent="0.3">
      <c r="A147" s="400"/>
      <c r="B147" s="709">
        <v>103321</v>
      </c>
      <c r="C147" s="710" t="s">
        <v>584</v>
      </c>
      <c r="D147" s="709" t="s">
        <v>168</v>
      </c>
      <c r="E147" s="716">
        <v>146.59</v>
      </c>
      <c r="F147" s="717">
        <v>0</v>
      </c>
      <c r="G147">
        <f>VLOOKUP(B147,'SINAPI-%MO'!B:E,4,0)</f>
        <v>0.36649999999999999</v>
      </c>
      <c r="H147" s="225">
        <f t="shared" si="2"/>
        <v>92.86</v>
      </c>
    </row>
    <row r="148" spans="1:8" x14ac:dyDescent="0.3">
      <c r="A148" s="400"/>
      <c r="B148" s="709">
        <v>103316</v>
      </c>
      <c r="C148" s="710" t="s">
        <v>585</v>
      </c>
      <c r="D148" s="709" t="s">
        <v>168</v>
      </c>
      <c r="E148" s="716">
        <v>92.93</v>
      </c>
      <c r="F148" s="717">
        <v>0</v>
      </c>
      <c r="G148">
        <f>VLOOKUP(B148,'SINAPI-%MO'!B:E,4,0)</f>
        <v>0.35959999999999998</v>
      </c>
      <c r="H148" s="225">
        <f t="shared" si="2"/>
        <v>59.51</v>
      </c>
    </row>
    <row r="149" spans="1:8" x14ac:dyDescent="0.3">
      <c r="A149" s="400"/>
      <c r="B149" s="709">
        <v>103317</v>
      </c>
      <c r="C149" s="710" t="s">
        <v>586</v>
      </c>
      <c r="D149" s="709" t="s">
        <v>168</v>
      </c>
      <c r="E149" s="716">
        <v>94.23</v>
      </c>
      <c r="F149" s="717">
        <v>0</v>
      </c>
      <c r="G149">
        <f>VLOOKUP(B149,'SINAPI-%MO'!B:E,4,0)</f>
        <v>0.36969999999999997</v>
      </c>
      <c r="H149" s="225">
        <f t="shared" si="2"/>
        <v>59.39</v>
      </c>
    </row>
    <row r="150" spans="1:8" x14ac:dyDescent="0.3">
      <c r="A150" s="400"/>
      <c r="B150" s="709">
        <v>101166</v>
      </c>
      <c r="C150" s="710" t="s">
        <v>587</v>
      </c>
      <c r="D150" s="709" t="s">
        <v>170</v>
      </c>
      <c r="E150" s="716">
        <v>730.58</v>
      </c>
      <c r="F150" s="717">
        <v>0</v>
      </c>
      <c r="G150">
        <f>VLOOKUP(B150,'SINAPI-%MO'!B:E,4,0)</f>
        <v>0.5292</v>
      </c>
      <c r="H150" s="225">
        <f t="shared" si="2"/>
        <v>343.95</v>
      </c>
    </row>
    <row r="151" spans="1:8" x14ac:dyDescent="0.3">
      <c r="A151" s="400"/>
      <c r="B151" s="709">
        <v>101165</v>
      </c>
      <c r="C151" s="710" t="s">
        <v>588</v>
      </c>
      <c r="D151" s="709" t="s">
        <v>170</v>
      </c>
      <c r="E151" s="716">
        <v>1192.8800000000001</v>
      </c>
      <c r="F151" s="717">
        <v>0</v>
      </c>
      <c r="G151">
        <f>VLOOKUP(B151,'SINAPI-%MO'!B:E,4,0)</f>
        <v>0.39489999999999997</v>
      </c>
      <c r="H151" s="225">
        <f t="shared" si="2"/>
        <v>721.81</v>
      </c>
    </row>
    <row r="152" spans="1:8" x14ac:dyDescent="0.3">
      <c r="A152" s="400"/>
      <c r="B152" s="709">
        <v>101163</v>
      </c>
      <c r="C152" s="710" t="s">
        <v>589</v>
      </c>
      <c r="D152" s="709" t="s">
        <v>168</v>
      </c>
      <c r="E152" s="716">
        <v>649.19000000000005</v>
      </c>
      <c r="F152" s="717">
        <v>0</v>
      </c>
      <c r="G152">
        <f>VLOOKUP(B152,'SINAPI-%MO'!B:E,4,0)</f>
        <v>0.28699999999999998</v>
      </c>
      <c r="H152" s="225">
        <f t="shared" si="2"/>
        <v>462.87</v>
      </c>
    </row>
    <row r="153" spans="1:8" x14ac:dyDescent="0.3">
      <c r="A153" s="400"/>
      <c r="B153" s="709">
        <v>101164</v>
      </c>
      <c r="C153" s="710" t="s">
        <v>590</v>
      </c>
      <c r="D153" s="709" t="s">
        <v>168</v>
      </c>
      <c r="E153" s="716">
        <v>659.07</v>
      </c>
      <c r="F153" s="717">
        <v>0</v>
      </c>
      <c r="G153">
        <f>VLOOKUP(B153,'SINAPI-%MO'!B:E,4,0)</f>
        <v>0.2843</v>
      </c>
      <c r="H153" s="225">
        <f t="shared" si="2"/>
        <v>471.69</v>
      </c>
    </row>
    <row r="154" spans="1:8" x14ac:dyDescent="0.3">
      <c r="A154" s="400"/>
      <c r="B154" s="709">
        <v>101162</v>
      </c>
      <c r="C154" s="710" t="s">
        <v>591</v>
      </c>
      <c r="D154" s="709" t="s">
        <v>168</v>
      </c>
      <c r="E154" s="716">
        <v>174.14</v>
      </c>
      <c r="F154" s="717">
        <v>0</v>
      </c>
      <c r="G154">
        <f>VLOOKUP(B154,'SINAPI-%MO'!B:E,4,0)</f>
        <v>0.58009999999999995</v>
      </c>
      <c r="H154" s="225">
        <f t="shared" si="2"/>
        <v>73.12</v>
      </c>
    </row>
    <row r="155" spans="1:8" x14ac:dyDescent="0.3">
      <c r="A155" s="400"/>
      <c r="B155" s="709">
        <v>101161</v>
      </c>
      <c r="C155" s="710" t="s">
        <v>592</v>
      </c>
      <c r="D155" s="709" t="s">
        <v>168</v>
      </c>
      <c r="E155" s="716">
        <v>281.56</v>
      </c>
      <c r="F155" s="717">
        <v>0</v>
      </c>
      <c r="G155">
        <f>VLOOKUP(B155,'SINAPI-%MO'!B:E,4,0)</f>
        <v>0.32640000000000002</v>
      </c>
      <c r="H155" s="225">
        <f t="shared" si="2"/>
        <v>189.65</v>
      </c>
    </row>
    <row r="156" spans="1:8" x14ac:dyDescent="0.3">
      <c r="A156" s="400"/>
      <c r="B156" s="709">
        <v>101160</v>
      </c>
      <c r="C156" s="710" t="s">
        <v>593</v>
      </c>
      <c r="D156" s="709" t="s">
        <v>168</v>
      </c>
      <c r="E156" s="716">
        <v>0</v>
      </c>
      <c r="F156" s="717"/>
      <c r="G156" t="e">
        <f>VLOOKUP(B156,'SINAPI-%MO'!B:E,4,0)</f>
        <v>#N/A</v>
      </c>
      <c r="H156" s="225" t="str">
        <f t="shared" si="2"/>
        <v/>
      </c>
    </row>
    <row r="157" spans="1:8" x14ac:dyDescent="0.3">
      <c r="A157" s="400"/>
      <c r="B157" s="709">
        <v>101159</v>
      </c>
      <c r="C157" s="710" t="s">
        <v>594</v>
      </c>
      <c r="D157" s="709" t="s">
        <v>168</v>
      </c>
      <c r="E157" s="716">
        <v>149.59</v>
      </c>
      <c r="F157" s="717">
        <v>0</v>
      </c>
      <c r="G157">
        <f>VLOOKUP(B157,'SINAPI-%MO'!B:E,4,0)</f>
        <v>0.59840000000000004</v>
      </c>
      <c r="H157" s="225">
        <f t="shared" si="2"/>
        <v>60.07</v>
      </c>
    </row>
    <row r="158" spans="1:8" x14ac:dyDescent="0.3">
      <c r="A158" s="400"/>
      <c r="B158" s="709">
        <v>101154</v>
      </c>
      <c r="C158" s="710" t="s">
        <v>595</v>
      </c>
      <c r="D158" s="709" t="s">
        <v>168</v>
      </c>
      <c r="E158" s="716">
        <v>144.41</v>
      </c>
      <c r="F158" s="717">
        <v>0</v>
      </c>
      <c r="G158">
        <f>VLOOKUP(B158,'SINAPI-%MO'!B:E,4,0)</f>
        <v>0.26129999999999998</v>
      </c>
      <c r="H158" s="225">
        <f t="shared" si="2"/>
        <v>106.67</v>
      </c>
    </row>
    <row r="159" spans="1:8" x14ac:dyDescent="0.3">
      <c r="A159" s="400"/>
      <c r="B159" s="709">
        <v>101155</v>
      </c>
      <c r="C159" s="710" t="s">
        <v>596</v>
      </c>
      <c r="D159" s="709" t="s">
        <v>168</v>
      </c>
      <c r="E159" s="716">
        <v>202.84</v>
      </c>
      <c r="F159" s="717">
        <v>0</v>
      </c>
      <c r="G159">
        <f>VLOOKUP(B159,'SINAPI-%MO'!B:E,4,0)</f>
        <v>0.245</v>
      </c>
      <c r="H159" s="225">
        <f t="shared" si="2"/>
        <v>153.13999999999999</v>
      </c>
    </row>
    <row r="160" spans="1:8" x14ac:dyDescent="0.3">
      <c r="A160" s="400"/>
      <c r="B160" s="709">
        <v>101156</v>
      </c>
      <c r="C160" s="710" t="s">
        <v>597</v>
      </c>
      <c r="D160" s="709" t="s">
        <v>168</v>
      </c>
      <c r="E160" s="716">
        <v>297.45999999999998</v>
      </c>
      <c r="F160" s="717">
        <v>0</v>
      </c>
      <c r="G160">
        <f>VLOOKUP(B160,'SINAPI-%MO'!B:E,4,0)</f>
        <v>0.2248</v>
      </c>
      <c r="H160" s="225">
        <f t="shared" si="2"/>
        <v>230.59</v>
      </c>
    </row>
    <row r="161" spans="1:8" x14ac:dyDescent="0.3">
      <c r="A161" s="400"/>
      <c r="B161" s="709">
        <v>101158</v>
      </c>
      <c r="C161" s="710" t="s">
        <v>598</v>
      </c>
      <c r="D161" s="709" t="s">
        <v>168</v>
      </c>
      <c r="E161" s="716">
        <v>102.02</v>
      </c>
      <c r="F161" s="717">
        <v>0</v>
      </c>
      <c r="G161">
        <f>VLOOKUP(B161,'SINAPI-%MO'!B:E,4,0)</f>
        <v>0.2447</v>
      </c>
      <c r="H161" s="225">
        <f t="shared" si="2"/>
        <v>77.05</v>
      </c>
    </row>
    <row r="162" spans="1:8" x14ac:dyDescent="0.3">
      <c r="A162" s="400"/>
      <c r="B162" s="709">
        <v>101157</v>
      </c>
      <c r="C162" s="710" t="s">
        <v>599</v>
      </c>
      <c r="D162" s="709" t="s">
        <v>168</v>
      </c>
      <c r="E162" s="716">
        <v>77.81</v>
      </c>
      <c r="F162" s="717">
        <v>0</v>
      </c>
      <c r="G162">
        <f>VLOOKUP(B162,'SINAPI-%MO'!B:E,4,0)</f>
        <v>0.27360000000000001</v>
      </c>
      <c r="H162" s="225">
        <f t="shared" si="2"/>
        <v>56.52</v>
      </c>
    </row>
    <row r="163" spans="1:8" x14ac:dyDescent="0.3">
      <c r="A163" s="400"/>
      <c r="B163" s="709">
        <v>107332</v>
      </c>
      <c r="C163" s="710" t="s">
        <v>16334</v>
      </c>
      <c r="D163" s="709" t="s">
        <v>170</v>
      </c>
      <c r="E163" s="716">
        <v>0</v>
      </c>
      <c r="F163" s="717"/>
      <c r="G163" t="e">
        <f>VLOOKUP(B163,'SINAPI-%MO'!B:E,4,0)</f>
        <v>#N/A</v>
      </c>
      <c r="H163" s="225" t="str">
        <f t="shared" si="2"/>
        <v/>
      </c>
    </row>
    <row r="164" spans="1:8" x14ac:dyDescent="0.3">
      <c r="A164" s="400"/>
      <c r="B164" s="709">
        <v>107330</v>
      </c>
      <c r="C164" s="710" t="s">
        <v>16335</v>
      </c>
      <c r="D164" s="709" t="s">
        <v>170</v>
      </c>
      <c r="E164" s="716">
        <v>0</v>
      </c>
      <c r="F164" s="717"/>
      <c r="G164" t="e">
        <f>VLOOKUP(B164,'SINAPI-%MO'!B:E,4,0)</f>
        <v>#N/A</v>
      </c>
      <c r="H164" s="225" t="str">
        <f t="shared" si="2"/>
        <v/>
      </c>
    </row>
    <row r="165" spans="1:8" x14ac:dyDescent="0.3">
      <c r="A165" s="400"/>
      <c r="B165" s="709">
        <v>107331</v>
      </c>
      <c r="C165" s="710" t="s">
        <v>16336</v>
      </c>
      <c r="D165" s="709" t="s">
        <v>170</v>
      </c>
      <c r="E165" s="716">
        <v>0</v>
      </c>
      <c r="F165" s="717"/>
      <c r="G165" t="e">
        <f>VLOOKUP(B165,'SINAPI-%MO'!B:E,4,0)</f>
        <v>#N/A</v>
      </c>
      <c r="H165" s="225" t="str">
        <f t="shared" si="2"/>
        <v/>
      </c>
    </row>
    <row r="166" spans="1:8" x14ac:dyDescent="0.3">
      <c r="A166" s="400"/>
      <c r="B166" s="709">
        <v>87383</v>
      </c>
      <c r="C166" s="710" t="s">
        <v>16047</v>
      </c>
      <c r="D166" s="709" t="s">
        <v>170</v>
      </c>
      <c r="E166" s="716">
        <v>1738.08</v>
      </c>
      <c r="F166" s="717">
        <v>0</v>
      </c>
      <c r="G166">
        <f>VLOOKUP(B166,'SINAPI-%MO'!B:E,4,0)</f>
        <v>6.4799999999999996E-2</v>
      </c>
      <c r="H166" s="225">
        <f t="shared" si="2"/>
        <v>1625.45</v>
      </c>
    </row>
    <row r="167" spans="1:8" x14ac:dyDescent="0.3">
      <c r="A167" s="400"/>
      <c r="B167" s="709">
        <v>87398</v>
      </c>
      <c r="C167" s="710" t="s">
        <v>16048</v>
      </c>
      <c r="D167" s="709" t="s">
        <v>170</v>
      </c>
      <c r="E167" s="716">
        <v>1975.26</v>
      </c>
      <c r="F167" s="717">
        <v>0</v>
      </c>
      <c r="G167">
        <f>VLOOKUP(B167,'SINAPI-%MO'!B:E,4,0)</f>
        <v>0.1676</v>
      </c>
      <c r="H167" s="225">
        <f t="shared" si="2"/>
        <v>1644.2</v>
      </c>
    </row>
    <row r="168" spans="1:8" x14ac:dyDescent="0.3">
      <c r="A168" s="400"/>
      <c r="B168" s="709">
        <v>87396</v>
      </c>
      <c r="C168" s="710" t="s">
        <v>16049</v>
      </c>
      <c r="D168" s="709" t="s">
        <v>170</v>
      </c>
      <c r="E168" s="716">
        <v>3420.86</v>
      </c>
      <c r="F168" s="717">
        <v>0</v>
      </c>
      <c r="G168">
        <f>VLOOKUP(B168,'SINAPI-%MO'!B:E,4,0)</f>
        <v>4.82E-2</v>
      </c>
      <c r="H168" s="225">
        <f t="shared" si="2"/>
        <v>3255.97</v>
      </c>
    </row>
    <row r="169" spans="1:8" x14ac:dyDescent="0.3">
      <c r="A169" s="400"/>
      <c r="B169" s="709">
        <v>87402</v>
      </c>
      <c r="C169" s="710" t="s">
        <v>16050</v>
      </c>
      <c r="D169" s="709" t="s">
        <v>170</v>
      </c>
      <c r="E169" s="716">
        <v>3683.65</v>
      </c>
      <c r="F169" s="717">
        <v>0</v>
      </c>
      <c r="G169">
        <f>VLOOKUP(B169,'SINAPI-%MO'!B:E,4,0)</f>
        <v>0.1172</v>
      </c>
      <c r="H169" s="225">
        <f t="shared" si="2"/>
        <v>3251.92</v>
      </c>
    </row>
    <row r="170" spans="1:8" x14ac:dyDescent="0.3">
      <c r="A170" s="400"/>
      <c r="B170" s="709">
        <v>87393</v>
      </c>
      <c r="C170" s="710" t="s">
        <v>16051</v>
      </c>
      <c r="D170" s="709" t="s">
        <v>170</v>
      </c>
      <c r="E170" s="716">
        <v>5412.04</v>
      </c>
      <c r="F170" s="717">
        <v>0</v>
      </c>
      <c r="G170">
        <f>VLOOKUP(B170,'SINAPI-%MO'!B:E,4,0)</f>
        <v>3.0499999999999999E-2</v>
      </c>
      <c r="H170" s="225">
        <f t="shared" si="2"/>
        <v>5246.97</v>
      </c>
    </row>
    <row r="171" spans="1:8" x14ac:dyDescent="0.3">
      <c r="A171" s="400"/>
      <c r="B171" s="709">
        <v>87401</v>
      </c>
      <c r="C171" s="710" t="s">
        <v>16052</v>
      </c>
      <c r="D171" s="709" t="s">
        <v>170</v>
      </c>
      <c r="E171" s="716">
        <v>5678.65</v>
      </c>
      <c r="F171" s="717">
        <v>0</v>
      </c>
      <c r="G171">
        <f>VLOOKUP(B171,'SINAPI-%MO'!B:E,4,0)</f>
        <v>7.5999999999999998E-2</v>
      </c>
      <c r="H171" s="225">
        <f t="shared" si="2"/>
        <v>5247.07</v>
      </c>
    </row>
    <row r="172" spans="1:8" x14ac:dyDescent="0.3">
      <c r="A172" s="400"/>
      <c r="B172" s="709">
        <v>87407</v>
      </c>
      <c r="C172" s="710" t="s">
        <v>16053</v>
      </c>
      <c r="D172" s="709" t="s">
        <v>170</v>
      </c>
      <c r="E172" s="716">
        <v>1779.34</v>
      </c>
      <c r="F172" s="717">
        <v>0</v>
      </c>
      <c r="G172">
        <f>VLOOKUP(B172,'SINAPI-%MO'!B:E,4,0)</f>
        <v>7.4200000000000002E-2</v>
      </c>
      <c r="H172" s="225">
        <f t="shared" si="2"/>
        <v>1647.31</v>
      </c>
    </row>
    <row r="173" spans="1:8" x14ac:dyDescent="0.3">
      <c r="A173" s="400"/>
      <c r="B173" s="709">
        <v>87404</v>
      </c>
      <c r="C173" s="710" t="s">
        <v>16054</v>
      </c>
      <c r="D173" s="709" t="s">
        <v>170</v>
      </c>
      <c r="E173" s="716">
        <v>4992.6099999999997</v>
      </c>
      <c r="F173" s="717">
        <v>0</v>
      </c>
      <c r="G173">
        <f>VLOOKUP(B173,'SINAPI-%MO'!B:E,4,0)</f>
        <v>3.9199999999999999E-2</v>
      </c>
      <c r="H173" s="225">
        <f t="shared" si="2"/>
        <v>4796.8900000000003</v>
      </c>
    </row>
    <row r="174" spans="1:8" x14ac:dyDescent="0.3">
      <c r="A174" s="400"/>
      <c r="B174" s="709">
        <v>87389</v>
      </c>
      <c r="C174" s="710" t="s">
        <v>16055</v>
      </c>
      <c r="D174" s="709" t="s">
        <v>170</v>
      </c>
      <c r="E174" s="716">
        <v>4821.0200000000004</v>
      </c>
      <c r="F174" s="717">
        <v>0</v>
      </c>
      <c r="G174">
        <f>VLOOKUP(B174,'SINAPI-%MO'!B:E,4,0)</f>
        <v>2.4899999999999999E-2</v>
      </c>
      <c r="H174" s="225">
        <f t="shared" si="2"/>
        <v>4700.97</v>
      </c>
    </row>
    <row r="175" spans="1:8" x14ac:dyDescent="0.3">
      <c r="A175" s="400"/>
      <c r="B175" s="709">
        <v>87386</v>
      </c>
      <c r="C175" s="710" t="s">
        <v>16056</v>
      </c>
      <c r="D175" s="709" t="s">
        <v>170</v>
      </c>
      <c r="E175" s="716">
        <v>2028.54</v>
      </c>
      <c r="F175" s="717">
        <v>0</v>
      </c>
      <c r="G175">
        <f>VLOOKUP(B175,'SINAPI-%MO'!B:E,4,0)</f>
        <v>6.3799999999999996E-2</v>
      </c>
      <c r="H175" s="225">
        <f t="shared" si="2"/>
        <v>1899.11</v>
      </c>
    </row>
    <row r="176" spans="1:8" x14ac:dyDescent="0.3">
      <c r="A176" s="400"/>
      <c r="B176" s="709">
        <v>87399</v>
      </c>
      <c r="C176" s="710" t="s">
        <v>16057</v>
      </c>
      <c r="D176" s="709" t="s">
        <v>170</v>
      </c>
      <c r="E176" s="716">
        <v>2271.23</v>
      </c>
      <c r="F176" s="717">
        <v>0</v>
      </c>
      <c r="G176">
        <f>VLOOKUP(B176,'SINAPI-%MO'!B:E,4,0)</f>
        <v>0.15579999999999999</v>
      </c>
      <c r="H176" s="225">
        <f t="shared" si="2"/>
        <v>1917.37</v>
      </c>
    </row>
    <row r="177" spans="1:8" x14ac:dyDescent="0.3">
      <c r="A177" s="400"/>
      <c r="B177" s="709">
        <v>107324</v>
      </c>
      <c r="C177" s="710" t="s">
        <v>16058</v>
      </c>
      <c r="D177" s="709" t="s">
        <v>170</v>
      </c>
      <c r="E177" s="716">
        <v>923.5</v>
      </c>
      <c r="F177" s="717">
        <v>0</v>
      </c>
      <c r="G177">
        <f>VLOOKUP(B177,'SINAPI-%MO'!B:E,4,0)</f>
        <v>0.36149999999999999</v>
      </c>
      <c r="H177" s="225">
        <f t="shared" si="2"/>
        <v>589.65</v>
      </c>
    </row>
    <row r="178" spans="1:8" x14ac:dyDescent="0.3">
      <c r="A178" s="400"/>
      <c r="B178" s="709">
        <v>107320</v>
      </c>
      <c r="C178" s="710" t="s">
        <v>16337</v>
      </c>
      <c r="D178" s="709" t="s">
        <v>170</v>
      </c>
      <c r="E178" s="716">
        <v>0</v>
      </c>
      <c r="F178" s="717"/>
      <c r="G178" t="e">
        <f>VLOOKUP(B178,'SINAPI-%MO'!B:E,4,0)</f>
        <v>#N/A</v>
      </c>
      <c r="H178" s="225" t="str">
        <f t="shared" si="2"/>
        <v/>
      </c>
    </row>
    <row r="179" spans="1:8" x14ac:dyDescent="0.3">
      <c r="A179" s="400"/>
      <c r="B179" s="709">
        <v>107100</v>
      </c>
      <c r="C179" s="710" t="s">
        <v>16059</v>
      </c>
      <c r="D179" s="709" t="s">
        <v>170</v>
      </c>
      <c r="E179" s="716">
        <v>756.65</v>
      </c>
      <c r="F179" s="717">
        <v>0</v>
      </c>
      <c r="G179">
        <f>VLOOKUP(B179,'SINAPI-%MO'!B:E,4,0)</f>
        <v>0.1966</v>
      </c>
      <c r="H179" s="225">
        <f t="shared" si="2"/>
        <v>607.89</v>
      </c>
    </row>
    <row r="180" spans="1:8" x14ac:dyDescent="0.3">
      <c r="A180" s="400"/>
      <c r="B180" s="709">
        <v>107321</v>
      </c>
      <c r="C180" s="710" t="s">
        <v>16060</v>
      </c>
      <c r="D180" s="709" t="s">
        <v>170</v>
      </c>
      <c r="E180" s="716">
        <v>922</v>
      </c>
      <c r="F180" s="717">
        <v>0</v>
      </c>
      <c r="G180">
        <f>VLOOKUP(B180,'SINAPI-%MO'!B:E,4,0)</f>
        <v>0.35260000000000002</v>
      </c>
      <c r="H180" s="225">
        <f t="shared" si="2"/>
        <v>596.9</v>
      </c>
    </row>
    <row r="181" spans="1:8" x14ac:dyDescent="0.3">
      <c r="A181" s="400"/>
      <c r="B181" s="709">
        <v>107322</v>
      </c>
      <c r="C181" s="710" t="s">
        <v>16061</v>
      </c>
      <c r="D181" s="709" t="s">
        <v>170</v>
      </c>
      <c r="E181" s="716">
        <v>781.66</v>
      </c>
      <c r="F181" s="717">
        <v>0</v>
      </c>
      <c r="G181">
        <f>VLOOKUP(B181,'SINAPI-%MO'!B:E,4,0)</f>
        <v>0.23910000000000001</v>
      </c>
      <c r="H181" s="225">
        <f t="shared" si="2"/>
        <v>594.76</v>
      </c>
    </row>
    <row r="182" spans="1:8" x14ac:dyDescent="0.3">
      <c r="A182" s="400"/>
      <c r="B182" s="709">
        <v>107323</v>
      </c>
      <c r="C182" s="710" t="s">
        <v>16062</v>
      </c>
      <c r="D182" s="709" t="s">
        <v>170</v>
      </c>
      <c r="E182" s="716">
        <v>703.39</v>
      </c>
      <c r="F182" s="717">
        <v>0</v>
      </c>
      <c r="G182">
        <f>VLOOKUP(B182,'SINAPI-%MO'!B:E,4,0)</f>
        <v>0.15379999999999999</v>
      </c>
      <c r="H182" s="225">
        <f t="shared" si="2"/>
        <v>595.20000000000005</v>
      </c>
    </row>
    <row r="183" spans="1:8" x14ac:dyDescent="0.3">
      <c r="A183" s="400"/>
      <c r="B183" s="709">
        <v>88627</v>
      </c>
      <c r="C183" s="710" t="s">
        <v>16063</v>
      </c>
      <c r="D183" s="709" t="s">
        <v>170</v>
      </c>
      <c r="E183" s="716">
        <v>828.03</v>
      </c>
      <c r="F183" s="717">
        <v>0</v>
      </c>
      <c r="G183">
        <f>VLOOKUP(B183,'SINAPI-%MO'!B:E,4,0)</f>
        <v>0.39200000000000002</v>
      </c>
      <c r="H183" s="225">
        <f t="shared" si="2"/>
        <v>503.44</v>
      </c>
    </row>
    <row r="184" spans="1:8" x14ac:dyDescent="0.3">
      <c r="A184" s="400"/>
      <c r="B184" s="709">
        <v>100463</v>
      </c>
      <c r="C184" s="710" t="s">
        <v>16338</v>
      </c>
      <c r="D184" s="709" t="s">
        <v>170</v>
      </c>
      <c r="E184" s="716">
        <v>0</v>
      </c>
      <c r="F184" s="717"/>
      <c r="G184" t="e">
        <f>VLOOKUP(B184,'SINAPI-%MO'!B:E,4,0)</f>
        <v>#N/A</v>
      </c>
      <c r="H184" s="225" t="str">
        <f t="shared" si="2"/>
        <v/>
      </c>
    </row>
    <row r="185" spans="1:8" x14ac:dyDescent="0.3">
      <c r="A185" s="400"/>
      <c r="B185" s="709">
        <v>88626</v>
      </c>
      <c r="C185" s="710" t="s">
        <v>16064</v>
      </c>
      <c r="D185" s="709" t="s">
        <v>170</v>
      </c>
      <c r="E185" s="716">
        <v>677.85</v>
      </c>
      <c r="F185" s="717">
        <v>0</v>
      </c>
      <c r="G185">
        <f>VLOOKUP(B185,'SINAPI-%MO'!B:E,4,0)</f>
        <v>0.23849999999999999</v>
      </c>
      <c r="H185" s="225">
        <f t="shared" si="2"/>
        <v>516.17999999999995</v>
      </c>
    </row>
    <row r="186" spans="1:8" x14ac:dyDescent="0.3">
      <c r="A186" s="400"/>
      <c r="B186" s="709">
        <v>100464</v>
      </c>
      <c r="C186" s="710" t="s">
        <v>16065</v>
      </c>
      <c r="D186" s="709" t="s">
        <v>170</v>
      </c>
      <c r="E186" s="716">
        <v>728.13</v>
      </c>
      <c r="F186" s="717">
        <v>0</v>
      </c>
      <c r="G186">
        <f>VLOOKUP(B186,'SINAPI-%MO'!B:E,4,0)</f>
        <v>0.30520000000000003</v>
      </c>
      <c r="H186" s="225">
        <f t="shared" si="2"/>
        <v>505.9</v>
      </c>
    </row>
    <row r="187" spans="1:8" x14ac:dyDescent="0.3">
      <c r="A187" s="400"/>
      <c r="B187" s="709">
        <v>100465</v>
      </c>
      <c r="C187" s="710" t="s">
        <v>16066</v>
      </c>
      <c r="D187" s="709" t="s">
        <v>170</v>
      </c>
      <c r="E187" s="716">
        <v>662.23</v>
      </c>
      <c r="F187" s="717">
        <v>0</v>
      </c>
      <c r="G187">
        <f>VLOOKUP(B187,'SINAPI-%MO'!B:E,4,0)</f>
        <v>0.23039999999999999</v>
      </c>
      <c r="H187" s="225">
        <f t="shared" si="2"/>
        <v>509.65</v>
      </c>
    </row>
    <row r="188" spans="1:8" x14ac:dyDescent="0.3">
      <c r="A188" s="400"/>
      <c r="B188" s="709">
        <v>100466</v>
      </c>
      <c r="C188" s="710" t="s">
        <v>16067</v>
      </c>
      <c r="D188" s="709" t="s">
        <v>170</v>
      </c>
      <c r="E188" s="716">
        <v>612.21</v>
      </c>
      <c r="F188" s="717">
        <v>0</v>
      </c>
      <c r="G188">
        <f>VLOOKUP(B188,'SINAPI-%MO'!B:E,4,0)</f>
        <v>0.16739999999999999</v>
      </c>
      <c r="H188" s="225">
        <f t="shared" si="2"/>
        <v>509.72</v>
      </c>
    </row>
    <row r="189" spans="1:8" x14ac:dyDescent="0.3">
      <c r="A189" s="400"/>
      <c r="B189" s="709">
        <v>87368</v>
      </c>
      <c r="C189" s="710" t="s">
        <v>16068</v>
      </c>
      <c r="D189" s="709" t="s">
        <v>170</v>
      </c>
      <c r="E189" s="716">
        <v>779.31</v>
      </c>
      <c r="F189" s="717">
        <v>0</v>
      </c>
      <c r="G189">
        <f>VLOOKUP(B189,'SINAPI-%MO'!B:E,4,0)</f>
        <v>0.40960000000000002</v>
      </c>
      <c r="H189" s="225">
        <f t="shared" si="2"/>
        <v>460.1</v>
      </c>
    </row>
    <row r="190" spans="1:8" x14ac:dyDescent="0.3">
      <c r="A190" s="400"/>
      <c r="B190" s="709">
        <v>100450</v>
      </c>
      <c r="C190" s="710" t="s">
        <v>16339</v>
      </c>
      <c r="D190" s="709" t="s">
        <v>170</v>
      </c>
      <c r="E190" s="716">
        <v>0</v>
      </c>
      <c r="F190" s="717"/>
      <c r="G190" t="e">
        <f>VLOOKUP(B190,'SINAPI-%MO'!B:E,4,0)</f>
        <v>#N/A</v>
      </c>
      <c r="H190" s="225" t="str">
        <f t="shared" si="2"/>
        <v/>
      </c>
    </row>
    <row r="191" spans="1:8" x14ac:dyDescent="0.3">
      <c r="A191" s="400"/>
      <c r="B191" s="709">
        <v>87289</v>
      </c>
      <c r="C191" s="710" t="s">
        <v>16069</v>
      </c>
      <c r="D191" s="709" t="s">
        <v>170</v>
      </c>
      <c r="E191" s="716">
        <v>634.75</v>
      </c>
      <c r="F191" s="717">
        <v>0</v>
      </c>
      <c r="G191">
        <f>VLOOKUP(B191,'SINAPI-%MO'!B:E,4,0)</f>
        <v>0.2535</v>
      </c>
      <c r="H191" s="225">
        <f t="shared" si="2"/>
        <v>473.84</v>
      </c>
    </row>
    <row r="192" spans="1:8" x14ac:dyDescent="0.3">
      <c r="A192" s="400"/>
      <c r="B192" s="709">
        <v>87333</v>
      </c>
      <c r="C192" s="710" t="s">
        <v>16070</v>
      </c>
      <c r="D192" s="709" t="s">
        <v>170</v>
      </c>
      <c r="E192" s="716">
        <v>644.14</v>
      </c>
      <c r="F192" s="717">
        <v>0</v>
      </c>
      <c r="G192">
        <f>VLOOKUP(B192,'SINAPI-%MO'!B:E,4,0)</f>
        <v>0.27529999999999999</v>
      </c>
      <c r="H192" s="225">
        <f t="shared" si="2"/>
        <v>466.8</v>
      </c>
    </row>
    <row r="193" spans="1:8" x14ac:dyDescent="0.3">
      <c r="A193" s="400"/>
      <c r="B193" s="709">
        <v>87334</v>
      </c>
      <c r="C193" s="710" t="s">
        <v>16071</v>
      </c>
      <c r="D193" s="709" t="s">
        <v>170</v>
      </c>
      <c r="E193" s="716">
        <v>584.22</v>
      </c>
      <c r="F193" s="717">
        <v>0</v>
      </c>
      <c r="G193">
        <f>VLOOKUP(B193,'SINAPI-%MO'!B:E,4,0)</f>
        <v>0.20219999999999999</v>
      </c>
      <c r="H193" s="225">
        <f t="shared" si="2"/>
        <v>466.09</v>
      </c>
    </row>
    <row r="194" spans="1:8" x14ac:dyDescent="0.3">
      <c r="A194" s="400"/>
      <c r="B194" s="709">
        <v>105515</v>
      </c>
      <c r="C194" s="710" t="s">
        <v>16072</v>
      </c>
      <c r="D194" s="709" t="s">
        <v>170</v>
      </c>
      <c r="E194" s="716">
        <v>911.15</v>
      </c>
      <c r="F194" s="717">
        <v>0</v>
      </c>
      <c r="G194">
        <f>VLOOKUP(B194,'SINAPI-%MO'!B:E,4,0)</f>
        <v>0.14929999999999999</v>
      </c>
      <c r="H194" s="225">
        <f t="shared" si="2"/>
        <v>775.11</v>
      </c>
    </row>
    <row r="195" spans="1:8" x14ac:dyDescent="0.3">
      <c r="A195" s="400"/>
      <c r="B195" s="709">
        <v>87367</v>
      </c>
      <c r="C195" s="710" t="s">
        <v>16073</v>
      </c>
      <c r="D195" s="709" t="s">
        <v>170</v>
      </c>
      <c r="E195" s="716">
        <v>794.61</v>
      </c>
      <c r="F195" s="717">
        <v>0</v>
      </c>
      <c r="G195">
        <f>VLOOKUP(B195,'SINAPI-%MO'!B:E,4,0)</f>
        <v>0.39989999999999998</v>
      </c>
      <c r="H195" s="225">
        <f t="shared" si="2"/>
        <v>476.84</v>
      </c>
    </row>
    <row r="196" spans="1:8" x14ac:dyDescent="0.3">
      <c r="A196" s="400"/>
      <c r="B196" s="709">
        <v>100449</v>
      </c>
      <c r="C196" s="710" t="s">
        <v>16340</v>
      </c>
      <c r="D196" s="709" t="s">
        <v>170</v>
      </c>
      <c r="E196" s="716">
        <v>0</v>
      </c>
      <c r="F196" s="717"/>
      <c r="G196" t="e">
        <f>VLOOKUP(B196,'SINAPI-%MO'!B:E,4,0)</f>
        <v>#N/A</v>
      </c>
      <c r="H196" s="225" t="str">
        <f t="shared" si="2"/>
        <v/>
      </c>
    </row>
    <row r="197" spans="1:8" x14ac:dyDescent="0.3">
      <c r="A197" s="400"/>
      <c r="B197" s="709">
        <v>87286</v>
      </c>
      <c r="C197" s="710" t="s">
        <v>16074</v>
      </c>
      <c r="D197" s="709" t="s">
        <v>170</v>
      </c>
      <c r="E197" s="716">
        <v>656.81</v>
      </c>
      <c r="F197" s="717">
        <v>0</v>
      </c>
      <c r="G197">
        <f>VLOOKUP(B197,'SINAPI-%MO'!B:E,4,0)</f>
        <v>0.25919999999999999</v>
      </c>
      <c r="H197" s="225">
        <f t="shared" si="2"/>
        <v>486.56</v>
      </c>
    </row>
    <row r="198" spans="1:8" x14ac:dyDescent="0.3">
      <c r="A198" s="400"/>
      <c r="B198" s="709">
        <v>87331</v>
      </c>
      <c r="C198" s="710" t="s">
        <v>16075</v>
      </c>
      <c r="D198" s="709" t="s">
        <v>170</v>
      </c>
      <c r="E198" s="716">
        <v>693.6</v>
      </c>
      <c r="F198" s="717">
        <v>0</v>
      </c>
      <c r="G198">
        <f>VLOOKUP(B198,'SINAPI-%MO'!B:E,4,0)</f>
        <v>0.3014</v>
      </c>
      <c r="H198" s="225">
        <f t="shared" si="2"/>
        <v>484.54</v>
      </c>
    </row>
    <row r="199" spans="1:8" x14ac:dyDescent="0.3">
      <c r="A199" s="400"/>
      <c r="B199" s="709">
        <v>87332</v>
      </c>
      <c r="C199" s="710" t="s">
        <v>16076</v>
      </c>
      <c r="D199" s="709" t="s">
        <v>170</v>
      </c>
      <c r="E199" s="716">
        <v>592.99</v>
      </c>
      <c r="F199" s="717">
        <v>0</v>
      </c>
      <c r="G199">
        <f>VLOOKUP(B199,'SINAPI-%MO'!B:E,4,0)</f>
        <v>0.1835</v>
      </c>
      <c r="H199" s="225">
        <f t="shared" si="2"/>
        <v>484.17</v>
      </c>
    </row>
    <row r="200" spans="1:8" x14ac:dyDescent="0.3">
      <c r="A200" s="400"/>
      <c r="B200" s="709">
        <v>87369</v>
      </c>
      <c r="C200" s="710" t="s">
        <v>16077</v>
      </c>
      <c r="D200" s="709" t="s">
        <v>170</v>
      </c>
      <c r="E200" s="716">
        <v>790.73</v>
      </c>
      <c r="F200" s="717">
        <v>0</v>
      </c>
      <c r="G200">
        <f>VLOOKUP(B200,'SINAPI-%MO'!B:E,4,0)</f>
        <v>0.39500000000000002</v>
      </c>
      <c r="H200" s="225">
        <f t="shared" si="2"/>
        <v>478.39</v>
      </c>
    </row>
    <row r="201" spans="1:8" x14ac:dyDescent="0.3">
      <c r="A201" s="400"/>
      <c r="B201" s="709">
        <v>100451</v>
      </c>
      <c r="C201" s="710" t="s">
        <v>16341</v>
      </c>
      <c r="D201" s="709" t="s">
        <v>170</v>
      </c>
      <c r="E201" s="716">
        <v>0</v>
      </c>
      <c r="F201" s="717"/>
      <c r="G201" t="e">
        <f>VLOOKUP(B201,'SINAPI-%MO'!B:E,4,0)</f>
        <v>#N/A</v>
      </c>
      <c r="H201" s="225" t="str">
        <f t="shared" si="2"/>
        <v/>
      </c>
    </row>
    <row r="202" spans="1:8" x14ac:dyDescent="0.3">
      <c r="A202" s="400"/>
      <c r="B202" s="709">
        <v>87292</v>
      </c>
      <c r="C202" s="710" t="s">
        <v>16078</v>
      </c>
      <c r="D202" s="709" t="s">
        <v>170</v>
      </c>
      <c r="E202" s="716">
        <v>641.11</v>
      </c>
      <c r="F202" s="717">
        <v>0</v>
      </c>
      <c r="G202">
        <f>VLOOKUP(B202,'SINAPI-%MO'!B:E,4,0)</f>
        <v>0.23230000000000001</v>
      </c>
      <c r="H202" s="225">
        <f t="shared" si="2"/>
        <v>492.18</v>
      </c>
    </row>
    <row r="203" spans="1:8" x14ac:dyDescent="0.3">
      <c r="A203" s="400"/>
      <c r="B203" s="709">
        <v>87335</v>
      </c>
      <c r="C203" s="710" t="s">
        <v>16079</v>
      </c>
      <c r="D203" s="709" t="s">
        <v>170</v>
      </c>
      <c r="E203" s="716">
        <v>648.16</v>
      </c>
      <c r="F203" s="717">
        <v>0</v>
      </c>
      <c r="G203">
        <f>VLOOKUP(B203,'SINAPI-%MO'!B:E,4,0)</f>
        <v>0.25319999999999998</v>
      </c>
      <c r="H203" s="225">
        <f t="shared" ref="H203:H266" si="3">IF(E203&gt;0,TRUNC(E203*(1-G203),2),"")</f>
        <v>484.04</v>
      </c>
    </row>
    <row r="204" spans="1:8" x14ac:dyDescent="0.3">
      <c r="A204" s="400"/>
      <c r="B204" s="709">
        <v>87336</v>
      </c>
      <c r="C204" s="710" t="s">
        <v>16080</v>
      </c>
      <c r="D204" s="709" t="s">
        <v>170</v>
      </c>
      <c r="E204" s="716">
        <v>596.84</v>
      </c>
      <c r="F204" s="717">
        <v>0</v>
      </c>
      <c r="G204">
        <f>VLOOKUP(B204,'SINAPI-%MO'!B:E,4,0)</f>
        <v>0.1885</v>
      </c>
      <c r="H204" s="225">
        <f t="shared" si="3"/>
        <v>484.33</v>
      </c>
    </row>
    <row r="205" spans="1:8" x14ac:dyDescent="0.3">
      <c r="A205" s="400"/>
      <c r="B205" s="709">
        <v>87370</v>
      </c>
      <c r="C205" s="710" t="s">
        <v>16081</v>
      </c>
      <c r="D205" s="709" t="s">
        <v>170</v>
      </c>
      <c r="E205" s="716">
        <v>764.03</v>
      </c>
      <c r="F205" s="717">
        <v>0</v>
      </c>
      <c r="G205">
        <f>VLOOKUP(B205,'SINAPI-%MO'!B:E,4,0)</f>
        <v>0.4128</v>
      </c>
      <c r="H205" s="225">
        <f t="shared" si="3"/>
        <v>448.63</v>
      </c>
    </row>
    <row r="206" spans="1:8" x14ac:dyDescent="0.3">
      <c r="A206" s="400"/>
      <c r="B206" s="709">
        <v>100452</v>
      </c>
      <c r="C206" s="710" t="s">
        <v>16342</v>
      </c>
      <c r="D206" s="709" t="s">
        <v>170</v>
      </c>
      <c r="E206" s="716">
        <v>0</v>
      </c>
      <c r="F206" s="717"/>
      <c r="G206" t="e">
        <f>VLOOKUP(B206,'SINAPI-%MO'!B:E,4,0)</f>
        <v>#N/A</v>
      </c>
      <c r="H206" s="225" t="str">
        <f t="shared" si="3"/>
        <v/>
      </c>
    </row>
    <row r="207" spans="1:8" x14ac:dyDescent="0.3">
      <c r="A207" s="400"/>
      <c r="B207" s="709">
        <v>88715</v>
      </c>
      <c r="C207" s="710" t="s">
        <v>16082</v>
      </c>
      <c r="D207" s="709" t="s">
        <v>170</v>
      </c>
      <c r="E207" s="716">
        <v>674.99</v>
      </c>
      <c r="F207" s="717">
        <v>0</v>
      </c>
      <c r="G207">
        <f>VLOOKUP(B207,'SINAPI-%MO'!B:E,4,0)</f>
        <v>0.32240000000000002</v>
      </c>
      <c r="H207" s="225">
        <f t="shared" si="3"/>
        <v>457.37</v>
      </c>
    </row>
    <row r="208" spans="1:8" x14ac:dyDescent="0.3">
      <c r="A208" s="400"/>
      <c r="B208" s="709">
        <v>87337</v>
      </c>
      <c r="C208" s="710" t="s">
        <v>16083</v>
      </c>
      <c r="D208" s="709" t="s">
        <v>170</v>
      </c>
      <c r="E208" s="716">
        <v>617.20000000000005</v>
      </c>
      <c r="F208" s="717">
        <v>0</v>
      </c>
      <c r="G208">
        <f>VLOOKUP(B208,'SINAPI-%MO'!B:E,4,0)</f>
        <v>0.26150000000000001</v>
      </c>
      <c r="H208" s="225">
        <f t="shared" si="3"/>
        <v>455.8</v>
      </c>
    </row>
    <row r="209" spans="1:8" x14ac:dyDescent="0.3">
      <c r="A209" s="400"/>
      <c r="B209" s="709">
        <v>100487</v>
      </c>
      <c r="C209" s="710" t="s">
        <v>16084</v>
      </c>
      <c r="D209" s="709" t="s">
        <v>170</v>
      </c>
      <c r="E209" s="716">
        <v>563.46</v>
      </c>
      <c r="F209" s="717">
        <v>0</v>
      </c>
      <c r="G209">
        <f>VLOOKUP(B209,'SINAPI-%MO'!B:E,4,0)</f>
        <v>0.19189999999999999</v>
      </c>
      <c r="H209" s="225">
        <f t="shared" si="3"/>
        <v>455.33</v>
      </c>
    </row>
    <row r="210" spans="1:8" x14ac:dyDescent="0.3">
      <c r="A210" s="400"/>
      <c r="B210" s="709">
        <v>87380</v>
      </c>
      <c r="C210" s="710" t="s">
        <v>16085</v>
      </c>
      <c r="D210" s="709" t="s">
        <v>170</v>
      </c>
      <c r="E210" s="716">
        <v>3828.56</v>
      </c>
      <c r="F210" s="717">
        <v>0</v>
      </c>
      <c r="G210">
        <f>VLOOKUP(B210,'SINAPI-%MO'!B:E,4,0)</f>
        <v>7.9299999999999995E-2</v>
      </c>
      <c r="H210" s="225">
        <f t="shared" si="3"/>
        <v>3524.95</v>
      </c>
    </row>
    <row r="211" spans="1:8" x14ac:dyDescent="0.3">
      <c r="A211" s="400"/>
      <c r="B211" s="709">
        <v>100461</v>
      </c>
      <c r="C211" s="710" t="s">
        <v>16343</v>
      </c>
      <c r="D211" s="709" t="s">
        <v>170</v>
      </c>
      <c r="E211" s="716">
        <v>0</v>
      </c>
      <c r="F211" s="717"/>
      <c r="G211" t="e">
        <f>VLOOKUP(B211,'SINAPI-%MO'!B:E,4,0)</f>
        <v>#N/A</v>
      </c>
      <c r="H211" s="225" t="str">
        <f t="shared" si="3"/>
        <v/>
      </c>
    </row>
    <row r="212" spans="1:8" x14ac:dyDescent="0.3">
      <c r="A212" s="400"/>
      <c r="B212" s="709">
        <v>87322</v>
      </c>
      <c r="C212" s="710" t="s">
        <v>16086</v>
      </c>
      <c r="D212" s="709" t="s">
        <v>170</v>
      </c>
      <c r="E212" s="716">
        <v>3728.14</v>
      </c>
      <c r="F212" s="717">
        <v>0</v>
      </c>
      <c r="G212">
        <f>VLOOKUP(B212,'SINAPI-%MO'!B:E,4,0)</f>
        <v>4.0399999999999998E-2</v>
      </c>
      <c r="H212" s="225">
        <f t="shared" si="3"/>
        <v>3577.52</v>
      </c>
    </row>
    <row r="213" spans="1:8" x14ac:dyDescent="0.3">
      <c r="A213" s="400"/>
      <c r="B213" s="709">
        <v>87360</v>
      </c>
      <c r="C213" s="710" t="s">
        <v>16087</v>
      </c>
      <c r="D213" s="709" t="s">
        <v>170</v>
      </c>
      <c r="E213" s="716">
        <v>3708.84</v>
      </c>
      <c r="F213" s="717">
        <v>0</v>
      </c>
      <c r="G213">
        <f>VLOOKUP(B213,'SINAPI-%MO'!B:E,4,0)</f>
        <v>6.2E-2</v>
      </c>
      <c r="H213" s="225">
        <f t="shared" si="3"/>
        <v>3478.89</v>
      </c>
    </row>
    <row r="214" spans="1:8" x14ac:dyDescent="0.3">
      <c r="A214" s="400"/>
      <c r="B214" s="709">
        <v>87361</v>
      </c>
      <c r="C214" s="710" t="s">
        <v>16088</v>
      </c>
      <c r="D214" s="709" t="s">
        <v>170</v>
      </c>
      <c r="E214" s="716">
        <v>3635.55</v>
      </c>
      <c r="F214" s="717">
        <v>0</v>
      </c>
      <c r="G214">
        <f>VLOOKUP(B214,'SINAPI-%MO'!B:E,4,0)</f>
        <v>3.7900000000000003E-2</v>
      </c>
      <c r="H214" s="225">
        <f t="shared" si="3"/>
        <v>3497.76</v>
      </c>
    </row>
    <row r="215" spans="1:8" x14ac:dyDescent="0.3">
      <c r="A215" s="400"/>
      <c r="B215" s="709">
        <v>87362</v>
      </c>
      <c r="C215" s="710" t="s">
        <v>16089</v>
      </c>
      <c r="D215" s="709" t="s">
        <v>170</v>
      </c>
      <c r="E215" s="716">
        <v>3618.53</v>
      </c>
      <c r="F215" s="717">
        <v>0</v>
      </c>
      <c r="G215">
        <f>VLOOKUP(B215,'SINAPI-%MO'!B:E,4,0)</f>
        <v>2.7E-2</v>
      </c>
      <c r="H215" s="225">
        <f t="shared" si="3"/>
        <v>3520.82</v>
      </c>
    </row>
    <row r="216" spans="1:8" x14ac:dyDescent="0.3">
      <c r="A216" s="400"/>
      <c r="B216" s="709">
        <v>87377</v>
      </c>
      <c r="C216" s="710" t="s">
        <v>16090</v>
      </c>
      <c r="D216" s="709" t="s">
        <v>170</v>
      </c>
      <c r="E216" s="716">
        <v>805.13</v>
      </c>
      <c r="F216" s="717">
        <v>0</v>
      </c>
      <c r="G216">
        <f>VLOOKUP(B216,'SINAPI-%MO'!B:E,4,0)</f>
        <v>0.38319999999999999</v>
      </c>
      <c r="H216" s="225">
        <f t="shared" si="3"/>
        <v>496.6</v>
      </c>
    </row>
    <row r="217" spans="1:8" x14ac:dyDescent="0.3">
      <c r="A217" s="400"/>
      <c r="B217" s="709">
        <v>100458</v>
      </c>
      <c r="C217" s="710" t="s">
        <v>16344</v>
      </c>
      <c r="D217" s="709" t="s">
        <v>170</v>
      </c>
      <c r="E217" s="716">
        <v>0</v>
      </c>
      <c r="F217" s="717"/>
      <c r="G217" t="e">
        <f>VLOOKUP(B217,'SINAPI-%MO'!B:E,4,0)</f>
        <v>#N/A</v>
      </c>
      <c r="H217" s="225" t="str">
        <f t="shared" si="3"/>
        <v/>
      </c>
    </row>
    <row r="218" spans="1:8" x14ac:dyDescent="0.3">
      <c r="A218" s="400"/>
      <c r="B218" s="709">
        <v>87313</v>
      </c>
      <c r="C218" s="710" t="s">
        <v>16091</v>
      </c>
      <c r="D218" s="709" t="s">
        <v>170</v>
      </c>
      <c r="E218" s="716">
        <v>647.5</v>
      </c>
      <c r="F218" s="717">
        <v>0</v>
      </c>
      <c r="G218">
        <f>VLOOKUP(B218,'SINAPI-%MO'!B:E,4,0)</f>
        <v>0.2185</v>
      </c>
      <c r="H218" s="225">
        <f t="shared" si="3"/>
        <v>506.02</v>
      </c>
    </row>
    <row r="219" spans="1:8" x14ac:dyDescent="0.3">
      <c r="A219" s="400"/>
      <c r="B219" s="709">
        <v>87352</v>
      </c>
      <c r="C219" s="710" t="s">
        <v>16092</v>
      </c>
      <c r="D219" s="709" t="s">
        <v>170</v>
      </c>
      <c r="E219" s="716">
        <v>769.4</v>
      </c>
      <c r="F219" s="717">
        <v>0</v>
      </c>
      <c r="G219">
        <f>VLOOKUP(B219,'SINAPI-%MO'!B:E,4,0)</f>
        <v>0.34910000000000002</v>
      </c>
      <c r="H219" s="225">
        <f t="shared" si="3"/>
        <v>500.8</v>
      </c>
    </row>
    <row r="220" spans="1:8" x14ac:dyDescent="0.3">
      <c r="A220" s="400"/>
      <c r="B220" s="709">
        <v>87353</v>
      </c>
      <c r="C220" s="710" t="s">
        <v>16093</v>
      </c>
      <c r="D220" s="709" t="s">
        <v>170</v>
      </c>
      <c r="E220" s="716">
        <v>656.05</v>
      </c>
      <c r="F220" s="717">
        <v>0</v>
      </c>
      <c r="G220">
        <f>VLOOKUP(B220,'SINAPI-%MO'!B:E,4,0)</f>
        <v>0.23910000000000001</v>
      </c>
      <c r="H220" s="225">
        <f t="shared" si="3"/>
        <v>499.18</v>
      </c>
    </row>
    <row r="221" spans="1:8" x14ac:dyDescent="0.3">
      <c r="A221" s="400"/>
      <c r="B221" s="709">
        <v>87354</v>
      </c>
      <c r="C221" s="710" t="s">
        <v>16094</v>
      </c>
      <c r="D221" s="709" t="s">
        <v>170</v>
      </c>
      <c r="E221" s="716">
        <v>600.96</v>
      </c>
      <c r="F221" s="717">
        <v>0</v>
      </c>
      <c r="G221">
        <f>VLOOKUP(B221,'SINAPI-%MO'!B:E,4,0)</f>
        <v>0.16520000000000001</v>
      </c>
      <c r="H221" s="225">
        <f t="shared" si="3"/>
        <v>501.68</v>
      </c>
    </row>
    <row r="222" spans="1:8" x14ac:dyDescent="0.3">
      <c r="A222" s="400"/>
      <c r="B222" s="709">
        <v>100480</v>
      </c>
      <c r="C222" s="710" t="s">
        <v>16095</v>
      </c>
      <c r="D222" s="709" t="s">
        <v>170</v>
      </c>
      <c r="E222" s="716">
        <v>1025.78</v>
      </c>
      <c r="F222" s="717">
        <v>0</v>
      </c>
      <c r="G222">
        <f>VLOOKUP(B222,'SINAPI-%MO'!B:E,4,0)</f>
        <v>0.32240000000000002</v>
      </c>
      <c r="H222" s="225">
        <f t="shared" si="3"/>
        <v>695.06</v>
      </c>
    </row>
    <row r="223" spans="1:8" x14ac:dyDescent="0.3">
      <c r="A223" s="400"/>
      <c r="B223" s="709">
        <v>100476</v>
      </c>
      <c r="C223" s="710" t="s">
        <v>16345</v>
      </c>
      <c r="D223" s="709" t="s">
        <v>170</v>
      </c>
      <c r="E223" s="716">
        <v>0</v>
      </c>
      <c r="F223" s="717"/>
      <c r="G223" t="e">
        <f>VLOOKUP(B223,'SINAPI-%MO'!B:E,4,0)</f>
        <v>#N/A</v>
      </c>
      <c r="H223" s="225" t="str">
        <f t="shared" si="3"/>
        <v/>
      </c>
    </row>
    <row r="224" spans="1:8" x14ac:dyDescent="0.3">
      <c r="A224" s="400"/>
      <c r="B224" s="709">
        <v>100475</v>
      </c>
      <c r="C224" s="710" t="s">
        <v>16096</v>
      </c>
      <c r="D224" s="709" t="s">
        <v>170</v>
      </c>
      <c r="E224" s="716">
        <v>877.84</v>
      </c>
      <c r="F224" s="717">
        <v>0</v>
      </c>
      <c r="G224">
        <f>VLOOKUP(B224,'SINAPI-%MO'!B:E,4,0)</f>
        <v>0.18179999999999999</v>
      </c>
      <c r="H224" s="225">
        <f t="shared" si="3"/>
        <v>718.24</v>
      </c>
    </row>
    <row r="225" spans="1:8" x14ac:dyDescent="0.3">
      <c r="A225" s="400"/>
      <c r="B225" s="709">
        <v>100477</v>
      </c>
      <c r="C225" s="710" t="s">
        <v>16097</v>
      </c>
      <c r="D225" s="709" t="s">
        <v>170</v>
      </c>
      <c r="E225" s="716">
        <v>1013.95</v>
      </c>
      <c r="F225" s="717">
        <v>0</v>
      </c>
      <c r="G225">
        <f>VLOOKUP(B225,'SINAPI-%MO'!B:E,4,0)</f>
        <v>0.31080000000000002</v>
      </c>
      <c r="H225" s="225">
        <f t="shared" si="3"/>
        <v>698.81</v>
      </c>
    </row>
    <row r="226" spans="1:8" x14ac:dyDescent="0.3">
      <c r="A226" s="400"/>
      <c r="B226" s="709">
        <v>100478</v>
      </c>
      <c r="C226" s="710" t="s">
        <v>16098</v>
      </c>
      <c r="D226" s="709" t="s">
        <v>170</v>
      </c>
      <c r="E226" s="716">
        <v>857.97</v>
      </c>
      <c r="F226" s="717">
        <v>0</v>
      </c>
      <c r="G226">
        <f>VLOOKUP(B226,'SINAPI-%MO'!B:E,4,0)</f>
        <v>0.18129999999999999</v>
      </c>
      <c r="H226" s="225">
        <f t="shared" si="3"/>
        <v>702.42</v>
      </c>
    </row>
    <row r="227" spans="1:8" x14ac:dyDescent="0.3">
      <c r="A227" s="400"/>
      <c r="B227" s="709">
        <v>100479</v>
      </c>
      <c r="C227" s="710" t="s">
        <v>16099</v>
      </c>
      <c r="D227" s="709" t="s">
        <v>170</v>
      </c>
      <c r="E227" s="716">
        <v>814.84</v>
      </c>
      <c r="F227" s="717">
        <v>0</v>
      </c>
      <c r="G227">
        <f>VLOOKUP(B227,'SINAPI-%MO'!B:E,4,0)</f>
        <v>0.13469999999999999</v>
      </c>
      <c r="H227" s="225">
        <f t="shared" si="3"/>
        <v>705.08</v>
      </c>
    </row>
    <row r="228" spans="1:8" x14ac:dyDescent="0.3">
      <c r="A228" s="400"/>
      <c r="B228" s="709">
        <v>107329</v>
      </c>
      <c r="C228" s="710" t="s">
        <v>16100</v>
      </c>
      <c r="D228" s="709" t="s">
        <v>170</v>
      </c>
      <c r="E228" s="716">
        <v>892.59</v>
      </c>
      <c r="F228" s="717">
        <v>0</v>
      </c>
      <c r="G228">
        <f>VLOOKUP(B228,'SINAPI-%MO'!B:E,4,0)</f>
        <v>0.36330000000000001</v>
      </c>
      <c r="H228" s="225">
        <f t="shared" si="3"/>
        <v>568.30999999999995</v>
      </c>
    </row>
    <row r="229" spans="1:8" x14ac:dyDescent="0.3">
      <c r="A229" s="400"/>
      <c r="B229" s="709">
        <v>107325</v>
      </c>
      <c r="C229" s="710" t="s">
        <v>16346</v>
      </c>
      <c r="D229" s="709" t="s">
        <v>170</v>
      </c>
      <c r="E229" s="716">
        <v>0</v>
      </c>
      <c r="F229" s="717"/>
      <c r="G229" t="e">
        <f>VLOOKUP(B229,'SINAPI-%MO'!B:E,4,0)</f>
        <v>#N/A</v>
      </c>
      <c r="H229" s="225" t="str">
        <f t="shared" si="3"/>
        <v/>
      </c>
    </row>
    <row r="230" spans="1:8" x14ac:dyDescent="0.3">
      <c r="A230" s="400"/>
      <c r="B230" s="709">
        <v>107101</v>
      </c>
      <c r="C230" s="710" t="s">
        <v>16101</v>
      </c>
      <c r="D230" s="709" t="s">
        <v>170</v>
      </c>
      <c r="E230" s="716">
        <v>731.5</v>
      </c>
      <c r="F230" s="717">
        <v>0</v>
      </c>
      <c r="G230">
        <f>VLOOKUP(B230,'SINAPI-%MO'!B:E,4,0)</f>
        <v>0.20119999999999999</v>
      </c>
      <c r="H230" s="225">
        <f t="shared" si="3"/>
        <v>584.32000000000005</v>
      </c>
    </row>
    <row r="231" spans="1:8" x14ac:dyDescent="0.3">
      <c r="A231" s="400"/>
      <c r="B231" s="709">
        <v>107326</v>
      </c>
      <c r="C231" s="710" t="s">
        <v>16102</v>
      </c>
      <c r="D231" s="709" t="s">
        <v>170</v>
      </c>
      <c r="E231" s="716">
        <v>889.45</v>
      </c>
      <c r="F231" s="717">
        <v>0</v>
      </c>
      <c r="G231">
        <f>VLOOKUP(B231,'SINAPI-%MO'!B:E,4,0)</f>
        <v>0.3543</v>
      </c>
      <c r="H231" s="225">
        <f t="shared" si="3"/>
        <v>574.30999999999995</v>
      </c>
    </row>
    <row r="232" spans="1:8" x14ac:dyDescent="0.3">
      <c r="A232" s="400"/>
      <c r="B232" s="709">
        <v>107327</v>
      </c>
      <c r="C232" s="710" t="s">
        <v>16103</v>
      </c>
      <c r="D232" s="709" t="s">
        <v>170</v>
      </c>
      <c r="E232" s="716">
        <v>718.99</v>
      </c>
      <c r="F232" s="717">
        <v>0</v>
      </c>
      <c r="G232">
        <f>VLOOKUP(B232,'SINAPI-%MO'!B:E,4,0)</f>
        <v>0.20200000000000001</v>
      </c>
      <c r="H232" s="225">
        <f t="shared" si="3"/>
        <v>573.75</v>
      </c>
    </row>
    <row r="233" spans="1:8" x14ac:dyDescent="0.3">
      <c r="A233" s="400"/>
      <c r="B233" s="709">
        <v>107328</v>
      </c>
      <c r="C233" s="710" t="s">
        <v>16104</v>
      </c>
      <c r="D233" s="709" t="s">
        <v>170</v>
      </c>
      <c r="E233" s="716">
        <v>671.64</v>
      </c>
      <c r="F233" s="717">
        <v>0</v>
      </c>
      <c r="G233">
        <f>VLOOKUP(B233,'SINAPI-%MO'!B:E,4,0)</f>
        <v>0.14510000000000001</v>
      </c>
      <c r="H233" s="225">
        <f t="shared" si="3"/>
        <v>574.17999999999995</v>
      </c>
    </row>
    <row r="234" spans="1:8" x14ac:dyDescent="0.3">
      <c r="A234" s="400"/>
      <c r="B234" s="709">
        <v>87372</v>
      </c>
      <c r="C234" s="710" t="s">
        <v>16105</v>
      </c>
      <c r="D234" s="709" t="s">
        <v>170</v>
      </c>
      <c r="E234" s="716">
        <v>988.46</v>
      </c>
      <c r="F234" s="717">
        <v>0</v>
      </c>
      <c r="G234">
        <f>VLOOKUP(B234,'SINAPI-%MO'!B:E,4,0)</f>
        <v>0.33160000000000001</v>
      </c>
      <c r="H234" s="225">
        <f t="shared" si="3"/>
        <v>660.68</v>
      </c>
    </row>
    <row r="235" spans="1:8" x14ac:dyDescent="0.3">
      <c r="A235" s="400"/>
      <c r="B235" s="709">
        <v>100453</v>
      </c>
      <c r="C235" s="710" t="s">
        <v>16347</v>
      </c>
      <c r="D235" s="709" t="s">
        <v>170</v>
      </c>
      <c r="E235" s="716">
        <v>0</v>
      </c>
      <c r="F235" s="717"/>
      <c r="G235" t="e">
        <f>VLOOKUP(B235,'SINAPI-%MO'!B:E,4,0)</f>
        <v>#N/A</v>
      </c>
      <c r="H235" s="225" t="str">
        <f t="shared" si="3"/>
        <v/>
      </c>
    </row>
    <row r="236" spans="1:8" x14ac:dyDescent="0.3">
      <c r="A236" s="400"/>
      <c r="B236" s="709">
        <v>87298</v>
      </c>
      <c r="C236" s="710" t="s">
        <v>16106</v>
      </c>
      <c r="D236" s="709" t="s">
        <v>170</v>
      </c>
      <c r="E236" s="716">
        <v>820.19</v>
      </c>
      <c r="F236" s="717">
        <v>0</v>
      </c>
      <c r="G236">
        <f>VLOOKUP(B236,'SINAPI-%MO'!B:E,4,0)</f>
        <v>0.1741</v>
      </c>
      <c r="H236" s="225">
        <f t="shared" si="3"/>
        <v>677.39</v>
      </c>
    </row>
    <row r="237" spans="1:8" x14ac:dyDescent="0.3">
      <c r="A237" s="400"/>
      <c r="B237" s="709">
        <v>87339</v>
      </c>
      <c r="C237" s="710" t="s">
        <v>16107</v>
      </c>
      <c r="D237" s="709" t="s">
        <v>170</v>
      </c>
      <c r="E237" s="716">
        <v>1003.95</v>
      </c>
      <c r="F237" s="717">
        <v>0</v>
      </c>
      <c r="G237">
        <f>VLOOKUP(B237,'SINAPI-%MO'!B:E,4,0)</f>
        <v>0.33829999999999999</v>
      </c>
      <c r="H237" s="225">
        <f t="shared" si="3"/>
        <v>664.31</v>
      </c>
    </row>
    <row r="238" spans="1:8" x14ac:dyDescent="0.3">
      <c r="A238" s="400"/>
      <c r="B238" s="709">
        <v>87340</v>
      </c>
      <c r="C238" s="710" t="s">
        <v>16108</v>
      </c>
      <c r="D238" s="709" t="s">
        <v>170</v>
      </c>
      <c r="E238" s="716">
        <v>818.27</v>
      </c>
      <c r="F238" s="717">
        <v>0</v>
      </c>
      <c r="G238">
        <f>VLOOKUP(B238,'SINAPI-%MO'!B:E,4,0)</f>
        <v>0.1895</v>
      </c>
      <c r="H238" s="225">
        <f t="shared" si="3"/>
        <v>663.2</v>
      </c>
    </row>
    <row r="239" spans="1:8" x14ac:dyDescent="0.3">
      <c r="A239" s="400"/>
      <c r="B239" s="709">
        <v>87341</v>
      </c>
      <c r="C239" s="710" t="s">
        <v>16109</v>
      </c>
      <c r="D239" s="709" t="s">
        <v>170</v>
      </c>
      <c r="E239" s="716">
        <v>769.08</v>
      </c>
      <c r="F239" s="717">
        <v>0</v>
      </c>
      <c r="G239">
        <f>VLOOKUP(B239,'SINAPI-%MO'!B:E,4,0)</f>
        <v>0.1363</v>
      </c>
      <c r="H239" s="225">
        <f t="shared" si="3"/>
        <v>664.25</v>
      </c>
    </row>
    <row r="240" spans="1:8" x14ac:dyDescent="0.3">
      <c r="A240" s="400"/>
      <c r="B240" s="709">
        <v>88629</v>
      </c>
      <c r="C240" s="710" t="s">
        <v>16110</v>
      </c>
      <c r="D240" s="709" t="s">
        <v>170</v>
      </c>
      <c r="E240" s="716">
        <v>870.38</v>
      </c>
      <c r="F240" s="717">
        <v>0</v>
      </c>
      <c r="G240">
        <f>VLOOKUP(B240,'SINAPI-%MO'!B:E,4,0)</f>
        <v>0.36520000000000002</v>
      </c>
      <c r="H240" s="225">
        <f t="shared" si="3"/>
        <v>552.51</v>
      </c>
    </row>
    <row r="241" spans="1:8" x14ac:dyDescent="0.3">
      <c r="A241" s="400"/>
      <c r="B241" s="709">
        <v>100467</v>
      </c>
      <c r="C241" s="710" t="s">
        <v>16348</v>
      </c>
      <c r="D241" s="709" t="s">
        <v>170</v>
      </c>
      <c r="E241" s="716">
        <v>0</v>
      </c>
      <c r="F241" s="717"/>
      <c r="G241" t="e">
        <f>VLOOKUP(B241,'SINAPI-%MO'!B:E,4,0)</f>
        <v>#N/A</v>
      </c>
      <c r="H241" s="225" t="str">
        <f t="shared" si="3"/>
        <v/>
      </c>
    </row>
    <row r="242" spans="1:8" x14ac:dyDescent="0.3">
      <c r="A242" s="400"/>
      <c r="B242" s="709">
        <v>88628</v>
      </c>
      <c r="C242" s="710" t="s">
        <v>16111</v>
      </c>
      <c r="D242" s="709" t="s">
        <v>170</v>
      </c>
      <c r="E242" s="716">
        <v>711.37</v>
      </c>
      <c r="F242" s="717">
        <v>0</v>
      </c>
      <c r="G242">
        <f>VLOOKUP(B242,'SINAPI-%MO'!B:E,4,0)</f>
        <v>0.20250000000000001</v>
      </c>
      <c r="H242" s="225">
        <f t="shared" si="3"/>
        <v>567.30999999999995</v>
      </c>
    </row>
    <row r="243" spans="1:8" x14ac:dyDescent="0.3">
      <c r="A243" s="400"/>
      <c r="B243" s="709">
        <v>100468</v>
      </c>
      <c r="C243" s="710" t="s">
        <v>16112</v>
      </c>
      <c r="D243" s="709" t="s">
        <v>170</v>
      </c>
      <c r="E243" s="716">
        <v>856.79</v>
      </c>
      <c r="F243" s="717">
        <v>0</v>
      </c>
      <c r="G243">
        <f>VLOOKUP(B243,'SINAPI-%MO'!B:E,4,0)</f>
        <v>0.34970000000000001</v>
      </c>
      <c r="H243" s="225">
        <f t="shared" si="3"/>
        <v>557.16999999999996</v>
      </c>
    </row>
    <row r="244" spans="1:8" x14ac:dyDescent="0.3">
      <c r="A244" s="400"/>
      <c r="B244" s="709">
        <v>100469</v>
      </c>
      <c r="C244" s="710" t="s">
        <v>16113</v>
      </c>
      <c r="D244" s="709" t="s">
        <v>170</v>
      </c>
      <c r="E244" s="716">
        <v>697</v>
      </c>
      <c r="F244" s="717">
        <v>0</v>
      </c>
      <c r="G244">
        <f>VLOOKUP(B244,'SINAPI-%MO'!B:E,4,0)</f>
        <v>0.2009</v>
      </c>
      <c r="H244" s="225">
        <f t="shared" si="3"/>
        <v>556.97</v>
      </c>
    </row>
    <row r="245" spans="1:8" x14ac:dyDescent="0.3">
      <c r="A245" s="400"/>
      <c r="B245" s="709">
        <v>100470</v>
      </c>
      <c r="C245" s="710" t="s">
        <v>16114</v>
      </c>
      <c r="D245" s="709" t="s">
        <v>170</v>
      </c>
      <c r="E245" s="716">
        <v>652.73</v>
      </c>
      <c r="F245" s="717">
        <v>0</v>
      </c>
      <c r="G245">
        <f>VLOOKUP(B245,'SINAPI-%MO'!B:E,4,0)</f>
        <v>0.14560000000000001</v>
      </c>
      <c r="H245" s="225">
        <f t="shared" si="3"/>
        <v>557.69000000000005</v>
      </c>
    </row>
    <row r="246" spans="1:8" x14ac:dyDescent="0.3">
      <c r="A246" s="400"/>
      <c r="B246" s="709">
        <v>87371</v>
      </c>
      <c r="C246" s="710" t="s">
        <v>16115</v>
      </c>
      <c r="D246" s="709" t="s">
        <v>170</v>
      </c>
      <c r="E246" s="716">
        <v>740.03</v>
      </c>
      <c r="F246" s="717">
        <v>0</v>
      </c>
      <c r="G246">
        <f>VLOOKUP(B246,'SINAPI-%MO'!B:E,4,0)</f>
        <v>0.41360000000000002</v>
      </c>
      <c r="H246" s="225">
        <f t="shared" si="3"/>
        <v>433.95</v>
      </c>
    </row>
    <row r="247" spans="1:8" x14ac:dyDescent="0.3">
      <c r="A247" s="400"/>
      <c r="B247" s="709">
        <v>87295</v>
      </c>
      <c r="C247" s="710" t="s">
        <v>16116</v>
      </c>
      <c r="D247" s="709" t="s">
        <v>170</v>
      </c>
      <c r="E247" s="716">
        <v>626.26</v>
      </c>
      <c r="F247" s="717">
        <v>0</v>
      </c>
      <c r="G247">
        <f>VLOOKUP(B247,'SINAPI-%MO'!B:E,4,0)</f>
        <v>0.29089999999999999</v>
      </c>
      <c r="H247" s="225">
        <f t="shared" si="3"/>
        <v>444.08</v>
      </c>
    </row>
    <row r="248" spans="1:8" x14ac:dyDescent="0.3">
      <c r="A248" s="400"/>
      <c r="B248" s="709">
        <v>87338</v>
      </c>
      <c r="C248" s="710" t="s">
        <v>16117</v>
      </c>
      <c r="D248" s="709" t="s">
        <v>170</v>
      </c>
      <c r="E248" s="716">
        <v>579.03</v>
      </c>
      <c r="F248" s="717">
        <v>0</v>
      </c>
      <c r="G248">
        <f>VLOOKUP(B248,'SINAPI-%MO'!B:E,4,0)</f>
        <v>0.2397</v>
      </c>
      <c r="H248" s="225">
        <f t="shared" si="3"/>
        <v>440.23</v>
      </c>
    </row>
    <row r="249" spans="1:8" x14ac:dyDescent="0.3">
      <c r="A249" s="400"/>
      <c r="B249" s="709">
        <v>88630</v>
      </c>
      <c r="C249" s="710" t="s">
        <v>16118</v>
      </c>
      <c r="D249" s="709" t="s">
        <v>170</v>
      </c>
      <c r="E249" s="716">
        <v>623.65</v>
      </c>
      <c r="F249" s="717">
        <v>0</v>
      </c>
      <c r="G249">
        <f>VLOOKUP(B249,'SINAPI-%MO'!B:E,4,0)</f>
        <v>0.2218</v>
      </c>
      <c r="H249" s="225">
        <f t="shared" si="3"/>
        <v>485.32</v>
      </c>
    </row>
    <row r="250" spans="1:8" x14ac:dyDescent="0.3">
      <c r="A250" s="400"/>
      <c r="B250" s="709">
        <v>87381</v>
      </c>
      <c r="C250" s="710" t="s">
        <v>16119</v>
      </c>
      <c r="D250" s="709" t="s">
        <v>170</v>
      </c>
      <c r="E250" s="716">
        <v>3751.68</v>
      </c>
      <c r="F250" s="717">
        <v>0</v>
      </c>
      <c r="G250">
        <f>VLOOKUP(B250,'SINAPI-%MO'!B:E,4,0)</f>
        <v>7.8E-2</v>
      </c>
      <c r="H250" s="225">
        <f t="shared" si="3"/>
        <v>3459.04</v>
      </c>
    </row>
    <row r="251" spans="1:8" x14ac:dyDescent="0.3">
      <c r="A251" s="400"/>
      <c r="B251" s="709">
        <v>100462</v>
      </c>
      <c r="C251" s="710" t="s">
        <v>16349</v>
      </c>
      <c r="D251" s="709" t="s">
        <v>170</v>
      </c>
      <c r="E251" s="716">
        <v>0</v>
      </c>
      <c r="F251" s="717"/>
      <c r="G251" t="e">
        <f>VLOOKUP(B251,'SINAPI-%MO'!B:E,4,0)</f>
        <v>#N/A</v>
      </c>
      <c r="H251" s="225" t="str">
        <f t="shared" si="3"/>
        <v/>
      </c>
    </row>
    <row r="252" spans="1:8" x14ac:dyDescent="0.3">
      <c r="A252" s="400"/>
      <c r="B252" s="709">
        <v>87325</v>
      </c>
      <c r="C252" s="710" t="s">
        <v>16120</v>
      </c>
      <c r="D252" s="709" t="s">
        <v>170</v>
      </c>
      <c r="E252" s="716">
        <v>3636.77</v>
      </c>
      <c r="F252" s="717">
        <v>0</v>
      </c>
      <c r="G252">
        <f>VLOOKUP(B252,'SINAPI-%MO'!B:E,4,0)</f>
        <v>4.2900000000000001E-2</v>
      </c>
      <c r="H252" s="225">
        <f t="shared" si="3"/>
        <v>3480.75</v>
      </c>
    </row>
    <row r="253" spans="1:8" x14ac:dyDescent="0.3">
      <c r="A253" s="400"/>
      <c r="B253" s="709">
        <v>87363</v>
      </c>
      <c r="C253" s="710" t="s">
        <v>16121</v>
      </c>
      <c r="D253" s="709" t="s">
        <v>170</v>
      </c>
      <c r="E253" s="716">
        <v>3616.22</v>
      </c>
      <c r="F253" s="717">
        <v>0</v>
      </c>
      <c r="G253">
        <f>VLOOKUP(B253,'SINAPI-%MO'!B:E,4,0)</f>
        <v>5.3999999999999999E-2</v>
      </c>
      <c r="H253" s="225">
        <f t="shared" si="3"/>
        <v>3420.94</v>
      </c>
    </row>
    <row r="254" spans="1:8" x14ac:dyDescent="0.3">
      <c r="A254" s="400"/>
      <c r="B254" s="709">
        <v>87364</v>
      </c>
      <c r="C254" s="710" t="s">
        <v>16122</v>
      </c>
      <c r="D254" s="709" t="s">
        <v>170</v>
      </c>
      <c r="E254" s="716">
        <v>3554.3</v>
      </c>
      <c r="F254" s="717">
        <v>0</v>
      </c>
      <c r="G254">
        <f>VLOOKUP(B254,'SINAPI-%MO'!B:E,4,0)</f>
        <v>2.87E-2</v>
      </c>
      <c r="H254" s="225">
        <f t="shared" si="3"/>
        <v>3452.29</v>
      </c>
    </row>
    <row r="255" spans="1:8" x14ac:dyDescent="0.3">
      <c r="A255" s="400"/>
      <c r="B255" s="709">
        <v>87378</v>
      </c>
      <c r="C255" s="710" t="s">
        <v>16123</v>
      </c>
      <c r="D255" s="709" t="s">
        <v>170</v>
      </c>
      <c r="E255" s="716">
        <v>722.97</v>
      </c>
      <c r="F255" s="717">
        <v>0</v>
      </c>
      <c r="G255">
        <f>VLOOKUP(B255,'SINAPI-%MO'!B:E,4,0)</f>
        <v>0.41139999999999999</v>
      </c>
      <c r="H255" s="225">
        <f t="shared" si="3"/>
        <v>425.54</v>
      </c>
    </row>
    <row r="256" spans="1:8" x14ac:dyDescent="0.3">
      <c r="A256" s="400"/>
      <c r="B256" s="709">
        <v>100459</v>
      </c>
      <c r="C256" s="710" t="s">
        <v>16350</v>
      </c>
      <c r="D256" s="709" t="s">
        <v>170</v>
      </c>
      <c r="E256" s="716">
        <v>0</v>
      </c>
      <c r="F256" s="717"/>
      <c r="G256" t="e">
        <f>VLOOKUP(B256,'SINAPI-%MO'!B:E,4,0)</f>
        <v>#N/A</v>
      </c>
      <c r="H256" s="225" t="str">
        <f t="shared" si="3"/>
        <v/>
      </c>
    </row>
    <row r="257" spans="1:8" x14ac:dyDescent="0.3">
      <c r="A257" s="400"/>
      <c r="B257" s="709">
        <v>87316</v>
      </c>
      <c r="C257" s="710" t="s">
        <v>16124</v>
      </c>
      <c r="D257" s="709" t="s">
        <v>170</v>
      </c>
      <c r="E257" s="716">
        <v>586.28</v>
      </c>
      <c r="F257" s="717">
        <v>0</v>
      </c>
      <c r="G257">
        <f>VLOOKUP(B257,'SINAPI-%MO'!B:E,4,0)</f>
        <v>0.25919999999999999</v>
      </c>
      <c r="H257" s="225">
        <f t="shared" si="3"/>
        <v>434.31</v>
      </c>
    </row>
    <row r="258" spans="1:8" x14ac:dyDescent="0.3">
      <c r="A258" s="400"/>
      <c r="B258" s="709">
        <v>87355</v>
      </c>
      <c r="C258" s="710" t="s">
        <v>16125</v>
      </c>
      <c r="D258" s="709" t="s">
        <v>170</v>
      </c>
      <c r="E258" s="716">
        <v>644.77</v>
      </c>
      <c r="F258" s="717">
        <v>0</v>
      </c>
      <c r="G258">
        <f>VLOOKUP(B258,'SINAPI-%MO'!B:E,4,0)</f>
        <v>0.33560000000000001</v>
      </c>
      <c r="H258" s="225">
        <f t="shared" si="3"/>
        <v>428.38</v>
      </c>
    </row>
    <row r="259" spans="1:8" x14ac:dyDescent="0.3">
      <c r="A259" s="400"/>
      <c r="B259" s="709">
        <v>87356</v>
      </c>
      <c r="C259" s="710" t="s">
        <v>16126</v>
      </c>
      <c r="D259" s="709" t="s">
        <v>170</v>
      </c>
      <c r="E259" s="716">
        <v>567.13</v>
      </c>
      <c r="F259" s="717">
        <v>0</v>
      </c>
      <c r="G259">
        <f>VLOOKUP(B259,'SINAPI-%MO'!B:E,4,0)</f>
        <v>0.24310000000000001</v>
      </c>
      <c r="H259" s="225">
        <f t="shared" si="3"/>
        <v>429.26</v>
      </c>
    </row>
    <row r="260" spans="1:8" x14ac:dyDescent="0.3">
      <c r="A260" s="400"/>
      <c r="B260" s="709">
        <v>87357</v>
      </c>
      <c r="C260" s="710" t="s">
        <v>16127</v>
      </c>
      <c r="D260" s="709" t="s">
        <v>170</v>
      </c>
      <c r="E260" s="716">
        <v>526.46</v>
      </c>
      <c r="F260" s="717">
        <v>0</v>
      </c>
      <c r="G260">
        <f>VLOOKUP(B260,'SINAPI-%MO'!B:E,4,0)</f>
        <v>0.183</v>
      </c>
      <c r="H260" s="225">
        <f t="shared" si="3"/>
        <v>430.11</v>
      </c>
    </row>
    <row r="261" spans="1:8" x14ac:dyDescent="0.3">
      <c r="A261" s="400"/>
      <c r="B261" s="709">
        <v>100486</v>
      </c>
      <c r="C261" s="710" t="s">
        <v>16128</v>
      </c>
      <c r="D261" s="709" t="s">
        <v>170</v>
      </c>
      <c r="E261" s="716">
        <v>899.56</v>
      </c>
      <c r="F261" s="717">
        <v>0</v>
      </c>
      <c r="G261">
        <f>VLOOKUP(B261,'SINAPI-%MO'!B:E,4,0)</f>
        <v>0.34549999999999997</v>
      </c>
      <c r="H261" s="225">
        <f t="shared" si="3"/>
        <v>588.76</v>
      </c>
    </row>
    <row r="262" spans="1:8" x14ac:dyDescent="0.3">
      <c r="A262" s="400"/>
      <c r="B262" s="709">
        <v>100482</v>
      </c>
      <c r="C262" s="710" t="s">
        <v>16351</v>
      </c>
      <c r="D262" s="709" t="s">
        <v>170</v>
      </c>
      <c r="E262" s="716">
        <v>0</v>
      </c>
      <c r="F262" s="717"/>
      <c r="G262" t="e">
        <f>VLOOKUP(B262,'SINAPI-%MO'!B:E,4,0)</f>
        <v>#N/A</v>
      </c>
      <c r="H262" s="225" t="str">
        <f t="shared" si="3"/>
        <v/>
      </c>
    </row>
    <row r="263" spans="1:8" x14ac:dyDescent="0.3">
      <c r="A263" s="400"/>
      <c r="B263" s="709">
        <v>100481</v>
      </c>
      <c r="C263" s="710" t="s">
        <v>16129</v>
      </c>
      <c r="D263" s="709" t="s">
        <v>170</v>
      </c>
      <c r="E263" s="716">
        <v>756.88</v>
      </c>
      <c r="F263" s="717">
        <v>0</v>
      </c>
      <c r="G263">
        <f>VLOOKUP(B263,'SINAPI-%MO'!B:E,4,0)</f>
        <v>0.1993</v>
      </c>
      <c r="H263" s="225">
        <f t="shared" si="3"/>
        <v>606.03</v>
      </c>
    </row>
    <row r="264" spans="1:8" x14ac:dyDescent="0.3">
      <c r="A264" s="400"/>
      <c r="B264" s="709">
        <v>100483</v>
      </c>
      <c r="C264" s="710" t="s">
        <v>16130</v>
      </c>
      <c r="D264" s="709" t="s">
        <v>170</v>
      </c>
      <c r="E264" s="716">
        <v>845.47</v>
      </c>
      <c r="F264" s="717">
        <v>0</v>
      </c>
      <c r="G264">
        <f>VLOOKUP(B264,'SINAPI-%MO'!B:E,4,0)</f>
        <v>0.30059999999999998</v>
      </c>
      <c r="H264" s="225">
        <f t="shared" si="3"/>
        <v>591.32000000000005</v>
      </c>
    </row>
    <row r="265" spans="1:8" x14ac:dyDescent="0.3">
      <c r="A265" s="400"/>
      <c r="B265" s="709">
        <v>100484</v>
      </c>
      <c r="C265" s="710" t="s">
        <v>16131</v>
      </c>
      <c r="D265" s="709" t="s">
        <v>170</v>
      </c>
      <c r="E265" s="716">
        <v>753.12</v>
      </c>
      <c r="F265" s="717">
        <v>0</v>
      </c>
      <c r="G265">
        <f>VLOOKUP(B265,'SINAPI-%MO'!B:E,4,0)</f>
        <v>0.21279999999999999</v>
      </c>
      <c r="H265" s="225">
        <f t="shared" si="3"/>
        <v>592.85</v>
      </c>
    </row>
    <row r="266" spans="1:8" x14ac:dyDescent="0.3">
      <c r="A266" s="400"/>
      <c r="B266" s="709">
        <v>100485</v>
      </c>
      <c r="C266" s="710" t="s">
        <v>16132</v>
      </c>
      <c r="D266" s="709" t="s">
        <v>170</v>
      </c>
      <c r="E266" s="716">
        <v>712.2</v>
      </c>
      <c r="F266" s="717">
        <v>0</v>
      </c>
      <c r="G266">
        <f>VLOOKUP(B266,'SINAPI-%MO'!B:E,4,0)</f>
        <v>0.1636</v>
      </c>
      <c r="H266" s="225">
        <f t="shared" si="3"/>
        <v>595.67999999999995</v>
      </c>
    </row>
    <row r="267" spans="1:8" x14ac:dyDescent="0.3">
      <c r="A267" s="400"/>
      <c r="B267" s="709">
        <v>87373</v>
      </c>
      <c r="C267" s="710" t="s">
        <v>16133</v>
      </c>
      <c r="D267" s="709" t="s">
        <v>170</v>
      </c>
      <c r="E267" s="716">
        <v>874.97</v>
      </c>
      <c r="F267" s="717">
        <v>0</v>
      </c>
      <c r="G267">
        <f>VLOOKUP(B267,'SINAPI-%MO'!B:E,4,0)</f>
        <v>0.35249999999999998</v>
      </c>
      <c r="H267" s="225">
        <f t="shared" ref="H267:H330" si="4">IF(E267&gt;0,TRUNC(E267*(1-G267),2),"")</f>
        <v>566.54</v>
      </c>
    </row>
    <row r="268" spans="1:8" x14ac:dyDescent="0.3">
      <c r="A268" s="400"/>
      <c r="B268" s="709">
        <v>100454</v>
      </c>
      <c r="C268" s="710" t="s">
        <v>16352</v>
      </c>
      <c r="D268" s="709" t="s">
        <v>170</v>
      </c>
      <c r="E268" s="716">
        <v>0</v>
      </c>
      <c r="F268" s="717"/>
      <c r="G268" t="e">
        <f>VLOOKUP(B268,'SINAPI-%MO'!B:E,4,0)</f>
        <v>#N/A</v>
      </c>
      <c r="H268" s="225" t="str">
        <f t="shared" si="4"/>
        <v/>
      </c>
    </row>
    <row r="269" spans="1:8" x14ac:dyDescent="0.3">
      <c r="A269" s="400"/>
      <c r="B269" s="709">
        <v>87301</v>
      </c>
      <c r="C269" s="710" t="s">
        <v>16134</v>
      </c>
      <c r="D269" s="709" t="s">
        <v>170</v>
      </c>
      <c r="E269" s="716">
        <v>736.35</v>
      </c>
      <c r="F269" s="717">
        <v>0</v>
      </c>
      <c r="G269">
        <f>VLOOKUP(B269,'SINAPI-%MO'!B:E,4,0)</f>
        <v>0.21440000000000001</v>
      </c>
      <c r="H269" s="225">
        <f t="shared" si="4"/>
        <v>578.47</v>
      </c>
    </row>
    <row r="270" spans="1:8" x14ac:dyDescent="0.3">
      <c r="A270" s="400"/>
      <c r="B270" s="709">
        <v>87342</v>
      </c>
      <c r="C270" s="710" t="s">
        <v>16135</v>
      </c>
      <c r="D270" s="709" t="s">
        <v>170</v>
      </c>
      <c r="E270" s="716">
        <v>842.73</v>
      </c>
      <c r="F270" s="717">
        <v>0</v>
      </c>
      <c r="G270">
        <f>VLOOKUP(B270,'SINAPI-%MO'!B:E,4,0)</f>
        <v>0.3251</v>
      </c>
      <c r="H270" s="225">
        <f t="shared" si="4"/>
        <v>568.75</v>
      </c>
    </row>
    <row r="271" spans="1:8" x14ac:dyDescent="0.3">
      <c r="A271" s="400"/>
      <c r="B271" s="709">
        <v>87343</v>
      </c>
      <c r="C271" s="710" t="s">
        <v>16136</v>
      </c>
      <c r="D271" s="709" t="s">
        <v>170</v>
      </c>
      <c r="E271" s="716">
        <v>738.06</v>
      </c>
      <c r="F271" s="717">
        <v>0</v>
      </c>
      <c r="G271">
        <f>VLOOKUP(B271,'SINAPI-%MO'!B:E,4,0)</f>
        <v>0.22919999999999999</v>
      </c>
      <c r="H271" s="225">
        <f t="shared" si="4"/>
        <v>568.89</v>
      </c>
    </row>
    <row r="272" spans="1:8" x14ac:dyDescent="0.3">
      <c r="A272" s="400"/>
      <c r="B272" s="709">
        <v>87344</v>
      </c>
      <c r="C272" s="710" t="s">
        <v>16137</v>
      </c>
      <c r="D272" s="709" t="s">
        <v>170</v>
      </c>
      <c r="E272" s="716">
        <v>675.69</v>
      </c>
      <c r="F272" s="717">
        <v>0</v>
      </c>
      <c r="G272">
        <f>VLOOKUP(B272,'SINAPI-%MO'!B:E,4,0)</f>
        <v>0.15459999999999999</v>
      </c>
      <c r="H272" s="225">
        <f t="shared" si="4"/>
        <v>571.22</v>
      </c>
    </row>
    <row r="273" spans="1:8" x14ac:dyDescent="0.3">
      <c r="A273" s="400"/>
      <c r="B273" s="709">
        <v>88631</v>
      </c>
      <c r="C273" s="710" t="s">
        <v>16138</v>
      </c>
      <c r="D273" s="709" t="s">
        <v>170</v>
      </c>
      <c r="E273" s="716">
        <v>774.21</v>
      </c>
      <c r="F273" s="717">
        <v>0</v>
      </c>
      <c r="G273">
        <f>VLOOKUP(B273,'SINAPI-%MO'!B:E,4,0)</f>
        <v>0.38800000000000001</v>
      </c>
      <c r="H273" s="225">
        <f t="shared" si="4"/>
        <v>473.81</v>
      </c>
    </row>
    <row r="274" spans="1:8" x14ac:dyDescent="0.3">
      <c r="A274" s="400"/>
      <c r="B274" s="709">
        <v>100471</v>
      </c>
      <c r="C274" s="710" t="s">
        <v>16353</v>
      </c>
      <c r="D274" s="709" t="s">
        <v>170</v>
      </c>
      <c r="E274" s="716">
        <v>0</v>
      </c>
      <c r="F274" s="717"/>
      <c r="G274" t="e">
        <f>VLOOKUP(B274,'SINAPI-%MO'!B:E,4,0)</f>
        <v>#N/A</v>
      </c>
      <c r="H274" s="225" t="str">
        <f t="shared" si="4"/>
        <v/>
      </c>
    </row>
    <row r="275" spans="1:8" x14ac:dyDescent="0.3">
      <c r="A275" s="400"/>
      <c r="B275" s="709">
        <v>100472</v>
      </c>
      <c r="C275" s="710" t="s">
        <v>16139</v>
      </c>
      <c r="D275" s="709" t="s">
        <v>170</v>
      </c>
      <c r="E275" s="716">
        <v>718.69</v>
      </c>
      <c r="F275" s="717">
        <v>0</v>
      </c>
      <c r="G275">
        <f>VLOOKUP(B275,'SINAPI-%MO'!B:E,4,0)</f>
        <v>0.3362</v>
      </c>
      <c r="H275" s="225">
        <f t="shared" si="4"/>
        <v>477.06</v>
      </c>
    </row>
    <row r="276" spans="1:8" x14ac:dyDescent="0.3">
      <c r="A276" s="400"/>
      <c r="B276" s="709">
        <v>100473</v>
      </c>
      <c r="C276" s="710" t="s">
        <v>16140</v>
      </c>
      <c r="D276" s="709" t="s">
        <v>170</v>
      </c>
      <c r="E276" s="716">
        <v>624.61</v>
      </c>
      <c r="F276" s="717">
        <v>0</v>
      </c>
      <c r="G276">
        <f>VLOOKUP(B276,'SINAPI-%MO'!B:E,4,0)</f>
        <v>0.23649999999999999</v>
      </c>
      <c r="H276" s="225">
        <f t="shared" si="4"/>
        <v>476.88</v>
      </c>
    </row>
    <row r="277" spans="1:8" x14ac:dyDescent="0.3">
      <c r="A277" s="400"/>
      <c r="B277" s="709">
        <v>100474</v>
      </c>
      <c r="C277" s="710" t="s">
        <v>16141</v>
      </c>
      <c r="D277" s="709" t="s">
        <v>170</v>
      </c>
      <c r="E277" s="716">
        <v>582.9</v>
      </c>
      <c r="F277" s="717">
        <v>0</v>
      </c>
      <c r="G277">
        <f>VLOOKUP(B277,'SINAPI-%MO'!B:E,4,0)</f>
        <v>0.17949999999999999</v>
      </c>
      <c r="H277" s="225">
        <f t="shared" si="4"/>
        <v>478.26</v>
      </c>
    </row>
    <row r="278" spans="1:8" x14ac:dyDescent="0.3">
      <c r="A278" s="400"/>
      <c r="B278" s="709">
        <v>87379</v>
      </c>
      <c r="C278" s="710" t="s">
        <v>16142</v>
      </c>
      <c r="D278" s="709" t="s">
        <v>170</v>
      </c>
      <c r="E278" s="716">
        <v>3713.15</v>
      </c>
      <c r="F278" s="717">
        <v>0</v>
      </c>
      <c r="G278">
        <f>VLOOKUP(B278,'SINAPI-%MO'!B:E,4,0)</f>
        <v>8.0299999999999996E-2</v>
      </c>
      <c r="H278" s="225">
        <f t="shared" si="4"/>
        <v>3414.98</v>
      </c>
    </row>
    <row r="279" spans="1:8" x14ac:dyDescent="0.3">
      <c r="A279" s="400"/>
      <c r="B279" s="709">
        <v>100460</v>
      </c>
      <c r="C279" s="710" t="s">
        <v>16354</v>
      </c>
      <c r="D279" s="709" t="s">
        <v>170</v>
      </c>
      <c r="E279" s="716">
        <v>0</v>
      </c>
      <c r="F279" s="717"/>
      <c r="G279" t="e">
        <f>VLOOKUP(B279,'SINAPI-%MO'!B:E,4,0)</f>
        <v>#N/A</v>
      </c>
      <c r="H279" s="225" t="str">
        <f t="shared" si="4"/>
        <v/>
      </c>
    </row>
    <row r="280" spans="1:8" x14ac:dyDescent="0.3">
      <c r="A280" s="400"/>
      <c r="B280" s="709">
        <v>87319</v>
      </c>
      <c r="C280" s="710" t="s">
        <v>16143</v>
      </c>
      <c r="D280" s="709" t="s">
        <v>170</v>
      </c>
      <c r="E280" s="716">
        <v>3599.15</v>
      </c>
      <c r="F280" s="717">
        <v>0</v>
      </c>
      <c r="G280">
        <f>VLOOKUP(B280,'SINAPI-%MO'!B:E,4,0)</f>
        <v>4.0099999999999997E-2</v>
      </c>
      <c r="H280" s="225">
        <f t="shared" si="4"/>
        <v>3454.82</v>
      </c>
    </row>
    <row r="281" spans="1:8" x14ac:dyDescent="0.3">
      <c r="A281" s="400"/>
      <c r="B281" s="709">
        <v>87358</v>
      </c>
      <c r="C281" s="710" t="s">
        <v>16144</v>
      </c>
      <c r="D281" s="709" t="s">
        <v>170</v>
      </c>
      <c r="E281" s="716">
        <v>3565.01</v>
      </c>
      <c r="F281" s="717">
        <v>0</v>
      </c>
      <c r="G281">
        <f>VLOOKUP(B281,'SINAPI-%MO'!B:E,4,0)</f>
        <v>5.0099999999999999E-2</v>
      </c>
      <c r="H281" s="225">
        <f t="shared" si="4"/>
        <v>3386.4</v>
      </c>
    </row>
    <row r="282" spans="1:8" x14ac:dyDescent="0.3">
      <c r="A282" s="400"/>
      <c r="B282" s="709">
        <v>87359</v>
      </c>
      <c r="C282" s="710" t="s">
        <v>16145</v>
      </c>
      <c r="D282" s="709" t="s">
        <v>170</v>
      </c>
      <c r="E282" s="716">
        <v>3513.21</v>
      </c>
      <c r="F282" s="717">
        <v>0</v>
      </c>
      <c r="G282">
        <f>VLOOKUP(B282,'SINAPI-%MO'!B:E,4,0)</f>
        <v>3.3099999999999997E-2</v>
      </c>
      <c r="H282" s="225">
        <f t="shared" si="4"/>
        <v>3396.92</v>
      </c>
    </row>
    <row r="283" spans="1:8" x14ac:dyDescent="0.3">
      <c r="A283" s="400"/>
      <c r="B283" s="709">
        <v>87376</v>
      </c>
      <c r="C283" s="710" t="s">
        <v>16146</v>
      </c>
      <c r="D283" s="709" t="s">
        <v>170</v>
      </c>
      <c r="E283" s="716">
        <v>680.83</v>
      </c>
      <c r="F283" s="717">
        <v>0</v>
      </c>
      <c r="G283">
        <f>VLOOKUP(B283,'SINAPI-%MO'!B:E,4,0)</f>
        <v>0.44529999999999997</v>
      </c>
      <c r="H283" s="225">
        <f t="shared" si="4"/>
        <v>377.65</v>
      </c>
    </row>
    <row r="284" spans="1:8" x14ac:dyDescent="0.3">
      <c r="A284" s="400"/>
      <c r="B284" s="709">
        <v>100457</v>
      </c>
      <c r="C284" s="710" t="s">
        <v>16355</v>
      </c>
      <c r="D284" s="709" t="s">
        <v>170</v>
      </c>
      <c r="E284" s="716">
        <v>0</v>
      </c>
      <c r="F284" s="717"/>
      <c r="G284" t="e">
        <f>VLOOKUP(B284,'SINAPI-%MO'!B:E,4,0)</f>
        <v>#N/A</v>
      </c>
      <c r="H284" s="225" t="str">
        <f t="shared" si="4"/>
        <v/>
      </c>
    </row>
    <row r="285" spans="1:8" x14ac:dyDescent="0.3">
      <c r="A285" s="400"/>
      <c r="B285" s="709">
        <v>87310</v>
      </c>
      <c r="C285" s="710" t="s">
        <v>16147</v>
      </c>
      <c r="D285" s="709" t="s">
        <v>170</v>
      </c>
      <c r="E285" s="716">
        <v>529.45000000000005</v>
      </c>
      <c r="F285" s="717">
        <v>0</v>
      </c>
      <c r="G285">
        <f>VLOOKUP(B285,'SINAPI-%MO'!B:E,4,0)</f>
        <v>0.26700000000000002</v>
      </c>
      <c r="H285" s="225">
        <f t="shared" si="4"/>
        <v>388.08</v>
      </c>
    </row>
    <row r="286" spans="1:8" x14ac:dyDescent="0.3">
      <c r="A286" s="400"/>
      <c r="B286" s="709">
        <v>87350</v>
      </c>
      <c r="C286" s="710" t="s">
        <v>16148</v>
      </c>
      <c r="D286" s="709" t="s">
        <v>170</v>
      </c>
      <c r="E286" s="716">
        <v>596.86</v>
      </c>
      <c r="F286" s="717">
        <v>0</v>
      </c>
      <c r="G286">
        <f>VLOOKUP(B286,'SINAPI-%MO'!B:E,4,0)</f>
        <v>0.35439999999999999</v>
      </c>
      <c r="H286" s="225">
        <f t="shared" si="4"/>
        <v>385.33</v>
      </c>
    </row>
    <row r="287" spans="1:8" x14ac:dyDescent="0.3">
      <c r="A287" s="400"/>
      <c r="B287" s="709">
        <v>87351</v>
      </c>
      <c r="C287" s="710" t="s">
        <v>16149</v>
      </c>
      <c r="D287" s="709" t="s">
        <v>170</v>
      </c>
      <c r="E287" s="716">
        <v>487</v>
      </c>
      <c r="F287" s="717">
        <v>0</v>
      </c>
      <c r="G287">
        <f>VLOOKUP(B287,'SINAPI-%MO'!B:E,4,0)</f>
        <v>0.21440000000000001</v>
      </c>
      <c r="H287" s="225">
        <f t="shared" si="4"/>
        <v>382.58</v>
      </c>
    </row>
    <row r="288" spans="1:8" x14ac:dyDescent="0.3">
      <c r="A288" s="400"/>
      <c r="B288" s="709">
        <v>87374</v>
      </c>
      <c r="C288" s="710" t="s">
        <v>16150</v>
      </c>
      <c r="D288" s="709" t="s">
        <v>170</v>
      </c>
      <c r="E288" s="716">
        <v>815.98</v>
      </c>
      <c r="F288" s="717">
        <v>0</v>
      </c>
      <c r="G288">
        <f>VLOOKUP(B288,'SINAPI-%MO'!B:E,4,0)</f>
        <v>0.38369999999999999</v>
      </c>
      <c r="H288" s="225">
        <f t="shared" si="4"/>
        <v>502.88</v>
      </c>
    </row>
    <row r="289" spans="1:8" x14ac:dyDescent="0.3">
      <c r="A289" s="400"/>
      <c r="B289" s="709">
        <v>100455</v>
      </c>
      <c r="C289" s="710" t="s">
        <v>16356</v>
      </c>
      <c r="D289" s="709" t="s">
        <v>170</v>
      </c>
      <c r="E289" s="716">
        <v>0</v>
      </c>
      <c r="F289" s="717"/>
      <c r="G289" t="e">
        <f>VLOOKUP(B289,'SINAPI-%MO'!B:E,4,0)</f>
        <v>#N/A</v>
      </c>
      <c r="H289" s="225" t="str">
        <f t="shared" si="4"/>
        <v/>
      </c>
    </row>
    <row r="290" spans="1:8" x14ac:dyDescent="0.3">
      <c r="A290" s="400"/>
      <c r="B290" s="709">
        <v>87304</v>
      </c>
      <c r="C290" s="710" t="s">
        <v>16151</v>
      </c>
      <c r="D290" s="709" t="s">
        <v>170</v>
      </c>
      <c r="E290" s="716">
        <v>659.56</v>
      </c>
      <c r="F290" s="717">
        <v>0</v>
      </c>
      <c r="G290">
        <f>VLOOKUP(B290,'SINAPI-%MO'!B:E,4,0)</f>
        <v>0.21740000000000001</v>
      </c>
      <c r="H290" s="225">
        <f t="shared" si="4"/>
        <v>516.16999999999996</v>
      </c>
    </row>
    <row r="291" spans="1:8" x14ac:dyDescent="0.3">
      <c r="A291" s="400"/>
      <c r="B291" s="709">
        <v>87345</v>
      </c>
      <c r="C291" s="710" t="s">
        <v>16152</v>
      </c>
      <c r="D291" s="709" t="s">
        <v>170</v>
      </c>
      <c r="E291" s="716">
        <v>748.53</v>
      </c>
      <c r="F291" s="717">
        <v>0</v>
      </c>
      <c r="G291">
        <f>VLOOKUP(B291,'SINAPI-%MO'!B:E,4,0)</f>
        <v>0.32440000000000002</v>
      </c>
      <c r="H291" s="225">
        <f t="shared" si="4"/>
        <v>505.7</v>
      </c>
    </row>
    <row r="292" spans="1:8" x14ac:dyDescent="0.3">
      <c r="A292" s="400"/>
      <c r="B292" s="709">
        <v>87346</v>
      </c>
      <c r="C292" s="710" t="s">
        <v>16153</v>
      </c>
      <c r="D292" s="709" t="s">
        <v>170</v>
      </c>
      <c r="E292" s="716">
        <v>661.91</v>
      </c>
      <c r="F292" s="717">
        <v>0</v>
      </c>
      <c r="G292">
        <f>VLOOKUP(B292,'SINAPI-%MO'!B:E,4,0)</f>
        <v>0.23419999999999999</v>
      </c>
      <c r="H292" s="225">
        <f t="shared" si="4"/>
        <v>506.89</v>
      </c>
    </row>
    <row r="293" spans="1:8" x14ac:dyDescent="0.3">
      <c r="A293" s="400"/>
      <c r="B293" s="709">
        <v>87347</v>
      </c>
      <c r="C293" s="710" t="s">
        <v>16154</v>
      </c>
      <c r="D293" s="709" t="s">
        <v>170</v>
      </c>
      <c r="E293" s="716">
        <v>612.46</v>
      </c>
      <c r="F293" s="717">
        <v>0</v>
      </c>
      <c r="G293">
        <f>VLOOKUP(B293,'SINAPI-%MO'!B:E,4,0)</f>
        <v>0.17169999999999999</v>
      </c>
      <c r="H293" s="225">
        <f t="shared" si="4"/>
        <v>507.3</v>
      </c>
    </row>
    <row r="294" spans="1:8" x14ac:dyDescent="0.3">
      <c r="A294" s="400"/>
      <c r="B294" s="709">
        <v>87366</v>
      </c>
      <c r="C294" s="710" t="s">
        <v>16155</v>
      </c>
      <c r="D294" s="709" t="s">
        <v>170</v>
      </c>
      <c r="E294" s="716">
        <v>704.54</v>
      </c>
      <c r="F294" s="717">
        <v>0</v>
      </c>
      <c r="G294">
        <f>VLOOKUP(B294,'SINAPI-%MO'!B:E,4,0)</f>
        <v>0.44440000000000002</v>
      </c>
      <c r="H294" s="225">
        <f t="shared" si="4"/>
        <v>391.44</v>
      </c>
    </row>
    <row r="295" spans="1:8" x14ac:dyDescent="0.3">
      <c r="A295" s="400"/>
      <c r="B295" s="709">
        <v>100448</v>
      </c>
      <c r="C295" s="710" t="s">
        <v>16357</v>
      </c>
      <c r="D295" s="709" t="s">
        <v>170</v>
      </c>
      <c r="E295" s="716">
        <v>0</v>
      </c>
      <c r="F295" s="717"/>
      <c r="G295" t="e">
        <f>VLOOKUP(B295,'SINAPI-%MO'!B:E,4,0)</f>
        <v>#N/A</v>
      </c>
      <c r="H295" s="225" t="str">
        <f t="shared" si="4"/>
        <v/>
      </c>
    </row>
    <row r="296" spans="1:8" x14ac:dyDescent="0.3">
      <c r="A296" s="400"/>
      <c r="B296" s="709">
        <v>87283</v>
      </c>
      <c r="C296" s="710" t="s">
        <v>16156</v>
      </c>
      <c r="D296" s="709" t="s">
        <v>170</v>
      </c>
      <c r="E296" s="716">
        <v>544.49</v>
      </c>
      <c r="F296" s="717">
        <v>0</v>
      </c>
      <c r="G296">
        <f>VLOOKUP(B296,'SINAPI-%MO'!B:E,4,0)</f>
        <v>0.25950000000000001</v>
      </c>
      <c r="H296" s="225">
        <f t="shared" si="4"/>
        <v>403.19</v>
      </c>
    </row>
    <row r="297" spans="1:8" x14ac:dyDescent="0.3">
      <c r="A297" s="400"/>
      <c r="B297" s="709">
        <v>87329</v>
      </c>
      <c r="C297" s="710" t="s">
        <v>16157</v>
      </c>
      <c r="D297" s="709" t="s">
        <v>170</v>
      </c>
      <c r="E297" s="716">
        <v>601.94000000000005</v>
      </c>
      <c r="F297" s="717">
        <v>0</v>
      </c>
      <c r="G297">
        <f>VLOOKUP(B297,'SINAPI-%MO'!B:E,4,0)</f>
        <v>0.33800000000000002</v>
      </c>
      <c r="H297" s="225">
        <f t="shared" si="4"/>
        <v>398.48</v>
      </c>
    </row>
    <row r="298" spans="1:8" x14ac:dyDescent="0.3">
      <c r="A298" s="400"/>
      <c r="B298" s="709">
        <v>87330</v>
      </c>
      <c r="C298" s="710" t="s">
        <v>16158</v>
      </c>
      <c r="D298" s="709" t="s">
        <v>170</v>
      </c>
      <c r="E298" s="716">
        <v>503.76</v>
      </c>
      <c r="F298" s="717">
        <v>0</v>
      </c>
      <c r="G298">
        <f>VLOOKUP(B298,'SINAPI-%MO'!B:E,4,0)</f>
        <v>0.2114</v>
      </c>
      <c r="H298" s="225">
        <f t="shared" si="4"/>
        <v>397.26</v>
      </c>
    </row>
    <row r="299" spans="1:8" x14ac:dyDescent="0.3">
      <c r="A299" s="400"/>
      <c r="B299" s="709">
        <v>87375</v>
      </c>
      <c r="C299" s="710" t="s">
        <v>16159</v>
      </c>
      <c r="D299" s="709" t="s">
        <v>170</v>
      </c>
      <c r="E299" s="716">
        <v>777.93</v>
      </c>
      <c r="F299" s="717">
        <v>0</v>
      </c>
      <c r="G299">
        <f>VLOOKUP(B299,'SINAPI-%MO'!B:E,4,0)</f>
        <v>0.41249999999999998</v>
      </c>
      <c r="H299" s="225">
        <f t="shared" si="4"/>
        <v>457.03</v>
      </c>
    </row>
    <row r="300" spans="1:8" x14ac:dyDescent="0.3">
      <c r="A300" s="400"/>
      <c r="B300" s="709">
        <v>100456</v>
      </c>
      <c r="C300" s="710" t="s">
        <v>16358</v>
      </c>
      <c r="D300" s="709" t="s">
        <v>170</v>
      </c>
      <c r="E300" s="716">
        <v>0</v>
      </c>
      <c r="F300" s="717"/>
      <c r="G300" t="e">
        <f>VLOOKUP(B300,'SINAPI-%MO'!B:E,4,0)</f>
        <v>#N/A</v>
      </c>
      <c r="H300" s="225" t="str">
        <f t="shared" si="4"/>
        <v/>
      </c>
    </row>
    <row r="301" spans="1:8" x14ac:dyDescent="0.3">
      <c r="A301" s="400"/>
      <c r="B301" s="709">
        <v>87307</v>
      </c>
      <c r="C301" s="710" t="s">
        <v>16160</v>
      </c>
      <c r="D301" s="709" t="s">
        <v>170</v>
      </c>
      <c r="E301" s="716">
        <v>626.74</v>
      </c>
      <c r="F301" s="717">
        <v>0</v>
      </c>
      <c r="G301">
        <f>VLOOKUP(B301,'SINAPI-%MO'!B:E,4,0)</f>
        <v>0.25230000000000002</v>
      </c>
      <c r="H301" s="225">
        <f t="shared" si="4"/>
        <v>468.61</v>
      </c>
    </row>
    <row r="302" spans="1:8" x14ac:dyDescent="0.3">
      <c r="A302" s="400"/>
      <c r="B302" s="709">
        <v>87348</v>
      </c>
      <c r="C302" s="710" t="s">
        <v>16161</v>
      </c>
      <c r="D302" s="709" t="s">
        <v>170</v>
      </c>
      <c r="E302" s="716">
        <v>679.97</v>
      </c>
      <c r="F302" s="717">
        <v>0</v>
      </c>
      <c r="G302">
        <f>VLOOKUP(B302,'SINAPI-%MO'!B:E,4,0)</f>
        <v>0.32319999999999999</v>
      </c>
      <c r="H302" s="225">
        <f t="shared" si="4"/>
        <v>460.2</v>
      </c>
    </row>
    <row r="303" spans="1:8" x14ac:dyDescent="0.3">
      <c r="A303" s="400"/>
      <c r="B303" s="709">
        <v>87349</v>
      </c>
      <c r="C303" s="710" t="s">
        <v>16162</v>
      </c>
      <c r="D303" s="709" t="s">
        <v>170</v>
      </c>
      <c r="E303" s="716">
        <v>561.1</v>
      </c>
      <c r="F303" s="717">
        <v>0</v>
      </c>
      <c r="G303">
        <f>VLOOKUP(B303,'SINAPI-%MO'!B:E,4,0)</f>
        <v>0.17549999999999999</v>
      </c>
      <c r="H303" s="225">
        <f t="shared" si="4"/>
        <v>462.62</v>
      </c>
    </row>
    <row r="304" spans="1:8" x14ac:dyDescent="0.3">
      <c r="A304" s="400"/>
      <c r="B304" s="709">
        <v>87365</v>
      </c>
      <c r="C304" s="710" t="s">
        <v>16163</v>
      </c>
      <c r="D304" s="709" t="s">
        <v>170</v>
      </c>
      <c r="E304" s="716">
        <v>667.25</v>
      </c>
      <c r="F304" s="717">
        <v>0</v>
      </c>
      <c r="G304">
        <f>VLOOKUP(B304,'SINAPI-%MO'!B:E,4,0)</f>
        <v>0.45850000000000002</v>
      </c>
      <c r="H304" s="225">
        <f t="shared" si="4"/>
        <v>361.31</v>
      </c>
    </row>
    <row r="305" spans="1:8" x14ac:dyDescent="0.3">
      <c r="A305" s="400"/>
      <c r="B305" s="709">
        <v>100447</v>
      </c>
      <c r="C305" s="710" t="s">
        <v>16359</v>
      </c>
      <c r="D305" s="709" t="s">
        <v>170</v>
      </c>
      <c r="E305" s="716">
        <v>0</v>
      </c>
      <c r="F305" s="717"/>
      <c r="G305" t="e">
        <f>VLOOKUP(B305,'SINAPI-%MO'!B:E,4,0)</f>
        <v>#N/A</v>
      </c>
      <c r="H305" s="225" t="str">
        <f t="shared" si="4"/>
        <v/>
      </c>
    </row>
    <row r="306" spans="1:8" x14ac:dyDescent="0.3">
      <c r="A306" s="400"/>
      <c r="B306" s="709">
        <v>87280</v>
      </c>
      <c r="C306" s="710" t="s">
        <v>16164</v>
      </c>
      <c r="D306" s="709" t="s">
        <v>170</v>
      </c>
      <c r="E306" s="716">
        <v>528.64</v>
      </c>
      <c r="F306" s="717">
        <v>0</v>
      </c>
      <c r="G306">
        <f>VLOOKUP(B306,'SINAPI-%MO'!B:E,4,0)</f>
        <v>0.3014</v>
      </c>
      <c r="H306" s="225">
        <f t="shared" si="4"/>
        <v>369.3</v>
      </c>
    </row>
    <row r="307" spans="1:8" x14ac:dyDescent="0.3">
      <c r="A307" s="400"/>
      <c r="B307" s="709">
        <v>87327</v>
      </c>
      <c r="C307" s="710" t="s">
        <v>16165</v>
      </c>
      <c r="D307" s="709" t="s">
        <v>170</v>
      </c>
      <c r="E307" s="716">
        <v>564.24</v>
      </c>
      <c r="F307" s="717">
        <v>0</v>
      </c>
      <c r="G307">
        <f>VLOOKUP(B307,'SINAPI-%MO'!B:E,4,0)</f>
        <v>0.34539999999999998</v>
      </c>
      <c r="H307" s="225">
        <f t="shared" si="4"/>
        <v>369.35</v>
      </c>
    </row>
    <row r="308" spans="1:8" x14ac:dyDescent="0.3">
      <c r="A308" s="400"/>
      <c r="B308" s="709">
        <v>87328</v>
      </c>
      <c r="C308" s="710" t="s">
        <v>16166</v>
      </c>
      <c r="D308" s="709" t="s">
        <v>170</v>
      </c>
      <c r="E308" s="716">
        <v>469.28</v>
      </c>
      <c r="F308" s="717">
        <v>0</v>
      </c>
      <c r="G308">
        <f>VLOOKUP(B308,'SINAPI-%MO'!B:E,4,0)</f>
        <v>0.21579999999999999</v>
      </c>
      <c r="H308" s="225">
        <f t="shared" si="4"/>
        <v>368</v>
      </c>
    </row>
    <row r="309" spans="1:8" x14ac:dyDescent="0.3">
      <c r="A309" s="400"/>
      <c r="B309" s="709">
        <v>87410</v>
      </c>
      <c r="C309" s="710" t="s">
        <v>16167</v>
      </c>
      <c r="D309" s="709" t="s">
        <v>170</v>
      </c>
      <c r="E309" s="716">
        <v>1101.93</v>
      </c>
      <c r="F309" s="717">
        <v>0</v>
      </c>
      <c r="G309">
        <f>VLOOKUP(B309,'SINAPI-%MO'!B:E,4,0)</f>
        <v>0.1671</v>
      </c>
      <c r="H309" s="225">
        <f t="shared" si="4"/>
        <v>917.79</v>
      </c>
    </row>
    <row r="310" spans="1:8" x14ac:dyDescent="0.3">
      <c r="A310" s="400"/>
      <c r="B310" s="709">
        <v>107254</v>
      </c>
      <c r="C310" s="710" t="s">
        <v>16168</v>
      </c>
      <c r="D310" s="709" t="s">
        <v>175</v>
      </c>
      <c r="E310" s="716">
        <v>9.09</v>
      </c>
      <c r="F310" s="717">
        <v>0</v>
      </c>
      <c r="G310">
        <f>VLOOKUP(B310,'SINAPI-%MO'!B:E,4,0)</f>
        <v>0.11219999999999999</v>
      </c>
      <c r="H310" s="225">
        <f t="shared" si="4"/>
        <v>8.07</v>
      </c>
    </row>
    <row r="311" spans="1:8" x14ac:dyDescent="0.3">
      <c r="A311" s="400"/>
      <c r="B311" s="709">
        <v>107253</v>
      </c>
      <c r="C311" s="710" t="s">
        <v>16169</v>
      </c>
      <c r="D311" s="709" t="s">
        <v>175</v>
      </c>
      <c r="E311" s="716">
        <v>8.4600000000000009</v>
      </c>
      <c r="F311" s="717">
        <v>0</v>
      </c>
      <c r="G311">
        <f>VLOOKUP(B311,'SINAPI-%MO'!B:E,4,0)</f>
        <v>0.14419999999999999</v>
      </c>
      <c r="H311" s="225">
        <f t="shared" si="4"/>
        <v>7.24</v>
      </c>
    </row>
    <row r="312" spans="1:8" x14ac:dyDescent="0.3">
      <c r="A312" s="400"/>
      <c r="B312" s="709">
        <v>95577</v>
      </c>
      <c r="C312" s="710" t="s">
        <v>600</v>
      </c>
      <c r="D312" s="709" t="s">
        <v>175</v>
      </c>
      <c r="E312" s="716">
        <v>9.82</v>
      </c>
      <c r="F312" s="717">
        <v>0</v>
      </c>
      <c r="G312">
        <f>VLOOKUP(B312,'SINAPI-%MO'!B:E,4,0)</f>
        <v>0.1426</v>
      </c>
      <c r="H312" s="225">
        <f t="shared" si="4"/>
        <v>8.41</v>
      </c>
    </row>
    <row r="313" spans="1:8" x14ac:dyDescent="0.3">
      <c r="A313" s="400"/>
      <c r="B313" s="709">
        <v>95578</v>
      </c>
      <c r="C313" s="710" t="s">
        <v>601</v>
      </c>
      <c r="D313" s="709" t="s">
        <v>175</v>
      </c>
      <c r="E313" s="716">
        <v>8.09</v>
      </c>
      <c r="F313" s="717">
        <v>0</v>
      </c>
      <c r="G313">
        <f>VLOOKUP(B313,'SINAPI-%MO'!B:E,4,0)</f>
        <v>9.2700000000000005E-2</v>
      </c>
      <c r="H313" s="225">
        <f t="shared" si="4"/>
        <v>7.34</v>
      </c>
    </row>
    <row r="314" spans="1:8" x14ac:dyDescent="0.3">
      <c r="A314" s="400"/>
      <c r="B314" s="709">
        <v>95579</v>
      </c>
      <c r="C314" s="710" t="s">
        <v>602</v>
      </c>
      <c r="D314" s="709" t="s">
        <v>175</v>
      </c>
      <c r="E314" s="716">
        <v>7.75</v>
      </c>
      <c r="F314" s="717">
        <v>0</v>
      </c>
      <c r="G314">
        <f>VLOOKUP(B314,'SINAPI-%MO'!B:E,4,0)</f>
        <v>5.6800000000000003E-2</v>
      </c>
      <c r="H314" s="225">
        <f t="shared" si="4"/>
        <v>7.3</v>
      </c>
    </row>
    <row r="315" spans="1:8" x14ac:dyDescent="0.3">
      <c r="A315" s="400"/>
      <c r="B315" s="709">
        <v>95580</v>
      </c>
      <c r="C315" s="710" t="s">
        <v>603</v>
      </c>
      <c r="D315" s="709" t="s">
        <v>175</v>
      </c>
      <c r="E315" s="716">
        <v>8.91</v>
      </c>
      <c r="F315" s="717">
        <v>0</v>
      </c>
      <c r="G315">
        <f>VLOOKUP(B315,'SINAPI-%MO'!B:E,4,0)</f>
        <v>3.8199999999999998E-2</v>
      </c>
      <c r="H315" s="225">
        <f t="shared" si="4"/>
        <v>8.56</v>
      </c>
    </row>
    <row r="316" spans="1:8" x14ac:dyDescent="0.3">
      <c r="A316" s="400"/>
      <c r="B316" s="709">
        <v>95581</v>
      </c>
      <c r="C316" s="710" t="s">
        <v>604</v>
      </c>
      <c r="D316" s="709" t="s">
        <v>175</v>
      </c>
      <c r="E316" s="716">
        <v>8.86</v>
      </c>
      <c r="F316" s="717">
        <v>0</v>
      </c>
      <c r="G316">
        <f>VLOOKUP(B316,'SINAPI-%MO'!B:E,4,0)</f>
        <v>3.39E-2</v>
      </c>
      <c r="H316" s="225">
        <f t="shared" si="4"/>
        <v>8.5500000000000007</v>
      </c>
    </row>
    <row r="317" spans="1:8" x14ac:dyDescent="0.3">
      <c r="A317" s="400"/>
      <c r="B317" s="709">
        <v>95582</v>
      </c>
      <c r="C317" s="710" t="s">
        <v>605</v>
      </c>
      <c r="D317" s="709" t="s">
        <v>175</v>
      </c>
      <c r="E317" s="716">
        <v>9.6199999999999992</v>
      </c>
      <c r="F317" s="717">
        <v>0</v>
      </c>
      <c r="G317">
        <f>VLOOKUP(B317,'SINAPI-%MO'!B:E,4,0)</f>
        <v>2.81E-2</v>
      </c>
      <c r="H317" s="225">
        <f t="shared" si="4"/>
        <v>9.34</v>
      </c>
    </row>
    <row r="318" spans="1:8" x14ac:dyDescent="0.3">
      <c r="A318" s="400"/>
      <c r="B318" s="709">
        <v>95576</v>
      </c>
      <c r="C318" s="710" t="s">
        <v>606</v>
      </c>
      <c r="D318" s="709" t="s">
        <v>175</v>
      </c>
      <c r="E318" s="716">
        <v>11.83</v>
      </c>
      <c r="F318" s="717">
        <v>0</v>
      </c>
      <c r="G318">
        <f>VLOOKUP(B318,'SINAPI-%MO'!B:E,4,0)</f>
        <v>0.24510000000000001</v>
      </c>
      <c r="H318" s="225">
        <f t="shared" si="4"/>
        <v>8.93</v>
      </c>
    </row>
    <row r="319" spans="1:8" x14ac:dyDescent="0.3">
      <c r="A319" s="400"/>
      <c r="B319" s="709">
        <v>95583</v>
      </c>
      <c r="C319" s="710" t="s">
        <v>607</v>
      </c>
      <c r="D319" s="709" t="s">
        <v>175</v>
      </c>
      <c r="E319" s="716">
        <v>15.84</v>
      </c>
      <c r="F319" s="717">
        <v>0</v>
      </c>
      <c r="G319">
        <f>VLOOKUP(B319,'SINAPI-%MO'!B:E,4,0)</f>
        <v>0.50690000000000002</v>
      </c>
      <c r="H319" s="225">
        <f t="shared" si="4"/>
        <v>7.81</v>
      </c>
    </row>
    <row r="320" spans="1:8" x14ac:dyDescent="0.3">
      <c r="A320" s="400"/>
      <c r="B320" s="709">
        <v>95584</v>
      </c>
      <c r="C320" s="710" t="s">
        <v>608</v>
      </c>
      <c r="D320" s="709" t="s">
        <v>175</v>
      </c>
      <c r="E320" s="716">
        <v>13.46</v>
      </c>
      <c r="F320" s="717">
        <v>0</v>
      </c>
      <c r="G320">
        <f>VLOOKUP(B320,'SINAPI-%MO'!B:E,4,0)</f>
        <v>0.36030000000000001</v>
      </c>
      <c r="H320" s="225">
        <f t="shared" si="4"/>
        <v>8.61</v>
      </c>
    </row>
    <row r="321" spans="1:8" x14ac:dyDescent="0.3">
      <c r="A321" s="400"/>
      <c r="B321" s="709">
        <v>95593</v>
      </c>
      <c r="C321" s="710" t="s">
        <v>609</v>
      </c>
      <c r="D321" s="709" t="s">
        <v>175</v>
      </c>
      <c r="E321" s="716">
        <v>13.46</v>
      </c>
      <c r="F321" s="717">
        <v>0</v>
      </c>
      <c r="G321">
        <f>VLOOKUP(B321,'SINAPI-%MO'!B:E,4,0)</f>
        <v>0.36030000000000001</v>
      </c>
      <c r="H321" s="225">
        <f t="shared" si="4"/>
        <v>8.61</v>
      </c>
    </row>
    <row r="322" spans="1:8" x14ac:dyDescent="0.3">
      <c r="A322" s="400"/>
      <c r="B322" s="709">
        <v>95592</v>
      </c>
      <c r="C322" s="710" t="s">
        <v>610</v>
      </c>
      <c r="D322" s="709" t="s">
        <v>175</v>
      </c>
      <c r="E322" s="716">
        <v>15.84</v>
      </c>
      <c r="F322" s="717">
        <v>0</v>
      </c>
      <c r="G322">
        <f>VLOOKUP(B322,'SINAPI-%MO'!B:E,4,0)</f>
        <v>0.50690000000000002</v>
      </c>
      <c r="H322" s="225">
        <f t="shared" si="4"/>
        <v>7.81</v>
      </c>
    </row>
    <row r="323" spans="1:8" x14ac:dyDescent="0.3">
      <c r="A323" s="400"/>
      <c r="B323" s="709">
        <v>92919</v>
      </c>
      <c r="C323" s="710" t="s">
        <v>611</v>
      </c>
      <c r="D323" s="709" t="s">
        <v>175</v>
      </c>
      <c r="E323" s="716">
        <v>11.32</v>
      </c>
      <c r="F323" s="717">
        <v>0</v>
      </c>
      <c r="G323">
        <f>VLOOKUP(B323,'SINAPI-%MO'!B:E,4,0)</f>
        <v>0.2465</v>
      </c>
      <c r="H323" s="225">
        <f t="shared" si="4"/>
        <v>8.52</v>
      </c>
    </row>
    <row r="324" spans="1:8" x14ac:dyDescent="0.3">
      <c r="A324" s="400"/>
      <c r="B324" s="709">
        <v>92921</v>
      </c>
      <c r="C324" s="710" t="s">
        <v>612</v>
      </c>
      <c r="D324" s="709" t="s">
        <v>175</v>
      </c>
      <c r="E324" s="716">
        <v>9.24</v>
      </c>
      <c r="F324" s="717">
        <v>0</v>
      </c>
      <c r="G324">
        <f>VLOOKUP(B324,'SINAPI-%MO'!B:E,4,0)</f>
        <v>0.19370000000000001</v>
      </c>
      <c r="H324" s="225">
        <f t="shared" si="4"/>
        <v>7.45</v>
      </c>
    </row>
    <row r="325" spans="1:8" x14ac:dyDescent="0.3">
      <c r="A325" s="400"/>
      <c r="B325" s="709">
        <v>92922</v>
      </c>
      <c r="C325" s="710" t="s">
        <v>613</v>
      </c>
      <c r="D325" s="709" t="s">
        <v>175</v>
      </c>
      <c r="E325" s="716">
        <v>8.7200000000000006</v>
      </c>
      <c r="F325" s="717">
        <v>0</v>
      </c>
      <c r="G325">
        <f>VLOOKUP(B325,'SINAPI-%MO'!B:E,4,0)</f>
        <v>0.14910000000000001</v>
      </c>
      <c r="H325" s="225">
        <f t="shared" si="4"/>
        <v>7.41</v>
      </c>
    </row>
    <row r="326" spans="1:8" x14ac:dyDescent="0.3">
      <c r="A326" s="400"/>
      <c r="B326" s="709">
        <v>92923</v>
      </c>
      <c r="C326" s="710" t="s">
        <v>614</v>
      </c>
      <c r="D326" s="709" t="s">
        <v>175</v>
      </c>
      <c r="E326" s="716">
        <v>9.68</v>
      </c>
      <c r="F326" s="717">
        <v>0</v>
      </c>
      <c r="G326">
        <f>VLOOKUP(B326,'SINAPI-%MO'!B:E,4,0)</f>
        <v>0.1033</v>
      </c>
      <c r="H326" s="225">
        <f t="shared" si="4"/>
        <v>8.68</v>
      </c>
    </row>
    <row r="327" spans="1:8" x14ac:dyDescent="0.3">
      <c r="A327" s="400"/>
      <c r="B327" s="709">
        <v>92924</v>
      </c>
      <c r="C327" s="710" t="s">
        <v>615</v>
      </c>
      <c r="D327" s="709" t="s">
        <v>175</v>
      </c>
      <c r="E327" s="716">
        <v>9.4499999999999993</v>
      </c>
      <c r="F327" s="717">
        <v>0</v>
      </c>
      <c r="G327">
        <f>VLOOKUP(B327,'SINAPI-%MO'!B:E,4,0)</f>
        <v>8.2500000000000004E-2</v>
      </c>
      <c r="H327" s="225">
        <f t="shared" si="4"/>
        <v>8.67</v>
      </c>
    </row>
    <row r="328" spans="1:8" x14ac:dyDescent="0.3">
      <c r="A328" s="400"/>
      <c r="B328" s="709">
        <v>104104</v>
      </c>
      <c r="C328" s="710" t="s">
        <v>616</v>
      </c>
      <c r="D328" s="709" t="s">
        <v>175</v>
      </c>
      <c r="E328" s="716">
        <v>9.7799999999999994</v>
      </c>
      <c r="F328" s="717">
        <v>0</v>
      </c>
      <c r="G328">
        <f>VLOOKUP(B328,'SINAPI-%MO'!B:E,4,0)</f>
        <v>3.27E-2</v>
      </c>
      <c r="H328" s="225">
        <f t="shared" si="4"/>
        <v>9.4600000000000009</v>
      </c>
    </row>
    <row r="329" spans="1:8" x14ac:dyDescent="0.3">
      <c r="A329" s="400"/>
      <c r="B329" s="709">
        <v>92916</v>
      </c>
      <c r="C329" s="710" t="s">
        <v>617</v>
      </c>
      <c r="D329" s="709" t="s">
        <v>175</v>
      </c>
      <c r="E329" s="716">
        <v>14.83</v>
      </c>
      <c r="F329" s="717">
        <v>0</v>
      </c>
      <c r="G329">
        <f>VLOOKUP(B329,'SINAPI-%MO'!B:E,4,0)</f>
        <v>0.41199999999999998</v>
      </c>
      <c r="H329" s="225">
        <f t="shared" si="4"/>
        <v>8.7200000000000006</v>
      </c>
    </row>
    <row r="330" spans="1:8" x14ac:dyDescent="0.3">
      <c r="A330" s="400"/>
      <c r="B330" s="709">
        <v>92917</v>
      </c>
      <c r="C330" s="710" t="s">
        <v>618</v>
      </c>
      <c r="D330" s="709" t="s">
        <v>175</v>
      </c>
      <c r="E330" s="716">
        <v>13.19</v>
      </c>
      <c r="F330" s="717">
        <v>0</v>
      </c>
      <c r="G330">
        <f>VLOOKUP(B330,'SINAPI-%MO'!B:E,4,0)</f>
        <v>0.31459999999999999</v>
      </c>
      <c r="H330" s="225">
        <f t="shared" si="4"/>
        <v>9.0399999999999991</v>
      </c>
    </row>
    <row r="331" spans="1:8" x14ac:dyDescent="0.3">
      <c r="A331" s="400"/>
      <c r="B331" s="709">
        <v>92915</v>
      </c>
      <c r="C331" s="710" t="s">
        <v>619</v>
      </c>
      <c r="D331" s="709" t="s">
        <v>175</v>
      </c>
      <c r="E331" s="716">
        <v>16.77</v>
      </c>
      <c r="F331" s="717">
        <v>0</v>
      </c>
      <c r="G331">
        <f>VLOOKUP(B331,'SINAPI-%MO'!B:E,4,0)</f>
        <v>0.52769999999999995</v>
      </c>
      <c r="H331" s="225">
        <f t="shared" ref="H331:H394" si="5">IF(E331&gt;0,TRUNC(E331*(1-G331),2),"")</f>
        <v>7.92</v>
      </c>
    </row>
    <row r="332" spans="1:8" x14ac:dyDescent="0.3">
      <c r="A332" s="400"/>
      <c r="B332" s="709">
        <v>92771</v>
      </c>
      <c r="C332" s="710" t="s">
        <v>620</v>
      </c>
      <c r="D332" s="709" t="s">
        <v>175</v>
      </c>
      <c r="E332" s="716">
        <v>9.6999999999999993</v>
      </c>
      <c r="F332" s="717">
        <v>0</v>
      </c>
      <c r="G332">
        <f>VLOOKUP(B332,'SINAPI-%MO'!B:E,4,0)</f>
        <v>0.1237</v>
      </c>
      <c r="H332" s="225">
        <f t="shared" si="5"/>
        <v>8.5</v>
      </c>
    </row>
    <row r="333" spans="1:8" x14ac:dyDescent="0.3">
      <c r="A333" s="400"/>
      <c r="B333" s="709">
        <v>92772</v>
      </c>
      <c r="C333" s="710" t="s">
        <v>621</v>
      </c>
      <c r="D333" s="709" t="s">
        <v>175</v>
      </c>
      <c r="E333" s="716">
        <v>8.08</v>
      </c>
      <c r="F333" s="717">
        <v>0</v>
      </c>
      <c r="G333">
        <f>VLOOKUP(B333,'SINAPI-%MO'!B:E,4,0)</f>
        <v>8.1699999999999995E-2</v>
      </c>
      <c r="H333" s="225">
        <f t="shared" si="5"/>
        <v>7.41</v>
      </c>
    </row>
    <row r="334" spans="1:8" x14ac:dyDescent="0.3">
      <c r="A334" s="400"/>
      <c r="B334" s="709">
        <v>92773</v>
      </c>
      <c r="C334" s="710" t="s">
        <v>622</v>
      </c>
      <c r="D334" s="709" t="s">
        <v>175</v>
      </c>
      <c r="E334" s="716">
        <v>7.89</v>
      </c>
      <c r="F334" s="717">
        <v>0</v>
      </c>
      <c r="G334">
        <f>VLOOKUP(B334,'SINAPI-%MO'!B:E,4,0)</f>
        <v>6.2100000000000002E-2</v>
      </c>
      <c r="H334" s="225">
        <f t="shared" si="5"/>
        <v>7.4</v>
      </c>
    </row>
    <row r="335" spans="1:8" x14ac:dyDescent="0.3">
      <c r="A335" s="400"/>
      <c r="B335" s="709">
        <v>92774</v>
      </c>
      <c r="C335" s="710" t="s">
        <v>623</v>
      </c>
      <c r="D335" s="709" t="s">
        <v>175</v>
      </c>
      <c r="E335" s="716">
        <v>9.08</v>
      </c>
      <c r="F335" s="717">
        <v>0</v>
      </c>
      <c r="G335">
        <f>VLOOKUP(B335,'SINAPI-%MO'!B:E,4,0)</f>
        <v>4.5199999999999997E-2</v>
      </c>
      <c r="H335" s="225">
        <f t="shared" si="5"/>
        <v>8.66</v>
      </c>
    </row>
    <row r="336" spans="1:8" x14ac:dyDescent="0.3">
      <c r="A336" s="400"/>
      <c r="B336" s="709">
        <v>92769</v>
      </c>
      <c r="C336" s="710" t="s">
        <v>624</v>
      </c>
      <c r="D336" s="709" t="s">
        <v>175</v>
      </c>
      <c r="E336" s="716">
        <v>11.95</v>
      </c>
      <c r="F336" s="717">
        <v>0</v>
      </c>
      <c r="G336">
        <f>VLOOKUP(B336,'SINAPI-%MO'!B:E,4,0)</f>
        <v>0.2661</v>
      </c>
      <c r="H336" s="225">
        <f t="shared" si="5"/>
        <v>8.77</v>
      </c>
    </row>
    <row r="337" spans="1:8" x14ac:dyDescent="0.3">
      <c r="A337" s="400"/>
      <c r="B337" s="709">
        <v>92770</v>
      </c>
      <c r="C337" s="710" t="s">
        <v>625</v>
      </c>
      <c r="D337" s="709" t="s">
        <v>175</v>
      </c>
      <c r="E337" s="716">
        <v>11.02</v>
      </c>
      <c r="F337" s="717">
        <v>0</v>
      </c>
      <c r="G337">
        <f>VLOOKUP(B337,'SINAPI-%MO'!B:E,4,0)</f>
        <v>0.1797</v>
      </c>
      <c r="H337" s="225">
        <f t="shared" si="5"/>
        <v>9.0299999999999994</v>
      </c>
    </row>
    <row r="338" spans="1:8" x14ac:dyDescent="0.3">
      <c r="A338" s="400"/>
      <c r="B338" s="709">
        <v>92767</v>
      </c>
      <c r="C338" s="710" t="s">
        <v>626</v>
      </c>
      <c r="D338" s="709" t="s">
        <v>175</v>
      </c>
      <c r="E338" s="716">
        <v>15.15</v>
      </c>
      <c r="F338" s="717">
        <v>0</v>
      </c>
      <c r="G338">
        <f>VLOOKUP(B338,'SINAPI-%MO'!B:E,4,0)</f>
        <v>0.46200000000000002</v>
      </c>
      <c r="H338" s="225">
        <f t="shared" si="5"/>
        <v>8.15</v>
      </c>
    </row>
    <row r="339" spans="1:8" x14ac:dyDescent="0.3">
      <c r="A339" s="400"/>
      <c r="B339" s="709">
        <v>92768</v>
      </c>
      <c r="C339" s="710" t="s">
        <v>627</v>
      </c>
      <c r="D339" s="709" t="s">
        <v>175</v>
      </c>
      <c r="E339" s="716">
        <v>13.03</v>
      </c>
      <c r="F339" s="717">
        <v>0</v>
      </c>
      <c r="G339">
        <f>VLOOKUP(B339,'SINAPI-%MO'!B:E,4,0)</f>
        <v>0.38219999999999998</v>
      </c>
      <c r="H339" s="225">
        <f t="shared" si="5"/>
        <v>8.0399999999999991</v>
      </c>
    </row>
    <row r="340" spans="1:8" x14ac:dyDescent="0.3">
      <c r="A340" s="400"/>
      <c r="B340" s="709">
        <v>92762</v>
      </c>
      <c r="C340" s="710" t="s">
        <v>628</v>
      </c>
      <c r="D340" s="709" t="s">
        <v>175</v>
      </c>
      <c r="E340" s="716">
        <v>10.210000000000001</v>
      </c>
      <c r="F340" s="717">
        <v>0</v>
      </c>
      <c r="G340">
        <f>VLOOKUP(B340,'SINAPI-%MO'!B:E,4,0)</f>
        <v>0.16450000000000001</v>
      </c>
      <c r="H340" s="225">
        <f t="shared" si="5"/>
        <v>8.5299999999999994</v>
      </c>
    </row>
    <row r="341" spans="1:8" x14ac:dyDescent="0.3">
      <c r="A341" s="400"/>
      <c r="B341" s="709">
        <v>92763</v>
      </c>
      <c r="C341" s="710" t="s">
        <v>629</v>
      </c>
      <c r="D341" s="709" t="s">
        <v>175</v>
      </c>
      <c r="E341" s="716">
        <v>8.51</v>
      </c>
      <c r="F341" s="717">
        <v>0</v>
      </c>
      <c r="G341">
        <f>VLOOKUP(B341,'SINAPI-%MO'!B:E,4,0)</f>
        <v>0.1246</v>
      </c>
      <c r="H341" s="225">
        <f t="shared" si="5"/>
        <v>7.44</v>
      </c>
    </row>
    <row r="342" spans="1:8" x14ac:dyDescent="0.3">
      <c r="A342" s="400"/>
      <c r="B342" s="709">
        <v>92764</v>
      </c>
      <c r="C342" s="710" t="s">
        <v>630</v>
      </c>
      <c r="D342" s="709" t="s">
        <v>175</v>
      </c>
      <c r="E342" s="716">
        <v>8.16</v>
      </c>
      <c r="F342" s="717">
        <v>0</v>
      </c>
      <c r="G342">
        <f>VLOOKUP(B342,'SINAPI-%MO'!B:E,4,0)</f>
        <v>9.0700000000000003E-2</v>
      </c>
      <c r="H342" s="225">
        <f t="shared" si="5"/>
        <v>7.41</v>
      </c>
    </row>
    <row r="343" spans="1:8" x14ac:dyDescent="0.3">
      <c r="A343" s="400"/>
      <c r="B343" s="709">
        <v>92765</v>
      </c>
      <c r="C343" s="710" t="s">
        <v>631</v>
      </c>
      <c r="D343" s="709" t="s">
        <v>175</v>
      </c>
      <c r="E343" s="716">
        <v>9.24</v>
      </c>
      <c r="F343" s="717">
        <v>0</v>
      </c>
      <c r="G343">
        <f>VLOOKUP(B343,'SINAPI-%MO'!B:E,4,0)</f>
        <v>6.0600000000000001E-2</v>
      </c>
      <c r="H343" s="225">
        <f t="shared" si="5"/>
        <v>8.68</v>
      </c>
    </row>
    <row r="344" spans="1:8" x14ac:dyDescent="0.3">
      <c r="A344" s="400"/>
      <c r="B344" s="709">
        <v>92766</v>
      </c>
      <c r="C344" s="710" t="s">
        <v>632</v>
      </c>
      <c r="D344" s="709" t="s">
        <v>175</v>
      </c>
      <c r="E344" s="716">
        <v>9.1199999999999992</v>
      </c>
      <c r="F344" s="717">
        <v>0</v>
      </c>
      <c r="G344">
        <f>VLOOKUP(B344,'SINAPI-%MO'!B:E,4,0)</f>
        <v>4.9299999999999997E-2</v>
      </c>
      <c r="H344" s="225">
        <f t="shared" si="5"/>
        <v>8.67</v>
      </c>
    </row>
    <row r="345" spans="1:8" x14ac:dyDescent="0.3">
      <c r="A345" s="400"/>
      <c r="B345" s="709">
        <v>104105</v>
      </c>
      <c r="C345" s="710" t="s">
        <v>633</v>
      </c>
      <c r="D345" s="709" t="s">
        <v>175</v>
      </c>
      <c r="E345" s="716">
        <v>9.7899999999999991</v>
      </c>
      <c r="F345" s="717">
        <v>0</v>
      </c>
      <c r="G345">
        <f>VLOOKUP(B345,'SINAPI-%MO'!B:E,4,0)</f>
        <v>3.3700000000000001E-2</v>
      </c>
      <c r="H345" s="225">
        <f t="shared" si="5"/>
        <v>9.4600000000000009</v>
      </c>
    </row>
    <row r="346" spans="1:8" x14ac:dyDescent="0.3">
      <c r="A346" s="400"/>
      <c r="B346" s="709">
        <v>92760</v>
      </c>
      <c r="C346" s="710" t="s">
        <v>634</v>
      </c>
      <c r="D346" s="709" t="s">
        <v>175</v>
      </c>
      <c r="E346" s="716">
        <v>12.57</v>
      </c>
      <c r="F346" s="717">
        <v>0</v>
      </c>
      <c r="G346">
        <f>VLOOKUP(B346,'SINAPI-%MO'!B:E,4,0)</f>
        <v>0.30630000000000002</v>
      </c>
      <c r="H346" s="225">
        <f t="shared" si="5"/>
        <v>8.7100000000000009</v>
      </c>
    </row>
    <row r="347" spans="1:8" x14ac:dyDescent="0.3">
      <c r="A347" s="400"/>
      <c r="B347" s="709">
        <v>92761</v>
      </c>
      <c r="C347" s="710" t="s">
        <v>635</v>
      </c>
      <c r="D347" s="709" t="s">
        <v>175</v>
      </c>
      <c r="E347" s="716">
        <v>11.58</v>
      </c>
      <c r="F347" s="717">
        <v>0</v>
      </c>
      <c r="G347">
        <f>VLOOKUP(B347,'SINAPI-%MO'!B:E,4,0)</f>
        <v>0.21929999999999999</v>
      </c>
      <c r="H347" s="225">
        <f t="shared" si="5"/>
        <v>9.0399999999999991</v>
      </c>
    </row>
    <row r="348" spans="1:8" x14ac:dyDescent="0.3">
      <c r="A348" s="400"/>
      <c r="B348" s="709">
        <v>92759</v>
      </c>
      <c r="C348" s="710" t="s">
        <v>636</v>
      </c>
      <c r="D348" s="709" t="s">
        <v>175</v>
      </c>
      <c r="E348" s="716">
        <v>13.73</v>
      </c>
      <c r="F348" s="717">
        <v>0</v>
      </c>
      <c r="G348">
        <f>VLOOKUP(B348,'SINAPI-%MO'!B:E,4,0)</f>
        <v>0.42320000000000002</v>
      </c>
      <c r="H348" s="225">
        <f t="shared" si="5"/>
        <v>7.91</v>
      </c>
    </row>
    <row r="349" spans="1:8" x14ac:dyDescent="0.3">
      <c r="A349" s="400"/>
      <c r="B349" s="709">
        <v>104108</v>
      </c>
      <c r="C349" s="710" t="s">
        <v>637</v>
      </c>
      <c r="D349" s="709" t="s">
        <v>175</v>
      </c>
      <c r="E349" s="716">
        <v>12.2</v>
      </c>
      <c r="F349" s="717">
        <v>0</v>
      </c>
      <c r="G349">
        <f>VLOOKUP(B349,'SINAPI-%MO'!B:E,4,0)</f>
        <v>0.30080000000000001</v>
      </c>
      <c r="H349" s="225">
        <f t="shared" si="5"/>
        <v>8.5299999999999994</v>
      </c>
    </row>
    <row r="350" spans="1:8" x14ac:dyDescent="0.3">
      <c r="A350" s="400"/>
      <c r="B350" s="709">
        <v>104107</v>
      </c>
      <c r="C350" s="710" t="s">
        <v>638</v>
      </c>
      <c r="D350" s="709" t="s">
        <v>175</v>
      </c>
      <c r="E350" s="716">
        <v>10.220000000000001</v>
      </c>
      <c r="F350" s="717">
        <v>0</v>
      </c>
      <c r="G350">
        <f>VLOOKUP(B350,'SINAPI-%MO'!B:E,4,0)</f>
        <v>0.27100000000000002</v>
      </c>
      <c r="H350" s="225">
        <f t="shared" si="5"/>
        <v>7.45</v>
      </c>
    </row>
    <row r="351" spans="1:8" x14ac:dyDescent="0.3">
      <c r="A351" s="400"/>
      <c r="B351" s="709">
        <v>104106</v>
      </c>
      <c r="C351" s="710" t="s">
        <v>639</v>
      </c>
      <c r="D351" s="709" t="s">
        <v>175</v>
      </c>
      <c r="E351" s="716">
        <v>9.4600000000000009</v>
      </c>
      <c r="F351" s="717">
        <v>0</v>
      </c>
      <c r="G351">
        <f>VLOOKUP(B351,'SINAPI-%MO'!B:E,4,0)</f>
        <v>0.21560000000000001</v>
      </c>
      <c r="H351" s="225">
        <f t="shared" si="5"/>
        <v>7.42</v>
      </c>
    </row>
    <row r="352" spans="1:8" x14ac:dyDescent="0.3">
      <c r="A352" s="400"/>
      <c r="B352" s="709">
        <v>104110</v>
      </c>
      <c r="C352" s="710" t="s">
        <v>640</v>
      </c>
      <c r="D352" s="709" t="s">
        <v>175</v>
      </c>
      <c r="E352" s="716">
        <v>17.86</v>
      </c>
      <c r="F352" s="717">
        <v>0</v>
      </c>
      <c r="G352">
        <f>VLOOKUP(B352,'SINAPI-%MO'!B:E,4,0)</f>
        <v>0.51180000000000003</v>
      </c>
      <c r="H352" s="225">
        <f t="shared" si="5"/>
        <v>8.7100000000000009</v>
      </c>
    </row>
    <row r="353" spans="1:8" x14ac:dyDescent="0.3">
      <c r="A353" s="400"/>
      <c r="B353" s="709">
        <v>104109</v>
      </c>
      <c r="C353" s="710" t="s">
        <v>641</v>
      </c>
      <c r="D353" s="709" t="s">
        <v>175</v>
      </c>
      <c r="E353" s="716">
        <v>15.33</v>
      </c>
      <c r="F353" s="717">
        <v>0</v>
      </c>
      <c r="G353">
        <f>VLOOKUP(B353,'SINAPI-%MO'!B:E,4,0)</f>
        <v>0.4103</v>
      </c>
      <c r="H353" s="225">
        <f t="shared" si="5"/>
        <v>9.0399999999999991</v>
      </c>
    </row>
    <row r="354" spans="1:8" x14ac:dyDescent="0.3">
      <c r="A354" s="400"/>
      <c r="B354" s="709">
        <v>104111</v>
      </c>
      <c r="C354" s="710" t="s">
        <v>642</v>
      </c>
      <c r="D354" s="709" t="s">
        <v>175</v>
      </c>
      <c r="E354" s="716">
        <v>20.88</v>
      </c>
      <c r="F354" s="717">
        <v>0</v>
      </c>
      <c r="G354">
        <f>VLOOKUP(B354,'SINAPI-%MO'!B:E,4,0)</f>
        <v>0.62070000000000003</v>
      </c>
      <c r="H354" s="225">
        <f t="shared" si="5"/>
        <v>7.91</v>
      </c>
    </row>
    <row r="355" spans="1:8" x14ac:dyDescent="0.3">
      <c r="A355" s="400"/>
      <c r="B355" s="709">
        <v>92884</v>
      </c>
      <c r="C355" s="710" t="s">
        <v>643</v>
      </c>
      <c r="D355" s="709" t="s">
        <v>175</v>
      </c>
      <c r="E355" s="716">
        <v>11.4</v>
      </c>
      <c r="F355" s="717">
        <v>0</v>
      </c>
      <c r="G355">
        <f>VLOOKUP(B355,'SINAPI-%MO'!B:E,4,0)</f>
        <v>0.2</v>
      </c>
      <c r="H355" s="225">
        <f t="shared" si="5"/>
        <v>9.1199999999999992</v>
      </c>
    </row>
    <row r="356" spans="1:8" x14ac:dyDescent="0.3">
      <c r="A356" s="400"/>
      <c r="B356" s="709">
        <v>92885</v>
      </c>
      <c r="C356" s="710" t="s">
        <v>644</v>
      </c>
      <c r="D356" s="709" t="s">
        <v>175</v>
      </c>
      <c r="E356" s="716">
        <v>10.69</v>
      </c>
      <c r="F356" s="717">
        <v>0</v>
      </c>
      <c r="G356">
        <f>VLOOKUP(B356,'SINAPI-%MO'!B:E,4,0)</f>
        <v>0.1487</v>
      </c>
      <c r="H356" s="225">
        <f t="shared" si="5"/>
        <v>9.1</v>
      </c>
    </row>
    <row r="357" spans="1:8" x14ac:dyDescent="0.3">
      <c r="A357" s="400"/>
      <c r="B357" s="709">
        <v>92886</v>
      </c>
      <c r="C357" s="710" t="s">
        <v>645</v>
      </c>
      <c r="D357" s="709" t="s">
        <v>175</v>
      </c>
      <c r="E357" s="716">
        <v>10.09</v>
      </c>
      <c r="F357" s="717">
        <v>0</v>
      </c>
      <c r="G357">
        <f>VLOOKUP(B357,'SINAPI-%MO'!B:E,4,0)</f>
        <v>0.1011</v>
      </c>
      <c r="H357" s="225">
        <f t="shared" si="5"/>
        <v>9.06</v>
      </c>
    </row>
    <row r="358" spans="1:8" x14ac:dyDescent="0.3">
      <c r="A358" s="400"/>
      <c r="B358" s="709">
        <v>92887</v>
      </c>
      <c r="C358" s="710" t="s">
        <v>646</v>
      </c>
      <c r="D358" s="709" t="s">
        <v>175</v>
      </c>
      <c r="E358" s="716">
        <v>9.9499999999999993</v>
      </c>
      <c r="F358" s="717">
        <v>0</v>
      </c>
      <c r="G358">
        <f>VLOOKUP(B358,'SINAPI-%MO'!B:E,4,0)</f>
        <v>6.6299999999999998E-2</v>
      </c>
      <c r="H358" s="225">
        <f t="shared" si="5"/>
        <v>9.2899999999999991</v>
      </c>
    </row>
    <row r="359" spans="1:8" x14ac:dyDescent="0.3">
      <c r="A359" s="400"/>
      <c r="B359" s="709">
        <v>92888</v>
      </c>
      <c r="C359" s="710" t="s">
        <v>647</v>
      </c>
      <c r="D359" s="709" t="s">
        <v>175</v>
      </c>
      <c r="E359" s="716">
        <v>9.66</v>
      </c>
      <c r="F359" s="717">
        <v>0</v>
      </c>
      <c r="G359">
        <f>VLOOKUP(B359,'SINAPI-%MO'!B:E,4,0)</f>
        <v>3.9300000000000002E-2</v>
      </c>
      <c r="H359" s="225">
        <f t="shared" si="5"/>
        <v>9.2799999999999994</v>
      </c>
    </row>
    <row r="360" spans="1:8" x14ac:dyDescent="0.3">
      <c r="A360" s="400"/>
      <c r="B360" s="709">
        <v>92882</v>
      </c>
      <c r="C360" s="710" t="s">
        <v>648</v>
      </c>
      <c r="D360" s="709" t="s">
        <v>175</v>
      </c>
      <c r="E360" s="716">
        <v>12.79</v>
      </c>
      <c r="F360" s="717">
        <v>0</v>
      </c>
      <c r="G360">
        <f>VLOOKUP(B360,'SINAPI-%MO'!B:E,4,0)</f>
        <v>0.3745</v>
      </c>
      <c r="H360" s="225">
        <f t="shared" si="5"/>
        <v>8</v>
      </c>
    </row>
    <row r="361" spans="1:8" x14ac:dyDescent="0.3">
      <c r="A361" s="400"/>
      <c r="B361" s="709">
        <v>92883</v>
      </c>
      <c r="C361" s="710" t="s">
        <v>649</v>
      </c>
      <c r="D361" s="709" t="s">
        <v>175</v>
      </c>
      <c r="E361" s="716">
        <v>11.5</v>
      </c>
      <c r="F361" s="717">
        <v>0</v>
      </c>
      <c r="G361">
        <f>VLOOKUP(B361,'SINAPI-%MO'!B:E,4,0)</f>
        <v>0.28349999999999997</v>
      </c>
      <c r="H361" s="225">
        <f t="shared" si="5"/>
        <v>8.23</v>
      </c>
    </row>
    <row r="362" spans="1:8" x14ac:dyDescent="0.3">
      <c r="A362" s="400"/>
      <c r="B362" s="709">
        <v>92877</v>
      </c>
      <c r="C362" s="710" t="s">
        <v>650</v>
      </c>
      <c r="D362" s="709" t="s">
        <v>175</v>
      </c>
      <c r="E362" s="716">
        <v>8.9499999999999993</v>
      </c>
      <c r="F362" s="717">
        <v>0</v>
      </c>
      <c r="G362">
        <f>VLOOKUP(B362,'SINAPI-%MO'!B:E,4,0)</f>
        <v>4.6899999999999997E-2</v>
      </c>
      <c r="H362" s="225">
        <f t="shared" si="5"/>
        <v>8.5299999999999994</v>
      </c>
    </row>
    <row r="363" spans="1:8" x14ac:dyDescent="0.3">
      <c r="A363" s="400"/>
      <c r="B363" s="709">
        <v>92878</v>
      </c>
      <c r="C363" s="710" t="s">
        <v>651</v>
      </c>
      <c r="D363" s="709" t="s">
        <v>175</v>
      </c>
      <c r="E363" s="716">
        <v>8.76</v>
      </c>
      <c r="F363" s="717">
        <v>0</v>
      </c>
      <c r="G363">
        <f>VLOOKUP(B363,'SINAPI-%MO'!B:E,4,0)</f>
        <v>2.63E-2</v>
      </c>
      <c r="H363" s="225">
        <f t="shared" si="5"/>
        <v>8.52</v>
      </c>
    </row>
    <row r="364" spans="1:8" x14ac:dyDescent="0.3">
      <c r="A364" s="400"/>
      <c r="B364" s="709">
        <v>92879</v>
      </c>
      <c r="C364" s="710" t="s">
        <v>652</v>
      </c>
      <c r="D364" s="709" t="s">
        <v>175</v>
      </c>
      <c r="E364" s="716">
        <v>8.64</v>
      </c>
      <c r="F364" s="717">
        <v>0</v>
      </c>
      <c r="G364">
        <f>VLOOKUP(B364,'SINAPI-%MO'!B:E,4,0)</f>
        <v>1.2699999999999999E-2</v>
      </c>
      <c r="H364" s="225">
        <f t="shared" si="5"/>
        <v>8.5299999999999994</v>
      </c>
    </row>
    <row r="365" spans="1:8" x14ac:dyDescent="0.3">
      <c r="A365" s="400"/>
      <c r="B365" s="709">
        <v>92880</v>
      </c>
      <c r="C365" s="710" t="s">
        <v>653</v>
      </c>
      <c r="D365" s="709" t="s">
        <v>175</v>
      </c>
      <c r="E365" s="716">
        <v>8.82</v>
      </c>
      <c r="F365" s="717">
        <v>0</v>
      </c>
      <c r="G365">
        <f>VLOOKUP(B365,'SINAPI-%MO'!B:E,4,0)</f>
        <v>6.7999999999999996E-3</v>
      </c>
      <c r="H365" s="225">
        <f t="shared" si="5"/>
        <v>8.76</v>
      </c>
    </row>
    <row r="366" spans="1:8" x14ac:dyDescent="0.3">
      <c r="A366" s="400"/>
      <c r="B366" s="709">
        <v>92881</v>
      </c>
      <c r="C366" s="710" t="s">
        <v>654</v>
      </c>
      <c r="D366" s="709" t="s">
        <v>175</v>
      </c>
      <c r="E366" s="716">
        <v>8.7899999999999991</v>
      </c>
      <c r="F366" s="717">
        <v>0</v>
      </c>
      <c r="G366">
        <f>VLOOKUP(B366,'SINAPI-%MO'!B:E,4,0)</f>
        <v>3.3999999999999998E-3</v>
      </c>
      <c r="H366" s="225">
        <f t="shared" si="5"/>
        <v>8.76</v>
      </c>
    </row>
    <row r="367" spans="1:8" x14ac:dyDescent="0.3">
      <c r="A367" s="400"/>
      <c r="B367" s="709">
        <v>92875</v>
      </c>
      <c r="C367" s="710" t="s">
        <v>655</v>
      </c>
      <c r="D367" s="709" t="s">
        <v>175</v>
      </c>
      <c r="E367" s="716">
        <v>8.8000000000000007</v>
      </c>
      <c r="F367" s="717">
        <v>0</v>
      </c>
      <c r="G367">
        <f>VLOOKUP(B367,'SINAPI-%MO'!B:E,4,0)</f>
        <v>0.1648</v>
      </c>
      <c r="H367" s="225">
        <f t="shared" si="5"/>
        <v>7.34</v>
      </c>
    </row>
    <row r="368" spans="1:8" x14ac:dyDescent="0.3">
      <c r="A368" s="400"/>
      <c r="B368" s="709">
        <v>92876</v>
      </c>
      <c r="C368" s="710" t="s">
        <v>656</v>
      </c>
      <c r="D368" s="709" t="s">
        <v>175</v>
      </c>
      <c r="E368" s="716">
        <v>8.39</v>
      </c>
      <c r="F368" s="717">
        <v>0</v>
      </c>
      <c r="G368">
        <f>VLOOKUP(B368,'SINAPI-%MO'!B:E,4,0)</f>
        <v>9.1800000000000007E-2</v>
      </c>
      <c r="H368" s="225">
        <f t="shared" si="5"/>
        <v>7.61</v>
      </c>
    </row>
    <row r="369" spans="1:8" x14ac:dyDescent="0.3">
      <c r="A369" s="400"/>
      <c r="B369" s="709">
        <v>92803</v>
      </c>
      <c r="C369" s="710" t="s">
        <v>657</v>
      </c>
      <c r="D369" s="709" t="s">
        <v>175</v>
      </c>
      <c r="E369" s="716">
        <v>8.24</v>
      </c>
      <c r="F369" s="717">
        <v>0</v>
      </c>
      <c r="G369">
        <f>VLOOKUP(B369,'SINAPI-%MO'!B:E,4,0)</f>
        <v>3.6400000000000002E-2</v>
      </c>
      <c r="H369" s="225">
        <f t="shared" si="5"/>
        <v>7.94</v>
      </c>
    </row>
    <row r="370" spans="1:8" x14ac:dyDescent="0.3">
      <c r="A370" s="400"/>
      <c r="B370" s="709">
        <v>92804</v>
      </c>
      <c r="C370" s="710" t="s">
        <v>658</v>
      </c>
      <c r="D370" s="709" t="s">
        <v>175</v>
      </c>
      <c r="E370" s="716">
        <v>7.04</v>
      </c>
      <c r="F370" s="717">
        <v>0</v>
      </c>
      <c r="G370">
        <f>VLOOKUP(B370,'SINAPI-%MO'!B:E,4,0)</f>
        <v>2.2700000000000001E-2</v>
      </c>
      <c r="H370" s="225">
        <f t="shared" si="5"/>
        <v>6.88</v>
      </c>
    </row>
    <row r="371" spans="1:8" x14ac:dyDescent="0.3">
      <c r="A371" s="400"/>
      <c r="B371" s="709">
        <v>92805</v>
      </c>
      <c r="C371" s="710" t="s">
        <v>659</v>
      </c>
      <c r="D371" s="709" t="s">
        <v>175</v>
      </c>
      <c r="E371" s="716">
        <v>6.95</v>
      </c>
      <c r="F371" s="717">
        <v>0</v>
      </c>
      <c r="G371">
        <f>VLOOKUP(B371,'SINAPI-%MO'!B:E,4,0)</f>
        <v>1.01E-2</v>
      </c>
      <c r="H371" s="225">
        <f t="shared" si="5"/>
        <v>6.87</v>
      </c>
    </row>
    <row r="372" spans="1:8" x14ac:dyDescent="0.3">
      <c r="A372" s="400"/>
      <c r="B372" s="709">
        <v>92806</v>
      </c>
      <c r="C372" s="710" t="s">
        <v>660</v>
      </c>
      <c r="D372" s="709" t="s">
        <v>175</v>
      </c>
      <c r="E372" s="716">
        <v>8.19</v>
      </c>
      <c r="F372" s="717">
        <v>0</v>
      </c>
      <c r="G372">
        <f>VLOOKUP(B372,'SINAPI-%MO'!B:E,4,0)</f>
        <v>4.8999999999999998E-3</v>
      </c>
      <c r="H372" s="225">
        <f t="shared" si="5"/>
        <v>8.14</v>
      </c>
    </row>
    <row r="373" spans="1:8" x14ac:dyDescent="0.3">
      <c r="A373" s="400"/>
      <c r="B373" s="709">
        <v>92798</v>
      </c>
      <c r="C373" s="710" t="s">
        <v>661</v>
      </c>
      <c r="D373" s="709" t="s">
        <v>175</v>
      </c>
      <c r="E373" s="716">
        <v>8.18</v>
      </c>
      <c r="F373" s="717">
        <v>0</v>
      </c>
      <c r="G373">
        <f>VLOOKUP(B373,'SINAPI-%MO'!B:E,4,0)</f>
        <v>3.7000000000000002E-3</v>
      </c>
      <c r="H373" s="225">
        <f t="shared" si="5"/>
        <v>8.14</v>
      </c>
    </row>
    <row r="374" spans="1:8" x14ac:dyDescent="0.3">
      <c r="A374" s="400"/>
      <c r="B374" s="709">
        <v>95448</v>
      </c>
      <c r="C374" s="710" t="s">
        <v>662</v>
      </c>
      <c r="D374" s="709" t="s">
        <v>175</v>
      </c>
      <c r="E374" s="716">
        <v>8.9499999999999993</v>
      </c>
      <c r="F374" s="717">
        <v>0</v>
      </c>
      <c r="G374">
        <f>VLOOKUP(B374,'SINAPI-%MO'!B:E,4,0)</f>
        <v>1.1000000000000001E-3</v>
      </c>
      <c r="H374" s="225">
        <f t="shared" si="5"/>
        <v>8.94</v>
      </c>
    </row>
    <row r="375" spans="1:8" x14ac:dyDescent="0.3">
      <c r="A375" s="400"/>
      <c r="B375" s="709">
        <v>92801</v>
      </c>
      <c r="C375" s="710" t="s">
        <v>663</v>
      </c>
      <c r="D375" s="709" t="s">
        <v>175</v>
      </c>
      <c r="E375" s="716">
        <v>9.15</v>
      </c>
      <c r="F375" s="717">
        <v>0</v>
      </c>
      <c r="G375">
        <f>VLOOKUP(B375,'SINAPI-%MO'!B:E,4,0)</f>
        <v>0.11799999999999999</v>
      </c>
      <c r="H375" s="225">
        <f t="shared" si="5"/>
        <v>8.07</v>
      </c>
    </row>
    <row r="376" spans="1:8" x14ac:dyDescent="0.3">
      <c r="A376" s="400"/>
      <c r="B376" s="709">
        <v>92802</v>
      </c>
      <c r="C376" s="710" t="s">
        <v>664</v>
      </c>
      <c r="D376" s="709" t="s">
        <v>175</v>
      </c>
      <c r="E376" s="716">
        <v>8.99</v>
      </c>
      <c r="F376" s="717">
        <v>0</v>
      </c>
      <c r="G376">
        <f>VLOOKUP(B376,'SINAPI-%MO'!B:E,4,0)</f>
        <v>6.3399999999999998E-2</v>
      </c>
      <c r="H376" s="225">
        <f t="shared" si="5"/>
        <v>8.42</v>
      </c>
    </row>
    <row r="377" spans="1:8" x14ac:dyDescent="0.3">
      <c r="A377" s="400"/>
      <c r="B377" s="709">
        <v>92799</v>
      </c>
      <c r="C377" s="710" t="s">
        <v>665</v>
      </c>
      <c r="D377" s="709" t="s">
        <v>175</v>
      </c>
      <c r="E377" s="716">
        <v>10.53</v>
      </c>
      <c r="F377" s="717">
        <v>0</v>
      </c>
      <c r="G377">
        <f>VLOOKUP(B377,'SINAPI-%MO'!B:E,4,0)</f>
        <v>0.31240000000000001</v>
      </c>
      <c r="H377" s="225">
        <f t="shared" si="5"/>
        <v>7.24</v>
      </c>
    </row>
    <row r="378" spans="1:8" x14ac:dyDescent="0.3">
      <c r="A378" s="400"/>
      <c r="B378" s="709">
        <v>92800</v>
      </c>
      <c r="C378" s="710" t="s">
        <v>666</v>
      </c>
      <c r="D378" s="709" t="s">
        <v>175</v>
      </c>
      <c r="E378" s="716">
        <v>9.2799999999999994</v>
      </c>
      <c r="F378" s="717">
        <v>0</v>
      </c>
      <c r="G378">
        <f>VLOOKUP(B378,'SINAPI-%MO'!B:E,4,0)</f>
        <v>0.2198</v>
      </c>
      <c r="H378" s="225">
        <f t="shared" si="5"/>
        <v>7.24</v>
      </c>
    </row>
    <row r="379" spans="1:8" x14ac:dyDescent="0.3">
      <c r="A379" s="400"/>
      <c r="B379" s="709">
        <v>95605</v>
      </c>
      <c r="C379" s="710" t="s">
        <v>667</v>
      </c>
      <c r="D379" s="709" t="s">
        <v>136</v>
      </c>
      <c r="E379" s="716">
        <v>164.69</v>
      </c>
      <c r="F379" s="717">
        <v>0</v>
      </c>
      <c r="G379">
        <f>VLOOKUP(B379,'SINAPI-%MO'!B:E,4,0)</f>
        <v>0.96209999999999996</v>
      </c>
      <c r="H379" s="225">
        <f t="shared" si="5"/>
        <v>6.24</v>
      </c>
    </row>
    <row r="380" spans="1:8" x14ac:dyDescent="0.3">
      <c r="A380" s="400"/>
      <c r="B380" s="709">
        <v>95602</v>
      </c>
      <c r="C380" s="710" t="s">
        <v>668</v>
      </c>
      <c r="D380" s="709" t="s">
        <v>136</v>
      </c>
      <c r="E380" s="716">
        <v>33.880000000000003</v>
      </c>
      <c r="F380" s="717">
        <v>0</v>
      </c>
      <c r="G380">
        <f>VLOOKUP(B380,'SINAPI-%MO'!B:E,4,0)</f>
        <v>0.96220000000000006</v>
      </c>
      <c r="H380" s="225">
        <f t="shared" si="5"/>
        <v>1.28</v>
      </c>
    </row>
    <row r="381" spans="1:8" x14ac:dyDescent="0.3">
      <c r="A381" s="400"/>
      <c r="B381" s="709">
        <v>95603</v>
      </c>
      <c r="C381" s="710" t="s">
        <v>669</v>
      </c>
      <c r="D381" s="709" t="s">
        <v>136</v>
      </c>
      <c r="E381" s="716">
        <v>57.8</v>
      </c>
      <c r="F381" s="717">
        <v>0</v>
      </c>
      <c r="G381">
        <f>VLOOKUP(B381,'SINAPI-%MO'!B:E,4,0)</f>
        <v>0.96209999999999996</v>
      </c>
      <c r="H381" s="225">
        <f t="shared" si="5"/>
        <v>2.19</v>
      </c>
    </row>
    <row r="382" spans="1:8" x14ac:dyDescent="0.3">
      <c r="A382" s="400"/>
      <c r="B382" s="709">
        <v>95604</v>
      </c>
      <c r="C382" s="710" t="s">
        <v>670</v>
      </c>
      <c r="D382" s="709" t="s">
        <v>136</v>
      </c>
      <c r="E382" s="716">
        <v>89.7</v>
      </c>
      <c r="F382" s="717">
        <v>0</v>
      </c>
      <c r="G382">
        <f>VLOOKUP(B382,'SINAPI-%MO'!B:E,4,0)</f>
        <v>0.96209999999999996</v>
      </c>
      <c r="H382" s="225">
        <f t="shared" si="5"/>
        <v>3.39</v>
      </c>
    </row>
    <row r="383" spans="1:8" x14ac:dyDescent="0.3">
      <c r="A383" s="400"/>
      <c r="B383" s="709">
        <v>95601</v>
      </c>
      <c r="C383" s="710" t="s">
        <v>671</v>
      </c>
      <c r="D383" s="709" t="s">
        <v>136</v>
      </c>
      <c r="E383" s="716">
        <v>21.16</v>
      </c>
      <c r="F383" s="717">
        <v>0</v>
      </c>
      <c r="G383">
        <f>VLOOKUP(B383,'SINAPI-%MO'!B:E,4,0)</f>
        <v>0.96220000000000006</v>
      </c>
      <c r="H383" s="225">
        <f t="shared" si="5"/>
        <v>0.79</v>
      </c>
    </row>
    <row r="384" spans="1:8" x14ac:dyDescent="0.3">
      <c r="A384" s="400"/>
      <c r="B384" s="709">
        <v>102521</v>
      </c>
      <c r="C384" s="710" t="s">
        <v>672</v>
      </c>
      <c r="D384" s="709" t="s">
        <v>136</v>
      </c>
      <c r="E384" s="716">
        <v>135.87</v>
      </c>
      <c r="F384" s="717">
        <v>0</v>
      </c>
      <c r="G384">
        <f>VLOOKUP(B384,'SINAPI-%MO'!B:E,4,0)</f>
        <v>0.96209999999999996</v>
      </c>
      <c r="H384" s="225">
        <f t="shared" si="5"/>
        <v>5.14</v>
      </c>
    </row>
    <row r="385" spans="1:8" x14ac:dyDescent="0.3">
      <c r="A385" s="400"/>
      <c r="B385" s="709">
        <v>102522</v>
      </c>
      <c r="C385" s="710" t="s">
        <v>673</v>
      </c>
      <c r="D385" s="709" t="s">
        <v>136</v>
      </c>
      <c r="E385" s="716">
        <v>199.33</v>
      </c>
      <c r="F385" s="717">
        <v>0</v>
      </c>
      <c r="G385">
        <f>VLOOKUP(B385,'SINAPI-%MO'!B:E,4,0)</f>
        <v>0.96209999999999996</v>
      </c>
      <c r="H385" s="225">
        <f t="shared" si="5"/>
        <v>7.55</v>
      </c>
    </row>
    <row r="386" spans="1:8" x14ac:dyDescent="0.3">
      <c r="A386" s="400"/>
      <c r="B386" s="709">
        <v>102523</v>
      </c>
      <c r="C386" s="710" t="s">
        <v>674</v>
      </c>
      <c r="D386" s="709" t="s">
        <v>136</v>
      </c>
      <c r="E386" s="716">
        <v>262.79000000000002</v>
      </c>
      <c r="F386" s="717">
        <v>0</v>
      </c>
      <c r="G386">
        <f>VLOOKUP(B386,'SINAPI-%MO'!B:E,4,0)</f>
        <v>0.96209999999999996</v>
      </c>
      <c r="H386" s="225">
        <f t="shared" si="5"/>
        <v>9.9499999999999993</v>
      </c>
    </row>
    <row r="387" spans="1:8" x14ac:dyDescent="0.3">
      <c r="A387" s="400"/>
      <c r="B387" s="709">
        <v>95608</v>
      </c>
      <c r="C387" s="710" t="s">
        <v>675</v>
      </c>
      <c r="D387" s="709" t="s">
        <v>136</v>
      </c>
      <c r="E387" s="716">
        <v>41.5</v>
      </c>
      <c r="F387" s="717">
        <v>0</v>
      </c>
      <c r="G387">
        <f>VLOOKUP(B387,'SINAPI-%MO'!B:E,4,0)</f>
        <v>0.51419999999999999</v>
      </c>
      <c r="H387" s="225">
        <f t="shared" si="5"/>
        <v>20.16</v>
      </c>
    </row>
    <row r="388" spans="1:8" x14ac:dyDescent="0.3">
      <c r="A388" s="400"/>
      <c r="B388" s="709">
        <v>95609</v>
      </c>
      <c r="C388" s="710" t="s">
        <v>676</v>
      </c>
      <c r="D388" s="709" t="s">
        <v>136</v>
      </c>
      <c r="E388" s="716">
        <v>52.63</v>
      </c>
      <c r="F388" s="717">
        <v>0</v>
      </c>
      <c r="G388">
        <f>VLOOKUP(B388,'SINAPI-%MO'!B:E,4,0)</f>
        <v>0.51419999999999999</v>
      </c>
      <c r="H388" s="225">
        <f t="shared" si="5"/>
        <v>25.56</v>
      </c>
    </row>
    <row r="389" spans="1:8" x14ac:dyDescent="0.3">
      <c r="A389" s="400"/>
      <c r="B389" s="709">
        <v>95607</v>
      </c>
      <c r="C389" s="710" t="s">
        <v>677</v>
      </c>
      <c r="D389" s="709" t="s">
        <v>136</v>
      </c>
      <c r="E389" s="716">
        <v>28.61</v>
      </c>
      <c r="F389" s="717">
        <v>0</v>
      </c>
      <c r="G389">
        <f>VLOOKUP(B389,'SINAPI-%MO'!B:E,4,0)</f>
        <v>0.51419999999999999</v>
      </c>
      <c r="H389" s="225">
        <f t="shared" si="5"/>
        <v>13.89</v>
      </c>
    </row>
    <row r="390" spans="1:8" x14ac:dyDescent="0.3">
      <c r="A390" s="400"/>
      <c r="B390" s="709">
        <v>106132</v>
      </c>
      <c r="C390" s="710" t="s">
        <v>14873</v>
      </c>
      <c r="D390" s="709" t="s">
        <v>170</v>
      </c>
      <c r="E390" s="716">
        <v>0</v>
      </c>
      <c r="F390" s="717"/>
      <c r="G390" t="e">
        <f>VLOOKUP(B390,'SINAPI-%MO'!B:E,4,0)</f>
        <v>#N/A</v>
      </c>
      <c r="H390" s="225" t="str">
        <f t="shared" si="5"/>
        <v/>
      </c>
    </row>
    <row r="391" spans="1:8" x14ac:dyDescent="0.3">
      <c r="A391" s="400"/>
      <c r="B391" s="709">
        <v>106133</v>
      </c>
      <c r="C391" s="710" t="s">
        <v>14874</v>
      </c>
      <c r="D391" s="709" t="s">
        <v>170</v>
      </c>
      <c r="E391" s="716">
        <v>0</v>
      </c>
      <c r="F391" s="717"/>
      <c r="G391" t="e">
        <f>VLOOKUP(B391,'SINAPI-%MO'!B:E,4,0)</f>
        <v>#N/A</v>
      </c>
      <c r="H391" s="225" t="str">
        <f t="shared" si="5"/>
        <v/>
      </c>
    </row>
    <row r="392" spans="1:8" x14ac:dyDescent="0.3">
      <c r="A392" s="400"/>
      <c r="B392" s="709">
        <v>95996</v>
      </c>
      <c r="C392" s="710" t="s">
        <v>13265</v>
      </c>
      <c r="D392" s="709" t="s">
        <v>170</v>
      </c>
      <c r="E392" s="716">
        <v>2029.6</v>
      </c>
      <c r="F392" s="717">
        <v>1.9699999999999999E-2</v>
      </c>
      <c r="G392">
        <f>VLOOKUP(B392,'SINAPI-%MO'!B:E,4,0)</f>
        <v>1.83E-2</v>
      </c>
      <c r="H392" s="225">
        <f t="shared" si="5"/>
        <v>1992.45</v>
      </c>
    </row>
    <row r="393" spans="1:8" x14ac:dyDescent="0.3">
      <c r="A393" s="400"/>
      <c r="B393" s="709">
        <v>95995</v>
      </c>
      <c r="C393" s="710" t="s">
        <v>13266</v>
      </c>
      <c r="D393" s="709" t="s">
        <v>170</v>
      </c>
      <c r="E393" s="716">
        <v>2341.0100000000002</v>
      </c>
      <c r="F393" s="717">
        <v>2.3900000000000001E-2</v>
      </c>
      <c r="G393">
        <f>VLOOKUP(B393,'SINAPI-%MO'!B:E,4,0)</f>
        <v>2.2200000000000001E-2</v>
      </c>
      <c r="H393" s="225">
        <f t="shared" si="5"/>
        <v>2289.0300000000002</v>
      </c>
    </row>
    <row r="394" spans="1:8" x14ac:dyDescent="0.3">
      <c r="A394" s="400"/>
      <c r="B394" s="709">
        <v>104372</v>
      </c>
      <c r="C394" s="710" t="s">
        <v>14875</v>
      </c>
      <c r="D394" s="709" t="s">
        <v>170</v>
      </c>
      <c r="E394" s="716">
        <v>0</v>
      </c>
      <c r="F394" s="717"/>
      <c r="G394" t="e">
        <f>VLOOKUP(B394,'SINAPI-%MO'!B:E,4,0)</f>
        <v>#N/A</v>
      </c>
      <c r="H394" s="225" t="str">
        <f t="shared" si="5"/>
        <v/>
      </c>
    </row>
    <row r="395" spans="1:8" x14ac:dyDescent="0.3">
      <c r="A395" s="400"/>
      <c r="B395" s="709">
        <v>104371</v>
      </c>
      <c r="C395" s="710" t="s">
        <v>14876</v>
      </c>
      <c r="D395" s="709" t="s">
        <v>170</v>
      </c>
      <c r="E395" s="716">
        <v>0</v>
      </c>
      <c r="F395" s="717"/>
      <c r="G395" t="e">
        <f>VLOOKUP(B395,'SINAPI-%MO'!B:E,4,0)</f>
        <v>#N/A</v>
      </c>
      <c r="H395" s="225" t="str">
        <f t="shared" ref="H395:H458" si="6">IF(E395&gt;0,TRUNC(E395*(1-G395),2),"")</f>
        <v/>
      </c>
    </row>
    <row r="396" spans="1:8" x14ac:dyDescent="0.3">
      <c r="A396" s="400"/>
      <c r="B396" s="709">
        <v>106138</v>
      </c>
      <c r="C396" s="710" t="s">
        <v>13267</v>
      </c>
      <c r="D396" s="709" t="s">
        <v>168</v>
      </c>
      <c r="E396" s="716">
        <v>8.89</v>
      </c>
      <c r="F396" s="717">
        <v>0.52080000000000004</v>
      </c>
      <c r="G396">
        <f>VLOOKUP(B396,'SINAPI-%MO'!B:E,4,0)</f>
        <v>0.21479999999999999</v>
      </c>
      <c r="H396" s="225">
        <f t="shared" si="6"/>
        <v>6.98</v>
      </c>
    </row>
    <row r="397" spans="1:8" x14ac:dyDescent="0.3">
      <c r="A397" s="400"/>
      <c r="B397" s="709">
        <v>106135</v>
      </c>
      <c r="C397" s="710" t="s">
        <v>13268</v>
      </c>
      <c r="D397" s="709" t="s">
        <v>168</v>
      </c>
      <c r="E397" s="716">
        <v>7.57</v>
      </c>
      <c r="F397" s="717">
        <v>0.54820000000000002</v>
      </c>
      <c r="G397">
        <f>VLOOKUP(B397,'SINAPI-%MO'!B:E,4,0)</f>
        <v>0.18490000000000001</v>
      </c>
      <c r="H397" s="225">
        <f t="shared" si="6"/>
        <v>6.17</v>
      </c>
    </row>
    <row r="398" spans="1:8" x14ac:dyDescent="0.3">
      <c r="A398" s="400"/>
      <c r="B398" s="709">
        <v>106137</v>
      </c>
      <c r="C398" s="710" t="s">
        <v>13269</v>
      </c>
      <c r="D398" s="709" t="s">
        <v>168</v>
      </c>
      <c r="E398" s="716">
        <v>10.29</v>
      </c>
      <c r="F398" s="717">
        <v>0.50239999999999996</v>
      </c>
      <c r="G398">
        <f>VLOOKUP(B398,'SINAPI-%MO'!B:E,4,0)</f>
        <v>0.22450000000000001</v>
      </c>
      <c r="H398" s="225">
        <f t="shared" si="6"/>
        <v>7.97</v>
      </c>
    </row>
    <row r="399" spans="1:8" x14ac:dyDescent="0.3">
      <c r="A399" s="400"/>
      <c r="B399" s="709">
        <v>96001</v>
      </c>
      <c r="C399" s="710" t="s">
        <v>13270</v>
      </c>
      <c r="D399" s="709" t="s">
        <v>168</v>
      </c>
      <c r="E399" s="716">
        <v>8.7100000000000009</v>
      </c>
      <c r="F399" s="717">
        <v>0.52580000000000005</v>
      </c>
      <c r="G399">
        <f>VLOOKUP(B399,'SINAPI-%MO'!B:E,4,0)</f>
        <v>0.1963</v>
      </c>
      <c r="H399" s="225">
        <f t="shared" si="6"/>
        <v>7</v>
      </c>
    </row>
    <row r="400" spans="1:8" x14ac:dyDescent="0.3">
      <c r="A400" s="400"/>
      <c r="B400" s="709">
        <v>106136</v>
      </c>
      <c r="C400" s="710" t="s">
        <v>13271</v>
      </c>
      <c r="D400" s="709" t="s">
        <v>168</v>
      </c>
      <c r="E400" s="716">
        <v>12.03</v>
      </c>
      <c r="F400" s="717">
        <v>0.48459999999999998</v>
      </c>
      <c r="G400">
        <f>VLOOKUP(B400,'SINAPI-%MO'!B:E,4,0)</f>
        <v>0.2361</v>
      </c>
      <c r="H400" s="225">
        <f t="shared" si="6"/>
        <v>9.18</v>
      </c>
    </row>
    <row r="401" spans="1:8" x14ac:dyDescent="0.3">
      <c r="A401" s="400"/>
      <c r="B401" s="709">
        <v>106134</v>
      </c>
      <c r="C401" s="710" t="s">
        <v>13272</v>
      </c>
      <c r="D401" s="709" t="s">
        <v>168</v>
      </c>
      <c r="E401" s="716">
        <v>10.11</v>
      </c>
      <c r="F401" s="717">
        <v>0.50539999999999996</v>
      </c>
      <c r="G401">
        <f>VLOOKUP(B401,'SINAPI-%MO'!B:E,4,0)</f>
        <v>0.20669999999999999</v>
      </c>
      <c r="H401" s="225">
        <f t="shared" si="6"/>
        <v>8.02</v>
      </c>
    </row>
    <row r="402" spans="1:8" x14ac:dyDescent="0.3">
      <c r="A402" s="400"/>
      <c r="B402" s="709">
        <v>94880</v>
      </c>
      <c r="C402" s="710" t="s">
        <v>678</v>
      </c>
      <c r="D402" s="709" t="s">
        <v>159</v>
      </c>
      <c r="E402" s="716">
        <v>45.55</v>
      </c>
      <c r="F402" s="717">
        <v>0</v>
      </c>
      <c r="G402">
        <f>VLOOKUP(B402,'SINAPI-%MO'!B:E,4,0)</f>
        <v>0.39190000000000003</v>
      </c>
      <c r="H402" s="225">
        <f t="shared" si="6"/>
        <v>27.69</v>
      </c>
    </row>
    <row r="403" spans="1:8" x14ac:dyDescent="0.3">
      <c r="A403" s="400"/>
      <c r="B403" s="709">
        <v>94882</v>
      </c>
      <c r="C403" s="710" t="s">
        <v>679</v>
      </c>
      <c r="D403" s="709" t="s">
        <v>159</v>
      </c>
      <c r="E403" s="716">
        <v>52.63</v>
      </c>
      <c r="F403" s="717">
        <v>0</v>
      </c>
      <c r="G403">
        <f>VLOOKUP(B403,'SINAPI-%MO'!B:E,4,0)</f>
        <v>0.40210000000000001</v>
      </c>
      <c r="H403" s="225">
        <f t="shared" si="6"/>
        <v>31.46</v>
      </c>
    </row>
    <row r="404" spans="1:8" x14ac:dyDescent="0.3">
      <c r="A404" s="400"/>
      <c r="B404" s="709">
        <v>94884</v>
      </c>
      <c r="C404" s="710" t="s">
        <v>680</v>
      </c>
      <c r="D404" s="709" t="s">
        <v>159</v>
      </c>
      <c r="E404" s="716">
        <v>66.989999999999995</v>
      </c>
      <c r="F404" s="717">
        <v>0</v>
      </c>
      <c r="G404">
        <f>VLOOKUP(B404,'SINAPI-%MO'!B:E,4,0)</f>
        <v>0.4168</v>
      </c>
      <c r="H404" s="225">
        <f t="shared" si="6"/>
        <v>39.06</v>
      </c>
    </row>
    <row r="405" spans="1:8" x14ac:dyDescent="0.3">
      <c r="A405" s="400"/>
      <c r="B405" s="709">
        <v>94870</v>
      </c>
      <c r="C405" s="710" t="s">
        <v>681</v>
      </c>
      <c r="D405" s="709" t="s">
        <v>159</v>
      </c>
      <c r="E405" s="716">
        <v>2.2599999999999998</v>
      </c>
      <c r="F405" s="717">
        <v>0</v>
      </c>
      <c r="G405">
        <f>VLOOKUP(B405,'SINAPI-%MO'!B:E,4,0)</f>
        <v>0.3982</v>
      </c>
      <c r="H405" s="225">
        <f t="shared" si="6"/>
        <v>1.36</v>
      </c>
    </row>
    <row r="406" spans="1:8" x14ac:dyDescent="0.3">
      <c r="A406" s="400"/>
      <c r="B406" s="709">
        <v>94872</v>
      </c>
      <c r="C406" s="710" t="s">
        <v>682</v>
      </c>
      <c r="D406" s="709" t="s">
        <v>159</v>
      </c>
      <c r="E406" s="716">
        <v>3.08</v>
      </c>
      <c r="F406" s="717">
        <v>0</v>
      </c>
      <c r="G406">
        <f>VLOOKUP(B406,'SINAPI-%MO'!B:E,4,0)</f>
        <v>0.51300000000000001</v>
      </c>
      <c r="H406" s="225">
        <f t="shared" si="6"/>
        <v>1.49</v>
      </c>
    </row>
    <row r="407" spans="1:8" x14ac:dyDescent="0.3">
      <c r="A407" s="400"/>
      <c r="B407" s="709">
        <v>90746</v>
      </c>
      <c r="C407" s="710" t="s">
        <v>683</v>
      </c>
      <c r="D407" s="709" t="s">
        <v>159</v>
      </c>
      <c r="E407" s="716">
        <v>3.7</v>
      </c>
      <c r="F407" s="717">
        <v>0</v>
      </c>
      <c r="G407">
        <f>VLOOKUP(B407,'SINAPI-%MO'!B:E,4,0)</f>
        <v>1</v>
      </c>
      <c r="H407" s="225">
        <f t="shared" si="6"/>
        <v>0</v>
      </c>
    </row>
    <row r="408" spans="1:8" x14ac:dyDescent="0.3">
      <c r="A408" s="400"/>
      <c r="B408" s="709">
        <v>90747</v>
      </c>
      <c r="C408" s="710" t="s">
        <v>684</v>
      </c>
      <c r="D408" s="709" t="s">
        <v>159</v>
      </c>
      <c r="E408" s="716">
        <v>17.48</v>
      </c>
      <c r="F408" s="717">
        <v>0</v>
      </c>
      <c r="G408">
        <f>VLOOKUP(B408,'SINAPI-%MO'!B:E,4,0)</f>
        <v>0.46850000000000003</v>
      </c>
      <c r="H408" s="225">
        <f t="shared" si="6"/>
        <v>9.2899999999999991</v>
      </c>
    </row>
    <row r="409" spans="1:8" x14ac:dyDescent="0.3">
      <c r="A409" s="400"/>
      <c r="B409" s="709">
        <v>94876</v>
      </c>
      <c r="C409" s="710" t="s">
        <v>685</v>
      </c>
      <c r="D409" s="709" t="s">
        <v>159</v>
      </c>
      <c r="E409" s="716">
        <v>30.22</v>
      </c>
      <c r="F409" s="717">
        <v>0</v>
      </c>
      <c r="G409">
        <f>VLOOKUP(B409,'SINAPI-%MO'!B:E,4,0)</f>
        <v>0.41099999999999998</v>
      </c>
      <c r="H409" s="225">
        <f t="shared" si="6"/>
        <v>17.79</v>
      </c>
    </row>
    <row r="410" spans="1:8" x14ac:dyDescent="0.3">
      <c r="A410" s="400"/>
      <c r="B410" s="709">
        <v>94878</v>
      </c>
      <c r="C410" s="710" t="s">
        <v>686</v>
      </c>
      <c r="D410" s="709" t="s">
        <v>159</v>
      </c>
      <c r="E410" s="716">
        <v>34.82</v>
      </c>
      <c r="F410" s="717">
        <v>0</v>
      </c>
      <c r="G410">
        <f>VLOOKUP(B410,'SINAPI-%MO'!B:E,4,0)</f>
        <v>0.41839999999999999</v>
      </c>
      <c r="H410" s="225">
        <f t="shared" si="6"/>
        <v>20.25</v>
      </c>
    </row>
    <row r="411" spans="1:8" x14ac:dyDescent="0.3">
      <c r="A411" s="400"/>
      <c r="B411" s="709">
        <v>90740</v>
      </c>
      <c r="C411" s="710" t="s">
        <v>687</v>
      </c>
      <c r="D411" s="709" t="s">
        <v>159</v>
      </c>
      <c r="E411" s="716">
        <v>4.51</v>
      </c>
      <c r="F411" s="717">
        <v>0</v>
      </c>
      <c r="G411">
        <f>VLOOKUP(B411,'SINAPI-%MO'!B:E,4,0)</f>
        <v>1</v>
      </c>
      <c r="H411" s="225">
        <f t="shared" si="6"/>
        <v>0</v>
      </c>
    </row>
    <row r="412" spans="1:8" x14ac:dyDescent="0.3">
      <c r="A412" s="400"/>
      <c r="B412" s="709">
        <v>90741</v>
      </c>
      <c r="C412" s="710" t="s">
        <v>688</v>
      </c>
      <c r="D412" s="709" t="s">
        <v>159</v>
      </c>
      <c r="E412" s="716">
        <v>5.14</v>
      </c>
      <c r="F412" s="717">
        <v>0</v>
      </c>
      <c r="G412">
        <f>VLOOKUP(B412,'SINAPI-%MO'!B:E,4,0)</f>
        <v>1</v>
      </c>
      <c r="H412" s="225">
        <f t="shared" si="6"/>
        <v>0</v>
      </c>
    </row>
    <row r="413" spans="1:8" x14ac:dyDescent="0.3">
      <c r="A413" s="400"/>
      <c r="B413" s="709">
        <v>90742</v>
      </c>
      <c r="C413" s="710" t="s">
        <v>689</v>
      </c>
      <c r="D413" s="709" t="s">
        <v>159</v>
      </c>
      <c r="E413" s="716">
        <v>5.78</v>
      </c>
      <c r="F413" s="717">
        <v>0</v>
      </c>
      <c r="G413">
        <f>VLOOKUP(B413,'SINAPI-%MO'!B:E,4,0)</f>
        <v>1</v>
      </c>
      <c r="H413" s="225">
        <f t="shared" si="6"/>
        <v>0</v>
      </c>
    </row>
    <row r="414" spans="1:8" x14ac:dyDescent="0.3">
      <c r="A414" s="400"/>
      <c r="B414" s="709">
        <v>90743</v>
      </c>
      <c r="C414" s="710" t="s">
        <v>690</v>
      </c>
      <c r="D414" s="709" t="s">
        <v>159</v>
      </c>
      <c r="E414" s="716">
        <v>6.4</v>
      </c>
      <c r="F414" s="717">
        <v>0</v>
      </c>
      <c r="G414">
        <f>VLOOKUP(B414,'SINAPI-%MO'!B:E,4,0)</f>
        <v>1</v>
      </c>
      <c r="H414" s="225">
        <f t="shared" si="6"/>
        <v>0</v>
      </c>
    </row>
    <row r="415" spans="1:8" x14ac:dyDescent="0.3">
      <c r="A415" s="400"/>
      <c r="B415" s="709">
        <v>90744</v>
      </c>
      <c r="C415" s="710" t="s">
        <v>691</v>
      </c>
      <c r="D415" s="709" t="s">
        <v>159</v>
      </c>
      <c r="E415" s="716">
        <v>7.03</v>
      </c>
      <c r="F415" s="717">
        <v>0</v>
      </c>
      <c r="G415">
        <f>VLOOKUP(B415,'SINAPI-%MO'!B:E,4,0)</f>
        <v>1</v>
      </c>
      <c r="H415" s="225">
        <f t="shared" si="6"/>
        <v>0</v>
      </c>
    </row>
    <row r="416" spans="1:8" x14ac:dyDescent="0.3">
      <c r="A416" s="400"/>
      <c r="B416" s="709">
        <v>90745</v>
      </c>
      <c r="C416" s="710" t="s">
        <v>692</v>
      </c>
      <c r="D416" s="709" t="s">
        <v>159</v>
      </c>
      <c r="E416" s="716">
        <v>10.56</v>
      </c>
      <c r="F416" s="717">
        <v>0</v>
      </c>
      <c r="G416">
        <f>VLOOKUP(B416,'SINAPI-%MO'!B:E,4,0)</f>
        <v>0.58050000000000002</v>
      </c>
      <c r="H416" s="225">
        <f t="shared" si="6"/>
        <v>4.42</v>
      </c>
    </row>
    <row r="417" spans="1:8" x14ac:dyDescent="0.3">
      <c r="A417" s="400"/>
      <c r="B417" s="709">
        <v>90733</v>
      </c>
      <c r="C417" s="710" t="s">
        <v>693</v>
      </c>
      <c r="D417" s="709" t="s">
        <v>159</v>
      </c>
      <c r="E417" s="716">
        <v>3.42</v>
      </c>
      <c r="F417" s="717">
        <v>0</v>
      </c>
      <c r="G417">
        <f>VLOOKUP(B417,'SINAPI-%MO'!B:E,4,0)</f>
        <v>1</v>
      </c>
      <c r="H417" s="225">
        <f t="shared" si="6"/>
        <v>0</v>
      </c>
    </row>
    <row r="418" spans="1:8" x14ac:dyDescent="0.3">
      <c r="A418" s="400"/>
      <c r="B418" s="709">
        <v>90734</v>
      </c>
      <c r="C418" s="710" t="s">
        <v>694</v>
      </c>
      <c r="D418" s="709" t="s">
        <v>159</v>
      </c>
      <c r="E418" s="716">
        <v>4.05</v>
      </c>
      <c r="F418" s="717">
        <v>0</v>
      </c>
      <c r="G418">
        <f>VLOOKUP(B418,'SINAPI-%MO'!B:E,4,0)</f>
        <v>1</v>
      </c>
      <c r="H418" s="225">
        <f t="shared" si="6"/>
        <v>0</v>
      </c>
    </row>
    <row r="419" spans="1:8" x14ac:dyDescent="0.3">
      <c r="A419" s="400"/>
      <c r="B419" s="709">
        <v>90735</v>
      </c>
      <c r="C419" s="710" t="s">
        <v>695</v>
      </c>
      <c r="D419" s="709" t="s">
        <v>159</v>
      </c>
      <c r="E419" s="716">
        <v>4.67</v>
      </c>
      <c r="F419" s="717">
        <v>0</v>
      </c>
      <c r="G419">
        <f>VLOOKUP(B419,'SINAPI-%MO'!B:E,4,0)</f>
        <v>1</v>
      </c>
      <c r="H419" s="225">
        <f t="shared" si="6"/>
        <v>0</v>
      </c>
    </row>
    <row r="420" spans="1:8" x14ac:dyDescent="0.3">
      <c r="A420" s="400"/>
      <c r="B420" s="709">
        <v>90736</v>
      </c>
      <c r="C420" s="710" t="s">
        <v>696</v>
      </c>
      <c r="D420" s="709" t="s">
        <v>159</v>
      </c>
      <c r="E420" s="716">
        <v>5.3</v>
      </c>
      <c r="F420" s="717">
        <v>0</v>
      </c>
      <c r="G420">
        <f>VLOOKUP(B420,'SINAPI-%MO'!B:E,4,0)</f>
        <v>1</v>
      </c>
      <c r="H420" s="225">
        <f t="shared" si="6"/>
        <v>0</v>
      </c>
    </row>
    <row r="421" spans="1:8" x14ac:dyDescent="0.3">
      <c r="A421" s="400"/>
      <c r="B421" s="709">
        <v>90737</v>
      </c>
      <c r="C421" s="710" t="s">
        <v>697</v>
      </c>
      <c r="D421" s="709" t="s">
        <v>159</v>
      </c>
      <c r="E421" s="716">
        <v>5.94</v>
      </c>
      <c r="F421" s="717">
        <v>0</v>
      </c>
      <c r="G421">
        <f>VLOOKUP(B421,'SINAPI-%MO'!B:E,4,0)</f>
        <v>1</v>
      </c>
      <c r="H421" s="225">
        <f t="shared" si="6"/>
        <v>0</v>
      </c>
    </row>
    <row r="422" spans="1:8" x14ac:dyDescent="0.3">
      <c r="A422" s="400"/>
      <c r="B422" s="709">
        <v>90738</v>
      </c>
      <c r="C422" s="710" t="s">
        <v>698</v>
      </c>
      <c r="D422" s="709" t="s">
        <v>159</v>
      </c>
      <c r="E422" s="716">
        <v>6.57</v>
      </c>
      <c r="F422" s="717">
        <v>0</v>
      </c>
      <c r="G422">
        <f>VLOOKUP(B422,'SINAPI-%MO'!B:E,4,0)</f>
        <v>1</v>
      </c>
      <c r="H422" s="225">
        <f t="shared" si="6"/>
        <v>0</v>
      </c>
    </row>
    <row r="423" spans="1:8" x14ac:dyDescent="0.3">
      <c r="A423" s="400"/>
      <c r="B423" s="709">
        <v>90739</v>
      </c>
      <c r="C423" s="710" t="s">
        <v>699</v>
      </c>
      <c r="D423" s="709" t="s">
        <v>159</v>
      </c>
      <c r="E423" s="716">
        <v>9.4600000000000009</v>
      </c>
      <c r="F423" s="717">
        <v>0</v>
      </c>
      <c r="G423">
        <f>VLOOKUP(B423,'SINAPI-%MO'!B:E,4,0)</f>
        <v>0.58140000000000003</v>
      </c>
      <c r="H423" s="225">
        <f t="shared" si="6"/>
        <v>3.95</v>
      </c>
    </row>
    <row r="424" spans="1:8" x14ac:dyDescent="0.3">
      <c r="A424" s="400"/>
      <c r="B424" s="709">
        <v>90724</v>
      </c>
      <c r="C424" s="710" t="s">
        <v>700</v>
      </c>
      <c r="D424" s="709" t="s">
        <v>136</v>
      </c>
      <c r="E424" s="716">
        <v>24.68</v>
      </c>
      <c r="F424" s="717">
        <v>0</v>
      </c>
      <c r="G424">
        <f>VLOOKUP(B424,'SINAPI-%MO'!B:E,4,0)</f>
        <v>0.95989999999999998</v>
      </c>
      <c r="H424" s="225">
        <f t="shared" si="6"/>
        <v>0.98</v>
      </c>
    </row>
    <row r="425" spans="1:8" x14ac:dyDescent="0.3">
      <c r="A425" s="400"/>
      <c r="B425" s="709">
        <v>102267</v>
      </c>
      <c r="C425" s="710" t="s">
        <v>701</v>
      </c>
      <c r="D425" s="709" t="s">
        <v>136</v>
      </c>
      <c r="E425" s="716">
        <v>134.16999999999999</v>
      </c>
      <c r="F425" s="717">
        <v>0</v>
      </c>
      <c r="G425">
        <f>VLOOKUP(B425,'SINAPI-%MO'!B:E,4,0)</f>
        <v>0.93700000000000006</v>
      </c>
      <c r="H425" s="225">
        <f t="shared" si="6"/>
        <v>8.4499999999999993</v>
      </c>
    </row>
    <row r="426" spans="1:8" x14ac:dyDescent="0.3">
      <c r="A426" s="400"/>
      <c r="B426" s="709">
        <v>102268</v>
      </c>
      <c r="C426" s="710" t="s">
        <v>702</v>
      </c>
      <c r="D426" s="709" t="s">
        <v>136</v>
      </c>
      <c r="E426" s="716">
        <v>151.41999999999999</v>
      </c>
      <c r="F426" s="717">
        <v>0</v>
      </c>
      <c r="G426">
        <f>VLOOKUP(B426,'SINAPI-%MO'!B:E,4,0)</f>
        <v>0.9365</v>
      </c>
      <c r="H426" s="225">
        <f t="shared" si="6"/>
        <v>9.61</v>
      </c>
    </row>
    <row r="427" spans="1:8" x14ac:dyDescent="0.3">
      <c r="A427" s="400"/>
      <c r="B427" s="709">
        <v>90725</v>
      </c>
      <c r="C427" s="710" t="s">
        <v>703</v>
      </c>
      <c r="D427" s="709" t="s">
        <v>136</v>
      </c>
      <c r="E427" s="716">
        <v>30.43</v>
      </c>
      <c r="F427" s="717">
        <v>0</v>
      </c>
      <c r="G427">
        <f>VLOOKUP(B427,'SINAPI-%MO'!B:E,4,0)</f>
        <v>0.95469999999999999</v>
      </c>
      <c r="H427" s="225">
        <f t="shared" si="6"/>
        <v>1.37</v>
      </c>
    </row>
    <row r="428" spans="1:8" x14ac:dyDescent="0.3">
      <c r="A428" s="400"/>
      <c r="B428" s="709">
        <v>102269</v>
      </c>
      <c r="C428" s="710" t="s">
        <v>704</v>
      </c>
      <c r="D428" s="709" t="s">
        <v>136</v>
      </c>
      <c r="E428" s="716">
        <v>185.95</v>
      </c>
      <c r="F428" s="717">
        <v>0</v>
      </c>
      <c r="G428">
        <f>VLOOKUP(B428,'SINAPI-%MO'!B:E,4,0)</f>
        <v>0.93579999999999997</v>
      </c>
      <c r="H428" s="225">
        <f t="shared" si="6"/>
        <v>11.93</v>
      </c>
    </row>
    <row r="429" spans="1:8" x14ac:dyDescent="0.3">
      <c r="A429" s="400"/>
      <c r="B429" s="709">
        <v>90726</v>
      </c>
      <c r="C429" s="710" t="s">
        <v>705</v>
      </c>
      <c r="D429" s="709" t="s">
        <v>136</v>
      </c>
      <c r="E429" s="716">
        <v>36.28</v>
      </c>
      <c r="F429" s="717">
        <v>0</v>
      </c>
      <c r="G429">
        <f>VLOOKUP(B429,'SINAPI-%MO'!B:E,4,0)</f>
        <v>0.9496</v>
      </c>
      <c r="H429" s="225">
        <f t="shared" si="6"/>
        <v>1.82</v>
      </c>
    </row>
    <row r="430" spans="1:8" x14ac:dyDescent="0.3">
      <c r="A430" s="400"/>
      <c r="B430" s="709">
        <v>90727</v>
      </c>
      <c r="C430" s="710" t="s">
        <v>706</v>
      </c>
      <c r="D430" s="709" t="s">
        <v>136</v>
      </c>
      <c r="E430" s="716">
        <v>42.03</v>
      </c>
      <c r="F430" s="717">
        <v>0</v>
      </c>
      <c r="G430">
        <f>VLOOKUP(B430,'SINAPI-%MO'!B:E,4,0)</f>
        <v>0.94740000000000002</v>
      </c>
      <c r="H430" s="225">
        <f t="shared" si="6"/>
        <v>2.21</v>
      </c>
    </row>
    <row r="431" spans="1:8" x14ac:dyDescent="0.3">
      <c r="A431" s="400"/>
      <c r="B431" s="709">
        <v>90728</v>
      </c>
      <c r="C431" s="710" t="s">
        <v>707</v>
      </c>
      <c r="D431" s="709" t="s">
        <v>136</v>
      </c>
      <c r="E431" s="716">
        <v>47.79</v>
      </c>
      <c r="F431" s="717">
        <v>0</v>
      </c>
      <c r="G431">
        <f>VLOOKUP(B431,'SINAPI-%MO'!B:E,4,0)</f>
        <v>0.9456</v>
      </c>
      <c r="H431" s="225">
        <f t="shared" si="6"/>
        <v>2.59</v>
      </c>
    </row>
    <row r="432" spans="1:8" x14ac:dyDescent="0.3">
      <c r="A432" s="400"/>
      <c r="B432" s="709">
        <v>90729</v>
      </c>
      <c r="C432" s="710" t="s">
        <v>708</v>
      </c>
      <c r="D432" s="709" t="s">
        <v>136</v>
      </c>
      <c r="E432" s="716">
        <v>53.54</v>
      </c>
      <c r="F432" s="717">
        <v>0</v>
      </c>
      <c r="G432">
        <f>VLOOKUP(B432,'SINAPI-%MO'!B:E,4,0)</f>
        <v>0.94420000000000004</v>
      </c>
      <c r="H432" s="225">
        <f t="shared" si="6"/>
        <v>2.98</v>
      </c>
    </row>
    <row r="433" spans="1:8" x14ac:dyDescent="0.3">
      <c r="A433" s="400"/>
      <c r="B433" s="709">
        <v>90730</v>
      </c>
      <c r="C433" s="710" t="s">
        <v>709</v>
      </c>
      <c r="D433" s="709" t="s">
        <v>136</v>
      </c>
      <c r="E433" s="716">
        <v>59.29</v>
      </c>
      <c r="F433" s="717">
        <v>0</v>
      </c>
      <c r="G433">
        <f>VLOOKUP(B433,'SINAPI-%MO'!B:E,4,0)</f>
        <v>0.94320000000000004</v>
      </c>
      <c r="H433" s="225">
        <f t="shared" si="6"/>
        <v>3.36</v>
      </c>
    </row>
    <row r="434" spans="1:8" x14ac:dyDescent="0.3">
      <c r="A434" s="400"/>
      <c r="B434" s="709">
        <v>90731</v>
      </c>
      <c r="C434" s="710" t="s">
        <v>710</v>
      </c>
      <c r="D434" s="709" t="s">
        <v>136</v>
      </c>
      <c r="E434" s="716">
        <v>65.040000000000006</v>
      </c>
      <c r="F434" s="717">
        <v>0</v>
      </c>
      <c r="G434">
        <f>VLOOKUP(B434,'SINAPI-%MO'!B:E,4,0)</f>
        <v>0.94230000000000003</v>
      </c>
      <c r="H434" s="225">
        <f t="shared" si="6"/>
        <v>3.75</v>
      </c>
    </row>
    <row r="435" spans="1:8" x14ac:dyDescent="0.3">
      <c r="A435" s="400"/>
      <c r="B435" s="709">
        <v>90732</v>
      </c>
      <c r="C435" s="710" t="s">
        <v>711</v>
      </c>
      <c r="D435" s="709" t="s">
        <v>136</v>
      </c>
      <c r="E435" s="716">
        <v>82.3</v>
      </c>
      <c r="F435" s="717">
        <v>0</v>
      </c>
      <c r="G435">
        <f>VLOOKUP(B435,'SINAPI-%MO'!B:E,4,0)</f>
        <v>0.94020000000000004</v>
      </c>
      <c r="H435" s="225">
        <f t="shared" si="6"/>
        <v>4.92</v>
      </c>
    </row>
    <row r="436" spans="1:8" x14ac:dyDescent="0.3">
      <c r="A436" s="400"/>
      <c r="B436" s="709">
        <v>102265</v>
      </c>
      <c r="C436" s="710" t="s">
        <v>712</v>
      </c>
      <c r="D436" s="709" t="s">
        <v>136</v>
      </c>
      <c r="E436" s="716">
        <v>105.31</v>
      </c>
      <c r="F436" s="717">
        <v>0</v>
      </c>
      <c r="G436">
        <f>VLOOKUP(B436,'SINAPI-%MO'!B:E,4,0)</f>
        <v>0.93859999999999999</v>
      </c>
      <c r="H436" s="225">
        <f t="shared" si="6"/>
        <v>6.46</v>
      </c>
    </row>
    <row r="437" spans="1:8" x14ac:dyDescent="0.3">
      <c r="A437" s="400"/>
      <c r="B437" s="709">
        <v>102266</v>
      </c>
      <c r="C437" s="710" t="s">
        <v>713</v>
      </c>
      <c r="D437" s="709" t="s">
        <v>136</v>
      </c>
      <c r="E437" s="716">
        <v>116.82</v>
      </c>
      <c r="F437" s="717">
        <v>0</v>
      </c>
      <c r="G437">
        <f>VLOOKUP(B437,'SINAPI-%MO'!B:E,4,0)</f>
        <v>0.93799999999999994</v>
      </c>
      <c r="H437" s="225">
        <f t="shared" si="6"/>
        <v>7.24</v>
      </c>
    </row>
    <row r="438" spans="1:8" x14ac:dyDescent="0.3">
      <c r="A438" s="400"/>
      <c r="B438" s="709">
        <v>94879</v>
      </c>
      <c r="C438" s="710" t="s">
        <v>714</v>
      </c>
      <c r="D438" s="709" t="s">
        <v>159</v>
      </c>
      <c r="E438" s="716">
        <v>2745.05</v>
      </c>
      <c r="F438" s="717">
        <v>0</v>
      </c>
      <c r="G438">
        <f>VLOOKUP(B438,'SINAPI-%MO'!B:E,4,0)</f>
        <v>6.4999999999999997E-3</v>
      </c>
      <c r="H438" s="225">
        <f t="shared" si="6"/>
        <v>2727.2</v>
      </c>
    </row>
    <row r="439" spans="1:8" x14ac:dyDescent="0.3">
      <c r="A439" s="400"/>
      <c r="B439" s="709">
        <v>94881</v>
      </c>
      <c r="C439" s="710" t="s">
        <v>715</v>
      </c>
      <c r="D439" s="709" t="s">
        <v>159</v>
      </c>
      <c r="E439" s="716">
        <v>3783.52</v>
      </c>
      <c r="F439" s="717">
        <v>0</v>
      </c>
      <c r="G439">
        <f>VLOOKUP(B439,'SINAPI-%MO'!B:E,4,0)</f>
        <v>5.5999999999999999E-3</v>
      </c>
      <c r="H439" s="225">
        <f t="shared" si="6"/>
        <v>3762.33</v>
      </c>
    </row>
    <row r="440" spans="1:8" x14ac:dyDescent="0.3">
      <c r="A440" s="400"/>
      <c r="B440" s="709">
        <v>94869</v>
      </c>
      <c r="C440" s="710" t="s">
        <v>716</v>
      </c>
      <c r="D440" s="709" t="s">
        <v>159</v>
      </c>
      <c r="E440" s="716">
        <v>194.23</v>
      </c>
      <c r="F440" s="717">
        <v>0</v>
      </c>
      <c r="G440">
        <f>VLOOKUP(B440,'SINAPI-%MO'!B:E,4,0)</f>
        <v>4.5999999999999999E-3</v>
      </c>
      <c r="H440" s="225">
        <f t="shared" si="6"/>
        <v>193.33</v>
      </c>
    </row>
    <row r="441" spans="1:8" x14ac:dyDescent="0.3">
      <c r="A441" s="400"/>
      <c r="B441" s="709">
        <v>94871</v>
      </c>
      <c r="C441" s="710" t="s">
        <v>717</v>
      </c>
      <c r="D441" s="709" t="s">
        <v>159</v>
      </c>
      <c r="E441" s="716">
        <v>303.83999999999997</v>
      </c>
      <c r="F441" s="717">
        <v>0</v>
      </c>
      <c r="G441">
        <f>VLOOKUP(B441,'SINAPI-%MO'!B:E,4,0)</f>
        <v>5.1999999999999998E-3</v>
      </c>
      <c r="H441" s="225">
        <f t="shared" si="6"/>
        <v>302.26</v>
      </c>
    </row>
    <row r="442" spans="1:8" x14ac:dyDescent="0.3">
      <c r="A442" s="400"/>
      <c r="B442" s="709">
        <v>90708</v>
      </c>
      <c r="C442" s="710" t="s">
        <v>718</v>
      </c>
      <c r="D442" s="709" t="s">
        <v>159</v>
      </c>
      <c r="E442" s="716">
        <v>1097.3499999999999</v>
      </c>
      <c r="F442" s="717">
        <v>0</v>
      </c>
      <c r="G442">
        <f>VLOOKUP(B442,'SINAPI-%MO'!B:E,4,0)</f>
        <v>7.4999999999999997E-3</v>
      </c>
      <c r="H442" s="225">
        <f t="shared" si="6"/>
        <v>1089.1099999999999</v>
      </c>
    </row>
    <row r="443" spans="1:8" x14ac:dyDescent="0.3">
      <c r="A443" s="400"/>
      <c r="B443" s="709">
        <v>94875</v>
      </c>
      <c r="C443" s="710" t="s">
        <v>719</v>
      </c>
      <c r="D443" s="709" t="s">
        <v>159</v>
      </c>
      <c r="E443" s="716">
        <v>1782.6</v>
      </c>
      <c r="F443" s="717">
        <v>0</v>
      </c>
      <c r="G443">
        <f>VLOOKUP(B443,'SINAPI-%MO'!B:E,4,0)</f>
        <v>7.0000000000000001E-3</v>
      </c>
      <c r="H443" s="225">
        <f t="shared" si="6"/>
        <v>1770.12</v>
      </c>
    </row>
    <row r="444" spans="1:8" x14ac:dyDescent="0.3">
      <c r="A444" s="400"/>
      <c r="B444" s="709">
        <v>102264</v>
      </c>
      <c r="C444" s="710" t="s">
        <v>720</v>
      </c>
      <c r="D444" s="709" t="s">
        <v>159</v>
      </c>
      <c r="E444" s="716">
        <v>24.91</v>
      </c>
      <c r="F444" s="717">
        <v>0</v>
      </c>
      <c r="G444">
        <f>VLOOKUP(B444,'SINAPI-%MO'!B:E,4,0)</f>
        <v>0.13730000000000001</v>
      </c>
      <c r="H444" s="225">
        <f t="shared" si="6"/>
        <v>21.48</v>
      </c>
    </row>
    <row r="445" spans="1:8" x14ac:dyDescent="0.3">
      <c r="A445" s="400"/>
      <c r="B445" s="709">
        <v>90701</v>
      </c>
      <c r="C445" s="710" t="s">
        <v>721</v>
      </c>
      <c r="D445" s="709" t="s">
        <v>159</v>
      </c>
      <c r="E445" s="716">
        <v>88.09</v>
      </c>
      <c r="F445" s="717">
        <v>0</v>
      </c>
      <c r="G445">
        <f>VLOOKUP(B445,'SINAPI-%MO'!B:E,4,0)</f>
        <v>5.1200000000000002E-2</v>
      </c>
      <c r="H445" s="225">
        <f t="shared" si="6"/>
        <v>83.57</v>
      </c>
    </row>
    <row r="446" spans="1:8" x14ac:dyDescent="0.3">
      <c r="A446" s="400"/>
      <c r="B446" s="709">
        <v>90702</v>
      </c>
      <c r="C446" s="710" t="s">
        <v>722</v>
      </c>
      <c r="D446" s="709" t="s">
        <v>159</v>
      </c>
      <c r="E446" s="716">
        <v>146.63999999999999</v>
      </c>
      <c r="F446" s="717">
        <v>0</v>
      </c>
      <c r="G446">
        <f>VLOOKUP(B446,'SINAPI-%MO'!B:E,4,0)</f>
        <v>3.5099999999999999E-2</v>
      </c>
      <c r="H446" s="225">
        <f t="shared" si="6"/>
        <v>141.49</v>
      </c>
    </row>
    <row r="447" spans="1:8" x14ac:dyDescent="0.3">
      <c r="A447" s="400"/>
      <c r="B447" s="709">
        <v>90703</v>
      </c>
      <c r="C447" s="710" t="s">
        <v>723</v>
      </c>
      <c r="D447" s="709" t="s">
        <v>159</v>
      </c>
      <c r="E447" s="716">
        <v>229.55</v>
      </c>
      <c r="F447" s="717">
        <v>0</v>
      </c>
      <c r="G447">
        <f>VLOOKUP(B447,'SINAPI-%MO'!B:E,4,0)</f>
        <v>2.52E-2</v>
      </c>
      <c r="H447" s="225">
        <f t="shared" si="6"/>
        <v>223.76</v>
      </c>
    </row>
    <row r="448" spans="1:8" x14ac:dyDescent="0.3">
      <c r="A448" s="400"/>
      <c r="B448" s="709">
        <v>90704</v>
      </c>
      <c r="C448" s="710" t="s">
        <v>724</v>
      </c>
      <c r="D448" s="709" t="s">
        <v>159</v>
      </c>
      <c r="E448" s="716">
        <v>340.1</v>
      </c>
      <c r="F448" s="717">
        <v>0</v>
      </c>
      <c r="G448">
        <f>VLOOKUP(B448,'SINAPI-%MO'!B:E,4,0)</f>
        <v>1.8800000000000001E-2</v>
      </c>
      <c r="H448" s="225">
        <f t="shared" si="6"/>
        <v>333.7</v>
      </c>
    </row>
    <row r="449" spans="1:8" x14ac:dyDescent="0.3">
      <c r="A449" s="400"/>
      <c r="B449" s="709">
        <v>90705</v>
      </c>
      <c r="C449" s="710" t="s">
        <v>725</v>
      </c>
      <c r="D449" s="709" t="s">
        <v>159</v>
      </c>
      <c r="E449" s="716">
        <v>447.85</v>
      </c>
      <c r="F449" s="717">
        <v>0</v>
      </c>
      <c r="G449">
        <f>VLOOKUP(B449,'SINAPI-%MO'!B:E,4,0)</f>
        <v>1.5699999999999999E-2</v>
      </c>
      <c r="H449" s="225">
        <f t="shared" si="6"/>
        <v>440.81</v>
      </c>
    </row>
    <row r="450" spans="1:8" x14ac:dyDescent="0.3">
      <c r="A450" s="400"/>
      <c r="B450" s="709">
        <v>90706</v>
      </c>
      <c r="C450" s="710" t="s">
        <v>726</v>
      </c>
      <c r="D450" s="709" t="s">
        <v>159</v>
      </c>
      <c r="E450" s="716">
        <v>593.30999999999995</v>
      </c>
      <c r="F450" s="717">
        <v>0</v>
      </c>
      <c r="G450">
        <f>VLOOKUP(B450,'SINAPI-%MO'!B:E,4,0)</f>
        <v>1.03E-2</v>
      </c>
      <c r="H450" s="225">
        <f t="shared" si="6"/>
        <v>587.19000000000005</v>
      </c>
    </row>
    <row r="451" spans="1:8" x14ac:dyDescent="0.3">
      <c r="A451" s="400"/>
      <c r="B451" s="709">
        <v>90694</v>
      </c>
      <c r="C451" s="710" t="s">
        <v>727</v>
      </c>
      <c r="D451" s="709" t="s">
        <v>159</v>
      </c>
      <c r="E451" s="716">
        <v>59.3</v>
      </c>
      <c r="F451" s="717">
        <v>0</v>
      </c>
      <c r="G451">
        <f>VLOOKUP(B451,'SINAPI-%MO'!B:E,4,0)</f>
        <v>5.7700000000000001E-2</v>
      </c>
      <c r="H451" s="225">
        <f t="shared" si="6"/>
        <v>55.87</v>
      </c>
    </row>
    <row r="452" spans="1:8" x14ac:dyDescent="0.3">
      <c r="A452" s="400"/>
      <c r="B452" s="709">
        <v>90695</v>
      </c>
      <c r="C452" s="710" t="s">
        <v>728</v>
      </c>
      <c r="D452" s="709" t="s">
        <v>159</v>
      </c>
      <c r="E452" s="716">
        <v>113.43</v>
      </c>
      <c r="F452" s="717">
        <v>0</v>
      </c>
      <c r="G452">
        <f>VLOOKUP(B452,'SINAPI-%MO'!B:E,4,0)</f>
        <v>3.5700000000000003E-2</v>
      </c>
      <c r="H452" s="225">
        <f t="shared" si="6"/>
        <v>109.38</v>
      </c>
    </row>
    <row r="453" spans="1:8" x14ac:dyDescent="0.3">
      <c r="A453" s="400"/>
      <c r="B453" s="709">
        <v>90696</v>
      </c>
      <c r="C453" s="710" t="s">
        <v>729</v>
      </c>
      <c r="D453" s="709" t="s">
        <v>159</v>
      </c>
      <c r="E453" s="716">
        <v>190.15</v>
      </c>
      <c r="F453" s="717">
        <v>0</v>
      </c>
      <c r="G453">
        <f>VLOOKUP(B453,'SINAPI-%MO'!B:E,4,0)</f>
        <v>2.46E-2</v>
      </c>
      <c r="H453" s="225">
        <f t="shared" si="6"/>
        <v>185.47</v>
      </c>
    </row>
    <row r="454" spans="1:8" x14ac:dyDescent="0.3">
      <c r="A454" s="400"/>
      <c r="B454" s="709">
        <v>90697</v>
      </c>
      <c r="C454" s="710" t="s">
        <v>730</v>
      </c>
      <c r="D454" s="709" t="s">
        <v>159</v>
      </c>
      <c r="E454" s="716">
        <v>295.62</v>
      </c>
      <c r="F454" s="717">
        <v>0</v>
      </c>
      <c r="G454">
        <f>VLOOKUP(B454,'SINAPI-%MO'!B:E,4,0)</f>
        <v>1.7899999999999999E-2</v>
      </c>
      <c r="H454" s="225">
        <f t="shared" si="6"/>
        <v>290.32</v>
      </c>
    </row>
    <row r="455" spans="1:8" x14ac:dyDescent="0.3">
      <c r="A455" s="400"/>
      <c r="B455" s="709">
        <v>90698</v>
      </c>
      <c r="C455" s="710" t="s">
        <v>731</v>
      </c>
      <c r="D455" s="709" t="s">
        <v>159</v>
      </c>
      <c r="E455" s="716">
        <v>452.55</v>
      </c>
      <c r="F455" s="717">
        <v>0</v>
      </c>
      <c r="G455">
        <f>VLOOKUP(B455,'SINAPI-%MO'!B:E,4,0)</f>
        <v>1.3100000000000001E-2</v>
      </c>
      <c r="H455" s="225">
        <f t="shared" si="6"/>
        <v>446.62</v>
      </c>
    </row>
    <row r="456" spans="1:8" x14ac:dyDescent="0.3">
      <c r="A456" s="400"/>
      <c r="B456" s="709">
        <v>90699</v>
      </c>
      <c r="C456" s="710" t="s">
        <v>732</v>
      </c>
      <c r="D456" s="709" t="s">
        <v>159</v>
      </c>
      <c r="E456" s="716">
        <v>637.51</v>
      </c>
      <c r="F456" s="717">
        <v>0</v>
      </c>
      <c r="G456">
        <f>VLOOKUP(B456,'SINAPI-%MO'!B:E,4,0)</f>
        <v>1.03E-2</v>
      </c>
      <c r="H456" s="225">
        <f t="shared" si="6"/>
        <v>630.94000000000005</v>
      </c>
    </row>
    <row r="457" spans="1:8" x14ac:dyDescent="0.3">
      <c r="A457" s="400"/>
      <c r="B457" s="709">
        <v>90700</v>
      </c>
      <c r="C457" s="710" t="s">
        <v>733</v>
      </c>
      <c r="D457" s="709" t="s">
        <v>159</v>
      </c>
      <c r="E457" s="716">
        <v>744.25</v>
      </c>
      <c r="F457" s="717">
        <v>0</v>
      </c>
      <c r="G457">
        <f>VLOOKUP(B457,'SINAPI-%MO'!B:E,4,0)</f>
        <v>7.4000000000000003E-3</v>
      </c>
      <c r="H457" s="225">
        <f t="shared" si="6"/>
        <v>738.74</v>
      </c>
    </row>
    <row r="458" spans="1:8" x14ac:dyDescent="0.3">
      <c r="A458" s="400"/>
      <c r="B458" s="709">
        <v>105378</v>
      </c>
      <c r="C458" s="710" t="s">
        <v>734</v>
      </c>
      <c r="D458" s="709" t="s">
        <v>136</v>
      </c>
      <c r="E458" s="716">
        <v>12.37</v>
      </c>
      <c r="F458" s="717">
        <v>0</v>
      </c>
      <c r="G458">
        <f>VLOOKUP(B458,'SINAPI-%MO'!B:E,4,0)</f>
        <v>0.59089999999999998</v>
      </c>
      <c r="H458" s="225">
        <f t="shared" si="6"/>
        <v>5.0599999999999996</v>
      </c>
    </row>
    <row r="459" spans="1:8" x14ac:dyDescent="0.3">
      <c r="A459" s="400"/>
      <c r="B459" s="709">
        <v>105373</v>
      </c>
      <c r="C459" s="710" t="s">
        <v>735</v>
      </c>
      <c r="D459" s="709" t="s">
        <v>136</v>
      </c>
      <c r="E459" s="716">
        <v>9.7100000000000009</v>
      </c>
      <c r="F459" s="717">
        <v>0</v>
      </c>
      <c r="G459">
        <f>VLOOKUP(B459,'SINAPI-%MO'!B:E,4,0)</f>
        <v>0.59109999999999996</v>
      </c>
      <c r="H459" s="225">
        <f t="shared" ref="H459:H522" si="7">IF(E459&gt;0,TRUNC(E459*(1-G459),2),"")</f>
        <v>3.97</v>
      </c>
    </row>
    <row r="460" spans="1:8" x14ac:dyDescent="0.3">
      <c r="A460" s="400"/>
      <c r="B460" s="709">
        <v>105380</v>
      </c>
      <c r="C460" s="710" t="s">
        <v>736</v>
      </c>
      <c r="D460" s="709" t="s">
        <v>136</v>
      </c>
      <c r="E460" s="716">
        <v>98.32</v>
      </c>
      <c r="F460" s="717">
        <v>0</v>
      </c>
      <c r="G460">
        <f>VLOOKUP(B460,'SINAPI-%MO'!B:E,4,0)</f>
        <v>0.60540000000000005</v>
      </c>
      <c r="H460" s="225">
        <f t="shared" si="7"/>
        <v>38.79</v>
      </c>
    </row>
    <row r="461" spans="1:8" x14ac:dyDescent="0.3">
      <c r="A461" s="400"/>
      <c r="B461" s="709">
        <v>105267</v>
      </c>
      <c r="C461" s="710" t="s">
        <v>737</v>
      </c>
      <c r="D461" s="709" t="s">
        <v>136</v>
      </c>
      <c r="E461" s="716">
        <v>80.25</v>
      </c>
      <c r="F461" s="717">
        <v>0</v>
      </c>
      <c r="G461">
        <f>VLOOKUP(B461,'SINAPI-%MO'!B:E,4,0)</f>
        <v>0.62270000000000003</v>
      </c>
      <c r="H461" s="225">
        <f t="shared" si="7"/>
        <v>30.27</v>
      </c>
    </row>
    <row r="462" spans="1:8" x14ac:dyDescent="0.3">
      <c r="A462" s="400"/>
      <c r="B462" s="709">
        <v>105249</v>
      </c>
      <c r="C462" s="710" t="s">
        <v>738</v>
      </c>
      <c r="D462" s="709" t="s">
        <v>136</v>
      </c>
      <c r="E462" s="716">
        <v>121.02</v>
      </c>
      <c r="F462" s="717">
        <v>0</v>
      </c>
      <c r="G462">
        <f>VLOOKUP(B462,'SINAPI-%MO'!B:E,4,0)</f>
        <v>0.5877</v>
      </c>
      <c r="H462" s="225">
        <f t="shared" si="7"/>
        <v>49.89</v>
      </c>
    </row>
    <row r="463" spans="1:8" x14ac:dyDescent="0.3">
      <c r="A463" s="400"/>
      <c r="B463" s="709">
        <v>105268</v>
      </c>
      <c r="C463" s="710" t="s">
        <v>739</v>
      </c>
      <c r="D463" s="709" t="s">
        <v>136</v>
      </c>
      <c r="E463" s="716">
        <v>99.72</v>
      </c>
      <c r="F463" s="717">
        <v>0</v>
      </c>
      <c r="G463">
        <f>VLOOKUP(B463,'SINAPI-%MO'!B:E,4,0)</f>
        <v>0.59970000000000001</v>
      </c>
      <c r="H463" s="225">
        <f t="shared" si="7"/>
        <v>39.909999999999997</v>
      </c>
    </row>
    <row r="464" spans="1:8" x14ac:dyDescent="0.3">
      <c r="A464" s="400"/>
      <c r="B464" s="709">
        <v>105379</v>
      </c>
      <c r="C464" s="710" t="s">
        <v>740</v>
      </c>
      <c r="D464" s="709" t="s">
        <v>136</v>
      </c>
      <c r="E464" s="716">
        <v>16.36</v>
      </c>
      <c r="F464" s="717">
        <v>0</v>
      </c>
      <c r="G464">
        <f>VLOOKUP(B464,'SINAPI-%MO'!B:E,4,0)</f>
        <v>0.62409999999999999</v>
      </c>
      <c r="H464" s="225">
        <f t="shared" si="7"/>
        <v>6.14</v>
      </c>
    </row>
    <row r="465" spans="1:8" x14ac:dyDescent="0.3">
      <c r="A465" s="400"/>
      <c r="B465" s="709">
        <v>105388</v>
      </c>
      <c r="C465" s="710" t="s">
        <v>741</v>
      </c>
      <c r="D465" s="709" t="s">
        <v>136</v>
      </c>
      <c r="E465" s="716">
        <v>13.05</v>
      </c>
      <c r="F465" s="717">
        <v>0</v>
      </c>
      <c r="G465">
        <f>VLOOKUP(B465,'SINAPI-%MO'!B:E,4,0)</f>
        <v>0.62839999999999996</v>
      </c>
      <c r="H465" s="225">
        <f t="shared" si="7"/>
        <v>4.84</v>
      </c>
    </row>
    <row r="466" spans="1:8" x14ac:dyDescent="0.3">
      <c r="A466" s="400"/>
      <c r="B466" s="709">
        <v>105392</v>
      </c>
      <c r="C466" s="710" t="s">
        <v>742</v>
      </c>
      <c r="D466" s="709" t="s">
        <v>136</v>
      </c>
      <c r="E466" s="716">
        <v>20.36</v>
      </c>
      <c r="F466" s="717">
        <v>0</v>
      </c>
      <c r="G466">
        <f>VLOOKUP(B466,'SINAPI-%MO'!B:E,4,0)</f>
        <v>0.64390000000000003</v>
      </c>
      <c r="H466" s="225">
        <f t="shared" si="7"/>
        <v>7.25</v>
      </c>
    </row>
    <row r="467" spans="1:8" x14ac:dyDescent="0.3">
      <c r="A467" s="400"/>
      <c r="B467" s="709">
        <v>105389</v>
      </c>
      <c r="C467" s="710" t="s">
        <v>743</v>
      </c>
      <c r="D467" s="709" t="s">
        <v>136</v>
      </c>
      <c r="E467" s="716">
        <v>16.39</v>
      </c>
      <c r="F467" s="717">
        <v>0</v>
      </c>
      <c r="G467">
        <f>VLOOKUP(B467,'SINAPI-%MO'!B:E,4,0)</f>
        <v>0.64980000000000004</v>
      </c>
      <c r="H467" s="225">
        <f t="shared" si="7"/>
        <v>5.73</v>
      </c>
    </row>
    <row r="468" spans="1:8" x14ac:dyDescent="0.3">
      <c r="A468" s="400"/>
      <c r="B468" s="709">
        <v>105393</v>
      </c>
      <c r="C468" s="710" t="s">
        <v>744</v>
      </c>
      <c r="D468" s="709" t="s">
        <v>136</v>
      </c>
      <c r="E468" s="716">
        <v>24.57</v>
      </c>
      <c r="F468" s="717">
        <v>0</v>
      </c>
      <c r="G468">
        <f>VLOOKUP(B468,'SINAPI-%MO'!B:E,4,0)</f>
        <v>0.65200000000000002</v>
      </c>
      <c r="H468" s="225">
        <f t="shared" si="7"/>
        <v>8.5500000000000007</v>
      </c>
    </row>
    <row r="469" spans="1:8" x14ac:dyDescent="0.3">
      <c r="A469" s="400"/>
      <c r="B469" s="709">
        <v>105316</v>
      </c>
      <c r="C469" s="710" t="s">
        <v>745</v>
      </c>
      <c r="D469" s="709" t="s">
        <v>136</v>
      </c>
      <c r="E469" s="716">
        <v>19.96</v>
      </c>
      <c r="F469" s="717">
        <v>0</v>
      </c>
      <c r="G469">
        <f>VLOOKUP(B469,'SINAPI-%MO'!B:E,4,0)</f>
        <v>0.6573</v>
      </c>
      <c r="H469" s="225">
        <f t="shared" si="7"/>
        <v>6.84</v>
      </c>
    </row>
    <row r="470" spans="1:8" x14ac:dyDescent="0.3">
      <c r="A470" s="400"/>
      <c r="B470" s="709">
        <v>105394</v>
      </c>
      <c r="C470" s="710" t="s">
        <v>746</v>
      </c>
      <c r="D470" s="709" t="s">
        <v>136</v>
      </c>
      <c r="E470" s="716">
        <v>28.74</v>
      </c>
      <c r="F470" s="717">
        <v>0</v>
      </c>
      <c r="G470">
        <f>VLOOKUP(B470,'SINAPI-%MO'!B:E,4,0)</f>
        <v>0.6583</v>
      </c>
      <c r="H470" s="225">
        <f t="shared" si="7"/>
        <v>9.82</v>
      </c>
    </row>
    <row r="471" spans="1:8" x14ac:dyDescent="0.3">
      <c r="A471" s="400"/>
      <c r="B471" s="709">
        <v>105317</v>
      </c>
      <c r="C471" s="710" t="s">
        <v>747</v>
      </c>
      <c r="D471" s="709" t="s">
        <v>136</v>
      </c>
      <c r="E471" s="716">
        <v>23.48</v>
      </c>
      <c r="F471" s="717">
        <v>0</v>
      </c>
      <c r="G471">
        <f>VLOOKUP(B471,'SINAPI-%MO'!B:E,4,0)</f>
        <v>0.66310000000000002</v>
      </c>
      <c r="H471" s="225">
        <f t="shared" si="7"/>
        <v>7.91</v>
      </c>
    </row>
    <row r="472" spans="1:8" x14ac:dyDescent="0.3">
      <c r="A472" s="400"/>
      <c r="B472" s="709">
        <v>105395</v>
      </c>
      <c r="C472" s="710" t="s">
        <v>748</v>
      </c>
      <c r="D472" s="709" t="s">
        <v>136</v>
      </c>
      <c r="E472" s="716">
        <v>32.92</v>
      </c>
      <c r="F472" s="717">
        <v>0</v>
      </c>
      <c r="G472">
        <f>VLOOKUP(B472,'SINAPI-%MO'!B:E,4,0)</f>
        <v>0.66279999999999994</v>
      </c>
      <c r="H472" s="225">
        <f t="shared" si="7"/>
        <v>11.1</v>
      </c>
    </row>
    <row r="473" spans="1:8" x14ac:dyDescent="0.3">
      <c r="A473" s="400"/>
      <c r="B473" s="709">
        <v>105318</v>
      </c>
      <c r="C473" s="710" t="s">
        <v>749</v>
      </c>
      <c r="D473" s="709" t="s">
        <v>136</v>
      </c>
      <c r="E473" s="716">
        <v>27.01</v>
      </c>
      <c r="F473" s="717">
        <v>0</v>
      </c>
      <c r="G473">
        <f>VLOOKUP(B473,'SINAPI-%MO'!B:E,4,0)</f>
        <v>0.66749999999999998</v>
      </c>
      <c r="H473" s="225">
        <f t="shared" si="7"/>
        <v>8.98</v>
      </c>
    </row>
    <row r="474" spans="1:8" x14ac:dyDescent="0.3">
      <c r="A474" s="400"/>
      <c r="B474" s="709">
        <v>105396</v>
      </c>
      <c r="C474" s="710" t="s">
        <v>750</v>
      </c>
      <c r="D474" s="709" t="s">
        <v>136</v>
      </c>
      <c r="E474" s="716">
        <v>37.1</v>
      </c>
      <c r="F474" s="717">
        <v>0</v>
      </c>
      <c r="G474">
        <f>VLOOKUP(B474,'SINAPI-%MO'!B:E,4,0)</f>
        <v>0.6663</v>
      </c>
      <c r="H474" s="225">
        <f t="shared" si="7"/>
        <v>12.38</v>
      </c>
    </row>
    <row r="475" spans="1:8" x14ac:dyDescent="0.3">
      <c r="A475" s="400"/>
      <c r="B475" s="709">
        <v>105258</v>
      </c>
      <c r="C475" s="710" t="s">
        <v>751</v>
      </c>
      <c r="D475" s="709" t="s">
        <v>136</v>
      </c>
      <c r="E475" s="716">
        <v>30.54</v>
      </c>
      <c r="F475" s="717">
        <v>0</v>
      </c>
      <c r="G475">
        <f>VLOOKUP(B475,'SINAPI-%MO'!B:E,4,0)</f>
        <v>0.67090000000000005</v>
      </c>
      <c r="H475" s="225">
        <f t="shared" si="7"/>
        <v>10.050000000000001</v>
      </c>
    </row>
    <row r="476" spans="1:8" x14ac:dyDescent="0.3">
      <c r="A476" s="400"/>
      <c r="B476" s="709">
        <v>105397</v>
      </c>
      <c r="C476" s="710" t="s">
        <v>752</v>
      </c>
      <c r="D476" s="709" t="s">
        <v>136</v>
      </c>
      <c r="E476" s="716">
        <v>41.45</v>
      </c>
      <c r="F476" s="717">
        <v>0</v>
      </c>
      <c r="G476">
        <f>VLOOKUP(B476,'SINAPI-%MO'!B:E,4,0)</f>
        <v>0.66610000000000003</v>
      </c>
      <c r="H476" s="225">
        <f t="shared" si="7"/>
        <v>13.84</v>
      </c>
    </row>
    <row r="477" spans="1:8" x14ac:dyDescent="0.3">
      <c r="A477" s="400"/>
      <c r="B477" s="709">
        <v>105261</v>
      </c>
      <c r="C477" s="710" t="s">
        <v>753</v>
      </c>
      <c r="D477" s="709" t="s">
        <v>136</v>
      </c>
      <c r="E477" s="716">
        <v>34.229999999999997</v>
      </c>
      <c r="F477" s="717">
        <v>0</v>
      </c>
      <c r="G477">
        <f>VLOOKUP(B477,'SINAPI-%MO'!B:E,4,0)</f>
        <v>0.67020000000000002</v>
      </c>
      <c r="H477" s="225">
        <f t="shared" si="7"/>
        <v>11.28</v>
      </c>
    </row>
    <row r="478" spans="1:8" x14ac:dyDescent="0.3">
      <c r="A478" s="400"/>
      <c r="B478" s="709">
        <v>105398</v>
      </c>
      <c r="C478" s="710" t="s">
        <v>754</v>
      </c>
      <c r="D478" s="709" t="s">
        <v>136</v>
      </c>
      <c r="E478" s="716">
        <v>52.21</v>
      </c>
      <c r="F478" s="717">
        <v>0</v>
      </c>
      <c r="G478">
        <f>VLOOKUP(B478,'SINAPI-%MO'!B:E,4,0)</f>
        <v>0.58460000000000001</v>
      </c>
      <c r="H478" s="225">
        <f t="shared" si="7"/>
        <v>21.68</v>
      </c>
    </row>
    <row r="479" spans="1:8" x14ac:dyDescent="0.3">
      <c r="A479" s="400"/>
      <c r="B479" s="709">
        <v>105262</v>
      </c>
      <c r="C479" s="710" t="s">
        <v>755</v>
      </c>
      <c r="D479" s="709" t="s">
        <v>136</v>
      </c>
      <c r="E479" s="716">
        <v>42.24</v>
      </c>
      <c r="F479" s="717">
        <v>0</v>
      </c>
      <c r="G479">
        <f>VLOOKUP(B479,'SINAPI-%MO'!B:E,4,0)</f>
        <v>0.60160000000000002</v>
      </c>
      <c r="H479" s="225">
        <f t="shared" si="7"/>
        <v>16.82</v>
      </c>
    </row>
    <row r="480" spans="1:8" x14ac:dyDescent="0.3">
      <c r="A480" s="400"/>
      <c r="B480" s="709">
        <v>105399</v>
      </c>
      <c r="C480" s="710" t="s">
        <v>756</v>
      </c>
      <c r="D480" s="709" t="s">
        <v>136</v>
      </c>
      <c r="E480" s="716">
        <v>61.86</v>
      </c>
      <c r="F480" s="717">
        <v>0</v>
      </c>
      <c r="G480">
        <f>VLOOKUP(B480,'SINAPI-%MO'!B:E,4,0)</f>
        <v>0.58699999999999997</v>
      </c>
      <c r="H480" s="225">
        <f t="shared" si="7"/>
        <v>25.54</v>
      </c>
    </row>
    <row r="481" spans="1:8" x14ac:dyDescent="0.3">
      <c r="A481" s="400"/>
      <c r="B481" s="709">
        <v>105263</v>
      </c>
      <c r="C481" s="710" t="s">
        <v>757</v>
      </c>
      <c r="D481" s="709" t="s">
        <v>136</v>
      </c>
      <c r="E481" s="716">
        <v>50.27</v>
      </c>
      <c r="F481" s="717">
        <v>0</v>
      </c>
      <c r="G481">
        <f>VLOOKUP(B481,'SINAPI-%MO'!B:E,4,0)</f>
        <v>0.60289999999999999</v>
      </c>
      <c r="H481" s="225">
        <f t="shared" si="7"/>
        <v>19.96</v>
      </c>
    </row>
    <row r="482" spans="1:8" x14ac:dyDescent="0.3">
      <c r="A482" s="400"/>
      <c r="B482" s="709">
        <v>105400</v>
      </c>
      <c r="C482" s="710" t="s">
        <v>758</v>
      </c>
      <c r="D482" s="709" t="s">
        <v>136</v>
      </c>
      <c r="E482" s="716">
        <v>70.540000000000006</v>
      </c>
      <c r="F482" s="717">
        <v>0</v>
      </c>
      <c r="G482">
        <f>VLOOKUP(B482,'SINAPI-%MO'!B:E,4,0)</f>
        <v>0.59709999999999996</v>
      </c>
      <c r="H482" s="225">
        <f t="shared" si="7"/>
        <v>28.42</v>
      </c>
    </row>
    <row r="483" spans="1:8" x14ac:dyDescent="0.3">
      <c r="A483" s="400"/>
      <c r="B483" s="709">
        <v>105264</v>
      </c>
      <c r="C483" s="710" t="s">
        <v>759</v>
      </c>
      <c r="D483" s="709" t="s">
        <v>136</v>
      </c>
      <c r="E483" s="716">
        <v>57.33</v>
      </c>
      <c r="F483" s="717">
        <v>0</v>
      </c>
      <c r="G483">
        <f>VLOOKUP(B483,'SINAPI-%MO'!B:E,4,0)</f>
        <v>0.61450000000000005</v>
      </c>
      <c r="H483" s="225">
        <f t="shared" si="7"/>
        <v>22.1</v>
      </c>
    </row>
    <row r="484" spans="1:8" x14ac:dyDescent="0.3">
      <c r="A484" s="400"/>
      <c r="B484" s="709">
        <v>105297</v>
      </c>
      <c r="C484" s="710" t="s">
        <v>760</v>
      </c>
      <c r="D484" s="709" t="s">
        <v>136</v>
      </c>
      <c r="E484" s="716">
        <v>10.73</v>
      </c>
      <c r="F484" s="717">
        <v>0</v>
      </c>
      <c r="G484">
        <f>VLOOKUP(B484,'SINAPI-%MO'!B:E,4,0)</f>
        <v>0.57220000000000004</v>
      </c>
      <c r="H484" s="225">
        <f t="shared" si="7"/>
        <v>4.59</v>
      </c>
    </row>
    <row r="485" spans="1:8" x14ac:dyDescent="0.3">
      <c r="A485" s="400"/>
      <c r="B485" s="709">
        <v>105372</v>
      </c>
      <c r="C485" s="710" t="s">
        <v>761</v>
      </c>
      <c r="D485" s="709" t="s">
        <v>136</v>
      </c>
      <c r="E485" s="716">
        <v>8.34</v>
      </c>
      <c r="F485" s="717">
        <v>0</v>
      </c>
      <c r="G485">
        <f>VLOOKUP(B485,'SINAPI-%MO'!B:E,4,0)</f>
        <v>0.57069999999999999</v>
      </c>
      <c r="H485" s="225">
        <f t="shared" si="7"/>
        <v>3.58</v>
      </c>
    </row>
    <row r="486" spans="1:8" x14ac:dyDescent="0.3">
      <c r="A486" s="400"/>
      <c r="B486" s="709">
        <v>105401</v>
      </c>
      <c r="C486" s="710" t="s">
        <v>762</v>
      </c>
      <c r="D486" s="709" t="s">
        <v>136</v>
      </c>
      <c r="E486" s="716">
        <v>79.58</v>
      </c>
      <c r="F486" s="717">
        <v>0</v>
      </c>
      <c r="G486">
        <f>VLOOKUP(B486,'SINAPI-%MO'!B:E,4,0)</f>
        <v>0.60219999999999996</v>
      </c>
      <c r="H486" s="225">
        <f t="shared" si="7"/>
        <v>31.65</v>
      </c>
    </row>
    <row r="487" spans="1:8" x14ac:dyDescent="0.3">
      <c r="A487" s="400"/>
      <c r="B487" s="709">
        <v>105265</v>
      </c>
      <c r="C487" s="710" t="s">
        <v>763</v>
      </c>
      <c r="D487" s="709" t="s">
        <v>136</v>
      </c>
      <c r="E487" s="716">
        <v>64.739999999999995</v>
      </c>
      <c r="F487" s="717">
        <v>0</v>
      </c>
      <c r="G487">
        <f>VLOOKUP(B487,'SINAPI-%MO'!B:E,4,0)</f>
        <v>0.62</v>
      </c>
      <c r="H487" s="225">
        <f t="shared" si="7"/>
        <v>24.6</v>
      </c>
    </row>
    <row r="488" spans="1:8" x14ac:dyDescent="0.3">
      <c r="A488" s="400"/>
      <c r="B488" s="709">
        <v>105402</v>
      </c>
      <c r="C488" s="710" t="s">
        <v>764</v>
      </c>
      <c r="D488" s="709" t="s">
        <v>136</v>
      </c>
      <c r="E488" s="716">
        <v>88.89</v>
      </c>
      <c r="F488" s="717">
        <v>0</v>
      </c>
      <c r="G488">
        <f>VLOOKUP(B488,'SINAPI-%MO'!B:E,4,0)</f>
        <v>0.60450000000000004</v>
      </c>
      <c r="H488" s="225">
        <f t="shared" si="7"/>
        <v>35.15</v>
      </c>
    </row>
    <row r="489" spans="1:8" x14ac:dyDescent="0.3">
      <c r="A489" s="400"/>
      <c r="B489" s="709">
        <v>105266</v>
      </c>
      <c r="C489" s="710" t="s">
        <v>765</v>
      </c>
      <c r="D489" s="709" t="s">
        <v>136</v>
      </c>
      <c r="E489" s="716">
        <v>72.430000000000007</v>
      </c>
      <c r="F489" s="717">
        <v>0</v>
      </c>
      <c r="G489">
        <f>VLOOKUP(B489,'SINAPI-%MO'!B:E,4,0)</f>
        <v>0.62209999999999999</v>
      </c>
      <c r="H489" s="225">
        <f t="shared" si="7"/>
        <v>27.37</v>
      </c>
    </row>
    <row r="490" spans="1:8" x14ac:dyDescent="0.3">
      <c r="A490" s="400"/>
      <c r="B490" s="709">
        <v>105361</v>
      </c>
      <c r="C490" s="710" t="s">
        <v>766</v>
      </c>
      <c r="D490" s="709" t="s">
        <v>136</v>
      </c>
      <c r="E490" s="716">
        <v>18.04</v>
      </c>
      <c r="F490" s="717">
        <v>0</v>
      </c>
      <c r="G490">
        <f>VLOOKUP(B490,'SINAPI-%MO'!B:E,4,0)</f>
        <v>0.88749999999999996</v>
      </c>
      <c r="H490" s="225">
        <f t="shared" si="7"/>
        <v>2.02</v>
      </c>
    </row>
    <row r="491" spans="1:8" x14ac:dyDescent="0.3">
      <c r="A491" s="400"/>
      <c r="B491" s="709">
        <v>105382</v>
      </c>
      <c r="C491" s="710" t="s">
        <v>767</v>
      </c>
      <c r="D491" s="709" t="s">
        <v>136</v>
      </c>
      <c r="E491" s="716">
        <v>15.02</v>
      </c>
      <c r="F491" s="717">
        <v>0</v>
      </c>
      <c r="G491">
        <f>VLOOKUP(B491,'SINAPI-%MO'!B:E,4,0)</f>
        <v>0.86480000000000001</v>
      </c>
      <c r="H491" s="225">
        <f t="shared" si="7"/>
        <v>2.0299999999999998</v>
      </c>
    </row>
    <row r="492" spans="1:8" x14ac:dyDescent="0.3">
      <c r="A492" s="400"/>
      <c r="B492" s="709">
        <v>105359</v>
      </c>
      <c r="C492" s="710" t="s">
        <v>768</v>
      </c>
      <c r="D492" s="709" t="s">
        <v>136</v>
      </c>
      <c r="E492" s="716">
        <v>12.65</v>
      </c>
      <c r="F492" s="717">
        <v>0</v>
      </c>
      <c r="G492">
        <f>VLOOKUP(B492,'SINAPI-%MO'!B:E,4,0)</f>
        <v>0.92889999999999995</v>
      </c>
      <c r="H492" s="225">
        <f t="shared" si="7"/>
        <v>0.89</v>
      </c>
    </row>
    <row r="493" spans="1:8" x14ac:dyDescent="0.3">
      <c r="A493" s="400"/>
      <c r="B493" s="709">
        <v>105315</v>
      </c>
      <c r="C493" s="710" t="s">
        <v>769</v>
      </c>
      <c r="D493" s="709" t="s">
        <v>136</v>
      </c>
      <c r="E493" s="716">
        <v>10.43</v>
      </c>
      <c r="F493" s="717">
        <v>0</v>
      </c>
      <c r="G493">
        <f>VLOOKUP(B493,'SINAPI-%MO'!B:E,4,0)</f>
        <v>0.91369999999999996</v>
      </c>
      <c r="H493" s="225">
        <f t="shared" si="7"/>
        <v>0.9</v>
      </c>
    </row>
    <row r="494" spans="1:8" x14ac:dyDescent="0.3">
      <c r="A494" s="400"/>
      <c r="B494" s="709">
        <v>105360</v>
      </c>
      <c r="C494" s="710" t="s">
        <v>770</v>
      </c>
      <c r="D494" s="709" t="s">
        <v>136</v>
      </c>
      <c r="E494" s="716">
        <v>15.46</v>
      </c>
      <c r="F494" s="717">
        <v>0</v>
      </c>
      <c r="G494">
        <f>VLOOKUP(B494,'SINAPI-%MO'!B:E,4,0)</f>
        <v>0.89780000000000004</v>
      </c>
      <c r="H494" s="225">
        <f t="shared" si="7"/>
        <v>1.58</v>
      </c>
    </row>
    <row r="495" spans="1:8" x14ac:dyDescent="0.3">
      <c r="A495" s="400"/>
      <c r="B495" s="709">
        <v>105381</v>
      </c>
      <c r="C495" s="710" t="s">
        <v>771</v>
      </c>
      <c r="D495" s="709" t="s">
        <v>136</v>
      </c>
      <c r="E495" s="716">
        <v>12.84</v>
      </c>
      <c r="F495" s="717">
        <v>0</v>
      </c>
      <c r="G495">
        <f>VLOOKUP(B495,'SINAPI-%MO'!B:E,4,0)</f>
        <v>0.87690000000000001</v>
      </c>
      <c r="H495" s="225">
        <f t="shared" si="7"/>
        <v>1.58</v>
      </c>
    </row>
    <row r="496" spans="1:8" x14ac:dyDescent="0.3">
      <c r="A496" s="400"/>
      <c r="B496" s="709">
        <v>105251</v>
      </c>
      <c r="C496" s="710" t="s">
        <v>772</v>
      </c>
      <c r="D496" s="709" t="s">
        <v>136</v>
      </c>
      <c r="E496" s="716">
        <v>17.98</v>
      </c>
      <c r="F496" s="717">
        <v>0</v>
      </c>
      <c r="G496">
        <f>VLOOKUP(B496,'SINAPI-%MO'!B:E,4,0)</f>
        <v>0.60960000000000003</v>
      </c>
      <c r="H496" s="225">
        <f t="shared" si="7"/>
        <v>7.01</v>
      </c>
    </row>
    <row r="497" spans="1:8" x14ac:dyDescent="0.3">
      <c r="A497" s="400"/>
      <c r="B497" s="709">
        <v>105282</v>
      </c>
      <c r="C497" s="710" t="s">
        <v>773</v>
      </c>
      <c r="D497" s="709" t="s">
        <v>136</v>
      </c>
      <c r="E497" s="716">
        <v>13.99</v>
      </c>
      <c r="F497" s="717">
        <v>0</v>
      </c>
      <c r="G497">
        <f>VLOOKUP(B497,'SINAPI-%MO'!B:E,4,0)</f>
        <v>0.61539999999999995</v>
      </c>
      <c r="H497" s="225">
        <f t="shared" si="7"/>
        <v>5.38</v>
      </c>
    </row>
    <row r="498" spans="1:8" x14ac:dyDescent="0.3">
      <c r="A498" s="400"/>
      <c r="B498" s="709">
        <v>105276</v>
      </c>
      <c r="C498" s="710" t="s">
        <v>774</v>
      </c>
      <c r="D498" s="709" t="s">
        <v>136</v>
      </c>
      <c r="E498" s="716">
        <v>142.4</v>
      </c>
      <c r="F498" s="717">
        <v>0</v>
      </c>
      <c r="G498">
        <f>VLOOKUP(B498,'SINAPI-%MO'!B:E,4,0)</f>
        <v>0.627</v>
      </c>
      <c r="H498" s="225">
        <f t="shared" si="7"/>
        <v>53.11</v>
      </c>
    </row>
    <row r="499" spans="1:8" x14ac:dyDescent="0.3">
      <c r="A499" s="400"/>
      <c r="B499" s="709">
        <v>105341</v>
      </c>
      <c r="C499" s="710" t="s">
        <v>775</v>
      </c>
      <c r="D499" s="709" t="s">
        <v>136</v>
      </c>
      <c r="E499" s="716">
        <v>115.3</v>
      </c>
      <c r="F499" s="717">
        <v>0</v>
      </c>
      <c r="G499">
        <f>VLOOKUP(B499,'SINAPI-%MO'!B:E,4,0)</f>
        <v>0.6502</v>
      </c>
      <c r="H499" s="225">
        <f t="shared" si="7"/>
        <v>40.33</v>
      </c>
    </row>
    <row r="500" spans="1:8" x14ac:dyDescent="0.3">
      <c r="A500" s="400"/>
      <c r="B500" s="709">
        <v>105277</v>
      </c>
      <c r="C500" s="710" t="s">
        <v>776</v>
      </c>
      <c r="D500" s="709" t="s">
        <v>136</v>
      </c>
      <c r="E500" s="716">
        <v>173.35</v>
      </c>
      <c r="F500" s="717">
        <v>0</v>
      </c>
      <c r="G500">
        <f>VLOOKUP(B500,'SINAPI-%MO'!B:E,4,0)</f>
        <v>0.61550000000000005</v>
      </c>
      <c r="H500" s="225">
        <f t="shared" si="7"/>
        <v>66.650000000000006</v>
      </c>
    </row>
    <row r="501" spans="1:8" x14ac:dyDescent="0.3">
      <c r="A501" s="400"/>
      <c r="B501" s="709">
        <v>105342</v>
      </c>
      <c r="C501" s="710" t="s">
        <v>777</v>
      </c>
      <c r="D501" s="709" t="s">
        <v>136</v>
      </c>
      <c r="E501" s="716">
        <v>141.4</v>
      </c>
      <c r="F501" s="717">
        <v>0</v>
      </c>
      <c r="G501">
        <f>VLOOKUP(B501,'SINAPI-%MO'!B:E,4,0)</f>
        <v>0.63439999999999996</v>
      </c>
      <c r="H501" s="225">
        <f t="shared" si="7"/>
        <v>51.69</v>
      </c>
    </row>
    <row r="502" spans="1:8" x14ac:dyDescent="0.3">
      <c r="A502" s="400"/>
      <c r="B502" s="709">
        <v>105252</v>
      </c>
      <c r="C502" s="710" t="s">
        <v>778</v>
      </c>
      <c r="D502" s="709" t="s">
        <v>136</v>
      </c>
      <c r="E502" s="716">
        <v>23.8</v>
      </c>
      <c r="F502" s="717">
        <v>0</v>
      </c>
      <c r="G502">
        <f>VLOOKUP(B502,'SINAPI-%MO'!B:E,4,0)</f>
        <v>0.64410000000000001</v>
      </c>
      <c r="H502" s="225">
        <f t="shared" si="7"/>
        <v>8.4700000000000006</v>
      </c>
    </row>
    <row r="503" spans="1:8" x14ac:dyDescent="0.3">
      <c r="A503" s="400"/>
      <c r="B503" s="709">
        <v>105298</v>
      </c>
      <c r="C503" s="710" t="s">
        <v>779</v>
      </c>
      <c r="D503" s="709" t="s">
        <v>136</v>
      </c>
      <c r="E503" s="716">
        <v>18.829999999999998</v>
      </c>
      <c r="F503" s="717">
        <v>0</v>
      </c>
      <c r="G503">
        <f>VLOOKUP(B503,'SINAPI-%MO'!B:E,4,0)</f>
        <v>0.65369999999999995</v>
      </c>
      <c r="H503" s="225">
        <f t="shared" si="7"/>
        <v>6.52</v>
      </c>
    </row>
    <row r="504" spans="1:8" x14ac:dyDescent="0.3">
      <c r="A504" s="400"/>
      <c r="B504" s="709">
        <v>105253</v>
      </c>
      <c r="C504" s="710" t="s">
        <v>780</v>
      </c>
      <c r="D504" s="709" t="s">
        <v>136</v>
      </c>
      <c r="E504" s="716">
        <v>29.61</v>
      </c>
      <c r="F504" s="717">
        <v>0</v>
      </c>
      <c r="G504">
        <f>VLOOKUP(B504,'SINAPI-%MO'!B:E,4,0)</f>
        <v>0.6643</v>
      </c>
      <c r="H504" s="225">
        <f t="shared" si="7"/>
        <v>9.94</v>
      </c>
    </row>
    <row r="505" spans="1:8" x14ac:dyDescent="0.3">
      <c r="A505" s="400"/>
      <c r="B505" s="709">
        <v>105299</v>
      </c>
      <c r="C505" s="710" t="s">
        <v>781</v>
      </c>
      <c r="D505" s="709" t="s">
        <v>136</v>
      </c>
      <c r="E505" s="716">
        <v>23.66</v>
      </c>
      <c r="F505" s="717">
        <v>0</v>
      </c>
      <c r="G505">
        <f>VLOOKUP(B505,'SINAPI-%MO'!B:E,4,0)</f>
        <v>0.6754</v>
      </c>
      <c r="H505" s="225">
        <f t="shared" si="7"/>
        <v>7.68</v>
      </c>
    </row>
    <row r="506" spans="1:8" x14ac:dyDescent="0.3">
      <c r="A506" s="400"/>
      <c r="B506" s="709">
        <v>105254</v>
      </c>
      <c r="C506" s="710" t="s">
        <v>782</v>
      </c>
      <c r="D506" s="709" t="s">
        <v>136</v>
      </c>
      <c r="E506" s="716">
        <v>35.64</v>
      </c>
      <c r="F506" s="717">
        <v>0</v>
      </c>
      <c r="G506">
        <f>VLOOKUP(B506,'SINAPI-%MO'!B:E,4,0)</f>
        <v>0.67420000000000002</v>
      </c>
      <c r="H506" s="225">
        <f t="shared" si="7"/>
        <v>11.61</v>
      </c>
    </row>
    <row r="507" spans="1:8" x14ac:dyDescent="0.3">
      <c r="A507" s="400"/>
      <c r="B507" s="709">
        <v>105300</v>
      </c>
      <c r="C507" s="710" t="s">
        <v>783</v>
      </c>
      <c r="D507" s="709" t="s">
        <v>136</v>
      </c>
      <c r="E507" s="716">
        <v>28.71</v>
      </c>
      <c r="F507" s="717">
        <v>0</v>
      </c>
      <c r="G507">
        <f>VLOOKUP(B507,'SINAPI-%MO'!B:E,4,0)</f>
        <v>0.6855</v>
      </c>
      <c r="H507" s="225">
        <f t="shared" si="7"/>
        <v>9.02</v>
      </c>
    </row>
    <row r="508" spans="1:8" x14ac:dyDescent="0.3">
      <c r="A508" s="400"/>
      <c r="B508" s="709">
        <v>105255</v>
      </c>
      <c r="C508" s="710" t="s">
        <v>784</v>
      </c>
      <c r="D508" s="709" t="s">
        <v>136</v>
      </c>
      <c r="E508" s="716">
        <v>41.63</v>
      </c>
      <c r="F508" s="717">
        <v>0</v>
      </c>
      <c r="G508">
        <f>VLOOKUP(B508,'SINAPI-%MO'!B:E,4,0)</f>
        <v>0.68149999999999999</v>
      </c>
      <c r="H508" s="225">
        <f t="shared" si="7"/>
        <v>13.25</v>
      </c>
    </row>
    <row r="509" spans="1:8" x14ac:dyDescent="0.3">
      <c r="A509" s="400"/>
      <c r="B509" s="709">
        <v>105301</v>
      </c>
      <c r="C509" s="710" t="s">
        <v>785</v>
      </c>
      <c r="D509" s="709" t="s">
        <v>136</v>
      </c>
      <c r="E509" s="716">
        <v>33.729999999999997</v>
      </c>
      <c r="F509" s="717">
        <v>0</v>
      </c>
      <c r="G509">
        <f>VLOOKUP(B509,'SINAPI-%MO'!B:E,4,0)</f>
        <v>0.69230000000000003</v>
      </c>
      <c r="H509" s="225">
        <f t="shared" si="7"/>
        <v>10.37</v>
      </c>
    </row>
    <row r="510" spans="1:8" x14ac:dyDescent="0.3">
      <c r="A510" s="400"/>
      <c r="B510" s="709">
        <v>105256</v>
      </c>
      <c r="C510" s="710" t="s">
        <v>786</v>
      </c>
      <c r="D510" s="709" t="s">
        <v>136</v>
      </c>
      <c r="E510" s="716">
        <v>47.63</v>
      </c>
      <c r="F510" s="717">
        <v>0</v>
      </c>
      <c r="G510">
        <f>VLOOKUP(B510,'SINAPI-%MO'!B:E,4,0)</f>
        <v>0.68720000000000003</v>
      </c>
      <c r="H510" s="225">
        <f t="shared" si="7"/>
        <v>14.89</v>
      </c>
    </row>
    <row r="511" spans="1:8" x14ac:dyDescent="0.3">
      <c r="A511" s="400"/>
      <c r="B511" s="709">
        <v>105302</v>
      </c>
      <c r="C511" s="710" t="s">
        <v>787</v>
      </c>
      <c r="D511" s="709" t="s">
        <v>136</v>
      </c>
      <c r="E511" s="716">
        <v>38.76</v>
      </c>
      <c r="F511" s="717">
        <v>0</v>
      </c>
      <c r="G511">
        <f>VLOOKUP(B511,'SINAPI-%MO'!B:E,4,0)</f>
        <v>0.69789999999999996</v>
      </c>
      <c r="H511" s="225">
        <f t="shared" si="7"/>
        <v>11.7</v>
      </c>
    </row>
    <row r="512" spans="1:8" x14ac:dyDescent="0.3">
      <c r="A512" s="400"/>
      <c r="B512" s="709">
        <v>105257</v>
      </c>
      <c r="C512" s="710" t="s">
        <v>788</v>
      </c>
      <c r="D512" s="709" t="s">
        <v>136</v>
      </c>
      <c r="E512" s="716">
        <v>53.61</v>
      </c>
      <c r="F512" s="717">
        <v>0</v>
      </c>
      <c r="G512">
        <f>VLOOKUP(B512,'SINAPI-%MO'!B:E,4,0)</f>
        <v>0.6915</v>
      </c>
      <c r="H512" s="225">
        <f t="shared" si="7"/>
        <v>16.53</v>
      </c>
    </row>
    <row r="513" spans="1:8" x14ac:dyDescent="0.3">
      <c r="A513" s="400"/>
      <c r="B513" s="709">
        <v>105303</v>
      </c>
      <c r="C513" s="710" t="s">
        <v>789</v>
      </c>
      <c r="D513" s="709" t="s">
        <v>136</v>
      </c>
      <c r="E513" s="716">
        <v>43.76</v>
      </c>
      <c r="F513" s="717">
        <v>0</v>
      </c>
      <c r="G513">
        <f>VLOOKUP(B513,'SINAPI-%MO'!B:E,4,0)</f>
        <v>0.70199999999999996</v>
      </c>
      <c r="H513" s="225">
        <f t="shared" si="7"/>
        <v>13.04</v>
      </c>
    </row>
    <row r="514" spans="1:8" x14ac:dyDescent="0.3">
      <c r="A514" s="400"/>
      <c r="B514" s="709">
        <v>105270</v>
      </c>
      <c r="C514" s="710" t="s">
        <v>790</v>
      </c>
      <c r="D514" s="709" t="s">
        <v>136</v>
      </c>
      <c r="E514" s="716">
        <v>59.8</v>
      </c>
      <c r="F514" s="717">
        <v>0</v>
      </c>
      <c r="G514">
        <f>VLOOKUP(B514,'SINAPI-%MO'!B:E,4,0)</f>
        <v>0.69299999999999995</v>
      </c>
      <c r="H514" s="225">
        <f t="shared" si="7"/>
        <v>18.350000000000001</v>
      </c>
    </row>
    <row r="515" spans="1:8" x14ac:dyDescent="0.3">
      <c r="A515" s="400"/>
      <c r="B515" s="709">
        <v>105304</v>
      </c>
      <c r="C515" s="710" t="s">
        <v>791</v>
      </c>
      <c r="D515" s="709" t="s">
        <v>136</v>
      </c>
      <c r="E515" s="716">
        <v>48.97</v>
      </c>
      <c r="F515" s="717">
        <v>0</v>
      </c>
      <c r="G515">
        <f>VLOOKUP(B515,'SINAPI-%MO'!B:E,4,0)</f>
        <v>0.70289999999999997</v>
      </c>
      <c r="H515" s="225">
        <f t="shared" si="7"/>
        <v>14.54</v>
      </c>
    </row>
    <row r="516" spans="1:8" x14ac:dyDescent="0.3">
      <c r="A516" s="400"/>
      <c r="B516" s="709">
        <v>105271</v>
      </c>
      <c r="C516" s="710" t="s">
        <v>792</v>
      </c>
      <c r="D516" s="709" t="s">
        <v>136</v>
      </c>
      <c r="E516" s="716">
        <v>75.63</v>
      </c>
      <c r="F516" s="717">
        <v>0</v>
      </c>
      <c r="G516">
        <f>VLOOKUP(B516,'SINAPI-%MO'!B:E,4,0)</f>
        <v>0.60519999999999996</v>
      </c>
      <c r="H516" s="225">
        <f t="shared" si="7"/>
        <v>29.85</v>
      </c>
    </row>
    <row r="517" spans="1:8" x14ac:dyDescent="0.3">
      <c r="A517" s="400"/>
      <c r="B517" s="709">
        <v>105305</v>
      </c>
      <c r="C517" s="710" t="s">
        <v>793</v>
      </c>
      <c r="D517" s="709" t="s">
        <v>136</v>
      </c>
      <c r="E517" s="716">
        <v>60.67</v>
      </c>
      <c r="F517" s="717">
        <v>0</v>
      </c>
      <c r="G517">
        <f>VLOOKUP(B517,'SINAPI-%MO'!B:E,4,0)</f>
        <v>0.62819999999999998</v>
      </c>
      <c r="H517" s="225">
        <f t="shared" si="7"/>
        <v>22.55</v>
      </c>
    </row>
    <row r="518" spans="1:8" x14ac:dyDescent="0.3">
      <c r="A518" s="400"/>
      <c r="B518" s="709">
        <v>105272</v>
      </c>
      <c r="C518" s="710" t="s">
        <v>794</v>
      </c>
      <c r="D518" s="709" t="s">
        <v>136</v>
      </c>
      <c r="E518" s="716">
        <v>89.43</v>
      </c>
      <c r="F518" s="717">
        <v>0</v>
      </c>
      <c r="G518">
        <f>VLOOKUP(B518,'SINAPI-%MO'!B:E,4,0)</f>
        <v>0.60929999999999995</v>
      </c>
      <c r="H518" s="225">
        <f t="shared" si="7"/>
        <v>34.94</v>
      </c>
    </row>
    <row r="519" spans="1:8" x14ac:dyDescent="0.3">
      <c r="A519" s="400"/>
      <c r="B519" s="709">
        <v>105306</v>
      </c>
      <c r="C519" s="710" t="s">
        <v>795</v>
      </c>
      <c r="D519" s="709" t="s">
        <v>136</v>
      </c>
      <c r="E519" s="716">
        <v>72.040000000000006</v>
      </c>
      <c r="F519" s="717">
        <v>0</v>
      </c>
      <c r="G519">
        <f>VLOOKUP(B519,'SINAPI-%MO'!B:E,4,0)</f>
        <v>0.63149999999999995</v>
      </c>
      <c r="H519" s="225">
        <f t="shared" si="7"/>
        <v>26.54</v>
      </c>
    </row>
    <row r="520" spans="1:8" x14ac:dyDescent="0.3">
      <c r="A520" s="400"/>
      <c r="B520" s="709">
        <v>105273</v>
      </c>
      <c r="C520" s="710" t="s">
        <v>796</v>
      </c>
      <c r="D520" s="709" t="s">
        <v>136</v>
      </c>
      <c r="E520" s="716">
        <v>102.22</v>
      </c>
      <c r="F520" s="717">
        <v>0</v>
      </c>
      <c r="G520">
        <f>VLOOKUP(B520,'SINAPI-%MO'!B:E,4,0)</f>
        <v>0.61819999999999997</v>
      </c>
      <c r="H520" s="225">
        <f t="shared" si="7"/>
        <v>39.020000000000003</v>
      </c>
    </row>
    <row r="521" spans="1:8" x14ac:dyDescent="0.3">
      <c r="A521" s="400"/>
      <c r="B521" s="709">
        <v>105307</v>
      </c>
      <c r="C521" s="710" t="s">
        <v>797</v>
      </c>
      <c r="D521" s="709" t="s">
        <v>136</v>
      </c>
      <c r="E521" s="716">
        <v>82.41</v>
      </c>
      <c r="F521" s="717">
        <v>0</v>
      </c>
      <c r="G521">
        <f>VLOOKUP(B521,'SINAPI-%MO'!B:E,4,0)</f>
        <v>0.64139999999999997</v>
      </c>
      <c r="H521" s="225">
        <f t="shared" si="7"/>
        <v>29.55</v>
      </c>
    </row>
    <row r="522" spans="1:8" x14ac:dyDescent="0.3">
      <c r="A522" s="400"/>
      <c r="B522" s="709">
        <v>105250</v>
      </c>
      <c r="C522" s="710" t="s">
        <v>798</v>
      </c>
      <c r="D522" s="709" t="s">
        <v>136</v>
      </c>
      <c r="E522" s="716">
        <v>15.62</v>
      </c>
      <c r="F522" s="717">
        <v>0</v>
      </c>
      <c r="G522">
        <f>VLOOKUP(B522,'SINAPI-%MO'!B:E,4,0)</f>
        <v>0.59089999999999998</v>
      </c>
      <c r="H522" s="225">
        <f t="shared" si="7"/>
        <v>6.39</v>
      </c>
    </row>
    <row r="523" spans="1:8" x14ac:dyDescent="0.3">
      <c r="A523" s="400"/>
      <c r="B523" s="709">
        <v>105269</v>
      </c>
      <c r="C523" s="710" t="s">
        <v>799</v>
      </c>
      <c r="D523" s="709" t="s">
        <v>136</v>
      </c>
      <c r="E523" s="716">
        <v>12.01</v>
      </c>
      <c r="F523" s="717">
        <v>0</v>
      </c>
      <c r="G523">
        <f>VLOOKUP(B523,'SINAPI-%MO'!B:E,4,0)</f>
        <v>0.59450000000000003</v>
      </c>
      <c r="H523" s="225">
        <f t="shared" ref="H523:H586" si="8">IF(E523&gt;0,TRUNC(E523*(1-G523),2),"")</f>
        <v>4.87</v>
      </c>
    </row>
    <row r="524" spans="1:8" x14ac:dyDescent="0.3">
      <c r="A524" s="400"/>
      <c r="B524" s="709">
        <v>105274</v>
      </c>
      <c r="C524" s="710" t="s">
        <v>800</v>
      </c>
      <c r="D524" s="709" t="s">
        <v>136</v>
      </c>
      <c r="E524" s="716">
        <v>115.39</v>
      </c>
      <c r="F524" s="717">
        <v>0</v>
      </c>
      <c r="G524">
        <f>VLOOKUP(B524,'SINAPI-%MO'!B:E,4,0)</f>
        <v>0.623</v>
      </c>
      <c r="H524" s="225">
        <f t="shared" si="8"/>
        <v>43.5</v>
      </c>
    </row>
    <row r="525" spans="1:8" x14ac:dyDescent="0.3">
      <c r="A525" s="400"/>
      <c r="B525" s="709">
        <v>105340</v>
      </c>
      <c r="C525" s="710" t="s">
        <v>801</v>
      </c>
      <c r="D525" s="709" t="s">
        <v>136</v>
      </c>
      <c r="E525" s="716">
        <v>93.15</v>
      </c>
      <c r="F525" s="717">
        <v>0</v>
      </c>
      <c r="G525">
        <f>VLOOKUP(B525,'SINAPI-%MO'!B:E,4,0)</f>
        <v>0.64659999999999995</v>
      </c>
      <c r="H525" s="225">
        <f t="shared" si="8"/>
        <v>32.909999999999997</v>
      </c>
    </row>
    <row r="526" spans="1:8" x14ac:dyDescent="0.3">
      <c r="A526" s="400"/>
      <c r="B526" s="709">
        <v>105275</v>
      </c>
      <c r="C526" s="710" t="s">
        <v>802</v>
      </c>
      <c r="D526" s="709" t="s">
        <v>136</v>
      </c>
      <c r="E526" s="716">
        <v>128.81</v>
      </c>
      <c r="F526" s="717">
        <v>0</v>
      </c>
      <c r="G526">
        <f>VLOOKUP(B526,'SINAPI-%MO'!B:E,4,0)</f>
        <v>0.62570000000000003</v>
      </c>
      <c r="H526" s="225">
        <f t="shared" si="8"/>
        <v>48.21</v>
      </c>
    </row>
    <row r="527" spans="1:8" x14ac:dyDescent="0.3">
      <c r="A527" s="400"/>
      <c r="B527" s="709">
        <v>105390</v>
      </c>
      <c r="C527" s="710" t="s">
        <v>803</v>
      </c>
      <c r="D527" s="709" t="s">
        <v>136</v>
      </c>
      <c r="E527" s="716">
        <v>104.14</v>
      </c>
      <c r="F527" s="717">
        <v>0</v>
      </c>
      <c r="G527">
        <f>VLOOKUP(B527,'SINAPI-%MO'!B:E,4,0)</f>
        <v>0.64910000000000001</v>
      </c>
      <c r="H527" s="225">
        <f t="shared" si="8"/>
        <v>36.54</v>
      </c>
    </row>
    <row r="528" spans="1:8" x14ac:dyDescent="0.3">
      <c r="A528" s="400"/>
      <c r="B528" s="709">
        <v>105364</v>
      </c>
      <c r="C528" s="710" t="s">
        <v>804</v>
      </c>
      <c r="D528" s="709" t="s">
        <v>136</v>
      </c>
      <c r="E528" s="716">
        <v>26.05</v>
      </c>
      <c r="F528" s="717">
        <v>0</v>
      </c>
      <c r="G528">
        <f>VLOOKUP(B528,'SINAPI-%MO'!B:E,4,0)</f>
        <v>0.92210000000000003</v>
      </c>
      <c r="H528" s="225">
        <f t="shared" si="8"/>
        <v>2.02</v>
      </c>
    </row>
    <row r="529" spans="1:8" x14ac:dyDescent="0.3">
      <c r="A529" s="400"/>
      <c r="B529" s="709">
        <v>105385</v>
      </c>
      <c r="C529" s="710" t="s">
        <v>805</v>
      </c>
      <c r="D529" s="709" t="s">
        <v>136</v>
      </c>
      <c r="E529" s="716">
        <v>21.52</v>
      </c>
      <c r="F529" s="717">
        <v>0</v>
      </c>
      <c r="G529">
        <f>VLOOKUP(B529,'SINAPI-%MO'!B:E,4,0)</f>
        <v>0.90569999999999995</v>
      </c>
      <c r="H529" s="225">
        <f t="shared" si="8"/>
        <v>2.02</v>
      </c>
    </row>
    <row r="530" spans="1:8" x14ac:dyDescent="0.3">
      <c r="A530" s="400"/>
      <c r="B530" s="709">
        <v>105362</v>
      </c>
      <c r="C530" s="710" t="s">
        <v>806</v>
      </c>
      <c r="D530" s="709" t="s">
        <v>136</v>
      </c>
      <c r="E530" s="716">
        <v>18.52</v>
      </c>
      <c r="F530" s="717">
        <v>0</v>
      </c>
      <c r="G530">
        <f>VLOOKUP(B530,'SINAPI-%MO'!B:E,4,0)</f>
        <v>0.95140000000000002</v>
      </c>
      <c r="H530" s="225">
        <f t="shared" si="8"/>
        <v>0.9</v>
      </c>
    </row>
    <row r="531" spans="1:8" x14ac:dyDescent="0.3">
      <c r="A531" s="400"/>
      <c r="B531" s="709">
        <v>105383</v>
      </c>
      <c r="C531" s="710" t="s">
        <v>807</v>
      </c>
      <c r="D531" s="709" t="s">
        <v>136</v>
      </c>
      <c r="E531" s="716">
        <v>15.19</v>
      </c>
      <c r="F531" s="717">
        <v>0</v>
      </c>
      <c r="G531">
        <f>VLOOKUP(B531,'SINAPI-%MO'!B:E,4,0)</f>
        <v>0.94079999999999997</v>
      </c>
      <c r="H531" s="225">
        <f t="shared" si="8"/>
        <v>0.89</v>
      </c>
    </row>
    <row r="532" spans="1:8" x14ac:dyDescent="0.3">
      <c r="A532" s="400"/>
      <c r="B532" s="709">
        <v>105363</v>
      </c>
      <c r="C532" s="710" t="s">
        <v>808</v>
      </c>
      <c r="D532" s="709" t="s">
        <v>136</v>
      </c>
      <c r="E532" s="716">
        <v>22.4</v>
      </c>
      <c r="F532" s="717">
        <v>0</v>
      </c>
      <c r="G532">
        <f>VLOOKUP(B532,'SINAPI-%MO'!B:E,4,0)</f>
        <v>0.92949999999999999</v>
      </c>
      <c r="H532" s="225">
        <f t="shared" si="8"/>
        <v>1.57</v>
      </c>
    </row>
    <row r="533" spans="1:8" x14ac:dyDescent="0.3">
      <c r="A533" s="400"/>
      <c r="B533" s="709">
        <v>105384</v>
      </c>
      <c r="C533" s="710" t="s">
        <v>809</v>
      </c>
      <c r="D533" s="709" t="s">
        <v>136</v>
      </c>
      <c r="E533" s="716">
        <v>18.47</v>
      </c>
      <c r="F533" s="717">
        <v>0</v>
      </c>
      <c r="G533">
        <f>VLOOKUP(B533,'SINAPI-%MO'!B:E,4,0)</f>
        <v>0.91449999999999998</v>
      </c>
      <c r="H533" s="225">
        <f t="shared" si="8"/>
        <v>1.57</v>
      </c>
    </row>
    <row r="534" spans="1:8" x14ac:dyDescent="0.3">
      <c r="A534" s="400"/>
      <c r="B534" s="709">
        <v>105279</v>
      </c>
      <c r="C534" s="710" t="s">
        <v>810</v>
      </c>
      <c r="D534" s="709" t="s">
        <v>136</v>
      </c>
      <c r="E534" s="716">
        <v>24.77</v>
      </c>
      <c r="F534" s="717">
        <v>0</v>
      </c>
      <c r="G534">
        <f>VLOOKUP(B534,'SINAPI-%MO'!B:E,4,0)</f>
        <v>0.59060000000000001</v>
      </c>
      <c r="H534" s="225">
        <f t="shared" si="8"/>
        <v>10.14</v>
      </c>
    </row>
    <row r="535" spans="1:8" x14ac:dyDescent="0.3">
      <c r="A535" s="400"/>
      <c r="B535" s="709">
        <v>105259</v>
      </c>
      <c r="C535" s="710" t="s">
        <v>811</v>
      </c>
      <c r="D535" s="709" t="s">
        <v>136</v>
      </c>
      <c r="E535" s="716">
        <v>19.46</v>
      </c>
      <c r="F535" s="717">
        <v>0</v>
      </c>
      <c r="G535">
        <f>VLOOKUP(B535,'SINAPI-%MO'!B:E,4,0)</f>
        <v>0.59099999999999997</v>
      </c>
      <c r="H535" s="225">
        <f t="shared" si="8"/>
        <v>7.95</v>
      </c>
    </row>
    <row r="536" spans="1:8" x14ac:dyDescent="0.3">
      <c r="A536" s="400"/>
      <c r="B536" s="709">
        <v>105357</v>
      </c>
      <c r="C536" s="710" t="s">
        <v>812</v>
      </c>
      <c r="D536" s="709" t="s">
        <v>136</v>
      </c>
      <c r="E536" s="716">
        <v>196.68</v>
      </c>
      <c r="F536" s="717">
        <v>0</v>
      </c>
      <c r="G536">
        <f>VLOOKUP(B536,'SINAPI-%MO'!B:E,4,0)</f>
        <v>0.60529999999999995</v>
      </c>
      <c r="H536" s="225">
        <f t="shared" si="8"/>
        <v>77.62</v>
      </c>
    </row>
    <row r="537" spans="1:8" x14ac:dyDescent="0.3">
      <c r="A537" s="400"/>
      <c r="B537" s="709">
        <v>105346</v>
      </c>
      <c r="C537" s="710" t="s">
        <v>813</v>
      </c>
      <c r="D537" s="709" t="s">
        <v>136</v>
      </c>
      <c r="E537" s="716">
        <v>160.55000000000001</v>
      </c>
      <c r="F537" s="717">
        <v>0</v>
      </c>
      <c r="G537">
        <f>VLOOKUP(B537,'SINAPI-%MO'!B:E,4,0)</f>
        <v>0.62270000000000003</v>
      </c>
      <c r="H537" s="225">
        <f t="shared" si="8"/>
        <v>60.57</v>
      </c>
    </row>
    <row r="538" spans="1:8" x14ac:dyDescent="0.3">
      <c r="A538" s="400"/>
      <c r="B538" s="709">
        <v>105358</v>
      </c>
      <c r="C538" s="710" t="s">
        <v>814</v>
      </c>
      <c r="D538" s="709" t="s">
        <v>136</v>
      </c>
      <c r="E538" s="716">
        <v>242.05</v>
      </c>
      <c r="F538" s="717">
        <v>0</v>
      </c>
      <c r="G538">
        <f>VLOOKUP(B538,'SINAPI-%MO'!B:E,4,0)</f>
        <v>0.58779999999999999</v>
      </c>
      <c r="H538" s="225">
        <f t="shared" si="8"/>
        <v>99.77</v>
      </c>
    </row>
    <row r="539" spans="1:8" x14ac:dyDescent="0.3">
      <c r="A539" s="400"/>
      <c r="B539" s="709">
        <v>105347</v>
      </c>
      <c r="C539" s="710" t="s">
        <v>815</v>
      </c>
      <c r="D539" s="709" t="s">
        <v>136</v>
      </c>
      <c r="E539" s="716">
        <v>199.43</v>
      </c>
      <c r="F539" s="717">
        <v>0</v>
      </c>
      <c r="G539">
        <f>VLOOKUP(B539,'SINAPI-%MO'!B:E,4,0)</f>
        <v>0.5998</v>
      </c>
      <c r="H539" s="225">
        <f t="shared" si="8"/>
        <v>79.81</v>
      </c>
    </row>
    <row r="540" spans="1:8" x14ac:dyDescent="0.3">
      <c r="A540" s="400"/>
      <c r="B540" s="709">
        <v>105280</v>
      </c>
      <c r="C540" s="710" t="s">
        <v>816</v>
      </c>
      <c r="D540" s="709" t="s">
        <v>136</v>
      </c>
      <c r="E540" s="716">
        <v>32.76</v>
      </c>
      <c r="F540" s="717">
        <v>0</v>
      </c>
      <c r="G540">
        <f>VLOOKUP(B540,'SINAPI-%MO'!B:E,4,0)</f>
        <v>0.62360000000000004</v>
      </c>
      <c r="H540" s="225">
        <f t="shared" si="8"/>
        <v>12.33</v>
      </c>
    </row>
    <row r="541" spans="1:8" x14ac:dyDescent="0.3">
      <c r="A541" s="400"/>
      <c r="B541" s="709">
        <v>105283</v>
      </c>
      <c r="C541" s="710" t="s">
        <v>817</v>
      </c>
      <c r="D541" s="709" t="s">
        <v>136</v>
      </c>
      <c r="E541" s="716">
        <v>26.15</v>
      </c>
      <c r="F541" s="717">
        <v>0</v>
      </c>
      <c r="G541">
        <f>VLOOKUP(B541,'SINAPI-%MO'!B:E,4,0)</f>
        <v>0.62790000000000001</v>
      </c>
      <c r="H541" s="225">
        <f t="shared" si="8"/>
        <v>9.73</v>
      </c>
    </row>
    <row r="542" spans="1:8" x14ac:dyDescent="0.3">
      <c r="A542" s="400"/>
      <c r="B542" s="709">
        <v>105281</v>
      </c>
      <c r="C542" s="710" t="s">
        <v>818</v>
      </c>
      <c r="D542" s="709" t="s">
        <v>136</v>
      </c>
      <c r="E542" s="716">
        <v>40.75</v>
      </c>
      <c r="F542" s="717">
        <v>0</v>
      </c>
      <c r="G542">
        <f>VLOOKUP(B542,'SINAPI-%MO'!B:E,4,0)</f>
        <v>0.64390000000000003</v>
      </c>
      <c r="H542" s="225">
        <f t="shared" si="8"/>
        <v>14.51</v>
      </c>
    </row>
    <row r="543" spans="1:8" x14ac:dyDescent="0.3">
      <c r="A543" s="400"/>
      <c r="B543" s="709">
        <v>105319</v>
      </c>
      <c r="C543" s="710" t="s">
        <v>819</v>
      </c>
      <c r="D543" s="709" t="s">
        <v>136</v>
      </c>
      <c r="E543" s="716">
        <v>32.82</v>
      </c>
      <c r="F543" s="717">
        <v>0</v>
      </c>
      <c r="G543">
        <f>VLOOKUP(B543,'SINAPI-%MO'!B:E,4,0)</f>
        <v>0.64959999999999996</v>
      </c>
      <c r="H543" s="225">
        <f t="shared" si="8"/>
        <v>11.5</v>
      </c>
    </row>
    <row r="544" spans="1:8" x14ac:dyDescent="0.3">
      <c r="A544" s="400"/>
      <c r="B544" s="709">
        <v>105284</v>
      </c>
      <c r="C544" s="710" t="s">
        <v>820</v>
      </c>
      <c r="D544" s="709" t="s">
        <v>136</v>
      </c>
      <c r="E544" s="716">
        <v>49.15</v>
      </c>
      <c r="F544" s="717">
        <v>0</v>
      </c>
      <c r="G544">
        <f>VLOOKUP(B544,'SINAPI-%MO'!B:E,4,0)</f>
        <v>0.65190000000000003</v>
      </c>
      <c r="H544" s="225">
        <f t="shared" si="8"/>
        <v>17.100000000000001</v>
      </c>
    </row>
    <row r="545" spans="1:8" x14ac:dyDescent="0.3">
      <c r="A545" s="400"/>
      <c r="B545" s="709">
        <v>105320</v>
      </c>
      <c r="C545" s="710" t="s">
        <v>821</v>
      </c>
      <c r="D545" s="709" t="s">
        <v>136</v>
      </c>
      <c r="E545" s="716">
        <v>39.93</v>
      </c>
      <c r="F545" s="717">
        <v>0</v>
      </c>
      <c r="G545">
        <f>VLOOKUP(B545,'SINAPI-%MO'!B:E,4,0)</f>
        <v>0.65739999999999998</v>
      </c>
      <c r="H545" s="225">
        <f t="shared" si="8"/>
        <v>13.68</v>
      </c>
    </row>
    <row r="546" spans="1:8" x14ac:dyDescent="0.3">
      <c r="A546" s="400"/>
      <c r="B546" s="709">
        <v>105348</v>
      </c>
      <c r="C546" s="710" t="s">
        <v>822</v>
      </c>
      <c r="D546" s="709" t="s">
        <v>136</v>
      </c>
      <c r="E546" s="716">
        <v>57.52</v>
      </c>
      <c r="F546" s="717">
        <v>0</v>
      </c>
      <c r="G546">
        <f>VLOOKUP(B546,'SINAPI-%MO'!B:E,4,0)</f>
        <v>0.65790000000000004</v>
      </c>
      <c r="H546" s="225">
        <f t="shared" si="8"/>
        <v>19.670000000000002</v>
      </c>
    </row>
    <row r="547" spans="1:8" x14ac:dyDescent="0.3">
      <c r="A547" s="400"/>
      <c r="B547" s="709">
        <v>105321</v>
      </c>
      <c r="C547" s="710" t="s">
        <v>823</v>
      </c>
      <c r="D547" s="709" t="s">
        <v>136</v>
      </c>
      <c r="E547" s="716">
        <v>47</v>
      </c>
      <c r="F547" s="717">
        <v>0</v>
      </c>
      <c r="G547">
        <f>VLOOKUP(B547,'SINAPI-%MO'!B:E,4,0)</f>
        <v>0.66300000000000003</v>
      </c>
      <c r="H547" s="225">
        <f t="shared" si="8"/>
        <v>15.83</v>
      </c>
    </row>
    <row r="548" spans="1:8" x14ac:dyDescent="0.3">
      <c r="A548" s="400"/>
      <c r="B548" s="709">
        <v>105349</v>
      </c>
      <c r="C548" s="710" t="s">
        <v>824</v>
      </c>
      <c r="D548" s="709" t="s">
        <v>136</v>
      </c>
      <c r="E548" s="716">
        <v>65.87</v>
      </c>
      <c r="F548" s="717">
        <v>0</v>
      </c>
      <c r="G548">
        <f>VLOOKUP(B548,'SINAPI-%MO'!B:E,4,0)</f>
        <v>0.66249999999999998</v>
      </c>
      <c r="H548" s="225">
        <f t="shared" si="8"/>
        <v>22.23</v>
      </c>
    </row>
    <row r="549" spans="1:8" x14ac:dyDescent="0.3">
      <c r="A549" s="400"/>
      <c r="B549" s="709">
        <v>105322</v>
      </c>
      <c r="C549" s="710" t="s">
        <v>825</v>
      </c>
      <c r="D549" s="709" t="s">
        <v>136</v>
      </c>
      <c r="E549" s="716">
        <v>54.03</v>
      </c>
      <c r="F549" s="717">
        <v>0</v>
      </c>
      <c r="G549">
        <f>VLOOKUP(B549,'SINAPI-%MO'!B:E,4,0)</f>
        <v>0.66739999999999999</v>
      </c>
      <c r="H549" s="225">
        <f t="shared" si="8"/>
        <v>17.97</v>
      </c>
    </row>
    <row r="550" spans="1:8" x14ac:dyDescent="0.3">
      <c r="A550" s="400"/>
      <c r="B550" s="709">
        <v>105350</v>
      </c>
      <c r="C550" s="710" t="s">
        <v>826</v>
      </c>
      <c r="D550" s="709" t="s">
        <v>136</v>
      </c>
      <c r="E550" s="716">
        <v>74.209999999999994</v>
      </c>
      <c r="F550" s="717">
        <v>0</v>
      </c>
      <c r="G550">
        <f>VLOOKUP(B550,'SINAPI-%MO'!B:E,4,0)</f>
        <v>0.66620000000000001</v>
      </c>
      <c r="H550" s="225">
        <f t="shared" si="8"/>
        <v>24.77</v>
      </c>
    </row>
    <row r="551" spans="1:8" x14ac:dyDescent="0.3">
      <c r="A551" s="400"/>
      <c r="B551" s="709">
        <v>105323</v>
      </c>
      <c r="C551" s="710" t="s">
        <v>827</v>
      </c>
      <c r="D551" s="709" t="s">
        <v>136</v>
      </c>
      <c r="E551" s="716">
        <v>61.09</v>
      </c>
      <c r="F551" s="717">
        <v>0</v>
      </c>
      <c r="G551">
        <f>VLOOKUP(B551,'SINAPI-%MO'!B:E,4,0)</f>
        <v>0.67100000000000004</v>
      </c>
      <c r="H551" s="225">
        <f t="shared" si="8"/>
        <v>20.09</v>
      </c>
    </row>
    <row r="552" spans="1:8" x14ac:dyDescent="0.3">
      <c r="A552" s="400"/>
      <c r="B552" s="709">
        <v>105351</v>
      </c>
      <c r="C552" s="710" t="s">
        <v>828</v>
      </c>
      <c r="D552" s="709" t="s">
        <v>136</v>
      </c>
      <c r="E552" s="716">
        <v>82.91</v>
      </c>
      <c r="F552" s="717">
        <v>0</v>
      </c>
      <c r="G552">
        <f>VLOOKUP(B552,'SINAPI-%MO'!B:E,4,0)</f>
        <v>0.6663</v>
      </c>
      <c r="H552" s="225">
        <f t="shared" si="8"/>
        <v>27.66</v>
      </c>
    </row>
    <row r="553" spans="1:8" x14ac:dyDescent="0.3">
      <c r="A553" s="400"/>
      <c r="B553" s="709">
        <v>105324</v>
      </c>
      <c r="C553" s="710" t="s">
        <v>829</v>
      </c>
      <c r="D553" s="709" t="s">
        <v>136</v>
      </c>
      <c r="E553" s="716">
        <v>68.48</v>
      </c>
      <c r="F553" s="717">
        <v>0</v>
      </c>
      <c r="G553">
        <f>VLOOKUP(B553,'SINAPI-%MO'!B:E,4,0)</f>
        <v>0.67030000000000001</v>
      </c>
      <c r="H553" s="225">
        <f t="shared" si="8"/>
        <v>22.57</v>
      </c>
    </row>
    <row r="554" spans="1:8" x14ac:dyDescent="0.3">
      <c r="A554" s="400"/>
      <c r="B554" s="709">
        <v>105352</v>
      </c>
      <c r="C554" s="710" t="s">
        <v>830</v>
      </c>
      <c r="D554" s="709" t="s">
        <v>136</v>
      </c>
      <c r="E554" s="716">
        <v>104.44</v>
      </c>
      <c r="F554" s="717">
        <v>0</v>
      </c>
      <c r="G554">
        <f>VLOOKUP(B554,'SINAPI-%MO'!B:E,4,0)</f>
        <v>0.58450000000000002</v>
      </c>
      <c r="H554" s="225">
        <f t="shared" si="8"/>
        <v>43.39</v>
      </c>
    </row>
    <row r="555" spans="1:8" x14ac:dyDescent="0.3">
      <c r="A555" s="400"/>
      <c r="B555" s="709">
        <v>105325</v>
      </c>
      <c r="C555" s="710" t="s">
        <v>831</v>
      </c>
      <c r="D555" s="709" t="s">
        <v>136</v>
      </c>
      <c r="E555" s="716">
        <v>84.5</v>
      </c>
      <c r="F555" s="717">
        <v>0</v>
      </c>
      <c r="G555">
        <f>VLOOKUP(B555,'SINAPI-%MO'!B:E,4,0)</f>
        <v>0.60150000000000003</v>
      </c>
      <c r="H555" s="225">
        <f t="shared" si="8"/>
        <v>33.67</v>
      </c>
    </row>
    <row r="556" spans="1:8" x14ac:dyDescent="0.3">
      <c r="A556" s="400"/>
      <c r="B556" s="709">
        <v>105353</v>
      </c>
      <c r="C556" s="710" t="s">
        <v>832</v>
      </c>
      <c r="D556" s="709" t="s">
        <v>136</v>
      </c>
      <c r="E556" s="716">
        <v>123.78</v>
      </c>
      <c r="F556" s="717">
        <v>0</v>
      </c>
      <c r="G556">
        <f>VLOOKUP(B556,'SINAPI-%MO'!B:E,4,0)</f>
        <v>0.58689999999999998</v>
      </c>
      <c r="H556" s="225">
        <f t="shared" si="8"/>
        <v>51.13</v>
      </c>
    </row>
    <row r="557" spans="1:8" x14ac:dyDescent="0.3">
      <c r="A557" s="400"/>
      <c r="B557" s="709">
        <v>105326</v>
      </c>
      <c r="C557" s="710" t="s">
        <v>833</v>
      </c>
      <c r="D557" s="709" t="s">
        <v>136</v>
      </c>
      <c r="E557" s="716">
        <v>100.59</v>
      </c>
      <c r="F557" s="717">
        <v>0</v>
      </c>
      <c r="G557">
        <f>VLOOKUP(B557,'SINAPI-%MO'!B:E,4,0)</f>
        <v>0.60289999999999999</v>
      </c>
      <c r="H557" s="225">
        <f t="shared" si="8"/>
        <v>39.94</v>
      </c>
    </row>
    <row r="558" spans="1:8" x14ac:dyDescent="0.3">
      <c r="A558" s="400"/>
      <c r="B558" s="709">
        <v>105354</v>
      </c>
      <c r="C558" s="710" t="s">
        <v>834</v>
      </c>
      <c r="D558" s="709" t="s">
        <v>136</v>
      </c>
      <c r="E558" s="716">
        <v>141.08000000000001</v>
      </c>
      <c r="F558" s="717">
        <v>0</v>
      </c>
      <c r="G558">
        <f>VLOOKUP(B558,'SINAPI-%MO'!B:E,4,0)</f>
        <v>0.59719999999999995</v>
      </c>
      <c r="H558" s="225">
        <f t="shared" si="8"/>
        <v>56.82</v>
      </c>
    </row>
    <row r="559" spans="1:8" x14ac:dyDescent="0.3">
      <c r="A559" s="400"/>
      <c r="B559" s="709">
        <v>105344</v>
      </c>
      <c r="C559" s="710" t="s">
        <v>835</v>
      </c>
      <c r="D559" s="709" t="s">
        <v>136</v>
      </c>
      <c r="E559" s="716">
        <v>114.65</v>
      </c>
      <c r="F559" s="717">
        <v>0</v>
      </c>
      <c r="G559">
        <f>VLOOKUP(B559,'SINAPI-%MO'!B:E,4,0)</f>
        <v>0.61470000000000002</v>
      </c>
      <c r="H559" s="225">
        <f t="shared" si="8"/>
        <v>44.17</v>
      </c>
    </row>
    <row r="560" spans="1:8" x14ac:dyDescent="0.3">
      <c r="A560" s="400"/>
      <c r="B560" s="709">
        <v>105278</v>
      </c>
      <c r="C560" s="710" t="s">
        <v>836</v>
      </c>
      <c r="D560" s="709" t="s">
        <v>136</v>
      </c>
      <c r="E560" s="716">
        <v>21.49</v>
      </c>
      <c r="F560" s="717">
        <v>0</v>
      </c>
      <c r="G560">
        <f>VLOOKUP(B560,'SINAPI-%MO'!B:E,4,0)</f>
        <v>0.57279999999999998</v>
      </c>
      <c r="H560" s="225">
        <f t="shared" si="8"/>
        <v>9.18</v>
      </c>
    </row>
    <row r="561" spans="1:8" x14ac:dyDescent="0.3">
      <c r="A561" s="400"/>
      <c r="B561" s="709">
        <v>105343</v>
      </c>
      <c r="C561" s="710" t="s">
        <v>837</v>
      </c>
      <c r="D561" s="709" t="s">
        <v>136</v>
      </c>
      <c r="E561" s="716">
        <v>16.68</v>
      </c>
      <c r="F561" s="717">
        <v>0</v>
      </c>
      <c r="G561">
        <f>VLOOKUP(B561,'SINAPI-%MO'!B:E,4,0)</f>
        <v>0.57130000000000003</v>
      </c>
      <c r="H561" s="225">
        <f t="shared" si="8"/>
        <v>7.15</v>
      </c>
    </row>
    <row r="562" spans="1:8" x14ac:dyDescent="0.3">
      <c r="A562" s="400"/>
      <c r="B562" s="709">
        <v>105355</v>
      </c>
      <c r="C562" s="710" t="s">
        <v>838</v>
      </c>
      <c r="D562" s="709" t="s">
        <v>136</v>
      </c>
      <c r="E562" s="716">
        <v>159.16</v>
      </c>
      <c r="F562" s="717">
        <v>0</v>
      </c>
      <c r="G562">
        <f>VLOOKUP(B562,'SINAPI-%MO'!B:E,4,0)</f>
        <v>0.60219999999999996</v>
      </c>
      <c r="H562" s="225">
        <f t="shared" si="8"/>
        <v>63.31</v>
      </c>
    </row>
    <row r="563" spans="1:8" x14ac:dyDescent="0.3">
      <c r="A563" s="400"/>
      <c r="B563" s="709">
        <v>105391</v>
      </c>
      <c r="C563" s="710" t="s">
        <v>839</v>
      </c>
      <c r="D563" s="709" t="s">
        <v>136</v>
      </c>
      <c r="E563" s="716">
        <v>129.49</v>
      </c>
      <c r="F563" s="717">
        <v>0</v>
      </c>
      <c r="G563">
        <f>VLOOKUP(B563,'SINAPI-%MO'!B:E,4,0)</f>
        <v>0.62009999999999998</v>
      </c>
      <c r="H563" s="225">
        <f t="shared" si="8"/>
        <v>49.19</v>
      </c>
    </row>
    <row r="564" spans="1:8" x14ac:dyDescent="0.3">
      <c r="A564" s="400"/>
      <c r="B564" s="709">
        <v>105356</v>
      </c>
      <c r="C564" s="710" t="s">
        <v>840</v>
      </c>
      <c r="D564" s="709" t="s">
        <v>136</v>
      </c>
      <c r="E564" s="716">
        <v>177.75</v>
      </c>
      <c r="F564" s="717">
        <v>0</v>
      </c>
      <c r="G564">
        <f>VLOOKUP(B564,'SINAPI-%MO'!B:E,4,0)</f>
        <v>0.60460000000000003</v>
      </c>
      <c r="H564" s="225">
        <f t="shared" si="8"/>
        <v>70.28</v>
      </c>
    </row>
    <row r="565" spans="1:8" x14ac:dyDescent="0.3">
      <c r="A565" s="400"/>
      <c r="B565" s="709">
        <v>105345</v>
      </c>
      <c r="C565" s="710" t="s">
        <v>841</v>
      </c>
      <c r="D565" s="709" t="s">
        <v>136</v>
      </c>
      <c r="E565" s="716">
        <v>144.85</v>
      </c>
      <c r="F565" s="717">
        <v>0</v>
      </c>
      <c r="G565">
        <f>VLOOKUP(B565,'SINAPI-%MO'!B:E,4,0)</f>
        <v>0.62219999999999998</v>
      </c>
      <c r="H565" s="225">
        <f t="shared" si="8"/>
        <v>54.72</v>
      </c>
    </row>
    <row r="566" spans="1:8" x14ac:dyDescent="0.3">
      <c r="A566" s="400"/>
      <c r="B566" s="709">
        <v>105367</v>
      </c>
      <c r="C566" s="710" t="s">
        <v>842</v>
      </c>
      <c r="D566" s="709" t="s">
        <v>136</v>
      </c>
      <c r="E566" s="716">
        <v>36.090000000000003</v>
      </c>
      <c r="F566" s="717">
        <v>0</v>
      </c>
      <c r="G566">
        <f>VLOOKUP(B566,'SINAPI-%MO'!B:E,4,0)</f>
        <v>0.88749999999999996</v>
      </c>
      <c r="H566" s="225">
        <f t="shared" si="8"/>
        <v>4.0599999999999996</v>
      </c>
    </row>
    <row r="567" spans="1:8" x14ac:dyDescent="0.3">
      <c r="A567" s="400"/>
      <c r="B567" s="709">
        <v>105371</v>
      </c>
      <c r="C567" s="710" t="s">
        <v>843</v>
      </c>
      <c r="D567" s="709" t="s">
        <v>136</v>
      </c>
      <c r="E567" s="716">
        <v>30.05</v>
      </c>
      <c r="F567" s="717">
        <v>0</v>
      </c>
      <c r="G567">
        <f>VLOOKUP(B567,'SINAPI-%MO'!B:E,4,0)</f>
        <v>0.8649</v>
      </c>
      <c r="H567" s="225">
        <f t="shared" si="8"/>
        <v>4.05</v>
      </c>
    </row>
    <row r="568" spans="1:8" x14ac:dyDescent="0.3">
      <c r="A568" s="400"/>
      <c r="B568" s="709">
        <v>105365</v>
      </c>
      <c r="C568" s="710" t="s">
        <v>844</v>
      </c>
      <c r="D568" s="709" t="s">
        <v>136</v>
      </c>
      <c r="E568" s="716">
        <v>25.3</v>
      </c>
      <c r="F568" s="717">
        <v>0</v>
      </c>
      <c r="G568">
        <f>VLOOKUP(B568,'SINAPI-%MO'!B:E,4,0)</f>
        <v>0.92889999999999995</v>
      </c>
      <c r="H568" s="225">
        <f t="shared" si="8"/>
        <v>1.79</v>
      </c>
    </row>
    <row r="569" spans="1:8" x14ac:dyDescent="0.3">
      <c r="A569" s="400"/>
      <c r="B569" s="709">
        <v>105386</v>
      </c>
      <c r="C569" s="710" t="s">
        <v>845</v>
      </c>
      <c r="D569" s="709" t="s">
        <v>136</v>
      </c>
      <c r="E569" s="716">
        <v>20.86</v>
      </c>
      <c r="F569" s="717">
        <v>0</v>
      </c>
      <c r="G569">
        <f>VLOOKUP(B569,'SINAPI-%MO'!B:E,4,0)</f>
        <v>0.91369999999999996</v>
      </c>
      <c r="H569" s="225">
        <f t="shared" si="8"/>
        <v>1.8</v>
      </c>
    </row>
    <row r="570" spans="1:8" x14ac:dyDescent="0.3">
      <c r="A570" s="400"/>
      <c r="B570" s="709">
        <v>105366</v>
      </c>
      <c r="C570" s="710" t="s">
        <v>846</v>
      </c>
      <c r="D570" s="709" t="s">
        <v>136</v>
      </c>
      <c r="E570" s="716">
        <v>30.93</v>
      </c>
      <c r="F570" s="717">
        <v>0</v>
      </c>
      <c r="G570">
        <f>VLOOKUP(B570,'SINAPI-%MO'!B:E,4,0)</f>
        <v>0.89780000000000004</v>
      </c>
      <c r="H570" s="225">
        <f t="shared" si="8"/>
        <v>3.16</v>
      </c>
    </row>
    <row r="571" spans="1:8" x14ac:dyDescent="0.3">
      <c r="A571" s="400"/>
      <c r="B571" s="709">
        <v>105387</v>
      </c>
      <c r="C571" s="710" t="s">
        <v>847</v>
      </c>
      <c r="D571" s="709" t="s">
        <v>136</v>
      </c>
      <c r="E571" s="716">
        <v>25.68</v>
      </c>
      <c r="F571" s="717">
        <v>0</v>
      </c>
      <c r="G571">
        <f>VLOOKUP(B571,'SINAPI-%MO'!B:E,4,0)</f>
        <v>0.87690000000000001</v>
      </c>
      <c r="H571" s="225">
        <f t="shared" si="8"/>
        <v>3.16</v>
      </c>
    </row>
    <row r="572" spans="1:8" x14ac:dyDescent="0.3">
      <c r="A572" s="400"/>
      <c r="B572" s="709">
        <v>97177</v>
      </c>
      <c r="C572" s="710" t="s">
        <v>848</v>
      </c>
      <c r="D572" s="709" t="s">
        <v>159</v>
      </c>
      <c r="E572" s="716">
        <v>85.53</v>
      </c>
      <c r="F572" s="717">
        <v>0</v>
      </c>
      <c r="G572">
        <f>VLOOKUP(B572,'SINAPI-%MO'!B:E,4,0)</f>
        <v>0.62570000000000003</v>
      </c>
      <c r="H572" s="225">
        <f t="shared" si="8"/>
        <v>32.01</v>
      </c>
    </row>
    <row r="573" spans="1:8" x14ac:dyDescent="0.3">
      <c r="A573" s="400"/>
      <c r="B573" s="709">
        <v>97187</v>
      </c>
      <c r="C573" s="710" t="s">
        <v>849</v>
      </c>
      <c r="D573" s="709" t="s">
        <v>159</v>
      </c>
      <c r="E573" s="716">
        <v>77.8</v>
      </c>
      <c r="F573" s="717">
        <v>0</v>
      </c>
      <c r="G573">
        <f>VLOOKUP(B573,'SINAPI-%MO'!B:E,4,0)</f>
        <v>0.63949999999999996</v>
      </c>
      <c r="H573" s="225">
        <f t="shared" si="8"/>
        <v>28.04</v>
      </c>
    </row>
    <row r="574" spans="1:8" x14ac:dyDescent="0.3">
      <c r="A574" s="400"/>
      <c r="B574" s="709">
        <v>97178</v>
      </c>
      <c r="C574" s="710" t="s">
        <v>850</v>
      </c>
      <c r="D574" s="709" t="s">
        <v>159</v>
      </c>
      <c r="E574" s="716">
        <v>103.85</v>
      </c>
      <c r="F574" s="717">
        <v>0</v>
      </c>
      <c r="G574">
        <f>VLOOKUP(B574,'SINAPI-%MO'!B:E,4,0)</f>
        <v>0.63280000000000003</v>
      </c>
      <c r="H574" s="225">
        <f t="shared" si="8"/>
        <v>38.130000000000003</v>
      </c>
    </row>
    <row r="575" spans="1:8" x14ac:dyDescent="0.3">
      <c r="A575" s="400"/>
      <c r="B575" s="709">
        <v>97188</v>
      </c>
      <c r="C575" s="710" t="s">
        <v>851</v>
      </c>
      <c r="D575" s="709" t="s">
        <v>159</v>
      </c>
      <c r="E575" s="716">
        <v>94.55</v>
      </c>
      <c r="F575" s="717">
        <v>0</v>
      </c>
      <c r="G575">
        <f>VLOOKUP(B575,'SINAPI-%MO'!B:E,4,0)</f>
        <v>0.64600000000000002</v>
      </c>
      <c r="H575" s="225">
        <f t="shared" si="8"/>
        <v>33.47</v>
      </c>
    </row>
    <row r="576" spans="1:8" x14ac:dyDescent="0.3">
      <c r="A576" s="400"/>
      <c r="B576" s="709">
        <v>97179</v>
      </c>
      <c r="C576" s="710" t="s">
        <v>852</v>
      </c>
      <c r="D576" s="709" t="s">
        <v>159</v>
      </c>
      <c r="E576" s="716">
        <v>122.21</v>
      </c>
      <c r="F576" s="717">
        <v>0</v>
      </c>
      <c r="G576">
        <f>VLOOKUP(B576,'SINAPI-%MO'!B:E,4,0)</f>
        <v>0.63759999999999994</v>
      </c>
      <c r="H576" s="225">
        <f t="shared" si="8"/>
        <v>44.28</v>
      </c>
    </row>
    <row r="577" spans="1:8" x14ac:dyDescent="0.3">
      <c r="A577" s="400"/>
      <c r="B577" s="709">
        <v>97189</v>
      </c>
      <c r="C577" s="710" t="s">
        <v>853</v>
      </c>
      <c r="D577" s="709" t="s">
        <v>159</v>
      </c>
      <c r="E577" s="716">
        <v>111.32</v>
      </c>
      <c r="F577" s="717">
        <v>0</v>
      </c>
      <c r="G577">
        <f>VLOOKUP(B577,'SINAPI-%MO'!B:E,4,0)</f>
        <v>0.65049999999999997</v>
      </c>
      <c r="H577" s="225">
        <f t="shared" si="8"/>
        <v>38.9</v>
      </c>
    </row>
    <row r="578" spans="1:8" x14ac:dyDescent="0.3">
      <c r="A578" s="400"/>
      <c r="B578" s="709">
        <v>97180</v>
      </c>
      <c r="C578" s="710" t="s">
        <v>854</v>
      </c>
      <c r="D578" s="709" t="s">
        <v>159</v>
      </c>
      <c r="E578" s="716">
        <v>140.55000000000001</v>
      </c>
      <c r="F578" s="717">
        <v>0</v>
      </c>
      <c r="G578">
        <f>VLOOKUP(B578,'SINAPI-%MO'!B:E,4,0)</f>
        <v>0.6411</v>
      </c>
      <c r="H578" s="225">
        <f t="shared" si="8"/>
        <v>50.44</v>
      </c>
    </row>
    <row r="579" spans="1:8" x14ac:dyDescent="0.3">
      <c r="A579" s="400"/>
      <c r="B579" s="709">
        <v>97190</v>
      </c>
      <c r="C579" s="710" t="s">
        <v>855</v>
      </c>
      <c r="D579" s="709" t="s">
        <v>159</v>
      </c>
      <c r="E579" s="716">
        <v>128.09</v>
      </c>
      <c r="F579" s="717">
        <v>0</v>
      </c>
      <c r="G579">
        <f>VLOOKUP(B579,'SINAPI-%MO'!B:E,4,0)</f>
        <v>0.65380000000000005</v>
      </c>
      <c r="H579" s="225">
        <f t="shared" si="8"/>
        <v>44.34</v>
      </c>
    </row>
    <row r="580" spans="1:8" x14ac:dyDescent="0.3">
      <c r="A580" s="400"/>
      <c r="B580" s="709">
        <v>97181</v>
      </c>
      <c r="C580" s="710" t="s">
        <v>856</v>
      </c>
      <c r="D580" s="709" t="s">
        <v>159</v>
      </c>
      <c r="E580" s="716">
        <v>158.88999999999999</v>
      </c>
      <c r="F580" s="717">
        <v>0</v>
      </c>
      <c r="G580">
        <f>VLOOKUP(B580,'SINAPI-%MO'!B:E,4,0)</f>
        <v>0.64390000000000003</v>
      </c>
      <c r="H580" s="225">
        <f t="shared" si="8"/>
        <v>56.58</v>
      </c>
    </row>
    <row r="581" spans="1:8" x14ac:dyDescent="0.3">
      <c r="A581" s="400"/>
      <c r="B581" s="709">
        <v>97191</v>
      </c>
      <c r="C581" s="710" t="s">
        <v>857</v>
      </c>
      <c r="D581" s="709" t="s">
        <v>159</v>
      </c>
      <c r="E581" s="716">
        <v>144.87</v>
      </c>
      <c r="F581" s="717">
        <v>0</v>
      </c>
      <c r="G581">
        <f>VLOOKUP(B581,'SINAPI-%MO'!B:E,4,0)</f>
        <v>0.65639999999999998</v>
      </c>
      <c r="H581" s="225">
        <f t="shared" si="8"/>
        <v>49.77</v>
      </c>
    </row>
    <row r="582" spans="1:8" x14ac:dyDescent="0.3">
      <c r="A582" s="400"/>
      <c r="B582" s="709">
        <v>97182</v>
      </c>
      <c r="C582" s="710" t="s">
        <v>858</v>
      </c>
      <c r="D582" s="709" t="s">
        <v>159</v>
      </c>
      <c r="E582" s="716">
        <v>181.55</v>
      </c>
      <c r="F582" s="717">
        <v>0</v>
      </c>
      <c r="G582">
        <f>VLOOKUP(B582,'SINAPI-%MO'!B:E,4,0)</f>
        <v>0.63070000000000004</v>
      </c>
      <c r="H582" s="225">
        <f t="shared" si="8"/>
        <v>67.040000000000006</v>
      </c>
    </row>
    <row r="583" spans="1:8" x14ac:dyDescent="0.3">
      <c r="A583" s="400"/>
      <c r="B583" s="709">
        <v>97192</v>
      </c>
      <c r="C583" s="710" t="s">
        <v>859</v>
      </c>
      <c r="D583" s="709" t="s">
        <v>159</v>
      </c>
      <c r="E583" s="716">
        <v>164.95</v>
      </c>
      <c r="F583" s="717">
        <v>0</v>
      </c>
      <c r="G583">
        <f>VLOOKUP(B583,'SINAPI-%MO'!B:E,4,0)</f>
        <v>0.6452</v>
      </c>
      <c r="H583" s="225">
        <f t="shared" si="8"/>
        <v>58.52</v>
      </c>
    </row>
    <row r="584" spans="1:8" x14ac:dyDescent="0.3">
      <c r="A584" s="400"/>
      <c r="B584" s="709">
        <v>97173</v>
      </c>
      <c r="C584" s="710" t="s">
        <v>860</v>
      </c>
      <c r="D584" s="709" t="s">
        <v>159</v>
      </c>
      <c r="E584" s="716">
        <v>48.82</v>
      </c>
      <c r="F584" s="717">
        <v>0</v>
      </c>
      <c r="G584">
        <f>VLOOKUP(B584,'SINAPI-%MO'!B:E,4,0)</f>
        <v>0.59609999999999996</v>
      </c>
      <c r="H584" s="225">
        <f t="shared" si="8"/>
        <v>19.71</v>
      </c>
    </row>
    <row r="585" spans="1:8" x14ac:dyDescent="0.3">
      <c r="A585" s="400"/>
      <c r="B585" s="709">
        <v>97183</v>
      </c>
      <c r="C585" s="710" t="s">
        <v>861</v>
      </c>
      <c r="D585" s="709" t="s">
        <v>159</v>
      </c>
      <c r="E585" s="716">
        <v>44.27</v>
      </c>
      <c r="F585" s="717">
        <v>0</v>
      </c>
      <c r="G585">
        <f>VLOOKUP(B585,'SINAPI-%MO'!B:E,4,0)</f>
        <v>0.61150000000000004</v>
      </c>
      <c r="H585" s="225">
        <f t="shared" si="8"/>
        <v>17.190000000000001</v>
      </c>
    </row>
    <row r="586" spans="1:8" x14ac:dyDescent="0.3">
      <c r="A586" s="400"/>
      <c r="B586" s="709">
        <v>97174</v>
      </c>
      <c r="C586" s="710" t="s">
        <v>862</v>
      </c>
      <c r="D586" s="709" t="s">
        <v>159</v>
      </c>
      <c r="E586" s="716">
        <v>58</v>
      </c>
      <c r="F586" s="717">
        <v>0</v>
      </c>
      <c r="G586">
        <f>VLOOKUP(B586,'SINAPI-%MO'!B:E,4,0)</f>
        <v>0.60719999999999996</v>
      </c>
      <c r="H586" s="225">
        <f t="shared" si="8"/>
        <v>22.78</v>
      </c>
    </row>
    <row r="587" spans="1:8" x14ac:dyDescent="0.3">
      <c r="A587" s="400"/>
      <c r="B587" s="709">
        <v>97184</v>
      </c>
      <c r="C587" s="710" t="s">
        <v>863</v>
      </c>
      <c r="D587" s="709" t="s">
        <v>159</v>
      </c>
      <c r="E587" s="716">
        <v>52.65</v>
      </c>
      <c r="F587" s="717">
        <v>0</v>
      </c>
      <c r="G587">
        <f>VLOOKUP(B587,'SINAPI-%MO'!B:E,4,0)</f>
        <v>0.62180000000000002</v>
      </c>
      <c r="H587" s="225">
        <f t="shared" ref="H587:H650" si="9">IF(E587&gt;0,TRUNC(E587*(1-G587),2),"")</f>
        <v>19.91</v>
      </c>
    </row>
    <row r="588" spans="1:8" x14ac:dyDescent="0.3">
      <c r="A588" s="400"/>
      <c r="B588" s="709">
        <v>97175</v>
      </c>
      <c r="C588" s="710" t="s">
        <v>864</v>
      </c>
      <c r="D588" s="709" t="s">
        <v>159</v>
      </c>
      <c r="E588" s="716">
        <v>67.16</v>
      </c>
      <c r="F588" s="717">
        <v>0</v>
      </c>
      <c r="G588">
        <f>VLOOKUP(B588,'SINAPI-%MO'!B:E,4,0)</f>
        <v>0.61509999999999998</v>
      </c>
      <c r="H588" s="225">
        <f t="shared" si="9"/>
        <v>25.84</v>
      </c>
    </row>
    <row r="589" spans="1:8" x14ac:dyDescent="0.3">
      <c r="A589" s="400"/>
      <c r="B589" s="709">
        <v>97185</v>
      </c>
      <c r="C589" s="710" t="s">
        <v>865</v>
      </c>
      <c r="D589" s="709" t="s">
        <v>159</v>
      </c>
      <c r="E589" s="716">
        <v>61.02</v>
      </c>
      <c r="F589" s="717">
        <v>0</v>
      </c>
      <c r="G589">
        <f>VLOOKUP(B589,'SINAPI-%MO'!B:E,4,0)</f>
        <v>0.62929999999999997</v>
      </c>
      <c r="H589" s="225">
        <f t="shared" si="9"/>
        <v>22.62</v>
      </c>
    </row>
    <row r="590" spans="1:8" x14ac:dyDescent="0.3">
      <c r="A590" s="400"/>
      <c r="B590" s="709">
        <v>97176</v>
      </c>
      <c r="C590" s="710" t="s">
        <v>866</v>
      </c>
      <c r="D590" s="709" t="s">
        <v>159</v>
      </c>
      <c r="E590" s="716">
        <v>76.34</v>
      </c>
      <c r="F590" s="717">
        <v>0</v>
      </c>
      <c r="G590">
        <f>VLOOKUP(B590,'SINAPI-%MO'!B:E,4,0)</f>
        <v>0.621</v>
      </c>
      <c r="H590" s="225">
        <f t="shared" si="9"/>
        <v>28.93</v>
      </c>
    </row>
    <row r="591" spans="1:8" x14ac:dyDescent="0.3">
      <c r="A591" s="400"/>
      <c r="B591" s="709">
        <v>97186</v>
      </c>
      <c r="C591" s="710" t="s">
        <v>867</v>
      </c>
      <c r="D591" s="709" t="s">
        <v>159</v>
      </c>
      <c r="E591" s="716">
        <v>69.41</v>
      </c>
      <c r="F591" s="717">
        <v>0</v>
      </c>
      <c r="G591">
        <f>VLOOKUP(B591,'SINAPI-%MO'!B:E,4,0)</f>
        <v>0.63490000000000002</v>
      </c>
      <c r="H591" s="225">
        <f t="shared" si="9"/>
        <v>25.34</v>
      </c>
    </row>
    <row r="592" spans="1:8" x14ac:dyDescent="0.3">
      <c r="A592" s="400"/>
      <c r="B592" s="709">
        <v>97142</v>
      </c>
      <c r="C592" s="710" t="s">
        <v>868</v>
      </c>
      <c r="D592" s="709" t="s">
        <v>159</v>
      </c>
      <c r="E592" s="716">
        <v>5.65</v>
      </c>
      <c r="F592" s="717">
        <v>0</v>
      </c>
      <c r="G592">
        <f>VLOOKUP(B592,'SINAPI-%MO'!B:E,4,0)</f>
        <v>0.63009999999999999</v>
      </c>
      <c r="H592" s="225">
        <f t="shared" si="9"/>
        <v>2.08</v>
      </c>
    </row>
    <row r="593" spans="1:8" x14ac:dyDescent="0.3">
      <c r="A593" s="400"/>
      <c r="B593" s="709">
        <v>97158</v>
      </c>
      <c r="C593" s="710" t="s">
        <v>869</v>
      </c>
      <c r="D593" s="709" t="s">
        <v>159</v>
      </c>
      <c r="E593" s="716">
        <v>4.3499999999999996</v>
      </c>
      <c r="F593" s="717">
        <v>0</v>
      </c>
      <c r="G593">
        <f>VLOOKUP(B593,'SINAPI-%MO'!B:E,4,0)</f>
        <v>0.64139999999999997</v>
      </c>
      <c r="H593" s="225">
        <f t="shared" si="9"/>
        <v>1.55</v>
      </c>
    </row>
    <row r="594" spans="1:8" x14ac:dyDescent="0.3">
      <c r="A594" s="400"/>
      <c r="B594" s="709">
        <v>97155</v>
      </c>
      <c r="C594" s="710" t="s">
        <v>870</v>
      </c>
      <c r="D594" s="709" t="s">
        <v>159</v>
      </c>
      <c r="E594" s="716">
        <v>44.42</v>
      </c>
      <c r="F594" s="717">
        <v>0</v>
      </c>
      <c r="G594">
        <f>VLOOKUP(B594,'SINAPI-%MO'!B:E,4,0)</f>
        <v>0.65290000000000004</v>
      </c>
      <c r="H594" s="225">
        <f t="shared" si="9"/>
        <v>15.41</v>
      </c>
    </row>
    <row r="595" spans="1:8" x14ac:dyDescent="0.3">
      <c r="A595" s="400"/>
      <c r="B595" s="709">
        <v>97171</v>
      </c>
      <c r="C595" s="710" t="s">
        <v>871</v>
      </c>
      <c r="D595" s="709" t="s">
        <v>159</v>
      </c>
      <c r="E595" s="716">
        <v>35.61</v>
      </c>
      <c r="F595" s="717">
        <v>0</v>
      </c>
      <c r="G595">
        <f>VLOOKUP(B595,'SINAPI-%MO'!B:E,4,0)</f>
        <v>0.68379999999999996</v>
      </c>
      <c r="H595" s="225">
        <f t="shared" si="9"/>
        <v>11.25</v>
      </c>
    </row>
    <row r="596" spans="1:8" x14ac:dyDescent="0.3">
      <c r="A596" s="400"/>
      <c r="B596" s="709">
        <v>97156</v>
      </c>
      <c r="C596" s="710" t="s">
        <v>872</v>
      </c>
      <c r="D596" s="709" t="s">
        <v>159</v>
      </c>
      <c r="E596" s="716">
        <v>53.34</v>
      </c>
      <c r="F596" s="717">
        <v>0</v>
      </c>
      <c r="G596">
        <f>VLOOKUP(B596,'SINAPI-%MO'!B:E,4,0)</f>
        <v>0.64980000000000004</v>
      </c>
      <c r="H596" s="225">
        <f t="shared" si="9"/>
        <v>18.670000000000002</v>
      </c>
    </row>
    <row r="597" spans="1:8" x14ac:dyDescent="0.3">
      <c r="A597" s="400"/>
      <c r="B597" s="709">
        <v>97172</v>
      </c>
      <c r="C597" s="710" t="s">
        <v>873</v>
      </c>
      <c r="D597" s="709" t="s">
        <v>159</v>
      </c>
      <c r="E597" s="716">
        <v>42.96</v>
      </c>
      <c r="F597" s="717">
        <v>0</v>
      </c>
      <c r="G597">
        <f>VLOOKUP(B597,'SINAPI-%MO'!B:E,4,0)</f>
        <v>0.67830000000000001</v>
      </c>
      <c r="H597" s="225">
        <f t="shared" si="9"/>
        <v>13.82</v>
      </c>
    </row>
    <row r="598" spans="1:8" x14ac:dyDescent="0.3">
      <c r="A598" s="400"/>
      <c r="B598" s="709">
        <v>97143</v>
      </c>
      <c r="C598" s="710" t="s">
        <v>874</v>
      </c>
      <c r="D598" s="709" t="s">
        <v>159</v>
      </c>
      <c r="E598" s="716">
        <v>7.47</v>
      </c>
      <c r="F598" s="717">
        <v>0</v>
      </c>
      <c r="G598">
        <f>VLOOKUP(B598,'SINAPI-%MO'!B:E,4,0)</f>
        <v>0.66400000000000003</v>
      </c>
      <c r="H598" s="225">
        <f t="shared" si="9"/>
        <v>2.5</v>
      </c>
    </row>
    <row r="599" spans="1:8" x14ac:dyDescent="0.3">
      <c r="A599" s="400"/>
      <c r="B599" s="709">
        <v>97159</v>
      </c>
      <c r="C599" s="710" t="s">
        <v>875</v>
      </c>
      <c r="D599" s="709" t="s">
        <v>159</v>
      </c>
      <c r="E599" s="716">
        <v>5.85</v>
      </c>
      <c r="F599" s="717">
        <v>0</v>
      </c>
      <c r="G599">
        <f>VLOOKUP(B599,'SINAPI-%MO'!B:E,4,0)</f>
        <v>0.68030000000000002</v>
      </c>
      <c r="H599" s="225">
        <f t="shared" si="9"/>
        <v>1.87</v>
      </c>
    </row>
    <row r="600" spans="1:8" x14ac:dyDescent="0.3">
      <c r="A600" s="400"/>
      <c r="B600" s="709">
        <v>97144</v>
      </c>
      <c r="C600" s="710" t="s">
        <v>876</v>
      </c>
      <c r="D600" s="709" t="s">
        <v>159</v>
      </c>
      <c r="E600" s="716">
        <v>9.3000000000000007</v>
      </c>
      <c r="F600" s="717">
        <v>0</v>
      </c>
      <c r="G600">
        <f>VLOOKUP(B600,'SINAPI-%MO'!B:E,4,0)</f>
        <v>0.68489999999999995</v>
      </c>
      <c r="H600" s="225">
        <f t="shared" si="9"/>
        <v>2.93</v>
      </c>
    </row>
    <row r="601" spans="1:8" x14ac:dyDescent="0.3">
      <c r="A601" s="400"/>
      <c r="B601" s="709">
        <v>97160</v>
      </c>
      <c r="C601" s="710" t="s">
        <v>877</v>
      </c>
      <c r="D601" s="709" t="s">
        <v>159</v>
      </c>
      <c r="E601" s="716">
        <v>7.38</v>
      </c>
      <c r="F601" s="717">
        <v>0</v>
      </c>
      <c r="G601">
        <f>VLOOKUP(B601,'SINAPI-%MO'!B:E,4,0)</f>
        <v>0.70330000000000004</v>
      </c>
      <c r="H601" s="225">
        <f t="shared" si="9"/>
        <v>2.1800000000000002</v>
      </c>
    </row>
    <row r="602" spans="1:8" x14ac:dyDescent="0.3">
      <c r="A602" s="400"/>
      <c r="B602" s="709">
        <v>97145</v>
      </c>
      <c r="C602" s="710" t="s">
        <v>878</v>
      </c>
      <c r="D602" s="709" t="s">
        <v>159</v>
      </c>
      <c r="E602" s="716">
        <v>11.17</v>
      </c>
      <c r="F602" s="717">
        <v>0</v>
      </c>
      <c r="G602">
        <f>VLOOKUP(B602,'SINAPI-%MO'!B:E,4,0)</f>
        <v>0.69740000000000002</v>
      </c>
      <c r="H602" s="225">
        <f t="shared" si="9"/>
        <v>3.38</v>
      </c>
    </row>
    <row r="603" spans="1:8" x14ac:dyDescent="0.3">
      <c r="A603" s="400"/>
      <c r="B603" s="709">
        <v>97161</v>
      </c>
      <c r="C603" s="710" t="s">
        <v>879</v>
      </c>
      <c r="D603" s="709" t="s">
        <v>159</v>
      </c>
      <c r="E603" s="716">
        <v>8.92</v>
      </c>
      <c r="F603" s="717">
        <v>0</v>
      </c>
      <c r="G603">
        <f>VLOOKUP(B603,'SINAPI-%MO'!B:E,4,0)</f>
        <v>0.71519999999999995</v>
      </c>
      <c r="H603" s="225">
        <f t="shared" si="9"/>
        <v>2.54</v>
      </c>
    </row>
    <row r="604" spans="1:8" x14ac:dyDescent="0.3">
      <c r="A604" s="400"/>
      <c r="B604" s="709">
        <v>97146</v>
      </c>
      <c r="C604" s="710" t="s">
        <v>880</v>
      </c>
      <c r="D604" s="709" t="s">
        <v>159</v>
      </c>
      <c r="E604" s="716">
        <v>13.03</v>
      </c>
      <c r="F604" s="717">
        <v>0</v>
      </c>
      <c r="G604">
        <f>VLOOKUP(B604,'SINAPI-%MO'!B:E,4,0)</f>
        <v>0.70609999999999995</v>
      </c>
      <c r="H604" s="225">
        <f t="shared" si="9"/>
        <v>3.82</v>
      </c>
    </row>
    <row r="605" spans="1:8" x14ac:dyDescent="0.3">
      <c r="A605" s="400"/>
      <c r="B605" s="709">
        <v>97162</v>
      </c>
      <c r="C605" s="710" t="s">
        <v>881</v>
      </c>
      <c r="D605" s="709" t="s">
        <v>159</v>
      </c>
      <c r="E605" s="716">
        <v>10.47</v>
      </c>
      <c r="F605" s="717">
        <v>0</v>
      </c>
      <c r="G605">
        <f>VLOOKUP(B605,'SINAPI-%MO'!B:E,4,0)</f>
        <v>0.72399999999999998</v>
      </c>
      <c r="H605" s="225">
        <f t="shared" si="9"/>
        <v>2.88</v>
      </c>
    </row>
    <row r="606" spans="1:8" x14ac:dyDescent="0.3">
      <c r="A606" s="400"/>
      <c r="B606" s="709">
        <v>97147</v>
      </c>
      <c r="C606" s="710" t="s">
        <v>882</v>
      </c>
      <c r="D606" s="709" t="s">
        <v>159</v>
      </c>
      <c r="E606" s="716">
        <v>14.9</v>
      </c>
      <c r="F606" s="717">
        <v>0</v>
      </c>
      <c r="G606">
        <f>VLOOKUP(B606,'SINAPI-%MO'!B:E,4,0)</f>
        <v>0.71340000000000003</v>
      </c>
      <c r="H606" s="225">
        <f t="shared" si="9"/>
        <v>4.2699999999999996</v>
      </c>
    </row>
    <row r="607" spans="1:8" x14ac:dyDescent="0.3">
      <c r="A607" s="400"/>
      <c r="B607" s="709">
        <v>97163</v>
      </c>
      <c r="C607" s="710" t="s">
        <v>883</v>
      </c>
      <c r="D607" s="709" t="s">
        <v>159</v>
      </c>
      <c r="E607" s="716">
        <v>12.02</v>
      </c>
      <c r="F607" s="717">
        <v>0</v>
      </c>
      <c r="G607">
        <f>VLOOKUP(B607,'SINAPI-%MO'!B:E,4,0)</f>
        <v>0.73040000000000005</v>
      </c>
      <c r="H607" s="225">
        <f t="shared" si="9"/>
        <v>3.24</v>
      </c>
    </row>
    <row r="608" spans="1:8" x14ac:dyDescent="0.3">
      <c r="A608" s="400"/>
      <c r="B608" s="709">
        <v>97148</v>
      </c>
      <c r="C608" s="710" t="s">
        <v>884</v>
      </c>
      <c r="D608" s="709" t="s">
        <v>159</v>
      </c>
      <c r="E608" s="716">
        <v>16.75</v>
      </c>
      <c r="F608" s="717">
        <v>0</v>
      </c>
      <c r="G608">
        <f>VLOOKUP(B608,'SINAPI-%MO'!B:E,4,0)</f>
        <v>0.71819999999999995</v>
      </c>
      <c r="H608" s="225">
        <f t="shared" si="9"/>
        <v>4.72</v>
      </c>
    </row>
    <row r="609" spans="1:8" x14ac:dyDescent="0.3">
      <c r="A609" s="400"/>
      <c r="B609" s="709">
        <v>97164</v>
      </c>
      <c r="C609" s="710" t="s">
        <v>885</v>
      </c>
      <c r="D609" s="709" t="s">
        <v>159</v>
      </c>
      <c r="E609" s="716">
        <v>13.57</v>
      </c>
      <c r="F609" s="717">
        <v>0</v>
      </c>
      <c r="G609">
        <f>VLOOKUP(B609,'SINAPI-%MO'!B:E,4,0)</f>
        <v>0.73540000000000005</v>
      </c>
      <c r="H609" s="225">
        <f t="shared" si="9"/>
        <v>3.59</v>
      </c>
    </row>
    <row r="610" spans="1:8" x14ac:dyDescent="0.3">
      <c r="A610" s="400"/>
      <c r="B610" s="709">
        <v>97149</v>
      </c>
      <c r="C610" s="710" t="s">
        <v>886</v>
      </c>
      <c r="D610" s="709" t="s">
        <v>159</v>
      </c>
      <c r="E610" s="716">
        <v>18.66</v>
      </c>
      <c r="F610" s="717">
        <v>0</v>
      </c>
      <c r="G610">
        <f>VLOOKUP(B610,'SINAPI-%MO'!B:E,4,0)</f>
        <v>0.7208</v>
      </c>
      <c r="H610" s="225">
        <f t="shared" si="9"/>
        <v>5.2</v>
      </c>
    </row>
    <row r="611" spans="1:8" x14ac:dyDescent="0.3">
      <c r="A611" s="400"/>
      <c r="B611" s="709">
        <v>97165</v>
      </c>
      <c r="C611" s="710" t="s">
        <v>887</v>
      </c>
      <c r="D611" s="709" t="s">
        <v>159</v>
      </c>
      <c r="E611" s="716">
        <v>15.14</v>
      </c>
      <c r="F611" s="717">
        <v>0</v>
      </c>
      <c r="G611">
        <f>VLOOKUP(B611,'SINAPI-%MO'!B:E,4,0)</f>
        <v>0.73780000000000001</v>
      </c>
      <c r="H611" s="225">
        <f t="shared" si="9"/>
        <v>3.96</v>
      </c>
    </row>
    <row r="612" spans="1:8" x14ac:dyDescent="0.3">
      <c r="A612" s="400"/>
      <c r="B612" s="709">
        <v>97150</v>
      </c>
      <c r="C612" s="710" t="s">
        <v>888</v>
      </c>
      <c r="D612" s="709" t="s">
        <v>159</v>
      </c>
      <c r="E612" s="716">
        <v>23.72</v>
      </c>
      <c r="F612" s="717">
        <v>0</v>
      </c>
      <c r="G612">
        <f>VLOOKUP(B612,'SINAPI-%MO'!B:E,4,0)</f>
        <v>0.62690000000000001</v>
      </c>
      <c r="H612" s="225">
        <f t="shared" si="9"/>
        <v>8.84</v>
      </c>
    </row>
    <row r="613" spans="1:8" x14ac:dyDescent="0.3">
      <c r="A613" s="400"/>
      <c r="B613" s="709">
        <v>97166</v>
      </c>
      <c r="C613" s="710" t="s">
        <v>889</v>
      </c>
      <c r="D613" s="709" t="s">
        <v>159</v>
      </c>
      <c r="E613" s="716">
        <v>18.84</v>
      </c>
      <c r="F613" s="717">
        <v>0</v>
      </c>
      <c r="G613">
        <f>VLOOKUP(B613,'SINAPI-%MO'!B:E,4,0)</f>
        <v>0.65659999999999996</v>
      </c>
      <c r="H613" s="225">
        <f t="shared" si="9"/>
        <v>6.46</v>
      </c>
    </row>
    <row r="614" spans="1:8" x14ac:dyDescent="0.3">
      <c r="A614" s="400"/>
      <c r="B614" s="709">
        <v>97151</v>
      </c>
      <c r="C614" s="710" t="s">
        <v>890</v>
      </c>
      <c r="D614" s="709" t="s">
        <v>159</v>
      </c>
      <c r="E614" s="716">
        <v>27.99</v>
      </c>
      <c r="F614" s="717">
        <v>0</v>
      </c>
      <c r="G614">
        <f>VLOOKUP(B614,'SINAPI-%MO'!B:E,4,0)</f>
        <v>0.63200000000000001</v>
      </c>
      <c r="H614" s="225">
        <f t="shared" si="9"/>
        <v>10.3</v>
      </c>
    </row>
    <row r="615" spans="1:8" x14ac:dyDescent="0.3">
      <c r="A615" s="400"/>
      <c r="B615" s="709">
        <v>97167</v>
      </c>
      <c r="C615" s="710" t="s">
        <v>891</v>
      </c>
      <c r="D615" s="709" t="s">
        <v>159</v>
      </c>
      <c r="E615" s="716">
        <v>22.33</v>
      </c>
      <c r="F615" s="717">
        <v>0</v>
      </c>
      <c r="G615">
        <f>VLOOKUP(B615,'SINAPI-%MO'!B:E,4,0)</f>
        <v>0.66100000000000003</v>
      </c>
      <c r="H615" s="225">
        <f t="shared" si="9"/>
        <v>7.56</v>
      </c>
    </row>
    <row r="616" spans="1:8" x14ac:dyDescent="0.3">
      <c r="A616" s="400"/>
      <c r="B616" s="709">
        <v>97152</v>
      </c>
      <c r="C616" s="710" t="s">
        <v>892</v>
      </c>
      <c r="D616" s="709" t="s">
        <v>159</v>
      </c>
      <c r="E616" s="716">
        <v>31.89</v>
      </c>
      <c r="F616" s="717">
        <v>0</v>
      </c>
      <c r="G616">
        <f>VLOOKUP(B616,'SINAPI-%MO'!B:E,4,0)</f>
        <v>0.6431</v>
      </c>
      <c r="H616" s="225">
        <f t="shared" si="9"/>
        <v>11.38</v>
      </c>
    </row>
    <row r="617" spans="1:8" x14ac:dyDescent="0.3">
      <c r="A617" s="400"/>
      <c r="B617" s="709">
        <v>97168</v>
      </c>
      <c r="C617" s="710" t="s">
        <v>893</v>
      </c>
      <c r="D617" s="709" t="s">
        <v>159</v>
      </c>
      <c r="E617" s="716">
        <v>25.46</v>
      </c>
      <c r="F617" s="717">
        <v>0</v>
      </c>
      <c r="G617">
        <f>VLOOKUP(B617,'SINAPI-%MO'!B:E,4,0)</f>
        <v>0.67400000000000004</v>
      </c>
      <c r="H617" s="225">
        <f t="shared" si="9"/>
        <v>8.2899999999999991</v>
      </c>
    </row>
    <row r="618" spans="1:8" x14ac:dyDescent="0.3">
      <c r="A618" s="400"/>
      <c r="B618" s="709">
        <v>97141</v>
      </c>
      <c r="C618" s="710" t="s">
        <v>894</v>
      </c>
      <c r="D618" s="709" t="s">
        <v>159</v>
      </c>
      <c r="E618" s="716">
        <v>4.8899999999999997</v>
      </c>
      <c r="F618" s="717">
        <v>0</v>
      </c>
      <c r="G618">
        <f>VLOOKUP(B618,'SINAPI-%MO'!B:E,4,0)</f>
        <v>0.61150000000000004</v>
      </c>
      <c r="H618" s="225">
        <f t="shared" si="9"/>
        <v>1.89</v>
      </c>
    </row>
    <row r="619" spans="1:8" x14ac:dyDescent="0.3">
      <c r="A619" s="400"/>
      <c r="B619" s="709">
        <v>97157</v>
      </c>
      <c r="C619" s="710" t="s">
        <v>895</v>
      </c>
      <c r="D619" s="709" t="s">
        <v>159</v>
      </c>
      <c r="E619" s="716">
        <v>3.72</v>
      </c>
      <c r="F619" s="717">
        <v>0</v>
      </c>
      <c r="G619">
        <f>VLOOKUP(B619,'SINAPI-%MO'!B:E,4,0)</f>
        <v>0.621</v>
      </c>
      <c r="H619" s="225">
        <f t="shared" si="9"/>
        <v>1.4</v>
      </c>
    </row>
    <row r="620" spans="1:8" x14ac:dyDescent="0.3">
      <c r="A620" s="400"/>
      <c r="B620" s="709">
        <v>97153</v>
      </c>
      <c r="C620" s="710" t="s">
        <v>896</v>
      </c>
      <c r="D620" s="709" t="s">
        <v>159</v>
      </c>
      <c r="E620" s="716">
        <v>36.03</v>
      </c>
      <c r="F620" s="717">
        <v>0</v>
      </c>
      <c r="G620">
        <f>VLOOKUP(B620,'SINAPI-%MO'!B:E,4,0)</f>
        <v>0.64810000000000001</v>
      </c>
      <c r="H620" s="225">
        <f t="shared" si="9"/>
        <v>12.67</v>
      </c>
    </row>
    <row r="621" spans="1:8" x14ac:dyDescent="0.3">
      <c r="A621" s="400"/>
      <c r="B621" s="709">
        <v>97169</v>
      </c>
      <c r="C621" s="710" t="s">
        <v>897</v>
      </c>
      <c r="D621" s="709" t="s">
        <v>159</v>
      </c>
      <c r="E621" s="716">
        <v>28.8</v>
      </c>
      <c r="F621" s="717">
        <v>0</v>
      </c>
      <c r="G621">
        <f>VLOOKUP(B621,'SINAPI-%MO'!B:E,4,0)</f>
        <v>0.67879999999999996</v>
      </c>
      <c r="H621" s="225">
        <f t="shared" si="9"/>
        <v>9.25</v>
      </c>
    </row>
    <row r="622" spans="1:8" x14ac:dyDescent="0.3">
      <c r="A622" s="400"/>
      <c r="B622" s="709">
        <v>97154</v>
      </c>
      <c r="C622" s="710" t="s">
        <v>898</v>
      </c>
      <c r="D622" s="709" t="s">
        <v>159</v>
      </c>
      <c r="E622" s="716">
        <v>40.21</v>
      </c>
      <c r="F622" s="717">
        <v>0</v>
      </c>
      <c r="G622">
        <f>VLOOKUP(B622,'SINAPI-%MO'!B:E,4,0)</f>
        <v>0.65110000000000001</v>
      </c>
      <c r="H622" s="225">
        <f t="shared" si="9"/>
        <v>14.02</v>
      </c>
    </row>
    <row r="623" spans="1:8" x14ac:dyDescent="0.3">
      <c r="A623" s="400"/>
      <c r="B623" s="709">
        <v>97170</v>
      </c>
      <c r="C623" s="710" t="s">
        <v>899</v>
      </c>
      <c r="D623" s="709" t="s">
        <v>159</v>
      </c>
      <c r="E623" s="716">
        <v>32.19</v>
      </c>
      <c r="F623" s="717">
        <v>0</v>
      </c>
      <c r="G623">
        <f>VLOOKUP(B623,'SINAPI-%MO'!B:E,4,0)</f>
        <v>0.68189999999999995</v>
      </c>
      <c r="H623" s="225">
        <f t="shared" si="9"/>
        <v>10.23</v>
      </c>
    </row>
    <row r="624" spans="1:8" x14ac:dyDescent="0.3">
      <c r="A624" s="400"/>
      <c r="B624" s="709">
        <v>105311</v>
      </c>
      <c r="C624" s="710" t="s">
        <v>900</v>
      </c>
      <c r="D624" s="709" t="s">
        <v>159</v>
      </c>
      <c r="E624" s="716">
        <v>3.99</v>
      </c>
      <c r="F624" s="717">
        <v>0</v>
      </c>
      <c r="G624">
        <f>VLOOKUP(B624,'SINAPI-%MO'!B:E,4,0)</f>
        <v>0.9173</v>
      </c>
      <c r="H624" s="225">
        <f t="shared" si="9"/>
        <v>0.32</v>
      </c>
    </row>
    <row r="625" spans="1:8" x14ac:dyDescent="0.3">
      <c r="A625" s="400"/>
      <c r="B625" s="709">
        <v>105339</v>
      </c>
      <c r="C625" s="710" t="s">
        <v>901</v>
      </c>
      <c r="D625" s="709" t="s">
        <v>159</v>
      </c>
      <c r="E625" s="716">
        <v>3.29</v>
      </c>
      <c r="F625" s="717">
        <v>0</v>
      </c>
      <c r="G625">
        <f>VLOOKUP(B625,'SINAPI-%MO'!B:E,4,0)</f>
        <v>0.89970000000000006</v>
      </c>
      <c r="H625" s="225">
        <f t="shared" si="9"/>
        <v>0.32</v>
      </c>
    </row>
    <row r="626" spans="1:8" x14ac:dyDescent="0.3">
      <c r="A626" s="400"/>
      <c r="B626" s="709">
        <v>97127</v>
      </c>
      <c r="C626" s="710" t="s">
        <v>902</v>
      </c>
      <c r="D626" s="709" t="s">
        <v>159</v>
      </c>
      <c r="E626" s="716">
        <v>5.23</v>
      </c>
      <c r="F626" s="717">
        <v>0</v>
      </c>
      <c r="G626">
        <f>VLOOKUP(B626,'SINAPI-%MO'!B:E,4,0)</f>
        <v>0.90059999999999996</v>
      </c>
      <c r="H626" s="225">
        <f t="shared" si="9"/>
        <v>0.51</v>
      </c>
    </row>
    <row r="627" spans="1:8" x14ac:dyDescent="0.3">
      <c r="A627" s="400"/>
      <c r="B627" s="709">
        <v>97134</v>
      </c>
      <c r="C627" s="710" t="s">
        <v>903</v>
      </c>
      <c r="D627" s="709" t="s">
        <v>159</v>
      </c>
      <c r="E627" s="716">
        <v>4.34</v>
      </c>
      <c r="F627" s="717">
        <v>0</v>
      </c>
      <c r="G627">
        <f>VLOOKUP(B627,'SINAPI-%MO'!B:E,4,0)</f>
        <v>0.88019999999999998</v>
      </c>
      <c r="H627" s="225">
        <f t="shared" si="9"/>
        <v>0.51</v>
      </c>
    </row>
    <row r="628" spans="1:8" x14ac:dyDescent="0.3">
      <c r="A628" s="400"/>
      <c r="B628" s="709">
        <v>97128</v>
      </c>
      <c r="C628" s="710" t="s">
        <v>904</v>
      </c>
      <c r="D628" s="709" t="s">
        <v>159</v>
      </c>
      <c r="E628" s="716">
        <v>10.23</v>
      </c>
      <c r="F628" s="717">
        <v>0</v>
      </c>
      <c r="G628">
        <f>VLOOKUP(B628,'SINAPI-%MO'!B:E,4,0)</f>
        <v>0.71650000000000003</v>
      </c>
      <c r="H628" s="225">
        <f t="shared" si="9"/>
        <v>2.9</v>
      </c>
    </row>
    <row r="629" spans="1:8" x14ac:dyDescent="0.3">
      <c r="A629" s="400"/>
      <c r="B629" s="709">
        <v>97135</v>
      </c>
      <c r="C629" s="710" t="s">
        <v>905</v>
      </c>
      <c r="D629" s="709" t="s">
        <v>159</v>
      </c>
      <c r="E629" s="716">
        <v>7.87</v>
      </c>
      <c r="F629" s="717">
        <v>0</v>
      </c>
      <c r="G629">
        <f>VLOOKUP(B629,'SINAPI-%MO'!B:E,4,0)</f>
        <v>0.71030000000000004</v>
      </c>
      <c r="H629" s="225">
        <f t="shared" si="9"/>
        <v>2.27</v>
      </c>
    </row>
    <row r="630" spans="1:8" x14ac:dyDescent="0.3">
      <c r="A630" s="400"/>
      <c r="B630" s="709">
        <v>97129</v>
      </c>
      <c r="C630" s="710" t="s">
        <v>906</v>
      </c>
      <c r="D630" s="709" t="s">
        <v>159</v>
      </c>
      <c r="E630" s="716">
        <v>12.12</v>
      </c>
      <c r="F630" s="717">
        <v>0</v>
      </c>
      <c r="G630">
        <f>VLOOKUP(B630,'SINAPI-%MO'!B:E,4,0)</f>
        <v>0.71530000000000005</v>
      </c>
      <c r="H630" s="225">
        <f t="shared" si="9"/>
        <v>3.45</v>
      </c>
    </row>
    <row r="631" spans="1:8" x14ac:dyDescent="0.3">
      <c r="A631" s="400"/>
      <c r="B631" s="709">
        <v>97136</v>
      </c>
      <c r="C631" s="710" t="s">
        <v>907</v>
      </c>
      <c r="D631" s="709" t="s">
        <v>159</v>
      </c>
      <c r="E631" s="716">
        <v>9.33</v>
      </c>
      <c r="F631" s="717">
        <v>0</v>
      </c>
      <c r="G631">
        <f>VLOOKUP(B631,'SINAPI-%MO'!B:E,4,0)</f>
        <v>0.70850000000000002</v>
      </c>
      <c r="H631" s="225">
        <f t="shared" si="9"/>
        <v>2.71</v>
      </c>
    </row>
    <row r="632" spans="1:8" x14ac:dyDescent="0.3">
      <c r="A632" s="400"/>
      <c r="B632" s="709">
        <v>97130</v>
      </c>
      <c r="C632" s="710" t="s">
        <v>908</v>
      </c>
      <c r="D632" s="709" t="s">
        <v>159</v>
      </c>
      <c r="E632" s="716">
        <v>14.03</v>
      </c>
      <c r="F632" s="717">
        <v>0</v>
      </c>
      <c r="G632">
        <f>VLOOKUP(B632,'SINAPI-%MO'!B:E,4,0)</f>
        <v>0.71350000000000002</v>
      </c>
      <c r="H632" s="225">
        <f t="shared" si="9"/>
        <v>4.01</v>
      </c>
    </row>
    <row r="633" spans="1:8" x14ac:dyDescent="0.3">
      <c r="A633" s="400"/>
      <c r="B633" s="709">
        <v>97137</v>
      </c>
      <c r="C633" s="710" t="s">
        <v>909</v>
      </c>
      <c r="D633" s="709" t="s">
        <v>159</v>
      </c>
      <c r="E633" s="716">
        <v>10.8</v>
      </c>
      <c r="F633" s="717">
        <v>0</v>
      </c>
      <c r="G633">
        <f>VLOOKUP(B633,'SINAPI-%MO'!B:E,4,0)</f>
        <v>0.70740000000000003</v>
      </c>
      <c r="H633" s="225">
        <f t="shared" si="9"/>
        <v>3.16</v>
      </c>
    </row>
    <row r="634" spans="1:8" x14ac:dyDescent="0.3">
      <c r="A634" s="400"/>
      <c r="B634" s="709">
        <v>97131</v>
      </c>
      <c r="C634" s="710" t="s">
        <v>910</v>
      </c>
      <c r="D634" s="709" t="s">
        <v>159</v>
      </c>
      <c r="E634" s="716">
        <v>15.94</v>
      </c>
      <c r="F634" s="717">
        <v>0</v>
      </c>
      <c r="G634">
        <f>VLOOKUP(B634,'SINAPI-%MO'!B:E,4,0)</f>
        <v>0.7127</v>
      </c>
      <c r="H634" s="225">
        <f t="shared" si="9"/>
        <v>4.57</v>
      </c>
    </row>
    <row r="635" spans="1:8" x14ac:dyDescent="0.3">
      <c r="A635" s="400"/>
      <c r="B635" s="709">
        <v>97138</v>
      </c>
      <c r="C635" s="710" t="s">
        <v>911</v>
      </c>
      <c r="D635" s="709" t="s">
        <v>159</v>
      </c>
      <c r="E635" s="716">
        <v>12.28</v>
      </c>
      <c r="F635" s="717">
        <v>0</v>
      </c>
      <c r="G635">
        <f>VLOOKUP(B635,'SINAPI-%MO'!B:E,4,0)</f>
        <v>0.70599999999999996</v>
      </c>
      <c r="H635" s="225">
        <f t="shared" si="9"/>
        <v>3.61</v>
      </c>
    </row>
    <row r="636" spans="1:8" x14ac:dyDescent="0.3">
      <c r="A636" s="400"/>
      <c r="B636" s="709">
        <v>97132</v>
      </c>
      <c r="C636" s="710" t="s">
        <v>912</v>
      </c>
      <c r="D636" s="709" t="s">
        <v>159</v>
      </c>
      <c r="E636" s="716">
        <v>17.84</v>
      </c>
      <c r="F636" s="717">
        <v>0</v>
      </c>
      <c r="G636">
        <f>VLOOKUP(B636,'SINAPI-%MO'!B:E,4,0)</f>
        <v>0.71240000000000003</v>
      </c>
      <c r="H636" s="225">
        <f t="shared" si="9"/>
        <v>5.13</v>
      </c>
    </row>
    <row r="637" spans="1:8" x14ac:dyDescent="0.3">
      <c r="A637" s="400"/>
      <c r="B637" s="709">
        <v>97139</v>
      </c>
      <c r="C637" s="710" t="s">
        <v>913</v>
      </c>
      <c r="D637" s="709" t="s">
        <v>159</v>
      </c>
      <c r="E637" s="716">
        <v>13.75</v>
      </c>
      <c r="F637" s="717">
        <v>0</v>
      </c>
      <c r="G637">
        <f>VLOOKUP(B637,'SINAPI-%MO'!B:E,4,0)</f>
        <v>0.70550000000000002</v>
      </c>
      <c r="H637" s="225">
        <f t="shared" si="9"/>
        <v>4.04</v>
      </c>
    </row>
    <row r="638" spans="1:8" x14ac:dyDescent="0.3">
      <c r="A638" s="400"/>
      <c r="B638" s="709">
        <v>97133</v>
      </c>
      <c r="C638" s="710" t="s">
        <v>914</v>
      </c>
      <c r="D638" s="709" t="s">
        <v>159</v>
      </c>
      <c r="E638" s="716">
        <v>21.65</v>
      </c>
      <c r="F638" s="717">
        <v>0</v>
      </c>
      <c r="G638">
        <f>VLOOKUP(B638,'SINAPI-%MO'!B:E,4,0)</f>
        <v>0.71089999999999998</v>
      </c>
      <c r="H638" s="225">
        <f t="shared" si="9"/>
        <v>6.25</v>
      </c>
    </row>
    <row r="639" spans="1:8" x14ac:dyDescent="0.3">
      <c r="A639" s="400"/>
      <c r="B639" s="709">
        <v>97140</v>
      </c>
      <c r="C639" s="710" t="s">
        <v>915</v>
      </c>
      <c r="D639" s="709" t="s">
        <v>159</v>
      </c>
      <c r="E639" s="716">
        <v>16.690000000000001</v>
      </c>
      <c r="F639" s="717">
        <v>0</v>
      </c>
      <c r="G639">
        <f>VLOOKUP(B639,'SINAPI-%MO'!B:E,4,0)</f>
        <v>0.70340000000000003</v>
      </c>
      <c r="H639" s="225">
        <f t="shared" si="9"/>
        <v>4.95</v>
      </c>
    </row>
    <row r="640" spans="1:8" x14ac:dyDescent="0.3">
      <c r="A640" s="400"/>
      <c r="B640" s="709">
        <v>97123</v>
      </c>
      <c r="C640" s="710" t="s">
        <v>916</v>
      </c>
      <c r="D640" s="709" t="s">
        <v>159</v>
      </c>
      <c r="E640" s="716">
        <v>4.29</v>
      </c>
      <c r="F640" s="717">
        <v>0</v>
      </c>
      <c r="G640">
        <f>VLOOKUP(B640,'SINAPI-%MO'!B:E,4,0)</f>
        <v>0.92310000000000003</v>
      </c>
      <c r="H640" s="225">
        <f t="shared" si="9"/>
        <v>0.32</v>
      </c>
    </row>
    <row r="641" spans="1:8" x14ac:dyDescent="0.3">
      <c r="A641" s="400"/>
      <c r="B641" s="709">
        <v>97126</v>
      </c>
      <c r="C641" s="710" t="s">
        <v>917</v>
      </c>
      <c r="D641" s="709" t="s">
        <v>159</v>
      </c>
      <c r="E641" s="716">
        <v>3.54</v>
      </c>
      <c r="F641" s="717">
        <v>0</v>
      </c>
      <c r="G641">
        <f>VLOOKUP(B641,'SINAPI-%MO'!B:E,4,0)</f>
        <v>0.90680000000000005</v>
      </c>
      <c r="H641" s="225">
        <f t="shared" si="9"/>
        <v>0.32</v>
      </c>
    </row>
    <row r="642" spans="1:8" x14ac:dyDescent="0.3">
      <c r="A642" s="400"/>
      <c r="B642" s="709">
        <v>105308</v>
      </c>
      <c r="C642" s="710" t="s">
        <v>918</v>
      </c>
      <c r="D642" s="709" t="s">
        <v>159</v>
      </c>
      <c r="E642" s="716">
        <v>4.9800000000000004</v>
      </c>
      <c r="F642" s="717">
        <v>0</v>
      </c>
      <c r="G642">
        <f>VLOOKUP(B642,'SINAPI-%MO'!B:E,4,0)</f>
        <v>0.90159999999999996</v>
      </c>
      <c r="H642" s="225">
        <f t="shared" si="9"/>
        <v>0.49</v>
      </c>
    </row>
    <row r="643" spans="1:8" x14ac:dyDescent="0.3">
      <c r="A643" s="400"/>
      <c r="B643" s="709">
        <v>105312</v>
      </c>
      <c r="C643" s="710" t="s">
        <v>919</v>
      </c>
      <c r="D643" s="709" t="s">
        <v>159</v>
      </c>
      <c r="E643" s="716">
        <v>4.12</v>
      </c>
      <c r="F643" s="717">
        <v>0</v>
      </c>
      <c r="G643">
        <f>VLOOKUP(B643,'SINAPI-%MO'!B:E,4,0)</f>
        <v>0.88109999999999999</v>
      </c>
      <c r="H643" s="225">
        <f t="shared" si="9"/>
        <v>0.48</v>
      </c>
    </row>
    <row r="644" spans="1:8" x14ac:dyDescent="0.3">
      <c r="A644" s="400"/>
      <c r="B644" s="709">
        <v>105309</v>
      </c>
      <c r="C644" s="710" t="s">
        <v>920</v>
      </c>
      <c r="D644" s="709" t="s">
        <v>159</v>
      </c>
      <c r="E644" s="716">
        <v>5.37</v>
      </c>
      <c r="F644" s="717">
        <v>0</v>
      </c>
      <c r="G644">
        <f>VLOOKUP(B644,'SINAPI-%MO'!B:E,4,0)</f>
        <v>0.89570000000000005</v>
      </c>
      <c r="H644" s="225">
        <f t="shared" si="9"/>
        <v>0.56000000000000005</v>
      </c>
    </row>
    <row r="645" spans="1:8" x14ac:dyDescent="0.3">
      <c r="A645" s="400"/>
      <c r="B645" s="709">
        <v>105313</v>
      </c>
      <c r="C645" s="710" t="s">
        <v>921</v>
      </c>
      <c r="D645" s="709" t="s">
        <v>159</v>
      </c>
      <c r="E645" s="716">
        <v>4.45</v>
      </c>
      <c r="F645" s="717">
        <v>0</v>
      </c>
      <c r="G645">
        <f>VLOOKUP(B645,'SINAPI-%MO'!B:E,4,0)</f>
        <v>0.87419999999999998</v>
      </c>
      <c r="H645" s="225">
        <f t="shared" si="9"/>
        <v>0.55000000000000004</v>
      </c>
    </row>
    <row r="646" spans="1:8" x14ac:dyDescent="0.3">
      <c r="A646" s="400"/>
      <c r="B646" s="709">
        <v>105310</v>
      </c>
      <c r="C646" s="710" t="s">
        <v>922</v>
      </c>
      <c r="D646" s="709" t="s">
        <v>159</v>
      </c>
      <c r="E646" s="716">
        <v>6.31</v>
      </c>
      <c r="F646" s="717">
        <v>0</v>
      </c>
      <c r="G646">
        <f>VLOOKUP(B646,'SINAPI-%MO'!B:E,4,0)</f>
        <v>0.89380000000000004</v>
      </c>
      <c r="H646" s="225">
        <f t="shared" si="9"/>
        <v>0.67</v>
      </c>
    </row>
    <row r="647" spans="1:8" x14ac:dyDescent="0.3">
      <c r="A647" s="400"/>
      <c r="B647" s="709">
        <v>105314</v>
      </c>
      <c r="C647" s="710" t="s">
        <v>923</v>
      </c>
      <c r="D647" s="709" t="s">
        <v>159</v>
      </c>
      <c r="E647" s="716">
        <v>5.25</v>
      </c>
      <c r="F647" s="717">
        <v>0</v>
      </c>
      <c r="G647">
        <f>VLOOKUP(B647,'SINAPI-%MO'!B:E,4,0)</f>
        <v>0.87239999999999995</v>
      </c>
      <c r="H647" s="225">
        <f t="shared" si="9"/>
        <v>0.66</v>
      </c>
    </row>
    <row r="648" spans="1:8" x14ac:dyDescent="0.3">
      <c r="A648" s="400"/>
      <c r="B648" s="709">
        <v>97121</v>
      </c>
      <c r="C648" s="710" t="s">
        <v>924</v>
      </c>
      <c r="D648" s="709" t="s">
        <v>159</v>
      </c>
      <c r="E648" s="716">
        <v>3.05</v>
      </c>
      <c r="F648" s="717">
        <v>0</v>
      </c>
      <c r="G648">
        <f>VLOOKUP(B648,'SINAPI-%MO'!B:E,4,0)</f>
        <v>0.95079999999999998</v>
      </c>
      <c r="H648" s="225">
        <f t="shared" si="9"/>
        <v>0.15</v>
      </c>
    </row>
    <row r="649" spans="1:8" x14ac:dyDescent="0.3">
      <c r="A649" s="400"/>
      <c r="B649" s="709">
        <v>97124</v>
      </c>
      <c r="C649" s="710" t="s">
        <v>925</v>
      </c>
      <c r="D649" s="709" t="s">
        <v>159</v>
      </c>
      <c r="E649" s="716">
        <v>2.5</v>
      </c>
      <c r="F649" s="717">
        <v>0</v>
      </c>
      <c r="G649">
        <f>VLOOKUP(B649,'SINAPI-%MO'!B:E,4,0)</f>
        <v>0.94</v>
      </c>
      <c r="H649" s="225">
        <f t="shared" si="9"/>
        <v>0.15</v>
      </c>
    </row>
    <row r="650" spans="1:8" x14ac:dyDescent="0.3">
      <c r="A650" s="400"/>
      <c r="B650" s="709">
        <v>97122</v>
      </c>
      <c r="C650" s="710" t="s">
        <v>926</v>
      </c>
      <c r="D650" s="709" t="s">
        <v>159</v>
      </c>
      <c r="E650" s="716">
        <v>3.69</v>
      </c>
      <c r="F650" s="717">
        <v>0</v>
      </c>
      <c r="G650">
        <f>VLOOKUP(B650,'SINAPI-%MO'!B:E,4,0)</f>
        <v>0.92949999999999999</v>
      </c>
      <c r="H650" s="225">
        <f t="shared" si="9"/>
        <v>0.26</v>
      </c>
    </row>
    <row r="651" spans="1:8" x14ac:dyDescent="0.3">
      <c r="A651" s="400"/>
      <c r="B651" s="709">
        <v>97125</v>
      </c>
      <c r="C651" s="710" t="s">
        <v>927</v>
      </c>
      <c r="D651" s="709" t="s">
        <v>159</v>
      </c>
      <c r="E651" s="716">
        <v>3.04</v>
      </c>
      <c r="F651" s="717">
        <v>0</v>
      </c>
      <c r="G651">
        <f>VLOOKUP(B651,'SINAPI-%MO'!B:E,4,0)</f>
        <v>0.91449999999999998</v>
      </c>
      <c r="H651" s="225">
        <f t="shared" ref="H651:H714" si="10">IF(E651&gt;0,TRUNC(E651*(1-G651),2),"")</f>
        <v>0.25</v>
      </c>
    </row>
    <row r="652" spans="1:8" x14ac:dyDescent="0.3">
      <c r="A652" s="400"/>
      <c r="B652" s="709">
        <v>105296</v>
      </c>
      <c r="C652" s="710" t="s">
        <v>928</v>
      </c>
      <c r="D652" s="709" t="s">
        <v>136</v>
      </c>
      <c r="E652" s="716">
        <v>174.33</v>
      </c>
      <c r="F652" s="717">
        <v>0.85060000000000002</v>
      </c>
      <c r="G652">
        <f>VLOOKUP(B652,'SINAPI-%MO'!B:E,4,0)</f>
        <v>0.13780000000000001</v>
      </c>
      <c r="H652" s="225">
        <f t="shared" si="10"/>
        <v>150.30000000000001</v>
      </c>
    </row>
    <row r="653" spans="1:8" x14ac:dyDescent="0.3">
      <c r="A653" s="400"/>
      <c r="B653" s="709">
        <v>105374</v>
      </c>
      <c r="C653" s="710" t="s">
        <v>929</v>
      </c>
      <c r="D653" s="709" t="s">
        <v>136</v>
      </c>
      <c r="E653" s="716">
        <v>169.8</v>
      </c>
      <c r="F653" s="717">
        <v>0.87329999999999997</v>
      </c>
      <c r="G653">
        <f>VLOOKUP(B653,'SINAPI-%MO'!B:E,4,0)</f>
        <v>0.1148</v>
      </c>
      <c r="H653" s="225">
        <f t="shared" si="10"/>
        <v>150.30000000000001</v>
      </c>
    </row>
    <row r="654" spans="1:8" x14ac:dyDescent="0.3">
      <c r="A654" s="400"/>
      <c r="B654" s="709">
        <v>105292</v>
      </c>
      <c r="C654" s="710" t="s">
        <v>930</v>
      </c>
      <c r="D654" s="709" t="s">
        <v>136</v>
      </c>
      <c r="E654" s="716">
        <v>50.89</v>
      </c>
      <c r="F654" s="717">
        <v>0.6361</v>
      </c>
      <c r="G654">
        <f>VLOOKUP(B654,'SINAPI-%MO'!B:E,4,0)</f>
        <v>0.34620000000000001</v>
      </c>
      <c r="H654" s="225">
        <f t="shared" si="10"/>
        <v>33.270000000000003</v>
      </c>
    </row>
    <row r="655" spans="1:8" x14ac:dyDescent="0.3">
      <c r="A655" s="400"/>
      <c r="B655" s="709">
        <v>105293</v>
      </c>
      <c r="C655" s="710" t="s">
        <v>931</v>
      </c>
      <c r="D655" s="709" t="s">
        <v>136</v>
      </c>
      <c r="E655" s="716">
        <v>47.56</v>
      </c>
      <c r="F655" s="717">
        <v>0.68059999999999998</v>
      </c>
      <c r="G655">
        <f>VLOOKUP(B655,'SINAPI-%MO'!B:E,4,0)</f>
        <v>0.30049999999999999</v>
      </c>
      <c r="H655" s="225">
        <f t="shared" si="10"/>
        <v>33.26</v>
      </c>
    </row>
    <row r="656" spans="1:8" x14ac:dyDescent="0.3">
      <c r="A656" s="400"/>
      <c r="B656" s="709">
        <v>105294</v>
      </c>
      <c r="C656" s="710" t="s">
        <v>932</v>
      </c>
      <c r="D656" s="709" t="s">
        <v>136</v>
      </c>
      <c r="E656" s="716">
        <v>102.29</v>
      </c>
      <c r="F656" s="717">
        <v>0.78100000000000003</v>
      </c>
      <c r="G656">
        <f>VLOOKUP(B656,'SINAPI-%MO'!B:E,4,0)</f>
        <v>0.20349999999999999</v>
      </c>
      <c r="H656" s="225">
        <f t="shared" si="10"/>
        <v>81.47</v>
      </c>
    </row>
    <row r="657" spans="1:8" x14ac:dyDescent="0.3">
      <c r="A657" s="400"/>
      <c r="B657" s="709">
        <v>105295</v>
      </c>
      <c r="C657" s="710" t="s">
        <v>933</v>
      </c>
      <c r="D657" s="709" t="s">
        <v>136</v>
      </c>
      <c r="E657" s="716">
        <v>98.36</v>
      </c>
      <c r="F657" s="717">
        <v>0.81220000000000003</v>
      </c>
      <c r="G657">
        <f>VLOOKUP(B657,'SINAPI-%MO'!B:E,4,0)</f>
        <v>0.17169999999999999</v>
      </c>
      <c r="H657" s="225">
        <f t="shared" si="10"/>
        <v>81.47</v>
      </c>
    </row>
    <row r="658" spans="1:8" x14ac:dyDescent="0.3">
      <c r="A658" s="400"/>
      <c r="B658" s="709">
        <v>105290</v>
      </c>
      <c r="C658" s="710" t="s">
        <v>934</v>
      </c>
      <c r="D658" s="709" t="s">
        <v>136</v>
      </c>
      <c r="E658" s="716">
        <v>67.42</v>
      </c>
      <c r="F658" s="717">
        <v>0.73240000000000005</v>
      </c>
      <c r="G658">
        <f>VLOOKUP(B658,'SINAPI-%MO'!B:E,4,0)</f>
        <v>0.23749999999999999</v>
      </c>
      <c r="H658" s="225">
        <f t="shared" si="10"/>
        <v>51.4</v>
      </c>
    </row>
    <row r="659" spans="1:8" x14ac:dyDescent="0.3">
      <c r="A659" s="400"/>
      <c r="B659" s="709">
        <v>105291</v>
      </c>
      <c r="C659" s="710" t="s">
        <v>935</v>
      </c>
      <c r="D659" s="709" t="s">
        <v>136</v>
      </c>
      <c r="E659" s="716">
        <v>64.400000000000006</v>
      </c>
      <c r="F659" s="717">
        <v>0.76680000000000004</v>
      </c>
      <c r="G659">
        <f>VLOOKUP(B659,'SINAPI-%MO'!B:E,4,0)</f>
        <v>0.20169999999999999</v>
      </c>
      <c r="H659" s="225">
        <f t="shared" si="10"/>
        <v>51.41</v>
      </c>
    </row>
    <row r="660" spans="1:8" x14ac:dyDescent="0.3">
      <c r="A660" s="400"/>
      <c r="B660" s="709">
        <v>105286</v>
      </c>
      <c r="C660" s="710" t="s">
        <v>936</v>
      </c>
      <c r="D660" s="709" t="s">
        <v>136</v>
      </c>
      <c r="E660" s="716">
        <v>30.69</v>
      </c>
      <c r="F660" s="717">
        <v>0.58779999999999999</v>
      </c>
      <c r="G660">
        <f>VLOOKUP(B660,'SINAPI-%MO'!B:E,4,0)</f>
        <v>0.38290000000000002</v>
      </c>
      <c r="H660" s="225">
        <f t="shared" si="10"/>
        <v>18.93</v>
      </c>
    </row>
    <row r="661" spans="1:8" x14ac:dyDescent="0.3">
      <c r="A661" s="400"/>
      <c r="B661" s="709">
        <v>105287</v>
      </c>
      <c r="C661" s="710" t="s">
        <v>937</v>
      </c>
      <c r="D661" s="709" t="s">
        <v>136</v>
      </c>
      <c r="E661" s="716">
        <v>28.47</v>
      </c>
      <c r="F661" s="717">
        <v>0.63360000000000005</v>
      </c>
      <c r="G661">
        <f>VLOOKUP(B661,'SINAPI-%MO'!B:E,4,0)</f>
        <v>0.3347</v>
      </c>
      <c r="H661" s="225">
        <f t="shared" si="10"/>
        <v>18.940000000000001</v>
      </c>
    </row>
    <row r="662" spans="1:8" x14ac:dyDescent="0.3">
      <c r="A662" s="400"/>
      <c r="B662" s="709">
        <v>105288</v>
      </c>
      <c r="C662" s="710" t="s">
        <v>938</v>
      </c>
      <c r="D662" s="709" t="s">
        <v>136</v>
      </c>
      <c r="E662" s="716">
        <v>50.26</v>
      </c>
      <c r="F662" s="717">
        <v>0.69240000000000002</v>
      </c>
      <c r="G662">
        <f>VLOOKUP(B662,'SINAPI-%MO'!B:E,4,0)</f>
        <v>0.2762</v>
      </c>
      <c r="H662" s="225">
        <f t="shared" si="10"/>
        <v>36.369999999999997</v>
      </c>
    </row>
    <row r="663" spans="1:8" x14ac:dyDescent="0.3">
      <c r="A663" s="400"/>
      <c r="B663" s="709">
        <v>105289</v>
      </c>
      <c r="C663" s="710" t="s">
        <v>939</v>
      </c>
      <c r="D663" s="709" t="s">
        <v>136</v>
      </c>
      <c r="E663" s="716">
        <v>47.64</v>
      </c>
      <c r="F663" s="717">
        <v>0.73050000000000004</v>
      </c>
      <c r="G663">
        <f>VLOOKUP(B663,'SINAPI-%MO'!B:E,4,0)</f>
        <v>0.2364</v>
      </c>
      <c r="H663" s="225">
        <f t="shared" si="10"/>
        <v>36.369999999999997</v>
      </c>
    </row>
    <row r="664" spans="1:8" x14ac:dyDescent="0.3">
      <c r="A664" s="400"/>
      <c r="B664" s="709">
        <v>105375</v>
      </c>
      <c r="C664" s="710" t="s">
        <v>940</v>
      </c>
      <c r="D664" s="709" t="s">
        <v>136</v>
      </c>
      <c r="E664" s="716">
        <v>136.49</v>
      </c>
      <c r="F664" s="717">
        <v>0.73560000000000003</v>
      </c>
      <c r="G664">
        <f>VLOOKUP(B664,'SINAPI-%MO'!B:E,4,0)</f>
        <v>0.23469999999999999</v>
      </c>
      <c r="H664" s="225">
        <f t="shared" si="10"/>
        <v>104.45</v>
      </c>
    </row>
    <row r="665" spans="1:8" x14ac:dyDescent="0.3">
      <c r="A665" s="400"/>
      <c r="B665" s="709">
        <v>105376</v>
      </c>
      <c r="C665" s="710" t="s">
        <v>941</v>
      </c>
      <c r="D665" s="709" t="s">
        <v>136</v>
      </c>
      <c r="E665" s="716">
        <v>130.44999999999999</v>
      </c>
      <c r="F665" s="717">
        <v>0.76959999999999995</v>
      </c>
      <c r="G665">
        <f>VLOOKUP(B665,'SINAPI-%MO'!B:E,4,0)</f>
        <v>0.19919999999999999</v>
      </c>
      <c r="H665" s="225">
        <f t="shared" si="10"/>
        <v>104.46</v>
      </c>
    </row>
    <row r="666" spans="1:8" x14ac:dyDescent="0.3">
      <c r="A666" s="400"/>
      <c r="B666" s="709">
        <v>105331</v>
      </c>
      <c r="C666" s="710" t="s">
        <v>942</v>
      </c>
      <c r="D666" s="709" t="s">
        <v>159</v>
      </c>
      <c r="E666" s="716">
        <v>56.47</v>
      </c>
      <c r="F666" s="717">
        <v>0.92930000000000001</v>
      </c>
      <c r="G666">
        <f>VLOOKUP(B666,'SINAPI-%MO'!B:E,4,0)</f>
        <v>6.4799999999999996E-2</v>
      </c>
      <c r="H666" s="225">
        <f t="shared" si="10"/>
        <v>52.81</v>
      </c>
    </row>
    <row r="667" spans="1:8" x14ac:dyDescent="0.3">
      <c r="A667" s="400"/>
      <c r="B667" s="709">
        <v>105332</v>
      </c>
      <c r="C667" s="710" t="s">
        <v>943</v>
      </c>
      <c r="D667" s="709" t="s">
        <v>159</v>
      </c>
      <c r="E667" s="716">
        <v>55.77</v>
      </c>
      <c r="F667" s="717">
        <v>0.94099999999999995</v>
      </c>
      <c r="G667">
        <f>VLOOKUP(B667,'SINAPI-%MO'!B:E,4,0)</f>
        <v>5.3100000000000001E-2</v>
      </c>
      <c r="H667" s="225">
        <f t="shared" si="10"/>
        <v>52.8</v>
      </c>
    </row>
    <row r="668" spans="1:8" x14ac:dyDescent="0.3">
      <c r="A668" s="400"/>
      <c r="B668" s="709">
        <v>105333</v>
      </c>
      <c r="C668" s="710" t="s">
        <v>944</v>
      </c>
      <c r="D668" s="709" t="s">
        <v>159</v>
      </c>
      <c r="E668" s="716">
        <v>249.58</v>
      </c>
      <c r="F668" s="717">
        <v>0.95899999999999996</v>
      </c>
      <c r="G668">
        <f>VLOOKUP(B668,'SINAPI-%MO'!B:E,4,0)</f>
        <v>2.9399999999999999E-2</v>
      </c>
      <c r="H668" s="225">
        <f t="shared" si="10"/>
        <v>242.24</v>
      </c>
    </row>
    <row r="669" spans="1:8" x14ac:dyDescent="0.3">
      <c r="A669" s="400"/>
      <c r="B669" s="709">
        <v>105334</v>
      </c>
      <c r="C669" s="710" t="s">
        <v>945</v>
      </c>
      <c r="D669" s="709" t="s">
        <v>159</v>
      </c>
      <c r="E669" s="716">
        <v>247.22</v>
      </c>
      <c r="F669" s="717">
        <v>0.96819999999999995</v>
      </c>
      <c r="G669">
        <f>VLOOKUP(B669,'SINAPI-%MO'!B:E,4,0)</f>
        <v>2.2599999999999999E-2</v>
      </c>
      <c r="H669" s="225">
        <f t="shared" si="10"/>
        <v>241.63</v>
      </c>
    </row>
    <row r="670" spans="1:8" x14ac:dyDescent="0.3">
      <c r="A670" s="400"/>
      <c r="B670" s="709">
        <v>105335</v>
      </c>
      <c r="C670" s="710" t="s">
        <v>946</v>
      </c>
      <c r="D670" s="709" t="s">
        <v>159</v>
      </c>
      <c r="E670" s="716">
        <v>376.5</v>
      </c>
      <c r="F670" s="717">
        <v>0.96779999999999999</v>
      </c>
      <c r="G670">
        <f>VLOOKUP(B670,'SINAPI-%MO'!B:E,4,0)</f>
        <v>2.3E-2</v>
      </c>
      <c r="H670" s="225">
        <f t="shared" si="10"/>
        <v>367.84</v>
      </c>
    </row>
    <row r="671" spans="1:8" x14ac:dyDescent="0.3">
      <c r="A671" s="400"/>
      <c r="B671" s="709">
        <v>105336</v>
      </c>
      <c r="C671" s="710" t="s">
        <v>947</v>
      </c>
      <c r="D671" s="709" t="s">
        <v>159</v>
      </c>
      <c r="E671" s="716">
        <v>373.71</v>
      </c>
      <c r="F671" s="717">
        <v>0.97499999999999998</v>
      </c>
      <c r="G671">
        <f>VLOOKUP(B671,'SINAPI-%MO'!B:E,4,0)</f>
        <v>1.77E-2</v>
      </c>
      <c r="H671" s="225">
        <f t="shared" si="10"/>
        <v>367.09</v>
      </c>
    </row>
    <row r="672" spans="1:8" x14ac:dyDescent="0.3">
      <c r="A672" s="400"/>
      <c r="B672" s="709">
        <v>105337</v>
      </c>
      <c r="C672" s="710" t="s">
        <v>948</v>
      </c>
      <c r="D672" s="709" t="s">
        <v>159</v>
      </c>
      <c r="E672" s="716">
        <v>531.46</v>
      </c>
      <c r="F672" s="717">
        <v>0.97360000000000002</v>
      </c>
      <c r="G672">
        <f>VLOOKUP(B672,'SINAPI-%MO'!B:E,4,0)</f>
        <v>1.8800000000000001E-2</v>
      </c>
      <c r="H672" s="225">
        <f t="shared" si="10"/>
        <v>521.46</v>
      </c>
    </row>
    <row r="673" spans="1:8" x14ac:dyDescent="0.3">
      <c r="A673" s="400"/>
      <c r="B673" s="709">
        <v>105338</v>
      </c>
      <c r="C673" s="710" t="s">
        <v>949</v>
      </c>
      <c r="D673" s="709" t="s">
        <v>159</v>
      </c>
      <c r="E673" s="716">
        <v>528.23</v>
      </c>
      <c r="F673" s="717">
        <v>0.97960000000000003</v>
      </c>
      <c r="G673">
        <f>VLOOKUP(B673,'SINAPI-%MO'!B:E,4,0)</f>
        <v>1.4500000000000001E-2</v>
      </c>
      <c r="H673" s="225">
        <f t="shared" si="10"/>
        <v>520.57000000000005</v>
      </c>
    </row>
    <row r="674" spans="1:8" x14ac:dyDescent="0.3">
      <c r="A674" s="400"/>
      <c r="B674" s="709">
        <v>106108</v>
      </c>
      <c r="C674" s="710" t="s">
        <v>950</v>
      </c>
      <c r="D674" s="709" t="s">
        <v>159</v>
      </c>
      <c r="E674" s="716">
        <v>79.739999999999995</v>
      </c>
      <c r="F674" s="717">
        <v>0.94620000000000004</v>
      </c>
      <c r="G674">
        <f>VLOOKUP(B674,'SINAPI-%MO'!B:E,4,0)</f>
        <v>4.9700000000000001E-2</v>
      </c>
      <c r="H674" s="225">
        <f t="shared" si="10"/>
        <v>75.77</v>
      </c>
    </row>
    <row r="675" spans="1:8" x14ac:dyDescent="0.3">
      <c r="A675" s="400"/>
      <c r="B675" s="709">
        <v>106109</v>
      </c>
      <c r="C675" s="710" t="s">
        <v>951</v>
      </c>
      <c r="D675" s="709" t="s">
        <v>159</v>
      </c>
      <c r="E675" s="716">
        <v>78.989999999999995</v>
      </c>
      <c r="F675" s="717">
        <v>0.95520000000000005</v>
      </c>
      <c r="G675">
        <f>VLOOKUP(B675,'SINAPI-%MO'!B:E,4,0)</f>
        <v>4.0599999999999997E-2</v>
      </c>
      <c r="H675" s="225">
        <f t="shared" si="10"/>
        <v>75.78</v>
      </c>
    </row>
    <row r="676" spans="1:8" x14ac:dyDescent="0.3">
      <c r="A676" s="400"/>
      <c r="B676" s="709">
        <v>106104</v>
      </c>
      <c r="C676" s="710" t="s">
        <v>952</v>
      </c>
      <c r="D676" s="709" t="s">
        <v>159</v>
      </c>
      <c r="E676" s="716">
        <v>26.04</v>
      </c>
      <c r="F676" s="717">
        <v>0.88290000000000002</v>
      </c>
      <c r="G676">
        <f>VLOOKUP(B676,'SINAPI-%MO'!B:E,4,0)</f>
        <v>0.1114</v>
      </c>
      <c r="H676" s="225">
        <f t="shared" si="10"/>
        <v>23.13</v>
      </c>
    </row>
    <row r="677" spans="1:8" x14ac:dyDescent="0.3">
      <c r="A677" s="400"/>
      <c r="B677" s="709">
        <v>106105</v>
      </c>
      <c r="C677" s="710" t="s">
        <v>953</v>
      </c>
      <c r="D677" s="709" t="s">
        <v>159</v>
      </c>
      <c r="E677" s="716">
        <v>25.49</v>
      </c>
      <c r="F677" s="717">
        <v>0.90190000000000003</v>
      </c>
      <c r="G677">
        <f>VLOOKUP(B677,'SINAPI-%MO'!B:E,4,0)</f>
        <v>9.2200000000000004E-2</v>
      </c>
      <c r="H677" s="225">
        <f t="shared" si="10"/>
        <v>23.13</v>
      </c>
    </row>
    <row r="678" spans="1:8" x14ac:dyDescent="0.3">
      <c r="A678" s="400"/>
      <c r="B678" s="709">
        <v>106106</v>
      </c>
      <c r="C678" s="710" t="s">
        <v>954</v>
      </c>
      <c r="D678" s="709" t="s">
        <v>159</v>
      </c>
      <c r="E678" s="716">
        <v>48.85</v>
      </c>
      <c r="F678" s="717">
        <v>0.92449999999999999</v>
      </c>
      <c r="G678">
        <f>VLOOKUP(B678,'SINAPI-%MO'!B:E,4,0)</f>
        <v>7.0199999999999999E-2</v>
      </c>
      <c r="H678" s="225">
        <f t="shared" si="10"/>
        <v>45.42</v>
      </c>
    </row>
    <row r="679" spans="1:8" x14ac:dyDescent="0.3">
      <c r="A679" s="400"/>
      <c r="B679" s="709">
        <v>106107</v>
      </c>
      <c r="C679" s="710" t="s">
        <v>955</v>
      </c>
      <c r="D679" s="709" t="s">
        <v>159</v>
      </c>
      <c r="E679" s="716">
        <v>48.2</v>
      </c>
      <c r="F679" s="717">
        <v>0.93689999999999996</v>
      </c>
      <c r="G679">
        <f>VLOOKUP(B679,'SINAPI-%MO'!B:E,4,0)</f>
        <v>5.7700000000000001E-2</v>
      </c>
      <c r="H679" s="225">
        <f t="shared" si="10"/>
        <v>45.41</v>
      </c>
    </row>
    <row r="680" spans="1:8" x14ac:dyDescent="0.3">
      <c r="A680" s="400"/>
      <c r="B680" s="709">
        <v>105377</v>
      </c>
      <c r="C680" s="710" t="s">
        <v>956</v>
      </c>
      <c r="D680" s="709" t="s">
        <v>136</v>
      </c>
      <c r="E680" s="716">
        <v>48.61</v>
      </c>
      <c r="F680" s="717">
        <v>0.67869999999999997</v>
      </c>
      <c r="G680">
        <f>VLOOKUP(B680,'SINAPI-%MO'!B:E,4,0)</f>
        <v>0.18990000000000001</v>
      </c>
      <c r="H680" s="225">
        <f t="shared" si="10"/>
        <v>39.369999999999997</v>
      </c>
    </row>
    <row r="681" spans="1:8" x14ac:dyDescent="0.3">
      <c r="A681" s="400"/>
      <c r="B681" s="709">
        <v>105368</v>
      </c>
      <c r="C681" s="710" t="s">
        <v>957</v>
      </c>
      <c r="D681" s="709" t="s">
        <v>136</v>
      </c>
      <c r="E681" s="716">
        <v>45</v>
      </c>
      <c r="F681" s="717">
        <v>0.73309999999999997</v>
      </c>
      <c r="G681">
        <f>VLOOKUP(B681,'SINAPI-%MO'!B:E,4,0)</f>
        <v>0.15870000000000001</v>
      </c>
      <c r="H681" s="225">
        <f t="shared" si="10"/>
        <v>37.85</v>
      </c>
    </row>
    <row r="682" spans="1:8" x14ac:dyDescent="0.3">
      <c r="A682" s="400"/>
      <c r="B682" s="709">
        <v>105369</v>
      </c>
      <c r="C682" s="710" t="s">
        <v>958</v>
      </c>
      <c r="D682" s="709" t="s">
        <v>136</v>
      </c>
      <c r="E682" s="716">
        <v>76.8</v>
      </c>
      <c r="F682" s="717">
        <v>0.72019999999999995</v>
      </c>
      <c r="G682">
        <f>VLOOKUP(B682,'SINAPI-%MO'!B:E,4,0)</f>
        <v>0.1603</v>
      </c>
      <c r="H682" s="225">
        <f t="shared" si="10"/>
        <v>64.48</v>
      </c>
    </row>
    <row r="683" spans="1:8" x14ac:dyDescent="0.3">
      <c r="A683" s="400"/>
      <c r="B683" s="709">
        <v>105370</v>
      </c>
      <c r="C683" s="710" t="s">
        <v>959</v>
      </c>
      <c r="D683" s="709" t="s">
        <v>136</v>
      </c>
      <c r="E683" s="716">
        <v>71.989999999999995</v>
      </c>
      <c r="F683" s="717">
        <v>0.76829999999999998</v>
      </c>
      <c r="G683">
        <f>VLOOKUP(B683,'SINAPI-%MO'!B:E,4,0)</f>
        <v>0.13239999999999999</v>
      </c>
      <c r="H683" s="225">
        <f t="shared" si="10"/>
        <v>62.45</v>
      </c>
    </row>
    <row r="684" spans="1:8" x14ac:dyDescent="0.3">
      <c r="A684" s="400"/>
      <c r="B684" s="709">
        <v>92864</v>
      </c>
      <c r="C684" s="710" t="s">
        <v>960</v>
      </c>
      <c r="D684" s="709" t="s">
        <v>159</v>
      </c>
      <c r="E684" s="716">
        <v>89.73</v>
      </c>
      <c r="F684" s="717">
        <v>0</v>
      </c>
      <c r="G684">
        <f>VLOOKUP(B684,'SINAPI-%MO'!B:E,4,0)</f>
        <v>0.36299999999999999</v>
      </c>
      <c r="H684" s="225">
        <f t="shared" si="10"/>
        <v>57.15</v>
      </c>
    </row>
    <row r="685" spans="1:8" x14ac:dyDescent="0.3">
      <c r="A685" s="400"/>
      <c r="B685" s="709">
        <v>92848</v>
      </c>
      <c r="C685" s="710" t="s">
        <v>961</v>
      </c>
      <c r="D685" s="709" t="s">
        <v>159</v>
      </c>
      <c r="E685" s="716">
        <v>79.55</v>
      </c>
      <c r="F685" s="717">
        <v>0</v>
      </c>
      <c r="G685">
        <f>VLOOKUP(B685,'SINAPI-%MO'!B:E,4,0)</f>
        <v>0.33450000000000002</v>
      </c>
      <c r="H685" s="225">
        <f t="shared" si="10"/>
        <v>52.94</v>
      </c>
    </row>
    <row r="686" spans="1:8" x14ac:dyDescent="0.3">
      <c r="A686" s="400"/>
      <c r="B686" s="709">
        <v>104937</v>
      </c>
      <c r="C686" s="710" t="s">
        <v>962</v>
      </c>
      <c r="D686" s="709" t="s">
        <v>159</v>
      </c>
      <c r="E686" s="716">
        <v>0</v>
      </c>
      <c r="F686" s="717"/>
      <c r="G686" t="e">
        <f>VLOOKUP(B686,'SINAPI-%MO'!B:E,4,0)</f>
        <v>#N/A</v>
      </c>
      <c r="H686" s="225" t="str">
        <f t="shared" si="10"/>
        <v/>
      </c>
    </row>
    <row r="687" spans="1:8" x14ac:dyDescent="0.3">
      <c r="A687" s="400"/>
      <c r="B687" s="709">
        <v>104933</v>
      </c>
      <c r="C687" s="710" t="s">
        <v>963</v>
      </c>
      <c r="D687" s="709" t="s">
        <v>159</v>
      </c>
      <c r="E687" s="716">
        <v>0</v>
      </c>
      <c r="F687" s="717"/>
      <c r="G687" t="e">
        <f>VLOOKUP(B687,'SINAPI-%MO'!B:E,4,0)</f>
        <v>#N/A</v>
      </c>
      <c r="H687" s="225" t="str">
        <f t="shared" si="10"/>
        <v/>
      </c>
    </row>
    <row r="688" spans="1:8" x14ac:dyDescent="0.3">
      <c r="A688" s="400"/>
      <c r="B688" s="709">
        <v>104939</v>
      </c>
      <c r="C688" s="710" t="s">
        <v>964</v>
      </c>
      <c r="D688" s="709" t="s">
        <v>159</v>
      </c>
      <c r="E688" s="716">
        <v>0</v>
      </c>
      <c r="F688" s="717"/>
      <c r="G688" t="e">
        <f>VLOOKUP(B688,'SINAPI-%MO'!B:E,4,0)</f>
        <v>#N/A</v>
      </c>
      <c r="H688" s="225" t="str">
        <f t="shared" si="10"/>
        <v/>
      </c>
    </row>
    <row r="689" spans="1:8" x14ac:dyDescent="0.3">
      <c r="A689" s="400"/>
      <c r="B689" s="709">
        <v>104935</v>
      </c>
      <c r="C689" s="710" t="s">
        <v>965</v>
      </c>
      <c r="D689" s="709" t="s">
        <v>159</v>
      </c>
      <c r="E689" s="716">
        <v>0</v>
      </c>
      <c r="F689" s="717"/>
      <c r="G689" t="e">
        <f>VLOOKUP(B689,'SINAPI-%MO'!B:E,4,0)</f>
        <v>#N/A</v>
      </c>
      <c r="H689" s="225" t="str">
        <f t="shared" si="10"/>
        <v/>
      </c>
    </row>
    <row r="690" spans="1:8" x14ac:dyDescent="0.3">
      <c r="A690" s="400"/>
      <c r="B690" s="709">
        <v>92850</v>
      </c>
      <c r="C690" s="710" t="s">
        <v>966</v>
      </c>
      <c r="D690" s="709" t="s">
        <v>159</v>
      </c>
      <c r="E690" s="716">
        <v>22.2</v>
      </c>
      <c r="F690" s="717">
        <v>0</v>
      </c>
      <c r="G690">
        <f>VLOOKUP(B690,'SINAPI-%MO'!B:E,4,0)</f>
        <v>0.36709999999999998</v>
      </c>
      <c r="H690" s="225">
        <f t="shared" si="10"/>
        <v>14.05</v>
      </c>
    </row>
    <row r="691" spans="1:8" x14ac:dyDescent="0.3">
      <c r="A691" s="400"/>
      <c r="B691" s="709">
        <v>92834</v>
      </c>
      <c r="C691" s="710" t="s">
        <v>967</v>
      </c>
      <c r="D691" s="709" t="s">
        <v>159</v>
      </c>
      <c r="E691" s="716">
        <v>19.649999999999999</v>
      </c>
      <c r="F691" s="717">
        <v>0</v>
      </c>
      <c r="G691">
        <f>VLOOKUP(B691,'SINAPI-%MO'!B:E,4,0)</f>
        <v>0.33889999999999998</v>
      </c>
      <c r="H691" s="225">
        <f t="shared" si="10"/>
        <v>12.99</v>
      </c>
    </row>
    <row r="692" spans="1:8" x14ac:dyDescent="0.3">
      <c r="A692" s="400"/>
      <c r="B692" s="709">
        <v>92852</v>
      </c>
      <c r="C692" s="710" t="s">
        <v>968</v>
      </c>
      <c r="D692" s="709" t="s">
        <v>159</v>
      </c>
      <c r="E692" s="716">
        <v>29.74</v>
      </c>
      <c r="F692" s="717">
        <v>0</v>
      </c>
      <c r="G692">
        <f>VLOOKUP(B692,'SINAPI-%MO'!B:E,4,0)</f>
        <v>0.39140000000000003</v>
      </c>
      <c r="H692" s="225">
        <f t="shared" si="10"/>
        <v>18.09</v>
      </c>
    </row>
    <row r="693" spans="1:8" x14ac:dyDescent="0.3">
      <c r="A693" s="400"/>
      <c r="B693" s="709">
        <v>92836</v>
      </c>
      <c r="C693" s="710" t="s">
        <v>969</v>
      </c>
      <c r="D693" s="709" t="s">
        <v>159</v>
      </c>
      <c r="E693" s="716">
        <v>26.09</v>
      </c>
      <c r="F693" s="717">
        <v>0</v>
      </c>
      <c r="G693">
        <f>VLOOKUP(B693,'SINAPI-%MO'!B:E,4,0)</f>
        <v>0.36409999999999998</v>
      </c>
      <c r="H693" s="225">
        <f t="shared" si="10"/>
        <v>16.59</v>
      </c>
    </row>
    <row r="694" spans="1:8" x14ac:dyDescent="0.3">
      <c r="A694" s="400"/>
      <c r="B694" s="709">
        <v>92854</v>
      </c>
      <c r="C694" s="710" t="s">
        <v>970</v>
      </c>
      <c r="D694" s="709" t="s">
        <v>159</v>
      </c>
      <c r="E694" s="716">
        <v>37.6</v>
      </c>
      <c r="F694" s="717">
        <v>0</v>
      </c>
      <c r="G694">
        <f>VLOOKUP(B694,'SINAPI-%MO'!B:E,4,0)</f>
        <v>0.4027</v>
      </c>
      <c r="H694" s="225">
        <f t="shared" si="10"/>
        <v>22.45</v>
      </c>
    </row>
    <row r="695" spans="1:8" x14ac:dyDescent="0.3">
      <c r="A695" s="400"/>
      <c r="B695" s="709">
        <v>92838</v>
      </c>
      <c r="C695" s="710" t="s">
        <v>971</v>
      </c>
      <c r="D695" s="709" t="s">
        <v>159</v>
      </c>
      <c r="E695" s="716">
        <v>32.880000000000003</v>
      </c>
      <c r="F695" s="717">
        <v>0</v>
      </c>
      <c r="G695">
        <f>VLOOKUP(B695,'SINAPI-%MO'!B:E,4,0)</f>
        <v>0.37590000000000001</v>
      </c>
      <c r="H695" s="225">
        <f t="shared" si="10"/>
        <v>20.52</v>
      </c>
    </row>
    <row r="696" spans="1:8" x14ac:dyDescent="0.3">
      <c r="A696" s="400"/>
      <c r="B696" s="709">
        <v>92856</v>
      </c>
      <c r="C696" s="710" t="s">
        <v>972</v>
      </c>
      <c r="D696" s="709" t="s">
        <v>159</v>
      </c>
      <c r="E696" s="716">
        <v>45.72</v>
      </c>
      <c r="F696" s="717">
        <v>0</v>
      </c>
      <c r="G696">
        <f>VLOOKUP(B696,'SINAPI-%MO'!B:E,4,0)</f>
        <v>0.40699999999999997</v>
      </c>
      <c r="H696" s="225">
        <f t="shared" si="10"/>
        <v>27.11</v>
      </c>
    </row>
    <row r="697" spans="1:8" x14ac:dyDescent="0.3">
      <c r="A697" s="400"/>
      <c r="B697" s="709">
        <v>92840</v>
      </c>
      <c r="C697" s="710" t="s">
        <v>973</v>
      </c>
      <c r="D697" s="709" t="s">
        <v>159</v>
      </c>
      <c r="E697" s="716">
        <v>39.92</v>
      </c>
      <c r="F697" s="717">
        <v>0</v>
      </c>
      <c r="G697">
        <f>VLOOKUP(B697,'SINAPI-%MO'!B:E,4,0)</f>
        <v>0.38100000000000001</v>
      </c>
      <c r="H697" s="225">
        <f t="shared" si="10"/>
        <v>24.71</v>
      </c>
    </row>
    <row r="698" spans="1:8" x14ac:dyDescent="0.3">
      <c r="A698" s="400"/>
      <c r="B698" s="709">
        <v>92858</v>
      </c>
      <c r="C698" s="710" t="s">
        <v>974</v>
      </c>
      <c r="D698" s="709" t="s">
        <v>159</v>
      </c>
      <c r="E698" s="716">
        <v>56.76</v>
      </c>
      <c r="F698" s="717">
        <v>0</v>
      </c>
      <c r="G698">
        <f>VLOOKUP(B698,'SINAPI-%MO'!B:E,4,0)</f>
        <v>0.38950000000000001</v>
      </c>
      <c r="H698" s="225">
        <f t="shared" si="10"/>
        <v>34.65</v>
      </c>
    </row>
    <row r="699" spans="1:8" x14ac:dyDescent="0.3">
      <c r="A699" s="400"/>
      <c r="B699" s="709">
        <v>92842</v>
      </c>
      <c r="C699" s="710" t="s">
        <v>975</v>
      </c>
      <c r="D699" s="709" t="s">
        <v>159</v>
      </c>
      <c r="E699" s="716">
        <v>49.86</v>
      </c>
      <c r="F699" s="717">
        <v>0</v>
      </c>
      <c r="G699">
        <f>VLOOKUP(B699,'SINAPI-%MO'!B:E,4,0)</f>
        <v>0.36220000000000002</v>
      </c>
      <c r="H699" s="225">
        <f t="shared" si="10"/>
        <v>31.8</v>
      </c>
    </row>
    <row r="700" spans="1:8" x14ac:dyDescent="0.3">
      <c r="A700" s="400"/>
      <c r="B700" s="709">
        <v>92860</v>
      </c>
      <c r="C700" s="710" t="s">
        <v>976</v>
      </c>
      <c r="D700" s="709" t="s">
        <v>159</v>
      </c>
      <c r="E700" s="716">
        <v>67.12</v>
      </c>
      <c r="F700" s="717">
        <v>0</v>
      </c>
      <c r="G700">
        <f>VLOOKUP(B700,'SINAPI-%MO'!B:E,4,0)</f>
        <v>0.38140000000000002</v>
      </c>
      <c r="H700" s="225">
        <f t="shared" si="10"/>
        <v>41.52</v>
      </c>
    </row>
    <row r="701" spans="1:8" x14ac:dyDescent="0.3">
      <c r="A701" s="400"/>
      <c r="B701" s="709">
        <v>92844</v>
      </c>
      <c r="C701" s="710" t="s">
        <v>977</v>
      </c>
      <c r="D701" s="709" t="s">
        <v>159</v>
      </c>
      <c r="E701" s="716">
        <v>59.11</v>
      </c>
      <c r="F701" s="717">
        <v>0</v>
      </c>
      <c r="G701">
        <f>VLOOKUP(B701,'SINAPI-%MO'!B:E,4,0)</f>
        <v>0.35370000000000001</v>
      </c>
      <c r="H701" s="225">
        <f t="shared" si="10"/>
        <v>38.200000000000003</v>
      </c>
    </row>
    <row r="702" spans="1:8" x14ac:dyDescent="0.3">
      <c r="A702" s="400"/>
      <c r="B702" s="709">
        <v>92862</v>
      </c>
      <c r="C702" s="710" t="s">
        <v>978</v>
      </c>
      <c r="D702" s="709" t="s">
        <v>159</v>
      </c>
      <c r="E702" s="716">
        <v>76.819999999999993</v>
      </c>
      <c r="F702" s="717">
        <v>0</v>
      </c>
      <c r="G702">
        <f>VLOOKUP(B702,'SINAPI-%MO'!B:E,4,0)</f>
        <v>0.3785</v>
      </c>
      <c r="H702" s="225">
        <f t="shared" si="10"/>
        <v>47.74</v>
      </c>
    </row>
    <row r="703" spans="1:8" x14ac:dyDescent="0.3">
      <c r="A703" s="400"/>
      <c r="B703" s="709">
        <v>92846</v>
      </c>
      <c r="C703" s="710" t="s">
        <v>979</v>
      </c>
      <c r="D703" s="709" t="s">
        <v>159</v>
      </c>
      <c r="E703" s="716">
        <v>67.75</v>
      </c>
      <c r="F703" s="717">
        <v>0</v>
      </c>
      <c r="G703">
        <f>VLOOKUP(B703,'SINAPI-%MO'!B:E,4,0)</f>
        <v>0.35070000000000001</v>
      </c>
      <c r="H703" s="225">
        <f t="shared" si="10"/>
        <v>43.99</v>
      </c>
    </row>
    <row r="704" spans="1:8" x14ac:dyDescent="0.3">
      <c r="A704" s="400"/>
      <c r="B704" s="709">
        <v>92828</v>
      </c>
      <c r="C704" s="710" t="s">
        <v>980</v>
      </c>
      <c r="D704" s="709" t="s">
        <v>159</v>
      </c>
      <c r="E704" s="716">
        <v>113.92</v>
      </c>
      <c r="F704" s="717">
        <v>0</v>
      </c>
      <c r="G704">
        <f>VLOOKUP(B704,'SINAPI-%MO'!B:E,4,0)</f>
        <v>0.55900000000000005</v>
      </c>
      <c r="H704" s="225">
        <f t="shared" si="10"/>
        <v>50.23</v>
      </c>
    </row>
    <row r="705" spans="1:8" x14ac:dyDescent="0.3">
      <c r="A705" s="400"/>
      <c r="B705" s="709">
        <v>92815</v>
      </c>
      <c r="C705" s="710" t="s">
        <v>981</v>
      </c>
      <c r="D705" s="709" t="s">
        <v>159</v>
      </c>
      <c r="E705" s="716">
        <v>103.74</v>
      </c>
      <c r="F705" s="717">
        <v>0</v>
      </c>
      <c r="G705">
        <f>VLOOKUP(B705,'SINAPI-%MO'!B:E,4,0)</f>
        <v>0.55649999999999999</v>
      </c>
      <c r="H705" s="225">
        <f t="shared" si="10"/>
        <v>46</v>
      </c>
    </row>
    <row r="706" spans="1:8" x14ac:dyDescent="0.3">
      <c r="A706" s="400"/>
      <c r="B706" s="709">
        <v>92830</v>
      </c>
      <c r="C706" s="710" t="s">
        <v>982</v>
      </c>
      <c r="D706" s="709" t="s">
        <v>159</v>
      </c>
      <c r="E706" s="716">
        <v>141.38</v>
      </c>
      <c r="F706" s="717">
        <v>0</v>
      </c>
      <c r="G706">
        <f>VLOOKUP(B706,'SINAPI-%MO'!B:E,4,0)</f>
        <v>0.55389999999999995</v>
      </c>
      <c r="H706" s="225">
        <f t="shared" si="10"/>
        <v>63.06</v>
      </c>
    </row>
    <row r="707" spans="1:8" x14ac:dyDescent="0.3">
      <c r="A707" s="400"/>
      <c r="B707" s="709">
        <v>92817</v>
      </c>
      <c r="C707" s="710" t="s">
        <v>983</v>
      </c>
      <c r="D707" s="709" t="s">
        <v>159</v>
      </c>
      <c r="E707" s="716">
        <v>129.04</v>
      </c>
      <c r="F707" s="717">
        <v>0</v>
      </c>
      <c r="G707">
        <f>VLOOKUP(B707,'SINAPI-%MO'!B:E,4,0)</f>
        <v>0.55079999999999996</v>
      </c>
      <c r="H707" s="225">
        <f t="shared" si="10"/>
        <v>57.96</v>
      </c>
    </row>
    <row r="708" spans="1:8" x14ac:dyDescent="0.3">
      <c r="A708" s="400"/>
      <c r="B708" s="709">
        <v>92832</v>
      </c>
      <c r="C708" s="710" t="s">
        <v>984</v>
      </c>
      <c r="D708" s="709" t="s">
        <v>159</v>
      </c>
      <c r="E708" s="716">
        <v>185.02</v>
      </c>
      <c r="F708" s="717">
        <v>0</v>
      </c>
      <c r="G708">
        <f>VLOOKUP(B708,'SINAPI-%MO'!B:E,4,0)</f>
        <v>0.54649999999999999</v>
      </c>
      <c r="H708" s="225">
        <f t="shared" si="10"/>
        <v>83.9</v>
      </c>
    </row>
    <row r="709" spans="1:8" x14ac:dyDescent="0.3">
      <c r="A709" s="400"/>
      <c r="B709" s="709">
        <v>92819</v>
      </c>
      <c r="C709" s="710" t="s">
        <v>985</v>
      </c>
      <c r="D709" s="709" t="s">
        <v>159</v>
      </c>
      <c r="E709" s="716">
        <v>169.41</v>
      </c>
      <c r="F709" s="717">
        <v>0</v>
      </c>
      <c r="G709">
        <f>VLOOKUP(B709,'SINAPI-%MO'!B:E,4,0)</f>
        <v>0.54290000000000005</v>
      </c>
      <c r="H709" s="225">
        <f t="shared" si="10"/>
        <v>77.430000000000007</v>
      </c>
    </row>
    <row r="710" spans="1:8" x14ac:dyDescent="0.3">
      <c r="A710" s="400"/>
      <c r="B710" s="709">
        <v>92820</v>
      </c>
      <c r="C710" s="710" t="s">
        <v>986</v>
      </c>
      <c r="D710" s="709" t="s">
        <v>159</v>
      </c>
      <c r="E710" s="716">
        <v>28.13</v>
      </c>
      <c r="F710" s="717">
        <v>0</v>
      </c>
      <c r="G710">
        <f>VLOOKUP(B710,'SINAPI-%MO'!B:E,4,0)</f>
        <v>0.58020000000000005</v>
      </c>
      <c r="H710" s="225">
        <f t="shared" si="10"/>
        <v>11.8</v>
      </c>
    </row>
    <row r="711" spans="1:8" x14ac:dyDescent="0.3">
      <c r="A711" s="400"/>
      <c r="B711" s="709">
        <v>92808</v>
      </c>
      <c r="C711" s="710" t="s">
        <v>987</v>
      </c>
      <c r="D711" s="709" t="s">
        <v>159</v>
      </c>
      <c r="E711" s="716">
        <v>25.59</v>
      </c>
      <c r="F711" s="717">
        <v>0</v>
      </c>
      <c r="G711">
        <f>VLOOKUP(B711,'SINAPI-%MO'!B:E,4,0)</f>
        <v>0.57950000000000002</v>
      </c>
      <c r="H711" s="225">
        <f t="shared" si="10"/>
        <v>10.76</v>
      </c>
    </row>
    <row r="712" spans="1:8" x14ac:dyDescent="0.3">
      <c r="A712" s="400"/>
      <c r="B712" s="709">
        <v>92821</v>
      </c>
      <c r="C712" s="710" t="s">
        <v>988</v>
      </c>
      <c r="D712" s="709" t="s">
        <v>159</v>
      </c>
      <c r="E712" s="716">
        <v>39.340000000000003</v>
      </c>
      <c r="F712" s="717">
        <v>0</v>
      </c>
      <c r="G712">
        <f>VLOOKUP(B712,'SINAPI-%MO'!B:E,4,0)</f>
        <v>0.57679999999999998</v>
      </c>
      <c r="H712" s="225">
        <f t="shared" si="10"/>
        <v>16.64</v>
      </c>
    </row>
    <row r="713" spans="1:8" x14ac:dyDescent="0.3">
      <c r="A713" s="400"/>
      <c r="B713" s="709">
        <v>92809</v>
      </c>
      <c r="C713" s="710" t="s">
        <v>989</v>
      </c>
      <c r="D713" s="709" t="s">
        <v>159</v>
      </c>
      <c r="E713" s="716">
        <v>35.72</v>
      </c>
      <c r="F713" s="717">
        <v>0</v>
      </c>
      <c r="G713">
        <f>VLOOKUP(B713,'SINAPI-%MO'!B:E,4,0)</f>
        <v>0.57609999999999995</v>
      </c>
      <c r="H713" s="225">
        <f t="shared" si="10"/>
        <v>15.14</v>
      </c>
    </row>
    <row r="714" spans="1:8" x14ac:dyDescent="0.3">
      <c r="A714" s="400"/>
      <c r="B714" s="709">
        <v>92822</v>
      </c>
      <c r="C714" s="710" t="s">
        <v>990</v>
      </c>
      <c r="D714" s="709" t="s">
        <v>159</v>
      </c>
      <c r="E714" s="716">
        <v>50.99</v>
      </c>
      <c r="F714" s="717">
        <v>0</v>
      </c>
      <c r="G714">
        <f>VLOOKUP(B714,'SINAPI-%MO'!B:E,4,0)</f>
        <v>0.5736</v>
      </c>
      <c r="H714" s="225">
        <f t="shared" si="10"/>
        <v>21.74</v>
      </c>
    </row>
    <row r="715" spans="1:8" x14ac:dyDescent="0.3">
      <c r="A715" s="400"/>
      <c r="B715" s="709">
        <v>92810</v>
      </c>
      <c r="C715" s="710" t="s">
        <v>991</v>
      </c>
      <c r="D715" s="709" t="s">
        <v>159</v>
      </c>
      <c r="E715" s="716">
        <v>46.28</v>
      </c>
      <c r="F715" s="717">
        <v>0</v>
      </c>
      <c r="G715">
        <f>VLOOKUP(B715,'SINAPI-%MO'!B:E,4,0)</f>
        <v>0.57220000000000004</v>
      </c>
      <c r="H715" s="225">
        <f t="shared" ref="H715:H778" si="11">IF(E715&gt;0,TRUNC(E715*(1-G715),2),"")</f>
        <v>19.79</v>
      </c>
    </row>
    <row r="716" spans="1:8" x14ac:dyDescent="0.3">
      <c r="A716" s="400"/>
      <c r="B716" s="709">
        <v>92824</v>
      </c>
      <c r="C716" s="710" t="s">
        <v>992</v>
      </c>
      <c r="D716" s="709" t="s">
        <v>159</v>
      </c>
      <c r="E716" s="716">
        <v>62.9</v>
      </c>
      <c r="F716" s="717">
        <v>0</v>
      </c>
      <c r="G716">
        <f>VLOOKUP(B716,'SINAPI-%MO'!B:E,4,0)</f>
        <v>0.5706</v>
      </c>
      <c r="H716" s="225">
        <f t="shared" si="11"/>
        <v>27</v>
      </c>
    </row>
    <row r="717" spans="1:8" x14ac:dyDescent="0.3">
      <c r="A717" s="400"/>
      <c r="B717" s="709">
        <v>92811</v>
      </c>
      <c r="C717" s="710" t="s">
        <v>993</v>
      </c>
      <c r="D717" s="709" t="s">
        <v>159</v>
      </c>
      <c r="E717" s="716">
        <v>57.09</v>
      </c>
      <c r="F717" s="717">
        <v>0</v>
      </c>
      <c r="G717">
        <f>VLOOKUP(B717,'SINAPI-%MO'!B:E,4,0)</f>
        <v>0.56889999999999996</v>
      </c>
      <c r="H717" s="225">
        <f t="shared" si="11"/>
        <v>24.61</v>
      </c>
    </row>
    <row r="718" spans="1:8" x14ac:dyDescent="0.3">
      <c r="A718" s="400"/>
      <c r="B718" s="709">
        <v>92825</v>
      </c>
      <c r="C718" s="710" t="s">
        <v>994</v>
      </c>
      <c r="D718" s="709" t="s">
        <v>159</v>
      </c>
      <c r="E718" s="716">
        <v>75.150000000000006</v>
      </c>
      <c r="F718" s="717">
        <v>0</v>
      </c>
      <c r="G718">
        <f>VLOOKUP(B718,'SINAPI-%MO'!B:E,4,0)</f>
        <v>0.56769999999999998</v>
      </c>
      <c r="H718" s="225">
        <f t="shared" si="11"/>
        <v>32.479999999999997</v>
      </c>
    </row>
    <row r="719" spans="1:8" x14ac:dyDescent="0.3">
      <c r="A719" s="400"/>
      <c r="B719" s="709">
        <v>92812</v>
      </c>
      <c r="C719" s="710" t="s">
        <v>995</v>
      </c>
      <c r="D719" s="709" t="s">
        <v>159</v>
      </c>
      <c r="E719" s="716">
        <v>68.25</v>
      </c>
      <c r="F719" s="717">
        <v>0</v>
      </c>
      <c r="G719">
        <f>VLOOKUP(B719,'SINAPI-%MO'!B:E,4,0)</f>
        <v>0.56589999999999996</v>
      </c>
      <c r="H719" s="225">
        <f t="shared" si="11"/>
        <v>29.62</v>
      </c>
    </row>
    <row r="720" spans="1:8" x14ac:dyDescent="0.3">
      <c r="A720" s="400"/>
      <c r="B720" s="709">
        <v>92826</v>
      </c>
      <c r="C720" s="710" t="s">
        <v>996</v>
      </c>
      <c r="D720" s="709" t="s">
        <v>159</v>
      </c>
      <c r="E720" s="716">
        <v>87.75</v>
      </c>
      <c r="F720" s="717">
        <v>0</v>
      </c>
      <c r="G720">
        <f>VLOOKUP(B720,'SINAPI-%MO'!B:E,4,0)</f>
        <v>0.56459999999999999</v>
      </c>
      <c r="H720" s="225">
        <f t="shared" si="11"/>
        <v>38.200000000000003</v>
      </c>
    </row>
    <row r="721" spans="1:8" x14ac:dyDescent="0.3">
      <c r="A721" s="400"/>
      <c r="B721" s="709">
        <v>92813</v>
      </c>
      <c r="C721" s="710" t="s">
        <v>997</v>
      </c>
      <c r="D721" s="709" t="s">
        <v>159</v>
      </c>
      <c r="E721" s="716">
        <v>79.77</v>
      </c>
      <c r="F721" s="717">
        <v>0</v>
      </c>
      <c r="G721">
        <f>VLOOKUP(B721,'SINAPI-%MO'!B:E,4,0)</f>
        <v>0.56240000000000001</v>
      </c>
      <c r="H721" s="225">
        <f t="shared" si="11"/>
        <v>34.9</v>
      </c>
    </row>
    <row r="722" spans="1:8" x14ac:dyDescent="0.3">
      <c r="A722" s="400"/>
      <c r="B722" s="709">
        <v>92827</v>
      </c>
      <c r="C722" s="710" t="s">
        <v>998</v>
      </c>
      <c r="D722" s="709" t="s">
        <v>159</v>
      </c>
      <c r="E722" s="716">
        <v>100.71</v>
      </c>
      <c r="F722" s="717">
        <v>0</v>
      </c>
      <c r="G722">
        <f>VLOOKUP(B722,'SINAPI-%MO'!B:E,4,0)</f>
        <v>0.56159999999999999</v>
      </c>
      <c r="H722" s="225">
        <f t="shared" si="11"/>
        <v>44.15</v>
      </c>
    </row>
    <row r="723" spans="1:8" x14ac:dyDescent="0.3">
      <c r="A723" s="400"/>
      <c r="B723" s="709">
        <v>92814</v>
      </c>
      <c r="C723" s="710" t="s">
        <v>999</v>
      </c>
      <c r="D723" s="709" t="s">
        <v>159</v>
      </c>
      <c r="E723" s="716">
        <v>91.62</v>
      </c>
      <c r="F723" s="717">
        <v>0</v>
      </c>
      <c r="G723">
        <f>VLOOKUP(B723,'SINAPI-%MO'!B:E,4,0)</f>
        <v>0.5595</v>
      </c>
      <c r="H723" s="225">
        <f t="shared" si="11"/>
        <v>40.35</v>
      </c>
    </row>
    <row r="724" spans="1:8" x14ac:dyDescent="0.3">
      <c r="A724" s="400"/>
      <c r="B724" s="709">
        <v>95570</v>
      </c>
      <c r="C724" s="710" t="s">
        <v>1000</v>
      </c>
      <c r="D724" s="709" t="s">
        <v>159</v>
      </c>
      <c r="E724" s="716">
        <v>96.11</v>
      </c>
      <c r="F724" s="717">
        <v>0</v>
      </c>
      <c r="G724">
        <f>VLOOKUP(B724,'SINAPI-%MO'!B:E,4,0)</f>
        <v>0.16980000000000001</v>
      </c>
      <c r="H724" s="225">
        <f t="shared" si="11"/>
        <v>79.790000000000006</v>
      </c>
    </row>
    <row r="725" spans="1:8" x14ac:dyDescent="0.3">
      <c r="A725" s="400"/>
      <c r="B725" s="709">
        <v>95567</v>
      </c>
      <c r="C725" s="710" t="s">
        <v>1001</v>
      </c>
      <c r="D725" s="709" t="s">
        <v>159</v>
      </c>
      <c r="E725" s="716">
        <v>93.57</v>
      </c>
      <c r="F725" s="717">
        <v>0</v>
      </c>
      <c r="G725">
        <f>VLOOKUP(B725,'SINAPI-%MO'!B:E,4,0)</f>
        <v>0.1585</v>
      </c>
      <c r="H725" s="225">
        <f t="shared" si="11"/>
        <v>78.73</v>
      </c>
    </row>
    <row r="726" spans="1:8" x14ac:dyDescent="0.3">
      <c r="A726" s="400"/>
      <c r="B726" s="709">
        <v>95571</v>
      </c>
      <c r="C726" s="710" t="s">
        <v>1002</v>
      </c>
      <c r="D726" s="709" t="s">
        <v>159</v>
      </c>
      <c r="E726" s="716">
        <v>119.66</v>
      </c>
      <c r="F726" s="717">
        <v>0</v>
      </c>
      <c r="G726">
        <f>VLOOKUP(B726,'SINAPI-%MO'!B:E,4,0)</f>
        <v>0.18959999999999999</v>
      </c>
      <c r="H726" s="225">
        <f t="shared" si="11"/>
        <v>96.97</v>
      </c>
    </row>
    <row r="727" spans="1:8" x14ac:dyDescent="0.3">
      <c r="A727" s="400"/>
      <c r="B727" s="709">
        <v>95568</v>
      </c>
      <c r="C727" s="710" t="s">
        <v>1003</v>
      </c>
      <c r="D727" s="709" t="s">
        <v>159</v>
      </c>
      <c r="E727" s="716">
        <v>116.04</v>
      </c>
      <c r="F727" s="717">
        <v>0</v>
      </c>
      <c r="G727">
        <f>VLOOKUP(B727,'SINAPI-%MO'!B:E,4,0)</f>
        <v>0.1774</v>
      </c>
      <c r="H727" s="225">
        <f t="shared" si="11"/>
        <v>95.45</v>
      </c>
    </row>
    <row r="728" spans="1:8" x14ac:dyDescent="0.3">
      <c r="A728" s="400"/>
      <c r="B728" s="709">
        <v>95572</v>
      </c>
      <c r="C728" s="710" t="s">
        <v>1004</v>
      </c>
      <c r="D728" s="709" t="s">
        <v>159</v>
      </c>
      <c r="E728" s="716">
        <v>170.54</v>
      </c>
      <c r="F728" s="717">
        <v>0</v>
      </c>
      <c r="G728">
        <f>VLOOKUP(B728,'SINAPI-%MO'!B:E,4,0)</f>
        <v>0.17150000000000001</v>
      </c>
      <c r="H728" s="225">
        <f t="shared" si="11"/>
        <v>141.29</v>
      </c>
    </row>
    <row r="729" spans="1:8" x14ac:dyDescent="0.3">
      <c r="A729" s="400"/>
      <c r="B729" s="709">
        <v>95569</v>
      </c>
      <c r="C729" s="710" t="s">
        <v>1005</v>
      </c>
      <c r="D729" s="709" t="s">
        <v>159</v>
      </c>
      <c r="E729" s="716">
        <v>165.83</v>
      </c>
      <c r="F729" s="717">
        <v>0</v>
      </c>
      <c r="G729">
        <f>VLOOKUP(B729,'SINAPI-%MO'!B:E,4,0)</f>
        <v>0.15970000000000001</v>
      </c>
      <c r="H729" s="225">
        <f t="shared" si="11"/>
        <v>139.34</v>
      </c>
    </row>
    <row r="730" spans="1:8" x14ac:dyDescent="0.3">
      <c r="A730" s="400"/>
      <c r="B730" s="709">
        <v>92863</v>
      </c>
      <c r="C730" s="710" t="s">
        <v>1006</v>
      </c>
      <c r="D730" s="709" t="s">
        <v>159</v>
      </c>
      <c r="E730" s="716">
        <v>1209.01</v>
      </c>
      <c r="F730" s="717">
        <v>0</v>
      </c>
      <c r="G730">
        <f>VLOOKUP(B730,'SINAPI-%MO'!B:E,4,0)</f>
        <v>2.69E-2</v>
      </c>
      <c r="H730" s="225">
        <f t="shared" si="11"/>
        <v>1176.48</v>
      </c>
    </row>
    <row r="731" spans="1:8" x14ac:dyDescent="0.3">
      <c r="A731" s="400"/>
      <c r="B731" s="709">
        <v>92847</v>
      </c>
      <c r="C731" s="710" t="s">
        <v>1007</v>
      </c>
      <c r="D731" s="709" t="s">
        <v>159</v>
      </c>
      <c r="E731" s="716">
        <v>1198.83</v>
      </c>
      <c r="F731" s="717">
        <v>0</v>
      </c>
      <c r="G731">
        <f>VLOOKUP(B731,'SINAPI-%MO'!B:E,4,0)</f>
        <v>2.2200000000000001E-2</v>
      </c>
      <c r="H731" s="225">
        <f t="shared" si="11"/>
        <v>1172.21</v>
      </c>
    </row>
    <row r="732" spans="1:8" x14ac:dyDescent="0.3">
      <c r="A732" s="400"/>
      <c r="B732" s="709">
        <v>104936</v>
      </c>
      <c r="C732" s="710" t="s">
        <v>1008</v>
      </c>
      <c r="D732" s="709" t="s">
        <v>159</v>
      </c>
      <c r="E732" s="716">
        <v>0</v>
      </c>
      <c r="F732" s="717"/>
      <c r="G732" t="e">
        <f>VLOOKUP(B732,'SINAPI-%MO'!B:E,4,0)</f>
        <v>#N/A</v>
      </c>
      <c r="H732" s="225" t="str">
        <f t="shared" si="11"/>
        <v/>
      </c>
    </row>
    <row r="733" spans="1:8" x14ac:dyDescent="0.3">
      <c r="A733" s="400"/>
      <c r="B733" s="709">
        <v>104932</v>
      </c>
      <c r="C733" s="710" t="s">
        <v>1009</v>
      </c>
      <c r="D733" s="709" t="s">
        <v>159</v>
      </c>
      <c r="E733" s="716">
        <v>0</v>
      </c>
      <c r="F733" s="717"/>
      <c r="G733" t="e">
        <f>VLOOKUP(B733,'SINAPI-%MO'!B:E,4,0)</f>
        <v>#N/A</v>
      </c>
      <c r="H733" s="225" t="str">
        <f t="shared" si="11"/>
        <v/>
      </c>
    </row>
    <row r="734" spans="1:8" x14ac:dyDescent="0.3">
      <c r="A734" s="400"/>
      <c r="B734" s="709">
        <v>104938</v>
      </c>
      <c r="C734" s="710" t="s">
        <v>1010</v>
      </c>
      <c r="D734" s="709" t="s">
        <v>159</v>
      </c>
      <c r="E734" s="716">
        <v>0</v>
      </c>
      <c r="F734" s="717"/>
      <c r="G734" t="e">
        <f>VLOOKUP(B734,'SINAPI-%MO'!B:E,4,0)</f>
        <v>#N/A</v>
      </c>
      <c r="H734" s="225" t="str">
        <f t="shared" si="11"/>
        <v/>
      </c>
    </row>
    <row r="735" spans="1:8" x14ac:dyDescent="0.3">
      <c r="A735" s="400"/>
      <c r="B735" s="709">
        <v>104934</v>
      </c>
      <c r="C735" s="710" t="s">
        <v>1011</v>
      </c>
      <c r="D735" s="709" t="s">
        <v>159</v>
      </c>
      <c r="E735" s="716">
        <v>0</v>
      </c>
      <c r="F735" s="717"/>
      <c r="G735" t="e">
        <f>VLOOKUP(B735,'SINAPI-%MO'!B:E,4,0)</f>
        <v>#N/A</v>
      </c>
      <c r="H735" s="225" t="str">
        <f t="shared" si="11"/>
        <v/>
      </c>
    </row>
    <row r="736" spans="1:8" x14ac:dyDescent="0.3">
      <c r="A736" s="400"/>
      <c r="B736" s="709">
        <v>92849</v>
      </c>
      <c r="C736" s="710" t="s">
        <v>1012</v>
      </c>
      <c r="D736" s="709" t="s">
        <v>159</v>
      </c>
      <c r="E736" s="716">
        <v>256.38</v>
      </c>
      <c r="F736" s="717">
        <v>0</v>
      </c>
      <c r="G736">
        <f>VLOOKUP(B736,'SINAPI-%MO'!B:E,4,0)</f>
        <v>3.1800000000000002E-2</v>
      </c>
      <c r="H736" s="225">
        <f t="shared" si="11"/>
        <v>248.22</v>
      </c>
    </row>
    <row r="737" spans="1:8" x14ac:dyDescent="0.3">
      <c r="A737" s="400"/>
      <c r="B737" s="709">
        <v>92833</v>
      </c>
      <c r="C737" s="710" t="s">
        <v>1013</v>
      </c>
      <c r="D737" s="709" t="s">
        <v>159</v>
      </c>
      <c r="E737" s="716">
        <v>253.83</v>
      </c>
      <c r="F737" s="717">
        <v>0</v>
      </c>
      <c r="G737">
        <f>VLOOKUP(B737,'SINAPI-%MO'!B:E,4,0)</f>
        <v>2.6200000000000001E-2</v>
      </c>
      <c r="H737" s="225">
        <f t="shared" si="11"/>
        <v>247.17</v>
      </c>
    </row>
    <row r="738" spans="1:8" x14ac:dyDescent="0.3">
      <c r="A738" s="400"/>
      <c r="B738" s="709">
        <v>92851</v>
      </c>
      <c r="C738" s="710" t="s">
        <v>1014</v>
      </c>
      <c r="D738" s="709" t="s">
        <v>159</v>
      </c>
      <c r="E738" s="716">
        <v>269.92</v>
      </c>
      <c r="F738" s="717">
        <v>0</v>
      </c>
      <c r="G738">
        <f>VLOOKUP(B738,'SINAPI-%MO'!B:E,4,0)</f>
        <v>4.3099999999999999E-2</v>
      </c>
      <c r="H738" s="225">
        <f t="shared" si="11"/>
        <v>258.27999999999997</v>
      </c>
    </row>
    <row r="739" spans="1:8" x14ac:dyDescent="0.3">
      <c r="A739" s="400"/>
      <c r="B739" s="709">
        <v>92835</v>
      </c>
      <c r="C739" s="710" t="s">
        <v>1015</v>
      </c>
      <c r="D739" s="709" t="s">
        <v>159</v>
      </c>
      <c r="E739" s="716">
        <v>266.27</v>
      </c>
      <c r="F739" s="717">
        <v>0</v>
      </c>
      <c r="G739">
        <f>VLOOKUP(B739,'SINAPI-%MO'!B:E,4,0)</f>
        <v>3.5700000000000003E-2</v>
      </c>
      <c r="H739" s="225">
        <f t="shared" si="11"/>
        <v>256.76</v>
      </c>
    </row>
    <row r="740" spans="1:8" x14ac:dyDescent="0.3">
      <c r="A740" s="400"/>
      <c r="B740" s="709">
        <v>92853</v>
      </c>
      <c r="C740" s="710" t="s">
        <v>1016</v>
      </c>
      <c r="D740" s="709" t="s">
        <v>159</v>
      </c>
      <c r="E740" s="716">
        <v>481.94</v>
      </c>
      <c r="F740" s="717">
        <v>0</v>
      </c>
      <c r="G740">
        <f>VLOOKUP(B740,'SINAPI-%MO'!B:E,4,0)</f>
        <v>3.1399999999999997E-2</v>
      </c>
      <c r="H740" s="225">
        <f t="shared" si="11"/>
        <v>466.8</v>
      </c>
    </row>
    <row r="741" spans="1:8" x14ac:dyDescent="0.3">
      <c r="A741" s="400"/>
      <c r="B741" s="709">
        <v>92837</v>
      </c>
      <c r="C741" s="710" t="s">
        <v>1017</v>
      </c>
      <c r="D741" s="709" t="s">
        <v>159</v>
      </c>
      <c r="E741" s="716">
        <v>477.22</v>
      </c>
      <c r="F741" s="717">
        <v>0</v>
      </c>
      <c r="G741">
        <f>VLOOKUP(B741,'SINAPI-%MO'!B:E,4,0)</f>
        <v>2.5899999999999999E-2</v>
      </c>
      <c r="H741" s="225">
        <f t="shared" si="11"/>
        <v>464.86</v>
      </c>
    </row>
    <row r="742" spans="1:8" x14ac:dyDescent="0.3">
      <c r="A742" s="400"/>
      <c r="B742" s="709">
        <v>92855</v>
      </c>
      <c r="C742" s="710" t="s">
        <v>1018</v>
      </c>
      <c r="D742" s="709" t="s">
        <v>159</v>
      </c>
      <c r="E742" s="716">
        <v>590.94000000000005</v>
      </c>
      <c r="F742" s="717">
        <v>0</v>
      </c>
      <c r="G742">
        <f>VLOOKUP(B742,'SINAPI-%MO'!B:E,4,0)</f>
        <v>3.15E-2</v>
      </c>
      <c r="H742" s="225">
        <f t="shared" si="11"/>
        <v>572.32000000000005</v>
      </c>
    </row>
    <row r="743" spans="1:8" x14ac:dyDescent="0.3">
      <c r="A743" s="400"/>
      <c r="B743" s="709">
        <v>92839</v>
      </c>
      <c r="C743" s="710" t="s">
        <v>1019</v>
      </c>
      <c r="D743" s="709" t="s">
        <v>159</v>
      </c>
      <c r="E743" s="716">
        <v>585.14</v>
      </c>
      <c r="F743" s="717">
        <v>0</v>
      </c>
      <c r="G743">
        <f>VLOOKUP(B743,'SINAPI-%MO'!B:E,4,0)</f>
        <v>2.5999999999999999E-2</v>
      </c>
      <c r="H743" s="225">
        <f t="shared" si="11"/>
        <v>569.91999999999996</v>
      </c>
    </row>
    <row r="744" spans="1:8" x14ac:dyDescent="0.3">
      <c r="A744" s="400"/>
      <c r="B744" s="709">
        <v>92857</v>
      </c>
      <c r="C744" s="710" t="s">
        <v>1020</v>
      </c>
      <c r="D744" s="709" t="s">
        <v>159</v>
      </c>
      <c r="E744" s="716">
        <v>768.91</v>
      </c>
      <c r="F744" s="717">
        <v>0</v>
      </c>
      <c r="G744">
        <f>VLOOKUP(B744,'SINAPI-%MO'!B:E,4,0)</f>
        <v>2.8799999999999999E-2</v>
      </c>
      <c r="H744" s="225">
        <f t="shared" si="11"/>
        <v>746.76</v>
      </c>
    </row>
    <row r="745" spans="1:8" x14ac:dyDescent="0.3">
      <c r="A745" s="400"/>
      <c r="B745" s="709">
        <v>92841</v>
      </c>
      <c r="C745" s="710" t="s">
        <v>1021</v>
      </c>
      <c r="D745" s="709" t="s">
        <v>159</v>
      </c>
      <c r="E745" s="716">
        <v>762.01</v>
      </c>
      <c r="F745" s="717">
        <v>0</v>
      </c>
      <c r="G745">
        <f>VLOOKUP(B745,'SINAPI-%MO'!B:E,4,0)</f>
        <v>2.3699999999999999E-2</v>
      </c>
      <c r="H745" s="225">
        <f t="shared" si="11"/>
        <v>743.95</v>
      </c>
    </row>
    <row r="746" spans="1:8" x14ac:dyDescent="0.3">
      <c r="A746" s="400"/>
      <c r="B746" s="709">
        <v>92859</v>
      </c>
      <c r="C746" s="710" t="s">
        <v>1022</v>
      </c>
      <c r="D746" s="709" t="s">
        <v>159</v>
      </c>
      <c r="E746" s="716">
        <v>795.01</v>
      </c>
      <c r="F746" s="717">
        <v>0</v>
      </c>
      <c r="G746">
        <f>VLOOKUP(B746,'SINAPI-%MO'!B:E,4,0)</f>
        <v>3.2199999999999999E-2</v>
      </c>
      <c r="H746" s="225">
        <f t="shared" si="11"/>
        <v>769.41</v>
      </c>
    </row>
    <row r="747" spans="1:8" x14ac:dyDescent="0.3">
      <c r="A747" s="400"/>
      <c r="B747" s="709">
        <v>92843</v>
      </c>
      <c r="C747" s="710" t="s">
        <v>1023</v>
      </c>
      <c r="D747" s="709" t="s">
        <v>159</v>
      </c>
      <c r="E747" s="716">
        <v>787</v>
      </c>
      <c r="F747" s="717">
        <v>0</v>
      </c>
      <c r="G747">
        <f>VLOOKUP(B747,'SINAPI-%MO'!B:E,4,0)</f>
        <v>2.6599999999999999E-2</v>
      </c>
      <c r="H747" s="225">
        <f t="shared" si="11"/>
        <v>766.06</v>
      </c>
    </row>
    <row r="748" spans="1:8" x14ac:dyDescent="0.3">
      <c r="A748" s="400"/>
      <c r="B748" s="709">
        <v>92861</v>
      </c>
      <c r="C748" s="710" t="s">
        <v>1024</v>
      </c>
      <c r="D748" s="709" t="s">
        <v>159</v>
      </c>
      <c r="E748" s="716">
        <v>1180.48</v>
      </c>
      <c r="F748" s="717">
        <v>0</v>
      </c>
      <c r="G748">
        <f>VLOOKUP(B748,'SINAPI-%MO'!B:E,4,0)</f>
        <v>2.46E-2</v>
      </c>
      <c r="H748" s="225">
        <f t="shared" si="11"/>
        <v>1151.44</v>
      </c>
    </row>
    <row r="749" spans="1:8" x14ac:dyDescent="0.3">
      <c r="A749" s="400"/>
      <c r="B749" s="709">
        <v>92845</v>
      </c>
      <c r="C749" s="710" t="s">
        <v>1025</v>
      </c>
      <c r="D749" s="709" t="s">
        <v>159</v>
      </c>
      <c r="E749" s="716">
        <v>1171.4100000000001</v>
      </c>
      <c r="F749" s="717">
        <v>0</v>
      </c>
      <c r="G749">
        <f>VLOOKUP(B749,'SINAPI-%MO'!B:E,4,0)</f>
        <v>2.0299999999999999E-2</v>
      </c>
      <c r="H749" s="225">
        <f t="shared" si="11"/>
        <v>1147.6300000000001</v>
      </c>
    </row>
    <row r="750" spans="1:8" x14ac:dyDescent="0.3">
      <c r="A750" s="400"/>
      <c r="B750" s="709">
        <v>92226</v>
      </c>
      <c r="C750" s="710" t="s">
        <v>1026</v>
      </c>
      <c r="D750" s="709" t="s">
        <v>159</v>
      </c>
      <c r="E750" s="716">
        <v>671.15</v>
      </c>
      <c r="F750" s="717">
        <v>0</v>
      </c>
      <c r="G750">
        <f>VLOOKUP(B750,'SINAPI-%MO'!B:E,4,0)</f>
        <v>9.4899999999999998E-2</v>
      </c>
      <c r="H750" s="225">
        <f t="shared" si="11"/>
        <v>607.45000000000005</v>
      </c>
    </row>
    <row r="751" spans="1:8" x14ac:dyDescent="0.3">
      <c r="A751" s="400"/>
      <c r="B751" s="709">
        <v>92216</v>
      </c>
      <c r="C751" s="710" t="s">
        <v>1027</v>
      </c>
      <c r="D751" s="709" t="s">
        <v>159</v>
      </c>
      <c r="E751" s="716">
        <v>660.97</v>
      </c>
      <c r="F751" s="717">
        <v>0</v>
      </c>
      <c r="G751">
        <f>VLOOKUP(B751,'SINAPI-%MO'!B:E,4,0)</f>
        <v>8.7300000000000003E-2</v>
      </c>
      <c r="H751" s="225">
        <f t="shared" si="11"/>
        <v>603.26</v>
      </c>
    </row>
    <row r="752" spans="1:8" x14ac:dyDescent="0.3">
      <c r="A752" s="400"/>
      <c r="B752" s="709">
        <v>92829</v>
      </c>
      <c r="C752" s="710" t="s">
        <v>1028</v>
      </c>
      <c r="D752" s="709" t="s">
        <v>159</v>
      </c>
      <c r="E752" s="716">
        <v>973.63</v>
      </c>
      <c r="F752" s="717">
        <v>0</v>
      </c>
      <c r="G752">
        <f>VLOOKUP(B752,'SINAPI-%MO'!B:E,4,0)</f>
        <v>8.0399999999999999E-2</v>
      </c>
      <c r="H752" s="225">
        <f t="shared" si="11"/>
        <v>895.35</v>
      </c>
    </row>
    <row r="753" spans="1:8" x14ac:dyDescent="0.3">
      <c r="A753" s="400"/>
      <c r="B753" s="709">
        <v>92816</v>
      </c>
      <c r="C753" s="710" t="s">
        <v>1029</v>
      </c>
      <c r="D753" s="709" t="s">
        <v>159</v>
      </c>
      <c r="E753" s="716">
        <v>961.29</v>
      </c>
      <c r="F753" s="717">
        <v>0</v>
      </c>
      <c r="G753">
        <f>VLOOKUP(B753,'SINAPI-%MO'!B:E,4,0)</f>
        <v>7.3899999999999993E-2</v>
      </c>
      <c r="H753" s="225">
        <f t="shared" si="11"/>
        <v>890.25</v>
      </c>
    </row>
    <row r="754" spans="1:8" x14ac:dyDescent="0.3">
      <c r="A754" s="400"/>
      <c r="B754" s="709">
        <v>92831</v>
      </c>
      <c r="C754" s="710" t="s">
        <v>1030</v>
      </c>
      <c r="D754" s="709" t="s">
        <v>159</v>
      </c>
      <c r="E754" s="716">
        <v>1390.76</v>
      </c>
      <c r="F754" s="717">
        <v>0</v>
      </c>
      <c r="G754">
        <f>VLOOKUP(B754,'SINAPI-%MO'!B:E,4,0)</f>
        <v>7.2700000000000001E-2</v>
      </c>
      <c r="H754" s="225">
        <f t="shared" si="11"/>
        <v>1289.6500000000001</v>
      </c>
    </row>
    <row r="755" spans="1:8" x14ac:dyDescent="0.3">
      <c r="A755" s="400"/>
      <c r="B755" s="709">
        <v>92818</v>
      </c>
      <c r="C755" s="710" t="s">
        <v>1031</v>
      </c>
      <c r="D755" s="709" t="s">
        <v>159</v>
      </c>
      <c r="E755" s="716">
        <v>1375.15</v>
      </c>
      <c r="F755" s="717">
        <v>0</v>
      </c>
      <c r="G755">
        <f>VLOOKUP(B755,'SINAPI-%MO'!B:E,4,0)</f>
        <v>6.6900000000000001E-2</v>
      </c>
      <c r="H755" s="225">
        <f t="shared" si="11"/>
        <v>1283.1500000000001</v>
      </c>
    </row>
    <row r="756" spans="1:8" x14ac:dyDescent="0.3">
      <c r="A756" s="400"/>
      <c r="B756" s="709">
        <v>95566</v>
      </c>
      <c r="C756" s="710" t="s">
        <v>1032</v>
      </c>
      <c r="D756" s="709" t="s">
        <v>159</v>
      </c>
      <c r="E756" s="716">
        <v>159.03</v>
      </c>
      <c r="F756" s="717">
        <v>0</v>
      </c>
      <c r="G756">
        <f>VLOOKUP(B756,'SINAPI-%MO'!B:E,4,0)</f>
        <v>0.1026</v>
      </c>
      <c r="H756" s="225">
        <f t="shared" si="11"/>
        <v>142.71</v>
      </c>
    </row>
    <row r="757" spans="1:8" x14ac:dyDescent="0.3">
      <c r="A757" s="400"/>
      <c r="B757" s="709">
        <v>95565</v>
      </c>
      <c r="C757" s="710" t="s">
        <v>1033</v>
      </c>
      <c r="D757" s="709" t="s">
        <v>159</v>
      </c>
      <c r="E757" s="716">
        <v>156.49</v>
      </c>
      <c r="F757" s="717">
        <v>0</v>
      </c>
      <c r="G757">
        <f>VLOOKUP(B757,'SINAPI-%MO'!B:E,4,0)</f>
        <v>9.4799999999999995E-2</v>
      </c>
      <c r="H757" s="225">
        <f t="shared" si="11"/>
        <v>141.65</v>
      </c>
    </row>
    <row r="758" spans="1:8" x14ac:dyDescent="0.3">
      <c r="A758" s="400"/>
      <c r="B758" s="709">
        <v>92219</v>
      </c>
      <c r="C758" s="710" t="s">
        <v>1034</v>
      </c>
      <c r="D758" s="709" t="s">
        <v>159</v>
      </c>
      <c r="E758" s="716">
        <v>187.05</v>
      </c>
      <c r="F758" s="717">
        <v>0</v>
      </c>
      <c r="G758">
        <f>VLOOKUP(B758,'SINAPI-%MO'!B:E,4,0)</f>
        <v>0.12130000000000001</v>
      </c>
      <c r="H758" s="225">
        <f t="shared" si="11"/>
        <v>164.36</v>
      </c>
    </row>
    <row r="759" spans="1:8" x14ac:dyDescent="0.3">
      <c r="A759" s="400"/>
      <c r="B759" s="709">
        <v>92210</v>
      </c>
      <c r="C759" s="710" t="s">
        <v>1035</v>
      </c>
      <c r="D759" s="709" t="s">
        <v>159</v>
      </c>
      <c r="E759" s="716">
        <v>183.43</v>
      </c>
      <c r="F759" s="717">
        <v>0</v>
      </c>
      <c r="G759">
        <f>VLOOKUP(B759,'SINAPI-%MO'!B:E,4,0)</f>
        <v>0.11219999999999999</v>
      </c>
      <c r="H759" s="225">
        <f t="shared" si="11"/>
        <v>162.84</v>
      </c>
    </row>
    <row r="760" spans="1:8" x14ac:dyDescent="0.3">
      <c r="A760" s="400"/>
      <c r="B760" s="709">
        <v>92220</v>
      </c>
      <c r="C760" s="710" t="s">
        <v>1036</v>
      </c>
      <c r="D760" s="709" t="s">
        <v>159</v>
      </c>
      <c r="E760" s="716">
        <v>227.52</v>
      </c>
      <c r="F760" s="717">
        <v>0</v>
      </c>
      <c r="G760">
        <f>VLOOKUP(B760,'SINAPI-%MO'!B:E,4,0)</f>
        <v>0.12859999999999999</v>
      </c>
      <c r="H760" s="225">
        <f t="shared" si="11"/>
        <v>198.26</v>
      </c>
    </row>
    <row r="761" spans="1:8" x14ac:dyDescent="0.3">
      <c r="A761" s="400"/>
      <c r="B761" s="709">
        <v>92211</v>
      </c>
      <c r="C761" s="710" t="s">
        <v>1037</v>
      </c>
      <c r="D761" s="709" t="s">
        <v>159</v>
      </c>
      <c r="E761" s="716">
        <v>222.81</v>
      </c>
      <c r="F761" s="717">
        <v>0</v>
      </c>
      <c r="G761">
        <f>VLOOKUP(B761,'SINAPI-%MO'!B:E,4,0)</f>
        <v>0.1188</v>
      </c>
      <c r="H761" s="225">
        <f t="shared" si="11"/>
        <v>196.34</v>
      </c>
    </row>
    <row r="762" spans="1:8" x14ac:dyDescent="0.3">
      <c r="A762" s="400"/>
      <c r="B762" s="709">
        <v>92221</v>
      </c>
      <c r="C762" s="710" t="s">
        <v>1038</v>
      </c>
      <c r="D762" s="709" t="s">
        <v>159</v>
      </c>
      <c r="E762" s="716">
        <v>348.72</v>
      </c>
      <c r="F762" s="717">
        <v>0</v>
      </c>
      <c r="G762">
        <f>VLOOKUP(B762,'SINAPI-%MO'!B:E,4,0)</f>
        <v>0.10290000000000001</v>
      </c>
      <c r="H762" s="225">
        <f t="shared" si="11"/>
        <v>312.83</v>
      </c>
    </row>
    <row r="763" spans="1:8" x14ac:dyDescent="0.3">
      <c r="A763" s="400"/>
      <c r="B763" s="709">
        <v>92212</v>
      </c>
      <c r="C763" s="710" t="s">
        <v>1039</v>
      </c>
      <c r="D763" s="709" t="s">
        <v>159</v>
      </c>
      <c r="E763" s="716">
        <v>342.91</v>
      </c>
      <c r="F763" s="717">
        <v>0</v>
      </c>
      <c r="G763">
        <f>VLOOKUP(B763,'SINAPI-%MO'!B:E,4,0)</f>
        <v>9.4700000000000006E-2</v>
      </c>
      <c r="H763" s="225">
        <f t="shared" si="11"/>
        <v>310.43</v>
      </c>
    </row>
    <row r="764" spans="1:8" x14ac:dyDescent="0.3">
      <c r="A764" s="400"/>
      <c r="B764" s="709">
        <v>92222</v>
      </c>
      <c r="C764" s="710" t="s">
        <v>1040</v>
      </c>
      <c r="D764" s="709" t="s">
        <v>159</v>
      </c>
      <c r="E764" s="716">
        <v>464.72</v>
      </c>
      <c r="F764" s="717">
        <v>0</v>
      </c>
      <c r="G764">
        <f>VLOOKUP(B764,'SINAPI-%MO'!B:E,4,0)</f>
        <v>9.1800000000000007E-2</v>
      </c>
      <c r="H764" s="225">
        <f t="shared" si="11"/>
        <v>422.05</v>
      </c>
    </row>
    <row r="765" spans="1:8" x14ac:dyDescent="0.3">
      <c r="A765" s="400"/>
      <c r="B765" s="709">
        <v>92213</v>
      </c>
      <c r="C765" s="710" t="s">
        <v>1041</v>
      </c>
      <c r="D765" s="709" t="s">
        <v>159</v>
      </c>
      <c r="E765" s="716">
        <v>457.82</v>
      </c>
      <c r="F765" s="717">
        <v>0</v>
      </c>
      <c r="G765">
        <f>VLOOKUP(B765,'SINAPI-%MO'!B:E,4,0)</f>
        <v>8.4400000000000003E-2</v>
      </c>
      <c r="H765" s="225">
        <f t="shared" si="11"/>
        <v>419.17</v>
      </c>
    </row>
    <row r="766" spans="1:8" x14ac:dyDescent="0.3">
      <c r="A766" s="400"/>
      <c r="B766" s="709">
        <v>92223</v>
      </c>
      <c r="C766" s="710" t="s">
        <v>1042</v>
      </c>
      <c r="D766" s="709" t="s">
        <v>159</v>
      </c>
      <c r="E766" s="716">
        <v>563.32000000000005</v>
      </c>
      <c r="F766" s="717">
        <v>0</v>
      </c>
      <c r="G766">
        <f>VLOOKUP(B766,'SINAPI-%MO'!B:E,4,0)</f>
        <v>8.7900000000000006E-2</v>
      </c>
      <c r="H766" s="225">
        <f t="shared" si="11"/>
        <v>513.79999999999995</v>
      </c>
    </row>
    <row r="767" spans="1:8" x14ac:dyDescent="0.3">
      <c r="A767" s="400"/>
      <c r="B767" s="709">
        <v>92214</v>
      </c>
      <c r="C767" s="710" t="s">
        <v>1043</v>
      </c>
      <c r="D767" s="709" t="s">
        <v>159</v>
      </c>
      <c r="E767" s="716">
        <v>555.34</v>
      </c>
      <c r="F767" s="717">
        <v>0</v>
      </c>
      <c r="G767">
        <f>VLOOKUP(B767,'SINAPI-%MO'!B:E,4,0)</f>
        <v>8.0799999999999997E-2</v>
      </c>
      <c r="H767" s="225">
        <f t="shared" si="11"/>
        <v>510.46</v>
      </c>
    </row>
    <row r="768" spans="1:8" x14ac:dyDescent="0.3">
      <c r="A768" s="400"/>
      <c r="B768" s="709">
        <v>92224</v>
      </c>
      <c r="C768" s="710" t="s">
        <v>1044</v>
      </c>
      <c r="D768" s="709" t="s">
        <v>159</v>
      </c>
      <c r="E768" s="716">
        <v>647.13</v>
      </c>
      <c r="F768" s="717">
        <v>0</v>
      </c>
      <c r="G768">
        <f>VLOOKUP(B768,'SINAPI-%MO'!B:E,4,0)</f>
        <v>8.7400000000000005E-2</v>
      </c>
      <c r="H768" s="225">
        <f t="shared" si="11"/>
        <v>590.57000000000005</v>
      </c>
    </row>
    <row r="769" spans="1:8" x14ac:dyDescent="0.3">
      <c r="A769" s="400"/>
      <c r="B769" s="709">
        <v>92215</v>
      </c>
      <c r="C769" s="710" t="s">
        <v>1045</v>
      </c>
      <c r="D769" s="709" t="s">
        <v>159</v>
      </c>
      <c r="E769" s="716">
        <v>638.04</v>
      </c>
      <c r="F769" s="717">
        <v>0</v>
      </c>
      <c r="G769">
        <f>VLOOKUP(B769,'SINAPI-%MO'!B:E,4,0)</f>
        <v>8.0299999999999996E-2</v>
      </c>
      <c r="H769" s="225">
        <f t="shared" si="11"/>
        <v>586.79999999999995</v>
      </c>
    </row>
    <row r="770" spans="1:8" x14ac:dyDescent="0.3">
      <c r="A770" s="400"/>
      <c r="B770" s="709">
        <v>94342</v>
      </c>
      <c r="C770" s="710" t="s">
        <v>1046</v>
      </c>
      <c r="D770" s="709" t="s">
        <v>170</v>
      </c>
      <c r="E770" s="716">
        <v>100.41</v>
      </c>
      <c r="F770" s="717">
        <v>6.9999999999999999E-4</v>
      </c>
      <c r="G770">
        <f>VLOOKUP(B770,'SINAPI-%MO'!B:E,4,0)</f>
        <v>0.27360000000000001</v>
      </c>
      <c r="H770" s="225">
        <f t="shared" si="11"/>
        <v>72.930000000000007</v>
      </c>
    </row>
    <row r="771" spans="1:8" x14ac:dyDescent="0.3">
      <c r="A771" s="400"/>
      <c r="B771" s="709">
        <v>94319</v>
      </c>
      <c r="C771" s="710" t="s">
        <v>1047</v>
      </c>
      <c r="D771" s="709" t="s">
        <v>170</v>
      </c>
      <c r="E771" s="716">
        <v>86.35</v>
      </c>
      <c r="F771" s="717">
        <v>0.64219999999999999</v>
      </c>
      <c r="G771">
        <f>VLOOKUP(B771,'SINAPI-%MO'!B:E,4,0)</f>
        <v>0.31809999999999999</v>
      </c>
      <c r="H771" s="225">
        <f t="shared" si="11"/>
        <v>58.88</v>
      </c>
    </row>
    <row r="772" spans="1:8" x14ac:dyDescent="0.3">
      <c r="A772" s="400"/>
      <c r="B772" s="709">
        <v>94304</v>
      </c>
      <c r="C772" s="710" t="s">
        <v>1048</v>
      </c>
      <c r="D772" s="709" t="s">
        <v>170</v>
      </c>
      <c r="E772" s="716">
        <v>80.349999999999994</v>
      </c>
      <c r="F772" s="717">
        <v>0.69010000000000005</v>
      </c>
      <c r="G772">
        <f>VLOOKUP(B772,'SINAPI-%MO'!B:E,4,0)</f>
        <v>0.12620000000000001</v>
      </c>
      <c r="H772" s="225">
        <f t="shared" si="11"/>
        <v>70.2</v>
      </c>
    </row>
    <row r="773" spans="1:8" x14ac:dyDescent="0.3">
      <c r="A773" s="400"/>
      <c r="B773" s="709">
        <v>94306</v>
      </c>
      <c r="C773" s="710" t="s">
        <v>1049</v>
      </c>
      <c r="D773" s="709" t="s">
        <v>170</v>
      </c>
      <c r="E773" s="716">
        <v>73.569999999999993</v>
      </c>
      <c r="F773" s="717">
        <v>0.75370000000000004</v>
      </c>
      <c r="G773">
        <f>VLOOKUP(B773,'SINAPI-%MO'!B:E,4,0)</f>
        <v>0.1071</v>
      </c>
      <c r="H773" s="225">
        <f t="shared" si="11"/>
        <v>65.69</v>
      </c>
    </row>
    <row r="774" spans="1:8" x14ac:dyDescent="0.3">
      <c r="A774" s="400"/>
      <c r="B774" s="709">
        <v>94327</v>
      </c>
      <c r="C774" s="710" t="s">
        <v>1050</v>
      </c>
      <c r="D774" s="709" t="s">
        <v>170</v>
      </c>
      <c r="E774" s="716">
        <v>94.41</v>
      </c>
      <c r="F774" s="717">
        <v>6.9999999999999999E-4</v>
      </c>
      <c r="G774">
        <f>VLOOKUP(B774,'SINAPI-%MO'!B:E,4,0)</f>
        <v>0.1074</v>
      </c>
      <c r="H774" s="225">
        <f t="shared" si="11"/>
        <v>84.27</v>
      </c>
    </row>
    <row r="775" spans="1:8" x14ac:dyDescent="0.3">
      <c r="A775" s="400"/>
      <c r="B775" s="709">
        <v>94329</v>
      </c>
      <c r="C775" s="710" t="s">
        <v>1051</v>
      </c>
      <c r="D775" s="709" t="s">
        <v>170</v>
      </c>
      <c r="E775" s="716">
        <v>87.63</v>
      </c>
      <c r="F775" s="717">
        <v>8.0000000000000004E-4</v>
      </c>
      <c r="G775">
        <f>VLOOKUP(B775,'SINAPI-%MO'!B:E,4,0)</f>
        <v>8.9899999999999994E-2</v>
      </c>
      <c r="H775" s="225">
        <f t="shared" si="11"/>
        <v>79.75</v>
      </c>
    </row>
    <row r="776" spans="1:8" x14ac:dyDescent="0.3">
      <c r="A776" s="400"/>
      <c r="B776" s="709">
        <v>94333</v>
      </c>
      <c r="C776" s="710" t="s">
        <v>1052</v>
      </c>
      <c r="D776" s="709" t="s">
        <v>170</v>
      </c>
      <c r="E776" s="716">
        <v>84.58</v>
      </c>
      <c r="F776" s="717">
        <v>8.0000000000000004E-4</v>
      </c>
      <c r="G776">
        <f>VLOOKUP(B776,'SINAPI-%MO'!B:E,4,0)</f>
        <v>8.2100000000000006E-2</v>
      </c>
      <c r="H776" s="225">
        <f t="shared" si="11"/>
        <v>77.63</v>
      </c>
    </row>
    <row r="777" spans="1:8" x14ac:dyDescent="0.3">
      <c r="A777" s="400"/>
      <c r="B777" s="709">
        <v>94310</v>
      </c>
      <c r="C777" s="710" t="s">
        <v>1053</v>
      </c>
      <c r="D777" s="709" t="s">
        <v>170</v>
      </c>
      <c r="E777" s="716">
        <v>70.52</v>
      </c>
      <c r="F777" s="717">
        <v>0.7863</v>
      </c>
      <c r="G777">
        <f>VLOOKUP(B777,'SINAPI-%MO'!B:E,4,0)</f>
        <v>9.8400000000000001E-2</v>
      </c>
      <c r="H777" s="225">
        <f t="shared" si="11"/>
        <v>63.58</v>
      </c>
    </row>
    <row r="778" spans="1:8" x14ac:dyDescent="0.3">
      <c r="A778" s="400"/>
      <c r="B778" s="709">
        <v>104739</v>
      </c>
      <c r="C778" s="710" t="s">
        <v>1054</v>
      </c>
      <c r="D778" s="709" t="s">
        <v>170</v>
      </c>
      <c r="E778" s="716">
        <v>100.49</v>
      </c>
      <c r="F778" s="717">
        <v>6.9999999999999999E-4</v>
      </c>
      <c r="G778">
        <f>VLOOKUP(B778,'SINAPI-%MO'!B:E,4,0)</f>
        <v>0.16320000000000001</v>
      </c>
      <c r="H778" s="225">
        <f t="shared" si="11"/>
        <v>84.09</v>
      </c>
    </row>
    <row r="779" spans="1:8" x14ac:dyDescent="0.3">
      <c r="A779" s="400"/>
      <c r="B779" s="709">
        <v>104738</v>
      </c>
      <c r="C779" s="710" t="s">
        <v>1055</v>
      </c>
      <c r="D779" s="709" t="s">
        <v>170</v>
      </c>
      <c r="E779" s="716">
        <v>86.43</v>
      </c>
      <c r="F779" s="717">
        <v>0.64159999999999995</v>
      </c>
      <c r="G779">
        <f>VLOOKUP(B779,'SINAPI-%MO'!B:E,4,0)</f>
        <v>0.18970000000000001</v>
      </c>
      <c r="H779" s="225">
        <f t="shared" ref="H779:H842" si="12">IF(E779&gt;0,TRUNC(E779*(1-G779),2),"")</f>
        <v>70.03</v>
      </c>
    </row>
    <row r="780" spans="1:8" x14ac:dyDescent="0.3">
      <c r="A780" s="400"/>
      <c r="B780" s="709">
        <v>94316</v>
      </c>
      <c r="C780" s="710" t="s">
        <v>1056</v>
      </c>
      <c r="D780" s="709" t="s">
        <v>170</v>
      </c>
      <c r="E780" s="716">
        <v>75.44</v>
      </c>
      <c r="F780" s="717">
        <v>0.73499999999999999</v>
      </c>
      <c r="G780">
        <f>VLOOKUP(B780,'SINAPI-%MO'!B:E,4,0)</f>
        <v>0.13869999999999999</v>
      </c>
      <c r="H780" s="225">
        <f t="shared" si="12"/>
        <v>64.97</v>
      </c>
    </row>
    <row r="781" spans="1:8" x14ac:dyDescent="0.3">
      <c r="A781" s="400"/>
      <c r="B781" s="709">
        <v>94318</v>
      </c>
      <c r="C781" s="710" t="s">
        <v>1057</v>
      </c>
      <c r="D781" s="709" t="s">
        <v>170</v>
      </c>
      <c r="E781" s="716">
        <v>69.33</v>
      </c>
      <c r="F781" s="717">
        <v>0.79979999999999996</v>
      </c>
      <c r="G781">
        <f>VLOOKUP(B781,'SINAPI-%MO'!B:E,4,0)</f>
        <v>0.10589999999999999</v>
      </c>
      <c r="H781" s="225">
        <f t="shared" si="12"/>
        <v>61.98</v>
      </c>
    </row>
    <row r="782" spans="1:8" x14ac:dyDescent="0.3">
      <c r="A782" s="400"/>
      <c r="B782" s="709">
        <v>94339</v>
      </c>
      <c r="C782" s="710" t="s">
        <v>267</v>
      </c>
      <c r="D782" s="709" t="s">
        <v>170</v>
      </c>
      <c r="E782" s="716">
        <v>89.5</v>
      </c>
      <c r="F782" s="717">
        <v>8.0000000000000004E-4</v>
      </c>
      <c r="G782">
        <f>VLOOKUP(B782,'SINAPI-%MO'!B:E,4,0)</f>
        <v>0.1169</v>
      </c>
      <c r="H782" s="225">
        <f t="shared" si="12"/>
        <v>79.03</v>
      </c>
    </row>
    <row r="783" spans="1:8" x14ac:dyDescent="0.3">
      <c r="A783" s="400"/>
      <c r="B783" s="709">
        <v>94341</v>
      </c>
      <c r="C783" s="710" t="s">
        <v>1058</v>
      </c>
      <c r="D783" s="709" t="s">
        <v>170</v>
      </c>
      <c r="E783" s="716">
        <v>83.39</v>
      </c>
      <c r="F783" s="717">
        <v>8.0000000000000004E-4</v>
      </c>
      <c r="G783">
        <f>VLOOKUP(B783,'SINAPI-%MO'!B:E,4,0)</f>
        <v>8.7999999999999995E-2</v>
      </c>
      <c r="H783" s="225">
        <f t="shared" si="12"/>
        <v>76.05</v>
      </c>
    </row>
    <row r="784" spans="1:8" x14ac:dyDescent="0.3">
      <c r="A784" s="400"/>
      <c r="B784" s="709">
        <v>104742</v>
      </c>
      <c r="C784" s="710" t="s">
        <v>1059</v>
      </c>
      <c r="D784" s="709" t="s">
        <v>168</v>
      </c>
      <c r="E784" s="716">
        <v>8.6</v>
      </c>
      <c r="F784" s="717">
        <v>0.48020000000000002</v>
      </c>
      <c r="G784">
        <f>VLOOKUP(B784,'SINAPI-%MO'!B:E,4,0)</f>
        <v>0.2233</v>
      </c>
      <c r="H784" s="225">
        <f t="shared" si="12"/>
        <v>6.67</v>
      </c>
    </row>
    <row r="785" spans="1:8" x14ac:dyDescent="0.3">
      <c r="A785" s="400"/>
      <c r="B785" s="709">
        <v>93382</v>
      </c>
      <c r="C785" s="710" t="s">
        <v>1060</v>
      </c>
      <c r="D785" s="709" t="s">
        <v>170</v>
      </c>
      <c r="E785" s="716">
        <v>30.97</v>
      </c>
      <c r="F785" s="717">
        <v>2.3E-3</v>
      </c>
      <c r="G785">
        <f>VLOOKUP(B785,'SINAPI-%MO'!B:E,4,0)</f>
        <v>0.88700000000000001</v>
      </c>
      <c r="H785" s="225">
        <f t="shared" si="12"/>
        <v>3.49</v>
      </c>
    </row>
    <row r="786" spans="1:8" x14ac:dyDescent="0.3">
      <c r="A786" s="400"/>
      <c r="B786" s="709">
        <v>104737</v>
      </c>
      <c r="C786" s="710" t="s">
        <v>1061</v>
      </c>
      <c r="D786" s="709" t="s">
        <v>170</v>
      </c>
      <c r="E786" s="716">
        <v>25.64</v>
      </c>
      <c r="F786" s="717">
        <v>2.7000000000000001E-3</v>
      </c>
      <c r="G786">
        <f>VLOOKUP(B786,'SINAPI-%MO'!B:E,4,0)</f>
        <v>0.89270000000000005</v>
      </c>
      <c r="H786" s="225">
        <f t="shared" si="12"/>
        <v>2.75</v>
      </c>
    </row>
    <row r="787" spans="1:8" x14ac:dyDescent="0.3">
      <c r="A787" s="400"/>
      <c r="B787" s="709">
        <v>93369</v>
      </c>
      <c r="C787" s="710" t="s">
        <v>1062</v>
      </c>
      <c r="D787" s="709" t="s">
        <v>170</v>
      </c>
      <c r="E787" s="716">
        <v>18.190000000000001</v>
      </c>
      <c r="F787" s="717">
        <v>3.8E-3</v>
      </c>
      <c r="G787">
        <f>VLOOKUP(B787,'SINAPI-%MO'!B:E,4,0)</f>
        <v>0.43319999999999997</v>
      </c>
      <c r="H787" s="225">
        <f t="shared" si="12"/>
        <v>10.31</v>
      </c>
    </row>
    <row r="788" spans="1:8" x14ac:dyDescent="0.3">
      <c r="A788" s="400"/>
      <c r="B788" s="709">
        <v>93373</v>
      </c>
      <c r="C788" s="710" t="s">
        <v>1063</v>
      </c>
      <c r="D788" s="709" t="s">
        <v>170</v>
      </c>
      <c r="E788" s="716">
        <v>15.14</v>
      </c>
      <c r="F788" s="717">
        <v>4.5999999999999999E-3</v>
      </c>
      <c r="G788">
        <f>VLOOKUP(B788,'SINAPI-%MO'!B:E,4,0)</f>
        <v>0.45839999999999997</v>
      </c>
      <c r="H788" s="225">
        <f t="shared" si="12"/>
        <v>8.19</v>
      </c>
    </row>
    <row r="789" spans="1:8" x14ac:dyDescent="0.3">
      <c r="A789" s="400"/>
      <c r="B789" s="709">
        <v>93368</v>
      </c>
      <c r="C789" s="710" t="s">
        <v>1064</v>
      </c>
      <c r="D789" s="709" t="s">
        <v>170</v>
      </c>
      <c r="E789" s="716">
        <v>21.95</v>
      </c>
      <c r="F789" s="717">
        <v>3.2000000000000002E-3</v>
      </c>
      <c r="G789">
        <f>VLOOKUP(B789,'SINAPI-%MO'!B:E,4,0)</f>
        <v>0.41460000000000002</v>
      </c>
      <c r="H789" s="225">
        <f t="shared" si="12"/>
        <v>12.84</v>
      </c>
    </row>
    <row r="790" spans="1:8" x14ac:dyDescent="0.3">
      <c r="A790" s="400"/>
      <c r="B790" s="709">
        <v>104729</v>
      </c>
      <c r="C790" s="710" t="s">
        <v>1065</v>
      </c>
      <c r="D790" s="709" t="s">
        <v>170</v>
      </c>
      <c r="E790" s="716">
        <v>17.18</v>
      </c>
      <c r="F790" s="717">
        <v>4.1000000000000003E-3</v>
      </c>
      <c r="G790">
        <f>VLOOKUP(B790,'SINAPI-%MO'!B:E,4,0)</f>
        <v>0.30270000000000002</v>
      </c>
      <c r="H790" s="225">
        <f t="shared" si="12"/>
        <v>11.97</v>
      </c>
    </row>
    <row r="791" spans="1:8" x14ac:dyDescent="0.3">
      <c r="A791" s="400"/>
      <c r="B791" s="709">
        <v>93372</v>
      </c>
      <c r="C791" s="710" t="s">
        <v>1066</v>
      </c>
      <c r="D791" s="709" t="s">
        <v>170</v>
      </c>
      <c r="E791" s="716">
        <v>17.52</v>
      </c>
      <c r="F791" s="717">
        <v>4.0000000000000001E-3</v>
      </c>
      <c r="G791">
        <f>VLOOKUP(B791,'SINAPI-%MO'!B:E,4,0)</f>
        <v>0.43719999999999998</v>
      </c>
      <c r="H791" s="225">
        <f t="shared" si="12"/>
        <v>9.86</v>
      </c>
    </row>
    <row r="792" spans="1:8" x14ac:dyDescent="0.3">
      <c r="A792" s="400"/>
      <c r="B792" s="709">
        <v>104731</v>
      </c>
      <c r="C792" s="710" t="s">
        <v>1067</v>
      </c>
      <c r="D792" s="709" t="s">
        <v>170</v>
      </c>
      <c r="E792" s="716">
        <v>12.77</v>
      </c>
      <c r="F792" s="717">
        <v>5.4999999999999997E-3</v>
      </c>
      <c r="G792">
        <f>VLOOKUP(B792,'SINAPI-%MO'!B:E,4,0)</f>
        <v>0.29680000000000001</v>
      </c>
      <c r="H792" s="225">
        <f t="shared" si="12"/>
        <v>8.9700000000000006</v>
      </c>
    </row>
    <row r="793" spans="1:8" x14ac:dyDescent="0.3">
      <c r="A793" s="400"/>
      <c r="B793" s="709">
        <v>93367</v>
      </c>
      <c r="C793" s="710" t="s">
        <v>1068</v>
      </c>
      <c r="D793" s="709" t="s">
        <v>170</v>
      </c>
      <c r="E793" s="716">
        <v>24.97</v>
      </c>
      <c r="F793" s="717">
        <v>2.8E-3</v>
      </c>
      <c r="G793">
        <f>VLOOKUP(B793,'SINAPI-%MO'!B:E,4,0)</f>
        <v>0.40610000000000002</v>
      </c>
      <c r="H793" s="225">
        <f t="shared" si="12"/>
        <v>14.82</v>
      </c>
    </row>
    <row r="794" spans="1:8" x14ac:dyDescent="0.3">
      <c r="A794" s="400"/>
      <c r="B794" s="709">
        <v>104728</v>
      </c>
      <c r="C794" s="710" t="s">
        <v>1069</v>
      </c>
      <c r="D794" s="709" t="s">
        <v>170</v>
      </c>
      <c r="E794" s="716">
        <v>20.149999999999999</v>
      </c>
      <c r="F794" s="717">
        <v>3.5000000000000001E-3</v>
      </c>
      <c r="G794">
        <f>VLOOKUP(B794,'SINAPI-%MO'!B:E,4,0)</f>
        <v>0.30669999999999997</v>
      </c>
      <c r="H794" s="225">
        <f t="shared" si="12"/>
        <v>13.96</v>
      </c>
    </row>
    <row r="795" spans="1:8" x14ac:dyDescent="0.3">
      <c r="A795" s="400"/>
      <c r="B795" s="709">
        <v>104730</v>
      </c>
      <c r="C795" s="710" t="s">
        <v>1070</v>
      </c>
      <c r="D795" s="709" t="s">
        <v>170</v>
      </c>
      <c r="E795" s="716">
        <v>13.44</v>
      </c>
      <c r="F795" s="717">
        <v>5.1999999999999998E-3</v>
      </c>
      <c r="G795">
        <f>VLOOKUP(B795,'SINAPI-%MO'!B:E,4,0)</f>
        <v>0.2984</v>
      </c>
      <c r="H795" s="225">
        <f t="shared" si="12"/>
        <v>9.42</v>
      </c>
    </row>
    <row r="796" spans="1:8" x14ac:dyDescent="0.3">
      <c r="A796" s="400"/>
      <c r="B796" s="709">
        <v>104732</v>
      </c>
      <c r="C796" s="710" t="s">
        <v>1071</v>
      </c>
      <c r="D796" s="709" t="s">
        <v>170</v>
      </c>
      <c r="E796" s="716">
        <v>10.4</v>
      </c>
      <c r="F796" s="717">
        <v>6.7000000000000002E-3</v>
      </c>
      <c r="G796">
        <f>VLOOKUP(B796,'SINAPI-%MO'!B:E,4,0)</f>
        <v>0.29620000000000002</v>
      </c>
      <c r="H796" s="225">
        <f t="shared" si="12"/>
        <v>7.31</v>
      </c>
    </row>
    <row r="797" spans="1:8" x14ac:dyDescent="0.3">
      <c r="A797" s="400"/>
      <c r="B797" s="709">
        <v>104740</v>
      </c>
      <c r="C797" s="710" t="s">
        <v>1072</v>
      </c>
      <c r="D797" s="709" t="s">
        <v>170</v>
      </c>
      <c r="E797" s="716">
        <v>31.05</v>
      </c>
      <c r="F797" s="717">
        <v>2.3E-3</v>
      </c>
      <c r="G797">
        <f>VLOOKUP(B797,'SINAPI-%MO'!B:E,4,0)</f>
        <v>0.5282</v>
      </c>
      <c r="H797" s="225">
        <f t="shared" si="12"/>
        <v>14.64</v>
      </c>
    </row>
    <row r="798" spans="1:8" x14ac:dyDescent="0.3">
      <c r="A798" s="400"/>
      <c r="B798" s="709">
        <v>104741</v>
      </c>
      <c r="C798" s="710" t="s">
        <v>1073</v>
      </c>
      <c r="D798" s="709" t="s">
        <v>170</v>
      </c>
      <c r="E798" s="716">
        <v>25.72</v>
      </c>
      <c r="F798" s="717">
        <v>2.7000000000000001E-3</v>
      </c>
      <c r="G798">
        <f>VLOOKUP(B798,'SINAPI-%MO'!B:E,4,0)</f>
        <v>0.45960000000000001</v>
      </c>
      <c r="H798" s="225">
        <f t="shared" si="12"/>
        <v>13.89</v>
      </c>
    </row>
    <row r="799" spans="1:8" x14ac:dyDescent="0.3">
      <c r="A799" s="400"/>
      <c r="B799" s="709">
        <v>93381</v>
      </c>
      <c r="C799" s="710" t="s">
        <v>1074</v>
      </c>
      <c r="D799" s="709" t="s">
        <v>170</v>
      </c>
      <c r="E799" s="716">
        <v>13.95</v>
      </c>
      <c r="F799" s="717">
        <v>5.0000000000000001E-3</v>
      </c>
      <c r="G799">
        <f>VLOOKUP(B799,'SINAPI-%MO'!B:E,4,0)</f>
        <v>0.5262</v>
      </c>
      <c r="H799" s="225">
        <f t="shared" si="12"/>
        <v>6.6</v>
      </c>
    </row>
    <row r="800" spans="1:8" x14ac:dyDescent="0.3">
      <c r="A800" s="400"/>
      <c r="B800" s="709">
        <v>93379</v>
      </c>
      <c r="C800" s="710" t="s">
        <v>1075</v>
      </c>
      <c r="D800" s="709" t="s">
        <v>170</v>
      </c>
      <c r="E800" s="716">
        <v>20.059999999999999</v>
      </c>
      <c r="F800" s="717">
        <v>3.5000000000000001E-3</v>
      </c>
      <c r="G800">
        <f>VLOOKUP(B800,'SINAPI-%MO'!B:E,4,0)</f>
        <v>0.52139999999999997</v>
      </c>
      <c r="H800" s="225">
        <f t="shared" si="12"/>
        <v>9.6</v>
      </c>
    </row>
    <row r="801" spans="1:8" x14ac:dyDescent="0.3">
      <c r="A801" s="400"/>
      <c r="B801" s="709">
        <v>93380</v>
      </c>
      <c r="C801" s="710" t="s">
        <v>1076</v>
      </c>
      <c r="D801" s="709" t="s">
        <v>170</v>
      </c>
      <c r="E801" s="716">
        <v>17.09</v>
      </c>
      <c r="F801" s="717">
        <v>4.1000000000000003E-3</v>
      </c>
      <c r="G801">
        <f>VLOOKUP(B801,'SINAPI-%MO'!B:E,4,0)</f>
        <v>0.51780000000000004</v>
      </c>
      <c r="H801" s="225">
        <f t="shared" si="12"/>
        <v>8.24</v>
      </c>
    </row>
    <row r="802" spans="1:8" x14ac:dyDescent="0.3">
      <c r="A802" s="400"/>
      <c r="B802" s="709">
        <v>93378</v>
      </c>
      <c r="C802" s="710" t="s">
        <v>1077</v>
      </c>
      <c r="D802" s="709" t="s">
        <v>170</v>
      </c>
      <c r="E802" s="716">
        <v>25.96</v>
      </c>
      <c r="F802" s="717">
        <v>2.7000000000000001E-3</v>
      </c>
      <c r="G802">
        <f>VLOOKUP(B802,'SINAPI-%MO'!B:E,4,0)</f>
        <v>0.51890000000000003</v>
      </c>
      <c r="H802" s="225">
        <f t="shared" si="12"/>
        <v>12.48</v>
      </c>
    </row>
    <row r="803" spans="1:8" x14ac:dyDescent="0.3">
      <c r="A803" s="400"/>
      <c r="B803" s="709">
        <v>104733</v>
      </c>
      <c r="C803" s="710" t="s">
        <v>1078</v>
      </c>
      <c r="D803" s="709" t="s">
        <v>170</v>
      </c>
      <c r="E803" s="716">
        <v>20.63</v>
      </c>
      <c r="F803" s="717">
        <v>3.3999999999999998E-3</v>
      </c>
      <c r="G803">
        <f>VLOOKUP(B803,'SINAPI-%MO'!B:E,4,0)</f>
        <v>0.43090000000000001</v>
      </c>
      <c r="H803" s="225">
        <f t="shared" si="12"/>
        <v>11.74</v>
      </c>
    </row>
    <row r="804" spans="1:8" x14ac:dyDescent="0.3">
      <c r="A804" s="400"/>
      <c r="B804" s="709">
        <v>104735</v>
      </c>
      <c r="C804" s="710" t="s">
        <v>1079</v>
      </c>
      <c r="D804" s="709" t="s">
        <v>170</v>
      </c>
      <c r="E804" s="716">
        <v>12.22</v>
      </c>
      <c r="F804" s="717">
        <v>5.7000000000000002E-3</v>
      </c>
      <c r="G804">
        <f>VLOOKUP(B804,'SINAPI-%MO'!B:E,4,0)</f>
        <v>0.39529999999999998</v>
      </c>
      <c r="H804" s="225">
        <f t="shared" si="12"/>
        <v>7.38</v>
      </c>
    </row>
    <row r="805" spans="1:8" x14ac:dyDescent="0.3">
      <c r="A805" s="400"/>
      <c r="B805" s="709">
        <v>104734</v>
      </c>
      <c r="C805" s="710" t="s">
        <v>1080</v>
      </c>
      <c r="D805" s="709" t="s">
        <v>170</v>
      </c>
      <c r="E805" s="716">
        <v>14.99</v>
      </c>
      <c r="F805" s="717">
        <v>4.7000000000000002E-3</v>
      </c>
      <c r="G805">
        <f>VLOOKUP(B805,'SINAPI-%MO'!B:E,4,0)</f>
        <v>0.4143</v>
      </c>
      <c r="H805" s="225">
        <f t="shared" si="12"/>
        <v>8.77</v>
      </c>
    </row>
    <row r="806" spans="1:8" x14ac:dyDescent="0.3">
      <c r="A806" s="400"/>
      <c r="B806" s="709">
        <v>104736</v>
      </c>
      <c r="C806" s="710" t="s">
        <v>1081</v>
      </c>
      <c r="D806" s="709" t="s">
        <v>170</v>
      </c>
      <c r="E806" s="716">
        <v>9.17</v>
      </c>
      <c r="F806" s="717">
        <v>7.6E-3</v>
      </c>
      <c r="G806">
        <f>VLOOKUP(B806,'SINAPI-%MO'!B:E,4,0)</f>
        <v>0.374</v>
      </c>
      <c r="H806" s="225">
        <f t="shared" si="12"/>
        <v>5.74</v>
      </c>
    </row>
    <row r="807" spans="1:8" x14ac:dyDescent="0.3">
      <c r="A807" s="400"/>
      <c r="B807" s="709">
        <v>105732</v>
      </c>
      <c r="C807" s="710" t="s">
        <v>1082</v>
      </c>
      <c r="D807" s="709" t="s">
        <v>170</v>
      </c>
      <c r="E807" s="716">
        <v>267.39999999999998</v>
      </c>
      <c r="F807" s="717">
        <v>2.92E-2</v>
      </c>
      <c r="G807">
        <f>VLOOKUP(B807,'SINAPI-%MO'!B:E,4,0)</f>
        <v>4.4699999999999997E-2</v>
      </c>
      <c r="H807" s="225">
        <f t="shared" si="12"/>
        <v>255.44</v>
      </c>
    </row>
    <row r="808" spans="1:8" x14ac:dyDescent="0.3">
      <c r="A808" s="400"/>
      <c r="B808" s="709">
        <v>96397</v>
      </c>
      <c r="C808" s="710" t="s">
        <v>1083</v>
      </c>
      <c r="D808" s="709" t="s">
        <v>170</v>
      </c>
      <c r="E808" s="716">
        <v>262.75</v>
      </c>
      <c r="F808" s="717">
        <v>2.47E-2</v>
      </c>
      <c r="G808">
        <f>VLOOKUP(B808,'SINAPI-%MO'!B:E,4,0)</f>
        <v>3.8899999999999997E-2</v>
      </c>
      <c r="H808" s="225">
        <f t="shared" si="12"/>
        <v>252.52</v>
      </c>
    </row>
    <row r="809" spans="1:8" x14ac:dyDescent="0.3">
      <c r="A809" s="400"/>
      <c r="B809" s="709">
        <v>105735</v>
      </c>
      <c r="C809" s="710" t="s">
        <v>1084</v>
      </c>
      <c r="D809" s="709" t="s">
        <v>170</v>
      </c>
      <c r="E809" s="716">
        <v>260.41000000000003</v>
      </c>
      <c r="F809" s="717">
        <v>2.2599999999999999E-2</v>
      </c>
      <c r="G809">
        <f>VLOOKUP(B809,'SINAPI-%MO'!B:E,4,0)</f>
        <v>3.5999999999999997E-2</v>
      </c>
      <c r="H809" s="225">
        <f t="shared" si="12"/>
        <v>251.03</v>
      </c>
    </row>
    <row r="810" spans="1:8" x14ac:dyDescent="0.3">
      <c r="A810" s="400"/>
      <c r="B810" s="709">
        <v>105727</v>
      </c>
      <c r="C810" s="710" t="s">
        <v>1085</v>
      </c>
      <c r="D810" s="709" t="s">
        <v>170</v>
      </c>
      <c r="E810" s="716">
        <v>183.91</v>
      </c>
      <c r="F810" s="717">
        <v>3.7499999999999999E-2</v>
      </c>
      <c r="G810">
        <f>VLOOKUP(B810,'SINAPI-%MO'!B:E,4,0)</f>
        <v>5.8099999999999999E-2</v>
      </c>
      <c r="H810" s="225">
        <f t="shared" si="12"/>
        <v>173.22</v>
      </c>
    </row>
    <row r="811" spans="1:8" x14ac:dyDescent="0.3">
      <c r="A811" s="400"/>
      <c r="B811" s="709">
        <v>96396</v>
      </c>
      <c r="C811" s="710" t="s">
        <v>257</v>
      </c>
      <c r="D811" s="709" t="s">
        <v>170</v>
      </c>
      <c r="E811" s="716">
        <v>180.32</v>
      </c>
      <c r="F811" s="717">
        <v>3.2599999999999997E-2</v>
      </c>
      <c r="G811">
        <f>VLOOKUP(B811,'SINAPI-%MO'!B:E,4,0)</f>
        <v>5.21E-2</v>
      </c>
      <c r="H811" s="225">
        <f t="shared" si="12"/>
        <v>170.92</v>
      </c>
    </row>
    <row r="812" spans="1:8" x14ac:dyDescent="0.3">
      <c r="A812" s="400"/>
      <c r="B812" s="709">
        <v>105730</v>
      </c>
      <c r="C812" s="710" t="s">
        <v>1086</v>
      </c>
      <c r="D812" s="709" t="s">
        <v>170</v>
      </c>
      <c r="E812" s="716">
        <v>178.53</v>
      </c>
      <c r="F812" s="717">
        <v>3.0300000000000001E-2</v>
      </c>
      <c r="G812">
        <f>VLOOKUP(B812,'SINAPI-%MO'!B:E,4,0)</f>
        <v>4.8800000000000003E-2</v>
      </c>
      <c r="H812" s="225">
        <f t="shared" si="12"/>
        <v>169.81</v>
      </c>
    </row>
    <row r="813" spans="1:8" x14ac:dyDescent="0.3">
      <c r="A813" s="400"/>
      <c r="B813" s="709">
        <v>105737</v>
      </c>
      <c r="C813" s="710" t="s">
        <v>1087</v>
      </c>
      <c r="D813" s="709" t="s">
        <v>170</v>
      </c>
      <c r="E813" s="716">
        <v>374.8</v>
      </c>
      <c r="F813" s="717">
        <v>1.7100000000000001E-2</v>
      </c>
      <c r="G813">
        <f>VLOOKUP(B813,'SINAPI-%MO'!B:E,4,0)</f>
        <v>3.61E-2</v>
      </c>
      <c r="H813" s="225">
        <f t="shared" si="12"/>
        <v>361.26</v>
      </c>
    </row>
    <row r="814" spans="1:8" x14ac:dyDescent="0.3">
      <c r="A814" s="400"/>
      <c r="B814" s="709">
        <v>96398</v>
      </c>
      <c r="C814" s="710" t="s">
        <v>1088</v>
      </c>
      <c r="D814" s="709" t="s">
        <v>170</v>
      </c>
      <c r="E814" s="716">
        <v>371.31</v>
      </c>
      <c r="F814" s="717">
        <v>1.46E-2</v>
      </c>
      <c r="G814">
        <f>VLOOKUP(B814,'SINAPI-%MO'!B:E,4,0)</f>
        <v>3.3000000000000002E-2</v>
      </c>
      <c r="H814" s="225">
        <f t="shared" si="12"/>
        <v>359.05</v>
      </c>
    </row>
    <row r="815" spans="1:8" x14ac:dyDescent="0.3">
      <c r="A815" s="400"/>
      <c r="B815" s="709">
        <v>105740</v>
      </c>
      <c r="C815" s="710" t="s">
        <v>1089</v>
      </c>
      <c r="D815" s="709" t="s">
        <v>170</v>
      </c>
      <c r="E815" s="716">
        <v>369.47</v>
      </c>
      <c r="F815" s="717">
        <v>1.34E-2</v>
      </c>
      <c r="G815">
        <f>VLOOKUP(B815,'SINAPI-%MO'!B:E,4,0)</f>
        <v>3.1300000000000001E-2</v>
      </c>
      <c r="H815" s="225">
        <f t="shared" si="12"/>
        <v>357.9</v>
      </c>
    </row>
    <row r="816" spans="1:8" x14ac:dyDescent="0.3">
      <c r="A816" s="400"/>
      <c r="B816" s="709">
        <v>105749</v>
      </c>
      <c r="C816" s="710" t="s">
        <v>1090</v>
      </c>
      <c r="D816" s="709" t="s">
        <v>170</v>
      </c>
      <c r="E816" s="716">
        <v>163.66</v>
      </c>
      <c r="F816" s="717">
        <v>2.18E-2</v>
      </c>
      <c r="G816">
        <f>VLOOKUP(B816,'SINAPI-%MO'!B:E,4,0)</f>
        <v>6.7000000000000004E-2</v>
      </c>
      <c r="H816" s="225">
        <f t="shared" si="12"/>
        <v>152.69</v>
      </c>
    </row>
    <row r="817" spans="1:8" x14ac:dyDescent="0.3">
      <c r="A817" s="400"/>
      <c r="B817" s="709">
        <v>96400</v>
      </c>
      <c r="C817" s="710" t="s">
        <v>1091</v>
      </c>
      <c r="D817" s="709" t="s">
        <v>170</v>
      </c>
      <c r="E817" s="716">
        <v>161.78</v>
      </c>
      <c r="F817" s="717">
        <v>0.02</v>
      </c>
      <c r="G817">
        <f>VLOOKUP(B817,'SINAPI-%MO'!B:E,4,0)</f>
        <v>6.4000000000000001E-2</v>
      </c>
      <c r="H817" s="225">
        <f t="shared" si="12"/>
        <v>151.41999999999999</v>
      </c>
    </row>
    <row r="818" spans="1:8" x14ac:dyDescent="0.3">
      <c r="A818" s="400"/>
      <c r="B818" s="709">
        <v>105752</v>
      </c>
      <c r="C818" s="710" t="s">
        <v>1092</v>
      </c>
      <c r="D818" s="709" t="s">
        <v>170</v>
      </c>
      <c r="E818" s="716">
        <v>160.11000000000001</v>
      </c>
      <c r="F818" s="717">
        <v>1.8599999999999998E-2</v>
      </c>
      <c r="G818">
        <f>VLOOKUP(B818,'SINAPI-%MO'!B:E,4,0)</f>
        <v>6.0999999999999999E-2</v>
      </c>
      <c r="H818" s="225">
        <f t="shared" si="12"/>
        <v>150.34</v>
      </c>
    </row>
    <row r="819" spans="1:8" x14ac:dyDescent="0.3">
      <c r="A819" s="400"/>
      <c r="B819" s="709">
        <v>105754</v>
      </c>
      <c r="C819" s="710" t="s">
        <v>1093</v>
      </c>
      <c r="D819" s="709" t="s">
        <v>170</v>
      </c>
      <c r="E819" s="716">
        <v>158.52000000000001</v>
      </c>
      <c r="F819" s="717">
        <v>1.7399999999999999E-2</v>
      </c>
      <c r="G819">
        <f>VLOOKUP(B819,'SINAPI-%MO'!B:E,4,0)</f>
        <v>5.7799999999999997E-2</v>
      </c>
      <c r="H819" s="225">
        <f t="shared" si="12"/>
        <v>149.35</v>
      </c>
    </row>
    <row r="820" spans="1:8" x14ac:dyDescent="0.3">
      <c r="A820" s="400"/>
      <c r="B820" s="709">
        <v>105742</v>
      </c>
      <c r="C820" s="710" t="s">
        <v>1094</v>
      </c>
      <c r="D820" s="709" t="s">
        <v>170</v>
      </c>
      <c r="E820" s="716">
        <v>124.7</v>
      </c>
      <c r="F820" s="717">
        <v>4.1500000000000002E-2</v>
      </c>
      <c r="G820">
        <f>VLOOKUP(B820,'SINAPI-%MO'!B:E,4,0)</f>
        <v>6.0199999999999997E-2</v>
      </c>
      <c r="H820" s="225">
        <f t="shared" si="12"/>
        <v>117.19</v>
      </c>
    </row>
    <row r="821" spans="1:8" x14ac:dyDescent="0.3">
      <c r="A821" s="400"/>
      <c r="B821" s="709">
        <v>96399</v>
      </c>
      <c r="C821" s="710" t="s">
        <v>259</v>
      </c>
      <c r="D821" s="709" t="s">
        <v>170</v>
      </c>
      <c r="E821" s="716">
        <v>123.04</v>
      </c>
      <c r="F821" s="717">
        <v>3.85E-2</v>
      </c>
      <c r="G821">
        <f>VLOOKUP(B821,'SINAPI-%MO'!B:E,4,0)</f>
        <v>5.5399999999999998E-2</v>
      </c>
      <c r="H821" s="225">
        <f t="shared" si="12"/>
        <v>116.22</v>
      </c>
    </row>
    <row r="822" spans="1:8" x14ac:dyDescent="0.3">
      <c r="A822" s="400"/>
      <c r="B822" s="709">
        <v>105745</v>
      </c>
      <c r="C822" s="710" t="s">
        <v>1095</v>
      </c>
      <c r="D822" s="709" t="s">
        <v>170</v>
      </c>
      <c r="E822" s="716">
        <v>121.36</v>
      </c>
      <c r="F822" s="717">
        <v>3.5299999999999998E-2</v>
      </c>
      <c r="G822">
        <f>VLOOKUP(B822,'SINAPI-%MO'!B:E,4,0)</f>
        <v>5.04E-2</v>
      </c>
      <c r="H822" s="225">
        <f t="shared" si="12"/>
        <v>115.24</v>
      </c>
    </row>
    <row r="823" spans="1:8" x14ac:dyDescent="0.3">
      <c r="A823" s="400"/>
      <c r="B823" s="709">
        <v>105747</v>
      </c>
      <c r="C823" s="710" t="s">
        <v>1096</v>
      </c>
      <c r="D823" s="709" t="s">
        <v>170</v>
      </c>
      <c r="E823" s="716">
        <v>119.67</v>
      </c>
      <c r="F823" s="717">
        <v>3.2099999999999997E-2</v>
      </c>
      <c r="G823">
        <f>VLOOKUP(B823,'SINAPI-%MO'!B:E,4,0)</f>
        <v>4.53E-2</v>
      </c>
      <c r="H823" s="225">
        <f t="shared" si="12"/>
        <v>114.24</v>
      </c>
    </row>
    <row r="824" spans="1:8" x14ac:dyDescent="0.3">
      <c r="A824" s="400"/>
      <c r="B824" s="709">
        <v>105657</v>
      </c>
      <c r="C824" s="710" t="s">
        <v>1097</v>
      </c>
      <c r="D824" s="709" t="s">
        <v>170</v>
      </c>
      <c r="E824" s="716">
        <v>202.46</v>
      </c>
      <c r="F824" s="717">
        <v>3.4700000000000002E-2</v>
      </c>
      <c r="G824">
        <f>VLOOKUP(B824,'SINAPI-%MO'!B:E,4,0)</f>
        <v>7.46E-2</v>
      </c>
      <c r="H824" s="225">
        <f t="shared" si="12"/>
        <v>187.35</v>
      </c>
    </row>
    <row r="825" spans="1:8" x14ac:dyDescent="0.3">
      <c r="A825" s="400"/>
      <c r="B825" s="709">
        <v>100566</v>
      </c>
      <c r="C825" s="710" t="s">
        <v>1098</v>
      </c>
      <c r="D825" s="709" t="s">
        <v>170</v>
      </c>
      <c r="E825" s="716">
        <v>194.92</v>
      </c>
      <c r="F825" s="717">
        <v>2.7400000000000001E-2</v>
      </c>
      <c r="G825">
        <f>VLOOKUP(B825,'SINAPI-%MO'!B:E,4,0)</f>
        <v>5.8999999999999997E-2</v>
      </c>
      <c r="H825" s="225">
        <f t="shared" si="12"/>
        <v>183.41</v>
      </c>
    </row>
    <row r="826" spans="1:8" x14ac:dyDescent="0.3">
      <c r="A826" s="400"/>
      <c r="B826" s="709">
        <v>105666</v>
      </c>
      <c r="C826" s="710" t="s">
        <v>1099</v>
      </c>
      <c r="D826" s="709" t="s">
        <v>170</v>
      </c>
      <c r="E826" s="716">
        <v>191.13</v>
      </c>
      <c r="F826" s="717">
        <v>2.3699999999999999E-2</v>
      </c>
      <c r="G826">
        <f>VLOOKUP(B826,'SINAPI-%MO'!B:E,4,0)</f>
        <v>5.0599999999999999E-2</v>
      </c>
      <c r="H826" s="225">
        <f t="shared" si="12"/>
        <v>181.45</v>
      </c>
    </row>
    <row r="827" spans="1:8" x14ac:dyDescent="0.3">
      <c r="A827" s="400"/>
      <c r="B827" s="709">
        <v>105639</v>
      </c>
      <c r="C827" s="710" t="s">
        <v>1100</v>
      </c>
      <c r="D827" s="709" t="s">
        <v>170</v>
      </c>
      <c r="E827" s="716">
        <v>231.3</v>
      </c>
      <c r="F827" s="717">
        <v>2.98E-2</v>
      </c>
      <c r="G827">
        <f>VLOOKUP(B827,'SINAPI-%MO'!B:E,4,0)</f>
        <v>4.6199999999999998E-2</v>
      </c>
      <c r="H827" s="225">
        <f t="shared" si="12"/>
        <v>220.61</v>
      </c>
    </row>
    <row r="828" spans="1:8" x14ac:dyDescent="0.3">
      <c r="A828" s="400"/>
      <c r="B828" s="709">
        <v>105645</v>
      </c>
      <c r="C828" s="710" t="s">
        <v>1101</v>
      </c>
      <c r="D828" s="709" t="s">
        <v>170</v>
      </c>
      <c r="E828" s="716">
        <v>227.71</v>
      </c>
      <c r="F828" s="717">
        <v>2.58E-2</v>
      </c>
      <c r="G828">
        <f>VLOOKUP(B828,'SINAPI-%MO'!B:E,4,0)</f>
        <v>4.1300000000000003E-2</v>
      </c>
      <c r="H828" s="225">
        <f t="shared" si="12"/>
        <v>218.3</v>
      </c>
    </row>
    <row r="829" spans="1:8" x14ac:dyDescent="0.3">
      <c r="A829" s="400"/>
      <c r="B829" s="709">
        <v>105651</v>
      </c>
      <c r="C829" s="710" t="s">
        <v>1102</v>
      </c>
      <c r="D829" s="709" t="s">
        <v>170</v>
      </c>
      <c r="E829" s="716">
        <v>225.92</v>
      </c>
      <c r="F829" s="717">
        <v>2.3900000000000001E-2</v>
      </c>
      <c r="G829">
        <f>VLOOKUP(B829,'SINAPI-%MO'!B:E,4,0)</f>
        <v>3.8600000000000002E-2</v>
      </c>
      <c r="H829" s="225">
        <f t="shared" si="12"/>
        <v>217.19</v>
      </c>
    </row>
    <row r="830" spans="1:8" x14ac:dyDescent="0.3">
      <c r="A830" s="400"/>
      <c r="B830" s="709">
        <v>105658</v>
      </c>
      <c r="C830" s="710" t="s">
        <v>1103</v>
      </c>
      <c r="D830" s="709" t="s">
        <v>170</v>
      </c>
      <c r="E830" s="716">
        <v>242.23</v>
      </c>
      <c r="F830" s="717">
        <v>2.9000000000000001E-2</v>
      </c>
      <c r="G830">
        <f>VLOOKUP(B830,'SINAPI-%MO'!B:E,4,0)</f>
        <v>6.2399999999999997E-2</v>
      </c>
      <c r="H830" s="225">
        <f t="shared" si="12"/>
        <v>227.11</v>
      </c>
    </row>
    <row r="831" spans="1:8" x14ac:dyDescent="0.3">
      <c r="A831" s="400"/>
      <c r="B831" s="709">
        <v>100567</v>
      </c>
      <c r="C831" s="710" t="s">
        <v>1104</v>
      </c>
      <c r="D831" s="709" t="s">
        <v>170</v>
      </c>
      <c r="E831" s="716">
        <v>234.69</v>
      </c>
      <c r="F831" s="717">
        <v>2.2800000000000001E-2</v>
      </c>
      <c r="G831">
        <f>VLOOKUP(B831,'SINAPI-%MO'!B:E,4,0)</f>
        <v>4.9000000000000002E-2</v>
      </c>
      <c r="H831" s="225">
        <f t="shared" si="12"/>
        <v>223.19</v>
      </c>
    </row>
    <row r="832" spans="1:8" x14ac:dyDescent="0.3">
      <c r="A832" s="400"/>
      <c r="B832" s="709">
        <v>105667</v>
      </c>
      <c r="C832" s="710" t="s">
        <v>1105</v>
      </c>
      <c r="D832" s="709" t="s">
        <v>170</v>
      </c>
      <c r="E832" s="716">
        <v>230.9</v>
      </c>
      <c r="F832" s="717">
        <v>1.9599999999999999E-2</v>
      </c>
      <c r="G832">
        <f>VLOOKUP(B832,'SINAPI-%MO'!B:E,4,0)</f>
        <v>4.19E-2</v>
      </c>
      <c r="H832" s="225">
        <f t="shared" si="12"/>
        <v>221.22</v>
      </c>
    </row>
    <row r="833" spans="1:8" x14ac:dyDescent="0.3">
      <c r="A833" s="400"/>
      <c r="B833" s="709">
        <v>105640</v>
      </c>
      <c r="C833" s="710" t="s">
        <v>1106</v>
      </c>
      <c r="D833" s="709" t="s">
        <v>170</v>
      </c>
      <c r="E833" s="716">
        <v>268.62</v>
      </c>
      <c r="F833" s="717">
        <v>2.5600000000000001E-2</v>
      </c>
      <c r="G833">
        <f>VLOOKUP(B833,'SINAPI-%MO'!B:E,4,0)</f>
        <v>3.9800000000000002E-2</v>
      </c>
      <c r="H833" s="225">
        <f t="shared" si="12"/>
        <v>257.92</v>
      </c>
    </row>
    <row r="834" spans="1:8" x14ac:dyDescent="0.3">
      <c r="A834" s="400"/>
      <c r="B834" s="709">
        <v>105646</v>
      </c>
      <c r="C834" s="710" t="s">
        <v>1107</v>
      </c>
      <c r="D834" s="709" t="s">
        <v>170</v>
      </c>
      <c r="E834" s="716">
        <v>265.02999999999997</v>
      </c>
      <c r="F834" s="717">
        <v>2.2100000000000002E-2</v>
      </c>
      <c r="G834">
        <f>VLOOKUP(B834,'SINAPI-%MO'!B:E,4,0)</f>
        <v>3.5499999999999997E-2</v>
      </c>
      <c r="H834" s="225">
        <f t="shared" si="12"/>
        <v>255.62</v>
      </c>
    </row>
    <row r="835" spans="1:8" x14ac:dyDescent="0.3">
      <c r="A835" s="400"/>
      <c r="B835" s="709">
        <v>105652</v>
      </c>
      <c r="C835" s="710" t="s">
        <v>1108</v>
      </c>
      <c r="D835" s="709" t="s">
        <v>170</v>
      </c>
      <c r="E835" s="716">
        <v>263.24</v>
      </c>
      <c r="F835" s="717">
        <v>2.06E-2</v>
      </c>
      <c r="G835">
        <f>VLOOKUP(B835,'SINAPI-%MO'!B:E,4,0)</f>
        <v>3.32E-2</v>
      </c>
      <c r="H835" s="225">
        <f t="shared" si="12"/>
        <v>254.5</v>
      </c>
    </row>
    <row r="836" spans="1:8" x14ac:dyDescent="0.3">
      <c r="A836" s="400"/>
      <c r="B836" s="709">
        <v>105659</v>
      </c>
      <c r="C836" s="710" t="s">
        <v>1109</v>
      </c>
      <c r="D836" s="709" t="s">
        <v>170</v>
      </c>
      <c r="E836" s="716">
        <v>281.45</v>
      </c>
      <c r="F836" s="717">
        <v>2.4899999999999999E-2</v>
      </c>
      <c r="G836">
        <f>VLOOKUP(B836,'SINAPI-%MO'!B:E,4,0)</f>
        <v>5.3699999999999998E-2</v>
      </c>
      <c r="H836" s="225">
        <f t="shared" si="12"/>
        <v>266.33</v>
      </c>
    </row>
    <row r="837" spans="1:8" x14ac:dyDescent="0.3">
      <c r="A837" s="400"/>
      <c r="B837" s="709">
        <v>100568</v>
      </c>
      <c r="C837" s="710" t="s">
        <v>1110</v>
      </c>
      <c r="D837" s="709" t="s">
        <v>170</v>
      </c>
      <c r="E837" s="716">
        <v>273.91000000000003</v>
      </c>
      <c r="F837" s="717">
        <v>1.95E-2</v>
      </c>
      <c r="G837">
        <f>VLOOKUP(B837,'SINAPI-%MO'!B:E,4,0)</f>
        <v>4.2000000000000003E-2</v>
      </c>
      <c r="H837" s="225">
        <f t="shared" si="12"/>
        <v>262.39999999999998</v>
      </c>
    </row>
    <row r="838" spans="1:8" x14ac:dyDescent="0.3">
      <c r="A838" s="400"/>
      <c r="B838" s="709">
        <v>105668</v>
      </c>
      <c r="C838" s="710" t="s">
        <v>1111</v>
      </c>
      <c r="D838" s="709" t="s">
        <v>170</v>
      </c>
      <c r="E838" s="716">
        <v>270.12</v>
      </c>
      <c r="F838" s="717">
        <v>1.6799999999999999E-2</v>
      </c>
      <c r="G838">
        <f>VLOOKUP(B838,'SINAPI-%MO'!B:E,4,0)</f>
        <v>3.5799999999999998E-2</v>
      </c>
      <c r="H838" s="225">
        <f t="shared" si="12"/>
        <v>260.44</v>
      </c>
    </row>
    <row r="839" spans="1:8" x14ac:dyDescent="0.3">
      <c r="A839" s="400"/>
      <c r="B839" s="709">
        <v>105641</v>
      </c>
      <c r="C839" s="710" t="s">
        <v>1112</v>
      </c>
      <c r="D839" s="709" t="s">
        <v>170</v>
      </c>
      <c r="E839" s="716">
        <v>305.93</v>
      </c>
      <c r="F839" s="717">
        <v>2.2499999999999999E-2</v>
      </c>
      <c r="G839">
        <f>VLOOKUP(B839,'SINAPI-%MO'!B:E,4,0)</f>
        <v>3.49E-2</v>
      </c>
      <c r="H839" s="225">
        <f t="shared" si="12"/>
        <v>295.25</v>
      </c>
    </row>
    <row r="840" spans="1:8" x14ac:dyDescent="0.3">
      <c r="A840" s="400"/>
      <c r="B840" s="709">
        <v>105647</v>
      </c>
      <c r="C840" s="710" t="s">
        <v>1113</v>
      </c>
      <c r="D840" s="709" t="s">
        <v>170</v>
      </c>
      <c r="E840" s="716">
        <v>302.33999999999997</v>
      </c>
      <c r="F840" s="717">
        <v>1.9400000000000001E-2</v>
      </c>
      <c r="G840">
        <f>VLOOKUP(B840,'SINAPI-%MO'!B:E,4,0)</f>
        <v>3.1099999999999999E-2</v>
      </c>
      <c r="H840" s="225">
        <f t="shared" si="12"/>
        <v>292.93</v>
      </c>
    </row>
    <row r="841" spans="1:8" x14ac:dyDescent="0.3">
      <c r="A841" s="400"/>
      <c r="B841" s="709">
        <v>105653</v>
      </c>
      <c r="C841" s="710" t="s">
        <v>1114</v>
      </c>
      <c r="D841" s="709" t="s">
        <v>170</v>
      </c>
      <c r="E841" s="716">
        <v>300.55</v>
      </c>
      <c r="F841" s="717">
        <v>1.7999999999999999E-2</v>
      </c>
      <c r="G841">
        <f>VLOOKUP(B841,'SINAPI-%MO'!B:E,4,0)</f>
        <v>2.9000000000000001E-2</v>
      </c>
      <c r="H841" s="225">
        <f t="shared" si="12"/>
        <v>291.83</v>
      </c>
    </row>
    <row r="842" spans="1:8" x14ac:dyDescent="0.3">
      <c r="A842" s="400"/>
      <c r="B842" s="709">
        <v>105710</v>
      </c>
      <c r="C842" s="710" t="s">
        <v>1115</v>
      </c>
      <c r="D842" s="709" t="s">
        <v>170</v>
      </c>
      <c r="E842" s="716">
        <v>117.56</v>
      </c>
      <c r="F842" s="717">
        <v>5.96E-2</v>
      </c>
      <c r="G842">
        <f>VLOOKUP(B842,'SINAPI-%MO'!B:E,4,0)</f>
        <v>0.1285</v>
      </c>
      <c r="H842" s="225">
        <f t="shared" si="12"/>
        <v>102.45</v>
      </c>
    </row>
    <row r="843" spans="1:8" x14ac:dyDescent="0.3">
      <c r="A843" s="400"/>
      <c r="B843" s="709">
        <v>100564</v>
      </c>
      <c r="C843" s="710" t="s">
        <v>1116</v>
      </c>
      <c r="D843" s="709" t="s">
        <v>170</v>
      </c>
      <c r="E843" s="716">
        <v>110.02</v>
      </c>
      <c r="F843" s="717">
        <v>4.8399999999999999E-2</v>
      </c>
      <c r="G843">
        <f>VLOOKUP(B843,'SINAPI-%MO'!B:E,4,0)</f>
        <v>0.1045</v>
      </c>
      <c r="H843" s="225">
        <f t="shared" ref="H843:H906" si="13">IF(E843&gt;0,TRUNC(E843*(1-G843),2),"")</f>
        <v>98.52</v>
      </c>
    </row>
    <row r="844" spans="1:8" x14ac:dyDescent="0.3">
      <c r="A844" s="400"/>
      <c r="B844" s="709">
        <v>105711</v>
      </c>
      <c r="C844" s="710" t="s">
        <v>1117</v>
      </c>
      <c r="D844" s="709" t="s">
        <v>170</v>
      </c>
      <c r="E844" s="716">
        <v>106.23</v>
      </c>
      <c r="F844" s="717">
        <v>4.2599999999999999E-2</v>
      </c>
      <c r="G844">
        <f>VLOOKUP(B844,'SINAPI-%MO'!B:E,4,0)</f>
        <v>9.11E-2</v>
      </c>
      <c r="H844" s="225">
        <f t="shared" si="13"/>
        <v>96.55</v>
      </c>
    </row>
    <row r="845" spans="1:8" x14ac:dyDescent="0.3">
      <c r="A845" s="400"/>
      <c r="B845" s="709">
        <v>105705</v>
      </c>
      <c r="C845" s="710" t="s">
        <v>1118</v>
      </c>
      <c r="D845" s="709" t="s">
        <v>170</v>
      </c>
      <c r="E845" s="716">
        <v>156.68</v>
      </c>
      <c r="F845" s="717">
        <v>4.3999999999999997E-2</v>
      </c>
      <c r="G845">
        <f>VLOOKUP(B845,'SINAPI-%MO'!B:E,4,0)</f>
        <v>6.8199999999999997E-2</v>
      </c>
      <c r="H845" s="225">
        <f t="shared" si="13"/>
        <v>145.99</v>
      </c>
    </row>
    <row r="846" spans="1:8" x14ac:dyDescent="0.3">
      <c r="A846" s="400"/>
      <c r="B846" s="709">
        <v>105706</v>
      </c>
      <c r="C846" s="710" t="s">
        <v>1119</v>
      </c>
      <c r="D846" s="709" t="s">
        <v>170</v>
      </c>
      <c r="E846" s="716">
        <v>153.09</v>
      </c>
      <c r="F846" s="717">
        <v>3.8300000000000001E-2</v>
      </c>
      <c r="G846">
        <f>VLOOKUP(B846,'SINAPI-%MO'!B:E,4,0)</f>
        <v>6.13E-2</v>
      </c>
      <c r="H846" s="225">
        <f t="shared" si="13"/>
        <v>143.69999999999999</v>
      </c>
    </row>
    <row r="847" spans="1:8" x14ac:dyDescent="0.3">
      <c r="A847" s="400"/>
      <c r="B847" s="709">
        <v>105708</v>
      </c>
      <c r="C847" s="710" t="s">
        <v>1120</v>
      </c>
      <c r="D847" s="709" t="s">
        <v>170</v>
      </c>
      <c r="E847" s="716">
        <v>151.30000000000001</v>
      </c>
      <c r="F847" s="717">
        <v>3.5799999999999998E-2</v>
      </c>
      <c r="G847">
        <f>VLOOKUP(B847,'SINAPI-%MO'!B:E,4,0)</f>
        <v>5.7599999999999998E-2</v>
      </c>
      <c r="H847" s="225">
        <f t="shared" si="13"/>
        <v>142.58000000000001</v>
      </c>
    </row>
    <row r="848" spans="1:8" x14ac:dyDescent="0.3">
      <c r="A848" s="400"/>
      <c r="B848" s="709">
        <v>105690</v>
      </c>
      <c r="C848" s="710" t="s">
        <v>1121</v>
      </c>
      <c r="D848" s="709" t="s">
        <v>170</v>
      </c>
      <c r="E848" s="716">
        <v>188.97</v>
      </c>
      <c r="F848" s="717">
        <v>3.7100000000000001E-2</v>
      </c>
      <c r="G848">
        <f>VLOOKUP(B848,'SINAPI-%MO'!B:E,4,0)</f>
        <v>0.08</v>
      </c>
      <c r="H848" s="225">
        <f t="shared" si="13"/>
        <v>173.85</v>
      </c>
    </row>
    <row r="849" spans="1:8" x14ac:dyDescent="0.3">
      <c r="A849" s="400"/>
      <c r="B849" s="709">
        <v>100569</v>
      </c>
      <c r="C849" s="710" t="s">
        <v>1122</v>
      </c>
      <c r="D849" s="709" t="s">
        <v>170</v>
      </c>
      <c r="E849" s="716">
        <v>181.43</v>
      </c>
      <c r="F849" s="717">
        <v>2.9399999999999999E-2</v>
      </c>
      <c r="G849">
        <f>VLOOKUP(B849,'SINAPI-%MO'!B:E,4,0)</f>
        <v>6.3399999999999998E-2</v>
      </c>
      <c r="H849" s="225">
        <f t="shared" si="13"/>
        <v>169.92</v>
      </c>
    </row>
    <row r="850" spans="1:8" x14ac:dyDescent="0.3">
      <c r="A850" s="400"/>
      <c r="B850" s="709">
        <v>105699</v>
      </c>
      <c r="C850" s="710" t="s">
        <v>1123</v>
      </c>
      <c r="D850" s="709" t="s">
        <v>170</v>
      </c>
      <c r="E850" s="716">
        <v>177.64</v>
      </c>
      <c r="F850" s="717">
        <v>2.5499999999999998E-2</v>
      </c>
      <c r="G850">
        <f>VLOOKUP(B850,'SINAPI-%MO'!B:E,4,0)</f>
        <v>5.45E-2</v>
      </c>
      <c r="H850" s="225">
        <f t="shared" si="13"/>
        <v>167.95</v>
      </c>
    </row>
    <row r="851" spans="1:8" x14ac:dyDescent="0.3">
      <c r="A851" s="400"/>
      <c r="B851" s="709">
        <v>105672</v>
      </c>
      <c r="C851" s="710" t="s">
        <v>1124</v>
      </c>
      <c r="D851" s="709" t="s">
        <v>170</v>
      </c>
      <c r="E851" s="716">
        <v>210.78</v>
      </c>
      <c r="F851" s="717">
        <v>3.27E-2</v>
      </c>
      <c r="G851">
        <f>VLOOKUP(B851,'SINAPI-%MO'!B:E,4,0)</f>
        <v>5.0700000000000002E-2</v>
      </c>
      <c r="H851" s="225">
        <f t="shared" si="13"/>
        <v>200.09</v>
      </c>
    </row>
    <row r="852" spans="1:8" x14ac:dyDescent="0.3">
      <c r="A852" s="400"/>
      <c r="B852" s="709">
        <v>105678</v>
      </c>
      <c r="C852" s="710" t="s">
        <v>1125</v>
      </c>
      <c r="D852" s="709" t="s">
        <v>170</v>
      </c>
      <c r="E852" s="716">
        <v>207.19</v>
      </c>
      <c r="F852" s="717">
        <v>2.8299999999999999E-2</v>
      </c>
      <c r="G852">
        <f>VLOOKUP(B852,'SINAPI-%MO'!B:E,4,0)</f>
        <v>4.5400000000000003E-2</v>
      </c>
      <c r="H852" s="225">
        <f t="shared" si="13"/>
        <v>197.78</v>
      </c>
    </row>
    <row r="853" spans="1:8" x14ac:dyDescent="0.3">
      <c r="A853" s="400"/>
      <c r="B853" s="709">
        <v>105684</v>
      </c>
      <c r="C853" s="710" t="s">
        <v>1126</v>
      </c>
      <c r="D853" s="709" t="s">
        <v>170</v>
      </c>
      <c r="E853" s="716">
        <v>205.4</v>
      </c>
      <c r="F853" s="717">
        <v>2.63E-2</v>
      </c>
      <c r="G853">
        <f>VLOOKUP(B853,'SINAPI-%MO'!B:E,4,0)</f>
        <v>4.2500000000000003E-2</v>
      </c>
      <c r="H853" s="225">
        <f t="shared" si="13"/>
        <v>196.67</v>
      </c>
    </row>
    <row r="854" spans="1:8" x14ac:dyDescent="0.3">
      <c r="A854" s="400"/>
      <c r="B854" s="709">
        <v>105691</v>
      </c>
      <c r="C854" s="710" t="s">
        <v>1127</v>
      </c>
      <c r="D854" s="709" t="s">
        <v>170</v>
      </c>
      <c r="E854" s="716">
        <v>229.02</v>
      </c>
      <c r="F854" s="717">
        <v>3.0700000000000002E-2</v>
      </c>
      <c r="G854">
        <f>VLOOKUP(B854,'SINAPI-%MO'!B:E,4,0)</f>
        <v>6.6000000000000003E-2</v>
      </c>
      <c r="H854" s="225">
        <f t="shared" si="13"/>
        <v>213.9</v>
      </c>
    </row>
    <row r="855" spans="1:8" x14ac:dyDescent="0.3">
      <c r="A855" s="400"/>
      <c r="B855" s="709">
        <v>100570</v>
      </c>
      <c r="C855" s="710" t="s">
        <v>1128</v>
      </c>
      <c r="D855" s="709" t="s">
        <v>170</v>
      </c>
      <c r="E855" s="716">
        <v>221.48</v>
      </c>
      <c r="F855" s="717">
        <v>2.41E-2</v>
      </c>
      <c r="G855">
        <f>VLOOKUP(B855,'SINAPI-%MO'!B:E,4,0)</f>
        <v>5.1900000000000002E-2</v>
      </c>
      <c r="H855" s="225">
        <f t="shared" si="13"/>
        <v>209.98</v>
      </c>
    </row>
    <row r="856" spans="1:8" x14ac:dyDescent="0.3">
      <c r="A856" s="400"/>
      <c r="B856" s="709">
        <v>105700</v>
      </c>
      <c r="C856" s="710" t="s">
        <v>1129</v>
      </c>
      <c r="D856" s="709" t="s">
        <v>170</v>
      </c>
      <c r="E856" s="716">
        <v>217.69</v>
      </c>
      <c r="F856" s="717">
        <v>2.0799999999999999E-2</v>
      </c>
      <c r="G856">
        <f>VLOOKUP(B856,'SINAPI-%MO'!B:E,4,0)</f>
        <v>4.4499999999999998E-2</v>
      </c>
      <c r="H856" s="225">
        <f t="shared" si="13"/>
        <v>208</v>
      </c>
    </row>
    <row r="857" spans="1:8" x14ac:dyDescent="0.3">
      <c r="A857" s="400"/>
      <c r="B857" s="709">
        <v>105673</v>
      </c>
      <c r="C857" s="710" t="s">
        <v>1130</v>
      </c>
      <c r="D857" s="709" t="s">
        <v>170</v>
      </c>
      <c r="E857" s="716">
        <v>248.53</v>
      </c>
      <c r="F857" s="717">
        <v>2.7699999999999999E-2</v>
      </c>
      <c r="G857">
        <f>VLOOKUP(B857,'SINAPI-%MO'!B:E,4,0)</f>
        <v>4.2999999999999997E-2</v>
      </c>
      <c r="H857" s="225">
        <f t="shared" si="13"/>
        <v>237.84</v>
      </c>
    </row>
    <row r="858" spans="1:8" x14ac:dyDescent="0.3">
      <c r="A858" s="400"/>
      <c r="B858" s="709">
        <v>105679</v>
      </c>
      <c r="C858" s="710" t="s">
        <v>1131</v>
      </c>
      <c r="D858" s="709" t="s">
        <v>170</v>
      </c>
      <c r="E858" s="716">
        <v>244.94</v>
      </c>
      <c r="F858" s="717">
        <v>2.4E-2</v>
      </c>
      <c r="G858">
        <f>VLOOKUP(B858,'SINAPI-%MO'!B:E,4,0)</f>
        <v>3.8399999999999997E-2</v>
      </c>
      <c r="H858" s="225">
        <f t="shared" si="13"/>
        <v>235.53</v>
      </c>
    </row>
    <row r="859" spans="1:8" x14ac:dyDescent="0.3">
      <c r="A859" s="400"/>
      <c r="B859" s="709">
        <v>105685</v>
      </c>
      <c r="C859" s="710" t="s">
        <v>1132</v>
      </c>
      <c r="D859" s="709" t="s">
        <v>170</v>
      </c>
      <c r="E859" s="716">
        <v>243.15</v>
      </c>
      <c r="F859" s="717">
        <v>2.2200000000000001E-2</v>
      </c>
      <c r="G859">
        <f>VLOOKUP(B859,'SINAPI-%MO'!B:E,4,0)</f>
        <v>3.5900000000000001E-2</v>
      </c>
      <c r="H859" s="225">
        <f t="shared" si="13"/>
        <v>234.42</v>
      </c>
    </row>
    <row r="860" spans="1:8" x14ac:dyDescent="0.3">
      <c r="A860" s="400"/>
      <c r="B860" s="709">
        <v>105692</v>
      </c>
      <c r="C860" s="710" t="s">
        <v>1133</v>
      </c>
      <c r="D860" s="709" t="s">
        <v>170</v>
      </c>
      <c r="E860" s="716">
        <v>268.52999999999997</v>
      </c>
      <c r="F860" s="717">
        <v>2.6100000000000002E-2</v>
      </c>
      <c r="G860">
        <f>VLOOKUP(B860,'SINAPI-%MO'!B:E,4,0)</f>
        <v>5.6300000000000003E-2</v>
      </c>
      <c r="H860" s="225">
        <f t="shared" si="13"/>
        <v>253.41</v>
      </c>
    </row>
    <row r="861" spans="1:8" x14ac:dyDescent="0.3">
      <c r="A861" s="400"/>
      <c r="B861" s="709">
        <v>100571</v>
      </c>
      <c r="C861" s="710" t="s">
        <v>1134</v>
      </c>
      <c r="D861" s="709" t="s">
        <v>170</v>
      </c>
      <c r="E861" s="716">
        <v>260.99</v>
      </c>
      <c r="F861" s="717">
        <v>2.0500000000000001E-2</v>
      </c>
      <c r="G861">
        <f>VLOOKUP(B861,'SINAPI-%MO'!B:E,4,0)</f>
        <v>4.41E-2</v>
      </c>
      <c r="H861" s="225">
        <f t="shared" si="13"/>
        <v>249.48</v>
      </c>
    </row>
    <row r="862" spans="1:8" x14ac:dyDescent="0.3">
      <c r="A862" s="400"/>
      <c r="B862" s="709">
        <v>105701</v>
      </c>
      <c r="C862" s="710" t="s">
        <v>1135</v>
      </c>
      <c r="D862" s="709" t="s">
        <v>170</v>
      </c>
      <c r="E862" s="716">
        <v>257.2</v>
      </c>
      <c r="F862" s="717">
        <v>1.7600000000000001E-2</v>
      </c>
      <c r="G862">
        <f>VLOOKUP(B862,'SINAPI-%MO'!B:E,4,0)</f>
        <v>3.7600000000000001E-2</v>
      </c>
      <c r="H862" s="225">
        <f t="shared" si="13"/>
        <v>247.52</v>
      </c>
    </row>
    <row r="863" spans="1:8" x14ac:dyDescent="0.3">
      <c r="A863" s="400"/>
      <c r="B863" s="709">
        <v>105674</v>
      </c>
      <c r="C863" s="710" t="s">
        <v>1136</v>
      </c>
      <c r="D863" s="709" t="s">
        <v>170</v>
      </c>
      <c r="E863" s="716">
        <v>286.27999999999997</v>
      </c>
      <c r="F863" s="717">
        <v>2.41E-2</v>
      </c>
      <c r="G863">
        <f>VLOOKUP(B863,'SINAPI-%MO'!B:E,4,0)</f>
        <v>3.73E-2</v>
      </c>
      <c r="H863" s="225">
        <f t="shared" si="13"/>
        <v>275.60000000000002</v>
      </c>
    </row>
    <row r="864" spans="1:8" x14ac:dyDescent="0.3">
      <c r="A864" s="400"/>
      <c r="B864" s="709">
        <v>105680</v>
      </c>
      <c r="C864" s="710" t="s">
        <v>1137</v>
      </c>
      <c r="D864" s="709" t="s">
        <v>170</v>
      </c>
      <c r="E864" s="716">
        <v>282.69</v>
      </c>
      <c r="F864" s="717">
        <v>2.0799999999999999E-2</v>
      </c>
      <c r="G864">
        <f>VLOOKUP(B864,'SINAPI-%MO'!B:E,4,0)</f>
        <v>3.3300000000000003E-2</v>
      </c>
      <c r="H864" s="225">
        <f t="shared" si="13"/>
        <v>273.27</v>
      </c>
    </row>
    <row r="865" spans="1:8" x14ac:dyDescent="0.3">
      <c r="A865" s="400"/>
      <c r="B865" s="709">
        <v>105686</v>
      </c>
      <c r="C865" s="710" t="s">
        <v>1138</v>
      </c>
      <c r="D865" s="709" t="s">
        <v>170</v>
      </c>
      <c r="E865" s="716">
        <v>280.89999999999998</v>
      </c>
      <c r="F865" s="717">
        <v>1.9300000000000001E-2</v>
      </c>
      <c r="G865">
        <f>VLOOKUP(B865,'SINAPI-%MO'!B:E,4,0)</f>
        <v>3.1099999999999999E-2</v>
      </c>
      <c r="H865" s="225">
        <f t="shared" si="13"/>
        <v>272.16000000000003</v>
      </c>
    </row>
    <row r="866" spans="1:8" x14ac:dyDescent="0.3">
      <c r="A866" s="400"/>
      <c r="B866" s="709">
        <v>105718</v>
      </c>
      <c r="C866" s="710" t="s">
        <v>1139</v>
      </c>
      <c r="D866" s="709" t="s">
        <v>170</v>
      </c>
      <c r="E866" s="716">
        <v>103.51</v>
      </c>
      <c r="F866" s="717">
        <v>6.7699999999999996E-2</v>
      </c>
      <c r="G866">
        <f>VLOOKUP(B866,'SINAPI-%MO'!B:E,4,0)</f>
        <v>0.14599999999999999</v>
      </c>
      <c r="H866" s="225">
        <f t="shared" si="13"/>
        <v>88.39</v>
      </c>
    </row>
    <row r="867" spans="1:8" x14ac:dyDescent="0.3">
      <c r="A867" s="400"/>
      <c r="B867" s="709">
        <v>100565</v>
      </c>
      <c r="C867" s="710" t="s">
        <v>1140</v>
      </c>
      <c r="D867" s="709" t="s">
        <v>170</v>
      </c>
      <c r="E867" s="716">
        <v>95.97</v>
      </c>
      <c r="F867" s="717">
        <v>5.5500000000000001E-2</v>
      </c>
      <c r="G867">
        <f>VLOOKUP(B867,'SINAPI-%MO'!B:E,4,0)</f>
        <v>0.1198</v>
      </c>
      <c r="H867" s="225">
        <f t="shared" si="13"/>
        <v>84.47</v>
      </c>
    </row>
    <row r="868" spans="1:8" x14ac:dyDescent="0.3">
      <c r="A868" s="400"/>
      <c r="B868" s="709">
        <v>105581</v>
      </c>
      <c r="C868" s="710" t="s">
        <v>1141</v>
      </c>
      <c r="D868" s="709" t="s">
        <v>170</v>
      </c>
      <c r="E868" s="716">
        <v>92.18</v>
      </c>
      <c r="F868" s="717">
        <v>4.9099999999999998E-2</v>
      </c>
      <c r="G868">
        <f>VLOOKUP(B868,'SINAPI-%MO'!B:E,4,0)</f>
        <v>0.105</v>
      </c>
      <c r="H868" s="225">
        <f t="shared" si="13"/>
        <v>82.5</v>
      </c>
    </row>
    <row r="869" spans="1:8" x14ac:dyDescent="0.3">
      <c r="A869" s="400"/>
      <c r="B869" s="709">
        <v>105713</v>
      </c>
      <c r="C869" s="710" t="s">
        <v>1142</v>
      </c>
      <c r="D869" s="709" t="s">
        <v>170</v>
      </c>
      <c r="E869" s="716">
        <v>135.31</v>
      </c>
      <c r="F869" s="717">
        <v>5.0900000000000001E-2</v>
      </c>
      <c r="G869">
        <f>VLOOKUP(B869,'SINAPI-%MO'!B:E,4,0)</f>
        <v>7.8899999999999998E-2</v>
      </c>
      <c r="H869" s="225">
        <f t="shared" si="13"/>
        <v>124.63</v>
      </c>
    </row>
    <row r="870" spans="1:8" x14ac:dyDescent="0.3">
      <c r="A870" s="400"/>
      <c r="B870" s="709">
        <v>105714</v>
      </c>
      <c r="C870" s="710" t="s">
        <v>1143</v>
      </c>
      <c r="D870" s="709" t="s">
        <v>170</v>
      </c>
      <c r="E870" s="716">
        <v>131.72</v>
      </c>
      <c r="F870" s="717">
        <v>4.4600000000000001E-2</v>
      </c>
      <c r="G870">
        <f>VLOOKUP(B870,'SINAPI-%MO'!B:E,4,0)</f>
        <v>7.1300000000000002E-2</v>
      </c>
      <c r="H870" s="225">
        <f t="shared" si="13"/>
        <v>122.32</v>
      </c>
    </row>
    <row r="871" spans="1:8" x14ac:dyDescent="0.3">
      <c r="A871" s="400"/>
      <c r="B871" s="709">
        <v>105716</v>
      </c>
      <c r="C871" s="710" t="s">
        <v>1144</v>
      </c>
      <c r="D871" s="709" t="s">
        <v>170</v>
      </c>
      <c r="E871" s="716">
        <v>129.93</v>
      </c>
      <c r="F871" s="717">
        <v>4.1599999999999998E-2</v>
      </c>
      <c r="G871">
        <f>VLOOKUP(B871,'SINAPI-%MO'!B:E,4,0)</f>
        <v>6.7100000000000007E-2</v>
      </c>
      <c r="H871" s="225">
        <f t="shared" si="13"/>
        <v>121.21</v>
      </c>
    </row>
    <row r="872" spans="1:8" x14ac:dyDescent="0.3">
      <c r="A872" s="400"/>
      <c r="B872" s="709">
        <v>105624</v>
      </c>
      <c r="C872" s="710" t="s">
        <v>1145</v>
      </c>
      <c r="D872" s="709" t="s">
        <v>170</v>
      </c>
      <c r="E872" s="716">
        <v>150.25</v>
      </c>
      <c r="F872" s="717">
        <v>2.7799999999999998E-2</v>
      </c>
      <c r="G872">
        <f>VLOOKUP(B872,'SINAPI-%MO'!B:E,4,0)</f>
        <v>5.7200000000000001E-2</v>
      </c>
      <c r="H872" s="225">
        <f t="shared" si="13"/>
        <v>141.65</v>
      </c>
    </row>
    <row r="873" spans="1:8" x14ac:dyDescent="0.3">
      <c r="A873" s="400"/>
      <c r="B873" s="709">
        <v>96391</v>
      </c>
      <c r="C873" s="710" t="s">
        <v>1146</v>
      </c>
      <c r="D873" s="709" t="s">
        <v>170</v>
      </c>
      <c r="E873" s="716">
        <v>144.19999999999999</v>
      </c>
      <c r="F873" s="717">
        <v>1.9800000000000002E-2</v>
      </c>
      <c r="G873">
        <f>VLOOKUP(B873,'SINAPI-%MO'!B:E,4,0)</f>
        <v>3.95E-2</v>
      </c>
      <c r="H873" s="225">
        <f t="shared" si="13"/>
        <v>138.5</v>
      </c>
    </row>
    <row r="874" spans="1:8" x14ac:dyDescent="0.3">
      <c r="A874" s="400"/>
      <c r="B874" s="709">
        <v>105632</v>
      </c>
      <c r="C874" s="710" t="s">
        <v>1147</v>
      </c>
      <c r="D874" s="709" t="s">
        <v>170</v>
      </c>
      <c r="E874" s="716">
        <v>143.24</v>
      </c>
      <c r="F874" s="717">
        <v>1.8499999999999999E-2</v>
      </c>
      <c r="G874">
        <f>VLOOKUP(B874,'SINAPI-%MO'!B:E,4,0)</f>
        <v>3.8100000000000002E-2</v>
      </c>
      <c r="H874" s="225">
        <f t="shared" si="13"/>
        <v>137.78</v>
      </c>
    </row>
    <row r="875" spans="1:8" x14ac:dyDescent="0.3">
      <c r="A875" s="400"/>
      <c r="B875" s="709">
        <v>105601</v>
      </c>
      <c r="C875" s="710" t="s">
        <v>1148</v>
      </c>
      <c r="D875" s="709" t="s">
        <v>170</v>
      </c>
      <c r="E875" s="716">
        <v>141.16999999999999</v>
      </c>
      <c r="F875" s="717">
        <v>3.4099999999999998E-2</v>
      </c>
      <c r="G875">
        <f>VLOOKUP(B875,'SINAPI-%MO'!B:E,4,0)</f>
        <v>5.6500000000000002E-2</v>
      </c>
      <c r="H875" s="225">
        <f t="shared" si="13"/>
        <v>133.19</v>
      </c>
    </row>
    <row r="876" spans="1:8" x14ac:dyDescent="0.3">
      <c r="A876" s="400"/>
      <c r="B876" s="709">
        <v>105609</v>
      </c>
      <c r="C876" s="710" t="s">
        <v>1149</v>
      </c>
      <c r="D876" s="709" t="s">
        <v>170</v>
      </c>
      <c r="E876" s="716">
        <v>138.83000000000001</v>
      </c>
      <c r="F876" s="717">
        <v>3.0099999999999998E-2</v>
      </c>
      <c r="G876">
        <f>VLOOKUP(B876,'SINAPI-%MO'!B:E,4,0)</f>
        <v>5.1499999999999997E-2</v>
      </c>
      <c r="H876" s="225">
        <f t="shared" si="13"/>
        <v>131.68</v>
      </c>
    </row>
    <row r="877" spans="1:8" x14ac:dyDescent="0.3">
      <c r="A877" s="400"/>
      <c r="B877" s="709">
        <v>105617</v>
      </c>
      <c r="C877" s="710" t="s">
        <v>1150</v>
      </c>
      <c r="D877" s="709" t="s">
        <v>170</v>
      </c>
      <c r="E877" s="716">
        <v>137.13</v>
      </c>
      <c r="F877" s="717">
        <v>2.7300000000000001E-2</v>
      </c>
      <c r="G877">
        <f>VLOOKUP(B877,'SINAPI-%MO'!B:E,4,0)</f>
        <v>4.8000000000000001E-2</v>
      </c>
      <c r="H877" s="225">
        <f t="shared" si="13"/>
        <v>130.54</v>
      </c>
    </row>
    <row r="878" spans="1:8" x14ac:dyDescent="0.3">
      <c r="A878" s="400"/>
      <c r="B878" s="709">
        <v>105625</v>
      </c>
      <c r="C878" s="710" t="s">
        <v>1151</v>
      </c>
      <c r="D878" s="709" t="s">
        <v>170</v>
      </c>
      <c r="E878" s="716">
        <v>191.16</v>
      </c>
      <c r="F878" s="717">
        <v>2.1899999999999999E-2</v>
      </c>
      <c r="G878">
        <f>VLOOKUP(B878,'SINAPI-%MO'!B:E,4,0)</f>
        <v>4.4999999999999998E-2</v>
      </c>
      <c r="H878" s="225">
        <f t="shared" si="13"/>
        <v>182.55</v>
      </c>
    </row>
    <row r="879" spans="1:8" x14ac:dyDescent="0.3">
      <c r="A879" s="400"/>
      <c r="B879" s="709">
        <v>96392</v>
      </c>
      <c r="C879" s="710" t="s">
        <v>1152</v>
      </c>
      <c r="D879" s="709" t="s">
        <v>170</v>
      </c>
      <c r="E879" s="716">
        <v>185.11</v>
      </c>
      <c r="F879" s="717">
        <v>1.54E-2</v>
      </c>
      <c r="G879">
        <f>VLOOKUP(B879,'SINAPI-%MO'!B:E,4,0)</f>
        <v>3.0800000000000001E-2</v>
      </c>
      <c r="H879" s="225">
        <f t="shared" si="13"/>
        <v>179.4</v>
      </c>
    </row>
    <row r="880" spans="1:8" x14ac:dyDescent="0.3">
      <c r="A880" s="400"/>
      <c r="B880" s="709">
        <v>105633</v>
      </c>
      <c r="C880" s="710" t="s">
        <v>1153</v>
      </c>
      <c r="D880" s="709" t="s">
        <v>170</v>
      </c>
      <c r="E880" s="716">
        <v>184.15</v>
      </c>
      <c r="F880" s="717">
        <v>1.44E-2</v>
      </c>
      <c r="G880">
        <f>VLOOKUP(B880,'SINAPI-%MO'!B:E,4,0)</f>
        <v>2.9600000000000001E-2</v>
      </c>
      <c r="H880" s="225">
        <f t="shared" si="13"/>
        <v>178.69</v>
      </c>
    </row>
    <row r="881" spans="1:8" x14ac:dyDescent="0.3">
      <c r="A881" s="400"/>
      <c r="B881" s="709">
        <v>105602</v>
      </c>
      <c r="C881" s="710" t="s">
        <v>1154</v>
      </c>
      <c r="D881" s="709" t="s">
        <v>170</v>
      </c>
      <c r="E881" s="716">
        <v>181.05</v>
      </c>
      <c r="F881" s="717">
        <v>2.6599999999999999E-2</v>
      </c>
      <c r="G881">
        <f>VLOOKUP(B881,'SINAPI-%MO'!B:E,4,0)</f>
        <v>4.41E-2</v>
      </c>
      <c r="H881" s="225">
        <f t="shared" si="13"/>
        <v>173.06</v>
      </c>
    </row>
    <row r="882" spans="1:8" x14ac:dyDescent="0.3">
      <c r="A882" s="400"/>
      <c r="B882" s="709">
        <v>105610</v>
      </c>
      <c r="C882" s="710" t="s">
        <v>1155</v>
      </c>
      <c r="D882" s="709" t="s">
        <v>170</v>
      </c>
      <c r="E882" s="716">
        <v>178.71</v>
      </c>
      <c r="F882" s="717">
        <v>2.3400000000000001E-2</v>
      </c>
      <c r="G882">
        <f>VLOOKUP(B882,'SINAPI-%MO'!B:E,4,0)</f>
        <v>0.04</v>
      </c>
      <c r="H882" s="225">
        <f t="shared" si="13"/>
        <v>171.56</v>
      </c>
    </row>
    <row r="883" spans="1:8" x14ac:dyDescent="0.3">
      <c r="A883" s="400"/>
      <c r="B883" s="709">
        <v>105618</v>
      </c>
      <c r="C883" s="710" t="s">
        <v>1156</v>
      </c>
      <c r="D883" s="709" t="s">
        <v>170</v>
      </c>
      <c r="E883" s="716">
        <v>177.01</v>
      </c>
      <c r="F883" s="717">
        <v>2.1100000000000001E-2</v>
      </c>
      <c r="G883">
        <f>VLOOKUP(B883,'SINAPI-%MO'!B:E,4,0)</f>
        <v>3.7199999999999997E-2</v>
      </c>
      <c r="H883" s="225">
        <f t="shared" si="13"/>
        <v>170.42</v>
      </c>
    </row>
    <row r="884" spans="1:8" x14ac:dyDescent="0.3">
      <c r="A884" s="400"/>
      <c r="B884" s="709">
        <v>105571</v>
      </c>
      <c r="C884" s="710" t="s">
        <v>1157</v>
      </c>
      <c r="D884" s="709" t="s">
        <v>170</v>
      </c>
      <c r="E884" s="716">
        <v>66.180000000000007</v>
      </c>
      <c r="F884" s="717">
        <v>6.3200000000000006E-2</v>
      </c>
      <c r="G884">
        <f>VLOOKUP(B884,'SINAPI-%MO'!B:E,4,0)</f>
        <v>0.12989999999999999</v>
      </c>
      <c r="H884" s="225">
        <f t="shared" si="13"/>
        <v>57.58</v>
      </c>
    </row>
    <row r="885" spans="1:8" x14ac:dyDescent="0.3">
      <c r="A885" s="400"/>
      <c r="B885" s="709">
        <v>96389</v>
      </c>
      <c r="C885" s="710" t="s">
        <v>1158</v>
      </c>
      <c r="D885" s="709" t="s">
        <v>170</v>
      </c>
      <c r="E885" s="716">
        <v>60.13</v>
      </c>
      <c r="F885" s="717">
        <v>4.7399999999999998E-2</v>
      </c>
      <c r="G885">
        <f>VLOOKUP(B885,'SINAPI-%MO'!B:E,4,0)</f>
        <v>9.4799999999999995E-2</v>
      </c>
      <c r="H885" s="225">
        <f t="shared" si="13"/>
        <v>54.42</v>
      </c>
    </row>
    <row r="886" spans="1:8" x14ac:dyDescent="0.3">
      <c r="A886" s="400"/>
      <c r="B886" s="709">
        <v>105575</v>
      </c>
      <c r="C886" s="710" t="s">
        <v>1159</v>
      </c>
      <c r="D886" s="709" t="s">
        <v>170</v>
      </c>
      <c r="E886" s="716">
        <v>59.17</v>
      </c>
      <c r="F886" s="717">
        <v>4.48E-2</v>
      </c>
      <c r="G886">
        <f>VLOOKUP(B886,'SINAPI-%MO'!B:E,4,0)</f>
        <v>9.2299999999999993E-2</v>
      </c>
      <c r="H886" s="225">
        <f t="shared" si="13"/>
        <v>53.7</v>
      </c>
    </row>
    <row r="887" spans="1:8" x14ac:dyDescent="0.3">
      <c r="A887" s="400"/>
      <c r="B887" s="709">
        <v>105599</v>
      </c>
      <c r="C887" s="710" t="s">
        <v>1160</v>
      </c>
      <c r="D887" s="709" t="s">
        <v>170</v>
      </c>
      <c r="E887" s="716">
        <v>61.42</v>
      </c>
      <c r="F887" s="717">
        <v>7.8299999999999995E-2</v>
      </c>
      <c r="G887">
        <f>VLOOKUP(B887,'SINAPI-%MO'!B:E,4,0)</f>
        <v>0.12989999999999999</v>
      </c>
      <c r="H887" s="225">
        <f t="shared" si="13"/>
        <v>53.44</v>
      </c>
    </row>
    <row r="888" spans="1:8" x14ac:dyDescent="0.3">
      <c r="A888" s="400"/>
      <c r="B888" s="709">
        <v>105607</v>
      </c>
      <c r="C888" s="710" t="s">
        <v>1161</v>
      </c>
      <c r="D888" s="709" t="s">
        <v>170</v>
      </c>
      <c r="E888" s="716">
        <v>59.08</v>
      </c>
      <c r="F888" s="717">
        <v>7.0800000000000002E-2</v>
      </c>
      <c r="G888">
        <f>VLOOKUP(B888,'SINAPI-%MO'!B:E,4,0)</f>
        <v>0.121</v>
      </c>
      <c r="H888" s="225">
        <f t="shared" si="13"/>
        <v>51.93</v>
      </c>
    </row>
    <row r="889" spans="1:8" x14ac:dyDescent="0.3">
      <c r="A889" s="400"/>
      <c r="B889" s="709">
        <v>105615</v>
      </c>
      <c r="C889" s="710" t="s">
        <v>1162</v>
      </c>
      <c r="D889" s="709" t="s">
        <v>170</v>
      </c>
      <c r="E889" s="716">
        <v>57.38</v>
      </c>
      <c r="F889" s="717">
        <v>6.5199999999999994E-2</v>
      </c>
      <c r="G889">
        <f>VLOOKUP(B889,'SINAPI-%MO'!B:E,4,0)</f>
        <v>0.1147</v>
      </c>
      <c r="H889" s="225">
        <f t="shared" si="13"/>
        <v>50.79</v>
      </c>
    </row>
    <row r="890" spans="1:8" x14ac:dyDescent="0.3">
      <c r="A890" s="400"/>
      <c r="B890" s="709">
        <v>105623</v>
      </c>
      <c r="C890" s="710" t="s">
        <v>1163</v>
      </c>
      <c r="D890" s="709" t="s">
        <v>170</v>
      </c>
      <c r="E890" s="716">
        <v>108.79</v>
      </c>
      <c r="F890" s="717">
        <v>3.8399999999999997E-2</v>
      </c>
      <c r="G890">
        <f>VLOOKUP(B890,'SINAPI-%MO'!B:E,4,0)</f>
        <v>7.9100000000000004E-2</v>
      </c>
      <c r="H890" s="225">
        <f t="shared" si="13"/>
        <v>100.18</v>
      </c>
    </row>
    <row r="891" spans="1:8" x14ac:dyDescent="0.3">
      <c r="A891" s="400"/>
      <c r="B891" s="709">
        <v>96390</v>
      </c>
      <c r="C891" s="710" t="s">
        <v>1164</v>
      </c>
      <c r="D891" s="709" t="s">
        <v>170</v>
      </c>
      <c r="E891" s="716">
        <v>102.74</v>
      </c>
      <c r="F891" s="717">
        <v>2.7699999999999999E-2</v>
      </c>
      <c r="G891">
        <f>VLOOKUP(B891,'SINAPI-%MO'!B:E,4,0)</f>
        <v>5.5500000000000001E-2</v>
      </c>
      <c r="H891" s="225">
        <f t="shared" si="13"/>
        <v>97.03</v>
      </c>
    </row>
    <row r="892" spans="1:8" x14ac:dyDescent="0.3">
      <c r="A892" s="400"/>
      <c r="B892" s="709">
        <v>105631</v>
      </c>
      <c r="C892" s="710" t="s">
        <v>1165</v>
      </c>
      <c r="D892" s="709" t="s">
        <v>170</v>
      </c>
      <c r="E892" s="716">
        <v>101.78</v>
      </c>
      <c r="F892" s="717">
        <v>2.5999999999999999E-2</v>
      </c>
      <c r="G892">
        <f>VLOOKUP(B892,'SINAPI-%MO'!B:E,4,0)</f>
        <v>5.3600000000000002E-2</v>
      </c>
      <c r="H892" s="225">
        <f t="shared" si="13"/>
        <v>96.32</v>
      </c>
    </row>
    <row r="893" spans="1:8" x14ac:dyDescent="0.3">
      <c r="A893" s="400"/>
      <c r="B893" s="709">
        <v>105600</v>
      </c>
      <c r="C893" s="710" t="s">
        <v>1166</v>
      </c>
      <c r="D893" s="709" t="s">
        <v>170</v>
      </c>
      <c r="E893" s="716">
        <v>101.29</v>
      </c>
      <c r="F893" s="717">
        <v>4.7500000000000001E-2</v>
      </c>
      <c r="G893">
        <f>VLOOKUP(B893,'SINAPI-%MO'!B:E,4,0)</f>
        <v>7.8799999999999995E-2</v>
      </c>
      <c r="H893" s="225">
        <f t="shared" si="13"/>
        <v>93.3</v>
      </c>
    </row>
    <row r="894" spans="1:8" x14ac:dyDescent="0.3">
      <c r="A894" s="400"/>
      <c r="B894" s="709">
        <v>105608</v>
      </c>
      <c r="C894" s="710" t="s">
        <v>1167</v>
      </c>
      <c r="D894" s="709" t="s">
        <v>170</v>
      </c>
      <c r="E894" s="716">
        <v>98.95</v>
      </c>
      <c r="F894" s="717">
        <v>4.2200000000000001E-2</v>
      </c>
      <c r="G894">
        <f>VLOOKUP(B894,'SINAPI-%MO'!B:E,4,0)</f>
        <v>7.2300000000000003E-2</v>
      </c>
      <c r="H894" s="225">
        <f t="shared" si="13"/>
        <v>91.79</v>
      </c>
    </row>
    <row r="895" spans="1:8" x14ac:dyDescent="0.3">
      <c r="A895" s="400"/>
      <c r="B895" s="709">
        <v>105616</v>
      </c>
      <c r="C895" s="710" t="s">
        <v>1168</v>
      </c>
      <c r="D895" s="709" t="s">
        <v>170</v>
      </c>
      <c r="E895" s="716">
        <v>97.25</v>
      </c>
      <c r="F895" s="717">
        <v>3.85E-2</v>
      </c>
      <c r="G895">
        <f>VLOOKUP(B895,'SINAPI-%MO'!B:E,4,0)</f>
        <v>6.7699999999999996E-2</v>
      </c>
      <c r="H895" s="225">
        <f t="shared" si="13"/>
        <v>90.66</v>
      </c>
    </row>
    <row r="896" spans="1:8" x14ac:dyDescent="0.3">
      <c r="A896" s="400"/>
      <c r="B896" s="709">
        <v>105585</v>
      </c>
      <c r="C896" s="710" t="s">
        <v>1169</v>
      </c>
      <c r="D896" s="709" t="s">
        <v>170</v>
      </c>
      <c r="E896" s="716">
        <v>126</v>
      </c>
      <c r="F896" s="717">
        <v>7.0999999999999994E-2</v>
      </c>
      <c r="G896">
        <f>VLOOKUP(B896,'SINAPI-%MO'!B:E,4,0)</f>
        <v>0.1542</v>
      </c>
      <c r="H896" s="225">
        <f t="shared" si="13"/>
        <v>106.57</v>
      </c>
    </row>
    <row r="897" spans="1:8" x14ac:dyDescent="0.3">
      <c r="A897" s="400"/>
      <c r="B897" s="709">
        <v>100572</v>
      </c>
      <c r="C897" s="710" t="s">
        <v>1170</v>
      </c>
      <c r="D897" s="709" t="s">
        <v>170</v>
      </c>
      <c r="E897" s="716">
        <v>115.64</v>
      </c>
      <c r="F897" s="717">
        <v>5.7299999999999997E-2</v>
      </c>
      <c r="G897">
        <f>VLOOKUP(B897,'SINAPI-%MO'!B:E,4,0)</f>
        <v>0.1244</v>
      </c>
      <c r="H897" s="225">
        <f t="shared" si="13"/>
        <v>101.25</v>
      </c>
    </row>
    <row r="898" spans="1:8" x14ac:dyDescent="0.3">
      <c r="A898" s="400"/>
      <c r="B898" s="709">
        <v>105588</v>
      </c>
      <c r="C898" s="710" t="s">
        <v>1171</v>
      </c>
      <c r="D898" s="709" t="s">
        <v>170</v>
      </c>
      <c r="E898" s="716">
        <v>114.63</v>
      </c>
      <c r="F898" s="717">
        <v>5.62E-2</v>
      </c>
      <c r="G898">
        <f>VLOOKUP(B898,'SINAPI-%MO'!B:E,4,0)</f>
        <v>0.1221</v>
      </c>
      <c r="H898" s="225">
        <f t="shared" si="13"/>
        <v>100.63</v>
      </c>
    </row>
    <row r="899" spans="1:8" x14ac:dyDescent="0.3">
      <c r="A899" s="400"/>
      <c r="B899" s="709">
        <v>105583</v>
      </c>
      <c r="C899" s="710" t="s">
        <v>1172</v>
      </c>
      <c r="D899" s="709" t="s">
        <v>170</v>
      </c>
      <c r="E899" s="716">
        <v>162.97</v>
      </c>
      <c r="F899" s="717">
        <v>5.3900000000000003E-2</v>
      </c>
      <c r="G899">
        <f>VLOOKUP(B899,'SINAPI-%MO'!B:E,4,0)</f>
        <v>8.1100000000000005E-2</v>
      </c>
      <c r="H899" s="225">
        <f t="shared" si="13"/>
        <v>149.75</v>
      </c>
    </row>
    <row r="900" spans="1:8" x14ac:dyDescent="0.3">
      <c r="A900" s="400"/>
      <c r="B900" s="709">
        <v>105719</v>
      </c>
      <c r="C900" s="710" t="s">
        <v>1173</v>
      </c>
      <c r="D900" s="709" t="s">
        <v>170</v>
      </c>
      <c r="E900" s="716">
        <v>157.29</v>
      </c>
      <c r="F900" s="717">
        <v>4.5499999999999999E-2</v>
      </c>
      <c r="G900">
        <f>VLOOKUP(B900,'SINAPI-%MO'!B:E,4,0)</f>
        <v>7.0499999999999993E-2</v>
      </c>
      <c r="H900" s="225">
        <f t="shared" si="13"/>
        <v>146.19999999999999</v>
      </c>
    </row>
    <row r="901" spans="1:8" x14ac:dyDescent="0.3">
      <c r="A901" s="400"/>
      <c r="B901" s="709">
        <v>105721</v>
      </c>
      <c r="C901" s="710" t="s">
        <v>1174</v>
      </c>
      <c r="D901" s="709" t="s">
        <v>170</v>
      </c>
      <c r="E901" s="716">
        <v>157.56</v>
      </c>
      <c r="F901" s="717">
        <v>4.6300000000000001E-2</v>
      </c>
      <c r="G901">
        <f>VLOOKUP(B901,'SINAPI-%MO'!B:E,4,0)</f>
        <v>7.17E-2</v>
      </c>
      <c r="H901" s="225">
        <f t="shared" si="13"/>
        <v>146.26</v>
      </c>
    </row>
    <row r="902" spans="1:8" x14ac:dyDescent="0.3">
      <c r="A902" s="400"/>
      <c r="B902" s="709">
        <v>105592</v>
      </c>
      <c r="C902" s="710" t="s">
        <v>1175</v>
      </c>
      <c r="D902" s="709" t="s">
        <v>170</v>
      </c>
      <c r="E902" s="716">
        <v>111.95</v>
      </c>
      <c r="F902" s="717">
        <v>7.9899999999999999E-2</v>
      </c>
      <c r="G902">
        <f>VLOOKUP(B902,'SINAPI-%MO'!B:E,4,0)</f>
        <v>0.1736</v>
      </c>
      <c r="H902" s="225">
        <f t="shared" si="13"/>
        <v>92.51</v>
      </c>
    </row>
    <row r="903" spans="1:8" x14ac:dyDescent="0.3">
      <c r="A903" s="400"/>
      <c r="B903" s="709">
        <v>100573</v>
      </c>
      <c r="C903" s="710" t="s">
        <v>1176</v>
      </c>
      <c r="D903" s="709" t="s">
        <v>170</v>
      </c>
      <c r="E903" s="716">
        <v>101.59</v>
      </c>
      <c r="F903" s="717">
        <v>6.5299999999999997E-2</v>
      </c>
      <c r="G903">
        <f>VLOOKUP(B903,'SINAPI-%MO'!B:E,4,0)</f>
        <v>0.14149999999999999</v>
      </c>
      <c r="H903" s="225">
        <f t="shared" si="13"/>
        <v>87.21</v>
      </c>
    </row>
    <row r="904" spans="1:8" x14ac:dyDescent="0.3">
      <c r="A904" s="400"/>
      <c r="B904" s="709">
        <v>105595</v>
      </c>
      <c r="C904" s="710" t="s">
        <v>1177</v>
      </c>
      <c r="D904" s="709" t="s">
        <v>170</v>
      </c>
      <c r="E904" s="716">
        <v>100.58</v>
      </c>
      <c r="F904" s="717">
        <v>6.4000000000000001E-2</v>
      </c>
      <c r="G904">
        <f>VLOOKUP(B904,'SINAPI-%MO'!B:E,4,0)</f>
        <v>0.13919999999999999</v>
      </c>
      <c r="H904" s="225">
        <f t="shared" si="13"/>
        <v>86.57</v>
      </c>
    </row>
    <row r="905" spans="1:8" x14ac:dyDescent="0.3">
      <c r="A905" s="400"/>
      <c r="B905" s="709">
        <v>105590</v>
      </c>
      <c r="C905" s="710" t="s">
        <v>1178</v>
      </c>
      <c r="D905" s="709" t="s">
        <v>170</v>
      </c>
      <c r="E905" s="716">
        <v>141.6</v>
      </c>
      <c r="F905" s="717">
        <v>6.2100000000000002E-2</v>
      </c>
      <c r="G905">
        <f>VLOOKUP(B905,'SINAPI-%MO'!B:E,4,0)</f>
        <v>9.3399999999999997E-2</v>
      </c>
      <c r="H905" s="225">
        <f t="shared" si="13"/>
        <v>128.37</v>
      </c>
    </row>
    <row r="906" spans="1:8" x14ac:dyDescent="0.3">
      <c r="A906" s="400"/>
      <c r="B906" s="709">
        <v>105723</v>
      </c>
      <c r="C906" s="710" t="s">
        <v>1179</v>
      </c>
      <c r="D906" s="709" t="s">
        <v>170</v>
      </c>
      <c r="E906" s="716">
        <v>135.91999999999999</v>
      </c>
      <c r="F906" s="717">
        <v>5.2699999999999997E-2</v>
      </c>
      <c r="G906">
        <f>VLOOKUP(B906,'SINAPI-%MO'!B:E,4,0)</f>
        <v>8.1600000000000006E-2</v>
      </c>
      <c r="H906" s="225">
        <f t="shared" si="13"/>
        <v>124.82</v>
      </c>
    </row>
    <row r="907" spans="1:8" x14ac:dyDescent="0.3">
      <c r="A907" s="400"/>
      <c r="B907" s="709">
        <v>105725</v>
      </c>
      <c r="C907" s="710" t="s">
        <v>1180</v>
      </c>
      <c r="D907" s="709" t="s">
        <v>170</v>
      </c>
      <c r="E907" s="716">
        <v>136.19</v>
      </c>
      <c r="F907" s="717">
        <v>5.3600000000000002E-2</v>
      </c>
      <c r="G907">
        <f>VLOOKUP(B907,'SINAPI-%MO'!B:E,4,0)</f>
        <v>8.3000000000000004E-2</v>
      </c>
      <c r="H907" s="225">
        <f t="shared" ref="H907:H970" si="14">IF(E907&gt;0,TRUNC(E907*(1-G907),2),"")</f>
        <v>124.88</v>
      </c>
    </row>
    <row r="908" spans="1:8" x14ac:dyDescent="0.3">
      <c r="A908" s="400"/>
      <c r="B908" s="709">
        <v>105566</v>
      </c>
      <c r="C908" s="710" t="s">
        <v>1181</v>
      </c>
      <c r="D908" s="709" t="s">
        <v>170</v>
      </c>
      <c r="E908" s="716">
        <v>11.83</v>
      </c>
      <c r="F908" s="717">
        <v>0.25019999999999998</v>
      </c>
      <c r="G908">
        <f>VLOOKUP(B908,'SINAPI-%MO'!B:E,4,0)</f>
        <v>0.3085</v>
      </c>
      <c r="H908" s="225">
        <f t="shared" si="14"/>
        <v>8.18</v>
      </c>
    </row>
    <row r="909" spans="1:8" x14ac:dyDescent="0.3">
      <c r="A909" s="400"/>
      <c r="B909" s="709">
        <v>96388</v>
      </c>
      <c r="C909" s="710" t="s">
        <v>1182</v>
      </c>
      <c r="D909" s="709" t="s">
        <v>170</v>
      </c>
      <c r="E909" s="716">
        <v>9.49</v>
      </c>
      <c r="F909" s="717">
        <v>0.2455</v>
      </c>
      <c r="G909">
        <f>VLOOKUP(B909,'SINAPI-%MO'!B:E,4,0)</f>
        <v>0.29720000000000002</v>
      </c>
      <c r="H909" s="225">
        <f t="shared" si="14"/>
        <v>6.66</v>
      </c>
    </row>
    <row r="910" spans="1:8" x14ac:dyDescent="0.3">
      <c r="A910" s="400"/>
      <c r="B910" s="709">
        <v>105569</v>
      </c>
      <c r="C910" s="710" t="s">
        <v>284</v>
      </c>
      <c r="D910" s="709" t="s">
        <v>170</v>
      </c>
      <c r="E910" s="716">
        <v>7.88</v>
      </c>
      <c r="F910" s="717">
        <v>0.2437</v>
      </c>
      <c r="G910">
        <f>VLOOKUP(B910,'SINAPI-%MO'!B:E,4,0)</f>
        <v>0.29189999999999999</v>
      </c>
      <c r="H910" s="225">
        <f t="shared" si="14"/>
        <v>5.57</v>
      </c>
    </row>
    <row r="911" spans="1:8" x14ac:dyDescent="0.3">
      <c r="A911" s="400"/>
      <c r="B911" s="709">
        <v>101767</v>
      </c>
      <c r="C911" s="710" t="s">
        <v>1183</v>
      </c>
      <c r="D911" s="709" t="s">
        <v>170</v>
      </c>
      <c r="E911" s="716">
        <v>31.69</v>
      </c>
      <c r="F911" s="717">
        <v>0.20949999999999999</v>
      </c>
      <c r="G911">
        <f>VLOOKUP(B911,'SINAPI-%MO'!B:E,4,0)</f>
        <v>0.45379999999999998</v>
      </c>
      <c r="H911" s="225">
        <f t="shared" si="14"/>
        <v>17.3</v>
      </c>
    </row>
    <row r="912" spans="1:8" x14ac:dyDescent="0.3">
      <c r="A912" s="400"/>
      <c r="B912" s="709">
        <v>101768</v>
      </c>
      <c r="C912" s="710" t="s">
        <v>1184</v>
      </c>
      <c r="D912" s="709" t="s">
        <v>170</v>
      </c>
      <c r="E912" s="716">
        <v>27.14</v>
      </c>
      <c r="F912" s="717">
        <v>0.24390000000000001</v>
      </c>
      <c r="G912">
        <f>VLOOKUP(B912,'SINAPI-%MO'!B:E,4,0)</f>
        <v>0.3795</v>
      </c>
      <c r="H912" s="225">
        <f t="shared" si="14"/>
        <v>16.84</v>
      </c>
    </row>
    <row r="913" spans="1:8" x14ac:dyDescent="0.3">
      <c r="A913" s="400"/>
      <c r="B913" s="709">
        <v>100574</v>
      </c>
      <c r="C913" s="710" t="s">
        <v>1185</v>
      </c>
      <c r="D913" s="709" t="s">
        <v>170</v>
      </c>
      <c r="E913" s="716">
        <v>1.48</v>
      </c>
      <c r="F913" s="717">
        <v>0</v>
      </c>
      <c r="G913">
        <f>VLOOKUP(B913,'SINAPI-%MO'!B:E,4,0)</f>
        <v>0.35139999999999999</v>
      </c>
      <c r="H913" s="225">
        <f t="shared" si="14"/>
        <v>0.95</v>
      </c>
    </row>
    <row r="914" spans="1:8" x14ac:dyDescent="0.3">
      <c r="A914" s="400"/>
      <c r="B914" s="709">
        <v>102470</v>
      </c>
      <c r="C914" s="710" t="s">
        <v>1186</v>
      </c>
      <c r="D914" s="709" t="s">
        <v>168</v>
      </c>
      <c r="E914" s="716">
        <v>0</v>
      </c>
      <c r="F914" s="717"/>
      <c r="G914" t="e">
        <f>VLOOKUP(B914,'SINAPI-%MO'!B:E,4,0)</f>
        <v>#N/A</v>
      </c>
      <c r="H914" s="225" t="str">
        <f t="shared" si="14"/>
        <v/>
      </c>
    </row>
    <row r="915" spans="1:8" x14ac:dyDescent="0.3">
      <c r="A915" s="400"/>
      <c r="B915" s="709">
        <v>105756</v>
      </c>
      <c r="C915" s="710" t="s">
        <v>1187</v>
      </c>
      <c r="D915" s="709" t="s">
        <v>168</v>
      </c>
      <c r="E915" s="716">
        <v>0</v>
      </c>
      <c r="F915" s="717"/>
      <c r="G915" t="e">
        <f>VLOOKUP(B915,'SINAPI-%MO'!B:E,4,0)</f>
        <v>#N/A</v>
      </c>
      <c r="H915" s="225" t="str">
        <f t="shared" si="14"/>
        <v/>
      </c>
    </row>
    <row r="916" spans="1:8" x14ac:dyDescent="0.3">
      <c r="A916" s="400"/>
      <c r="B916" s="709">
        <v>104375</v>
      </c>
      <c r="C916" s="710" t="s">
        <v>1188</v>
      </c>
      <c r="D916" s="709" t="s">
        <v>168</v>
      </c>
      <c r="E916" s="716">
        <v>0</v>
      </c>
      <c r="F916" s="717"/>
      <c r="G916" t="e">
        <f>VLOOKUP(B916,'SINAPI-%MO'!B:E,4,0)</f>
        <v>#N/A</v>
      </c>
      <c r="H916" s="225" t="str">
        <f t="shared" si="14"/>
        <v/>
      </c>
    </row>
    <row r="917" spans="1:8" x14ac:dyDescent="0.3">
      <c r="A917" s="400"/>
      <c r="B917" s="709">
        <v>105757</v>
      </c>
      <c r="C917" s="710" t="s">
        <v>1189</v>
      </c>
      <c r="D917" s="709" t="s">
        <v>168</v>
      </c>
      <c r="E917" s="716">
        <v>0</v>
      </c>
      <c r="F917" s="717"/>
      <c r="G917" t="e">
        <f>VLOOKUP(B917,'SINAPI-%MO'!B:E,4,0)</f>
        <v>#N/A</v>
      </c>
      <c r="H917" s="225" t="str">
        <f t="shared" si="14"/>
        <v/>
      </c>
    </row>
    <row r="918" spans="1:8" x14ac:dyDescent="0.3">
      <c r="A918" s="400"/>
      <c r="B918" s="709">
        <v>105562</v>
      </c>
      <c r="C918" s="710" t="s">
        <v>1190</v>
      </c>
      <c r="D918" s="709" t="s">
        <v>170</v>
      </c>
      <c r="E918" s="716">
        <v>8.74</v>
      </c>
      <c r="F918" s="717">
        <v>0.19339999999999999</v>
      </c>
      <c r="G918">
        <f>VLOOKUP(B918,'SINAPI-%MO'!B:E,4,0)</f>
        <v>0.29520000000000002</v>
      </c>
      <c r="H918" s="225">
        <f t="shared" si="14"/>
        <v>6.15</v>
      </c>
    </row>
    <row r="919" spans="1:8" x14ac:dyDescent="0.3">
      <c r="A919" s="400"/>
      <c r="B919" s="709">
        <v>105563</v>
      </c>
      <c r="C919" s="710" t="s">
        <v>1191</v>
      </c>
      <c r="D919" s="709" t="s">
        <v>170</v>
      </c>
      <c r="E919" s="716">
        <v>7.07</v>
      </c>
      <c r="F919" s="717">
        <v>0.1867</v>
      </c>
      <c r="G919">
        <f>VLOOKUP(B919,'SINAPI-%MO'!B:E,4,0)</f>
        <v>0.28570000000000001</v>
      </c>
      <c r="H919" s="225">
        <f t="shared" si="14"/>
        <v>5.05</v>
      </c>
    </row>
    <row r="920" spans="1:8" x14ac:dyDescent="0.3">
      <c r="A920" s="400"/>
      <c r="B920" s="709">
        <v>105565</v>
      </c>
      <c r="C920" s="710" t="s">
        <v>1192</v>
      </c>
      <c r="D920" s="709" t="s">
        <v>170</v>
      </c>
      <c r="E920" s="716">
        <v>6.57</v>
      </c>
      <c r="F920" s="717">
        <v>0.1903</v>
      </c>
      <c r="G920">
        <f>VLOOKUP(B920,'SINAPI-%MO'!B:E,4,0)</f>
        <v>0.28920000000000001</v>
      </c>
      <c r="H920" s="225">
        <f t="shared" si="14"/>
        <v>4.66</v>
      </c>
    </row>
    <row r="921" spans="1:8" x14ac:dyDescent="0.3">
      <c r="A921" s="400"/>
      <c r="B921" s="709">
        <v>105557</v>
      </c>
      <c r="C921" s="710" t="s">
        <v>1193</v>
      </c>
      <c r="D921" s="709" t="s">
        <v>170</v>
      </c>
      <c r="E921" s="716">
        <v>16.760000000000002</v>
      </c>
      <c r="F921" s="717">
        <v>0.16350000000000001</v>
      </c>
      <c r="G921">
        <f>VLOOKUP(B921,'SINAPI-%MO'!B:E,4,0)</f>
        <v>0.36870000000000003</v>
      </c>
      <c r="H921" s="225">
        <f t="shared" si="14"/>
        <v>10.58</v>
      </c>
    </row>
    <row r="922" spans="1:8" x14ac:dyDescent="0.3">
      <c r="A922" s="400"/>
      <c r="B922" s="709">
        <v>105558</v>
      </c>
      <c r="C922" s="710" t="s">
        <v>1194</v>
      </c>
      <c r="D922" s="709" t="s">
        <v>170</v>
      </c>
      <c r="E922" s="716">
        <v>14.45</v>
      </c>
      <c r="F922" s="717">
        <v>0.16259999999999999</v>
      </c>
      <c r="G922">
        <f>VLOOKUP(B922,'SINAPI-%MO'!B:E,4,0)</f>
        <v>0.36609999999999998</v>
      </c>
      <c r="H922" s="225">
        <f t="shared" si="14"/>
        <v>9.15</v>
      </c>
    </row>
    <row r="923" spans="1:8" x14ac:dyDescent="0.3">
      <c r="A923" s="400"/>
      <c r="B923" s="709">
        <v>105560</v>
      </c>
      <c r="C923" s="710" t="s">
        <v>1195</v>
      </c>
      <c r="D923" s="709" t="s">
        <v>170</v>
      </c>
      <c r="E923" s="716">
        <v>13.19</v>
      </c>
      <c r="F923" s="717">
        <v>0.1638</v>
      </c>
      <c r="G923">
        <f>VLOOKUP(B923,'SINAPI-%MO'!B:E,4,0)</f>
        <v>0.3669</v>
      </c>
      <c r="H923" s="225">
        <f t="shared" si="14"/>
        <v>8.35</v>
      </c>
    </row>
    <row r="924" spans="1:8" x14ac:dyDescent="0.3">
      <c r="A924" s="400"/>
      <c r="B924" s="709">
        <v>96386</v>
      </c>
      <c r="C924" s="710" t="s">
        <v>285</v>
      </c>
      <c r="D924" s="709" t="s">
        <v>170</v>
      </c>
      <c r="E924" s="716">
        <v>7.02</v>
      </c>
      <c r="F924" s="717">
        <v>0.18379999999999999</v>
      </c>
      <c r="G924">
        <f>VLOOKUP(B924,'SINAPI-%MO'!B:E,4,0)</f>
        <v>0.2863</v>
      </c>
      <c r="H924" s="225">
        <f t="shared" si="14"/>
        <v>5.01</v>
      </c>
    </row>
    <row r="925" spans="1:8" x14ac:dyDescent="0.3">
      <c r="A925" s="400"/>
      <c r="B925" s="709">
        <v>105564</v>
      </c>
      <c r="C925" s="710" t="s">
        <v>1196</v>
      </c>
      <c r="D925" s="709" t="s">
        <v>170</v>
      </c>
      <c r="E925" s="716">
        <v>6.52</v>
      </c>
      <c r="F925" s="717">
        <v>0.18870000000000001</v>
      </c>
      <c r="G925">
        <f>VLOOKUP(B925,'SINAPI-%MO'!B:E,4,0)</f>
        <v>0.29139999999999999</v>
      </c>
      <c r="H925" s="225">
        <f t="shared" si="14"/>
        <v>4.62</v>
      </c>
    </row>
    <row r="926" spans="1:8" x14ac:dyDescent="0.3">
      <c r="A926" s="400"/>
      <c r="B926" s="709">
        <v>105561</v>
      </c>
      <c r="C926" s="710" t="s">
        <v>1197</v>
      </c>
      <c r="D926" s="709" t="s">
        <v>170</v>
      </c>
      <c r="E926" s="716">
        <v>8.57</v>
      </c>
      <c r="F926" s="717">
        <v>0.18790000000000001</v>
      </c>
      <c r="G926">
        <f>VLOOKUP(B926,'SINAPI-%MO'!B:E,4,0)</f>
        <v>0.30109999999999998</v>
      </c>
      <c r="H926" s="225">
        <f t="shared" si="14"/>
        <v>5.98</v>
      </c>
    </row>
    <row r="927" spans="1:8" x14ac:dyDescent="0.3">
      <c r="A927" s="400"/>
      <c r="B927" s="709">
        <v>96385</v>
      </c>
      <c r="C927" s="710" t="s">
        <v>1198</v>
      </c>
      <c r="D927" s="709" t="s">
        <v>170</v>
      </c>
      <c r="E927" s="716">
        <v>13.06</v>
      </c>
      <c r="F927" s="717">
        <v>0.16</v>
      </c>
      <c r="G927">
        <f>VLOOKUP(B927,'SINAPI-%MO'!B:E,4,0)</f>
        <v>0.3599</v>
      </c>
      <c r="H927" s="225">
        <f t="shared" si="14"/>
        <v>8.35</v>
      </c>
    </row>
    <row r="928" spans="1:8" x14ac:dyDescent="0.3">
      <c r="A928" s="400"/>
      <c r="B928" s="709">
        <v>105556</v>
      </c>
      <c r="C928" s="710" t="s">
        <v>1199</v>
      </c>
      <c r="D928" s="709" t="s">
        <v>170</v>
      </c>
      <c r="E928" s="716">
        <v>14.66</v>
      </c>
      <c r="F928" s="717">
        <v>0.1603</v>
      </c>
      <c r="G928">
        <f>VLOOKUP(B928,'SINAPI-%MO'!B:E,4,0)</f>
        <v>0.36080000000000001</v>
      </c>
      <c r="H928" s="225">
        <f t="shared" si="14"/>
        <v>9.3699999999999992</v>
      </c>
    </row>
    <row r="929" spans="1:8" x14ac:dyDescent="0.3">
      <c r="A929" s="400"/>
      <c r="B929" s="709">
        <v>105559</v>
      </c>
      <c r="C929" s="710" t="s">
        <v>1200</v>
      </c>
      <c r="D929" s="709" t="s">
        <v>170</v>
      </c>
      <c r="E929" s="716">
        <v>11.09</v>
      </c>
      <c r="F929" s="717">
        <v>0.15870000000000001</v>
      </c>
      <c r="G929">
        <f>VLOOKUP(B929,'SINAPI-%MO'!B:E,4,0)</f>
        <v>0.35620000000000002</v>
      </c>
      <c r="H929" s="225">
        <f t="shared" si="14"/>
        <v>7.13</v>
      </c>
    </row>
    <row r="930" spans="1:8" x14ac:dyDescent="0.3">
      <c r="A930" s="400"/>
      <c r="B930" s="709">
        <v>105733</v>
      </c>
      <c r="C930" s="710" t="s">
        <v>1201</v>
      </c>
      <c r="D930" s="709" t="s">
        <v>170</v>
      </c>
      <c r="E930" s="716">
        <v>275.38</v>
      </c>
      <c r="F930" s="717">
        <v>3.6799999999999999E-2</v>
      </c>
      <c r="G930">
        <f>VLOOKUP(B930,'SINAPI-%MO'!B:E,4,0)</f>
        <v>5.5899999999999998E-2</v>
      </c>
      <c r="H930" s="225">
        <f t="shared" si="14"/>
        <v>259.98</v>
      </c>
    </row>
    <row r="931" spans="1:8" x14ac:dyDescent="0.3">
      <c r="A931" s="400"/>
      <c r="B931" s="709">
        <v>105734</v>
      </c>
      <c r="C931" s="710" t="s">
        <v>1202</v>
      </c>
      <c r="D931" s="709" t="s">
        <v>170</v>
      </c>
      <c r="E931" s="716">
        <v>268.97000000000003</v>
      </c>
      <c r="F931" s="717">
        <v>3.0800000000000001E-2</v>
      </c>
      <c r="G931">
        <f>VLOOKUP(B931,'SINAPI-%MO'!B:E,4,0)</f>
        <v>4.8000000000000001E-2</v>
      </c>
      <c r="H931" s="225">
        <f t="shared" si="14"/>
        <v>256.05</v>
      </c>
    </row>
    <row r="932" spans="1:8" x14ac:dyDescent="0.3">
      <c r="A932" s="400"/>
      <c r="B932" s="709">
        <v>105736</v>
      </c>
      <c r="C932" s="710" t="s">
        <v>1203</v>
      </c>
      <c r="D932" s="709" t="s">
        <v>170</v>
      </c>
      <c r="E932" s="716">
        <v>265.74</v>
      </c>
      <c r="F932" s="717">
        <v>2.7900000000000001E-2</v>
      </c>
      <c r="G932">
        <f>VLOOKUP(B932,'SINAPI-%MO'!B:E,4,0)</f>
        <v>4.3999999999999997E-2</v>
      </c>
      <c r="H932" s="225">
        <f t="shared" si="14"/>
        <v>254.04</v>
      </c>
    </row>
    <row r="933" spans="1:8" x14ac:dyDescent="0.3">
      <c r="A933" s="400"/>
      <c r="B933" s="709">
        <v>105728</v>
      </c>
      <c r="C933" s="710" t="s">
        <v>1204</v>
      </c>
      <c r="D933" s="709" t="s">
        <v>170</v>
      </c>
      <c r="E933" s="716">
        <v>190.57</v>
      </c>
      <c r="F933" s="717">
        <v>4.6199999999999998E-2</v>
      </c>
      <c r="G933">
        <f>VLOOKUP(B933,'SINAPI-%MO'!B:E,4,0)</f>
        <v>7.1099999999999997E-2</v>
      </c>
      <c r="H933" s="225">
        <f t="shared" si="14"/>
        <v>177.02</v>
      </c>
    </row>
    <row r="934" spans="1:8" x14ac:dyDescent="0.3">
      <c r="A934" s="400"/>
      <c r="B934" s="709">
        <v>105729</v>
      </c>
      <c r="C934" s="710" t="s">
        <v>1205</v>
      </c>
      <c r="D934" s="709" t="s">
        <v>170</v>
      </c>
      <c r="E934" s="716">
        <v>185.65</v>
      </c>
      <c r="F934" s="717">
        <v>3.9899999999999998E-2</v>
      </c>
      <c r="G934">
        <f>VLOOKUP(B934,'SINAPI-%MO'!B:E,4,0)</f>
        <v>6.2899999999999998E-2</v>
      </c>
      <c r="H934" s="225">
        <f t="shared" si="14"/>
        <v>173.97</v>
      </c>
    </row>
    <row r="935" spans="1:8" x14ac:dyDescent="0.3">
      <c r="A935" s="400"/>
      <c r="B935" s="709">
        <v>105731</v>
      </c>
      <c r="C935" s="710" t="s">
        <v>1206</v>
      </c>
      <c r="D935" s="709" t="s">
        <v>170</v>
      </c>
      <c r="E935" s="716">
        <v>183.18</v>
      </c>
      <c r="F935" s="717">
        <v>3.6900000000000002E-2</v>
      </c>
      <c r="G935">
        <f>VLOOKUP(B935,'SINAPI-%MO'!B:E,4,0)</f>
        <v>5.8599999999999999E-2</v>
      </c>
      <c r="H935" s="225">
        <f t="shared" si="14"/>
        <v>172.44</v>
      </c>
    </row>
    <row r="936" spans="1:8" x14ac:dyDescent="0.3">
      <c r="A936" s="400"/>
      <c r="B936" s="709">
        <v>105738</v>
      </c>
      <c r="C936" s="710" t="s">
        <v>1207</v>
      </c>
      <c r="D936" s="709" t="s">
        <v>170</v>
      </c>
      <c r="E936" s="716">
        <v>381.46</v>
      </c>
      <c r="F936" s="717">
        <v>2.18E-2</v>
      </c>
      <c r="G936">
        <f>VLOOKUP(B936,'SINAPI-%MO'!B:E,4,0)</f>
        <v>4.2999999999999997E-2</v>
      </c>
      <c r="H936" s="225">
        <f t="shared" si="14"/>
        <v>365.05</v>
      </c>
    </row>
    <row r="937" spans="1:8" x14ac:dyDescent="0.3">
      <c r="A937" s="400"/>
      <c r="B937" s="709">
        <v>105739</v>
      </c>
      <c r="C937" s="710" t="s">
        <v>1208</v>
      </c>
      <c r="D937" s="709" t="s">
        <v>170</v>
      </c>
      <c r="E937" s="716">
        <v>376.64</v>
      </c>
      <c r="F937" s="717">
        <v>1.8499999999999999E-2</v>
      </c>
      <c r="G937">
        <f>VLOOKUP(B937,'SINAPI-%MO'!B:E,4,0)</f>
        <v>3.8600000000000002E-2</v>
      </c>
      <c r="H937" s="225">
        <f t="shared" si="14"/>
        <v>362.1</v>
      </c>
    </row>
    <row r="938" spans="1:8" x14ac:dyDescent="0.3">
      <c r="A938" s="400"/>
      <c r="B938" s="709">
        <v>105741</v>
      </c>
      <c r="C938" s="710" t="s">
        <v>1209</v>
      </c>
      <c r="D938" s="709" t="s">
        <v>170</v>
      </c>
      <c r="E938" s="716">
        <v>374.13</v>
      </c>
      <c r="F938" s="717">
        <v>1.6799999999999999E-2</v>
      </c>
      <c r="G938">
        <f>VLOOKUP(B938,'SINAPI-%MO'!B:E,4,0)</f>
        <v>3.6400000000000002E-2</v>
      </c>
      <c r="H938" s="225">
        <f t="shared" si="14"/>
        <v>360.51</v>
      </c>
    </row>
    <row r="939" spans="1:8" x14ac:dyDescent="0.3">
      <c r="A939" s="400"/>
      <c r="B939" s="709">
        <v>105750</v>
      </c>
      <c r="C939" s="710" t="s">
        <v>1210</v>
      </c>
      <c r="D939" s="709" t="s">
        <v>170</v>
      </c>
      <c r="E939" s="716">
        <v>174.24</v>
      </c>
      <c r="F939" s="717">
        <v>2.8400000000000002E-2</v>
      </c>
      <c r="G939">
        <f>VLOOKUP(B939,'SINAPI-%MO'!B:E,4,0)</f>
        <v>9.1300000000000006E-2</v>
      </c>
      <c r="H939" s="225">
        <f t="shared" si="14"/>
        <v>158.33000000000001</v>
      </c>
    </row>
    <row r="940" spans="1:8" x14ac:dyDescent="0.3">
      <c r="A940" s="400"/>
      <c r="B940" s="709">
        <v>105751</v>
      </c>
      <c r="C940" s="710" t="s">
        <v>1211</v>
      </c>
      <c r="D940" s="709" t="s">
        <v>170</v>
      </c>
      <c r="E940" s="716">
        <v>171.78</v>
      </c>
      <c r="F940" s="717">
        <v>2.64E-2</v>
      </c>
      <c r="G940">
        <f>VLOOKUP(B940,'SINAPI-%MO'!B:E,4,0)</f>
        <v>8.7599999999999997E-2</v>
      </c>
      <c r="H940" s="225">
        <f t="shared" si="14"/>
        <v>156.72999999999999</v>
      </c>
    </row>
    <row r="941" spans="1:8" x14ac:dyDescent="0.3">
      <c r="A941" s="400"/>
      <c r="B941" s="709">
        <v>105753</v>
      </c>
      <c r="C941" s="710" t="s">
        <v>1212</v>
      </c>
      <c r="D941" s="709" t="s">
        <v>170</v>
      </c>
      <c r="E941" s="716">
        <v>169.53</v>
      </c>
      <c r="F941" s="717">
        <v>2.4799999999999999E-2</v>
      </c>
      <c r="G941">
        <f>VLOOKUP(B941,'SINAPI-%MO'!B:E,4,0)</f>
        <v>8.3599999999999994E-2</v>
      </c>
      <c r="H941" s="225">
        <f t="shared" si="14"/>
        <v>155.35</v>
      </c>
    </row>
    <row r="942" spans="1:8" x14ac:dyDescent="0.3">
      <c r="A942" s="400"/>
      <c r="B942" s="709">
        <v>105755</v>
      </c>
      <c r="C942" s="710" t="s">
        <v>1213</v>
      </c>
      <c r="D942" s="709" t="s">
        <v>170</v>
      </c>
      <c r="E942" s="716">
        <v>167.37</v>
      </c>
      <c r="F942" s="717">
        <v>2.3400000000000001E-2</v>
      </c>
      <c r="G942">
        <f>VLOOKUP(B942,'SINAPI-%MO'!B:E,4,0)</f>
        <v>7.9399999999999998E-2</v>
      </c>
      <c r="H942" s="225">
        <f t="shared" si="14"/>
        <v>154.08000000000001</v>
      </c>
    </row>
    <row r="943" spans="1:8" x14ac:dyDescent="0.3">
      <c r="A943" s="400"/>
      <c r="B943" s="709">
        <v>105743</v>
      </c>
      <c r="C943" s="710" t="s">
        <v>1214</v>
      </c>
      <c r="D943" s="709" t="s">
        <v>170</v>
      </c>
      <c r="E943" s="716">
        <v>131.93</v>
      </c>
      <c r="F943" s="717">
        <v>5.5899999999999998E-2</v>
      </c>
      <c r="G943">
        <f>VLOOKUP(B943,'SINAPI-%MO'!B:E,4,0)</f>
        <v>8.2799999999999999E-2</v>
      </c>
      <c r="H943" s="225">
        <f t="shared" si="14"/>
        <v>121</v>
      </c>
    </row>
    <row r="944" spans="1:8" x14ac:dyDescent="0.3">
      <c r="A944" s="400"/>
      <c r="B944" s="709">
        <v>105744</v>
      </c>
      <c r="C944" s="710" t="s">
        <v>1215</v>
      </c>
      <c r="D944" s="709" t="s">
        <v>170</v>
      </c>
      <c r="E944" s="716">
        <v>129.58000000000001</v>
      </c>
      <c r="F944" s="717">
        <v>5.1999999999999998E-2</v>
      </c>
      <c r="G944">
        <f>VLOOKUP(B944,'SINAPI-%MO'!B:E,4,0)</f>
        <v>7.6399999999999996E-2</v>
      </c>
      <c r="H944" s="225">
        <f t="shared" si="14"/>
        <v>119.68</v>
      </c>
    </row>
    <row r="945" spans="1:8" x14ac:dyDescent="0.3">
      <c r="A945" s="400"/>
      <c r="B945" s="709">
        <v>105746</v>
      </c>
      <c r="C945" s="710" t="s">
        <v>1216</v>
      </c>
      <c r="D945" s="709" t="s">
        <v>170</v>
      </c>
      <c r="E945" s="716">
        <v>127.24</v>
      </c>
      <c r="F945" s="717">
        <v>4.7800000000000002E-2</v>
      </c>
      <c r="G945">
        <f>VLOOKUP(B945,'SINAPI-%MO'!B:E,4,0)</f>
        <v>6.9800000000000001E-2</v>
      </c>
      <c r="H945" s="225">
        <f t="shared" si="14"/>
        <v>118.35</v>
      </c>
    </row>
    <row r="946" spans="1:8" x14ac:dyDescent="0.3">
      <c r="A946" s="400"/>
      <c r="B946" s="709">
        <v>105748</v>
      </c>
      <c r="C946" s="710" t="s">
        <v>1217</v>
      </c>
      <c r="D946" s="709" t="s">
        <v>170</v>
      </c>
      <c r="E946" s="716">
        <v>124.89</v>
      </c>
      <c r="F946" s="717">
        <v>4.36E-2</v>
      </c>
      <c r="G946">
        <f>VLOOKUP(B946,'SINAPI-%MO'!B:E,4,0)</f>
        <v>6.3E-2</v>
      </c>
      <c r="H946" s="225">
        <f t="shared" si="14"/>
        <v>117.02</v>
      </c>
    </row>
    <row r="947" spans="1:8" x14ac:dyDescent="0.3">
      <c r="A947" s="400"/>
      <c r="B947" s="709">
        <v>105660</v>
      </c>
      <c r="C947" s="710" t="s">
        <v>1218</v>
      </c>
      <c r="D947" s="709" t="s">
        <v>170</v>
      </c>
      <c r="E947" s="716">
        <v>215.11</v>
      </c>
      <c r="F947" s="717">
        <v>4.5199999999999997E-2</v>
      </c>
      <c r="G947">
        <f>VLOOKUP(B947,'SINAPI-%MO'!B:E,4,0)</f>
        <v>0.1019</v>
      </c>
      <c r="H947" s="225">
        <f t="shared" si="14"/>
        <v>193.19</v>
      </c>
    </row>
    <row r="948" spans="1:8" x14ac:dyDescent="0.3">
      <c r="A948" s="400"/>
      <c r="B948" s="709">
        <v>105663</v>
      </c>
      <c r="C948" s="710" t="s">
        <v>1219</v>
      </c>
      <c r="D948" s="709" t="s">
        <v>170</v>
      </c>
      <c r="E948" s="716">
        <v>204.55</v>
      </c>
      <c r="F948" s="717">
        <v>3.61E-2</v>
      </c>
      <c r="G948">
        <f>VLOOKUP(B948,'SINAPI-%MO'!B:E,4,0)</f>
        <v>8.1600000000000006E-2</v>
      </c>
      <c r="H948" s="225">
        <f t="shared" si="14"/>
        <v>187.85</v>
      </c>
    </row>
    <row r="949" spans="1:8" x14ac:dyDescent="0.3">
      <c r="A949" s="400"/>
      <c r="B949" s="709">
        <v>105669</v>
      </c>
      <c r="C949" s="710" t="s">
        <v>1220</v>
      </c>
      <c r="D949" s="709" t="s">
        <v>170</v>
      </c>
      <c r="E949" s="716">
        <v>199.26</v>
      </c>
      <c r="F949" s="717">
        <v>3.1399999999999997E-2</v>
      </c>
      <c r="G949">
        <f>VLOOKUP(B949,'SINAPI-%MO'!B:E,4,0)</f>
        <v>7.0599999999999996E-2</v>
      </c>
      <c r="H949" s="225">
        <f t="shared" si="14"/>
        <v>185.19</v>
      </c>
    </row>
    <row r="950" spans="1:8" x14ac:dyDescent="0.3">
      <c r="A950" s="400"/>
      <c r="B950" s="709">
        <v>105642</v>
      </c>
      <c r="C950" s="710" t="s">
        <v>1221</v>
      </c>
      <c r="D950" s="709" t="s">
        <v>170</v>
      </c>
      <c r="E950" s="716">
        <v>237.96</v>
      </c>
      <c r="F950" s="717">
        <v>3.6999999999999998E-2</v>
      </c>
      <c r="G950">
        <f>VLOOKUP(B950,'SINAPI-%MO'!B:E,4,0)</f>
        <v>5.6899999999999999E-2</v>
      </c>
      <c r="H950" s="225">
        <f t="shared" si="14"/>
        <v>224.42</v>
      </c>
    </row>
    <row r="951" spans="1:8" x14ac:dyDescent="0.3">
      <c r="A951" s="400"/>
      <c r="B951" s="709">
        <v>105648</v>
      </c>
      <c r="C951" s="710" t="s">
        <v>1222</v>
      </c>
      <c r="D951" s="709" t="s">
        <v>170</v>
      </c>
      <c r="E951" s="716">
        <v>233.04</v>
      </c>
      <c r="F951" s="717">
        <v>3.1800000000000002E-2</v>
      </c>
      <c r="G951">
        <f>VLOOKUP(B951,'SINAPI-%MO'!B:E,4,0)</f>
        <v>5.0200000000000002E-2</v>
      </c>
      <c r="H951" s="225">
        <f t="shared" si="14"/>
        <v>221.34</v>
      </c>
    </row>
    <row r="952" spans="1:8" x14ac:dyDescent="0.3">
      <c r="A952" s="400"/>
      <c r="B952" s="709">
        <v>105654</v>
      </c>
      <c r="C952" s="710" t="s">
        <v>1223</v>
      </c>
      <c r="D952" s="709" t="s">
        <v>170</v>
      </c>
      <c r="E952" s="716">
        <v>230.57</v>
      </c>
      <c r="F952" s="717">
        <v>2.93E-2</v>
      </c>
      <c r="G952">
        <f>VLOOKUP(B952,'SINAPI-%MO'!B:E,4,0)</f>
        <v>4.6600000000000003E-2</v>
      </c>
      <c r="H952" s="225">
        <f t="shared" si="14"/>
        <v>219.82</v>
      </c>
    </row>
    <row r="953" spans="1:8" x14ac:dyDescent="0.3">
      <c r="A953" s="400"/>
      <c r="B953" s="709">
        <v>105661</v>
      </c>
      <c r="C953" s="710" t="s">
        <v>1224</v>
      </c>
      <c r="D953" s="709" t="s">
        <v>170</v>
      </c>
      <c r="E953" s="716">
        <v>254.88</v>
      </c>
      <c r="F953" s="717">
        <v>3.8100000000000002E-2</v>
      </c>
      <c r="G953">
        <f>VLOOKUP(B953,'SINAPI-%MO'!B:E,4,0)</f>
        <v>8.5999999999999993E-2</v>
      </c>
      <c r="H953" s="225">
        <f t="shared" si="14"/>
        <v>232.96</v>
      </c>
    </row>
    <row r="954" spans="1:8" x14ac:dyDescent="0.3">
      <c r="A954" s="400"/>
      <c r="B954" s="709">
        <v>105664</v>
      </c>
      <c r="C954" s="710" t="s">
        <v>1225</v>
      </c>
      <c r="D954" s="709" t="s">
        <v>170</v>
      </c>
      <c r="E954" s="716">
        <v>244.32</v>
      </c>
      <c r="F954" s="717">
        <v>3.0200000000000001E-2</v>
      </c>
      <c r="G954">
        <f>VLOOKUP(B954,'SINAPI-%MO'!B:E,4,0)</f>
        <v>6.83E-2</v>
      </c>
      <c r="H954" s="225">
        <f t="shared" si="14"/>
        <v>227.63</v>
      </c>
    </row>
    <row r="955" spans="1:8" x14ac:dyDescent="0.3">
      <c r="A955" s="400"/>
      <c r="B955" s="709">
        <v>105670</v>
      </c>
      <c r="C955" s="710" t="s">
        <v>1226</v>
      </c>
      <c r="D955" s="709" t="s">
        <v>170</v>
      </c>
      <c r="E955" s="716">
        <v>239.03</v>
      </c>
      <c r="F955" s="717">
        <v>2.6200000000000001E-2</v>
      </c>
      <c r="G955">
        <f>VLOOKUP(B955,'SINAPI-%MO'!B:E,4,0)</f>
        <v>5.8799999999999998E-2</v>
      </c>
      <c r="H955" s="225">
        <f t="shared" si="14"/>
        <v>224.97</v>
      </c>
    </row>
    <row r="956" spans="1:8" x14ac:dyDescent="0.3">
      <c r="A956" s="400"/>
      <c r="B956" s="709">
        <v>105643</v>
      </c>
      <c r="C956" s="710" t="s">
        <v>1227</v>
      </c>
      <c r="D956" s="709" t="s">
        <v>170</v>
      </c>
      <c r="E956" s="716">
        <v>275.27999999999997</v>
      </c>
      <c r="F956" s="717">
        <v>3.2000000000000001E-2</v>
      </c>
      <c r="G956">
        <f>VLOOKUP(B956,'SINAPI-%MO'!B:E,4,0)</f>
        <v>4.9200000000000001E-2</v>
      </c>
      <c r="H956" s="225">
        <f t="shared" si="14"/>
        <v>261.73</v>
      </c>
    </row>
    <row r="957" spans="1:8" x14ac:dyDescent="0.3">
      <c r="A957" s="400"/>
      <c r="B957" s="709">
        <v>105649</v>
      </c>
      <c r="C957" s="710" t="s">
        <v>1228</v>
      </c>
      <c r="D957" s="709" t="s">
        <v>170</v>
      </c>
      <c r="E957" s="716">
        <v>270.36</v>
      </c>
      <c r="F957" s="717">
        <v>2.7400000000000001E-2</v>
      </c>
      <c r="G957">
        <f>VLOOKUP(B957,'SINAPI-%MO'!B:E,4,0)</f>
        <v>4.3200000000000002E-2</v>
      </c>
      <c r="H957" s="225">
        <f t="shared" si="14"/>
        <v>258.68</v>
      </c>
    </row>
    <row r="958" spans="1:8" x14ac:dyDescent="0.3">
      <c r="A958" s="400"/>
      <c r="B958" s="709">
        <v>105655</v>
      </c>
      <c r="C958" s="710" t="s">
        <v>1229</v>
      </c>
      <c r="D958" s="709" t="s">
        <v>170</v>
      </c>
      <c r="E958" s="716">
        <v>267.89</v>
      </c>
      <c r="F958" s="717">
        <v>2.52E-2</v>
      </c>
      <c r="G958">
        <f>VLOOKUP(B958,'SINAPI-%MO'!B:E,4,0)</f>
        <v>4.0099999999999997E-2</v>
      </c>
      <c r="H958" s="225">
        <f t="shared" si="14"/>
        <v>257.14</v>
      </c>
    </row>
    <row r="959" spans="1:8" x14ac:dyDescent="0.3">
      <c r="A959" s="400"/>
      <c r="B959" s="709">
        <v>105662</v>
      </c>
      <c r="C959" s="710" t="s">
        <v>1230</v>
      </c>
      <c r="D959" s="709" t="s">
        <v>170</v>
      </c>
      <c r="E959" s="716">
        <v>294.10000000000002</v>
      </c>
      <c r="F959" s="717">
        <v>3.3000000000000002E-2</v>
      </c>
      <c r="G959">
        <f>VLOOKUP(B959,'SINAPI-%MO'!B:E,4,0)</f>
        <v>7.4499999999999997E-2</v>
      </c>
      <c r="H959" s="225">
        <f t="shared" si="14"/>
        <v>272.18</v>
      </c>
    </row>
    <row r="960" spans="1:8" x14ac:dyDescent="0.3">
      <c r="A960" s="400"/>
      <c r="B960" s="709">
        <v>105665</v>
      </c>
      <c r="C960" s="710" t="s">
        <v>1231</v>
      </c>
      <c r="D960" s="709" t="s">
        <v>170</v>
      </c>
      <c r="E960" s="716">
        <v>283.54000000000002</v>
      </c>
      <c r="F960" s="717">
        <v>2.6100000000000002E-2</v>
      </c>
      <c r="G960">
        <f>VLOOKUP(B960,'SINAPI-%MO'!B:E,4,0)</f>
        <v>5.8900000000000001E-2</v>
      </c>
      <c r="H960" s="225">
        <f t="shared" si="14"/>
        <v>266.83</v>
      </c>
    </row>
    <row r="961" spans="1:8" x14ac:dyDescent="0.3">
      <c r="A961" s="400"/>
      <c r="B961" s="709">
        <v>105671</v>
      </c>
      <c r="C961" s="710" t="s">
        <v>1232</v>
      </c>
      <c r="D961" s="709" t="s">
        <v>170</v>
      </c>
      <c r="E961" s="716">
        <v>278.25</v>
      </c>
      <c r="F961" s="717">
        <v>2.2499999999999999E-2</v>
      </c>
      <c r="G961">
        <f>VLOOKUP(B961,'SINAPI-%MO'!B:E,4,0)</f>
        <v>5.0500000000000003E-2</v>
      </c>
      <c r="H961" s="225">
        <f t="shared" si="14"/>
        <v>264.19</v>
      </c>
    </row>
    <row r="962" spans="1:8" x14ac:dyDescent="0.3">
      <c r="A962" s="400"/>
      <c r="B962" s="709">
        <v>105644</v>
      </c>
      <c r="C962" s="710" t="s">
        <v>1233</v>
      </c>
      <c r="D962" s="709" t="s">
        <v>170</v>
      </c>
      <c r="E962" s="716">
        <v>312.58999999999997</v>
      </c>
      <c r="F962" s="717">
        <v>2.8199999999999999E-2</v>
      </c>
      <c r="G962">
        <f>VLOOKUP(B962,'SINAPI-%MO'!B:E,4,0)</f>
        <v>4.3299999999999998E-2</v>
      </c>
      <c r="H962" s="225">
        <f t="shared" si="14"/>
        <v>299.05</v>
      </c>
    </row>
    <row r="963" spans="1:8" x14ac:dyDescent="0.3">
      <c r="A963" s="400"/>
      <c r="B963" s="709">
        <v>105650</v>
      </c>
      <c r="C963" s="710" t="s">
        <v>1234</v>
      </c>
      <c r="D963" s="709" t="s">
        <v>170</v>
      </c>
      <c r="E963" s="716">
        <v>307.67</v>
      </c>
      <c r="F963" s="717">
        <v>2.41E-2</v>
      </c>
      <c r="G963">
        <f>VLOOKUP(B963,'SINAPI-%MO'!B:E,4,0)</f>
        <v>3.7999999999999999E-2</v>
      </c>
      <c r="H963" s="225">
        <f t="shared" si="14"/>
        <v>295.97000000000003</v>
      </c>
    </row>
    <row r="964" spans="1:8" x14ac:dyDescent="0.3">
      <c r="A964" s="400"/>
      <c r="B964" s="709">
        <v>105656</v>
      </c>
      <c r="C964" s="710" t="s">
        <v>1235</v>
      </c>
      <c r="D964" s="709" t="s">
        <v>170</v>
      </c>
      <c r="E964" s="716">
        <v>305.2</v>
      </c>
      <c r="F964" s="717">
        <v>2.2100000000000002E-2</v>
      </c>
      <c r="G964">
        <f>VLOOKUP(B964,'SINAPI-%MO'!B:E,4,0)</f>
        <v>3.5200000000000002E-2</v>
      </c>
      <c r="H964" s="225">
        <f t="shared" si="14"/>
        <v>294.45</v>
      </c>
    </row>
    <row r="965" spans="1:8" x14ac:dyDescent="0.3">
      <c r="A965" s="400"/>
      <c r="B965" s="709">
        <v>105577</v>
      </c>
      <c r="C965" s="710" t="s">
        <v>1236</v>
      </c>
      <c r="D965" s="709" t="s">
        <v>170</v>
      </c>
      <c r="E965" s="716">
        <v>130.21</v>
      </c>
      <c r="F965" s="717">
        <v>7.46E-2</v>
      </c>
      <c r="G965">
        <f>VLOOKUP(B965,'SINAPI-%MO'!B:E,4,0)</f>
        <v>0.16830000000000001</v>
      </c>
      <c r="H965" s="225">
        <f t="shared" si="14"/>
        <v>108.29</v>
      </c>
    </row>
    <row r="966" spans="1:8" x14ac:dyDescent="0.3">
      <c r="A966" s="400"/>
      <c r="B966" s="709">
        <v>105578</v>
      </c>
      <c r="C966" s="710" t="s">
        <v>1237</v>
      </c>
      <c r="D966" s="709" t="s">
        <v>170</v>
      </c>
      <c r="E966" s="716">
        <v>119.65</v>
      </c>
      <c r="F966" s="717">
        <v>6.1699999999999998E-2</v>
      </c>
      <c r="G966">
        <f>VLOOKUP(B966,'SINAPI-%MO'!B:E,4,0)</f>
        <v>0.13950000000000001</v>
      </c>
      <c r="H966" s="225">
        <f t="shared" si="14"/>
        <v>102.95</v>
      </c>
    </row>
    <row r="967" spans="1:8" x14ac:dyDescent="0.3">
      <c r="A967" s="400"/>
      <c r="B967" s="709">
        <v>105712</v>
      </c>
      <c r="C967" s="710" t="s">
        <v>1238</v>
      </c>
      <c r="D967" s="709" t="s">
        <v>170</v>
      </c>
      <c r="E967" s="716">
        <v>114.36</v>
      </c>
      <c r="F967" s="717">
        <v>5.4699999999999999E-2</v>
      </c>
      <c r="G967">
        <f>VLOOKUP(B967,'SINAPI-%MO'!B:E,4,0)</f>
        <v>0.1229</v>
      </c>
      <c r="H967" s="225">
        <f t="shared" si="14"/>
        <v>100.3</v>
      </c>
    </row>
    <row r="968" spans="1:8" x14ac:dyDescent="0.3">
      <c r="A968" s="400"/>
      <c r="B968" s="709">
        <v>105637</v>
      </c>
      <c r="C968" s="710" t="s">
        <v>1239</v>
      </c>
      <c r="D968" s="709" t="s">
        <v>170</v>
      </c>
      <c r="E968" s="716">
        <v>163.34</v>
      </c>
      <c r="F968" s="717">
        <v>5.3900000000000003E-2</v>
      </c>
      <c r="G968">
        <f>VLOOKUP(B968,'SINAPI-%MO'!B:E,4,0)</f>
        <v>8.2900000000000001E-2</v>
      </c>
      <c r="H968" s="225">
        <f t="shared" si="14"/>
        <v>149.79</v>
      </c>
    </row>
    <row r="969" spans="1:8" x14ac:dyDescent="0.3">
      <c r="A969" s="400"/>
      <c r="B969" s="709">
        <v>105707</v>
      </c>
      <c r="C969" s="710" t="s">
        <v>1240</v>
      </c>
      <c r="D969" s="709" t="s">
        <v>170</v>
      </c>
      <c r="E969" s="716">
        <v>158.41999999999999</v>
      </c>
      <c r="F969" s="717">
        <v>4.6699999999999998E-2</v>
      </c>
      <c r="G969">
        <f>VLOOKUP(B969,'SINAPI-%MO'!B:E,4,0)</f>
        <v>7.3700000000000002E-2</v>
      </c>
      <c r="H969" s="225">
        <f t="shared" si="14"/>
        <v>146.74</v>
      </c>
    </row>
    <row r="970" spans="1:8" x14ac:dyDescent="0.3">
      <c r="A970" s="400"/>
      <c r="B970" s="709">
        <v>105709</v>
      </c>
      <c r="C970" s="710" t="s">
        <v>1241</v>
      </c>
      <c r="D970" s="709" t="s">
        <v>170</v>
      </c>
      <c r="E970" s="716">
        <v>155.94999999999999</v>
      </c>
      <c r="F970" s="717">
        <v>4.3299999999999998E-2</v>
      </c>
      <c r="G970">
        <f>VLOOKUP(B970,'SINAPI-%MO'!B:E,4,0)</f>
        <v>6.8900000000000003E-2</v>
      </c>
      <c r="H970" s="225">
        <f t="shared" si="14"/>
        <v>145.19999999999999</v>
      </c>
    </row>
    <row r="971" spans="1:8" x14ac:dyDescent="0.3">
      <c r="A971" s="400"/>
      <c r="B971" s="709">
        <v>105693</v>
      </c>
      <c r="C971" s="710" t="s">
        <v>1242</v>
      </c>
      <c r="D971" s="709" t="s">
        <v>170</v>
      </c>
      <c r="E971" s="716">
        <v>201.62</v>
      </c>
      <c r="F971" s="717">
        <v>4.82E-2</v>
      </c>
      <c r="G971">
        <f>VLOOKUP(B971,'SINAPI-%MO'!B:E,4,0)</f>
        <v>0.1087</v>
      </c>
      <c r="H971" s="225">
        <f t="shared" ref="H971:H1034" si="15">IF(E971&gt;0,TRUNC(E971*(1-G971),2),"")</f>
        <v>179.7</v>
      </c>
    </row>
    <row r="972" spans="1:8" x14ac:dyDescent="0.3">
      <c r="A972" s="400"/>
      <c r="B972" s="709">
        <v>105696</v>
      </c>
      <c r="C972" s="710" t="s">
        <v>1243</v>
      </c>
      <c r="D972" s="709" t="s">
        <v>170</v>
      </c>
      <c r="E972" s="716">
        <v>191.06</v>
      </c>
      <c r="F972" s="717">
        <v>3.8699999999999998E-2</v>
      </c>
      <c r="G972">
        <f>VLOOKUP(B972,'SINAPI-%MO'!B:E,4,0)</f>
        <v>8.7400000000000005E-2</v>
      </c>
      <c r="H972" s="225">
        <f t="shared" si="15"/>
        <v>174.36</v>
      </c>
    </row>
    <row r="973" spans="1:8" x14ac:dyDescent="0.3">
      <c r="A973" s="400"/>
      <c r="B973" s="709">
        <v>105702</v>
      </c>
      <c r="C973" s="710" t="s">
        <v>1244</v>
      </c>
      <c r="D973" s="709" t="s">
        <v>170</v>
      </c>
      <c r="E973" s="716">
        <v>185.77</v>
      </c>
      <c r="F973" s="717">
        <v>3.3700000000000001E-2</v>
      </c>
      <c r="G973">
        <f>VLOOKUP(B973,'SINAPI-%MO'!B:E,4,0)</f>
        <v>7.5700000000000003E-2</v>
      </c>
      <c r="H973" s="225">
        <f t="shared" si="15"/>
        <v>171.7</v>
      </c>
    </row>
    <row r="974" spans="1:8" x14ac:dyDescent="0.3">
      <c r="A974" s="400"/>
      <c r="B974" s="709">
        <v>105675</v>
      </c>
      <c r="C974" s="710" t="s">
        <v>1245</v>
      </c>
      <c r="D974" s="709" t="s">
        <v>170</v>
      </c>
      <c r="E974" s="716">
        <v>217.44</v>
      </c>
      <c r="F974" s="717">
        <v>4.0500000000000001E-2</v>
      </c>
      <c r="G974">
        <f>VLOOKUP(B974,'SINAPI-%MO'!B:E,4,0)</f>
        <v>6.2300000000000001E-2</v>
      </c>
      <c r="H974" s="225">
        <f t="shared" si="15"/>
        <v>203.89</v>
      </c>
    </row>
    <row r="975" spans="1:8" x14ac:dyDescent="0.3">
      <c r="A975" s="400"/>
      <c r="B975" s="709">
        <v>105681</v>
      </c>
      <c r="C975" s="710" t="s">
        <v>1246</v>
      </c>
      <c r="D975" s="709" t="s">
        <v>170</v>
      </c>
      <c r="E975" s="716">
        <v>212.52</v>
      </c>
      <c r="F975" s="717">
        <v>3.4799999999999998E-2</v>
      </c>
      <c r="G975">
        <f>VLOOKUP(B975,'SINAPI-%MO'!B:E,4,0)</f>
        <v>5.5E-2</v>
      </c>
      <c r="H975" s="225">
        <f t="shared" si="15"/>
        <v>200.83</v>
      </c>
    </row>
    <row r="976" spans="1:8" x14ac:dyDescent="0.3">
      <c r="A976" s="400"/>
      <c r="B976" s="709">
        <v>105687</v>
      </c>
      <c r="C976" s="710" t="s">
        <v>1247</v>
      </c>
      <c r="D976" s="709" t="s">
        <v>170</v>
      </c>
      <c r="E976" s="716">
        <v>210.05</v>
      </c>
      <c r="F976" s="717">
        <v>3.2199999999999999E-2</v>
      </c>
      <c r="G976">
        <f>VLOOKUP(B976,'SINAPI-%MO'!B:E,4,0)</f>
        <v>5.1200000000000002E-2</v>
      </c>
      <c r="H976" s="225">
        <f t="shared" si="15"/>
        <v>199.29</v>
      </c>
    </row>
    <row r="977" spans="1:8" x14ac:dyDescent="0.3">
      <c r="A977" s="400"/>
      <c r="B977" s="709">
        <v>105694</v>
      </c>
      <c r="C977" s="710" t="s">
        <v>1248</v>
      </c>
      <c r="D977" s="709" t="s">
        <v>170</v>
      </c>
      <c r="E977" s="716">
        <v>241.67</v>
      </c>
      <c r="F977" s="717">
        <v>4.02E-2</v>
      </c>
      <c r="G977">
        <f>VLOOKUP(B977,'SINAPI-%MO'!B:E,4,0)</f>
        <v>9.0700000000000003E-2</v>
      </c>
      <c r="H977" s="225">
        <f t="shared" si="15"/>
        <v>219.75</v>
      </c>
    </row>
    <row r="978" spans="1:8" x14ac:dyDescent="0.3">
      <c r="A978" s="400"/>
      <c r="B978" s="709">
        <v>105697</v>
      </c>
      <c r="C978" s="710" t="s">
        <v>1249</v>
      </c>
      <c r="D978" s="709" t="s">
        <v>170</v>
      </c>
      <c r="E978" s="716">
        <v>231.11</v>
      </c>
      <c r="F978" s="717">
        <v>3.2000000000000001E-2</v>
      </c>
      <c r="G978">
        <f>VLOOKUP(B978,'SINAPI-%MO'!B:E,4,0)</f>
        <v>7.22E-2</v>
      </c>
      <c r="H978" s="225">
        <f t="shared" si="15"/>
        <v>214.42</v>
      </c>
    </row>
    <row r="979" spans="1:8" x14ac:dyDescent="0.3">
      <c r="A979" s="400"/>
      <c r="B979" s="709">
        <v>105703</v>
      </c>
      <c r="C979" s="710" t="s">
        <v>1250</v>
      </c>
      <c r="D979" s="709" t="s">
        <v>170</v>
      </c>
      <c r="E979" s="716">
        <v>225.82</v>
      </c>
      <c r="F979" s="717">
        <v>2.7699999999999999E-2</v>
      </c>
      <c r="G979">
        <f>VLOOKUP(B979,'SINAPI-%MO'!B:E,4,0)</f>
        <v>6.2300000000000001E-2</v>
      </c>
      <c r="H979" s="225">
        <f t="shared" si="15"/>
        <v>211.75</v>
      </c>
    </row>
    <row r="980" spans="1:8" x14ac:dyDescent="0.3">
      <c r="A980" s="400"/>
      <c r="B980" s="709">
        <v>105676</v>
      </c>
      <c r="C980" s="710" t="s">
        <v>1251</v>
      </c>
      <c r="D980" s="709" t="s">
        <v>170</v>
      </c>
      <c r="E980" s="716">
        <v>255.19</v>
      </c>
      <c r="F980" s="717">
        <v>3.4500000000000003E-2</v>
      </c>
      <c r="G980">
        <f>VLOOKUP(B980,'SINAPI-%MO'!B:E,4,0)</f>
        <v>5.3100000000000001E-2</v>
      </c>
      <c r="H980" s="225">
        <f t="shared" si="15"/>
        <v>241.63</v>
      </c>
    </row>
    <row r="981" spans="1:8" x14ac:dyDescent="0.3">
      <c r="A981" s="400"/>
      <c r="B981" s="709">
        <v>105682</v>
      </c>
      <c r="C981" s="710" t="s">
        <v>1252</v>
      </c>
      <c r="D981" s="709" t="s">
        <v>170</v>
      </c>
      <c r="E981" s="716">
        <v>250.27</v>
      </c>
      <c r="F981" s="717">
        <v>2.9600000000000001E-2</v>
      </c>
      <c r="G981">
        <f>VLOOKUP(B981,'SINAPI-%MO'!B:E,4,0)</f>
        <v>4.6699999999999998E-2</v>
      </c>
      <c r="H981" s="225">
        <f t="shared" si="15"/>
        <v>238.58</v>
      </c>
    </row>
    <row r="982" spans="1:8" x14ac:dyDescent="0.3">
      <c r="A982" s="400"/>
      <c r="B982" s="709">
        <v>105688</v>
      </c>
      <c r="C982" s="710" t="s">
        <v>1253</v>
      </c>
      <c r="D982" s="709" t="s">
        <v>170</v>
      </c>
      <c r="E982" s="716">
        <v>247.8</v>
      </c>
      <c r="F982" s="717">
        <v>2.7300000000000001E-2</v>
      </c>
      <c r="G982">
        <f>VLOOKUP(B982,'SINAPI-%MO'!B:E,4,0)</f>
        <v>4.3400000000000001E-2</v>
      </c>
      <c r="H982" s="225">
        <f t="shared" si="15"/>
        <v>237.04</v>
      </c>
    </row>
    <row r="983" spans="1:8" x14ac:dyDescent="0.3">
      <c r="A983" s="400"/>
      <c r="B983" s="709">
        <v>105695</v>
      </c>
      <c r="C983" s="710" t="s">
        <v>1254</v>
      </c>
      <c r="D983" s="709" t="s">
        <v>170</v>
      </c>
      <c r="E983" s="716">
        <v>281.18</v>
      </c>
      <c r="F983" s="717">
        <v>3.4599999999999999E-2</v>
      </c>
      <c r="G983">
        <f>VLOOKUP(B983,'SINAPI-%MO'!B:E,4,0)</f>
        <v>7.8E-2</v>
      </c>
      <c r="H983" s="225">
        <f t="shared" si="15"/>
        <v>259.24</v>
      </c>
    </row>
    <row r="984" spans="1:8" x14ac:dyDescent="0.3">
      <c r="A984" s="400"/>
      <c r="B984" s="709">
        <v>105698</v>
      </c>
      <c r="C984" s="710" t="s">
        <v>1255</v>
      </c>
      <c r="D984" s="709" t="s">
        <v>170</v>
      </c>
      <c r="E984" s="716">
        <v>270.62</v>
      </c>
      <c r="F984" s="717">
        <v>2.7300000000000001E-2</v>
      </c>
      <c r="G984">
        <f>VLOOKUP(B984,'SINAPI-%MO'!B:E,4,0)</f>
        <v>6.1699999999999998E-2</v>
      </c>
      <c r="H984" s="225">
        <f t="shared" si="15"/>
        <v>253.92</v>
      </c>
    </row>
    <row r="985" spans="1:8" x14ac:dyDescent="0.3">
      <c r="A985" s="400"/>
      <c r="B985" s="709">
        <v>105704</v>
      </c>
      <c r="C985" s="710" t="s">
        <v>1256</v>
      </c>
      <c r="D985" s="709" t="s">
        <v>170</v>
      </c>
      <c r="E985" s="716">
        <v>265.33</v>
      </c>
      <c r="F985" s="717">
        <v>2.3599999999999999E-2</v>
      </c>
      <c r="G985">
        <f>VLOOKUP(B985,'SINAPI-%MO'!B:E,4,0)</f>
        <v>5.2999999999999999E-2</v>
      </c>
      <c r="H985" s="225">
        <f t="shared" si="15"/>
        <v>251.26</v>
      </c>
    </row>
    <row r="986" spans="1:8" x14ac:dyDescent="0.3">
      <c r="A986" s="400"/>
      <c r="B986" s="709">
        <v>105677</v>
      </c>
      <c r="C986" s="710" t="s">
        <v>1257</v>
      </c>
      <c r="D986" s="709" t="s">
        <v>170</v>
      </c>
      <c r="E986" s="716">
        <v>292.94</v>
      </c>
      <c r="F986" s="717">
        <v>3.0099999999999998E-2</v>
      </c>
      <c r="G986">
        <f>VLOOKUP(B986,'SINAPI-%MO'!B:E,4,0)</f>
        <v>4.6300000000000001E-2</v>
      </c>
      <c r="H986" s="225">
        <f t="shared" si="15"/>
        <v>279.37</v>
      </c>
    </row>
    <row r="987" spans="1:8" x14ac:dyDescent="0.3">
      <c r="A987" s="400"/>
      <c r="B987" s="709">
        <v>105683</v>
      </c>
      <c r="C987" s="710" t="s">
        <v>1258</v>
      </c>
      <c r="D987" s="709" t="s">
        <v>170</v>
      </c>
      <c r="E987" s="716">
        <v>288.02</v>
      </c>
      <c r="F987" s="717">
        <v>2.5700000000000001E-2</v>
      </c>
      <c r="G987">
        <f>VLOOKUP(B987,'SINAPI-%MO'!B:E,4,0)</f>
        <v>4.0599999999999997E-2</v>
      </c>
      <c r="H987" s="225">
        <f t="shared" si="15"/>
        <v>276.32</v>
      </c>
    </row>
    <row r="988" spans="1:8" x14ac:dyDescent="0.3">
      <c r="A988" s="400"/>
      <c r="B988" s="709">
        <v>105689</v>
      </c>
      <c r="C988" s="710" t="s">
        <v>1259</v>
      </c>
      <c r="D988" s="709" t="s">
        <v>170</v>
      </c>
      <c r="E988" s="716">
        <v>285.55</v>
      </c>
      <c r="F988" s="717">
        <v>2.3699999999999999E-2</v>
      </c>
      <c r="G988">
        <f>VLOOKUP(B988,'SINAPI-%MO'!B:E,4,0)</f>
        <v>3.7600000000000001E-2</v>
      </c>
      <c r="H988" s="225">
        <f t="shared" si="15"/>
        <v>274.81</v>
      </c>
    </row>
    <row r="989" spans="1:8" x14ac:dyDescent="0.3">
      <c r="A989" s="400"/>
      <c r="B989" s="709">
        <v>105579</v>
      </c>
      <c r="C989" s="710" t="s">
        <v>1260</v>
      </c>
      <c r="D989" s="709" t="s">
        <v>170</v>
      </c>
      <c r="E989" s="716">
        <v>116.16</v>
      </c>
      <c r="F989" s="717">
        <v>8.3599999999999994E-2</v>
      </c>
      <c r="G989">
        <f>VLOOKUP(B989,'SINAPI-%MO'!B:E,4,0)</f>
        <v>0.18870000000000001</v>
      </c>
      <c r="H989" s="225">
        <f t="shared" si="15"/>
        <v>94.24</v>
      </c>
    </row>
    <row r="990" spans="1:8" x14ac:dyDescent="0.3">
      <c r="A990" s="400"/>
      <c r="B990" s="709">
        <v>105580</v>
      </c>
      <c r="C990" s="710" t="s">
        <v>1261</v>
      </c>
      <c r="D990" s="709" t="s">
        <v>170</v>
      </c>
      <c r="E990" s="716">
        <v>105.6</v>
      </c>
      <c r="F990" s="717">
        <v>6.9900000000000004E-2</v>
      </c>
      <c r="G990">
        <f>VLOOKUP(B990,'SINAPI-%MO'!B:E,4,0)</f>
        <v>0.158</v>
      </c>
      <c r="H990" s="225">
        <f t="shared" si="15"/>
        <v>88.91</v>
      </c>
    </row>
    <row r="991" spans="1:8" x14ac:dyDescent="0.3">
      <c r="A991" s="400"/>
      <c r="B991" s="709">
        <v>105582</v>
      </c>
      <c r="C991" s="710" t="s">
        <v>1262</v>
      </c>
      <c r="D991" s="709" t="s">
        <v>170</v>
      </c>
      <c r="E991" s="716">
        <v>100.31</v>
      </c>
      <c r="F991" s="717">
        <v>6.2399999999999997E-2</v>
      </c>
      <c r="G991">
        <f>VLOOKUP(B991,'SINAPI-%MO'!B:E,4,0)</f>
        <v>0.14019999999999999</v>
      </c>
      <c r="H991" s="225">
        <f t="shared" si="15"/>
        <v>86.24</v>
      </c>
    </row>
    <row r="992" spans="1:8" x14ac:dyDescent="0.3">
      <c r="A992" s="400"/>
      <c r="B992" s="709">
        <v>105638</v>
      </c>
      <c r="C992" s="710" t="s">
        <v>1263</v>
      </c>
      <c r="D992" s="709" t="s">
        <v>170</v>
      </c>
      <c r="E992" s="716">
        <v>141.97</v>
      </c>
      <c r="F992" s="717">
        <v>6.2100000000000002E-2</v>
      </c>
      <c r="G992">
        <f>VLOOKUP(B992,'SINAPI-%MO'!B:E,4,0)</f>
        <v>9.5399999999999999E-2</v>
      </c>
      <c r="H992" s="225">
        <f t="shared" si="15"/>
        <v>128.41999999999999</v>
      </c>
    </row>
    <row r="993" spans="1:8" x14ac:dyDescent="0.3">
      <c r="A993" s="400"/>
      <c r="B993" s="709">
        <v>105715</v>
      </c>
      <c r="C993" s="710" t="s">
        <v>1264</v>
      </c>
      <c r="D993" s="709" t="s">
        <v>170</v>
      </c>
      <c r="E993" s="716">
        <v>137.05000000000001</v>
      </c>
      <c r="F993" s="717">
        <v>5.3999999999999999E-2</v>
      </c>
      <c r="G993">
        <f>VLOOKUP(B993,'SINAPI-%MO'!B:E,4,0)</f>
        <v>8.5199999999999998E-2</v>
      </c>
      <c r="H993" s="225">
        <f t="shared" si="15"/>
        <v>125.37</v>
      </c>
    </row>
    <row r="994" spans="1:8" x14ac:dyDescent="0.3">
      <c r="A994" s="400"/>
      <c r="B994" s="709">
        <v>105717</v>
      </c>
      <c r="C994" s="710" t="s">
        <v>1265</v>
      </c>
      <c r="D994" s="709" t="s">
        <v>170</v>
      </c>
      <c r="E994" s="716">
        <v>134.58000000000001</v>
      </c>
      <c r="F994" s="717">
        <v>5.0200000000000002E-2</v>
      </c>
      <c r="G994">
        <f>VLOOKUP(B994,'SINAPI-%MO'!B:E,4,0)</f>
        <v>7.9799999999999996E-2</v>
      </c>
      <c r="H994" s="225">
        <f t="shared" si="15"/>
        <v>123.84</v>
      </c>
    </row>
    <row r="995" spans="1:8" x14ac:dyDescent="0.3">
      <c r="A995" s="400"/>
      <c r="B995" s="709">
        <v>105626</v>
      </c>
      <c r="C995" s="710" t="s">
        <v>1266</v>
      </c>
      <c r="D995" s="709" t="s">
        <v>170</v>
      </c>
      <c r="E995" s="716">
        <v>157.49</v>
      </c>
      <c r="F995" s="717">
        <v>3.6299999999999999E-2</v>
      </c>
      <c r="G995">
        <f>VLOOKUP(B995,'SINAPI-%MO'!B:E,4,0)</f>
        <v>7.9399999999999998E-2</v>
      </c>
      <c r="H995" s="225">
        <f t="shared" si="15"/>
        <v>144.97999999999999</v>
      </c>
    </row>
    <row r="996" spans="1:8" x14ac:dyDescent="0.3">
      <c r="A996" s="400"/>
      <c r="B996" s="709">
        <v>105629</v>
      </c>
      <c r="C996" s="710" t="s">
        <v>1267</v>
      </c>
      <c r="D996" s="709" t="s">
        <v>170</v>
      </c>
      <c r="E996" s="716">
        <v>149.01</v>
      </c>
      <c r="F996" s="717">
        <v>2.5999999999999999E-2</v>
      </c>
      <c r="G996">
        <f>VLOOKUP(B996,'SINAPI-%MO'!B:E,4,0)</f>
        <v>5.57E-2</v>
      </c>
      <c r="H996" s="225">
        <f t="shared" si="15"/>
        <v>140.71</v>
      </c>
    </row>
    <row r="997" spans="1:8" x14ac:dyDescent="0.3">
      <c r="A997" s="400"/>
      <c r="B997" s="709">
        <v>105635</v>
      </c>
      <c r="C997" s="710" t="s">
        <v>1268</v>
      </c>
      <c r="D997" s="709" t="s">
        <v>170</v>
      </c>
      <c r="E997" s="716">
        <v>147.84</v>
      </c>
      <c r="F997" s="717">
        <v>2.46E-2</v>
      </c>
      <c r="G997">
        <f>VLOOKUP(B997,'SINAPI-%MO'!B:E,4,0)</f>
        <v>5.3600000000000002E-2</v>
      </c>
      <c r="H997" s="225">
        <f t="shared" si="15"/>
        <v>139.91</v>
      </c>
    </row>
    <row r="998" spans="1:8" x14ac:dyDescent="0.3">
      <c r="A998" s="400"/>
      <c r="B998" s="709">
        <v>105605</v>
      </c>
      <c r="C998" s="710" t="s">
        <v>1269</v>
      </c>
      <c r="D998" s="709" t="s">
        <v>170</v>
      </c>
      <c r="E998" s="716">
        <v>145</v>
      </c>
      <c r="F998" s="717">
        <v>4.0800000000000003E-2</v>
      </c>
      <c r="G998">
        <f>VLOOKUP(B998,'SINAPI-%MO'!B:E,4,0)</f>
        <v>6.6299999999999998E-2</v>
      </c>
      <c r="H998" s="225">
        <f t="shared" si="15"/>
        <v>135.38</v>
      </c>
    </row>
    <row r="999" spans="1:8" x14ac:dyDescent="0.3">
      <c r="A999" s="400"/>
      <c r="B999" s="709">
        <v>105613</v>
      </c>
      <c r="C999" s="710" t="s">
        <v>1270</v>
      </c>
      <c r="D999" s="709" t="s">
        <v>170</v>
      </c>
      <c r="E999" s="716">
        <v>141.83000000000001</v>
      </c>
      <c r="F999" s="717">
        <v>3.56E-2</v>
      </c>
      <c r="G999">
        <f>VLOOKUP(B999,'SINAPI-%MO'!B:E,4,0)</f>
        <v>5.96E-2</v>
      </c>
      <c r="H999" s="225">
        <f t="shared" si="15"/>
        <v>133.37</v>
      </c>
    </row>
    <row r="1000" spans="1:8" x14ac:dyDescent="0.3">
      <c r="A1000" s="400"/>
      <c r="B1000" s="709">
        <v>105621</v>
      </c>
      <c r="C1000" s="710" t="s">
        <v>1271</v>
      </c>
      <c r="D1000" s="709" t="s">
        <v>170</v>
      </c>
      <c r="E1000" s="716">
        <v>139.52000000000001</v>
      </c>
      <c r="F1000" s="717">
        <v>3.1800000000000002E-2</v>
      </c>
      <c r="G1000">
        <f>VLOOKUP(B1000,'SINAPI-%MO'!B:E,4,0)</f>
        <v>5.4600000000000003E-2</v>
      </c>
      <c r="H1000" s="225">
        <f t="shared" si="15"/>
        <v>131.9</v>
      </c>
    </row>
    <row r="1001" spans="1:8" x14ac:dyDescent="0.3">
      <c r="A1001" s="400"/>
      <c r="B1001" s="709">
        <v>105627</v>
      </c>
      <c r="C1001" s="710" t="s">
        <v>1272</v>
      </c>
      <c r="D1001" s="709" t="s">
        <v>170</v>
      </c>
      <c r="E1001" s="716">
        <v>198.4</v>
      </c>
      <c r="F1001" s="717">
        <v>2.8799999999999999E-2</v>
      </c>
      <c r="G1001">
        <f>VLOOKUP(B1001,'SINAPI-%MO'!B:E,4,0)</f>
        <v>6.3100000000000003E-2</v>
      </c>
      <c r="H1001" s="225">
        <f t="shared" si="15"/>
        <v>185.88</v>
      </c>
    </row>
    <row r="1002" spans="1:8" x14ac:dyDescent="0.3">
      <c r="A1002" s="400"/>
      <c r="B1002" s="709">
        <v>105630</v>
      </c>
      <c r="C1002" s="710" t="s">
        <v>1273</v>
      </c>
      <c r="D1002" s="709" t="s">
        <v>170</v>
      </c>
      <c r="E1002" s="716">
        <v>189.92</v>
      </c>
      <c r="F1002" s="717">
        <v>2.0400000000000001E-2</v>
      </c>
      <c r="G1002">
        <f>VLOOKUP(B1002,'SINAPI-%MO'!B:E,4,0)</f>
        <v>4.3700000000000003E-2</v>
      </c>
      <c r="H1002" s="225">
        <f t="shared" si="15"/>
        <v>181.62</v>
      </c>
    </row>
    <row r="1003" spans="1:8" x14ac:dyDescent="0.3">
      <c r="A1003" s="400"/>
      <c r="B1003" s="709">
        <v>105636</v>
      </c>
      <c r="C1003" s="710" t="s">
        <v>1274</v>
      </c>
      <c r="D1003" s="709" t="s">
        <v>170</v>
      </c>
      <c r="E1003" s="716">
        <v>188.75</v>
      </c>
      <c r="F1003" s="717">
        <v>1.9199999999999998E-2</v>
      </c>
      <c r="G1003">
        <f>VLOOKUP(B1003,'SINAPI-%MO'!B:E,4,0)</f>
        <v>4.2000000000000003E-2</v>
      </c>
      <c r="H1003" s="225">
        <f t="shared" si="15"/>
        <v>180.82</v>
      </c>
    </row>
    <row r="1004" spans="1:8" x14ac:dyDescent="0.3">
      <c r="A1004" s="400"/>
      <c r="B1004" s="709">
        <v>105606</v>
      </c>
      <c r="C1004" s="710" t="s">
        <v>1275</v>
      </c>
      <c r="D1004" s="709" t="s">
        <v>170</v>
      </c>
      <c r="E1004" s="716">
        <v>184.88</v>
      </c>
      <c r="F1004" s="717">
        <v>3.2000000000000001E-2</v>
      </c>
      <c r="G1004">
        <f>VLOOKUP(B1004,'SINAPI-%MO'!B:E,4,0)</f>
        <v>5.1999999999999998E-2</v>
      </c>
      <c r="H1004" s="225">
        <f t="shared" si="15"/>
        <v>175.26</v>
      </c>
    </row>
    <row r="1005" spans="1:8" x14ac:dyDescent="0.3">
      <c r="A1005" s="400"/>
      <c r="B1005" s="709">
        <v>105614</v>
      </c>
      <c r="C1005" s="710" t="s">
        <v>1276</v>
      </c>
      <c r="D1005" s="709" t="s">
        <v>170</v>
      </c>
      <c r="E1005" s="716">
        <v>181.71</v>
      </c>
      <c r="F1005" s="717">
        <v>2.7799999999999998E-2</v>
      </c>
      <c r="G1005">
        <f>VLOOKUP(B1005,'SINAPI-%MO'!B:E,4,0)</f>
        <v>4.65E-2</v>
      </c>
      <c r="H1005" s="225">
        <f t="shared" si="15"/>
        <v>173.26</v>
      </c>
    </row>
    <row r="1006" spans="1:8" x14ac:dyDescent="0.3">
      <c r="A1006" s="400"/>
      <c r="B1006" s="709">
        <v>105622</v>
      </c>
      <c r="C1006" s="710" t="s">
        <v>1277</v>
      </c>
      <c r="D1006" s="709" t="s">
        <v>170</v>
      </c>
      <c r="E1006" s="716">
        <v>179.4</v>
      </c>
      <c r="F1006" s="717">
        <v>2.47E-2</v>
      </c>
      <c r="G1006">
        <f>VLOOKUP(B1006,'SINAPI-%MO'!B:E,4,0)</f>
        <v>4.2500000000000003E-2</v>
      </c>
      <c r="H1006" s="225">
        <f t="shared" si="15"/>
        <v>171.77</v>
      </c>
    </row>
    <row r="1007" spans="1:8" x14ac:dyDescent="0.3">
      <c r="A1007" s="400"/>
      <c r="B1007" s="709">
        <v>105572</v>
      </c>
      <c r="C1007" s="710" t="s">
        <v>1278</v>
      </c>
      <c r="D1007" s="709" t="s">
        <v>170</v>
      </c>
      <c r="E1007" s="716">
        <v>73.42</v>
      </c>
      <c r="F1007" s="717">
        <v>7.7899999999999997E-2</v>
      </c>
      <c r="G1007">
        <f>VLOOKUP(B1007,'SINAPI-%MO'!B:E,4,0)</f>
        <v>0.1704</v>
      </c>
      <c r="H1007" s="225">
        <f t="shared" si="15"/>
        <v>60.9</v>
      </c>
    </row>
    <row r="1008" spans="1:8" x14ac:dyDescent="0.3">
      <c r="A1008" s="400"/>
      <c r="B1008" s="709">
        <v>105574</v>
      </c>
      <c r="C1008" s="710" t="s">
        <v>1279</v>
      </c>
      <c r="D1008" s="709" t="s">
        <v>170</v>
      </c>
      <c r="E1008" s="716">
        <v>64.94</v>
      </c>
      <c r="F1008" s="717">
        <v>5.9700000000000003E-2</v>
      </c>
      <c r="G1008">
        <f>VLOOKUP(B1008,'SINAPI-%MO'!B:E,4,0)</f>
        <v>0.1278</v>
      </c>
      <c r="H1008" s="225">
        <f t="shared" si="15"/>
        <v>56.64</v>
      </c>
    </row>
    <row r="1009" spans="1:8" x14ac:dyDescent="0.3">
      <c r="A1009" s="400"/>
      <c r="B1009" s="709">
        <v>105576</v>
      </c>
      <c r="C1009" s="710" t="s">
        <v>1280</v>
      </c>
      <c r="D1009" s="709" t="s">
        <v>170</v>
      </c>
      <c r="E1009" s="716">
        <v>63.77</v>
      </c>
      <c r="F1009" s="717">
        <v>5.6899999999999999E-2</v>
      </c>
      <c r="G1009">
        <f>VLOOKUP(B1009,'SINAPI-%MO'!B:E,4,0)</f>
        <v>0.1242</v>
      </c>
      <c r="H1009" s="225">
        <f t="shared" si="15"/>
        <v>55.84</v>
      </c>
    </row>
    <row r="1010" spans="1:8" x14ac:dyDescent="0.3">
      <c r="A1010" s="400"/>
      <c r="B1010" s="709">
        <v>105603</v>
      </c>
      <c r="C1010" s="710" t="s">
        <v>1281</v>
      </c>
      <c r="D1010" s="709" t="s">
        <v>170</v>
      </c>
      <c r="E1010" s="716">
        <v>65.25</v>
      </c>
      <c r="F1010" s="717">
        <v>9.0700000000000003E-2</v>
      </c>
      <c r="G1010">
        <f>VLOOKUP(B1010,'SINAPI-%MO'!B:E,4,0)</f>
        <v>0.1474</v>
      </c>
      <c r="H1010" s="225">
        <f t="shared" si="15"/>
        <v>55.63</v>
      </c>
    </row>
    <row r="1011" spans="1:8" x14ac:dyDescent="0.3">
      <c r="A1011" s="400"/>
      <c r="B1011" s="709">
        <v>105611</v>
      </c>
      <c r="C1011" s="710" t="s">
        <v>1282</v>
      </c>
      <c r="D1011" s="709" t="s">
        <v>170</v>
      </c>
      <c r="E1011" s="716">
        <v>62.08</v>
      </c>
      <c r="F1011" s="717">
        <v>8.1299999999999997E-2</v>
      </c>
      <c r="G1011">
        <f>VLOOKUP(B1011,'SINAPI-%MO'!B:E,4,0)</f>
        <v>0.1361</v>
      </c>
      <c r="H1011" s="225">
        <f t="shared" si="15"/>
        <v>53.63</v>
      </c>
    </row>
    <row r="1012" spans="1:8" x14ac:dyDescent="0.3">
      <c r="A1012" s="400"/>
      <c r="B1012" s="709">
        <v>105619</v>
      </c>
      <c r="C1012" s="710" t="s">
        <v>1283</v>
      </c>
      <c r="D1012" s="709" t="s">
        <v>170</v>
      </c>
      <c r="E1012" s="716">
        <v>59.77</v>
      </c>
      <c r="F1012" s="717">
        <v>7.4099999999999999E-2</v>
      </c>
      <c r="G1012">
        <f>VLOOKUP(B1012,'SINAPI-%MO'!B:E,4,0)</f>
        <v>0.1275</v>
      </c>
      <c r="H1012" s="225">
        <f t="shared" si="15"/>
        <v>52.14</v>
      </c>
    </row>
    <row r="1013" spans="1:8" x14ac:dyDescent="0.3">
      <c r="A1013" s="400"/>
      <c r="B1013" s="709">
        <v>105573</v>
      </c>
      <c r="C1013" s="710" t="s">
        <v>1284</v>
      </c>
      <c r="D1013" s="709" t="s">
        <v>170</v>
      </c>
      <c r="E1013" s="716">
        <v>116.03</v>
      </c>
      <c r="F1013" s="717">
        <v>4.9299999999999997E-2</v>
      </c>
      <c r="G1013">
        <f>VLOOKUP(B1013,'SINAPI-%MO'!B:E,4,0)</f>
        <v>0.10780000000000001</v>
      </c>
      <c r="H1013" s="225">
        <f t="shared" si="15"/>
        <v>103.52</v>
      </c>
    </row>
    <row r="1014" spans="1:8" x14ac:dyDescent="0.3">
      <c r="A1014" s="400"/>
      <c r="B1014" s="709">
        <v>105628</v>
      </c>
      <c r="C1014" s="710" t="s">
        <v>1285</v>
      </c>
      <c r="D1014" s="709" t="s">
        <v>170</v>
      </c>
      <c r="E1014" s="716">
        <v>107.55</v>
      </c>
      <c r="F1014" s="717">
        <v>3.61E-2</v>
      </c>
      <c r="G1014">
        <f>VLOOKUP(B1014,'SINAPI-%MO'!B:E,4,0)</f>
        <v>7.7200000000000005E-2</v>
      </c>
      <c r="H1014" s="225">
        <f t="shared" si="15"/>
        <v>99.24</v>
      </c>
    </row>
    <row r="1015" spans="1:8" x14ac:dyDescent="0.3">
      <c r="A1015" s="400"/>
      <c r="B1015" s="709">
        <v>105634</v>
      </c>
      <c r="C1015" s="710" t="s">
        <v>1286</v>
      </c>
      <c r="D1015" s="709" t="s">
        <v>170</v>
      </c>
      <c r="E1015" s="716">
        <v>106.38</v>
      </c>
      <c r="F1015" s="717">
        <v>3.4099999999999998E-2</v>
      </c>
      <c r="G1015">
        <f>VLOOKUP(B1015,'SINAPI-%MO'!B:E,4,0)</f>
        <v>7.4499999999999997E-2</v>
      </c>
      <c r="H1015" s="225">
        <f t="shared" si="15"/>
        <v>98.45</v>
      </c>
    </row>
    <row r="1016" spans="1:8" x14ac:dyDescent="0.3">
      <c r="A1016" s="400"/>
      <c r="B1016" s="709">
        <v>105604</v>
      </c>
      <c r="C1016" s="710" t="s">
        <v>1287</v>
      </c>
      <c r="D1016" s="709" t="s">
        <v>170</v>
      </c>
      <c r="E1016" s="716">
        <v>105.12</v>
      </c>
      <c r="F1016" s="717">
        <v>5.6300000000000003E-2</v>
      </c>
      <c r="G1016">
        <f>VLOOKUP(B1016,'SINAPI-%MO'!B:E,4,0)</f>
        <v>9.1499999999999998E-2</v>
      </c>
      <c r="H1016" s="225">
        <f t="shared" si="15"/>
        <v>95.5</v>
      </c>
    </row>
    <row r="1017" spans="1:8" x14ac:dyDescent="0.3">
      <c r="A1017" s="400"/>
      <c r="B1017" s="709">
        <v>105612</v>
      </c>
      <c r="C1017" s="710" t="s">
        <v>1288</v>
      </c>
      <c r="D1017" s="709" t="s">
        <v>170</v>
      </c>
      <c r="E1017" s="716">
        <v>101.95</v>
      </c>
      <c r="F1017" s="717">
        <v>4.9500000000000002E-2</v>
      </c>
      <c r="G1017">
        <f>VLOOKUP(B1017,'SINAPI-%MO'!B:E,4,0)</f>
        <v>8.2900000000000001E-2</v>
      </c>
      <c r="H1017" s="225">
        <f t="shared" si="15"/>
        <v>93.49</v>
      </c>
    </row>
    <row r="1018" spans="1:8" x14ac:dyDescent="0.3">
      <c r="A1018" s="400"/>
      <c r="B1018" s="709">
        <v>105620</v>
      </c>
      <c r="C1018" s="710" t="s">
        <v>1289</v>
      </c>
      <c r="D1018" s="709" t="s">
        <v>170</v>
      </c>
      <c r="E1018" s="716">
        <v>99.64</v>
      </c>
      <c r="F1018" s="717">
        <v>4.4499999999999998E-2</v>
      </c>
      <c r="G1018">
        <f>VLOOKUP(B1018,'SINAPI-%MO'!B:E,4,0)</f>
        <v>7.6499999999999999E-2</v>
      </c>
      <c r="H1018" s="225">
        <f t="shared" si="15"/>
        <v>92.01</v>
      </c>
    </row>
    <row r="1019" spans="1:8" x14ac:dyDescent="0.3">
      <c r="A1019" s="400"/>
      <c r="B1019" s="709">
        <v>105586</v>
      </c>
      <c r="C1019" s="710" t="s">
        <v>1290</v>
      </c>
      <c r="D1019" s="709" t="s">
        <v>170</v>
      </c>
      <c r="E1019" s="716">
        <v>142.32</v>
      </c>
      <c r="F1019" s="717">
        <v>8.7499999999999994E-2</v>
      </c>
      <c r="G1019">
        <f>VLOOKUP(B1019,'SINAPI-%MO'!B:E,4,0)</f>
        <v>0.1981</v>
      </c>
      <c r="H1019" s="225">
        <f t="shared" si="15"/>
        <v>114.12</v>
      </c>
    </row>
    <row r="1020" spans="1:8" x14ac:dyDescent="0.3">
      <c r="A1020" s="400"/>
      <c r="B1020" s="709">
        <v>105587</v>
      </c>
      <c r="C1020" s="710" t="s">
        <v>1291</v>
      </c>
      <c r="D1020" s="709" t="s">
        <v>170</v>
      </c>
      <c r="E1020" s="716">
        <v>127.74</v>
      </c>
      <c r="F1020" s="717">
        <v>7.2300000000000003E-2</v>
      </c>
      <c r="G1020">
        <f>VLOOKUP(B1020,'SINAPI-%MO'!B:E,4,0)</f>
        <v>0.16350000000000001</v>
      </c>
      <c r="H1020" s="225">
        <f t="shared" si="15"/>
        <v>106.85</v>
      </c>
    </row>
    <row r="1021" spans="1:8" x14ac:dyDescent="0.3">
      <c r="A1021" s="400"/>
      <c r="B1021" s="709">
        <v>105589</v>
      </c>
      <c r="C1021" s="710" t="s">
        <v>1292</v>
      </c>
      <c r="D1021" s="709" t="s">
        <v>170</v>
      </c>
      <c r="E1021" s="716">
        <v>126.42</v>
      </c>
      <c r="F1021" s="717">
        <v>7.0999999999999994E-2</v>
      </c>
      <c r="G1021">
        <f>VLOOKUP(B1021,'SINAPI-%MO'!B:E,4,0)</f>
        <v>0.16089999999999999</v>
      </c>
      <c r="H1021" s="225">
        <f t="shared" si="15"/>
        <v>106.07</v>
      </c>
    </row>
    <row r="1022" spans="1:8" x14ac:dyDescent="0.3">
      <c r="A1022" s="400"/>
      <c r="B1022" s="709">
        <v>105584</v>
      </c>
      <c r="C1022" s="710" t="s">
        <v>1293</v>
      </c>
      <c r="D1022" s="709" t="s">
        <v>170</v>
      </c>
      <c r="E1022" s="716">
        <v>172.34</v>
      </c>
      <c r="F1022" s="717">
        <v>6.6900000000000001E-2</v>
      </c>
      <c r="G1022">
        <f>VLOOKUP(B1022,'SINAPI-%MO'!B:E,4,0)</f>
        <v>0.1002</v>
      </c>
      <c r="H1022" s="225">
        <f t="shared" si="15"/>
        <v>155.07</v>
      </c>
    </row>
    <row r="1023" spans="1:8" x14ac:dyDescent="0.3">
      <c r="A1023" s="400"/>
      <c r="B1023" s="709">
        <v>105720</v>
      </c>
      <c r="C1023" s="710" t="s">
        <v>1294</v>
      </c>
      <c r="D1023" s="709" t="s">
        <v>170</v>
      </c>
      <c r="E1023" s="716">
        <v>164.43</v>
      </c>
      <c r="F1023" s="717">
        <v>5.62E-2</v>
      </c>
      <c r="G1023">
        <f>VLOOKUP(B1023,'SINAPI-%MO'!B:E,4,0)</f>
        <v>8.6099999999999996E-2</v>
      </c>
      <c r="H1023" s="225">
        <f t="shared" si="15"/>
        <v>150.27000000000001</v>
      </c>
    </row>
    <row r="1024" spans="1:8" x14ac:dyDescent="0.3">
      <c r="A1024" s="400"/>
      <c r="B1024" s="709">
        <v>105722</v>
      </c>
      <c r="C1024" s="710" t="s">
        <v>1295</v>
      </c>
      <c r="D1024" s="709" t="s">
        <v>170</v>
      </c>
      <c r="E1024" s="716">
        <v>164.92</v>
      </c>
      <c r="F1024" s="717">
        <v>5.7200000000000001E-2</v>
      </c>
      <c r="G1024">
        <f>VLOOKUP(B1024,'SINAPI-%MO'!B:E,4,0)</f>
        <v>8.77E-2</v>
      </c>
      <c r="H1024" s="225">
        <f t="shared" si="15"/>
        <v>150.44999999999999</v>
      </c>
    </row>
    <row r="1025" spans="1:8" x14ac:dyDescent="0.3">
      <c r="A1025" s="400"/>
      <c r="B1025" s="709">
        <v>105593</v>
      </c>
      <c r="C1025" s="710" t="s">
        <v>1296</v>
      </c>
      <c r="D1025" s="709" t="s">
        <v>170</v>
      </c>
      <c r="E1025" s="716">
        <v>128.27000000000001</v>
      </c>
      <c r="F1025" s="717">
        <v>9.7100000000000006E-2</v>
      </c>
      <c r="G1025">
        <f>VLOOKUP(B1025,'SINAPI-%MO'!B:E,4,0)</f>
        <v>0.2198</v>
      </c>
      <c r="H1025" s="225">
        <f t="shared" si="15"/>
        <v>100.07</v>
      </c>
    </row>
    <row r="1026" spans="1:8" x14ac:dyDescent="0.3">
      <c r="A1026" s="400"/>
      <c r="B1026" s="709">
        <v>105594</v>
      </c>
      <c r="C1026" s="710" t="s">
        <v>1297</v>
      </c>
      <c r="D1026" s="709" t="s">
        <v>170</v>
      </c>
      <c r="E1026" s="716">
        <v>113.69</v>
      </c>
      <c r="F1026" s="717">
        <v>8.1199999999999994E-2</v>
      </c>
      <c r="G1026">
        <f>VLOOKUP(B1026,'SINAPI-%MO'!B:E,4,0)</f>
        <v>0.1837</v>
      </c>
      <c r="H1026" s="225">
        <f t="shared" si="15"/>
        <v>92.8</v>
      </c>
    </row>
    <row r="1027" spans="1:8" x14ac:dyDescent="0.3">
      <c r="A1027" s="400"/>
      <c r="B1027" s="709">
        <v>105596</v>
      </c>
      <c r="C1027" s="710" t="s">
        <v>1298</v>
      </c>
      <c r="D1027" s="709" t="s">
        <v>170</v>
      </c>
      <c r="E1027" s="716">
        <v>112.37</v>
      </c>
      <c r="F1027" s="717">
        <v>7.9799999999999996E-2</v>
      </c>
      <c r="G1027">
        <f>VLOOKUP(B1027,'SINAPI-%MO'!B:E,4,0)</f>
        <v>0.18099999999999999</v>
      </c>
      <c r="H1027" s="225">
        <f t="shared" si="15"/>
        <v>92.03</v>
      </c>
    </row>
    <row r="1028" spans="1:8" x14ac:dyDescent="0.3">
      <c r="A1028" s="400"/>
      <c r="B1028" s="709">
        <v>105591</v>
      </c>
      <c r="C1028" s="710" t="s">
        <v>1299</v>
      </c>
      <c r="D1028" s="709" t="s">
        <v>170</v>
      </c>
      <c r="E1028" s="716">
        <v>150.97</v>
      </c>
      <c r="F1028" s="717">
        <v>7.6399999999999996E-2</v>
      </c>
      <c r="G1028">
        <f>VLOOKUP(B1028,'SINAPI-%MO'!B:E,4,0)</f>
        <v>0.1143</v>
      </c>
      <c r="H1028" s="225">
        <f t="shared" si="15"/>
        <v>133.71</v>
      </c>
    </row>
    <row r="1029" spans="1:8" x14ac:dyDescent="0.3">
      <c r="A1029" s="400"/>
      <c r="B1029" s="709">
        <v>105724</v>
      </c>
      <c r="C1029" s="710" t="s">
        <v>1300</v>
      </c>
      <c r="D1029" s="709" t="s">
        <v>170</v>
      </c>
      <c r="E1029" s="716">
        <v>143.06</v>
      </c>
      <c r="F1029" s="717">
        <v>6.4600000000000005E-2</v>
      </c>
      <c r="G1029">
        <f>VLOOKUP(B1029,'SINAPI-%MO'!B:E,4,0)</f>
        <v>9.9000000000000005E-2</v>
      </c>
      <c r="H1029" s="225">
        <f t="shared" si="15"/>
        <v>128.88999999999999</v>
      </c>
    </row>
    <row r="1030" spans="1:8" x14ac:dyDescent="0.3">
      <c r="A1030" s="400"/>
      <c r="B1030" s="709">
        <v>105726</v>
      </c>
      <c r="C1030" s="710" t="s">
        <v>1301</v>
      </c>
      <c r="D1030" s="709" t="s">
        <v>170</v>
      </c>
      <c r="E1030" s="716">
        <v>143.55000000000001</v>
      </c>
      <c r="F1030" s="717">
        <v>6.5699999999999995E-2</v>
      </c>
      <c r="G1030">
        <f>VLOOKUP(B1030,'SINAPI-%MO'!B:E,4,0)</f>
        <v>0.1008</v>
      </c>
      <c r="H1030" s="225">
        <f t="shared" si="15"/>
        <v>129.08000000000001</v>
      </c>
    </row>
    <row r="1031" spans="1:8" x14ac:dyDescent="0.3">
      <c r="A1031" s="400"/>
      <c r="B1031" s="709">
        <v>105567</v>
      </c>
      <c r="C1031" s="710" t="s">
        <v>1302</v>
      </c>
      <c r="D1031" s="709" t="s">
        <v>170</v>
      </c>
      <c r="E1031" s="716">
        <v>15.66</v>
      </c>
      <c r="F1031" s="717">
        <v>0.25990000000000002</v>
      </c>
      <c r="G1031">
        <f>VLOOKUP(B1031,'SINAPI-%MO'!B:E,4,0)</f>
        <v>0.33839999999999998</v>
      </c>
      <c r="H1031" s="225">
        <f t="shared" si="15"/>
        <v>10.36</v>
      </c>
    </row>
    <row r="1032" spans="1:8" x14ac:dyDescent="0.3">
      <c r="A1032" s="400"/>
      <c r="B1032" s="709">
        <v>105568</v>
      </c>
      <c r="C1032" s="710" t="s">
        <v>1303</v>
      </c>
      <c r="D1032" s="709" t="s">
        <v>170</v>
      </c>
      <c r="E1032" s="716">
        <v>12.49</v>
      </c>
      <c r="F1032" s="717">
        <v>0.25540000000000002</v>
      </c>
      <c r="G1032">
        <f>VLOOKUP(B1032,'SINAPI-%MO'!B:E,4,0)</f>
        <v>0.33069999999999999</v>
      </c>
      <c r="H1032" s="225">
        <f t="shared" si="15"/>
        <v>8.35</v>
      </c>
    </row>
    <row r="1033" spans="1:8" x14ac:dyDescent="0.3">
      <c r="A1033" s="400"/>
      <c r="B1033" s="709">
        <v>105570</v>
      </c>
      <c r="C1033" s="710" t="s">
        <v>1304</v>
      </c>
      <c r="D1033" s="709" t="s">
        <v>170</v>
      </c>
      <c r="E1033" s="716">
        <v>10.32</v>
      </c>
      <c r="F1033" s="717">
        <v>0.25390000000000001</v>
      </c>
      <c r="G1033">
        <f>VLOOKUP(B1033,'SINAPI-%MO'!B:E,4,0)</f>
        <v>0.3246</v>
      </c>
      <c r="H1033" s="225">
        <f t="shared" si="15"/>
        <v>6.97</v>
      </c>
    </row>
    <row r="1034" spans="1:8" x14ac:dyDescent="0.3">
      <c r="A1034" s="400"/>
      <c r="B1034" s="709">
        <v>100575</v>
      </c>
      <c r="C1034" s="710" t="s">
        <v>1305</v>
      </c>
      <c r="D1034" s="709" t="s">
        <v>168</v>
      </c>
      <c r="E1034" s="716">
        <v>0.6</v>
      </c>
      <c r="F1034" s="717">
        <v>0.4</v>
      </c>
      <c r="G1034">
        <f>VLOOKUP(B1034,'SINAPI-%MO'!B:E,4,0)</f>
        <v>0.4</v>
      </c>
      <c r="H1034" s="225">
        <f t="shared" si="15"/>
        <v>0.36</v>
      </c>
    </row>
    <row r="1035" spans="1:8" x14ac:dyDescent="0.3">
      <c r="A1035" s="400"/>
      <c r="B1035" s="709">
        <v>100577</v>
      </c>
      <c r="C1035" s="710" t="s">
        <v>1306</v>
      </c>
      <c r="D1035" s="709" t="s">
        <v>168</v>
      </c>
      <c r="E1035" s="716">
        <v>1.54</v>
      </c>
      <c r="F1035" s="717">
        <v>0.1883</v>
      </c>
      <c r="G1035">
        <f>VLOOKUP(B1035,'SINAPI-%MO'!B:E,4,0)</f>
        <v>0.29220000000000002</v>
      </c>
      <c r="H1035" s="225">
        <f t="shared" ref="H1035:H1098" si="16">IF(E1035&gt;0,TRUNC(E1035*(1-G1035),2),"")</f>
        <v>1.0900000000000001</v>
      </c>
    </row>
    <row r="1036" spans="1:8" x14ac:dyDescent="0.3">
      <c r="A1036" s="400"/>
      <c r="B1036" s="709">
        <v>105598</v>
      </c>
      <c r="C1036" s="710" t="s">
        <v>1307</v>
      </c>
      <c r="D1036" s="709" t="s">
        <v>168</v>
      </c>
      <c r="E1036" s="716">
        <v>2.0499999999999998</v>
      </c>
      <c r="F1036" s="717">
        <v>0.2</v>
      </c>
      <c r="G1036">
        <f>VLOOKUP(B1036,'SINAPI-%MO'!B:E,4,0)</f>
        <v>0.32679999999999998</v>
      </c>
      <c r="H1036" s="225">
        <f t="shared" si="16"/>
        <v>1.38</v>
      </c>
    </row>
    <row r="1037" spans="1:8" x14ac:dyDescent="0.3">
      <c r="A1037" s="400"/>
      <c r="B1037" s="709">
        <v>100576</v>
      </c>
      <c r="C1037" s="710" t="s">
        <v>1308</v>
      </c>
      <c r="D1037" s="709" t="s">
        <v>168</v>
      </c>
      <c r="E1037" s="716">
        <v>3.03</v>
      </c>
      <c r="F1037" s="717">
        <v>0.16500000000000001</v>
      </c>
      <c r="G1037">
        <f>VLOOKUP(B1037,'SINAPI-%MO'!B:E,4,0)</f>
        <v>0.36630000000000001</v>
      </c>
      <c r="H1037" s="225">
        <f t="shared" si="16"/>
        <v>1.92</v>
      </c>
    </row>
    <row r="1038" spans="1:8" x14ac:dyDescent="0.3">
      <c r="A1038" s="400"/>
      <c r="B1038" s="709">
        <v>105597</v>
      </c>
      <c r="C1038" s="710" t="s">
        <v>1309</v>
      </c>
      <c r="D1038" s="709" t="s">
        <v>168</v>
      </c>
      <c r="E1038" s="716">
        <v>4.13</v>
      </c>
      <c r="F1038" s="717">
        <v>0.16220000000000001</v>
      </c>
      <c r="G1038">
        <f>VLOOKUP(B1038,'SINAPI-%MO'!B:E,4,0)</f>
        <v>0.3947</v>
      </c>
      <c r="H1038" s="225">
        <f t="shared" si="16"/>
        <v>2.4900000000000002</v>
      </c>
    </row>
    <row r="1039" spans="1:8" x14ac:dyDescent="0.3">
      <c r="A1039" s="400"/>
      <c r="B1039" s="709">
        <v>102730</v>
      </c>
      <c r="C1039" s="710" t="s">
        <v>1310</v>
      </c>
      <c r="D1039" s="709" t="s">
        <v>175</v>
      </c>
      <c r="E1039" s="716">
        <v>11.19</v>
      </c>
      <c r="F1039" s="717">
        <v>0</v>
      </c>
      <c r="G1039">
        <f>VLOOKUP(B1039,'SINAPI-%MO'!B:E,4,0)</f>
        <v>0.23769999999999999</v>
      </c>
      <c r="H1039" s="225">
        <f t="shared" si="16"/>
        <v>8.5299999999999994</v>
      </c>
    </row>
    <row r="1040" spans="1:8" x14ac:dyDescent="0.3">
      <c r="A1040" s="400"/>
      <c r="B1040" s="709">
        <v>102731</v>
      </c>
      <c r="C1040" s="710" t="s">
        <v>1311</v>
      </c>
      <c r="D1040" s="709" t="s">
        <v>175</v>
      </c>
      <c r="E1040" s="716">
        <v>9.33</v>
      </c>
      <c r="F1040" s="717">
        <v>0</v>
      </c>
      <c r="G1040">
        <f>VLOOKUP(B1040,'SINAPI-%MO'!B:E,4,0)</f>
        <v>0.20150000000000001</v>
      </c>
      <c r="H1040" s="225">
        <f t="shared" si="16"/>
        <v>7.45</v>
      </c>
    </row>
    <row r="1041" spans="1:8" x14ac:dyDescent="0.3">
      <c r="A1041" s="400"/>
      <c r="B1041" s="709">
        <v>102732</v>
      </c>
      <c r="C1041" s="710" t="s">
        <v>1312</v>
      </c>
      <c r="D1041" s="709" t="s">
        <v>175</v>
      </c>
      <c r="E1041" s="716">
        <v>8.65</v>
      </c>
      <c r="F1041" s="717">
        <v>0</v>
      </c>
      <c r="G1041">
        <f>VLOOKUP(B1041,'SINAPI-%MO'!B:E,4,0)</f>
        <v>0.14219999999999999</v>
      </c>
      <c r="H1041" s="225">
        <f t="shared" si="16"/>
        <v>7.41</v>
      </c>
    </row>
    <row r="1042" spans="1:8" x14ac:dyDescent="0.3">
      <c r="A1042" s="400"/>
      <c r="B1042" s="709">
        <v>102733</v>
      </c>
      <c r="C1042" s="710" t="s">
        <v>1313</v>
      </c>
      <c r="D1042" s="709" t="s">
        <v>175</v>
      </c>
      <c r="E1042" s="716">
        <v>9.48</v>
      </c>
      <c r="F1042" s="717">
        <v>0</v>
      </c>
      <c r="G1042">
        <f>VLOOKUP(B1042,'SINAPI-%MO'!B:E,4,0)</f>
        <v>8.4400000000000003E-2</v>
      </c>
      <c r="H1042" s="225">
        <f t="shared" si="16"/>
        <v>8.67</v>
      </c>
    </row>
    <row r="1043" spans="1:8" x14ac:dyDescent="0.3">
      <c r="A1043" s="400"/>
      <c r="B1043" s="709">
        <v>102728</v>
      </c>
      <c r="C1043" s="710" t="s">
        <v>1314</v>
      </c>
      <c r="D1043" s="709" t="s">
        <v>175</v>
      </c>
      <c r="E1043" s="716">
        <v>14.05</v>
      </c>
      <c r="F1043" s="717">
        <v>0</v>
      </c>
      <c r="G1043">
        <f>VLOOKUP(B1043,'SINAPI-%MO'!B:E,4,0)</f>
        <v>0.37940000000000002</v>
      </c>
      <c r="H1043" s="225">
        <f t="shared" si="16"/>
        <v>8.7100000000000009</v>
      </c>
    </row>
    <row r="1044" spans="1:8" x14ac:dyDescent="0.3">
      <c r="A1044" s="400"/>
      <c r="B1044" s="709">
        <v>102729</v>
      </c>
      <c r="C1044" s="710" t="s">
        <v>1315</v>
      </c>
      <c r="D1044" s="709" t="s">
        <v>175</v>
      </c>
      <c r="E1044" s="716">
        <v>12.77</v>
      </c>
      <c r="F1044" s="717">
        <v>0</v>
      </c>
      <c r="G1044">
        <f>VLOOKUP(B1044,'SINAPI-%MO'!B:E,4,0)</f>
        <v>0.29210000000000003</v>
      </c>
      <c r="H1044" s="225">
        <f t="shared" si="16"/>
        <v>9.0299999999999994</v>
      </c>
    </row>
    <row r="1045" spans="1:8" x14ac:dyDescent="0.3">
      <c r="A1045" s="400"/>
      <c r="B1045" s="709">
        <v>102734</v>
      </c>
      <c r="C1045" s="710" t="s">
        <v>1316</v>
      </c>
      <c r="D1045" s="709" t="s">
        <v>175</v>
      </c>
      <c r="E1045" s="716">
        <v>12.87</v>
      </c>
      <c r="F1045" s="717">
        <v>0</v>
      </c>
      <c r="G1045">
        <f>VLOOKUP(B1045,'SINAPI-%MO'!B:E,4,0)</f>
        <v>0.30919999999999997</v>
      </c>
      <c r="H1045" s="225">
        <f t="shared" si="16"/>
        <v>8.89</v>
      </c>
    </row>
    <row r="1046" spans="1:8" x14ac:dyDescent="0.3">
      <c r="A1046" s="400"/>
      <c r="B1046" s="709">
        <v>102735</v>
      </c>
      <c r="C1046" s="710" t="s">
        <v>1317</v>
      </c>
      <c r="D1046" s="709" t="s">
        <v>175</v>
      </c>
      <c r="E1046" s="716">
        <v>11.79</v>
      </c>
      <c r="F1046" s="717">
        <v>0</v>
      </c>
      <c r="G1046">
        <f>VLOOKUP(B1046,'SINAPI-%MO'!B:E,4,0)</f>
        <v>0.22819999999999999</v>
      </c>
      <c r="H1046" s="225">
        <f t="shared" si="16"/>
        <v>9.09</v>
      </c>
    </row>
    <row r="1047" spans="1:8" x14ac:dyDescent="0.3">
      <c r="A1047" s="400"/>
      <c r="B1047" s="709">
        <v>102765</v>
      </c>
      <c r="C1047" s="710" t="s">
        <v>1318</v>
      </c>
      <c r="D1047" s="709" t="s">
        <v>136</v>
      </c>
      <c r="E1047" s="716">
        <v>17475.669999999998</v>
      </c>
      <c r="F1047" s="717">
        <v>0</v>
      </c>
      <c r="G1047">
        <f>VLOOKUP(B1047,'SINAPI-%MO'!B:E,4,0)</f>
        <v>0.29580000000000001</v>
      </c>
      <c r="H1047" s="225">
        <f t="shared" si="16"/>
        <v>12306.36</v>
      </c>
    </row>
    <row r="1048" spans="1:8" x14ac:dyDescent="0.3">
      <c r="A1048" s="400"/>
      <c r="B1048" s="709">
        <v>102795</v>
      </c>
      <c r="C1048" s="710" t="s">
        <v>1319</v>
      </c>
      <c r="D1048" s="709" t="s">
        <v>136</v>
      </c>
      <c r="E1048" s="716">
        <v>31648.5</v>
      </c>
      <c r="F1048" s="717">
        <v>0</v>
      </c>
      <c r="G1048">
        <f>VLOOKUP(B1048,'SINAPI-%MO'!B:E,4,0)</f>
        <v>0.27039999999999997</v>
      </c>
      <c r="H1048" s="225">
        <f t="shared" si="16"/>
        <v>23090.74</v>
      </c>
    </row>
    <row r="1049" spans="1:8" x14ac:dyDescent="0.3">
      <c r="A1049" s="400"/>
      <c r="B1049" s="709">
        <v>102766</v>
      </c>
      <c r="C1049" s="710" t="s">
        <v>1320</v>
      </c>
      <c r="D1049" s="709" t="s">
        <v>136</v>
      </c>
      <c r="E1049" s="716">
        <v>26276.85</v>
      </c>
      <c r="F1049" s="717">
        <v>0</v>
      </c>
      <c r="G1049">
        <f>VLOOKUP(B1049,'SINAPI-%MO'!B:E,4,0)</f>
        <v>0.27529999999999999</v>
      </c>
      <c r="H1049" s="225">
        <f t="shared" si="16"/>
        <v>19042.830000000002</v>
      </c>
    </row>
    <row r="1050" spans="1:8" x14ac:dyDescent="0.3">
      <c r="A1050" s="400"/>
      <c r="B1050" s="709">
        <v>102796</v>
      </c>
      <c r="C1050" s="710" t="s">
        <v>1321</v>
      </c>
      <c r="D1050" s="709" t="s">
        <v>136</v>
      </c>
      <c r="E1050" s="716">
        <v>50885.01</v>
      </c>
      <c r="F1050" s="717">
        <v>0</v>
      </c>
      <c r="G1050">
        <f>VLOOKUP(B1050,'SINAPI-%MO'!B:E,4,0)</f>
        <v>0.25559999999999999</v>
      </c>
      <c r="H1050" s="225">
        <f t="shared" si="16"/>
        <v>37878.800000000003</v>
      </c>
    </row>
    <row r="1051" spans="1:8" x14ac:dyDescent="0.3">
      <c r="A1051" s="400"/>
      <c r="B1051" s="709">
        <v>102767</v>
      </c>
      <c r="C1051" s="710" t="s">
        <v>1322</v>
      </c>
      <c r="D1051" s="709" t="s">
        <v>136</v>
      </c>
      <c r="E1051" s="716">
        <v>36535.96</v>
      </c>
      <c r="F1051" s="717">
        <v>0</v>
      </c>
      <c r="G1051">
        <f>VLOOKUP(B1051,'SINAPI-%MO'!B:E,4,0)</f>
        <v>0.26819999999999999</v>
      </c>
      <c r="H1051" s="225">
        <f t="shared" si="16"/>
        <v>26737.01</v>
      </c>
    </row>
    <row r="1052" spans="1:8" x14ac:dyDescent="0.3">
      <c r="A1052" s="400"/>
      <c r="B1052" s="709">
        <v>102797</v>
      </c>
      <c r="C1052" s="710" t="s">
        <v>1323</v>
      </c>
      <c r="D1052" s="709" t="s">
        <v>136</v>
      </c>
      <c r="E1052" s="716">
        <v>72069.350000000006</v>
      </c>
      <c r="F1052" s="717">
        <v>0</v>
      </c>
      <c r="G1052">
        <f>VLOOKUP(B1052,'SINAPI-%MO'!B:E,4,0)</f>
        <v>0.24970000000000001</v>
      </c>
      <c r="H1052" s="225">
        <f t="shared" si="16"/>
        <v>54073.63</v>
      </c>
    </row>
    <row r="1053" spans="1:8" x14ac:dyDescent="0.3">
      <c r="A1053" s="400"/>
      <c r="B1053" s="709">
        <v>102768</v>
      </c>
      <c r="C1053" s="710" t="s">
        <v>1324</v>
      </c>
      <c r="D1053" s="709" t="s">
        <v>136</v>
      </c>
      <c r="E1053" s="716">
        <v>50925.86</v>
      </c>
      <c r="F1053" s="717">
        <v>0</v>
      </c>
      <c r="G1053">
        <f>VLOOKUP(B1053,'SINAPI-%MO'!B:E,4,0)</f>
        <v>0.249</v>
      </c>
      <c r="H1053" s="225">
        <f t="shared" si="16"/>
        <v>38245.32</v>
      </c>
    </row>
    <row r="1054" spans="1:8" x14ac:dyDescent="0.3">
      <c r="A1054" s="400"/>
      <c r="B1054" s="709">
        <v>102798</v>
      </c>
      <c r="C1054" s="710" t="s">
        <v>1325</v>
      </c>
      <c r="D1054" s="709" t="s">
        <v>136</v>
      </c>
      <c r="E1054" s="716">
        <v>88130.23</v>
      </c>
      <c r="F1054" s="717">
        <v>0</v>
      </c>
      <c r="G1054">
        <f>VLOOKUP(B1054,'SINAPI-%MO'!B:E,4,0)</f>
        <v>0.246</v>
      </c>
      <c r="H1054" s="225">
        <f t="shared" si="16"/>
        <v>66450.19</v>
      </c>
    </row>
    <row r="1055" spans="1:8" x14ac:dyDescent="0.3">
      <c r="A1055" s="400"/>
      <c r="B1055" s="709">
        <v>102744</v>
      </c>
      <c r="C1055" s="710" t="s">
        <v>1326</v>
      </c>
      <c r="D1055" s="709" t="s">
        <v>136</v>
      </c>
      <c r="E1055" s="716">
        <v>7296.75</v>
      </c>
      <c r="F1055" s="717">
        <v>0</v>
      </c>
      <c r="G1055">
        <f>VLOOKUP(B1055,'SINAPI-%MO'!B:E,4,0)</f>
        <v>0.27479999999999999</v>
      </c>
      <c r="H1055" s="225">
        <f t="shared" si="16"/>
        <v>5291.6</v>
      </c>
    </row>
    <row r="1056" spans="1:8" x14ac:dyDescent="0.3">
      <c r="A1056" s="400"/>
      <c r="B1056" s="709">
        <v>102755</v>
      </c>
      <c r="C1056" s="710" t="s">
        <v>1327</v>
      </c>
      <c r="D1056" s="709" t="s">
        <v>136</v>
      </c>
      <c r="E1056" s="716">
        <v>11268.92</v>
      </c>
      <c r="F1056" s="717">
        <v>0</v>
      </c>
      <c r="G1056">
        <f>VLOOKUP(B1056,'SINAPI-%MO'!B:E,4,0)</f>
        <v>0.25829999999999997</v>
      </c>
      <c r="H1056" s="225">
        <f t="shared" si="16"/>
        <v>8358.15</v>
      </c>
    </row>
    <row r="1057" spans="1:8" x14ac:dyDescent="0.3">
      <c r="A1057" s="400"/>
      <c r="B1057" s="709">
        <v>102782</v>
      </c>
      <c r="C1057" s="710" t="s">
        <v>1328</v>
      </c>
      <c r="D1057" s="709" t="s">
        <v>136</v>
      </c>
      <c r="E1057" s="716">
        <v>15445.87</v>
      </c>
      <c r="F1057" s="717">
        <v>0</v>
      </c>
      <c r="G1057">
        <f>VLOOKUP(B1057,'SINAPI-%MO'!B:E,4,0)</f>
        <v>0.27550000000000002</v>
      </c>
      <c r="H1057" s="225">
        <f t="shared" si="16"/>
        <v>11190.53</v>
      </c>
    </row>
    <row r="1058" spans="1:8" x14ac:dyDescent="0.3">
      <c r="A1058" s="400"/>
      <c r="B1058" s="709">
        <v>102745</v>
      </c>
      <c r="C1058" s="710" t="s">
        <v>1329</v>
      </c>
      <c r="D1058" s="709" t="s">
        <v>136</v>
      </c>
      <c r="E1058" s="716">
        <v>10240.469999999999</v>
      </c>
      <c r="F1058" s="717">
        <v>0</v>
      </c>
      <c r="G1058">
        <f>VLOOKUP(B1058,'SINAPI-%MO'!B:E,4,0)</f>
        <v>0.26879999999999998</v>
      </c>
      <c r="H1058" s="225">
        <f t="shared" si="16"/>
        <v>7487.83</v>
      </c>
    </row>
    <row r="1059" spans="1:8" x14ac:dyDescent="0.3">
      <c r="A1059" s="400"/>
      <c r="B1059" s="709">
        <v>102756</v>
      </c>
      <c r="C1059" s="710" t="s">
        <v>1330</v>
      </c>
      <c r="D1059" s="709" t="s">
        <v>136</v>
      </c>
      <c r="E1059" s="716">
        <v>16704.21</v>
      </c>
      <c r="F1059" s="717">
        <v>0</v>
      </c>
      <c r="G1059">
        <f>VLOOKUP(B1059,'SINAPI-%MO'!B:E,4,0)</f>
        <v>0.25090000000000001</v>
      </c>
      <c r="H1059" s="225">
        <f t="shared" si="16"/>
        <v>12513.12</v>
      </c>
    </row>
    <row r="1060" spans="1:8" x14ac:dyDescent="0.3">
      <c r="A1060" s="400"/>
      <c r="B1060" s="709">
        <v>102783</v>
      </c>
      <c r="C1060" s="710" t="s">
        <v>1331</v>
      </c>
      <c r="D1060" s="709" t="s">
        <v>136</v>
      </c>
      <c r="E1060" s="716">
        <v>20473.95</v>
      </c>
      <c r="F1060" s="717">
        <v>0</v>
      </c>
      <c r="G1060">
        <f>VLOOKUP(B1060,'SINAPI-%MO'!B:E,4,0)</f>
        <v>0.2797</v>
      </c>
      <c r="H1060" s="225">
        <f t="shared" si="16"/>
        <v>14747.38</v>
      </c>
    </row>
    <row r="1061" spans="1:8" x14ac:dyDescent="0.3">
      <c r="A1061" s="400"/>
      <c r="B1061" s="709">
        <v>102746</v>
      </c>
      <c r="C1061" s="710" t="s">
        <v>1332</v>
      </c>
      <c r="D1061" s="709" t="s">
        <v>136</v>
      </c>
      <c r="E1061" s="716">
        <v>17730.77</v>
      </c>
      <c r="F1061" s="717">
        <v>0</v>
      </c>
      <c r="G1061">
        <f>VLOOKUP(B1061,'SINAPI-%MO'!B:E,4,0)</f>
        <v>0.26229999999999998</v>
      </c>
      <c r="H1061" s="225">
        <f t="shared" si="16"/>
        <v>13079.98</v>
      </c>
    </row>
    <row r="1062" spans="1:8" x14ac:dyDescent="0.3">
      <c r="A1062" s="400"/>
      <c r="B1062" s="709">
        <v>102757</v>
      </c>
      <c r="C1062" s="710" t="s">
        <v>1333</v>
      </c>
      <c r="D1062" s="709" t="s">
        <v>136</v>
      </c>
      <c r="E1062" s="716">
        <v>31040.799999999999</v>
      </c>
      <c r="F1062" s="717">
        <v>0</v>
      </c>
      <c r="G1062">
        <f>VLOOKUP(B1062,'SINAPI-%MO'!B:E,4,0)</f>
        <v>0.2437</v>
      </c>
      <c r="H1062" s="225">
        <f t="shared" si="16"/>
        <v>23476.15</v>
      </c>
    </row>
    <row r="1063" spans="1:8" x14ac:dyDescent="0.3">
      <c r="A1063" s="400"/>
      <c r="B1063" s="709">
        <v>102784</v>
      </c>
      <c r="C1063" s="710" t="s">
        <v>1334</v>
      </c>
      <c r="D1063" s="709" t="s">
        <v>136</v>
      </c>
      <c r="E1063" s="716">
        <v>31463.55</v>
      </c>
      <c r="F1063" s="717">
        <v>0</v>
      </c>
      <c r="G1063">
        <f>VLOOKUP(B1063,'SINAPI-%MO'!B:E,4,0)</f>
        <v>0.2097</v>
      </c>
      <c r="H1063" s="225">
        <f t="shared" si="16"/>
        <v>24865.64</v>
      </c>
    </row>
    <row r="1064" spans="1:8" x14ac:dyDescent="0.3">
      <c r="A1064" s="400"/>
      <c r="B1064" s="709">
        <v>102779</v>
      </c>
      <c r="C1064" s="710" t="s">
        <v>1335</v>
      </c>
      <c r="D1064" s="709" t="s">
        <v>136</v>
      </c>
      <c r="E1064" s="716">
        <v>8177.38</v>
      </c>
      <c r="F1064" s="717">
        <v>0</v>
      </c>
      <c r="G1064">
        <f>VLOOKUP(B1064,'SINAPI-%MO'!B:E,4,0)</f>
        <v>0.29409999999999997</v>
      </c>
      <c r="H1064" s="225">
        <f t="shared" si="16"/>
        <v>5772.41</v>
      </c>
    </row>
    <row r="1065" spans="1:8" x14ac:dyDescent="0.3">
      <c r="A1065" s="400"/>
      <c r="B1065" s="709">
        <v>102780</v>
      </c>
      <c r="C1065" s="710" t="s">
        <v>1336</v>
      </c>
      <c r="D1065" s="709" t="s">
        <v>136</v>
      </c>
      <c r="E1065" s="716">
        <v>9410.61</v>
      </c>
      <c r="F1065" s="717">
        <v>0</v>
      </c>
      <c r="G1065">
        <f>VLOOKUP(B1065,'SINAPI-%MO'!B:E,4,0)</f>
        <v>0.29409999999999997</v>
      </c>
      <c r="H1065" s="225">
        <f t="shared" si="16"/>
        <v>6642.94</v>
      </c>
    </row>
    <row r="1066" spans="1:8" x14ac:dyDescent="0.3">
      <c r="A1066" s="400"/>
      <c r="B1066" s="709">
        <v>102743</v>
      </c>
      <c r="C1066" s="710" t="s">
        <v>1337</v>
      </c>
      <c r="D1066" s="709" t="s">
        <v>136</v>
      </c>
      <c r="E1066" s="716">
        <v>4879.49</v>
      </c>
      <c r="F1066" s="717">
        <v>0</v>
      </c>
      <c r="G1066">
        <f>VLOOKUP(B1066,'SINAPI-%MO'!B:E,4,0)</f>
        <v>0.28129999999999999</v>
      </c>
      <c r="H1066" s="225">
        <f t="shared" si="16"/>
        <v>3506.88</v>
      </c>
    </row>
    <row r="1067" spans="1:8" x14ac:dyDescent="0.3">
      <c r="A1067" s="400"/>
      <c r="B1067" s="709">
        <v>102781</v>
      </c>
      <c r="C1067" s="710" t="s">
        <v>1338</v>
      </c>
      <c r="D1067" s="709" t="s">
        <v>136</v>
      </c>
      <c r="E1067" s="716">
        <v>13935.87</v>
      </c>
      <c r="F1067" s="717">
        <v>0</v>
      </c>
      <c r="G1067">
        <f>VLOOKUP(B1067,'SINAPI-%MO'!B:E,4,0)</f>
        <v>0.29370000000000002</v>
      </c>
      <c r="H1067" s="225">
        <f t="shared" si="16"/>
        <v>9842.9</v>
      </c>
    </row>
    <row r="1068" spans="1:8" x14ac:dyDescent="0.3">
      <c r="A1068" s="400"/>
      <c r="B1068" s="709">
        <v>102761</v>
      </c>
      <c r="C1068" s="710" t="s">
        <v>1339</v>
      </c>
      <c r="D1068" s="709" t="s">
        <v>136</v>
      </c>
      <c r="E1068" s="716">
        <v>13960.32</v>
      </c>
      <c r="F1068" s="717">
        <v>0</v>
      </c>
      <c r="G1068">
        <f>VLOOKUP(B1068,'SINAPI-%MO'!B:E,4,0)</f>
        <v>0.29849999999999999</v>
      </c>
      <c r="H1068" s="225">
        <f t="shared" si="16"/>
        <v>9793.16</v>
      </c>
    </row>
    <row r="1069" spans="1:8" x14ac:dyDescent="0.3">
      <c r="A1069" s="400"/>
      <c r="B1069" s="709">
        <v>102791</v>
      </c>
      <c r="C1069" s="710" t="s">
        <v>1340</v>
      </c>
      <c r="D1069" s="709" t="s">
        <v>136</v>
      </c>
      <c r="E1069" s="716">
        <v>29653.09</v>
      </c>
      <c r="F1069" s="717">
        <v>0</v>
      </c>
      <c r="G1069">
        <f>VLOOKUP(B1069,'SINAPI-%MO'!B:E,4,0)</f>
        <v>0.26979999999999998</v>
      </c>
      <c r="H1069" s="225">
        <f t="shared" si="16"/>
        <v>21652.68</v>
      </c>
    </row>
    <row r="1070" spans="1:8" x14ac:dyDescent="0.3">
      <c r="A1070" s="400"/>
      <c r="B1070" s="709">
        <v>102762</v>
      </c>
      <c r="C1070" s="710" t="s">
        <v>1341</v>
      </c>
      <c r="D1070" s="709" t="s">
        <v>136</v>
      </c>
      <c r="E1070" s="716">
        <v>21538.62</v>
      </c>
      <c r="F1070" s="717">
        <v>0</v>
      </c>
      <c r="G1070">
        <f>VLOOKUP(B1070,'SINAPI-%MO'!B:E,4,0)</f>
        <v>0.2772</v>
      </c>
      <c r="H1070" s="225">
        <f t="shared" si="16"/>
        <v>15568.11</v>
      </c>
    </row>
    <row r="1071" spans="1:8" x14ac:dyDescent="0.3">
      <c r="A1071" s="400"/>
      <c r="B1071" s="709">
        <v>102792</v>
      </c>
      <c r="C1071" s="710" t="s">
        <v>1342</v>
      </c>
      <c r="D1071" s="709" t="s">
        <v>136</v>
      </c>
      <c r="E1071" s="716">
        <v>48104.59</v>
      </c>
      <c r="F1071" s="717">
        <v>0</v>
      </c>
      <c r="G1071">
        <f>VLOOKUP(B1071,'SINAPI-%MO'!B:E,4,0)</f>
        <v>0.25690000000000002</v>
      </c>
      <c r="H1071" s="225">
        <f t="shared" si="16"/>
        <v>35746.519999999997</v>
      </c>
    </row>
    <row r="1072" spans="1:8" x14ac:dyDescent="0.3">
      <c r="A1072" s="400"/>
      <c r="B1072" s="709">
        <v>102763</v>
      </c>
      <c r="C1072" s="710" t="s">
        <v>1343</v>
      </c>
      <c r="D1072" s="709" t="s">
        <v>136</v>
      </c>
      <c r="E1072" s="716">
        <v>29833.34</v>
      </c>
      <c r="F1072" s="717">
        <v>0</v>
      </c>
      <c r="G1072">
        <f>VLOOKUP(B1072,'SINAPI-%MO'!B:E,4,0)</f>
        <v>0.2702</v>
      </c>
      <c r="H1072" s="225">
        <f t="shared" si="16"/>
        <v>21772.37</v>
      </c>
    </row>
    <row r="1073" spans="1:8" x14ac:dyDescent="0.3">
      <c r="A1073" s="400"/>
      <c r="B1073" s="709">
        <v>102793</v>
      </c>
      <c r="C1073" s="710" t="s">
        <v>1344</v>
      </c>
      <c r="D1073" s="709" t="s">
        <v>136</v>
      </c>
      <c r="E1073" s="716">
        <v>64576.28</v>
      </c>
      <c r="F1073" s="717">
        <v>0</v>
      </c>
      <c r="G1073">
        <f>VLOOKUP(B1073,'SINAPI-%MO'!B:E,4,0)</f>
        <v>0.2417</v>
      </c>
      <c r="H1073" s="225">
        <f t="shared" si="16"/>
        <v>48968.19</v>
      </c>
    </row>
    <row r="1074" spans="1:8" x14ac:dyDescent="0.3">
      <c r="A1074" s="400"/>
      <c r="B1074" s="709">
        <v>102764</v>
      </c>
      <c r="C1074" s="710" t="s">
        <v>1345</v>
      </c>
      <c r="D1074" s="709" t="s">
        <v>136</v>
      </c>
      <c r="E1074" s="716">
        <v>41988.81</v>
      </c>
      <c r="F1074" s="717">
        <v>0</v>
      </c>
      <c r="G1074">
        <f>VLOOKUP(B1074,'SINAPI-%MO'!B:E,4,0)</f>
        <v>0.25109999999999999</v>
      </c>
      <c r="H1074" s="225">
        <f t="shared" si="16"/>
        <v>31445.41</v>
      </c>
    </row>
    <row r="1075" spans="1:8" x14ac:dyDescent="0.3">
      <c r="A1075" s="400"/>
      <c r="B1075" s="709">
        <v>102794</v>
      </c>
      <c r="C1075" s="710" t="s">
        <v>1346</v>
      </c>
      <c r="D1075" s="709" t="s">
        <v>136</v>
      </c>
      <c r="E1075" s="716">
        <v>92393.38</v>
      </c>
      <c r="F1075" s="717">
        <v>0</v>
      </c>
      <c r="G1075">
        <f>VLOOKUP(B1075,'SINAPI-%MO'!B:E,4,0)</f>
        <v>0.23649999999999999</v>
      </c>
      <c r="H1075" s="225">
        <f t="shared" si="16"/>
        <v>70542.34</v>
      </c>
    </row>
    <row r="1076" spans="1:8" x14ac:dyDescent="0.3">
      <c r="A1076" s="400"/>
      <c r="B1076" s="709">
        <v>102740</v>
      </c>
      <c r="C1076" s="710" t="s">
        <v>1347</v>
      </c>
      <c r="D1076" s="709" t="s">
        <v>136</v>
      </c>
      <c r="E1076" s="716">
        <v>6010.66</v>
      </c>
      <c r="F1076" s="717">
        <v>0</v>
      </c>
      <c r="G1076">
        <f>VLOOKUP(B1076,'SINAPI-%MO'!B:E,4,0)</f>
        <v>0.27639999999999998</v>
      </c>
      <c r="H1076" s="225">
        <f t="shared" si="16"/>
        <v>4349.3100000000004</v>
      </c>
    </row>
    <row r="1077" spans="1:8" x14ac:dyDescent="0.3">
      <c r="A1077" s="400"/>
      <c r="B1077" s="709">
        <v>102752</v>
      </c>
      <c r="C1077" s="710" t="s">
        <v>1348</v>
      </c>
      <c r="D1077" s="709" t="s">
        <v>136</v>
      </c>
      <c r="E1077" s="716">
        <v>8064.46</v>
      </c>
      <c r="F1077" s="717">
        <v>0</v>
      </c>
      <c r="G1077">
        <f>VLOOKUP(B1077,'SINAPI-%MO'!B:E,4,0)</f>
        <v>0.26450000000000001</v>
      </c>
      <c r="H1077" s="225">
        <f t="shared" si="16"/>
        <v>5931.41</v>
      </c>
    </row>
    <row r="1078" spans="1:8" x14ac:dyDescent="0.3">
      <c r="A1078" s="400"/>
      <c r="B1078" s="709">
        <v>102776</v>
      </c>
      <c r="C1078" s="710" t="s">
        <v>1349</v>
      </c>
      <c r="D1078" s="709" t="s">
        <v>136</v>
      </c>
      <c r="E1078" s="716">
        <v>12199.84</v>
      </c>
      <c r="F1078" s="717">
        <v>0</v>
      </c>
      <c r="G1078">
        <f>VLOOKUP(B1078,'SINAPI-%MO'!B:E,4,0)</f>
        <v>0.29370000000000002</v>
      </c>
      <c r="H1078" s="225">
        <f t="shared" si="16"/>
        <v>8616.74</v>
      </c>
    </row>
    <row r="1079" spans="1:8" x14ac:dyDescent="0.3">
      <c r="A1079" s="400"/>
      <c r="B1079" s="709">
        <v>102741</v>
      </c>
      <c r="C1079" s="710" t="s">
        <v>1350</v>
      </c>
      <c r="D1079" s="709" t="s">
        <v>136</v>
      </c>
      <c r="E1079" s="716">
        <v>8425.4</v>
      </c>
      <c r="F1079" s="717">
        <v>0</v>
      </c>
      <c r="G1079">
        <f>VLOOKUP(B1079,'SINAPI-%MO'!B:E,4,0)</f>
        <v>0.27060000000000001</v>
      </c>
      <c r="H1079" s="225">
        <f t="shared" si="16"/>
        <v>6145.48</v>
      </c>
    </row>
    <row r="1080" spans="1:8" x14ac:dyDescent="0.3">
      <c r="A1080" s="400"/>
      <c r="B1080" s="709">
        <v>102753</v>
      </c>
      <c r="C1080" s="710" t="s">
        <v>1351</v>
      </c>
      <c r="D1080" s="709" t="s">
        <v>136</v>
      </c>
      <c r="E1080" s="716">
        <v>11917.11</v>
      </c>
      <c r="F1080" s="717">
        <v>0</v>
      </c>
      <c r="G1080">
        <f>VLOOKUP(B1080,'SINAPI-%MO'!B:E,4,0)</f>
        <v>0.25719999999999998</v>
      </c>
      <c r="H1080" s="225">
        <f t="shared" si="16"/>
        <v>8852.02</v>
      </c>
    </row>
    <row r="1081" spans="1:8" x14ac:dyDescent="0.3">
      <c r="A1081" s="400"/>
      <c r="B1081" s="709">
        <v>102777</v>
      </c>
      <c r="C1081" s="710" t="s">
        <v>1352</v>
      </c>
      <c r="D1081" s="709" t="s">
        <v>136</v>
      </c>
      <c r="E1081" s="716">
        <v>18461.14</v>
      </c>
      <c r="F1081" s="717">
        <v>0</v>
      </c>
      <c r="G1081">
        <f>VLOOKUP(B1081,'SINAPI-%MO'!B:E,4,0)</f>
        <v>0.29349999999999998</v>
      </c>
      <c r="H1081" s="225">
        <f t="shared" si="16"/>
        <v>13042.79</v>
      </c>
    </row>
    <row r="1082" spans="1:8" x14ac:dyDescent="0.3">
      <c r="A1082" s="400"/>
      <c r="B1082" s="709">
        <v>102742</v>
      </c>
      <c r="C1082" s="710" t="s">
        <v>1353</v>
      </c>
      <c r="D1082" s="709" t="s">
        <v>136</v>
      </c>
      <c r="E1082" s="716">
        <v>14571.75</v>
      </c>
      <c r="F1082" s="717">
        <v>0</v>
      </c>
      <c r="G1082">
        <f>VLOOKUP(B1082,'SINAPI-%MO'!B:E,4,0)</f>
        <v>0.2646</v>
      </c>
      <c r="H1082" s="225">
        <f t="shared" si="16"/>
        <v>10716.06</v>
      </c>
    </row>
    <row r="1083" spans="1:8" x14ac:dyDescent="0.3">
      <c r="A1083" s="400"/>
      <c r="B1083" s="709">
        <v>102754</v>
      </c>
      <c r="C1083" s="710" t="s">
        <v>1354</v>
      </c>
      <c r="D1083" s="709" t="s">
        <v>136</v>
      </c>
      <c r="E1083" s="716">
        <v>22630.79</v>
      </c>
      <c r="F1083" s="717">
        <v>0</v>
      </c>
      <c r="G1083">
        <f>VLOOKUP(B1083,'SINAPI-%MO'!B:E,4,0)</f>
        <v>0.25</v>
      </c>
      <c r="H1083" s="225">
        <f t="shared" si="16"/>
        <v>16973.09</v>
      </c>
    </row>
    <row r="1084" spans="1:8" x14ac:dyDescent="0.3">
      <c r="A1084" s="400"/>
      <c r="B1084" s="709">
        <v>102778</v>
      </c>
      <c r="C1084" s="710" t="s">
        <v>1355</v>
      </c>
      <c r="D1084" s="709" t="s">
        <v>136</v>
      </c>
      <c r="E1084" s="716">
        <v>27129.41</v>
      </c>
      <c r="F1084" s="717">
        <v>0</v>
      </c>
      <c r="G1084">
        <f>VLOOKUP(B1084,'SINAPI-%MO'!B:E,4,0)</f>
        <v>0.22869999999999999</v>
      </c>
      <c r="H1084" s="225">
        <f t="shared" si="16"/>
        <v>20924.91</v>
      </c>
    </row>
    <row r="1085" spans="1:8" x14ac:dyDescent="0.3">
      <c r="A1085" s="400"/>
      <c r="B1085" s="709">
        <v>102737</v>
      </c>
      <c r="C1085" s="710" t="s">
        <v>1356</v>
      </c>
      <c r="D1085" s="709" t="s">
        <v>136</v>
      </c>
      <c r="E1085" s="716">
        <v>1176.08</v>
      </c>
      <c r="F1085" s="717">
        <v>0</v>
      </c>
      <c r="G1085">
        <f>VLOOKUP(B1085,'SINAPI-%MO'!B:E,4,0)</f>
        <v>0.3014</v>
      </c>
      <c r="H1085" s="225">
        <f t="shared" si="16"/>
        <v>821.6</v>
      </c>
    </row>
    <row r="1086" spans="1:8" x14ac:dyDescent="0.3">
      <c r="A1086" s="400"/>
      <c r="B1086" s="709">
        <v>102773</v>
      </c>
      <c r="C1086" s="710" t="s">
        <v>1357</v>
      </c>
      <c r="D1086" s="709" t="s">
        <v>136</v>
      </c>
      <c r="E1086" s="716">
        <v>8177.38</v>
      </c>
      <c r="F1086" s="717">
        <v>0</v>
      </c>
      <c r="G1086">
        <f>VLOOKUP(B1086,'SINAPI-%MO'!B:E,4,0)</f>
        <v>0.29409999999999997</v>
      </c>
      <c r="H1086" s="225">
        <f t="shared" si="16"/>
        <v>5772.41</v>
      </c>
    </row>
    <row r="1087" spans="1:8" x14ac:dyDescent="0.3">
      <c r="A1087" s="400"/>
      <c r="B1087" s="709">
        <v>102738</v>
      </c>
      <c r="C1087" s="710" t="s">
        <v>1358</v>
      </c>
      <c r="D1087" s="709" t="s">
        <v>136</v>
      </c>
      <c r="E1087" s="716">
        <v>2403.23</v>
      </c>
      <c r="F1087" s="717">
        <v>0</v>
      </c>
      <c r="G1087">
        <f>VLOOKUP(B1087,'SINAPI-%MO'!B:E,4,0)</f>
        <v>0.28910000000000002</v>
      </c>
      <c r="H1087" s="225">
        <f t="shared" si="16"/>
        <v>1708.45</v>
      </c>
    </row>
    <row r="1088" spans="1:8" x14ac:dyDescent="0.3">
      <c r="A1088" s="400"/>
      <c r="B1088" s="709">
        <v>102750</v>
      </c>
      <c r="C1088" s="710" t="s">
        <v>1359</v>
      </c>
      <c r="D1088" s="709" t="s">
        <v>136</v>
      </c>
      <c r="E1088" s="716">
        <v>2927.76</v>
      </c>
      <c r="F1088" s="717">
        <v>0</v>
      </c>
      <c r="G1088">
        <f>VLOOKUP(B1088,'SINAPI-%MO'!B:E,4,0)</f>
        <v>0.28460000000000002</v>
      </c>
      <c r="H1088" s="225">
        <f t="shared" si="16"/>
        <v>2094.5100000000002</v>
      </c>
    </row>
    <row r="1089" spans="1:8" x14ac:dyDescent="0.3">
      <c r="A1089" s="400"/>
      <c r="B1089" s="709">
        <v>102774</v>
      </c>
      <c r="C1089" s="710" t="s">
        <v>1360</v>
      </c>
      <c r="D1089" s="709" t="s">
        <v>136</v>
      </c>
      <c r="E1089" s="716">
        <v>8177.38</v>
      </c>
      <c r="F1089" s="717">
        <v>0</v>
      </c>
      <c r="G1089">
        <f>VLOOKUP(B1089,'SINAPI-%MO'!B:E,4,0)</f>
        <v>0.29409999999999997</v>
      </c>
      <c r="H1089" s="225">
        <f t="shared" si="16"/>
        <v>5772.41</v>
      </c>
    </row>
    <row r="1090" spans="1:8" x14ac:dyDescent="0.3">
      <c r="A1090" s="400"/>
      <c r="B1090" s="709">
        <v>102739</v>
      </c>
      <c r="C1090" s="710" t="s">
        <v>1361</v>
      </c>
      <c r="D1090" s="709" t="s">
        <v>136</v>
      </c>
      <c r="E1090" s="716">
        <v>4016.34</v>
      </c>
      <c r="F1090" s="717">
        <v>0</v>
      </c>
      <c r="G1090">
        <f>VLOOKUP(B1090,'SINAPI-%MO'!B:E,4,0)</f>
        <v>0.28270000000000001</v>
      </c>
      <c r="H1090" s="225">
        <f t="shared" si="16"/>
        <v>2880.92</v>
      </c>
    </row>
    <row r="1091" spans="1:8" x14ac:dyDescent="0.3">
      <c r="A1091" s="400"/>
      <c r="B1091" s="709">
        <v>102751</v>
      </c>
      <c r="C1091" s="710" t="s">
        <v>1362</v>
      </c>
      <c r="D1091" s="709" t="s">
        <v>136</v>
      </c>
      <c r="E1091" s="716">
        <v>5072.1499999999996</v>
      </c>
      <c r="F1091" s="717">
        <v>0</v>
      </c>
      <c r="G1091">
        <f>VLOOKUP(B1091,'SINAPI-%MO'!B:E,4,0)</f>
        <v>0.27310000000000001</v>
      </c>
      <c r="H1091" s="225">
        <f t="shared" si="16"/>
        <v>3686.94</v>
      </c>
    </row>
    <row r="1092" spans="1:8" x14ac:dyDescent="0.3">
      <c r="A1092" s="400"/>
      <c r="B1092" s="709">
        <v>102775</v>
      </c>
      <c r="C1092" s="710" t="s">
        <v>1363</v>
      </c>
      <c r="D1092" s="709" t="s">
        <v>136</v>
      </c>
      <c r="E1092" s="716">
        <v>12199.84</v>
      </c>
      <c r="F1092" s="717">
        <v>0</v>
      </c>
      <c r="G1092">
        <f>VLOOKUP(B1092,'SINAPI-%MO'!B:E,4,0)</f>
        <v>0.29370000000000002</v>
      </c>
      <c r="H1092" s="225">
        <f t="shared" si="16"/>
        <v>8616.74</v>
      </c>
    </row>
    <row r="1093" spans="1:8" x14ac:dyDescent="0.3">
      <c r="A1093" s="400"/>
      <c r="B1093" s="709">
        <v>102769</v>
      </c>
      <c r="C1093" s="710" t="s">
        <v>1364</v>
      </c>
      <c r="D1093" s="709" t="s">
        <v>136</v>
      </c>
      <c r="E1093" s="716">
        <v>20296.18</v>
      </c>
      <c r="F1093" s="717">
        <v>0</v>
      </c>
      <c r="G1093">
        <f>VLOOKUP(B1093,'SINAPI-%MO'!B:E,4,0)</f>
        <v>0.28889999999999999</v>
      </c>
      <c r="H1093" s="225">
        <f t="shared" si="16"/>
        <v>14432.61</v>
      </c>
    </row>
    <row r="1094" spans="1:8" x14ac:dyDescent="0.3">
      <c r="A1094" s="400"/>
      <c r="B1094" s="709">
        <v>102799</v>
      </c>
      <c r="C1094" s="710" t="s">
        <v>1365</v>
      </c>
      <c r="D1094" s="709" t="s">
        <v>136</v>
      </c>
      <c r="E1094" s="716">
        <v>32318.91</v>
      </c>
      <c r="F1094" s="717">
        <v>0</v>
      </c>
      <c r="G1094">
        <f>VLOOKUP(B1094,'SINAPI-%MO'!B:E,4,0)</f>
        <v>0.27079999999999999</v>
      </c>
      <c r="H1094" s="225">
        <f t="shared" si="16"/>
        <v>23566.94</v>
      </c>
    </row>
    <row r="1095" spans="1:8" x14ac:dyDescent="0.3">
      <c r="A1095" s="400"/>
      <c r="B1095" s="709">
        <v>102770</v>
      </c>
      <c r="C1095" s="710" t="s">
        <v>1366</v>
      </c>
      <c r="D1095" s="709" t="s">
        <v>136</v>
      </c>
      <c r="E1095" s="716">
        <v>31061.78</v>
      </c>
      <c r="F1095" s="717">
        <v>0</v>
      </c>
      <c r="G1095">
        <f>VLOOKUP(B1095,'SINAPI-%MO'!B:E,4,0)</f>
        <v>0.27379999999999999</v>
      </c>
      <c r="H1095" s="225">
        <f t="shared" si="16"/>
        <v>22557.06</v>
      </c>
    </row>
    <row r="1096" spans="1:8" x14ac:dyDescent="0.3">
      <c r="A1096" s="400"/>
      <c r="B1096" s="709">
        <v>102800</v>
      </c>
      <c r="C1096" s="710" t="s">
        <v>1367</v>
      </c>
      <c r="D1096" s="709" t="s">
        <v>136</v>
      </c>
      <c r="E1096" s="716">
        <v>55872.51</v>
      </c>
      <c r="F1096" s="717">
        <v>0</v>
      </c>
      <c r="G1096">
        <f>VLOOKUP(B1096,'SINAPI-%MO'!B:E,4,0)</f>
        <v>0.25650000000000001</v>
      </c>
      <c r="H1096" s="225">
        <f t="shared" si="16"/>
        <v>41541.21</v>
      </c>
    </row>
    <row r="1097" spans="1:8" x14ac:dyDescent="0.3">
      <c r="A1097" s="400"/>
      <c r="B1097" s="709">
        <v>102771</v>
      </c>
      <c r="C1097" s="710" t="s">
        <v>1368</v>
      </c>
      <c r="D1097" s="709" t="s">
        <v>136</v>
      </c>
      <c r="E1097" s="716">
        <v>43176.27</v>
      </c>
      <c r="F1097" s="717">
        <v>0</v>
      </c>
      <c r="G1097">
        <f>VLOOKUP(B1097,'SINAPI-%MO'!B:E,4,0)</f>
        <v>0.26669999999999999</v>
      </c>
      <c r="H1097" s="225">
        <f t="shared" si="16"/>
        <v>31661.15</v>
      </c>
    </row>
    <row r="1098" spans="1:8" x14ac:dyDescent="0.3">
      <c r="A1098" s="400"/>
      <c r="B1098" s="709">
        <v>102801</v>
      </c>
      <c r="C1098" s="710" t="s">
        <v>1369</v>
      </c>
      <c r="D1098" s="709" t="s">
        <v>136</v>
      </c>
      <c r="E1098" s="716">
        <v>78120.56</v>
      </c>
      <c r="F1098" s="717">
        <v>0</v>
      </c>
      <c r="G1098">
        <f>VLOOKUP(B1098,'SINAPI-%MO'!B:E,4,0)</f>
        <v>0.2487</v>
      </c>
      <c r="H1098" s="225">
        <f t="shared" si="16"/>
        <v>58691.97</v>
      </c>
    </row>
    <row r="1099" spans="1:8" x14ac:dyDescent="0.3">
      <c r="A1099" s="400"/>
      <c r="B1099" s="709">
        <v>102772</v>
      </c>
      <c r="C1099" s="710" t="s">
        <v>1370</v>
      </c>
      <c r="D1099" s="709" t="s">
        <v>136</v>
      </c>
      <c r="E1099" s="716">
        <v>60423.89</v>
      </c>
      <c r="F1099" s="717">
        <v>0</v>
      </c>
      <c r="G1099">
        <f>VLOOKUP(B1099,'SINAPI-%MO'!B:E,4,0)</f>
        <v>0.24679999999999999</v>
      </c>
      <c r="H1099" s="225">
        <f t="shared" ref="H1099:H1162" si="17">IF(E1099&gt;0,TRUNC(E1099*(1-G1099),2),"")</f>
        <v>45511.27</v>
      </c>
    </row>
    <row r="1100" spans="1:8" x14ac:dyDescent="0.3">
      <c r="A1100" s="400"/>
      <c r="B1100" s="709">
        <v>102802</v>
      </c>
      <c r="C1100" s="710" t="s">
        <v>1371</v>
      </c>
      <c r="D1100" s="709" t="s">
        <v>136</v>
      </c>
      <c r="E1100" s="716">
        <v>93636.479999999996</v>
      </c>
      <c r="F1100" s="717">
        <v>0</v>
      </c>
      <c r="G1100">
        <f>VLOOKUP(B1100,'SINAPI-%MO'!B:E,4,0)</f>
        <v>0.2467</v>
      </c>
      <c r="H1100" s="225">
        <f t="shared" si="17"/>
        <v>70536.36</v>
      </c>
    </row>
    <row r="1101" spans="1:8" x14ac:dyDescent="0.3">
      <c r="A1101" s="400"/>
      <c r="B1101" s="709">
        <v>102747</v>
      </c>
      <c r="C1101" s="710" t="s">
        <v>1372</v>
      </c>
      <c r="D1101" s="709" t="s">
        <v>136</v>
      </c>
      <c r="E1101" s="716">
        <v>9064.67</v>
      </c>
      <c r="F1101" s="717">
        <v>0</v>
      </c>
      <c r="G1101">
        <f>VLOOKUP(B1101,'SINAPI-%MO'!B:E,4,0)</f>
        <v>0.27160000000000001</v>
      </c>
      <c r="H1101" s="225">
        <f t="shared" si="17"/>
        <v>6602.7</v>
      </c>
    </row>
    <row r="1102" spans="1:8" x14ac:dyDescent="0.3">
      <c r="A1102" s="400"/>
      <c r="B1102" s="709">
        <v>102758</v>
      </c>
      <c r="C1102" s="710" t="s">
        <v>1373</v>
      </c>
      <c r="D1102" s="709" t="s">
        <v>136</v>
      </c>
      <c r="E1102" s="716">
        <v>14486.35</v>
      </c>
      <c r="F1102" s="717">
        <v>0</v>
      </c>
      <c r="G1102">
        <f>VLOOKUP(B1102,'SINAPI-%MO'!B:E,4,0)</f>
        <v>0.255</v>
      </c>
      <c r="H1102" s="225">
        <f t="shared" si="17"/>
        <v>10792.33</v>
      </c>
    </row>
    <row r="1103" spans="1:8" x14ac:dyDescent="0.3">
      <c r="A1103" s="400"/>
      <c r="B1103" s="709">
        <v>102788</v>
      </c>
      <c r="C1103" s="710" t="s">
        <v>1374</v>
      </c>
      <c r="D1103" s="709" t="s">
        <v>136</v>
      </c>
      <c r="E1103" s="716">
        <v>16913.48</v>
      </c>
      <c r="F1103" s="717">
        <v>0</v>
      </c>
      <c r="G1103">
        <f>VLOOKUP(B1103,'SINAPI-%MO'!B:E,4,0)</f>
        <v>0.25729999999999997</v>
      </c>
      <c r="H1103" s="225">
        <f t="shared" si="17"/>
        <v>12561.64</v>
      </c>
    </row>
    <row r="1104" spans="1:8" x14ac:dyDescent="0.3">
      <c r="A1104" s="400"/>
      <c r="B1104" s="709">
        <v>102748</v>
      </c>
      <c r="C1104" s="710" t="s">
        <v>1375</v>
      </c>
      <c r="D1104" s="709" t="s">
        <v>136</v>
      </c>
      <c r="E1104" s="716">
        <v>12666.69</v>
      </c>
      <c r="F1104" s="717">
        <v>0</v>
      </c>
      <c r="G1104">
        <f>VLOOKUP(B1104,'SINAPI-%MO'!B:E,4,0)</f>
        <v>0.26579999999999998</v>
      </c>
      <c r="H1104" s="225">
        <f t="shared" si="17"/>
        <v>9299.8799999999992</v>
      </c>
    </row>
    <row r="1105" spans="1:8" x14ac:dyDescent="0.3">
      <c r="A1105" s="400"/>
      <c r="B1105" s="709">
        <v>102759</v>
      </c>
      <c r="C1105" s="710" t="s">
        <v>1376</v>
      </c>
      <c r="D1105" s="709" t="s">
        <v>136</v>
      </c>
      <c r="E1105" s="716">
        <v>21510.92</v>
      </c>
      <c r="F1105" s="717">
        <v>0</v>
      </c>
      <c r="G1105">
        <f>VLOOKUP(B1105,'SINAPI-%MO'!B:E,4,0)</f>
        <v>0.24759999999999999</v>
      </c>
      <c r="H1105" s="225">
        <f t="shared" si="17"/>
        <v>16184.81</v>
      </c>
    </row>
    <row r="1106" spans="1:8" x14ac:dyDescent="0.3">
      <c r="A1106" s="400"/>
      <c r="B1106" s="709">
        <v>102789</v>
      </c>
      <c r="C1106" s="710" t="s">
        <v>1377</v>
      </c>
      <c r="D1106" s="709" t="s">
        <v>136</v>
      </c>
      <c r="E1106" s="716">
        <v>22232.46</v>
      </c>
      <c r="F1106" s="717">
        <v>0</v>
      </c>
      <c r="G1106">
        <f>VLOOKUP(B1106,'SINAPI-%MO'!B:E,4,0)</f>
        <v>0.25390000000000001</v>
      </c>
      <c r="H1106" s="225">
        <f t="shared" si="17"/>
        <v>16587.63</v>
      </c>
    </row>
    <row r="1107" spans="1:8" x14ac:dyDescent="0.3">
      <c r="A1107" s="400"/>
      <c r="B1107" s="709">
        <v>102749</v>
      </c>
      <c r="C1107" s="710" t="s">
        <v>1378</v>
      </c>
      <c r="D1107" s="709" t="s">
        <v>136</v>
      </c>
      <c r="E1107" s="716">
        <v>21722.45</v>
      </c>
      <c r="F1107" s="717">
        <v>0</v>
      </c>
      <c r="G1107">
        <f>VLOOKUP(B1107,'SINAPI-%MO'!B:E,4,0)</f>
        <v>0.25940000000000002</v>
      </c>
      <c r="H1107" s="225">
        <f t="shared" si="17"/>
        <v>16087.64</v>
      </c>
    </row>
    <row r="1108" spans="1:8" x14ac:dyDescent="0.3">
      <c r="A1108" s="400"/>
      <c r="B1108" s="709">
        <v>102760</v>
      </c>
      <c r="C1108" s="710" t="s">
        <v>1379</v>
      </c>
      <c r="D1108" s="709" t="s">
        <v>136</v>
      </c>
      <c r="E1108" s="716">
        <v>39604.22</v>
      </c>
      <c r="F1108" s="717">
        <v>0</v>
      </c>
      <c r="G1108">
        <f>VLOOKUP(B1108,'SINAPI-%MO'!B:E,4,0)</f>
        <v>0.24049999999999999</v>
      </c>
      <c r="H1108" s="225">
        <f t="shared" si="17"/>
        <v>30079.4</v>
      </c>
    </row>
    <row r="1109" spans="1:8" x14ac:dyDescent="0.3">
      <c r="A1109" s="400"/>
      <c r="B1109" s="709">
        <v>102790</v>
      </c>
      <c r="C1109" s="710" t="s">
        <v>1380</v>
      </c>
      <c r="D1109" s="709" t="s">
        <v>136</v>
      </c>
      <c r="E1109" s="716">
        <v>36504.06</v>
      </c>
      <c r="F1109" s="717">
        <v>0</v>
      </c>
      <c r="G1109">
        <f>VLOOKUP(B1109,'SINAPI-%MO'!B:E,4,0)</f>
        <v>0.2213</v>
      </c>
      <c r="H1109" s="225">
        <f t="shared" si="17"/>
        <v>28425.71</v>
      </c>
    </row>
    <row r="1110" spans="1:8" x14ac:dyDescent="0.3">
      <c r="A1110" s="400"/>
      <c r="B1110" s="709">
        <v>102785</v>
      </c>
      <c r="C1110" s="710" t="s">
        <v>1381</v>
      </c>
      <c r="D1110" s="709" t="s">
        <v>136</v>
      </c>
      <c r="E1110" s="716">
        <v>9410.61</v>
      </c>
      <c r="F1110" s="717">
        <v>0</v>
      </c>
      <c r="G1110">
        <f>VLOOKUP(B1110,'SINAPI-%MO'!B:E,4,0)</f>
        <v>0.29409999999999997</v>
      </c>
      <c r="H1110" s="225">
        <f t="shared" si="17"/>
        <v>6642.94</v>
      </c>
    </row>
    <row r="1111" spans="1:8" x14ac:dyDescent="0.3">
      <c r="A1111" s="400"/>
      <c r="B1111" s="709">
        <v>102786</v>
      </c>
      <c r="C1111" s="710" t="s">
        <v>1382</v>
      </c>
      <c r="D1111" s="709" t="s">
        <v>136</v>
      </c>
      <c r="E1111" s="716">
        <v>10417.799999999999</v>
      </c>
      <c r="F1111" s="717">
        <v>0</v>
      </c>
      <c r="G1111">
        <f>VLOOKUP(B1111,'SINAPI-%MO'!B:E,4,0)</f>
        <v>0.2671</v>
      </c>
      <c r="H1111" s="225">
        <f t="shared" si="17"/>
        <v>7635.2</v>
      </c>
    </row>
    <row r="1112" spans="1:8" x14ac:dyDescent="0.3">
      <c r="A1112" s="400"/>
      <c r="B1112" s="709">
        <v>102787</v>
      </c>
      <c r="C1112" s="710" t="s">
        <v>1383</v>
      </c>
      <c r="D1112" s="709" t="s">
        <v>136</v>
      </c>
      <c r="E1112" s="716">
        <v>15445.87</v>
      </c>
      <c r="F1112" s="717">
        <v>0</v>
      </c>
      <c r="G1112">
        <f>VLOOKUP(B1112,'SINAPI-%MO'!B:E,4,0)</f>
        <v>0.27550000000000002</v>
      </c>
      <c r="H1112" s="225">
        <f t="shared" si="17"/>
        <v>11190.53</v>
      </c>
    </row>
    <row r="1113" spans="1:8" x14ac:dyDescent="0.3">
      <c r="A1113" s="400"/>
      <c r="B1113" s="709">
        <v>102736</v>
      </c>
      <c r="C1113" s="710" t="s">
        <v>1384</v>
      </c>
      <c r="D1113" s="709" t="s">
        <v>170</v>
      </c>
      <c r="E1113" s="716">
        <v>803.66</v>
      </c>
      <c r="F1113" s="717">
        <v>0</v>
      </c>
      <c r="G1113">
        <f>VLOOKUP(B1113,'SINAPI-%MO'!B:E,4,0)</f>
        <v>6.6299999999999998E-2</v>
      </c>
      <c r="H1113" s="225">
        <f t="shared" si="17"/>
        <v>750.37</v>
      </c>
    </row>
    <row r="1114" spans="1:8" x14ac:dyDescent="0.3">
      <c r="A1114" s="400"/>
      <c r="B1114" s="709">
        <v>102727</v>
      </c>
      <c r="C1114" s="710" t="s">
        <v>1385</v>
      </c>
      <c r="D1114" s="709" t="s">
        <v>168</v>
      </c>
      <c r="E1114" s="716">
        <v>108.2</v>
      </c>
      <c r="F1114" s="717">
        <v>0</v>
      </c>
      <c r="G1114">
        <f>VLOOKUP(B1114,'SINAPI-%MO'!B:E,4,0)</f>
        <v>0.46600000000000003</v>
      </c>
      <c r="H1114" s="225">
        <f t="shared" si="17"/>
        <v>57.77</v>
      </c>
    </row>
    <row r="1115" spans="1:8" x14ac:dyDescent="0.3">
      <c r="A1115" s="400"/>
      <c r="B1115" s="709">
        <v>102111</v>
      </c>
      <c r="C1115" s="710" t="s">
        <v>13273</v>
      </c>
      <c r="D1115" s="709" t="s">
        <v>136</v>
      </c>
      <c r="E1115" s="716">
        <v>1271.04</v>
      </c>
      <c r="F1115" s="717">
        <v>4.5999999999999999E-3</v>
      </c>
      <c r="G1115">
        <f>VLOOKUP(B1115,'SINAPI-%MO'!B:E,4,0)</f>
        <v>0.16930000000000001</v>
      </c>
      <c r="H1115" s="225">
        <f t="shared" si="17"/>
        <v>1055.8499999999999</v>
      </c>
    </row>
    <row r="1116" spans="1:8" x14ac:dyDescent="0.3">
      <c r="A1116" s="400"/>
      <c r="B1116" s="709">
        <v>102113</v>
      </c>
      <c r="C1116" s="710" t="s">
        <v>13274</v>
      </c>
      <c r="D1116" s="709" t="s">
        <v>136</v>
      </c>
      <c r="E1116" s="716">
        <v>1994.26</v>
      </c>
      <c r="F1116" s="717">
        <v>2.8999999999999998E-3</v>
      </c>
      <c r="G1116">
        <f>VLOOKUP(B1116,'SINAPI-%MO'!B:E,4,0)</f>
        <v>0.10979999999999999</v>
      </c>
      <c r="H1116" s="225">
        <f t="shared" si="17"/>
        <v>1775.29</v>
      </c>
    </row>
    <row r="1117" spans="1:8" x14ac:dyDescent="0.3">
      <c r="A1117" s="400"/>
      <c r="B1117" s="709">
        <v>102116</v>
      </c>
      <c r="C1117" s="710" t="s">
        <v>13275</v>
      </c>
      <c r="D1117" s="709" t="s">
        <v>136</v>
      </c>
      <c r="E1117" s="716">
        <v>2126.27</v>
      </c>
      <c r="F1117" s="717">
        <v>2.7000000000000001E-3</v>
      </c>
      <c r="G1117">
        <f>VLOOKUP(B1117,'SINAPI-%MO'!B:E,4,0)</f>
        <v>0.1052</v>
      </c>
      <c r="H1117" s="225">
        <f t="shared" si="17"/>
        <v>1902.58</v>
      </c>
    </row>
    <row r="1118" spans="1:8" x14ac:dyDescent="0.3">
      <c r="A1118" s="400"/>
      <c r="B1118" s="709">
        <v>102132</v>
      </c>
      <c r="C1118" s="710" t="s">
        <v>14877</v>
      </c>
      <c r="D1118" s="709" t="s">
        <v>136</v>
      </c>
      <c r="E1118" s="716">
        <v>0</v>
      </c>
      <c r="F1118" s="717"/>
      <c r="G1118" t="e">
        <f>VLOOKUP(B1118,'SINAPI-%MO'!B:E,4,0)</f>
        <v>#N/A</v>
      </c>
      <c r="H1118" s="225" t="str">
        <f t="shared" si="17"/>
        <v/>
      </c>
    </row>
    <row r="1119" spans="1:8" x14ac:dyDescent="0.3">
      <c r="A1119" s="400"/>
      <c r="B1119" s="709">
        <v>102115</v>
      </c>
      <c r="C1119" s="710" t="s">
        <v>13276</v>
      </c>
      <c r="D1119" s="709" t="s">
        <v>136</v>
      </c>
      <c r="E1119" s="716">
        <v>3376.53</v>
      </c>
      <c r="F1119" s="717">
        <v>1.6999999999999999E-3</v>
      </c>
      <c r="G1119">
        <f>VLOOKUP(B1119,'SINAPI-%MO'!B:E,4,0)</f>
        <v>6.6299999999999998E-2</v>
      </c>
      <c r="H1119" s="225">
        <f t="shared" si="17"/>
        <v>3152.66</v>
      </c>
    </row>
    <row r="1120" spans="1:8" x14ac:dyDescent="0.3">
      <c r="A1120" s="400"/>
      <c r="B1120" s="709">
        <v>102122</v>
      </c>
      <c r="C1120" s="710" t="s">
        <v>13277</v>
      </c>
      <c r="D1120" s="709" t="s">
        <v>136</v>
      </c>
      <c r="E1120" s="716">
        <v>9618.09</v>
      </c>
      <c r="F1120" s="717">
        <v>5.9999999999999995E-4</v>
      </c>
      <c r="G1120">
        <f>VLOOKUP(B1120,'SINAPI-%MO'!B:E,4,0)</f>
        <v>2.93E-2</v>
      </c>
      <c r="H1120" s="225">
        <f t="shared" si="17"/>
        <v>9336.27</v>
      </c>
    </row>
    <row r="1121" spans="1:8" x14ac:dyDescent="0.3">
      <c r="A1121" s="400"/>
      <c r="B1121" s="709">
        <v>102118</v>
      </c>
      <c r="C1121" s="710" t="s">
        <v>13278</v>
      </c>
      <c r="D1121" s="709" t="s">
        <v>136</v>
      </c>
      <c r="E1121" s="716">
        <v>2879.75</v>
      </c>
      <c r="F1121" s="717">
        <v>2E-3</v>
      </c>
      <c r="G1121">
        <f>VLOOKUP(B1121,'SINAPI-%MO'!B:E,4,0)</f>
        <v>7.9100000000000004E-2</v>
      </c>
      <c r="H1121" s="225">
        <f t="shared" si="17"/>
        <v>2651.96</v>
      </c>
    </row>
    <row r="1122" spans="1:8" x14ac:dyDescent="0.3">
      <c r="A1122" s="400"/>
      <c r="B1122" s="709">
        <v>102133</v>
      </c>
      <c r="C1122" s="710" t="s">
        <v>14878</v>
      </c>
      <c r="D1122" s="709" t="s">
        <v>136</v>
      </c>
      <c r="E1122" s="716">
        <v>0</v>
      </c>
      <c r="F1122" s="717"/>
      <c r="G1122" t="e">
        <f>VLOOKUP(B1122,'SINAPI-%MO'!B:E,4,0)</f>
        <v>#N/A</v>
      </c>
      <c r="H1122" s="225" t="str">
        <f t="shared" si="17"/>
        <v/>
      </c>
    </row>
    <row r="1123" spans="1:8" x14ac:dyDescent="0.3">
      <c r="A1123" s="400"/>
      <c r="B1123" s="709">
        <v>102126</v>
      </c>
      <c r="C1123" s="710" t="s">
        <v>13279</v>
      </c>
      <c r="D1123" s="709" t="s">
        <v>136</v>
      </c>
      <c r="E1123" s="716">
        <v>14685.98</v>
      </c>
      <c r="F1123" s="717">
        <v>0</v>
      </c>
      <c r="G1123">
        <f>VLOOKUP(B1123,'SINAPI-%MO'!B:E,4,0)</f>
        <v>2.52E-2</v>
      </c>
      <c r="H1123" s="225">
        <f t="shared" si="17"/>
        <v>14315.89</v>
      </c>
    </row>
    <row r="1124" spans="1:8" x14ac:dyDescent="0.3">
      <c r="A1124" s="400"/>
      <c r="B1124" s="709">
        <v>102137</v>
      </c>
      <c r="C1124" s="710" t="s">
        <v>13280</v>
      </c>
      <c r="D1124" s="709" t="s">
        <v>136</v>
      </c>
      <c r="E1124" s="716">
        <v>135.29</v>
      </c>
      <c r="F1124" s="717">
        <v>0</v>
      </c>
      <c r="G1124">
        <f>VLOOKUP(B1124,'SINAPI-%MO'!B:E,4,0)</f>
        <v>0.65129999999999999</v>
      </c>
      <c r="H1124" s="225">
        <f t="shared" si="17"/>
        <v>47.17</v>
      </c>
    </row>
    <row r="1125" spans="1:8" x14ac:dyDescent="0.3">
      <c r="A1125" s="400"/>
      <c r="B1125" s="709">
        <v>106258</v>
      </c>
      <c r="C1125" s="710" t="s">
        <v>14879</v>
      </c>
      <c r="D1125" s="709" t="s">
        <v>136</v>
      </c>
      <c r="E1125" s="716">
        <v>0</v>
      </c>
      <c r="F1125" s="717"/>
      <c r="G1125" t="e">
        <f>VLOOKUP(B1125,'SINAPI-%MO'!B:E,4,0)</f>
        <v>#N/A</v>
      </c>
      <c r="H1125" s="225" t="str">
        <f t="shared" si="17"/>
        <v/>
      </c>
    </row>
    <row r="1126" spans="1:8" x14ac:dyDescent="0.3">
      <c r="A1126" s="400"/>
      <c r="B1126" s="709">
        <v>102112</v>
      </c>
      <c r="C1126" s="710" t="s">
        <v>13281</v>
      </c>
      <c r="D1126" s="709" t="s">
        <v>136</v>
      </c>
      <c r="E1126" s="716">
        <v>221.88</v>
      </c>
      <c r="F1126" s="717">
        <v>2.63E-2</v>
      </c>
      <c r="G1126">
        <f>VLOOKUP(B1126,'SINAPI-%MO'!B:E,4,0)</f>
        <v>0.9698</v>
      </c>
      <c r="H1126" s="225">
        <f t="shared" si="17"/>
        <v>6.7</v>
      </c>
    </row>
    <row r="1127" spans="1:8" x14ac:dyDescent="0.3">
      <c r="A1127" s="400"/>
      <c r="B1127" s="709">
        <v>102114</v>
      </c>
      <c r="C1127" s="710" t="s">
        <v>13282</v>
      </c>
      <c r="D1127" s="709" t="s">
        <v>136</v>
      </c>
      <c r="E1127" s="716">
        <v>225.73</v>
      </c>
      <c r="F1127" s="717">
        <v>2.5899999999999999E-2</v>
      </c>
      <c r="G1127">
        <f>VLOOKUP(B1127,'SINAPI-%MO'!B:E,4,0)</f>
        <v>0.97040000000000004</v>
      </c>
      <c r="H1127" s="225">
        <f t="shared" si="17"/>
        <v>6.68</v>
      </c>
    </row>
    <row r="1128" spans="1:8" x14ac:dyDescent="0.3">
      <c r="A1128" s="400"/>
      <c r="B1128" s="709">
        <v>102117</v>
      </c>
      <c r="C1128" s="710" t="s">
        <v>13283</v>
      </c>
      <c r="D1128" s="709" t="s">
        <v>136</v>
      </c>
      <c r="E1128" s="716">
        <v>230.4</v>
      </c>
      <c r="F1128" s="717">
        <v>2.53E-2</v>
      </c>
      <c r="G1128">
        <f>VLOOKUP(B1128,'SINAPI-%MO'!B:E,4,0)</f>
        <v>0.97099999999999997</v>
      </c>
      <c r="H1128" s="225">
        <f t="shared" si="17"/>
        <v>6.68</v>
      </c>
    </row>
    <row r="1129" spans="1:8" x14ac:dyDescent="0.3">
      <c r="A1129" s="400"/>
      <c r="B1129" s="709">
        <v>102123</v>
      </c>
      <c r="C1129" s="710" t="s">
        <v>13284</v>
      </c>
      <c r="D1129" s="709" t="s">
        <v>136</v>
      </c>
      <c r="E1129" s="716">
        <v>288.41000000000003</v>
      </c>
      <c r="F1129" s="717">
        <v>2.0199999999999999E-2</v>
      </c>
      <c r="G1129">
        <f>VLOOKUP(B1129,'SINAPI-%MO'!B:E,4,0)</f>
        <v>0.9768</v>
      </c>
      <c r="H1129" s="225">
        <f t="shared" si="17"/>
        <v>6.69</v>
      </c>
    </row>
    <row r="1130" spans="1:8" x14ac:dyDescent="0.3">
      <c r="A1130" s="400"/>
      <c r="B1130" s="709">
        <v>102119</v>
      </c>
      <c r="C1130" s="710" t="s">
        <v>13285</v>
      </c>
      <c r="D1130" s="709" t="s">
        <v>136</v>
      </c>
      <c r="E1130" s="716">
        <v>234.42</v>
      </c>
      <c r="F1130" s="717">
        <v>2.4899999999999999E-2</v>
      </c>
      <c r="G1130">
        <f>VLOOKUP(B1130,'SINAPI-%MO'!B:E,4,0)</f>
        <v>0.97150000000000003</v>
      </c>
      <c r="H1130" s="225">
        <f t="shared" si="17"/>
        <v>6.68</v>
      </c>
    </row>
    <row r="1131" spans="1:8" x14ac:dyDescent="0.3">
      <c r="A1131" s="400"/>
      <c r="B1131" s="709">
        <v>102127</v>
      </c>
      <c r="C1131" s="710" t="s">
        <v>13286</v>
      </c>
      <c r="D1131" s="709" t="s">
        <v>136</v>
      </c>
      <c r="E1131" s="716">
        <v>854.67</v>
      </c>
      <c r="F1131" s="717">
        <v>0</v>
      </c>
      <c r="G1131">
        <f>VLOOKUP(B1131,'SINAPI-%MO'!B:E,4,0)</f>
        <v>0.43280000000000002</v>
      </c>
      <c r="H1131" s="225">
        <f t="shared" si="17"/>
        <v>484.76</v>
      </c>
    </row>
    <row r="1132" spans="1:8" x14ac:dyDescent="0.3">
      <c r="A1132" s="400"/>
      <c r="B1132" s="709">
        <v>102121</v>
      </c>
      <c r="C1132" s="710" t="s">
        <v>13287</v>
      </c>
      <c r="D1132" s="709" t="s">
        <v>136</v>
      </c>
      <c r="E1132" s="716">
        <v>276.44</v>
      </c>
      <c r="F1132" s="717">
        <v>2.1100000000000001E-2</v>
      </c>
      <c r="G1132">
        <f>VLOOKUP(B1132,'SINAPI-%MO'!B:E,4,0)</f>
        <v>0.9758</v>
      </c>
      <c r="H1132" s="225">
        <f t="shared" si="17"/>
        <v>6.68</v>
      </c>
    </row>
    <row r="1133" spans="1:8" x14ac:dyDescent="0.3">
      <c r="A1133" s="400"/>
      <c r="B1133" s="709">
        <v>102138</v>
      </c>
      <c r="C1133" s="710" t="s">
        <v>13288</v>
      </c>
      <c r="D1133" s="709" t="s">
        <v>136</v>
      </c>
      <c r="E1133" s="716">
        <v>307.89999999999998</v>
      </c>
      <c r="F1133" s="717">
        <v>1.9E-2</v>
      </c>
      <c r="G1133">
        <f>VLOOKUP(B1133,'SINAPI-%MO'!B:E,4,0)</f>
        <v>0.97829999999999995</v>
      </c>
      <c r="H1133" s="225">
        <f t="shared" si="17"/>
        <v>6.68</v>
      </c>
    </row>
    <row r="1134" spans="1:8" x14ac:dyDescent="0.3">
      <c r="A1134" s="400"/>
      <c r="B1134" s="709">
        <v>102129</v>
      </c>
      <c r="C1134" s="710" t="s">
        <v>13289</v>
      </c>
      <c r="D1134" s="709" t="s">
        <v>136</v>
      </c>
      <c r="E1134" s="716">
        <v>1109.27</v>
      </c>
      <c r="F1134" s="717">
        <v>0</v>
      </c>
      <c r="G1134">
        <f>VLOOKUP(B1134,'SINAPI-%MO'!B:E,4,0)</f>
        <v>0.39319999999999999</v>
      </c>
      <c r="H1134" s="225">
        <f t="shared" si="17"/>
        <v>673.1</v>
      </c>
    </row>
    <row r="1135" spans="1:8" x14ac:dyDescent="0.3">
      <c r="A1135" s="400"/>
      <c r="B1135" s="709">
        <v>102131</v>
      </c>
      <c r="C1135" s="710" t="s">
        <v>13290</v>
      </c>
      <c r="D1135" s="709" t="s">
        <v>136</v>
      </c>
      <c r="E1135" s="716">
        <v>1195.3</v>
      </c>
      <c r="F1135" s="717">
        <v>0</v>
      </c>
      <c r="G1135">
        <f>VLOOKUP(B1135,'SINAPI-%MO'!B:E,4,0)</f>
        <v>0.43690000000000001</v>
      </c>
      <c r="H1135" s="225">
        <f t="shared" si="17"/>
        <v>673.07</v>
      </c>
    </row>
    <row r="1136" spans="1:8" x14ac:dyDescent="0.3">
      <c r="A1136" s="400"/>
      <c r="B1136" s="709">
        <v>102120</v>
      </c>
      <c r="C1136" s="710" t="s">
        <v>14880</v>
      </c>
      <c r="D1136" s="709" t="s">
        <v>136</v>
      </c>
      <c r="E1136" s="716">
        <v>0</v>
      </c>
      <c r="F1136" s="717"/>
      <c r="G1136" t="e">
        <f>VLOOKUP(B1136,'SINAPI-%MO'!B:E,4,0)</f>
        <v>#N/A</v>
      </c>
      <c r="H1136" s="225" t="str">
        <f t="shared" si="17"/>
        <v/>
      </c>
    </row>
    <row r="1137" spans="1:8" x14ac:dyDescent="0.3">
      <c r="A1137" s="400"/>
      <c r="B1137" s="709">
        <v>102334</v>
      </c>
      <c r="C1137" s="710" t="s">
        <v>14881</v>
      </c>
      <c r="D1137" s="709" t="s">
        <v>136</v>
      </c>
      <c r="E1137" s="716">
        <v>0</v>
      </c>
      <c r="F1137" s="717"/>
      <c r="G1137" t="e">
        <f>VLOOKUP(B1137,'SINAPI-%MO'!B:E,4,0)</f>
        <v>#N/A</v>
      </c>
      <c r="H1137" s="225" t="str">
        <f t="shared" si="17"/>
        <v/>
      </c>
    </row>
    <row r="1138" spans="1:8" x14ac:dyDescent="0.3">
      <c r="A1138" s="400"/>
      <c r="B1138" s="709">
        <v>102128</v>
      </c>
      <c r="C1138" s="710" t="s">
        <v>14882</v>
      </c>
      <c r="D1138" s="709" t="s">
        <v>136</v>
      </c>
      <c r="E1138" s="716">
        <v>0</v>
      </c>
      <c r="F1138" s="717"/>
      <c r="G1138" t="e">
        <f>VLOOKUP(B1138,'SINAPI-%MO'!B:E,4,0)</f>
        <v>#N/A</v>
      </c>
      <c r="H1138" s="225" t="str">
        <f t="shared" si="17"/>
        <v/>
      </c>
    </row>
    <row r="1139" spans="1:8" x14ac:dyDescent="0.3">
      <c r="A1139" s="400"/>
      <c r="B1139" s="709">
        <v>102130</v>
      </c>
      <c r="C1139" s="710" t="s">
        <v>14883</v>
      </c>
      <c r="D1139" s="709" t="s">
        <v>136</v>
      </c>
      <c r="E1139" s="716">
        <v>0</v>
      </c>
      <c r="F1139" s="717"/>
      <c r="G1139" t="e">
        <f>VLOOKUP(B1139,'SINAPI-%MO'!B:E,4,0)</f>
        <v>#N/A</v>
      </c>
      <c r="H1139" s="225" t="str">
        <f t="shared" si="17"/>
        <v/>
      </c>
    </row>
    <row r="1140" spans="1:8" x14ac:dyDescent="0.3">
      <c r="A1140" s="400"/>
      <c r="B1140" s="709">
        <v>104941</v>
      </c>
      <c r="C1140" s="710" t="s">
        <v>1386</v>
      </c>
      <c r="D1140" s="709" t="s">
        <v>168</v>
      </c>
      <c r="E1140" s="716">
        <v>0</v>
      </c>
      <c r="F1140" s="717"/>
      <c r="G1140" t="e">
        <f>VLOOKUP(B1140,'SINAPI-%MO'!B:E,4,0)</f>
        <v>#N/A</v>
      </c>
      <c r="H1140" s="225" t="str">
        <f t="shared" si="17"/>
        <v/>
      </c>
    </row>
    <row r="1141" spans="1:8" x14ac:dyDescent="0.3">
      <c r="A1141" s="400"/>
      <c r="B1141" s="709">
        <v>104942</v>
      </c>
      <c r="C1141" s="710" t="s">
        <v>1387</v>
      </c>
      <c r="D1141" s="709" t="s">
        <v>168</v>
      </c>
      <c r="E1141" s="716">
        <v>0</v>
      </c>
      <c r="F1141" s="717"/>
      <c r="G1141" t="e">
        <f>VLOOKUP(B1141,'SINAPI-%MO'!B:E,4,0)</f>
        <v>#N/A</v>
      </c>
      <c r="H1141" s="225" t="str">
        <f t="shared" si="17"/>
        <v/>
      </c>
    </row>
    <row r="1142" spans="1:8" x14ac:dyDescent="0.3">
      <c r="A1142" s="400"/>
      <c r="B1142" s="709">
        <v>104940</v>
      </c>
      <c r="C1142" s="710" t="s">
        <v>1388</v>
      </c>
      <c r="D1142" s="709" t="s">
        <v>136</v>
      </c>
      <c r="E1142" s="716">
        <v>0</v>
      </c>
      <c r="F1142" s="717"/>
      <c r="G1142" t="e">
        <f>VLOOKUP(B1142,'SINAPI-%MO'!B:E,4,0)</f>
        <v>#N/A</v>
      </c>
      <c r="H1142" s="225" t="str">
        <f t="shared" si="17"/>
        <v/>
      </c>
    </row>
    <row r="1143" spans="1:8" x14ac:dyDescent="0.3">
      <c r="A1143" s="400"/>
      <c r="B1143" s="709">
        <v>104943</v>
      </c>
      <c r="C1143" s="710" t="s">
        <v>1389</v>
      </c>
      <c r="D1143" s="709" t="s">
        <v>168</v>
      </c>
      <c r="E1143" s="716">
        <v>0</v>
      </c>
      <c r="F1143" s="717"/>
      <c r="G1143" t="e">
        <f>VLOOKUP(B1143,'SINAPI-%MO'!B:E,4,0)</f>
        <v>#N/A</v>
      </c>
      <c r="H1143" s="225" t="str">
        <f t="shared" si="17"/>
        <v/>
      </c>
    </row>
    <row r="1144" spans="1:8" x14ac:dyDescent="0.3">
      <c r="A1144" s="400"/>
      <c r="B1144" s="709">
        <v>101801</v>
      </c>
      <c r="C1144" s="710" t="s">
        <v>1390</v>
      </c>
      <c r="D1144" s="709" t="s">
        <v>136</v>
      </c>
      <c r="E1144" s="716">
        <v>1171.04</v>
      </c>
      <c r="F1144" s="717">
        <v>0.28079999999999999</v>
      </c>
      <c r="G1144">
        <f>VLOOKUP(B1144,'SINAPI-%MO'!B:E,4,0)</f>
        <v>0.3241</v>
      </c>
      <c r="H1144" s="225">
        <f t="shared" si="17"/>
        <v>791.5</v>
      </c>
    </row>
    <row r="1145" spans="1:8" x14ac:dyDescent="0.3">
      <c r="A1145" s="400"/>
      <c r="B1145" s="709">
        <v>101800</v>
      </c>
      <c r="C1145" s="710" t="s">
        <v>1391</v>
      </c>
      <c r="D1145" s="709" t="s">
        <v>136</v>
      </c>
      <c r="E1145" s="716">
        <v>1582.21</v>
      </c>
      <c r="F1145" s="717">
        <v>0.20780000000000001</v>
      </c>
      <c r="G1145">
        <f>VLOOKUP(B1145,'SINAPI-%MO'!B:E,4,0)</f>
        <v>0.38850000000000001</v>
      </c>
      <c r="H1145" s="225">
        <f t="shared" si="17"/>
        <v>967.52</v>
      </c>
    </row>
    <row r="1146" spans="1:8" x14ac:dyDescent="0.3">
      <c r="A1146" s="400"/>
      <c r="B1146" s="709">
        <v>98108</v>
      </c>
      <c r="C1146" s="710" t="s">
        <v>1392</v>
      </c>
      <c r="D1146" s="709" t="s">
        <v>136</v>
      </c>
      <c r="E1146" s="716">
        <v>572.85</v>
      </c>
      <c r="F1146" s="717">
        <v>0</v>
      </c>
      <c r="G1146">
        <f>VLOOKUP(B1146,'SINAPI-%MO'!B:E,4,0)</f>
        <v>0.58479999999999999</v>
      </c>
      <c r="H1146" s="225">
        <f t="shared" si="17"/>
        <v>237.84</v>
      </c>
    </row>
    <row r="1147" spans="1:8" x14ac:dyDescent="0.3">
      <c r="A1147" s="400"/>
      <c r="B1147" s="709">
        <v>98105</v>
      </c>
      <c r="C1147" s="710" t="s">
        <v>1393</v>
      </c>
      <c r="D1147" s="709" t="s">
        <v>136</v>
      </c>
      <c r="E1147" s="716">
        <v>718.35</v>
      </c>
      <c r="F1147" s="717">
        <v>0</v>
      </c>
      <c r="G1147">
        <f>VLOOKUP(B1147,'SINAPI-%MO'!B:E,4,0)</f>
        <v>0.61509999999999998</v>
      </c>
      <c r="H1147" s="225">
        <f t="shared" si="17"/>
        <v>276.49</v>
      </c>
    </row>
    <row r="1148" spans="1:8" x14ac:dyDescent="0.3">
      <c r="A1148" s="400"/>
      <c r="B1148" s="709">
        <v>98109</v>
      </c>
      <c r="C1148" s="710" t="s">
        <v>1394</v>
      </c>
      <c r="D1148" s="709" t="s">
        <v>136</v>
      </c>
      <c r="E1148" s="716">
        <v>931.79</v>
      </c>
      <c r="F1148" s="717">
        <v>0</v>
      </c>
      <c r="G1148">
        <f>VLOOKUP(B1148,'SINAPI-%MO'!B:E,4,0)</f>
        <v>0.57930000000000004</v>
      </c>
      <c r="H1148" s="225">
        <f t="shared" si="17"/>
        <v>392</v>
      </c>
    </row>
    <row r="1149" spans="1:8" x14ac:dyDescent="0.3">
      <c r="A1149" s="400"/>
      <c r="B1149" s="709">
        <v>98106</v>
      </c>
      <c r="C1149" s="710" t="s">
        <v>1395</v>
      </c>
      <c r="D1149" s="709" t="s">
        <v>136</v>
      </c>
      <c r="E1149" s="716">
        <v>1184.27</v>
      </c>
      <c r="F1149" s="717">
        <v>0</v>
      </c>
      <c r="G1149">
        <f>VLOOKUP(B1149,'SINAPI-%MO'!B:E,4,0)</f>
        <v>0.61170000000000002</v>
      </c>
      <c r="H1149" s="225">
        <f t="shared" si="17"/>
        <v>459.85</v>
      </c>
    </row>
    <row r="1150" spans="1:8" x14ac:dyDescent="0.3">
      <c r="A1150" s="400"/>
      <c r="B1150" s="709">
        <v>98110</v>
      </c>
      <c r="C1150" s="710" t="s">
        <v>1396</v>
      </c>
      <c r="D1150" s="709" t="s">
        <v>136</v>
      </c>
      <c r="E1150" s="716">
        <v>566.11</v>
      </c>
      <c r="F1150" s="717">
        <v>0</v>
      </c>
      <c r="G1150">
        <f>VLOOKUP(B1150,'SINAPI-%MO'!B:E,4,0)</f>
        <v>2.92E-2</v>
      </c>
      <c r="H1150" s="225">
        <f t="shared" si="17"/>
        <v>549.57000000000005</v>
      </c>
    </row>
    <row r="1151" spans="1:8" x14ac:dyDescent="0.3">
      <c r="A1151" s="400"/>
      <c r="B1151" s="709">
        <v>98107</v>
      </c>
      <c r="C1151" s="710" t="s">
        <v>1397</v>
      </c>
      <c r="D1151" s="709" t="s">
        <v>136</v>
      </c>
      <c r="E1151" s="716">
        <v>321.31</v>
      </c>
      <c r="F1151" s="717">
        <v>0</v>
      </c>
      <c r="G1151">
        <f>VLOOKUP(B1151,'SINAPI-%MO'!B:E,4,0)</f>
        <v>0.57399999999999995</v>
      </c>
      <c r="H1151" s="225">
        <f t="shared" si="17"/>
        <v>136.87</v>
      </c>
    </row>
    <row r="1152" spans="1:8" x14ac:dyDescent="0.3">
      <c r="A1152" s="400"/>
      <c r="B1152" s="709">
        <v>98104</v>
      </c>
      <c r="C1152" s="710" t="s">
        <v>1398</v>
      </c>
      <c r="D1152" s="709" t="s">
        <v>136</v>
      </c>
      <c r="E1152" s="716">
        <v>411.35</v>
      </c>
      <c r="F1152" s="717">
        <v>0</v>
      </c>
      <c r="G1152">
        <f>VLOOKUP(B1152,'SINAPI-%MO'!B:E,4,0)</f>
        <v>0.60929999999999995</v>
      </c>
      <c r="H1152" s="225">
        <f t="shared" si="17"/>
        <v>160.71</v>
      </c>
    </row>
    <row r="1153" spans="1:8" x14ac:dyDescent="0.3">
      <c r="A1153" s="400"/>
      <c r="B1153" s="709">
        <v>98102</v>
      </c>
      <c r="C1153" s="710" t="s">
        <v>1399</v>
      </c>
      <c r="D1153" s="709" t="s">
        <v>136</v>
      </c>
      <c r="E1153" s="716">
        <v>209.62</v>
      </c>
      <c r="F1153" s="717">
        <v>0</v>
      </c>
      <c r="G1153">
        <f>VLOOKUP(B1153,'SINAPI-%MO'!B:E,4,0)</f>
        <v>3.04E-2</v>
      </c>
      <c r="H1153" s="225">
        <f t="shared" si="17"/>
        <v>203.24</v>
      </c>
    </row>
    <row r="1154" spans="1:8" x14ac:dyDescent="0.3">
      <c r="A1154" s="400"/>
      <c r="B1154" s="709">
        <v>98111</v>
      </c>
      <c r="C1154" s="710" t="s">
        <v>1400</v>
      </c>
      <c r="D1154" s="709" t="s">
        <v>136</v>
      </c>
      <c r="E1154" s="716">
        <v>73.75</v>
      </c>
      <c r="F1154" s="717">
        <v>0</v>
      </c>
      <c r="G1154">
        <f>VLOOKUP(B1154,'SINAPI-%MO'!B:E,4,0)</f>
        <v>0.123</v>
      </c>
      <c r="H1154" s="225">
        <f t="shared" si="17"/>
        <v>64.67</v>
      </c>
    </row>
    <row r="1155" spans="1:8" x14ac:dyDescent="0.3">
      <c r="A1155" s="400"/>
      <c r="B1155" s="709">
        <v>97891</v>
      </c>
      <c r="C1155" s="710" t="s">
        <v>1401</v>
      </c>
      <c r="D1155" s="709" t="s">
        <v>136</v>
      </c>
      <c r="E1155" s="716">
        <v>234.78</v>
      </c>
      <c r="F1155" s="717">
        <v>0</v>
      </c>
      <c r="G1155">
        <f>VLOOKUP(B1155,'SINAPI-%MO'!B:E,4,0)</f>
        <v>0.60680000000000001</v>
      </c>
      <c r="H1155" s="225">
        <f t="shared" si="17"/>
        <v>92.31</v>
      </c>
    </row>
    <row r="1156" spans="1:8" x14ac:dyDescent="0.3">
      <c r="A1156" s="400"/>
      <c r="B1156" s="709">
        <v>97892</v>
      </c>
      <c r="C1156" s="710" t="s">
        <v>1402</v>
      </c>
      <c r="D1156" s="709" t="s">
        <v>136</v>
      </c>
      <c r="E1156" s="716">
        <v>442.78</v>
      </c>
      <c r="F1156" s="717">
        <v>0</v>
      </c>
      <c r="G1156">
        <f>VLOOKUP(B1156,'SINAPI-%MO'!B:E,4,0)</f>
        <v>0.57850000000000001</v>
      </c>
      <c r="H1156" s="225">
        <f t="shared" si="17"/>
        <v>186.63</v>
      </c>
    </row>
    <row r="1157" spans="1:8" x14ac:dyDescent="0.3">
      <c r="A1157" s="400"/>
      <c r="B1157" s="709">
        <v>97893</v>
      </c>
      <c r="C1157" s="710" t="s">
        <v>1403</v>
      </c>
      <c r="D1157" s="709" t="s">
        <v>136</v>
      </c>
      <c r="E1157" s="716">
        <v>609.4</v>
      </c>
      <c r="F1157" s="717">
        <v>0</v>
      </c>
      <c r="G1157">
        <f>VLOOKUP(B1157,'SINAPI-%MO'!B:E,4,0)</f>
        <v>0.58299999999999996</v>
      </c>
      <c r="H1157" s="225">
        <f t="shared" si="17"/>
        <v>254.11</v>
      </c>
    </row>
    <row r="1158" spans="1:8" x14ac:dyDescent="0.3">
      <c r="A1158" s="400"/>
      <c r="B1158" s="709">
        <v>97894</v>
      </c>
      <c r="C1158" s="710" t="s">
        <v>1404</v>
      </c>
      <c r="D1158" s="709" t="s">
        <v>136</v>
      </c>
      <c r="E1158" s="716">
        <v>686.57</v>
      </c>
      <c r="F1158" s="717">
        <v>0</v>
      </c>
      <c r="G1158">
        <f>VLOOKUP(B1158,'SINAPI-%MO'!B:E,4,0)</f>
        <v>0.50539999999999996</v>
      </c>
      <c r="H1158" s="225">
        <f t="shared" si="17"/>
        <v>339.57</v>
      </c>
    </row>
    <row r="1159" spans="1:8" x14ac:dyDescent="0.3">
      <c r="A1159" s="400"/>
      <c r="B1159" s="709">
        <v>97886</v>
      </c>
      <c r="C1159" s="710" t="s">
        <v>1405</v>
      </c>
      <c r="D1159" s="709" t="s">
        <v>136</v>
      </c>
      <c r="E1159" s="716">
        <v>184.55</v>
      </c>
      <c r="F1159" s="717">
        <v>0</v>
      </c>
      <c r="G1159">
        <f>VLOOKUP(B1159,'SINAPI-%MO'!B:E,4,0)</f>
        <v>0.63270000000000004</v>
      </c>
      <c r="H1159" s="225">
        <f t="shared" si="17"/>
        <v>67.78</v>
      </c>
    </row>
    <row r="1160" spans="1:8" x14ac:dyDescent="0.3">
      <c r="A1160" s="400"/>
      <c r="B1160" s="709">
        <v>97887</v>
      </c>
      <c r="C1160" s="710" t="s">
        <v>1406</v>
      </c>
      <c r="D1160" s="709" t="s">
        <v>136</v>
      </c>
      <c r="E1160" s="716">
        <v>291.16000000000003</v>
      </c>
      <c r="F1160" s="717">
        <v>0</v>
      </c>
      <c r="G1160">
        <f>VLOOKUP(B1160,'SINAPI-%MO'!B:E,4,0)</f>
        <v>0.63080000000000003</v>
      </c>
      <c r="H1160" s="225">
        <f t="shared" si="17"/>
        <v>107.49</v>
      </c>
    </row>
    <row r="1161" spans="1:8" x14ac:dyDescent="0.3">
      <c r="A1161" s="400"/>
      <c r="B1161" s="709">
        <v>97888</v>
      </c>
      <c r="C1161" s="710" t="s">
        <v>1407</v>
      </c>
      <c r="D1161" s="709" t="s">
        <v>136</v>
      </c>
      <c r="E1161" s="716">
        <v>561.95000000000005</v>
      </c>
      <c r="F1161" s="717">
        <v>0</v>
      </c>
      <c r="G1161">
        <f>VLOOKUP(B1161,'SINAPI-%MO'!B:E,4,0)</f>
        <v>0.6109</v>
      </c>
      <c r="H1161" s="225">
        <f t="shared" si="17"/>
        <v>218.65</v>
      </c>
    </row>
    <row r="1162" spans="1:8" x14ac:dyDescent="0.3">
      <c r="A1162" s="400"/>
      <c r="B1162" s="709">
        <v>97889</v>
      </c>
      <c r="C1162" s="710" t="s">
        <v>1408</v>
      </c>
      <c r="D1162" s="709" t="s">
        <v>136</v>
      </c>
      <c r="E1162" s="716">
        <v>761.41</v>
      </c>
      <c r="F1162" s="717">
        <v>0</v>
      </c>
      <c r="G1162">
        <f>VLOOKUP(B1162,'SINAPI-%MO'!B:E,4,0)</f>
        <v>0.61260000000000003</v>
      </c>
      <c r="H1162" s="225">
        <f t="shared" si="17"/>
        <v>294.97000000000003</v>
      </c>
    </row>
    <row r="1163" spans="1:8" x14ac:dyDescent="0.3">
      <c r="A1163" s="400"/>
      <c r="B1163" s="709">
        <v>97890</v>
      </c>
      <c r="C1163" s="710" t="s">
        <v>1409</v>
      </c>
      <c r="D1163" s="709" t="s">
        <v>136</v>
      </c>
      <c r="E1163" s="716">
        <v>870.77</v>
      </c>
      <c r="F1163" s="717">
        <v>0</v>
      </c>
      <c r="G1163">
        <f>VLOOKUP(B1163,'SINAPI-%MO'!B:E,4,0)</f>
        <v>0.55320000000000003</v>
      </c>
      <c r="H1163" s="225">
        <f t="shared" ref="H1163:H1226" si="18">IF(E1163&gt;0,TRUNC(E1163*(1-G1163),2),"")</f>
        <v>389.06</v>
      </c>
    </row>
    <row r="1164" spans="1:8" x14ac:dyDescent="0.3">
      <c r="A1164" s="400"/>
      <c r="B1164" s="709">
        <v>97881</v>
      </c>
      <c r="C1164" s="710" t="s">
        <v>1410</v>
      </c>
      <c r="D1164" s="709" t="s">
        <v>136</v>
      </c>
      <c r="E1164" s="716">
        <v>157.41</v>
      </c>
      <c r="F1164" s="717">
        <v>0</v>
      </c>
      <c r="G1164">
        <f>VLOOKUP(B1164,'SINAPI-%MO'!B:E,4,0)</f>
        <v>0.19470000000000001</v>
      </c>
      <c r="H1164" s="225">
        <f t="shared" si="18"/>
        <v>126.76</v>
      </c>
    </row>
    <row r="1165" spans="1:8" x14ac:dyDescent="0.3">
      <c r="A1165" s="400"/>
      <c r="B1165" s="709">
        <v>97882</v>
      </c>
      <c r="C1165" s="710" t="s">
        <v>1411</v>
      </c>
      <c r="D1165" s="709" t="s">
        <v>136</v>
      </c>
      <c r="E1165" s="716">
        <v>250.07</v>
      </c>
      <c r="F1165" s="717">
        <v>0</v>
      </c>
      <c r="G1165">
        <f>VLOOKUP(B1165,'SINAPI-%MO'!B:E,4,0)</f>
        <v>0.1754</v>
      </c>
      <c r="H1165" s="225">
        <f t="shared" si="18"/>
        <v>206.2</v>
      </c>
    </row>
    <row r="1166" spans="1:8" x14ac:dyDescent="0.3">
      <c r="A1166" s="400"/>
      <c r="B1166" s="709">
        <v>97883</v>
      </c>
      <c r="C1166" s="710" t="s">
        <v>1412</v>
      </c>
      <c r="D1166" s="709" t="s">
        <v>136</v>
      </c>
      <c r="E1166" s="716">
        <v>482.83</v>
      </c>
      <c r="F1166" s="717">
        <v>0</v>
      </c>
      <c r="G1166">
        <f>VLOOKUP(B1166,'SINAPI-%MO'!B:E,4,0)</f>
        <v>0.1573</v>
      </c>
      <c r="H1166" s="225">
        <f t="shared" si="18"/>
        <v>406.88</v>
      </c>
    </row>
    <row r="1167" spans="1:8" x14ac:dyDescent="0.3">
      <c r="A1167" s="400"/>
      <c r="B1167" s="709">
        <v>97884</v>
      </c>
      <c r="C1167" s="710" t="s">
        <v>1413</v>
      </c>
      <c r="D1167" s="709" t="s">
        <v>136</v>
      </c>
      <c r="E1167" s="716">
        <v>952.71</v>
      </c>
      <c r="F1167" s="717">
        <v>0</v>
      </c>
      <c r="G1167">
        <f>VLOOKUP(B1167,'SINAPI-%MO'!B:E,4,0)</f>
        <v>0.13389999999999999</v>
      </c>
      <c r="H1167" s="225">
        <f t="shared" si="18"/>
        <v>825.14</v>
      </c>
    </row>
    <row r="1168" spans="1:8" x14ac:dyDescent="0.3">
      <c r="A1168" s="400"/>
      <c r="B1168" s="709">
        <v>97885</v>
      </c>
      <c r="C1168" s="710" t="s">
        <v>1414</v>
      </c>
      <c r="D1168" s="709" t="s">
        <v>136</v>
      </c>
      <c r="E1168" s="716">
        <v>1478.82</v>
      </c>
      <c r="F1168" s="717">
        <v>0</v>
      </c>
      <c r="G1168">
        <f>VLOOKUP(B1168,'SINAPI-%MO'!B:E,4,0)</f>
        <v>0.1205</v>
      </c>
      <c r="H1168" s="225">
        <f t="shared" si="18"/>
        <v>1300.6199999999999</v>
      </c>
    </row>
    <row r="1169" spans="1:8" x14ac:dyDescent="0.3">
      <c r="A1169" s="400"/>
      <c r="B1169" s="709">
        <v>99250</v>
      </c>
      <c r="C1169" s="710" t="s">
        <v>1415</v>
      </c>
      <c r="D1169" s="709" t="s">
        <v>136</v>
      </c>
      <c r="E1169" s="716">
        <v>203.25</v>
      </c>
      <c r="F1169" s="717">
        <v>0</v>
      </c>
      <c r="G1169">
        <f>VLOOKUP(B1169,'SINAPI-%MO'!B:E,4,0)</f>
        <v>0.61380000000000001</v>
      </c>
      <c r="H1169" s="225">
        <f t="shared" si="18"/>
        <v>78.489999999999995</v>
      </c>
    </row>
    <row r="1170" spans="1:8" x14ac:dyDescent="0.3">
      <c r="A1170" s="400"/>
      <c r="B1170" s="709">
        <v>97900</v>
      </c>
      <c r="C1170" s="710" t="s">
        <v>1416</v>
      </c>
      <c r="D1170" s="709" t="s">
        <v>136</v>
      </c>
      <c r="E1170" s="716">
        <v>208.24</v>
      </c>
      <c r="F1170" s="717">
        <v>0</v>
      </c>
      <c r="G1170">
        <f>VLOOKUP(B1170,'SINAPI-%MO'!B:E,4,0)</f>
        <v>0.60129999999999995</v>
      </c>
      <c r="H1170" s="225">
        <f t="shared" si="18"/>
        <v>83.02</v>
      </c>
    </row>
    <row r="1171" spans="1:8" x14ac:dyDescent="0.3">
      <c r="A1171" s="400"/>
      <c r="B1171" s="709">
        <v>99251</v>
      </c>
      <c r="C1171" s="710" t="s">
        <v>1417</v>
      </c>
      <c r="D1171" s="709" t="s">
        <v>136</v>
      </c>
      <c r="E1171" s="716">
        <v>318.77999999999997</v>
      </c>
      <c r="F1171" s="717">
        <v>0</v>
      </c>
      <c r="G1171">
        <f>VLOOKUP(B1171,'SINAPI-%MO'!B:E,4,0)</f>
        <v>0.6179</v>
      </c>
      <c r="H1171" s="225">
        <f t="shared" si="18"/>
        <v>121.8</v>
      </c>
    </row>
    <row r="1172" spans="1:8" x14ac:dyDescent="0.3">
      <c r="A1172" s="400"/>
      <c r="B1172" s="709">
        <v>97901</v>
      </c>
      <c r="C1172" s="710" t="s">
        <v>1418</v>
      </c>
      <c r="D1172" s="709" t="s">
        <v>136</v>
      </c>
      <c r="E1172" s="716">
        <v>327.35000000000002</v>
      </c>
      <c r="F1172" s="717">
        <v>0</v>
      </c>
      <c r="G1172">
        <f>VLOOKUP(B1172,'SINAPI-%MO'!B:E,4,0)</f>
        <v>0.60419999999999996</v>
      </c>
      <c r="H1172" s="225">
        <f t="shared" si="18"/>
        <v>129.56</v>
      </c>
    </row>
    <row r="1173" spans="1:8" x14ac:dyDescent="0.3">
      <c r="A1173" s="400"/>
      <c r="B1173" s="709">
        <v>99253</v>
      </c>
      <c r="C1173" s="710" t="s">
        <v>1419</v>
      </c>
      <c r="D1173" s="709" t="s">
        <v>136</v>
      </c>
      <c r="E1173" s="716">
        <v>616.52</v>
      </c>
      <c r="F1173" s="717">
        <v>0</v>
      </c>
      <c r="G1173">
        <f>VLOOKUP(B1173,'SINAPI-%MO'!B:E,4,0)</f>
        <v>0.60580000000000001</v>
      </c>
      <c r="H1173" s="225">
        <f t="shared" si="18"/>
        <v>243.03</v>
      </c>
    </row>
    <row r="1174" spans="1:8" x14ac:dyDescent="0.3">
      <c r="A1174" s="400"/>
      <c r="B1174" s="709">
        <v>97902</v>
      </c>
      <c r="C1174" s="710" t="s">
        <v>1420</v>
      </c>
      <c r="D1174" s="709" t="s">
        <v>136</v>
      </c>
      <c r="E1174" s="716">
        <v>635.76</v>
      </c>
      <c r="F1174" s="717">
        <v>0</v>
      </c>
      <c r="G1174">
        <f>VLOOKUP(B1174,'SINAPI-%MO'!B:E,4,0)</f>
        <v>0.59030000000000005</v>
      </c>
      <c r="H1174" s="225">
        <f t="shared" si="18"/>
        <v>260.47000000000003</v>
      </c>
    </row>
    <row r="1175" spans="1:8" x14ac:dyDescent="0.3">
      <c r="A1175" s="400"/>
      <c r="B1175" s="709">
        <v>99255</v>
      </c>
      <c r="C1175" s="710" t="s">
        <v>1421</v>
      </c>
      <c r="D1175" s="709" t="s">
        <v>136</v>
      </c>
      <c r="E1175" s="716">
        <v>859.31</v>
      </c>
      <c r="F1175" s="717">
        <v>0</v>
      </c>
      <c r="G1175">
        <f>VLOOKUP(B1175,'SINAPI-%MO'!B:E,4,0)</f>
        <v>0.60570000000000002</v>
      </c>
      <c r="H1175" s="225">
        <f t="shared" si="18"/>
        <v>338.82</v>
      </c>
    </row>
    <row r="1176" spans="1:8" x14ac:dyDescent="0.3">
      <c r="A1176" s="400"/>
      <c r="B1176" s="709">
        <v>97903</v>
      </c>
      <c r="C1176" s="710" t="s">
        <v>1422</v>
      </c>
      <c r="D1176" s="709" t="s">
        <v>136</v>
      </c>
      <c r="E1176" s="716">
        <v>885.69</v>
      </c>
      <c r="F1176" s="717">
        <v>0</v>
      </c>
      <c r="G1176">
        <f>VLOOKUP(B1176,'SINAPI-%MO'!B:E,4,0)</f>
        <v>0.59040000000000004</v>
      </c>
      <c r="H1176" s="225">
        <f t="shared" si="18"/>
        <v>362.77</v>
      </c>
    </row>
    <row r="1177" spans="1:8" x14ac:dyDescent="0.3">
      <c r="A1177" s="400"/>
      <c r="B1177" s="709">
        <v>99257</v>
      </c>
      <c r="C1177" s="710" t="s">
        <v>1423</v>
      </c>
      <c r="D1177" s="709" t="s">
        <v>136</v>
      </c>
      <c r="E1177" s="716">
        <v>1010.43</v>
      </c>
      <c r="F1177" s="717">
        <v>0</v>
      </c>
      <c r="G1177">
        <f>VLOOKUP(B1177,'SINAPI-%MO'!B:E,4,0)</f>
        <v>0.55979999999999996</v>
      </c>
      <c r="H1177" s="225">
        <f t="shared" si="18"/>
        <v>444.79</v>
      </c>
    </row>
    <row r="1178" spans="1:8" x14ac:dyDescent="0.3">
      <c r="A1178" s="400"/>
      <c r="B1178" s="709">
        <v>97904</v>
      </c>
      <c r="C1178" s="710" t="s">
        <v>1424</v>
      </c>
      <c r="D1178" s="709" t="s">
        <v>136</v>
      </c>
      <c r="E1178" s="716">
        <v>1044.55</v>
      </c>
      <c r="F1178" s="717">
        <v>0</v>
      </c>
      <c r="G1178">
        <f>VLOOKUP(B1178,'SINAPI-%MO'!B:E,4,0)</f>
        <v>0.54459999999999997</v>
      </c>
      <c r="H1178" s="225">
        <f t="shared" si="18"/>
        <v>475.68</v>
      </c>
    </row>
    <row r="1179" spans="1:8" x14ac:dyDescent="0.3">
      <c r="A1179" s="400"/>
      <c r="B1179" s="709">
        <v>99258</v>
      </c>
      <c r="C1179" s="710" t="s">
        <v>1425</v>
      </c>
      <c r="D1179" s="709" t="s">
        <v>136</v>
      </c>
      <c r="E1179" s="716">
        <v>272.88</v>
      </c>
      <c r="F1179" s="717">
        <v>0</v>
      </c>
      <c r="G1179">
        <f>VLOOKUP(B1179,'SINAPI-%MO'!B:E,4,0)</f>
        <v>0.58830000000000005</v>
      </c>
      <c r="H1179" s="225">
        <f t="shared" si="18"/>
        <v>112.34</v>
      </c>
    </row>
    <row r="1180" spans="1:8" x14ac:dyDescent="0.3">
      <c r="A1180" s="400"/>
      <c r="B1180" s="709">
        <v>97905</v>
      </c>
      <c r="C1180" s="710" t="s">
        <v>1426</v>
      </c>
      <c r="D1180" s="709" t="s">
        <v>136</v>
      </c>
      <c r="E1180" s="716">
        <v>278.32</v>
      </c>
      <c r="F1180" s="717">
        <v>0</v>
      </c>
      <c r="G1180">
        <f>VLOOKUP(B1180,'SINAPI-%MO'!B:E,4,0)</f>
        <v>0.5786</v>
      </c>
      <c r="H1180" s="225">
        <f t="shared" si="18"/>
        <v>117.28</v>
      </c>
    </row>
    <row r="1181" spans="1:8" x14ac:dyDescent="0.3">
      <c r="A1181" s="400"/>
      <c r="B1181" s="709">
        <v>99260</v>
      </c>
      <c r="C1181" s="710" t="s">
        <v>1427</v>
      </c>
      <c r="D1181" s="709" t="s">
        <v>136</v>
      </c>
      <c r="E1181" s="716">
        <v>507.03</v>
      </c>
      <c r="F1181" s="717">
        <v>0</v>
      </c>
      <c r="G1181">
        <f>VLOOKUP(B1181,'SINAPI-%MO'!B:E,4,0)</f>
        <v>0.56979999999999997</v>
      </c>
      <c r="H1181" s="225">
        <f t="shared" si="18"/>
        <v>218.12</v>
      </c>
    </row>
    <row r="1182" spans="1:8" x14ac:dyDescent="0.3">
      <c r="A1182" s="400"/>
      <c r="B1182" s="709">
        <v>97906</v>
      </c>
      <c r="C1182" s="710" t="s">
        <v>1428</v>
      </c>
      <c r="D1182" s="709" t="s">
        <v>136</v>
      </c>
      <c r="E1182" s="716">
        <v>519.15</v>
      </c>
      <c r="F1182" s="717">
        <v>0</v>
      </c>
      <c r="G1182">
        <f>VLOOKUP(B1182,'SINAPI-%MO'!B:E,4,0)</f>
        <v>0.55869999999999997</v>
      </c>
      <c r="H1182" s="225">
        <f t="shared" si="18"/>
        <v>229.1</v>
      </c>
    </row>
    <row r="1183" spans="1:8" x14ac:dyDescent="0.3">
      <c r="A1183" s="400"/>
      <c r="B1183" s="709">
        <v>99262</v>
      </c>
      <c r="C1183" s="710" t="s">
        <v>1429</v>
      </c>
      <c r="D1183" s="709" t="s">
        <v>136</v>
      </c>
      <c r="E1183" s="716">
        <v>719.59</v>
      </c>
      <c r="F1183" s="717">
        <v>0</v>
      </c>
      <c r="G1183">
        <f>VLOOKUP(B1183,'SINAPI-%MO'!B:E,4,0)</f>
        <v>0.57330000000000003</v>
      </c>
      <c r="H1183" s="225">
        <f t="shared" si="18"/>
        <v>307.04000000000002</v>
      </c>
    </row>
    <row r="1184" spans="1:8" x14ac:dyDescent="0.3">
      <c r="A1184" s="400"/>
      <c r="B1184" s="709">
        <v>97907</v>
      </c>
      <c r="C1184" s="710" t="s">
        <v>1430</v>
      </c>
      <c r="D1184" s="709" t="s">
        <v>136</v>
      </c>
      <c r="E1184" s="716">
        <v>736.88</v>
      </c>
      <c r="F1184" s="717">
        <v>0</v>
      </c>
      <c r="G1184">
        <f>VLOOKUP(B1184,'SINAPI-%MO'!B:E,4,0)</f>
        <v>0.56200000000000006</v>
      </c>
      <c r="H1184" s="225">
        <f t="shared" si="18"/>
        <v>322.75</v>
      </c>
    </row>
    <row r="1185" spans="1:8" x14ac:dyDescent="0.3">
      <c r="A1185" s="400"/>
      <c r="B1185" s="709">
        <v>99264</v>
      </c>
      <c r="C1185" s="710" t="s">
        <v>1431</v>
      </c>
      <c r="D1185" s="709" t="s">
        <v>136</v>
      </c>
      <c r="E1185" s="716">
        <v>845.11</v>
      </c>
      <c r="F1185" s="717">
        <v>0</v>
      </c>
      <c r="G1185">
        <f>VLOOKUP(B1185,'SINAPI-%MO'!B:E,4,0)</f>
        <v>0.51819999999999999</v>
      </c>
      <c r="H1185" s="225">
        <f t="shared" si="18"/>
        <v>407.17</v>
      </c>
    </row>
    <row r="1186" spans="1:8" x14ac:dyDescent="0.3">
      <c r="A1186" s="400"/>
      <c r="B1186" s="709">
        <v>97908</v>
      </c>
      <c r="C1186" s="710" t="s">
        <v>1432</v>
      </c>
      <c r="D1186" s="709" t="s">
        <v>136</v>
      </c>
      <c r="E1186" s="716">
        <v>868.48</v>
      </c>
      <c r="F1186" s="717">
        <v>0</v>
      </c>
      <c r="G1186">
        <f>VLOOKUP(B1186,'SINAPI-%MO'!B:E,4,0)</f>
        <v>0.50680000000000003</v>
      </c>
      <c r="H1186" s="225">
        <f t="shared" si="18"/>
        <v>428.33</v>
      </c>
    </row>
    <row r="1187" spans="1:8" x14ac:dyDescent="0.3">
      <c r="A1187" s="400"/>
      <c r="B1187" s="709">
        <v>97895</v>
      </c>
      <c r="C1187" s="710" t="s">
        <v>1433</v>
      </c>
      <c r="D1187" s="709" t="s">
        <v>136</v>
      </c>
      <c r="E1187" s="716">
        <v>221.53</v>
      </c>
      <c r="F1187" s="717">
        <v>0</v>
      </c>
      <c r="G1187">
        <f>VLOOKUP(B1187,'SINAPI-%MO'!B:E,4,0)</f>
        <v>1.7299999999999999E-2</v>
      </c>
      <c r="H1187" s="225">
        <f t="shared" si="18"/>
        <v>217.69</v>
      </c>
    </row>
    <row r="1188" spans="1:8" x14ac:dyDescent="0.3">
      <c r="A1188" s="400"/>
      <c r="B1188" s="709">
        <v>97896</v>
      </c>
      <c r="C1188" s="710" t="s">
        <v>1434</v>
      </c>
      <c r="D1188" s="709" t="s">
        <v>136</v>
      </c>
      <c r="E1188" s="716">
        <v>410.27</v>
      </c>
      <c r="F1188" s="717">
        <v>0</v>
      </c>
      <c r="G1188">
        <f>VLOOKUP(B1188,'SINAPI-%MO'!B:E,4,0)</f>
        <v>1.9E-2</v>
      </c>
      <c r="H1188" s="225">
        <f t="shared" si="18"/>
        <v>402.47</v>
      </c>
    </row>
    <row r="1189" spans="1:8" x14ac:dyDescent="0.3">
      <c r="A1189" s="400"/>
      <c r="B1189" s="709">
        <v>97897</v>
      </c>
      <c r="C1189" s="710" t="s">
        <v>1435</v>
      </c>
      <c r="D1189" s="709" t="s">
        <v>136</v>
      </c>
      <c r="E1189" s="716">
        <v>530.80999999999995</v>
      </c>
      <c r="F1189" s="717">
        <v>0</v>
      </c>
      <c r="G1189">
        <f>VLOOKUP(B1189,'SINAPI-%MO'!B:E,4,0)</f>
        <v>2.7300000000000001E-2</v>
      </c>
      <c r="H1189" s="225">
        <f t="shared" si="18"/>
        <v>516.30999999999995</v>
      </c>
    </row>
    <row r="1190" spans="1:8" x14ac:dyDescent="0.3">
      <c r="A1190" s="400"/>
      <c r="B1190" s="709">
        <v>97898</v>
      </c>
      <c r="C1190" s="710" t="s">
        <v>1436</v>
      </c>
      <c r="D1190" s="709" t="s">
        <v>136</v>
      </c>
      <c r="E1190" s="716">
        <v>1010.93</v>
      </c>
      <c r="F1190" s="717">
        <v>0</v>
      </c>
      <c r="G1190">
        <f>VLOOKUP(B1190,'SINAPI-%MO'!B:E,4,0)</f>
        <v>0.121</v>
      </c>
      <c r="H1190" s="225">
        <f t="shared" si="18"/>
        <v>888.6</v>
      </c>
    </row>
    <row r="1191" spans="1:8" x14ac:dyDescent="0.3">
      <c r="A1191" s="400"/>
      <c r="B1191" s="709">
        <v>97899</v>
      </c>
      <c r="C1191" s="710" t="s">
        <v>1437</v>
      </c>
      <c r="D1191" s="709" t="s">
        <v>136</v>
      </c>
      <c r="E1191" s="716">
        <v>0</v>
      </c>
      <c r="F1191" s="717"/>
      <c r="G1191" t="e">
        <f>VLOOKUP(B1191,'SINAPI-%MO'!B:E,4,0)</f>
        <v>#N/A</v>
      </c>
      <c r="H1191" s="225" t="str">
        <f t="shared" si="18"/>
        <v/>
      </c>
    </row>
    <row r="1192" spans="1:8" x14ac:dyDescent="0.3">
      <c r="A1192" s="400"/>
      <c r="B1192" s="709">
        <v>101795</v>
      </c>
      <c r="C1192" s="710" t="s">
        <v>1438</v>
      </c>
      <c r="D1192" s="709" t="s">
        <v>136</v>
      </c>
      <c r="E1192" s="716">
        <v>685.11</v>
      </c>
      <c r="F1192" s="717">
        <v>0</v>
      </c>
      <c r="G1192">
        <f>VLOOKUP(B1192,'SINAPI-%MO'!B:E,4,0)</f>
        <v>0.47360000000000002</v>
      </c>
      <c r="H1192" s="225">
        <f t="shared" si="18"/>
        <v>360.64</v>
      </c>
    </row>
    <row r="1193" spans="1:8" x14ac:dyDescent="0.3">
      <c r="A1193" s="400"/>
      <c r="B1193" s="709">
        <v>101796</v>
      </c>
      <c r="C1193" s="710" t="s">
        <v>1439</v>
      </c>
      <c r="D1193" s="709" t="s">
        <v>136</v>
      </c>
      <c r="E1193" s="716">
        <v>0</v>
      </c>
      <c r="F1193" s="717"/>
      <c r="G1193" t="e">
        <f>VLOOKUP(B1193,'SINAPI-%MO'!B:E,4,0)</f>
        <v>#N/A</v>
      </c>
      <c r="H1193" s="225" t="str">
        <f t="shared" si="18"/>
        <v/>
      </c>
    </row>
    <row r="1194" spans="1:8" x14ac:dyDescent="0.3">
      <c r="A1194" s="400"/>
      <c r="B1194" s="709">
        <v>101797</v>
      </c>
      <c r="C1194" s="710" t="s">
        <v>1440</v>
      </c>
      <c r="D1194" s="709" t="s">
        <v>136</v>
      </c>
      <c r="E1194" s="716">
        <v>0</v>
      </c>
      <c r="F1194" s="717"/>
      <c r="G1194" t="e">
        <f>VLOOKUP(B1194,'SINAPI-%MO'!B:E,4,0)</f>
        <v>#N/A</v>
      </c>
      <c r="H1194" s="225" t="str">
        <f t="shared" si="18"/>
        <v/>
      </c>
    </row>
    <row r="1195" spans="1:8" x14ac:dyDescent="0.3">
      <c r="A1195" s="400"/>
      <c r="B1195" s="709">
        <v>101802</v>
      </c>
      <c r="C1195" s="710" t="s">
        <v>1441</v>
      </c>
      <c r="D1195" s="709" t="s">
        <v>136</v>
      </c>
      <c r="E1195" s="716">
        <v>2026.89</v>
      </c>
      <c r="F1195" s="717">
        <v>0</v>
      </c>
      <c r="G1195">
        <f>VLOOKUP(B1195,'SINAPI-%MO'!B:E,4,0)</f>
        <v>0.44450000000000001</v>
      </c>
      <c r="H1195" s="225">
        <f t="shared" si="18"/>
        <v>1125.93</v>
      </c>
    </row>
    <row r="1196" spans="1:8" x14ac:dyDescent="0.3">
      <c r="A1196" s="400"/>
      <c r="B1196" s="709">
        <v>101803</v>
      </c>
      <c r="C1196" s="710" t="s">
        <v>1442</v>
      </c>
      <c r="D1196" s="709" t="s">
        <v>136</v>
      </c>
      <c r="E1196" s="716">
        <v>1283.82</v>
      </c>
      <c r="F1196" s="717">
        <v>0</v>
      </c>
      <c r="G1196">
        <f>VLOOKUP(B1196,'SINAPI-%MO'!B:E,4,0)</f>
        <v>0.48880000000000001</v>
      </c>
      <c r="H1196" s="225">
        <f t="shared" si="18"/>
        <v>656.28</v>
      </c>
    </row>
    <row r="1197" spans="1:8" x14ac:dyDescent="0.3">
      <c r="A1197" s="400"/>
      <c r="B1197" s="709">
        <v>101804</v>
      </c>
      <c r="C1197" s="710" t="s">
        <v>1443</v>
      </c>
      <c r="D1197" s="709" t="s">
        <v>136</v>
      </c>
      <c r="E1197" s="716">
        <v>1613.87</v>
      </c>
      <c r="F1197" s="717">
        <v>0</v>
      </c>
      <c r="G1197">
        <f>VLOOKUP(B1197,'SINAPI-%MO'!B:E,4,0)</f>
        <v>0.45900000000000002</v>
      </c>
      <c r="H1197" s="225">
        <f t="shared" si="18"/>
        <v>873.1</v>
      </c>
    </row>
    <row r="1198" spans="1:8" x14ac:dyDescent="0.3">
      <c r="A1198" s="400"/>
      <c r="B1198" s="709">
        <v>101805</v>
      </c>
      <c r="C1198" s="710" t="s">
        <v>1444</v>
      </c>
      <c r="D1198" s="709" t="s">
        <v>136</v>
      </c>
      <c r="E1198" s="716">
        <v>2049.79</v>
      </c>
      <c r="F1198" s="717">
        <v>0</v>
      </c>
      <c r="G1198">
        <f>VLOOKUP(B1198,'SINAPI-%MO'!B:E,4,0)</f>
        <v>0.46089999999999998</v>
      </c>
      <c r="H1198" s="225">
        <f t="shared" si="18"/>
        <v>1105.04</v>
      </c>
    </row>
    <row r="1199" spans="1:8" x14ac:dyDescent="0.3">
      <c r="A1199" s="400"/>
      <c r="B1199" s="709">
        <v>98115</v>
      </c>
      <c r="C1199" s="710" t="s">
        <v>1445</v>
      </c>
      <c r="D1199" s="709" t="s">
        <v>136</v>
      </c>
      <c r="E1199" s="716">
        <v>109.19</v>
      </c>
      <c r="F1199" s="717">
        <v>0</v>
      </c>
      <c r="G1199">
        <f>VLOOKUP(B1199,'SINAPI-%MO'!B:E,4,0)</f>
        <v>0.66220000000000001</v>
      </c>
      <c r="H1199" s="225">
        <f t="shared" si="18"/>
        <v>36.880000000000003</v>
      </c>
    </row>
    <row r="1200" spans="1:8" x14ac:dyDescent="0.3">
      <c r="A1200" s="400"/>
      <c r="B1200" s="709">
        <v>98114</v>
      </c>
      <c r="C1200" s="710" t="s">
        <v>265</v>
      </c>
      <c r="D1200" s="709" t="s">
        <v>136</v>
      </c>
      <c r="E1200" s="716">
        <v>610.85</v>
      </c>
      <c r="F1200" s="717">
        <v>0.87849999999999995</v>
      </c>
      <c r="G1200">
        <f>VLOOKUP(B1200,'SINAPI-%MO'!B:E,4,0)</f>
        <v>0.1008</v>
      </c>
      <c r="H1200" s="225">
        <f t="shared" si="18"/>
        <v>549.27</v>
      </c>
    </row>
    <row r="1201" spans="1:8" x14ac:dyDescent="0.3">
      <c r="A1201" s="400"/>
      <c r="B1201" s="709">
        <v>98112</v>
      </c>
      <c r="C1201" s="710" t="s">
        <v>1446</v>
      </c>
      <c r="D1201" s="709" t="s">
        <v>136</v>
      </c>
      <c r="E1201" s="716">
        <v>120.56</v>
      </c>
      <c r="F1201" s="717">
        <v>0</v>
      </c>
      <c r="G1201">
        <f>VLOOKUP(B1201,'SINAPI-%MO'!B:E,4,0)</f>
        <v>0.20949999999999999</v>
      </c>
      <c r="H1201" s="225">
        <f t="shared" si="18"/>
        <v>95.3</v>
      </c>
    </row>
    <row r="1202" spans="1:8" x14ac:dyDescent="0.3">
      <c r="A1202" s="400"/>
      <c r="B1202" s="709">
        <v>100128</v>
      </c>
      <c r="C1202" s="710" t="s">
        <v>1447</v>
      </c>
      <c r="D1202" s="709" t="s">
        <v>136</v>
      </c>
      <c r="E1202" s="716">
        <v>2051.29</v>
      </c>
      <c r="F1202" s="717">
        <v>0</v>
      </c>
      <c r="G1202">
        <f>VLOOKUP(B1202,'SINAPI-%MO'!B:E,4,0)</f>
        <v>1.7600000000000001E-2</v>
      </c>
      <c r="H1202" s="225">
        <f t="shared" si="18"/>
        <v>2015.18</v>
      </c>
    </row>
    <row r="1203" spans="1:8" x14ac:dyDescent="0.3">
      <c r="A1203" s="400"/>
      <c r="B1203" s="709">
        <v>102623</v>
      </c>
      <c r="C1203" s="710" t="s">
        <v>1448</v>
      </c>
      <c r="D1203" s="709" t="s">
        <v>136</v>
      </c>
      <c r="E1203" s="716">
        <v>973</v>
      </c>
      <c r="F1203" s="717">
        <v>0</v>
      </c>
      <c r="G1203">
        <f>VLOOKUP(B1203,'SINAPI-%MO'!B:E,4,0)</f>
        <v>0.1245</v>
      </c>
      <c r="H1203" s="225">
        <f t="shared" si="18"/>
        <v>851.86</v>
      </c>
    </row>
    <row r="1204" spans="1:8" x14ac:dyDescent="0.3">
      <c r="A1204" s="400"/>
      <c r="B1204" s="709">
        <v>102607</v>
      </c>
      <c r="C1204" s="710" t="s">
        <v>1449</v>
      </c>
      <c r="D1204" s="709" t="s">
        <v>136</v>
      </c>
      <c r="E1204" s="716">
        <v>508.58</v>
      </c>
      <c r="F1204" s="717">
        <v>0</v>
      </c>
      <c r="G1204">
        <f>VLOOKUP(B1204,'SINAPI-%MO'!B:E,4,0)</f>
        <v>1.7100000000000001E-2</v>
      </c>
      <c r="H1204" s="225">
        <f t="shared" si="18"/>
        <v>499.88</v>
      </c>
    </row>
    <row r="1205" spans="1:8" x14ac:dyDescent="0.3">
      <c r="A1205" s="400"/>
      <c r="B1205" s="709">
        <v>102608</v>
      </c>
      <c r="C1205" s="710" t="s">
        <v>1450</v>
      </c>
      <c r="D1205" s="709" t="s">
        <v>136</v>
      </c>
      <c r="E1205" s="716">
        <v>1165.4000000000001</v>
      </c>
      <c r="F1205" s="717">
        <v>0</v>
      </c>
      <c r="G1205">
        <f>VLOOKUP(B1205,'SINAPI-%MO'!B:E,4,0)</f>
        <v>9.9000000000000008E-3</v>
      </c>
      <c r="H1205" s="225">
        <f t="shared" si="18"/>
        <v>1153.8599999999999</v>
      </c>
    </row>
    <row r="1206" spans="1:8" x14ac:dyDescent="0.3">
      <c r="A1206" s="400"/>
      <c r="B1206" s="709">
        <v>102609</v>
      </c>
      <c r="C1206" s="710" t="s">
        <v>1451</v>
      </c>
      <c r="D1206" s="709" t="s">
        <v>136</v>
      </c>
      <c r="E1206" s="716">
        <v>1324.3</v>
      </c>
      <c r="F1206" s="717">
        <v>0</v>
      </c>
      <c r="G1206">
        <f>VLOOKUP(B1206,'SINAPI-%MO'!B:E,4,0)</f>
        <v>1.17E-2</v>
      </c>
      <c r="H1206" s="225">
        <f t="shared" si="18"/>
        <v>1308.8</v>
      </c>
    </row>
    <row r="1207" spans="1:8" x14ac:dyDescent="0.3">
      <c r="A1207" s="400"/>
      <c r="B1207" s="709">
        <v>102610</v>
      </c>
      <c r="C1207" s="710" t="s">
        <v>1452</v>
      </c>
      <c r="D1207" s="709" t="s">
        <v>136</v>
      </c>
      <c r="E1207" s="716">
        <v>2275.77</v>
      </c>
      <c r="F1207" s="717">
        <v>0</v>
      </c>
      <c r="G1207">
        <f>VLOOKUP(B1207,'SINAPI-%MO'!B:E,4,0)</f>
        <v>8.5000000000000006E-3</v>
      </c>
      <c r="H1207" s="225">
        <f t="shared" si="18"/>
        <v>2256.42</v>
      </c>
    </row>
    <row r="1208" spans="1:8" x14ac:dyDescent="0.3">
      <c r="A1208" s="400"/>
      <c r="B1208" s="709">
        <v>102622</v>
      </c>
      <c r="C1208" s="710" t="s">
        <v>1453</v>
      </c>
      <c r="D1208" s="709" t="s">
        <v>136</v>
      </c>
      <c r="E1208" s="716">
        <v>710.84</v>
      </c>
      <c r="F1208" s="717">
        <v>0</v>
      </c>
      <c r="G1208">
        <f>VLOOKUP(B1208,'SINAPI-%MO'!B:E,4,0)</f>
        <v>0.15429999999999999</v>
      </c>
      <c r="H1208" s="225">
        <f t="shared" si="18"/>
        <v>601.15</v>
      </c>
    </row>
    <row r="1209" spans="1:8" x14ac:dyDescent="0.3">
      <c r="A1209" s="400"/>
      <c r="B1209" s="709">
        <v>102605</v>
      </c>
      <c r="C1209" s="710" t="s">
        <v>1454</v>
      </c>
      <c r="D1209" s="709" t="s">
        <v>136</v>
      </c>
      <c r="E1209" s="716">
        <v>308.35000000000002</v>
      </c>
      <c r="F1209" s="717">
        <v>0</v>
      </c>
      <c r="G1209">
        <f>VLOOKUP(B1209,'SINAPI-%MO'!B:E,4,0)</f>
        <v>1.9599999999999999E-2</v>
      </c>
      <c r="H1209" s="225">
        <f t="shared" si="18"/>
        <v>302.3</v>
      </c>
    </row>
    <row r="1210" spans="1:8" x14ac:dyDescent="0.3">
      <c r="A1210" s="400"/>
      <c r="B1210" s="709">
        <v>102606</v>
      </c>
      <c r="C1210" s="710" t="s">
        <v>1455</v>
      </c>
      <c r="D1210" s="709" t="s">
        <v>136</v>
      </c>
      <c r="E1210" s="716">
        <v>475.07</v>
      </c>
      <c r="F1210" s="717">
        <v>0</v>
      </c>
      <c r="G1210">
        <f>VLOOKUP(B1210,'SINAPI-%MO'!B:E,4,0)</f>
        <v>1.5699999999999999E-2</v>
      </c>
      <c r="H1210" s="225">
        <f t="shared" si="18"/>
        <v>467.61</v>
      </c>
    </row>
    <row r="1211" spans="1:8" x14ac:dyDescent="0.3">
      <c r="A1211" s="400"/>
      <c r="B1211" s="709">
        <v>102613</v>
      </c>
      <c r="C1211" s="710" t="s">
        <v>1456</v>
      </c>
      <c r="D1211" s="709" t="s">
        <v>136</v>
      </c>
      <c r="E1211" s="716">
        <v>712.78</v>
      </c>
      <c r="F1211" s="717">
        <v>0</v>
      </c>
      <c r="G1211">
        <f>VLOOKUP(B1211,'SINAPI-%MO'!B:E,4,0)</f>
        <v>1.24E-2</v>
      </c>
      <c r="H1211" s="225">
        <f t="shared" si="18"/>
        <v>703.94</v>
      </c>
    </row>
    <row r="1212" spans="1:8" x14ac:dyDescent="0.3">
      <c r="A1212" s="400"/>
      <c r="B1212" s="709">
        <v>102619</v>
      </c>
      <c r="C1212" s="710" t="s">
        <v>1457</v>
      </c>
      <c r="D1212" s="709" t="s">
        <v>136</v>
      </c>
      <c r="E1212" s="716">
        <v>6059.92</v>
      </c>
      <c r="F1212" s="717">
        <v>0</v>
      </c>
      <c r="G1212">
        <f>VLOOKUP(B1212,'SINAPI-%MO'!B:E,4,0)</f>
        <v>3.44E-2</v>
      </c>
      <c r="H1212" s="225">
        <f t="shared" si="18"/>
        <v>5851.45</v>
      </c>
    </row>
    <row r="1213" spans="1:8" x14ac:dyDescent="0.3">
      <c r="A1213" s="400"/>
      <c r="B1213" s="709">
        <v>102614</v>
      </c>
      <c r="C1213" s="710" t="s">
        <v>1458</v>
      </c>
      <c r="D1213" s="709" t="s">
        <v>136</v>
      </c>
      <c r="E1213" s="716">
        <v>1095.9000000000001</v>
      </c>
      <c r="F1213" s="717">
        <v>0</v>
      </c>
      <c r="G1213">
        <f>VLOOKUP(B1213,'SINAPI-%MO'!B:E,4,0)</f>
        <v>1.03E-2</v>
      </c>
      <c r="H1213" s="225">
        <f t="shared" si="18"/>
        <v>1084.6099999999999</v>
      </c>
    </row>
    <row r="1214" spans="1:8" x14ac:dyDescent="0.3">
      <c r="A1214" s="400"/>
      <c r="B1214" s="709">
        <v>102620</v>
      </c>
      <c r="C1214" s="710" t="s">
        <v>1459</v>
      </c>
      <c r="D1214" s="709" t="s">
        <v>136</v>
      </c>
      <c r="E1214" s="716">
        <v>8809.23</v>
      </c>
      <c r="F1214" s="717">
        <v>0</v>
      </c>
      <c r="G1214">
        <f>VLOOKUP(B1214,'SINAPI-%MO'!B:E,4,0)</f>
        <v>2.3699999999999999E-2</v>
      </c>
      <c r="H1214" s="225">
        <f t="shared" si="18"/>
        <v>8600.4500000000007</v>
      </c>
    </row>
    <row r="1215" spans="1:8" x14ac:dyDescent="0.3">
      <c r="A1215" s="400"/>
      <c r="B1215" s="709">
        <v>102615</v>
      </c>
      <c r="C1215" s="710" t="s">
        <v>1460</v>
      </c>
      <c r="D1215" s="709" t="s">
        <v>136</v>
      </c>
      <c r="E1215" s="716">
        <v>1375.34</v>
      </c>
      <c r="F1215" s="717">
        <v>0</v>
      </c>
      <c r="G1215">
        <f>VLOOKUP(B1215,'SINAPI-%MO'!B:E,4,0)</f>
        <v>1.03E-2</v>
      </c>
      <c r="H1215" s="225">
        <f t="shared" si="18"/>
        <v>1361.17</v>
      </c>
    </row>
    <row r="1216" spans="1:8" x14ac:dyDescent="0.3">
      <c r="A1216" s="400"/>
      <c r="B1216" s="709">
        <v>102621</v>
      </c>
      <c r="C1216" s="710" t="s">
        <v>1461</v>
      </c>
      <c r="D1216" s="709" t="s">
        <v>136</v>
      </c>
      <c r="E1216" s="716">
        <v>13546.99</v>
      </c>
      <c r="F1216" s="717">
        <v>0</v>
      </c>
      <c r="G1216">
        <f>VLOOKUP(B1216,'SINAPI-%MO'!B:E,4,0)</f>
        <v>1.54E-2</v>
      </c>
      <c r="H1216" s="225">
        <f t="shared" si="18"/>
        <v>13338.36</v>
      </c>
    </row>
    <row r="1217" spans="1:8" x14ac:dyDescent="0.3">
      <c r="A1217" s="400"/>
      <c r="B1217" s="709">
        <v>102616</v>
      </c>
      <c r="C1217" s="710" t="s">
        <v>1462</v>
      </c>
      <c r="D1217" s="709" t="s">
        <v>136</v>
      </c>
      <c r="E1217" s="716">
        <v>2035.86</v>
      </c>
      <c r="F1217" s="717">
        <v>0</v>
      </c>
      <c r="G1217">
        <f>VLOOKUP(B1217,'SINAPI-%MO'!B:E,4,0)</f>
        <v>9.1999999999999998E-3</v>
      </c>
      <c r="H1217" s="225">
        <f t="shared" si="18"/>
        <v>2017.13</v>
      </c>
    </row>
    <row r="1218" spans="1:8" x14ac:dyDescent="0.3">
      <c r="A1218" s="400"/>
      <c r="B1218" s="709">
        <v>102611</v>
      </c>
      <c r="C1218" s="710" t="s">
        <v>1463</v>
      </c>
      <c r="D1218" s="709" t="s">
        <v>136</v>
      </c>
      <c r="E1218" s="716">
        <v>512.17999999999995</v>
      </c>
      <c r="F1218" s="717">
        <v>0</v>
      </c>
      <c r="G1218">
        <f>VLOOKUP(B1218,'SINAPI-%MO'!B:E,4,0)</f>
        <v>1.29E-2</v>
      </c>
      <c r="H1218" s="225">
        <f t="shared" si="18"/>
        <v>505.57</v>
      </c>
    </row>
    <row r="1219" spans="1:8" x14ac:dyDescent="0.3">
      <c r="A1219" s="400"/>
      <c r="B1219" s="709">
        <v>102617</v>
      </c>
      <c r="C1219" s="710" t="s">
        <v>1464</v>
      </c>
      <c r="D1219" s="709" t="s">
        <v>136</v>
      </c>
      <c r="E1219" s="716">
        <v>3747.85</v>
      </c>
      <c r="F1219" s="717">
        <v>0</v>
      </c>
      <c r="G1219">
        <f>VLOOKUP(B1219,'SINAPI-%MO'!B:E,4,0)</f>
        <v>5.57E-2</v>
      </c>
      <c r="H1219" s="225">
        <f t="shared" si="18"/>
        <v>3539.09</v>
      </c>
    </row>
    <row r="1220" spans="1:8" x14ac:dyDescent="0.3">
      <c r="A1220" s="400"/>
      <c r="B1220" s="709">
        <v>102618</v>
      </c>
      <c r="C1220" s="710" t="s">
        <v>1465</v>
      </c>
      <c r="D1220" s="709" t="s">
        <v>136</v>
      </c>
      <c r="E1220" s="716">
        <v>4511.21</v>
      </c>
      <c r="F1220" s="717">
        <v>0</v>
      </c>
      <c r="G1220">
        <f>VLOOKUP(B1220,'SINAPI-%MO'!B:E,4,0)</f>
        <v>4.6300000000000001E-2</v>
      </c>
      <c r="H1220" s="225">
        <f t="shared" si="18"/>
        <v>4302.34</v>
      </c>
    </row>
    <row r="1221" spans="1:8" x14ac:dyDescent="0.3">
      <c r="A1221" s="400"/>
      <c r="B1221" s="709">
        <v>102612</v>
      </c>
      <c r="C1221" s="710" t="s">
        <v>1466</v>
      </c>
      <c r="D1221" s="709" t="s">
        <v>136</v>
      </c>
      <c r="E1221" s="716">
        <v>735.23</v>
      </c>
      <c r="F1221" s="717">
        <v>0</v>
      </c>
      <c r="G1221">
        <f>VLOOKUP(B1221,'SINAPI-%MO'!B:E,4,0)</f>
        <v>0.01</v>
      </c>
      <c r="H1221" s="225">
        <f t="shared" si="18"/>
        <v>727.87</v>
      </c>
    </row>
    <row r="1222" spans="1:8" x14ac:dyDescent="0.3">
      <c r="A1222" s="400"/>
      <c r="B1222" s="709">
        <v>102603</v>
      </c>
      <c r="C1222" s="710" t="s">
        <v>1467</v>
      </c>
      <c r="D1222" s="709" t="s">
        <v>136</v>
      </c>
      <c r="E1222" s="716">
        <v>11.71</v>
      </c>
      <c r="F1222" s="717">
        <v>0</v>
      </c>
      <c r="G1222">
        <f>VLOOKUP(B1222,'SINAPI-%MO'!B:E,4,0)</f>
        <v>1</v>
      </c>
      <c r="H1222" s="225">
        <f t="shared" si="18"/>
        <v>0</v>
      </c>
    </row>
    <row r="1223" spans="1:8" x14ac:dyDescent="0.3">
      <c r="A1223" s="400"/>
      <c r="B1223" s="709">
        <v>102587</v>
      </c>
      <c r="C1223" s="710" t="s">
        <v>1468</v>
      </c>
      <c r="D1223" s="709" t="s">
        <v>136</v>
      </c>
      <c r="E1223" s="716">
        <v>4.0199999999999996</v>
      </c>
      <c r="F1223" s="717">
        <v>0</v>
      </c>
      <c r="G1223">
        <f>VLOOKUP(B1223,'SINAPI-%MO'!B:E,4,0)</f>
        <v>1</v>
      </c>
      <c r="H1223" s="225">
        <f t="shared" si="18"/>
        <v>0</v>
      </c>
    </row>
    <row r="1224" spans="1:8" x14ac:dyDescent="0.3">
      <c r="A1224" s="400"/>
      <c r="B1224" s="709">
        <v>102589</v>
      </c>
      <c r="C1224" s="710" t="s">
        <v>1469</v>
      </c>
      <c r="D1224" s="709" t="s">
        <v>136</v>
      </c>
      <c r="E1224" s="716">
        <v>4.47</v>
      </c>
      <c r="F1224" s="717">
        <v>0</v>
      </c>
      <c r="G1224">
        <f>VLOOKUP(B1224,'SINAPI-%MO'!B:E,4,0)</f>
        <v>1</v>
      </c>
      <c r="H1224" s="225">
        <f t="shared" si="18"/>
        <v>0</v>
      </c>
    </row>
    <row r="1225" spans="1:8" x14ac:dyDescent="0.3">
      <c r="A1225" s="400"/>
      <c r="B1225" s="709">
        <v>102591</v>
      </c>
      <c r="C1225" s="710" t="s">
        <v>1470</v>
      </c>
      <c r="D1225" s="709" t="s">
        <v>136</v>
      </c>
      <c r="E1225" s="716">
        <v>4.92</v>
      </c>
      <c r="F1225" s="717">
        <v>0</v>
      </c>
      <c r="G1225">
        <f>VLOOKUP(B1225,'SINAPI-%MO'!B:E,4,0)</f>
        <v>1</v>
      </c>
      <c r="H1225" s="225">
        <f t="shared" si="18"/>
        <v>0</v>
      </c>
    </row>
    <row r="1226" spans="1:8" x14ac:dyDescent="0.3">
      <c r="A1226" s="400"/>
      <c r="B1226" s="709">
        <v>102593</v>
      </c>
      <c r="C1226" s="710" t="s">
        <v>1471</v>
      </c>
      <c r="D1226" s="709" t="s">
        <v>136</v>
      </c>
      <c r="E1226" s="716">
        <v>5.55</v>
      </c>
      <c r="F1226" s="717">
        <v>0</v>
      </c>
      <c r="G1226">
        <f>VLOOKUP(B1226,'SINAPI-%MO'!B:E,4,0)</f>
        <v>1</v>
      </c>
      <c r="H1226" s="225">
        <f t="shared" si="18"/>
        <v>0</v>
      </c>
    </row>
    <row r="1227" spans="1:8" x14ac:dyDescent="0.3">
      <c r="A1227" s="400"/>
      <c r="B1227" s="709">
        <v>102595</v>
      </c>
      <c r="C1227" s="710" t="s">
        <v>1472</v>
      </c>
      <c r="D1227" s="709" t="s">
        <v>136</v>
      </c>
      <c r="E1227" s="716">
        <v>6.27</v>
      </c>
      <c r="F1227" s="717">
        <v>0</v>
      </c>
      <c r="G1227">
        <f>VLOOKUP(B1227,'SINAPI-%MO'!B:E,4,0)</f>
        <v>1</v>
      </c>
      <c r="H1227" s="225">
        <f t="shared" ref="H1227:H1290" si="19">IF(E1227&gt;0,TRUNC(E1227*(1-G1227),2),"")</f>
        <v>0</v>
      </c>
    </row>
    <row r="1228" spans="1:8" x14ac:dyDescent="0.3">
      <c r="A1228" s="400"/>
      <c r="B1228" s="709">
        <v>102597</v>
      </c>
      <c r="C1228" s="710" t="s">
        <v>1473</v>
      </c>
      <c r="D1228" s="709" t="s">
        <v>136</v>
      </c>
      <c r="E1228" s="716">
        <v>7.18</v>
      </c>
      <c r="F1228" s="717">
        <v>0</v>
      </c>
      <c r="G1228">
        <f>VLOOKUP(B1228,'SINAPI-%MO'!B:E,4,0)</f>
        <v>1</v>
      </c>
      <c r="H1228" s="225">
        <f t="shared" si="19"/>
        <v>0</v>
      </c>
    </row>
    <row r="1229" spans="1:8" x14ac:dyDescent="0.3">
      <c r="A1229" s="400"/>
      <c r="B1229" s="709">
        <v>102599</v>
      </c>
      <c r="C1229" s="710" t="s">
        <v>1474</v>
      </c>
      <c r="D1229" s="709" t="s">
        <v>136</v>
      </c>
      <c r="E1229" s="716">
        <v>8.08</v>
      </c>
      <c r="F1229" s="717">
        <v>0</v>
      </c>
      <c r="G1229">
        <f>VLOOKUP(B1229,'SINAPI-%MO'!B:E,4,0)</f>
        <v>1</v>
      </c>
      <c r="H1229" s="225">
        <f t="shared" si="19"/>
        <v>0</v>
      </c>
    </row>
    <row r="1230" spans="1:8" x14ac:dyDescent="0.3">
      <c r="A1230" s="400"/>
      <c r="B1230" s="709">
        <v>102601</v>
      </c>
      <c r="C1230" s="710" t="s">
        <v>1475</v>
      </c>
      <c r="D1230" s="709" t="s">
        <v>136</v>
      </c>
      <c r="E1230" s="716">
        <v>9.4499999999999993</v>
      </c>
      <c r="F1230" s="717">
        <v>0</v>
      </c>
      <c r="G1230">
        <f>VLOOKUP(B1230,'SINAPI-%MO'!B:E,4,0)</f>
        <v>1</v>
      </c>
      <c r="H1230" s="225">
        <f t="shared" si="19"/>
        <v>0</v>
      </c>
    </row>
    <row r="1231" spans="1:8" x14ac:dyDescent="0.3">
      <c r="A1231" s="400"/>
      <c r="B1231" s="709">
        <v>102604</v>
      </c>
      <c r="C1231" s="710" t="s">
        <v>1476</v>
      </c>
      <c r="D1231" s="709" t="s">
        <v>136</v>
      </c>
      <c r="E1231" s="716">
        <v>13.51</v>
      </c>
      <c r="F1231" s="717">
        <v>0</v>
      </c>
      <c r="G1231">
        <f>VLOOKUP(B1231,'SINAPI-%MO'!B:E,4,0)</f>
        <v>1</v>
      </c>
      <c r="H1231" s="225">
        <f t="shared" si="19"/>
        <v>0</v>
      </c>
    </row>
    <row r="1232" spans="1:8" x14ac:dyDescent="0.3">
      <c r="A1232" s="400"/>
      <c r="B1232" s="709">
        <v>102588</v>
      </c>
      <c r="C1232" s="710" t="s">
        <v>1477</v>
      </c>
      <c r="D1232" s="709" t="s">
        <v>136</v>
      </c>
      <c r="E1232" s="716">
        <v>5.8</v>
      </c>
      <c r="F1232" s="717">
        <v>0</v>
      </c>
      <c r="G1232">
        <f>VLOOKUP(B1232,'SINAPI-%MO'!B:E,4,0)</f>
        <v>1</v>
      </c>
      <c r="H1232" s="225">
        <f t="shared" si="19"/>
        <v>0</v>
      </c>
    </row>
    <row r="1233" spans="1:8" x14ac:dyDescent="0.3">
      <c r="A1233" s="400"/>
      <c r="B1233" s="709">
        <v>102590</v>
      </c>
      <c r="C1233" s="710" t="s">
        <v>1478</v>
      </c>
      <c r="D1233" s="709" t="s">
        <v>136</v>
      </c>
      <c r="E1233" s="716">
        <v>6.26</v>
      </c>
      <c r="F1233" s="717">
        <v>0</v>
      </c>
      <c r="G1233">
        <f>VLOOKUP(B1233,'SINAPI-%MO'!B:E,4,0)</f>
        <v>1</v>
      </c>
      <c r="H1233" s="225">
        <f t="shared" si="19"/>
        <v>0</v>
      </c>
    </row>
    <row r="1234" spans="1:8" x14ac:dyDescent="0.3">
      <c r="A1234" s="400"/>
      <c r="B1234" s="709">
        <v>102592</v>
      </c>
      <c r="C1234" s="710" t="s">
        <v>1479</v>
      </c>
      <c r="D1234" s="709" t="s">
        <v>136</v>
      </c>
      <c r="E1234" s="716">
        <v>6.71</v>
      </c>
      <c r="F1234" s="717">
        <v>0</v>
      </c>
      <c r="G1234">
        <f>VLOOKUP(B1234,'SINAPI-%MO'!B:E,4,0)</f>
        <v>1</v>
      </c>
      <c r="H1234" s="225">
        <f t="shared" si="19"/>
        <v>0</v>
      </c>
    </row>
    <row r="1235" spans="1:8" x14ac:dyDescent="0.3">
      <c r="A1235" s="400"/>
      <c r="B1235" s="709">
        <v>102594</v>
      </c>
      <c r="C1235" s="710" t="s">
        <v>1480</v>
      </c>
      <c r="D1235" s="709" t="s">
        <v>136</v>
      </c>
      <c r="E1235" s="716">
        <v>7.35</v>
      </c>
      <c r="F1235" s="717">
        <v>0</v>
      </c>
      <c r="G1235">
        <f>VLOOKUP(B1235,'SINAPI-%MO'!B:E,4,0)</f>
        <v>1</v>
      </c>
      <c r="H1235" s="225">
        <f t="shared" si="19"/>
        <v>0</v>
      </c>
    </row>
    <row r="1236" spans="1:8" x14ac:dyDescent="0.3">
      <c r="A1236" s="400"/>
      <c r="B1236" s="709">
        <v>102596</v>
      </c>
      <c r="C1236" s="710" t="s">
        <v>1481</v>
      </c>
      <c r="D1236" s="709" t="s">
        <v>136</v>
      </c>
      <c r="E1236" s="716">
        <v>8.08</v>
      </c>
      <c r="F1236" s="717">
        <v>0</v>
      </c>
      <c r="G1236">
        <f>VLOOKUP(B1236,'SINAPI-%MO'!B:E,4,0)</f>
        <v>1</v>
      </c>
      <c r="H1236" s="225">
        <f t="shared" si="19"/>
        <v>0</v>
      </c>
    </row>
    <row r="1237" spans="1:8" x14ac:dyDescent="0.3">
      <c r="A1237" s="400"/>
      <c r="B1237" s="709">
        <v>102598</v>
      </c>
      <c r="C1237" s="710" t="s">
        <v>1482</v>
      </c>
      <c r="D1237" s="709" t="s">
        <v>136</v>
      </c>
      <c r="E1237" s="716">
        <v>8.98</v>
      </c>
      <c r="F1237" s="717">
        <v>0</v>
      </c>
      <c r="G1237">
        <f>VLOOKUP(B1237,'SINAPI-%MO'!B:E,4,0)</f>
        <v>1</v>
      </c>
      <c r="H1237" s="225">
        <f t="shared" si="19"/>
        <v>0</v>
      </c>
    </row>
    <row r="1238" spans="1:8" x14ac:dyDescent="0.3">
      <c r="A1238" s="400"/>
      <c r="B1238" s="709">
        <v>102600</v>
      </c>
      <c r="C1238" s="710" t="s">
        <v>1483</v>
      </c>
      <c r="D1238" s="709" t="s">
        <v>136</v>
      </c>
      <c r="E1238" s="716">
        <v>9.8800000000000008</v>
      </c>
      <c r="F1238" s="717">
        <v>0</v>
      </c>
      <c r="G1238">
        <f>VLOOKUP(B1238,'SINAPI-%MO'!B:E,4,0)</f>
        <v>1</v>
      </c>
      <c r="H1238" s="225">
        <f t="shared" si="19"/>
        <v>0</v>
      </c>
    </row>
    <row r="1239" spans="1:8" x14ac:dyDescent="0.3">
      <c r="A1239" s="400"/>
      <c r="B1239" s="709">
        <v>102602</v>
      </c>
      <c r="C1239" s="710" t="s">
        <v>1484</v>
      </c>
      <c r="D1239" s="709" t="s">
        <v>136</v>
      </c>
      <c r="E1239" s="716">
        <v>11.24</v>
      </c>
      <c r="F1239" s="717">
        <v>0</v>
      </c>
      <c r="G1239">
        <f>VLOOKUP(B1239,'SINAPI-%MO'!B:E,4,0)</f>
        <v>1</v>
      </c>
      <c r="H1239" s="225">
        <f t="shared" si="19"/>
        <v>0</v>
      </c>
    </row>
    <row r="1240" spans="1:8" x14ac:dyDescent="0.3">
      <c r="A1240" s="400"/>
      <c r="B1240" s="709">
        <v>103005</v>
      </c>
      <c r="C1240" s="710" t="s">
        <v>1485</v>
      </c>
      <c r="D1240" s="709" t="s">
        <v>136</v>
      </c>
      <c r="E1240" s="716">
        <v>654.91999999999996</v>
      </c>
      <c r="F1240" s="717">
        <v>0.27700000000000002</v>
      </c>
      <c r="G1240">
        <f>VLOOKUP(B1240,'SINAPI-%MO'!B:E,4,0)</f>
        <v>0.3594</v>
      </c>
      <c r="H1240" s="225">
        <f t="shared" si="19"/>
        <v>419.54</v>
      </c>
    </row>
    <row r="1241" spans="1:8" x14ac:dyDescent="0.3">
      <c r="A1241" s="400"/>
      <c r="B1241" s="709">
        <v>103006</v>
      </c>
      <c r="C1241" s="710" t="s">
        <v>1486</v>
      </c>
      <c r="D1241" s="709" t="s">
        <v>136</v>
      </c>
      <c r="E1241" s="716">
        <v>832.04</v>
      </c>
      <c r="F1241" s="717">
        <v>0.27710000000000001</v>
      </c>
      <c r="G1241">
        <f>VLOOKUP(B1241,'SINAPI-%MO'!B:E,4,0)</f>
        <v>0.3589</v>
      </c>
      <c r="H1241" s="225">
        <f t="shared" si="19"/>
        <v>533.41999999999996</v>
      </c>
    </row>
    <row r="1242" spans="1:8" x14ac:dyDescent="0.3">
      <c r="A1242" s="400"/>
      <c r="B1242" s="709">
        <v>103007</v>
      </c>
      <c r="C1242" s="710" t="s">
        <v>1487</v>
      </c>
      <c r="D1242" s="709" t="s">
        <v>136</v>
      </c>
      <c r="E1242" s="716">
        <v>1098.8800000000001</v>
      </c>
      <c r="F1242" s="717">
        <v>0.29920000000000002</v>
      </c>
      <c r="G1242">
        <f>VLOOKUP(B1242,'SINAPI-%MO'!B:E,4,0)</f>
        <v>0.34810000000000002</v>
      </c>
      <c r="H1242" s="225">
        <f t="shared" si="19"/>
        <v>716.35</v>
      </c>
    </row>
    <row r="1243" spans="1:8" x14ac:dyDescent="0.3">
      <c r="A1243" s="400"/>
      <c r="B1243" s="709">
        <v>103004</v>
      </c>
      <c r="C1243" s="710" t="s">
        <v>1488</v>
      </c>
      <c r="D1243" s="709" t="s">
        <v>159</v>
      </c>
      <c r="E1243" s="716">
        <v>0</v>
      </c>
      <c r="F1243" s="717"/>
      <c r="G1243" t="e">
        <f>VLOOKUP(B1243,'SINAPI-%MO'!B:E,4,0)</f>
        <v>#N/A</v>
      </c>
      <c r="H1243" s="225" t="str">
        <f t="shared" si="19"/>
        <v/>
      </c>
    </row>
    <row r="1244" spans="1:8" x14ac:dyDescent="0.3">
      <c r="A1244" s="400"/>
      <c r="B1244" s="709">
        <v>102989</v>
      </c>
      <c r="C1244" s="710" t="s">
        <v>1489</v>
      </c>
      <c r="D1244" s="709" t="s">
        <v>159</v>
      </c>
      <c r="E1244" s="716">
        <v>42.56</v>
      </c>
      <c r="F1244" s="717">
        <v>0</v>
      </c>
      <c r="G1244">
        <f>VLOOKUP(B1244,'SINAPI-%MO'!B:E,4,0)</f>
        <v>0.33579999999999999</v>
      </c>
      <c r="H1244" s="225">
        <f t="shared" si="19"/>
        <v>28.26</v>
      </c>
    </row>
    <row r="1245" spans="1:8" x14ac:dyDescent="0.3">
      <c r="A1245" s="400"/>
      <c r="B1245" s="709">
        <v>102990</v>
      </c>
      <c r="C1245" s="710" t="s">
        <v>1490</v>
      </c>
      <c r="D1245" s="709" t="s">
        <v>159</v>
      </c>
      <c r="E1245" s="716">
        <v>53.55</v>
      </c>
      <c r="F1245" s="717">
        <v>0</v>
      </c>
      <c r="G1245">
        <f>VLOOKUP(B1245,'SINAPI-%MO'!B:E,4,0)</f>
        <v>0.35070000000000001</v>
      </c>
      <c r="H1245" s="225">
        <f t="shared" si="19"/>
        <v>34.770000000000003</v>
      </c>
    </row>
    <row r="1246" spans="1:8" x14ac:dyDescent="0.3">
      <c r="A1246" s="400"/>
      <c r="B1246" s="709">
        <v>102991</v>
      </c>
      <c r="C1246" s="710" t="s">
        <v>1491</v>
      </c>
      <c r="D1246" s="709" t="s">
        <v>159</v>
      </c>
      <c r="E1246" s="716">
        <v>70.5</v>
      </c>
      <c r="F1246" s="717">
        <v>0</v>
      </c>
      <c r="G1246">
        <f>VLOOKUP(B1246,'SINAPI-%MO'!B:E,4,0)</f>
        <v>0.35399999999999998</v>
      </c>
      <c r="H1246" s="225">
        <f t="shared" si="19"/>
        <v>45.54</v>
      </c>
    </row>
    <row r="1247" spans="1:8" x14ac:dyDescent="0.3">
      <c r="A1247" s="400"/>
      <c r="B1247" s="709">
        <v>102992</v>
      </c>
      <c r="C1247" s="710" t="s">
        <v>1492</v>
      </c>
      <c r="D1247" s="709" t="s">
        <v>159</v>
      </c>
      <c r="E1247" s="716">
        <v>103.51</v>
      </c>
      <c r="F1247" s="717">
        <v>0</v>
      </c>
      <c r="G1247">
        <f>VLOOKUP(B1247,'SINAPI-%MO'!B:E,4,0)</f>
        <v>0.1651</v>
      </c>
      <c r="H1247" s="225">
        <f t="shared" si="19"/>
        <v>86.42</v>
      </c>
    </row>
    <row r="1248" spans="1:8" x14ac:dyDescent="0.3">
      <c r="A1248" s="400"/>
      <c r="B1248" s="709">
        <v>102993</v>
      </c>
      <c r="C1248" s="710" t="s">
        <v>1493</v>
      </c>
      <c r="D1248" s="709" t="s">
        <v>159</v>
      </c>
      <c r="E1248" s="716">
        <v>134.59</v>
      </c>
      <c r="F1248" s="717">
        <v>0</v>
      </c>
      <c r="G1248">
        <f>VLOOKUP(B1248,'SINAPI-%MO'!B:E,4,0)</f>
        <v>0.16719999999999999</v>
      </c>
      <c r="H1248" s="225">
        <f t="shared" si="19"/>
        <v>112.08</v>
      </c>
    </row>
    <row r="1249" spans="1:8" x14ac:dyDescent="0.3">
      <c r="A1249" s="400"/>
      <c r="B1249" s="709">
        <v>102994</v>
      </c>
      <c r="C1249" s="710" t="s">
        <v>1494</v>
      </c>
      <c r="D1249" s="709" t="s">
        <v>159</v>
      </c>
      <c r="E1249" s="716">
        <v>251.11</v>
      </c>
      <c r="F1249" s="717">
        <v>0</v>
      </c>
      <c r="G1249">
        <f>VLOOKUP(B1249,'SINAPI-%MO'!B:E,4,0)</f>
        <v>0.1673</v>
      </c>
      <c r="H1249" s="225">
        <f t="shared" si="19"/>
        <v>209.09</v>
      </c>
    </row>
    <row r="1250" spans="1:8" x14ac:dyDescent="0.3">
      <c r="A1250" s="400"/>
      <c r="B1250" s="709">
        <v>106017</v>
      </c>
      <c r="C1250" s="710" t="s">
        <v>1495</v>
      </c>
      <c r="D1250" s="709" t="s">
        <v>136</v>
      </c>
      <c r="E1250" s="716">
        <v>0</v>
      </c>
      <c r="F1250" s="717"/>
      <c r="G1250" t="e">
        <f>VLOOKUP(B1250,'SINAPI-%MO'!B:E,4,0)</f>
        <v>#N/A</v>
      </c>
      <c r="H1250" s="225" t="str">
        <f t="shared" si="19"/>
        <v/>
      </c>
    </row>
    <row r="1251" spans="1:8" x14ac:dyDescent="0.3">
      <c r="A1251" s="400"/>
      <c r="B1251" s="709">
        <v>105944</v>
      </c>
      <c r="C1251" s="710" t="s">
        <v>1496</v>
      </c>
      <c r="D1251" s="709" t="s">
        <v>170</v>
      </c>
      <c r="E1251" s="716">
        <v>894.19</v>
      </c>
      <c r="F1251" s="717">
        <v>0</v>
      </c>
      <c r="G1251">
        <f>VLOOKUP(B1251,'SINAPI-%MO'!B:E,4,0)</f>
        <v>0.38269999999999998</v>
      </c>
      <c r="H1251" s="225">
        <f t="shared" si="19"/>
        <v>551.98</v>
      </c>
    </row>
    <row r="1252" spans="1:8" x14ac:dyDescent="0.3">
      <c r="A1252" s="400"/>
      <c r="B1252" s="709">
        <v>106004</v>
      </c>
      <c r="C1252" s="710" t="s">
        <v>1497</v>
      </c>
      <c r="D1252" s="709" t="s">
        <v>159</v>
      </c>
      <c r="E1252" s="716">
        <v>184.28</v>
      </c>
      <c r="F1252" s="717">
        <v>0</v>
      </c>
      <c r="G1252">
        <f>VLOOKUP(B1252,'SINAPI-%MO'!B:E,4,0)</f>
        <v>0.53610000000000002</v>
      </c>
      <c r="H1252" s="225">
        <f t="shared" si="19"/>
        <v>85.48</v>
      </c>
    </row>
    <row r="1253" spans="1:8" x14ac:dyDescent="0.3">
      <c r="A1253" s="400"/>
      <c r="B1253" s="709">
        <v>106005</v>
      </c>
      <c r="C1253" s="710" t="s">
        <v>1498</v>
      </c>
      <c r="D1253" s="709" t="s">
        <v>159</v>
      </c>
      <c r="E1253" s="716">
        <v>217.92</v>
      </c>
      <c r="F1253" s="717">
        <v>0</v>
      </c>
      <c r="G1253">
        <f>VLOOKUP(B1253,'SINAPI-%MO'!B:E,4,0)</f>
        <v>0.53680000000000005</v>
      </c>
      <c r="H1253" s="225">
        <f t="shared" si="19"/>
        <v>100.94</v>
      </c>
    </row>
    <row r="1254" spans="1:8" x14ac:dyDescent="0.3">
      <c r="A1254" s="400"/>
      <c r="B1254" s="709">
        <v>106006</v>
      </c>
      <c r="C1254" s="710" t="s">
        <v>1499</v>
      </c>
      <c r="D1254" s="709" t="s">
        <v>159</v>
      </c>
      <c r="E1254" s="716">
        <v>259.3</v>
      </c>
      <c r="F1254" s="717">
        <v>0</v>
      </c>
      <c r="G1254">
        <f>VLOOKUP(B1254,'SINAPI-%MO'!B:E,4,0)</f>
        <v>0.53710000000000002</v>
      </c>
      <c r="H1254" s="225">
        <f t="shared" si="19"/>
        <v>120.02</v>
      </c>
    </row>
    <row r="1255" spans="1:8" x14ac:dyDescent="0.3">
      <c r="A1255" s="400"/>
      <c r="B1255" s="709">
        <v>106007</v>
      </c>
      <c r="C1255" s="710" t="s">
        <v>1500</v>
      </c>
      <c r="D1255" s="709" t="s">
        <v>159</v>
      </c>
      <c r="E1255" s="716">
        <v>295.52999999999997</v>
      </c>
      <c r="F1255" s="717">
        <v>0</v>
      </c>
      <c r="G1255">
        <f>VLOOKUP(B1255,'SINAPI-%MO'!B:E,4,0)</f>
        <v>0.53739999999999999</v>
      </c>
      <c r="H1255" s="225">
        <f t="shared" si="19"/>
        <v>136.71</v>
      </c>
    </row>
    <row r="1256" spans="1:8" x14ac:dyDescent="0.3">
      <c r="A1256" s="400"/>
      <c r="B1256" s="709">
        <v>106008</v>
      </c>
      <c r="C1256" s="710" t="s">
        <v>1501</v>
      </c>
      <c r="D1256" s="709" t="s">
        <v>159</v>
      </c>
      <c r="E1256" s="716">
        <v>331.74</v>
      </c>
      <c r="F1256" s="717">
        <v>0</v>
      </c>
      <c r="G1256">
        <f>VLOOKUP(B1256,'SINAPI-%MO'!B:E,4,0)</f>
        <v>0.53769999999999996</v>
      </c>
      <c r="H1256" s="225">
        <f t="shared" si="19"/>
        <v>153.36000000000001</v>
      </c>
    </row>
    <row r="1257" spans="1:8" x14ac:dyDescent="0.3">
      <c r="A1257" s="400"/>
      <c r="B1257" s="709">
        <v>106009</v>
      </c>
      <c r="C1257" s="710" t="s">
        <v>1502</v>
      </c>
      <c r="D1257" s="709" t="s">
        <v>159</v>
      </c>
      <c r="E1257" s="716">
        <v>409.35</v>
      </c>
      <c r="F1257" s="717">
        <v>0</v>
      </c>
      <c r="G1257">
        <f>VLOOKUP(B1257,'SINAPI-%MO'!B:E,4,0)</f>
        <v>0.53790000000000004</v>
      </c>
      <c r="H1257" s="225">
        <f t="shared" si="19"/>
        <v>189.16</v>
      </c>
    </row>
    <row r="1258" spans="1:8" x14ac:dyDescent="0.3">
      <c r="A1258" s="400"/>
      <c r="B1258" s="709">
        <v>106010</v>
      </c>
      <c r="C1258" s="710" t="s">
        <v>1503</v>
      </c>
      <c r="D1258" s="709" t="s">
        <v>159</v>
      </c>
      <c r="E1258" s="716">
        <v>479.22</v>
      </c>
      <c r="F1258" s="717">
        <v>0</v>
      </c>
      <c r="G1258">
        <f>VLOOKUP(B1258,'SINAPI-%MO'!B:E,4,0)</f>
        <v>0.5383</v>
      </c>
      <c r="H1258" s="225">
        <f t="shared" si="19"/>
        <v>221.25</v>
      </c>
    </row>
    <row r="1259" spans="1:8" x14ac:dyDescent="0.3">
      <c r="A1259" s="400"/>
      <c r="B1259" s="709">
        <v>106011</v>
      </c>
      <c r="C1259" s="710" t="s">
        <v>1504</v>
      </c>
      <c r="D1259" s="709" t="s">
        <v>159</v>
      </c>
      <c r="E1259" s="716">
        <v>865.17</v>
      </c>
      <c r="F1259" s="717">
        <v>0</v>
      </c>
      <c r="G1259">
        <f>VLOOKUP(B1259,'SINAPI-%MO'!B:E,4,0)</f>
        <v>0.43149999999999999</v>
      </c>
      <c r="H1259" s="225">
        <f t="shared" si="19"/>
        <v>491.84</v>
      </c>
    </row>
    <row r="1260" spans="1:8" x14ac:dyDescent="0.3">
      <c r="A1260" s="400"/>
      <c r="B1260" s="709">
        <v>106013</v>
      </c>
      <c r="C1260" s="710" t="s">
        <v>1505</v>
      </c>
      <c r="D1260" s="709" t="s">
        <v>159</v>
      </c>
      <c r="E1260" s="716">
        <v>1080.19</v>
      </c>
      <c r="F1260" s="717">
        <v>0</v>
      </c>
      <c r="G1260">
        <f>VLOOKUP(B1260,'SINAPI-%MO'!B:E,4,0)</f>
        <v>0.43580000000000002</v>
      </c>
      <c r="H1260" s="225">
        <f t="shared" si="19"/>
        <v>609.44000000000005</v>
      </c>
    </row>
    <row r="1261" spans="1:8" x14ac:dyDescent="0.3">
      <c r="A1261" s="400"/>
      <c r="B1261" s="709">
        <v>106012</v>
      </c>
      <c r="C1261" s="710" t="s">
        <v>1506</v>
      </c>
      <c r="D1261" s="709" t="s">
        <v>159</v>
      </c>
      <c r="E1261" s="716">
        <v>953.64</v>
      </c>
      <c r="F1261" s="717">
        <v>0</v>
      </c>
      <c r="G1261">
        <f>VLOOKUP(B1261,'SINAPI-%MO'!B:E,4,0)</f>
        <v>0.42499999999999999</v>
      </c>
      <c r="H1261" s="225">
        <f t="shared" si="19"/>
        <v>548.34</v>
      </c>
    </row>
    <row r="1262" spans="1:8" x14ac:dyDescent="0.3">
      <c r="A1262" s="400"/>
      <c r="B1262" s="709">
        <v>106014</v>
      </c>
      <c r="C1262" s="710" t="s">
        <v>1507</v>
      </c>
      <c r="D1262" s="709" t="s">
        <v>159</v>
      </c>
      <c r="E1262" s="716">
        <v>1214.6300000000001</v>
      </c>
      <c r="F1262" s="717">
        <v>0</v>
      </c>
      <c r="G1262">
        <f>VLOOKUP(B1262,'SINAPI-%MO'!B:E,4,0)</f>
        <v>0.39589999999999997</v>
      </c>
      <c r="H1262" s="225">
        <f t="shared" si="19"/>
        <v>733.75</v>
      </c>
    </row>
    <row r="1263" spans="1:8" x14ac:dyDescent="0.3">
      <c r="A1263" s="400"/>
      <c r="B1263" s="709">
        <v>106015</v>
      </c>
      <c r="C1263" s="710" t="s">
        <v>1508</v>
      </c>
      <c r="D1263" s="709" t="s">
        <v>159</v>
      </c>
      <c r="E1263" s="716">
        <v>1452.98</v>
      </c>
      <c r="F1263" s="717">
        <v>0</v>
      </c>
      <c r="G1263">
        <f>VLOOKUP(B1263,'SINAPI-%MO'!B:E,4,0)</f>
        <v>0.40960000000000002</v>
      </c>
      <c r="H1263" s="225">
        <f t="shared" si="19"/>
        <v>857.83</v>
      </c>
    </row>
    <row r="1264" spans="1:8" x14ac:dyDescent="0.3">
      <c r="A1264" s="400"/>
      <c r="B1264" s="709">
        <v>106016</v>
      </c>
      <c r="C1264" s="710" t="s">
        <v>1509</v>
      </c>
      <c r="D1264" s="709" t="s">
        <v>159</v>
      </c>
      <c r="E1264" s="716">
        <v>1705.47</v>
      </c>
      <c r="F1264" s="717">
        <v>0</v>
      </c>
      <c r="G1264">
        <f>VLOOKUP(B1264,'SINAPI-%MO'!B:E,4,0)</f>
        <v>0.41849999999999998</v>
      </c>
      <c r="H1264" s="225">
        <f t="shared" si="19"/>
        <v>991.73</v>
      </c>
    </row>
    <row r="1265" spans="1:8" x14ac:dyDescent="0.3">
      <c r="A1265" s="400"/>
      <c r="B1265" s="709">
        <v>106003</v>
      </c>
      <c r="C1265" s="710" t="s">
        <v>1510</v>
      </c>
      <c r="D1265" s="709" t="s">
        <v>159</v>
      </c>
      <c r="E1265" s="716">
        <v>191.92</v>
      </c>
      <c r="F1265" s="717">
        <v>0</v>
      </c>
      <c r="G1265">
        <f>VLOOKUP(B1265,'SINAPI-%MO'!B:E,4,0)</f>
        <v>0.32819999999999999</v>
      </c>
      <c r="H1265" s="225">
        <f t="shared" si="19"/>
        <v>128.93</v>
      </c>
    </row>
    <row r="1266" spans="1:8" x14ac:dyDescent="0.3">
      <c r="A1266" s="400"/>
      <c r="B1266" s="709">
        <v>105997</v>
      </c>
      <c r="C1266" s="710" t="s">
        <v>1511</v>
      </c>
      <c r="D1266" s="709" t="s">
        <v>159</v>
      </c>
      <c r="E1266" s="716">
        <v>104.91</v>
      </c>
      <c r="F1266" s="717">
        <v>0</v>
      </c>
      <c r="G1266">
        <f>VLOOKUP(B1266,'SINAPI-%MO'!B:E,4,0)</f>
        <v>0.33040000000000003</v>
      </c>
      <c r="H1266" s="225">
        <f t="shared" si="19"/>
        <v>70.239999999999995</v>
      </c>
    </row>
    <row r="1267" spans="1:8" x14ac:dyDescent="0.3">
      <c r="A1267" s="400"/>
      <c r="B1267" s="709">
        <v>105998</v>
      </c>
      <c r="C1267" s="710" t="s">
        <v>1512</v>
      </c>
      <c r="D1267" s="709" t="s">
        <v>159</v>
      </c>
      <c r="E1267" s="716">
        <v>116.28</v>
      </c>
      <c r="F1267" s="717">
        <v>0</v>
      </c>
      <c r="G1267">
        <f>VLOOKUP(B1267,'SINAPI-%MO'!B:E,4,0)</f>
        <v>0.3301</v>
      </c>
      <c r="H1267" s="225">
        <f t="shared" si="19"/>
        <v>77.89</v>
      </c>
    </row>
    <row r="1268" spans="1:8" x14ac:dyDescent="0.3">
      <c r="A1268" s="400"/>
      <c r="B1268" s="709">
        <v>105999</v>
      </c>
      <c r="C1268" s="710" t="s">
        <v>1513</v>
      </c>
      <c r="D1268" s="709" t="s">
        <v>159</v>
      </c>
      <c r="E1268" s="716">
        <v>132.35</v>
      </c>
      <c r="F1268" s="717">
        <v>0</v>
      </c>
      <c r="G1268">
        <f>VLOOKUP(B1268,'SINAPI-%MO'!B:E,4,0)</f>
        <v>0.32940000000000003</v>
      </c>
      <c r="H1268" s="225">
        <f t="shared" si="19"/>
        <v>88.75</v>
      </c>
    </row>
    <row r="1269" spans="1:8" x14ac:dyDescent="0.3">
      <c r="A1269" s="400"/>
      <c r="B1269" s="709">
        <v>106000</v>
      </c>
      <c r="C1269" s="710" t="s">
        <v>1514</v>
      </c>
      <c r="D1269" s="709" t="s">
        <v>159</v>
      </c>
      <c r="E1269" s="716">
        <v>148.41</v>
      </c>
      <c r="F1269" s="717">
        <v>0</v>
      </c>
      <c r="G1269">
        <f>VLOOKUP(B1269,'SINAPI-%MO'!B:E,4,0)</f>
        <v>0.32900000000000001</v>
      </c>
      <c r="H1269" s="225">
        <f t="shared" si="19"/>
        <v>99.58</v>
      </c>
    </row>
    <row r="1270" spans="1:8" x14ac:dyDescent="0.3">
      <c r="A1270" s="400"/>
      <c r="B1270" s="709">
        <v>106001</v>
      </c>
      <c r="C1270" s="710" t="s">
        <v>1515</v>
      </c>
      <c r="D1270" s="709" t="s">
        <v>159</v>
      </c>
      <c r="E1270" s="716">
        <v>159.79</v>
      </c>
      <c r="F1270" s="717">
        <v>0</v>
      </c>
      <c r="G1270">
        <f>VLOOKUP(B1270,'SINAPI-%MO'!B:E,4,0)</f>
        <v>0.32869999999999999</v>
      </c>
      <c r="H1270" s="225">
        <f t="shared" si="19"/>
        <v>107.26</v>
      </c>
    </row>
    <row r="1271" spans="1:8" x14ac:dyDescent="0.3">
      <c r="A1271" s="400"/>
      <c r="B1271" s="709">
        <v>106002</v>
      </c>
      <c r="C1271" s="710" t="s">
        <v>1516</v>
      </c>
      <c r="D1271" s="709" t="s">
        <v>159</v>
      </c>
      <c r="E1271" s="716">
        <v>175.85</v>
      </c>
      <c r="F1271" s="717">
        <v>0</v>
      </c>
      <c r="G1271">
        <f>VLOOKUP(B1271,'SINAPI-%MO'!B:E,4,0)</f>
        <v>0.32850000000000001</v>
      </c>
      <c r="H1271" s="225">
        <f t="shared" si="19"/>
        <v>118.08</v>
      </c>
    </row>
    <row r="1272" spans="1:8" x14ac:dyDescent="0.3">
      <c r="A1272" s="400"/>
      <c r="B1272" s="709">
        <v>105992</v>
      </c>
      <c r="C1272" s="710" t="s">
        <v>1517</v>
      </c>
      <c r="D1272" s="709" t="s">
        <v>159</v>
      </c>
      <c r="E1272" s="716">
        <v>112.66</v>
      </c>
      <c r="F1272" s="717">
        <v>0</v>
      </c>
      <c r="G1272">
        <f>VLOOKUP(B1272,'SINAPI-%MO'!B:E,4,0)</f>
        <v>0.42599999999999999</v>
      </c>
      <c r="H1272" s="225">
        <f t="shared" si="19"/>
        <v>64.66</v>
      </c>
    </row>
    <row r="1273" spans="1:8" x14ac:dyDescent="0.3">
      <c r="A1273" s="400"/>
      <c r="B1273" s="709">
        <v>105993</v>
      </c>
      <c r="C1273" s="710" t="s">
        <v>1518</v>
      </c>
      <c r="D1273" s="709" t="s">
        <v>159</v>
      </c>
      <c r="E1273" s="716">
        <v>135.22999999999999</v>
      </c>
      <c r="F1273" s="717">
        <v>0</v>
      </c>
      <c r="G1273">
        <f>VLOOKUP(B1273,'SINAPI-%MO'!B:E,4,0)</f>
        <v>0.42530000000000001</v>
      </c>
      <c r="H1273" s="225">
        <f t="shared" si="19"/>
        <v>77.709999999999994</v>
      </c>
    </row>
    <row r="1274" spans="1:8" x14ac:dyDescent="0.3">
      <c r="A1274" s="400"/>
      <c r="B1274" s="709">
        <v>105994</v>
      </c>
      <c r="C1274" s="710" t="s">
        <v>1519</v>
      </c>
      <c r="D1274" s="709" t="s">
        <v>159</v>
      </c>
      <c r="E1274" s="716">
        <v>165.8</v>
      </c>
      <c r="F1274" s="717">
        <v>0</v>
      </c>
      <c r="G1274">
        <f>VLOOKUP(B1274,'SINAPI-%MO'!B:E,4,0)</f>
        <v>0.42470000000000002</v>
      </c>
      <c r="H1274" s="225">
        <f t="shared" si="19"/>
        <v>95.38</v>
      </c>
    </row>
    <row r="1275" spans="1:8" x14ac:dyDescent="0.3">
      <c r="A1275" s="400"/>
      <c r="B1275" s="709">
        <v>105995</v>
      </c>
      <c r="C1275" s="710" t="s">
        <v>1520</v>
      </c>
      <c r="D1275" s="709" t="s">
        <v>159</v>
      </c>
      <c r="E1275" s="716">
        <v>196.44</v>
      </c>
      <c r="F1275" s="717">
        <v>0</v>
      </c>
      <c r="G1275">
        <f>VLOOKUP(B1275,'SINAPI-%MO'!B:E,4,0)</f>
        <v>0.42449999999999999</v>
      </c>
      <c r="H1275" s="225">
        <f t="shared" si="19"/>
        <v>113.05</v>
      </c>
    </row>
    <row r="1276" spans="1:8" x14ac:dyDescent="0.3">
      <c r="A1276" s="400"/>
      <c r="B1276" s="709">
        <v>105996</v>
      </c>
      <c r="C1276" s="710" t="s">
        <v>1521</v>
      </c>
      <c r="D1276" s="709" t="s">
        <v>159</v>
      </c>
      <c r="E1276" s="716">
        <v>212.42</v>
      </c>
      <c r="F1276" s="717">
        <v>0</v>
      </c>
      <c r="G1276">
        <f>VLOOKUP(B1276,'SINAPI-%MO'!B:E,4,0)</f>
        <v>0.42430000000000001</v>
      </c>
      <c r="H1276" s="225">
        <f t="shared" si="19"/>
        <v>122.29</v>
      </c>
    </row>
    <row r="1277" spans="1:8" x14ac:dyDescent="0.3">
      <c r="A1277" s="400"/>
      <c r="B1277" s="709">
        <v>105988</v>
      </c>
      <c r="C1277" s="710" t="s">
        <v>1522</v>
      </c>
      <c r="D1277" s="709" t="s">
        <v>159</v>
      </c>
      <c r="E1277" s="716">
        <v>74.099999999999994</v>
      </c>
      <c r="F1277" s="717">
        <v>0</v>
      </c>
      <c r="G1277">
        <f>VLOOKUP(B1277,'SINAPI-%MO'!B:E,4,0)</f>
        <v>0.42780000000000001</v>
      </c>
      <c r="H1277" s="225">
        <f t="shared" si="19"/>
        <v>42.4</v>
      </c>
    </row>
    <row r="1278" spans="1:8" x14ac:dyDescent="0.3">
      <c r="A1278" s="400"/>
      <c r="B1278" s="709">
        <v>105989</v>
      </c>
      <c r="C1278" s="710" t="s">
        <v>1523</v>
      </c>
      <c r="D1278" s="709" t="s">
        <v>159</v>
      </c>
      <c r="E1278" s="716">
        <v>82.09</v>
      </c>
      <c r="F1278" s="717">
        <v>0</v>
      </c>
      <c r="G1278">
        <f>VLOOKUP(B1278,'SINAPI-%MO'!B:E,4,0)</f>
        <v>0.42749999999999999</v>
      </c>
      <c r="H1278" s="225">
        <f t="shared" si="19"/>
        <v>46.99</v>
      </c>
    </row>
    <row r="1279" spans="1:8" x14ac:dyDescent="0.3">
      <c r="A1279" s="400"/>
      <c r="B1279" s="709">
        <v>105990</v>
      </c>
      <c r="C1279" s="710" t="s">
        <v>1524</v>
      </c>
      <c r="D1279" s="709" t="s">
        <v>159</v>
      </c>
      <c r="E1279" s="716">
        <v>93.38</v>
      </c>
      <c r="F1279" s="717">
        <v>0</v>
      </c>
      <c r="G1279">
        <f>VLOOKUP(B1279,'SINAPI-%MO'!B:E,4,0)</f>
        <v>0.42659999999999998</v>
      </c>
      <c r="H1279" s="225">
        <f t="shared" si="19"/>
        <v>53.54</v>
      </c>
    </row>
    <row r="1280" spans="1:8" x14ac:dyDescent="0.3">
      <c r="A1280" s="400"/>
      <c r="B1280" s="709">
        <v>105991</v>
      </c>
      <c r="C1280" s="710" t="s">
        <v>1525</v>
      </c>
      <c r="D1280" s="709" t="s">
        <v>159</v>
      </c>
      <c r="E1280" s="716">
        <v>104.66</v>
      </c>
      <c r="F1280" s="717">
        <v>0</v>
      </c>
      <c r="G1280">
        <f>VLOOKUP(B1280,'SINAPI-%MO'!B:E,4,0)</f>
        <v>0.42630000000000001</v>
      </c>
      <c r="H1280" s="225">
        <f t="shared" si="19"/>
        <v>60.04</v>
      </c>
    </row>
    <row r="1281" spans="1:8" x14ac:dyDescent="0.3">
      <c r="A1281" s="400"/>
      <c r="B1281" s="709">
        <v>105987</v>
      </c>
      <c r="C1281" s="710" t="s">
        <v>1526</v>
      </c>
      <c r="D1281" s="709" t="s">
        <v>159</v>
      </c>
      <c r="E1281" s="716">
        <v>128.62</v>
      </c>
      <c r="F1281" s="717">
        <v>0</v>
      </c>
      <c r="G1281">
        <f>VLOOKUP(B1281,'SINAPI-%MO'!B:E,4,0)</f>
        <v>0.42559999999999998</v>
      </c>
      <c r="H1281" s="225">
        <f t="shared" si="19"/>
        <v>73.87</v>
      </c>
    </row>
    <row r="1282" spans="1:8" x14ac:dyDescent="0.3">
      <c r="A1282" s="400"/>
      <c r="B1282" s="709">
        <v>105986</v>
      </c>
      <c r="C1282" s="710" t="s">
        <v>1527</v>
      </c>
      <c r="D1282" s="709" t="s">
        <v>159</v>
      </c>
      <c r="E1282" s="716">
        <v>160.57</v>
      </c>
      <c r="F1282" s="717">
        <v>0</v>
      </c>
      <c r="G1282">
        <f>VLOOKUP(B1282,'SINAPI-%MO'!B:E,4,0)</f>
        <v>0.4249</v>
      </c>
      <c r="H1282" s="225">
        <f t="shared" si="19"/>
        <v>92.34</v>
      </c>
    </row>
    <row r="1283" spans="1:8" x14ac:dyDescent="0.3">
      <c r="A1283" s="400"/>
      <c r="B1283" s="709">
        <v>106019</v>
      </c>
      <c r="C1283" s="710" t="s">
        <v>1528</v>
      </c>
      <c r="D1283" s="709" t="s">
        <v>136</v>
      </c>
      <c r="E1283" s="716">
        <v>0</v>
      </c>
      <c r="F1283" s="717"/>
      <c r="G1283" t="e">
        <f>VLOOKUP(B1283,'SINAPI-%MO'!B:E,4,0)</f>
        <v>#N/A</v>
      </c>
      <c r="H1283" s="225" t="str">
        <f t="shared" si="19"/>
        <v/>
      </c>
    </row>
    <row r="1284" spans="1:8" x14ac:dyDescent="0.3">
      <c r="A1284" s="400"/>
      <c r="B1284" s="709">
        <v>103001</v>
      </c>
      <c r="C1284" s="710" t="s">
        <v>1529</v>
      </c>
      <c r="D1284" s="709" t="s">
        <v>136</v>
      </c>
      <c r="E1284" s="716">
        <v>199.84</v>
      </c>
      <c r="F1284" s="717">
        <v>0.90769999999999995</v>
      </c>
      <c r="G1284">
        <f>VLOOKUP(B1284,'SINAPI-%MO'!B:E,4,0)</f>
        <v>7.8399999999999997E-2</v>
      </c>
      <c r="H1284" s="225">
        <f t="shared" si="19"/>
        <v>184.17</v>
      </c>
    </row>
    <row r="1285" spans="1:8" x14ac:dyDescent="0.3">
      <c r="A1285" s="400"/>
      <c r="B1285" s="709">
        <v>103002</v>
      </c>
      <c r="C1285" s="710" t="s">
        <v>1530</v>
      </c>
      <c r="D1285" s="709" t="s">
        <v>136</v>
      </c>
      <c r="E1285" s="716">
        <v>249.75</v>
      </c>
      <c r="F1285" s="717">
        <v>0.92300000000000004</v>
      </c>
      <c r="G1285">
        <f>VLOOKUP(B1285,'SINAPI-%MO'!B:E,4,0)</f>
        <v>6.5299999999999997E-2</v>
      </c>
      <c r="H1285" s="225">
        <f t="shared" si="19"/>
        <v>233.44</v>
      </c>
    </row>
    <row r="1286" spans="1:8" x14ac:dyDescent="0.3">
      <c r="A1286" s="400"/>
      <c r="B1286" s="709">
        <v>103003</v>
      </c>
      <c r="C1286" s="710" t="s">
        <v>1531</v>
      </c>
      <c r="D1286" s="709" t="s">
        <v>136</v>
      </c>
      <c r="E1286" s="716">
        <v>349.54</v>
      </c>
      <c r="F1286" s="717">
        <v>0.94059999999999999</v>
      </c>
      <c r="G1286">
        <f>VLOOKUP(B1286,'SINAPI-%MO'!B:E,4,0)</f>
        <v>5.04E-2</v>
      </c>
      <c r="H1286" s="225">
        <f t="shared" si="19"/>
        <v>331.92</v>
      </c>
    </row>
    <row r="1287" spans="1:8" x14ac:dyDescent="0.3">
      <c r="A1287" s="400"/>
      <c r="B1287" s="709">
        <v>106018</v>
      </c>
      <c r="C1287" s="710" t="s">
        <v>1532</v>
      </c>
      <c r="D1287" s="709" t="s">
        <v>136</v>
      </c>
      <c r="E1287" s="716">
        <v>0</v>
      </c>
      <c r="F1287" s="717"/>
      <c r="G1287" t="e">
        <f>VLOOKUP(B1287,'SINAPI-%MO'!B:E,4,0)</f>
        <v>#N/A</v>
      </c>
      <c r="H1287" s="225" t="str">
        <f t="shared" si="19"/>
        <v/>
      </c>
    </row>
    <row r="1288" spans="1:8" x14ac:dyDescent="0.3">
      <c r="A1288" s="400"/>
      <c r="B1288" s="709">
        <v>105945</v>
      </c>
      <c r="C1288" s="710" t="s">
        <v>1533</v>
      </c>
      <c r="D1288" s="709" t="s">
        <v>168</v>
      </c>
      <c r="E1288" s="716">
        <v>8.32</v>
      </c>
      <c r="F1288" s="717">
        <v>0</v>
      </c>
      <c r="G1288">
        <f>VLOOKUP(B1288,'SINAPI-%MO'!B:E,4,0)</f>
        <v>0.76080000000000003</v>
      </c>
      <c r="H1288" s="225">
        <f t="shared" si="19"/>
        <v>1.99</v>
      </c>
    </row>
    <row r="1289" spans="1:8" x14ac:dyDescent="0.3">
      <c r="A1289" s="400"/>
      <c r="B1289" s="709">
        <v>98522</v>
      </c>
      <c r="C1289" s="710" t="s">
        <v>13291</v>
      </c>
      <c r="D1289" s="709" t="s">
        <v>159</v>
      </c>
      <c r="E1289" s="716">
        <v>176.98</v>
      </c>
      <c r="F1289" s="717">
        <v>0</v>
      </c>
      <c r="G1289">
        <f>VLOOKUP(B1289,'SINAPI-%MO'!B:E,4,0)</f>
        <v>0.2414</v>
      </c>
      <c r="H1289" s="225">
        <f t="shared" si="19"/>
        <v>134.25</v>
      </c>
    </row>
    <row r="1290" spans="1:8" x14ac:dyDescent="0.3">
      <c r="A1290" s="400"/>
      <c r="B1290" s="709">
        <v>98523</v>
      </c>
      <c r="C1290" s="710" t="s">
        <v>14884</v>
      </c>
      <c r="D1290" s="709" t="s">
        <v>159</v>
      </c>
      <c r="E1290" s="716">
        <v>0</v>
      </c>
      <c r="F1290" s="717"/>
      <c r="G1290" t="e">
        <f>VLOOKUP(B1290,'SINAPI-%MO'!B:E,4,0)</f>
        <v>#N/A</v>
      </c>
      <c r="H1290" s="225" t="str">
        <f t="shared" si="19"/>
        <v/>
      </c>
    </row>
    <row r="1291" spans="1:8" x14ac:dyDescent="0.3">
      <c r="A1291" s="400"/>
      <c r="B1291" s="709">
        <v>102364</v>
      </c>
      <c r="C1291" s="710" t="s">
        <v>13292</v>
      </c>
      <c r="D1291" s="709" t="s">
        <v>168</v>
      </c>
      <c r="E1291" s="716">
        <v>189.69</v>
      </c>
      <c r="F1291" s="717">
        <v>0</v>
      </c>
      <c r="G1291">
        <f>VLOOKUP(B1291,'SINAPI-%MO'!B:E,4,0)</f>
        <v>0.1762</v>
      </c>
      <c r="H1291" s="225">
        <f t="shared" ref="H1291:H1354" si="20">IF(E1291&gt;0,TRUNC(E1291*(1-G1291),2),"")</f>
        <v>156.26</v>
      </c>
    </row>
    <row r="1292" spans="1:8" x14ac:dyDescent="0.3">
      <c r="A1292" s="400"/>
      <c r="B1292" s="709">
        <v>102363</v>
      </c>
      <c r="C1292" s="710" t="s">
        <v>13293</v>
      </c>
      <c r="D1292" s="709" t="s">
        <v>168</v>
      </c>
      <c r="E1292" s="716">
        <v>165.05</v>
      </c>
      <c r="F1292" s="717">
        <v>0</v>
      </c>
      <c r="G1292">
        <f>VLOOKUP(B1292,'SINAPI-%MO'!B:E,4,0)</f>
        <v>0.20250000000000001</v>
      </c>
      <c r="H1292" s="225">
        <f t="shared" si="20"/>
        <v>131.62</v>
      </c>
    </row>
    <row r="1293" spans="1:8" x14ac:dyDescent="0.3">
      <c r="A1293" s="400"/>
      <c r="B1293" s="709">
        <v>102362</v>
      </c>
      <c r="C1293" s="710" t="s">
        <v>13294</v>
      </c>
      <c r="D1293" s="709" t="s">
        <v>168</v>
      </c>
      <c r="E1293" s="716">
        <v>151.11000000000001</v>
      </c>
      <c r="F1293" s="717">
        <v>0</v>
      </c>
      <c r="G1293">
        <f>VLOOKUP(B1293,'SINAPI-%MO'!B:E,4,0)</f>
        <v>0.22120000000000001</v>
      </c>
      <c r="H1293" s="225">
        <f t="shared" si="20"/>
        <v>117.68</v>
      </c>
    </row>
    <row r="1294" spans="1:8" x14ac:dyDescent="0.3">
      <c r="A1294" s="400"/>
      <c r="B1294" s="709">
        <v>101196</v>
      </c>
      <c r="C1294" s="710" t="s">
        <v>14885</v>
      </c>
      <c r="D1294" s="709" t="s">
        <v>159</v>
      </c>
      <c r="E1294" s="716">
        <v>0</v>
      </c>
      <c r="F1294" s="717"/>
      <c r="G1294" t="e">
        <f>VLOOKUP(B1294,'SINAPI-%MO'!B:E,4,0)</f>
        <v>#N/A</v>
      </c>
      <c r="H1294" s="225" t="str">
        <f t="shared" si="20"/>
        <v/>
      </c>
    </row>
    <row r="1295" spans="1:8" x14ac:dyDescent="0.3">
      <c r="A1295" s="400"/>
      <c r="B1295" s="709">
        <v>101195</v>
      </c>
      <c r="C1295" s="710" t="s">
        <v>14886</v>
      </c>
      <c r="D1295" s="709" t="s">
        <v>159</v>
      </c>
      <c r="E1295" s="716">
        <v>0</v>
      </c>
      <c r="F1295" s="717"/>
      <c r="G1295" t="e">
        <f>VLOOKUP(B1295,'SINAPI-%MO'!B:E,4,0)</f>
        <v>#N/A</v>
      </c>
      <c r="H1295" s="225" t="str">
        <f t="shared" si="20"/>
        <v/>
      </c>
    </row>
    <row r="1296" spans="1:8" x14ac:dyDescent="0.3">
      <c r="A1296" s="400"/>
      <c r="B1296" s="709">
        <v>101193</v>
      </c>
      <c r="C1296" s="710" t="s">
        <v>13295</v>
      </c>
      <c r="D1296" s="709" t="s">
        <v>159</v>
      </c>
      <c r="E1296" s="716">
        <v>59.2</v>
      </c>
      <c r="F1296" s="717">
        <v>0</v>
      </c>
      <c r="G1296">
        <f>VLOOKUP(B1296,'SINAPI-%MO'!B:E,4,0)</f>
        <v>0.36930000000000002</v>
      </c>
      <c r="H1296" s="225">
        <f t="shared" si="20"/>
        <v>37.33</v>
      </c>
    </row>
    <row r="1297" spans="1:8" x14ac:dyDescent="0.3">
      <c r="A1297" s="400"/>
      <c r="B1297" s="709">
        <v>106459</v>
      </c>
      <c r="C1297" s="710" t="s">
        <v>13296</v>
      </c>
      <c r="D1297" s="709" t="s">
        <v>159</v>
      </c>
      <c r="E1297" s="716">
        <v>59.33</v>
      </c>
      <c r="F1297" s="717">
        <v>0</v>
      </c>
      <c r="G1297">
        <f>VLOOKUP(B1297,'SINAPI-%MO'!B:E,4,0)</f>
        <v>0.36840000000000001</v>
      </c>
      <c r="H1297" s="225">
        <f t="shared" si="20"/>
        <v>37.47</v>
      </c>
    </row>
    <row r="1298" spans="1:8" x14ac:dyDescent="0.3">
      <c r="A1298" s="400"/>
      <c r="B1298" s="709">
        <v>101194</v>
      </c>
      <c r="C1298" s="710" t="s">
        <v>13297</v>
      </c>
      <c r="D1298" s="709" t="s">
        <v>159</v>
      </c>
      <c r="E1298" s="716">
        <v>59.52</v>
      </c>
      <c r="F1298" s="717">
        <v>0</v>
      </c>
      <c r="G1298">
        <f>VLOOKUP(B1298,'SINAPI-%MO'!B:E,4,0)</f>
        <v>0.36730000000000002</v>
      </c>
      <c r="H1298" s="225">
        <f t="shared" si="20"/>
        <v>37.65</v>
      </c>
    </row>
    <row r="1299" spans="1:8" x14ac:dyDescent="0.3">
      <c r="A1299" s="400"/>
      <c r="B1299" s="709">
        <v>101190</v>
      </c>
      <c r="C1299" s="710" t="s">
        <v>13298</v>
      </c>
      <c r="D1299" s="709" t="s">
        <v>159</v>
      </c>
      <c r="E1299" s="716">
        <v>65.64</v>
      </c>
      <c r="F1299" s="717">
        <v>0</v>
      </c>
      <c r="G1299">
        <f>VLOOKUP(B1299,'SINAPI-%MO'!B:E,4,0)</f>
        <v>0.33300000000000002</v>
      </c>
      <c r="H1299" s="225">
        <f t="shared" si="20"/>
        <v>43.78</v>
      </c>
    </row>
    <row r="1300" spans="1:8" x14ac:dyDescent="0.3">
      <c r="A1300" s="400"/>
      <c r="B1300" s="709">
        <v>106458</v>
      </c>
      <c r="C1300" s="710" t="s">
        <v>13299</v>
      </c>
      <c r="D1300" s="709" t="s">
        <v>159</v>
      </c>
      <c r="E1300" s="716">
        <v>65.77</v>
      </c>
      <c r="F1300" s="717">
        <v>0</v>
      </c>
      <c r="G1300">
        <f>VLOOKUP(B1300,'SINAPI-%MO'!B:E,4,0)</f>
        <v>0.33239999999999997</v>
      </c>
      <c r="H1300" s="225">
        <f t="shared" si="20"/>
        <v>43.9</v>
      </c>
    </row>
    <row r="1301" spans="1:8" x14ac:dyDescent="0.3">
      <c r="A1301" s="400"/>
      <c r="B1301" s="709">
        <v>101191</v>
      </c>
      <c r="C1301" s="710" t="s">
        <v>13300</v>
      </c>
      <c r="D1301" s="709" t="s">
        <v>159</v>
      </c>
      <c r="E1301" s="716">
        <v>65.959999999999994</v>
      </c>
      <c r="F1301" s="717">
        <v>0</v>
      </c>
      <c r="G1301">
        <f>VLOOKUP(B1301,'SINAPI-%MO'!B:E,4,0)</f>
        <v>0.33139999999999997</v>
      </c>
      <c r="H1301" s="225">
        <f t="shared" si="20"/>
        <v>44.1</v>
      </c>
    </row>
    <row r="1302" spans="1:8" x14ac:dyDescent="0.3">
      <c r="A1302" s="400"/>
      <c r="B1302" s="709">
        <v>101198</v>
      </c>
      <c r="C1302" s="710" t="s">
        <v>13301</v>
      </c>
      <c r="D1302" s="709" t="s">
        <v>159</v>
      </c>
      <c r="E1302" s="716">
        <v>90.78</v>
      </c>
      <c r="F1302" s="717">
        <v>0</v>
      </c>
      <c r="G1302">
        <f>VLOOKUP(B1302,'SINAPI-%MO'!B:E,4,0)</f>
        <v>0.42949999999999999</v>
      </c>
      <c r="H1302" s="225">
        <f t="shared" si="20"/>
        <v>51.78</v>
      </c>
    </row>
    <row r="1303" spans="1:8" x14ac:dyDescent="0.3">
      <c r="A1303" s="400"/>
      <c r="B1303" s="709">
        <v>106460</v>
      </c>
      <c r="C1303" s="710" t="s">
        <v>13302</v>
      </c>
      <c r="D1303" s="709" t="s">
        <v>159</v>
      </c>
      <c r="E1303" s="716">
        <v>91.13</v>
      </c>
      <c r="F1303" s="717">
        <v>0</v>
      </c>
      <c r="G1303">
        <f>VLOOKUP(B1303,'SINAPI-%MO'!B:E,4,0)</f>
        <v>0.4279</v>
      </c>
      <c r="H1303" s="225">
        <f t="shared" si="20"/>
        <v>52.13</v>
      </c>
    </row>
    <row r="1304" spans="1:8" x14ac:dyDescent="0.3">
      <c r="A1304" s="400"/>
      <c r="B1304" s="709">
        <v>101199</v>
      </c>
      <c r="C1304" s="710" t="s">
        <v>13303</v>
      </c>
      <c r="D1304" s="709" t="s">
        <v>159</v>
      </c>
      <c r="E1304" s="716">
        <v>91.59</v>
      </c>
      <c r="F1304" s="717">
        <v>0</v>
      </c>
      <c r="G1304">
        <f>VLOOKUP(B1304,'SINAPI-%MO'!B:E,4,0)</f>
        <v>0.42570000000000002</v>
      </c>
      <c r="H1304" s="225">
        <f t="shared" si="20"/>
        <v>52.6</v>
      </c>
    </row>
    <row r="1305" spans="1:8" x14ac:dyDescent="0.3">
      <c r="A1305" s="400"/>
      <c r="B1305" s="709">
        <v>101203</v>
      </c>
      <c r="C1305" s="710" t="s">
        <v>13304</v>
      </c>
      <c r="D1305" s="709" t="s">
        <v>159</v>
      </c>
      <c r="E1305" s="716">
        <v>41.32</v>
      </c>
      <c r="F1305" s="717">
        <v>0</v>
      </c>
      <c r="G1305">
        <f>VLOOKUP(B1305,'SINAPI-%MO'!B:E,4,0)</f>
        <v>0.51380000000000003</v>
      </c>
      <c r="H1305" s="225">
        <f t="shared" si="20"/>
        <v>20.079999999999998</v>
      </c>
    </row>
    <row r="1306" spans="1:8" x14ac:dyDescent="0.3">
      <c r="A1306" s="400"/>
      <c r="B1306" s="709">
        <v>101204</v>
      </c>
      <c r="C1306" s="710" t="s">
        <v>13305</v>
      </c>
      <c r="D1306" s="709" t="s">
        <v>159</v>
      </c>
      <c r="E1306" s="716">
        <v>41.64</v>
      </c>
      <c r="F1306" s="717">
        <v>0</v>
      </c>
      <c r="G1306">
        <f>VLOOKUP(B1306,'SINAPI-%MO'!B:E,4,0)</f>
        <v>0.50980000000000003</v>
      </c>
      <c r="H1306" s="225">
        <f t="shared" si="20"/>
        <v>20.41</v>
      </c>
    </row>
    <row r="1307" spans="1:8" x14ac:dyDescent="0.3">
      <c r="A1307" s="400"/>
      <c r="B1307" s="709">
        <v>106257</v>
      </c>
      <c r="C1307" s="710" t="s">
        <v>13306</v>
      </c>
      <c r="D1307" s="709" t="s">
        <v>159</v>
      </c>
      <c r="E1307" s="716">
        <v>41.48</v>
      </c>
      <c r="F1307" s="717">
        <v>0</v>
      </c>
      <c r="G1307">
        <f>VLOOKUP(B1307,'SINAPI-%MO'!B:E,4,0)</f>
        <v>0.51180000000000003</v>
      </c>
      <c r="H1307" s="225">
        <f t="shared" si="20"/>
        <v>20.25</v>
      </c>
    </row>
    <row r="1308" spans="1:8" x14ac:dyDescent="0.3">
      <c r="A1308" s="400"/>
      <c r="B1308" s="709">
        <v>106461</v>
      </c>
      <c r="C1308" s="710" t="s">
        <v>13307</v>
      </c>
      <c r="D1308" s="709" t="s">
        <v>159</v>
      </c>
      <c r="E1308" s="716">
        <v>50.74</v>
      </c>
      <c r="F1308" s="717">
        <v>0</v>
      </c>
      <c r="G1308">
        <f>VLOOKUP(B1308,'SINAPI-%MO'!B:E,4,0)</f>
        <v>0.38019999999999998</v>
      </c>
      <c r="H1308" s="225">
        <f t="shared" si="20"/>
        <v>31.44</v>
      </c>
    </row>
    <row r="1309" spans="1:8" x14ac:dyDescent="0.3">
      <c r="A1309" s="400"/>
      <c r="B1309" s="709">
        <v>106462</v>
      </c>
      <c r="C1309" s="710" t="s">
        <v>13308</v>
      </c>
      <c r="D1309" s="709" t="s">
        <v>159</v>
      </c>
      <c r="E1309" s="716">
        <v>63.22</v>
      </c>
      <c r="F1309" s="717">
        <v>0</v>
      </c>
      <c r="G1309">
        <f>VLOOKUP(B1309,'SINAPI-%MO'!B:E,4,0)</f>
        <v>0.42759999999999998</v>
      </c>
      <c r="H1309" s="225">
        <f t="shared" si="20"/>
        <v>36.18</v>
      </c>
    </row>
    <row r="1310" spans="1:8" x14ac:dyDescent="0.3">
      <c r="A1310" s="400"/>
      <c r="B1310" s="709">
        <v>106479</v>
      </c>
      <c r="C1310" s="710" t="s">
        <v>13309</v>
      </c>
      <c r="D1310" s="709" t="s">
        <v>159</v>
      </c>
      <c r="E1310" s="716">
        <v>63.4</v>
      </c>
      <c r="F1310" s="717">
        <v>0</v>
      </c>
      <c r="G1310">
        <f>VLOOKUP(B1310,'SINAPI-%MO'!B:E,4,0)</f>
        <v>0.27</v>
      </c>
      <c r="H1310" s="225">
        <f t="shared" si="20"/>
        <v>46.28</v>
      </c>
    </row>
    <row r="1311" spans="1:8" x14ac:dyDescent="0.3">
      <c r="A1311" s="400"/>
      <c r="B1311" s="709">
        <v>106483</v>
      </c>
      <c r="C1311" s="710" t="s">
        <v>13310</v>
      </c>
      <c r="D1311" s="709" t="s">
        <v>136</v>
      </c>
      <c r="E1311" s="716">
        <v>115.27</v>
      </c>
      <c r="F1311" s="717">
        <v>0</v>
      </c>
      <c r="G1311">
        <f>VLOOKUP(B1311,'SINAPI-%MO'!B:E,4,0)</f>
        <v>0.26190000000000002</v>
      </c>
      <c r="H1311" s="225">
        <f t="shared" si="20"/>
        <v>85.08</v>
      </c>
    </row>
    <row r="1312" spans="1:8" x14ac:dyDescent="0.3">
      <c r="A1312" s="400"/>
      <c r="B1312" s="709">
        <v>106484</v>
      </c>
      <c r="C1312" s="710" t="s">
        <v>13311</v>
      </c>
      <c r="D1312" s="709" t="s">
        <v>136</v>
      </c>
      <c r="E1312" s="716">
        <v>124.79</v>
      </c>
      <c r="F1312" s="717">
        <v>0</v>
      </c>
      <c r="G1312">
        <f>VLOOKUP(B1312,'SINAPI-%MO'!B:E,4,0)</f>
        <v>0.2419</v>
      </c>
      <c r="H1312" s="225">
        <f t="shared" si="20"/>
        <v>94.6</v>
      </c>
    </row>
    <row r="1313" spans="1:8" x14ac:dyDescent="0.3">
      <c r="A1313" s="400"/>
      <c r="B1313" s="709">
        <v>106480</v>
      </c>
      <c r="C1313" s="710" t="s">
        <v>13312</v>
      </c>
      <c r="D1313" s="709" t="s">
        <v>136</v>
      </c>
      <c r="E1313" s="716">
        <v>110.85</v>
      </c>
      <c r="F1313" s="717">
        <v>0</v>
      </c>
      <c r="G1313">
        <f>VLOOKUP(B1313,'SINAPI-%MO'!B:E,4,0)</f>
        <v>0.27239999999999998</v>
      </c>
      <c r="H1313" s="225">
        <f t="shared" si="20"/>
        <v>80.650000000000006</v>
      </c>
    </row>
    <row r="1314" spans="1:8" x14ac:dyDescent="0.3">
      <c r="A1314" s="400"/>
      <c r="B1314" s="709">
        <v>106482</v>
      </c>
      <c r="C1314" s="710" t="s">
        <v>14887</v>
      </c>
      <c r="D1314" s="709" t="s">
        <v>136</v>
      </c>
      <c r="E1314" s="716">
        <v>0</v>
      </c>
      <c r="F1314" s="717"/>
      <c r="G1314" t="e">
        <f>VLOOKUP(B1314,'SINAPI-%MO'!B:E,4,0)</f>
        <v>#N/A</v>
      </c>
      <c r="H1314" s="225" t="str">
        <f t="shared" si="20"/>
        <v/>
      </c>
    </row>
    <row r="1315" spans="1:8" x14ac:dyDescent="0.3">
      <c r="A1315" s="400"/>
      <c r="B1315" s="709">
        <v>106481</v>
      </c>
      <c r="C1315" s="710" t="s">
        <v>13313</v>
      </c>
      <c r="D1315" s="709" t="s">
        <v>136</v>
      </c>
      <c r="E1315" s="716">
        <v>126.94</v>
      </c>
      <c r="F1315" s="717">
        <v>0</v>
      </c>
      <c r="G1315">
        <f>VLOOKUP(B1315,'SINAPI-%MO'!B:E,4,0)</f>
        <v>0.23780000000000001</v>
      </c>
      <c r="H1315" s="225">
        <f t="shared" si="20"/>
        <v>96.75</v>
      </c>
    </row>
    <row r="1316" spans="1:8" x14ac:dyDescent="0.3">
      <c r="A1316" s="400"/>
      <c r="B1316" s="709">
        <v>106467</v>
      </c>
      <c r="C1316" s="710" t="s">
        <v>14888</v>
      </c>
      <c r="D1316" s="709" t="s">
        <v>168</v>
      </c>
      <c r="E1316" s="716">
        <v>0</v>
      </c>
      <c r="F1316" s="717"/>
      <c r="G1316" t="e">
        <f>VLOOKUP(B1316,'SINAPI-%MO'!B:E,4,0)</f>
        <v>#N/A</v>
      </c>
      <c r="H1316" s="225" t="str">
        <f t="shared" si="20"/>
        <v/>
      </c>
    </row>
    <row r="1317" spans="1:8" x14ac:dyDescent="0.3">
      <c r="A1317" s="400"/>
      <c r="B1317" s="709">
        <v>106465</v>
      </c>
      <c r="C1317" s="710" t="s">
        <v>14889</v>
      </c>
      <c r="D1317" s="709" t="s">
        <v>168</v>
      </c>
      <c r="E1317" s="716">
        <v>0</v>
      </c>
      <c r="F1317" s="717"/>
      <c r="G1317" t="e">
        <f>VLOOKUP(B1317,'SINAPI-%MO'!B:E,4,0)</f>
        <v>#N/A</v>
      </c>
      <c r="H1317" s="225" t="str">
        <f t="shared" si="20"/>
        <v/>
      </c>
    </row>
    <row r="1318" spans="1:8" x14ac:dyDescent="0.3">
      <c r="A1318" s="400"/>
      <c r="B1318" s="709">
        <v>106469</v>
      </c>
      <c r="C1318" s="710" t="s">
        <v>13314</v>
      </c>
      <c r="D1318" s="709" t="s">
        <v>168</v>
      </c>
      <c r="E1318" s="716">
        <v>36.950000000000003</v>
      </c>
      <c r="F1318" s="717">
        <v>0</v>
      </c>
      <c r="G1318">
        <f>VLOOKUP(B1318,'SINAPI-%MO'!B:E,4,0)</f>
        <v>0.1212</v>
      </c>
      <c r="H1318" s="225">
        <f t="shared" si="20"/>
        <v>32.47</v>
      </c>
    </row>
    <row r="1319" spans="1:8" x14ac:dyDescent="0.3">
      <c r="A1319" s="400"/>
      <c r="B1319" s="709">
        <v>106468</v>
      </c>
      <c r="C1319" s="710" t="s">
        <v>13315</v>
      </c>
      <c r="D1319" s="709" t="s">
        <v>168</v>
      </c>
      <c r="E1319" s="716">
        <v>23.02</v>
      </c>
      <c r="F1319" s="717">
        <v>0</v>
      </c>
      <c r="G1319">
        <f>VLOOKUP(B1319,'SINAPI-%MO'!B:E,4,0)</f>
        <v>0.1946</v>
      </c>
      <c r="H1319" s="225">
        <f t="shared" si="20"/>
        <v>18.54</v>
      </c>
    </row>
    <row r="1320" spans="1:8" x14ac:dyDescent="0.3">
      <c r="A1320" s="400"/>
      <c r="B1320" s="709">
        <v>106466</v>
      </c>
      <c r="C1320" s="710" t="s">
        <v>13316</v>
      </c>
      <c r="D1320" s="709" t="s">
        <v>168</v>
      </c>
      <c r="E1320" s="716">
        <v>47.03</v>
      </c>
      <c r="F1320" s="717">
        <v>0</v>
      </c>
      <c r="G1320">
        <f>VLOOKUP(B1320,'SINAPI-%MO'!B:E,4,0)</f>
        <v>0.31319999999999998</v>
      </c>
      <c r="H1320" s="225">
        <f t="shared" si="20"/>
        <v>32.299999999999997</v>
      </c>
    </row>
    <row r="1321" spans="1:8" x14ac:dyDescent="0.3">
      <c r="A1321" s="400"/>
      <c r="B1321" s="709">
        <v>106464</v>
      </c>
      <c r="C1321" s="710" t="s">
        <v>13317</v>
      </c>
      <c r="D1321" s="709" t="s">
        <v>168</v>
      </c>
      <c r="E1321" s="716">
        <v>62.84</v>
      </c>
      <c r="F1321" s="717">
        <v>0</v>
      </c>
      <c r="G1321">
        <f>VLOOKUP(B1321,'SINAPI-%MO'!B:E,4,0)</f>
        <v>0.2344</v>
      </c>
      <c r="H1321" s="225">
        <f t="shared" si="20"/>
        <v>48.11</v>
      </c>
    </row>
    <row r="1322" spans="1:8" x14ac:dyDescent="0.3">
      <c r="A1322" s="400"/>
      <c r="B1322" s="709">
        <v>106476</v>
      </c>
      <c r="C1322" s="710" t="s">
        <v>13318</v>
      </c>
      <c r="D1322" s="709" t="s">
        <v>159</v>
      </c>
      <c r="E1322" s="716">
        <v>59.68</v>
      </c>
      <c r="F1322" s="717">
        <v>0</v>
      </c>
      <c r="G1322">
        <f>VLOOKUP(B1322,'SINAPI-%MO'!B:E,4,0)</f>
        <v>0.22570000000000001</v>
      </c>
      <c r="H1322" s="225">
        <f t="shared" si="20"/>
        <v>46.21</v>
      </c>
    </row>
    <row r="1323" spans="1:8" x14ac:dyDescent="0.3">
      <c r="A1323" s="400"/>
      <c r="B1323" s="709">
        <v>106477</v>
      </c>
      <c r="C1323" s="710" t="s">
        <v>13319</v>
      </c>
      <c r="D1323" s="709" t="s">
        <v>159</v>
      </c>
      <c r="E1323" s="716">
        <v>50.14</v>
      </c>
      <c r="F1323" s="717">
        <v>0</v>
      </c>
      <c r="G1323">
        <f>VLOOKUP(B1323,'SINAPI-%MO'!B:E,4,0)</f>
        <v>0.26860000000000001</v>
      </c>
      <c r="H1323" s="225">
        <f t="shared" si="20"/>
        <v>36.67</v>
      </c>
    </row>
    <row r="1324" spans="1:8" x14ac:dyDescent="0.3">
      <c r="A1324" s="400"/>
      <c r="B1324" s="709">
        <v>106478</v>
      </c>
      <c r="C1324" s="710" t="s">
        <v>13320</v>
      </c>
      <c r="D1324" s="709" t="s">
        <v>159</v>
      </c>
      <c r="E1324" s="716">
        <v>109.39</v>
      </c>
      <c r="F1324" s="717">
        <v>0</v>
      </c>
      <c r="G1324">
        <f>VLOOKUP(B1324,'SINAPI-%MO'!B:E,4,0)</f>
        <v>0.1231</v>
      </c>
      <c r="H1324" s="225">
        <f t="shared" si="20"/>
        <v>95.92</v>
      </c>
    </row>
    <row r="1325" spans="1:8" x14ac:dyDescent="0.3">
      <c r="A1325" s="400"/>
      <c r="B1325" s="709">
        <v>106471</v>
      </c>
      <c r="C1325" s="710" t="s">
        <v>13321</v>
      </c>
      <c r="D1325" s="709" t="s">
        <v>159</v>
      </c>
      <c r="E1325" s="716">
        <v>138.72</v>
      </c>
      <c r="F1325" s="717">
        <v>0</v>
      </c>
      <c r="G1325">
        <f>VLOOKUP(B1325,'SINAPI-%MO'!B:E,4,0)</f>
        <v>0.24390000000000001</v>
      </c>
      <c r="H1325" s="225">
        <f t="shared" si="20"/>
        <v>104.88</v>
      </c>
    </row>
    <row r="1326" spans="1:8" x14ac:dyDescent="0.3">
      <c r="A1326" s="400"/>
      <c r="B1326" s="709">
        <v>106470</v>
      </c>
      <c r="C1326" s="710" t="s">
        <v>13322</v>
      </c>
      <c r="D1326" s="709" t="s">
        <v>159</v>
      </c>
      <c r="E1326" s="716">
        <v>120.41</v>
      </c>
      <c r="F1326" s="717">
        <v>0</v>
      </c>
      <c r="G1326">
        <f>VLOOKUP(B1326,'SINAPI-%MO'!B:E,4,0)</f>
        <v>0.28149999999999997</v>
      </c>
      <c r="H1326" s="225">
        <f t="shared" si="20"/>
        <v>86.51</v>
      </c>
    </row>
    <row r="1327" spans="1:8" x14ac:dyDescent="0.3">
      <c r="A1327" s="400"/>
      <c r="B1327" s="709">
        <v>106472</v>
      </c>
      <c r="C1327" s="710" t="s">
        <v>13323</v>
      </c>
      <c r="D1327" s="709" t="s">
        <v>159</v>
      </c>
      <c r="E1327" s="716">
        <v>171.47</v>
      </c>
      <c r="F1327" s="717">
        <v>0</v>
      </c>
      <c r="G1327">
        <f>VLOOKUP(B1327,'SINAPI-%MO'!B:E,4,0)</f>
        <v>0.1968</v>
      </c>
      <c r="H1327" s="225">
        <f t="shared" si="20"/>
        <v>137.72</v>
      </c>
    </row>
    <row r="1328" spans="1:8" x14ac:dyDescent="0.3">
      <c r="A1328" s="400"/>
      <c r="B1328" s="709">
        <v>106475</v>
      </c>
      <c r="C1328" s="710" t="s">
        <v>13324</v>
      </c>
      <c r="D1328" s="709" t="s">
        <v>159</v>
      </c>
      <c r="E1328" s="716">
        <v>139.53</v>
      </c>
      <c r="F1328" s="717">
        <v>0</v>
      </c>
      <c r="G1328">
        <f>VLOOKUP(B1328,'SINAPI-%MO'!B:E,4,0)</f>
        <v>6.0400000000000002E-2</v>
      </c>
      <c r="H1328" s="225">
        <f t="shared" si="20"/>
        <v>131.1</v>
      </c>
    </row>
    <row r="1329" spans="1:8" x14ac:dyDescent="0.3">
      <c r="A1329" s="400"/>
      <c r="B1329" s="709">
        <v>106474</v>
      </c>
      <c r="C1329" s="710" t="s">
        <v>13325</v>
      </c>
      <c r="D1329" s="709" t="s">
        <v>159</v>
      </c>
      <c r="E1329" s="716">
        <v>106.51</v>
      </c>
      <c r="F1329" s="717">
        <v>0</v>
      </c>
      <c r="G1329">
        <f>VLOOKUP(B1329,'SINAPI-%MO'!B:E,4,0)</f>
        <v>7.9299999999999995E-2</v>
      </c>
      <c r="H1329" s="225">
        <f t="shared" si="20"/>
        <v>98.06</v>
      </c>
    </row>
    <row r="1330" spans="1:8" x14ac:dyDescent="0.3">
      <c r="A1330" s="400"/>
      <c r="B1330" s="709">
        <v>106473</v>
      </c>
      <c r="C1330" s="710" t="s">
        <v>13326</v>
      </c>
      <c r="D1330" s="709" t="s">
        <v>159</v>
      </c>
      <c r="E1330" s="716">
        <v>87.98</v>
      </c>
      <c r="F1330" s="717">
        <v>0</v>
      </c>
      <c r="G1330">
        <f>VLOOKUP(B1330,'SINAPI-%MO'!B:E,4,0)</f>
        <v>9.6299999999999997E-2</v>
      </c>
      <c r="H1330" s="225">
        <f t="shared" si="20"/>
        <v>79.5</v>
      </c>
    </row>
    <row r="1331" spans="1:8" x14ac:dyDescent="0.3">
      <c r="A1331" s="400"/>
      <c r="B1331" s="709">
        <v>101205</v>
      </c>
      <c r="C1331" s="710" t="s">
        <v>13327</v>
      </c>
      <c r="D1331" s="709" t="s">
        <v>159</v>
      </c>
      <c r="E1331" s="716">
        <v>41.48</v>
      </c>
      <c r="F1331" s="717">
        <v>0</v>
      </c>
      <c r="G1331">
        <f>VLOOKUP(B1331,'SINAPI-%MO'!B:E,4,0)</f>
        <v>0.51180000000000003</v>
      </c>
      <c r="H1331" s="225">
        <f t="shared" si="20"/>
        <v>20.25</v>
      </c>
    </row>
    <row r="1332" spans="1:8" x14ac:dyDescent="0.3">
      <c r="A1332" s="400"/>
      <c r="B1332" s="709">
        <v>106463</v>
      </c>
      <c r="C1332" s="710" t="s">
        <v>14890</v>
      </c>
      <c r="D1332" s="709" t="s">
        <v>168</v>
      </c>
      <c r="E1332" s="716">
        <v>0</v>
      </c>
      <c r="F1332" s="717"/>
      <c r="G1332" t="e">
        <f>VLOOKUP(B1332,'SINAPI-%MO'!B:E,4,0)</f>
        <v>#N/A</v>
      </c>
      <c r="H1332" s="225" t="str">
        <f t="shared" si="20"/>
        <v/>
      </c>
    </row>
    <row r="1333" spans="1:8" x14ac:dyDescent="0.3">
      <c r="A1333" s="400"/>
      <c r="B1333" s="709">
        <v>106457</v>
      </c>
      <c r="C1333" s="710" t="s">
        <v>13328</v>
      </c>
      <c r="D1333" s="709" t="s">
        <v>159</v>
      </c>
      <c r="E1333" s="716">
        <v>6.19</v>
      </c>
      <c r="F1333" s="717">
        <v>0</v>
      </c>
      <c r="G1333">
        <f>VLOOKUP(B1333,'SINAPI-%MO'!B:E,4,0)</f>
        <v>0.79</v>
      </c>
      <c r="H1333" s="225">
        <f t="shared" si="20"/>
        <v>1.29</v>
      </c>
    </row>
    <row r="1334" spans="1:8" x14ac:dyDescent="0.3">
      <c r="A1334" s="400"/>
      <c r="B1334" s="709">
        <v>87905</v>
      </c>
      <c r="C1334" s="710" t="s">
        <v>1534</v>
      </c>
      <c r="D1334" s="709" t="s">
        <v>168</v>
      </c>
      <c r="E1334" s="716">
        <v>9.23</v>
      </c>
      <c r="F1334" s="717">
        <v>0</v>
      </c>
      <c r="G1334">
        <f>VLOOKUP(B1334,'SINAPI-%MO'!B:E,4,0)</f>
        <v>0.7974</v>
      </c>
      <c r="H1334" s="225">
        <f t="shared" si="20"/>
        <v>1.86</v>
      </c>
    </row>
    <row r="1335" spans="1:8" x14ac:dyDescent="0.3">
      <c r="A1335" s="400"/>
      <c r="B1335" s="709">
        <v>87904</v>
      </c>
      <c r="C1335" s="710" t="s">
        <v>1535</v>
      </c>
      <c r="D1335" s="709" t="s">
        <v>168</v>
      </c>
      <c r="E1335" s="716">
        <v>9.81</v>
      </c>
      <c r="F1335" s="717">
        <v>0</v>
      </c>
      <c r="G1335">
        <f>VLOOKUP(B1335,'SINAPI-%MO'!B:E,4,0)</f>
        <v>0.8135</v>
      </c>
      <c r="H1335" s="225">
        <f t="shared" si="20"/>
        <v>1.82</v>
      </c>
    </row>
    <row r="1336" spans="1:8" x14ac:dyDescent="0.3">
      <c r="A1336" s="400"/>
      <c r="B1336" s="709">
        <v>87908</v>
      </c>
      <c r="C1336" s="710" t="s">
        <v>1536</v>
      </c>
      <c r="D1336" s="709" t="s">
        <v>168</v>
      </c>
      <c r="E1336" s="716">
        <v>7.08</v>
      </c>
      <c r="F1336" s="717">
        <v>0.1215</v>
      </c>
      <c r="G1336">
        <f>VLOOKUP(B1336,'SINAPI-%MO'!B:E,4,0)</f>
        <v>0.60880000000000001</v>
      </c>
      <c r="H1336" s="225">
        <f t="shared" si="20"/>
        <v>2.76</v>
      </c>
    </row>
    <row r="1337" spans="1:8" x14ac:dyDescent="0.3">
      <c r="A1337" s="400"/>
      <c r="B1337" s="709">
        <v>87907</v>
      </c>
      <c r="C1337" s="710" t="s">
        <v>1537</v>
      </c>
      <c r="D1337" s="709" t="s">
        <v>168</v>
      </c>
      <c r="E1337" s="716">
        <v>7.66</v>
      </c>
      <c r="F1337" s="717">
        <v>0.1123</v>
      </c>
      <c r="G1337">
        <f>VLOOKUP(B1337,'SINAPI-%MO'!B:E,4,0)</f>
        <v>0.64359999999999995</v>
      </c>
      <c r="H1337" s="225">
        <f t="shared" si="20"/>
        <v>2.73</v>
      </c>
    </row>
    <row r="1338" spans="1:8" x14ac:dyDescent="0.3">
      <c r="A1338" s="400"/>
      <c r="B1338" s="709">
        <v>87903</v>
      </c>
      <c r="C1338" s="710" t="s">
        <v>1538</v>
      </c>
      <c r="D1338" s="709" t="s">
        <v>168</v>
      </c>
      <c r="E1338" s="716">
        <v>12.37</v>
      </c>
      <c r="F1338" s="717">
        <v>0</v>
      </c>
      <c r="G1338">
        <f>VLOOKUP(B1338,'SINAPI-%MO'!B:E,4,0)</f>
        <v>0.36380000000000001</v>
      </c>
      <c r="H1338" s="225">
        <f t="shared" si="20"/>
        <v>7.86</v>
      </c>
    </row>
    <row r="1339" spans="1:8" x14ac:dyDescent="0.3">
      <c r="A1339" s="400"/>
      <c r="B1339" s="709">
        <v>87902</v>
      </c>
      <c r="C1339" s="710" t="s">
        <v>1539</v>
      </c>
      <c r="D1339" s="709" t="s">
        <v>168</v>
      </c>
      <c r="E1339" s="716">
        <v>12.77</v>
      </c>
      <c r="F1339" s="717">
        <v>0</v>
      </c>
      <c r="G1339">
        <f>VLOOKUP(B1339,'SINAPI-%MO'!B:E,4,0)</f>
        <v>0.38369999999999999</v>
      </c>
      <c r="H1339" s="225">
        <f t="shared" si="20"/>
        <v>7.87</v>
      </c>
    </row>
    <row r="1340" spans="1:8" x14ac:dyDescent="0.3">
      <c r="A1340" s="400"/>
      <c r="B1340" s="709">
        <v>87900</v>
      </c>
      <c r="C1340" s="710" t="s">
        <v>1540</v>
      </c>
      <c r="D1340" s="709" t="s">
        <v>168</v>
      </c>
      <c r="E1340" s="716">
        <v>9.7100000000000009</v>
      </c>
      <c r="F1340" s="717">
        <v>0</v>
      </c>
      <c r="G1340">
        <f>VLOOKUP(B1340,'SINAPI-%MO'!B:E,4,0)</f>
        <v>0.46239999999999998</v>
      </c>
      <c r="H1340" s="225">
        <f t="shared" si="20"/>
        <v>5.22</v>
      </c>
    </row>
    <row r="1341" spans="1:8" x14ac:dyDescent="0.3">
      <c r="A1341" s="400"/>
      <c r="B1341" s="709">
        <v>87899</v>
      </c>
      <c r="C1341" s="710" t="s">
        <v>1541</v>
      </c>
      <c r="D1341" s="709" t="s">
        <v>168</v>
      </c>
      <c r="E1341" s="716">
        <v>9.8800000000000008</v>
      </c>
      <c r="F1341" s="717">
        <v>0</v>
      </c>
      <c r="G1341">
        <f>VLOOKUP(B1341,'SINAPI-%MO'!B:E,4,0)</f>
        <v>0.47470000000000001</v>
      </c>
      <c r="H1341" s="225">
        <f t="shared" si="20"/>
        <v>5.18</v>
      </c>
    </row>
    <row r="1342" spans="1:8" x14ac:dyDescent="0.3">
      <c r="A1342" s="400"/>
      <c r="B1342" s="709">
        <v>87894</v>
      </c>
      <c r="C1342" s="710" t="s">
        <v>1542</v>
      </c>
      <c r="D1342" s="709" t="s">
        <v>168</v>
      </c>
      <c r="E1342" s="716">
        <v>7.92</v>
      </c>
      <c r="F1342" s="717">
        <v>0</v>
      </c>
      <c r="G1342">
        <f>VLOOKUP(B1342,'SINAPI-%MO'!B:E,4,0)</f>
        <v>0.76390000000000002</v>
      </c>
      <c r="H1342" s="225">
        <f t="shared" si="20"/>
        <v>1.86</v>
      </c>
    </row>
    <row r="1343" spans="1:8" x14ac:dyDescent="0.3">
      <c r="A1343" s="400"/>
      <c r="B1343" s="709">
        <v>87893</v>
      </c>
      <c r="C1343" s="710" t="s">
        <v>1543</v>
      </c>
      <c r="D1343" s="709" t="s">
        <v>168</v>
      </c>
      <c r="E1343" s="716">
        <v>8.5</v>
      </c>
      <c r="F1343" s="717">
        <v>0</v>
      </c>
      <c r="G1343">
        <f>VLOOKUP(B1343,'SINAPI-%MO'!B:E,4,0)</f>
        <v>0.78469999999999995</v>
      </c>
      <c r="H1343" s="225">
        <f t="shared" si="20"/>
        <v>1.83</v>
      </c>
    </row>
    <row r="1344" spans="1:8" x14ac:dyDescent="0.3">
      <c r="A1344" s="400"/>
      <c r="B1344" s="709">
        <v>87897</v>
      </c>
      <c r="C1344" s="710" t="s">
        <v>1544</v>
      </c>
      <c r="D1344" s="709" t="s">
        <v>168</v>
      </c>
      <c r="E1344" s="716">
        <v>5.84</v>
      </c>
      <c r="F1344" s="717">
        <v>0.1096</v>
      </c>
      <c r="G1344">
        <f>VLOOKUP(B1344,'SINAPI-%MO'!B:E,4,0)</f>
        <v>0.56679999999999997</v>
      </c>
      <c r="H1344" s="225">
        <f t="shared" si="20"/>
        <v>2.52</v>
      </c>
    </row>
    <row r="1345" spans="1:8" x14ac:dyDescent="0.3">
      <c r="A1345" s="400"/>
      <c r="B1345" s="709">
        <v>87896</v>
      </c>
      <c r="C1345" s="710" t="s">
        <v>1545</v>
      </c>
      <c r="D1345" s="709" t="s">
        <v>168</v>
      </c>
      <c r="E1345" s="716">
        <v>6.42</v>
      </c>
      <c r="F1345" s="717">
        <v>9.9699999999999997E-2</v>
      </c>
      <c r="G1345">
        <f>VLOOKUP(B1345,'SINAPI-%MO'!B:E,4,0)</f>
        <v>0.61209999999999998</v>
      </c>
      <c r="H1345" s="225">
        <f t="shared" si="20"/>
        <v>2.4900000000000002</v>
      </c>
    </row>
    <row r="1346" spans="1:8" x14ac:dyDescent="0.3">
      <c r="A1346" s="400"/>
      <c r="B1346" s="709">
        <v>87892</v>
      </c>
      <c r="C1346" s="710" t="s">
        <v>1546</v>
      </c>
      <c r="D1346" s="709" t="s">
        <v>168</v>
      </c>
      <c r="E1346" s="716">
        <v>11.55</v>
      </c>
      <c r="F1346" s="717">
        <v>0</v>
      </c>
      <c r="G1346">
        <f>VLOOKUP(B1346,'SINAPI-%MO'!B:E,4,0)</f>
        <v>0.31859999999999999</v>
      </c>
      <c r="H1346" s="225">
        <f t="shared" si="20"/>
        <v>7.87</v>
      </c>
    </row>
    <row r="1347" spans="1:8" x14ac:dyDescent="0.3">
      <c r="A1347" s="400"/>
      <c r="B1347" s="709">
        <v>87891</v>
      </c>
      <c r="C1347" s="710" t="s">
        <v>1547</v>
      </c>
      <c r="D1347" s="709" t="s">
        <v>168</v>
      </c>
      <c r="E1347" s="716">
        <v>11.95</v>
      </c>
      <c r="F1347" s="717">
        <v>0</v>
      </c>
      <c r="G1347">
        <f>VLOOKUP(B1347,'SINAPI-%MO'!B:E,4,0)</f>
        <v>0.34139999999999998</v>
      </c>
      <c r="H1347" s="225">
        <f t="shared" si="20"/>
        <v>7.87</v>
      </c>
    </row>
    <row r="1348" spans="1:8" x14ac:dyDescent="0.3">
      <c r="A1348" s="400"/>
      <c r="B1348" s="709">
        <v>87889</v>
      </c>
      <c r="C1348" s="710" t="s">
        <v>1548</v>
      </c>
      <c r="D1348" s="709" t="s">
        <v>168</v>
      </c>
      <c r="E1348" s="716">
        <v>8.89</v>
      </c>
      <c r="F1348" s="717">
        <v>0</v>
      </c>
      <c r="G1348">
        <f>VLOOKUP(B1348,'SINAPI-%MO'!B:E,4,0)</f>
        <v>0.4128</v>
      </c>
      <c r="H1348" s="225">
        <f t="shared" si="20"/>
        <v>5.22</v>
      </c>
    </row>
    <row r="1349" spans="1:8" x14ac:dyDescent="0.3">
      <c r="A1349" s="400"/>
      <c r="B1349" s="709">
        <v>87888</v>
      </c>
      <c r="C1349" s="710" t="s">
        <v>1549</v>
      </c>
      <c r="D1349" s="709" t="s">
        <v>168</v>
      </c>
      <c r="E1349" s="716">
        <v>9.06</v>
      </c>
      <c r="F1349" s="717">
        <v>0</v>
      </c>
      <c r="G1349">
        <f>VLOOKUP(B1349,'SINAPI-%MO'!B:E,4,0)</f>
        <v>0.42720000000000002</v>
      </c>
      <c r="H1349" s="225">
        <f t="shared" si="20"/>
        <v>5.18</v>
      </c>
    </row>
    <row r="1350" spans="1:8" x14ac:dyDescent="0.3">
      <c r="A1350" s="400"/>
      <c r="B1350" s="709">
        <v>104411</v>
      </c>
      <c r="C1350" s="710" t="s">
        <v>1550</v>
      </c>
      <c r="D1350" s="709" t="s">
        <v>168</v>
      </c>
      <c r="E1350" s="716">
        <v>5.31</v>
      </c>
      <c r="F1350" s="717">
        <v>8.8499999999999995E-2</v>
      </c>
      <c r="G1350">
        <f>VLOOKUP(B1350,'SINAPI-%MO'!B:E,4,0)</f>
        <v>0.50849999999999995</v>
      </c>
      <c r="H1350" s="225">
        <f t="shared" si="20"/>
        <v>2.6</v>
      </c>
    </row>
    <row r="1351" spans="1:8" x14ac:dyDescent="0.3">
      <c r="A1351" s="400"/>
      <c r="B1351" s="709">
        <v>104410</v>
      </c>
      <c r="C1351" s="710" t="s">
        <v>1551</v>
      </c>
      <c r="D1351" s="709" t="s">
        <v>168</v>
      </c>
      <c r="E1351" s="716">
        <v>5.98</v>
      </c>
      <c r="F1351" s="717">
        <v>7.8600000000000003E-2</v>
      </c>
      <c r="G1351">
        <f>VLOOKUP(B1351,'SINAPI-%MO'!B:E,4,0)</f>
        <v>0.56859999999999999</v>
      </c>
      <c r="H1351" s="225">
        <f t="shared" si="20"/>
        <v>2.57</v>
      </c>
    </row>
    <row r="1352" spans="1:8" x14ac:dyDescent="0.3">
      <c r="A1352" s="400"/>
      <c r="B1352" s="709">
        <v>87879</v>
      </c>
      <c r="C1352" s="710" t="s">
        <v>1552</v>
      </c>
      <c r="D1352" s="709" t="s">
        <v>168</v>
      </c>
      <c r="E1352" s="716">
        <v>5.15</v>
      </c>
      <c r="F1352" s="717">
        <v>0</v>
      </c>
      <c r="G1352">
        <f>VLOOKUP(B1352,'SINAPI-%MO'!B:E,4,0)</f>
        <v>0.63690000000000002</v>
      </c>
      <c r="H1352" s="225">
        <f t="shared" si="20"/>
        <v>1.86</v>
      </c>
    </row>
    <row r="1353" spans="1:8" x14ac:dyDescent="0.3">
      <c r="A1353" s="400"/>
      <c r="B1353" s="709">
        <v>87878</v>
      </c>
      <c r="C1353" s="710" t="s">
        <v>1553</v>
      </c>
      <c r="D1353" s="709" t="s">
        <v>168</v>
      </c>
      <c r="E1353" s="716">
        <v>5.73</v>
      </c>
      <c r="F1353" s="717">
        <v>0</v>
      </c>
      <c r="G1353">
        <f>VLOOKUP(B1353,'SINAPI-%MO'!B:E,4,0)</f>
        <v>0.68059999999999998</v>
      </c>
      <c r="H1353" s="225">
        <f t="shared" si="20"/>
        <v>1.83</v>
      </c>
    </row>
    <row r="1354" spans="1:8" x14ac:dyDescent="0.3">
      <c r="A1354" s="400"/>
      <c r="B1354" s="709">
        <v>87885</v>
      </c>
      <c r="C1354" s="710" t="s">
        <v>1554</v>
      </c>
      <c r="D1354" s="709" t="s">
        <v>168</v>
      </c>
      <c r="E1354" s="716">
        <v>9.69</v>
      </c>
      <c r="F1354" s="717">
        <v>0</v>
      </c>
      <c r="G1354">
        <f>VLOOKUP(B1354,'SINAPI-%MO'!B:E,4,0)</f>
        <v>0.18779999999999999</v>
      </c>
      <c r="H1354" s="225">
        <f t="shared" si="20"/>
        <v>7.87</v>
      </c>
    </row>
    <row r="1355" spans="1:8" x14ac:dyDescent="0.3">
      <c r="A1355" s="400"/>
      <c r="B1355" s="709">
        <v>87884</v>
      </c>
      <c r="C1355" s="710" t="s">
        <v>1555</v>
      </c>
      <c r="D1355" s="709" t="s">
        <v>168</v>
      </c>
      <c r="E1355" s="716">
        <v>10.09</v>
      </c>
      <c r="F1355" s="717">
        <v>0</v>
      </c>
      <c r="G1355">
        <f>VLOOKUP(B1355,'SINAPI-%MO'!B:E,4,0)</f>
        <v>0.22</v>
      </c>
      <c r="H1355" s="225">
        <f t="shared" ref="H1355:H1418" si="21">IF(E1355&gt;0,TRUNC(E1355*(1-G1355),2),"")</f>
        <v>7.87</v>
      </c>
    </row>
    <row r="1356" spans="1:8" x14ac:dyDescent="0.3">
      <c r="A1356" s="400"/>
      <c r="B1356" s="709">
        <v>87882</v>
      </c>
      <c r="C1356" s="710" t="s">
        <v>1556</v>
      </c>
      <c r="D1356" s="709" t="s">
        <v>168</v>
      </c>
      <c r="E1356" s="716">
        <v>7.03</v>
      </c>
      <c r="F1356" s="717">
        <v>0</v>
      </c>
      <c r="G1356">
        <f>VLOOKUP(B1356,'SINAPI-%MO'!B:E,4,0)</f>
        <v>0.25750000000000001</v>
      </c>
      <c r="H1356" s="225">
        <f t="shared" si="21"/>
        <v>5.21</v>
      </c>
    </row>
    <row r="1357" spans="1:8" x14ac:dyDescent="0.3">
      <c r="A1357" s="400"/>
      <c r="B1357" s="709">
        <v>87881</v>
      </c>
      <c r="C1357" s="710" t="s">
        <v>1557</v>
      </c>
      <c r="D1357" s="709" t="s">
        <v>168</v>
      </c>
      <c r="E1357" s="716">
        <v>7.2</v>
      </c>
      <c r="F1357" s="717">
        <v>0</v>
      </c>
      <c r="G1357">
        <f>VLOOKUP(B1357,'SINAPI-%MO'!B:E,4,0)</f>
        <v>0.2792</v>
      </c>
      <c r="H1357" s="225">
        <f t="shared" si="21"/>
        <v>5.18</v>
      </c>
    </row>
    <row r="1358" spans="1:8" x14ac:dyDescent="0.3">
      <c r="A1358" s="400"/>
      <c r="B1358" s="709">
        <v>87887</v>
      </c>
      <c r="C1358" s="710" t="s">
        <v>1558</v>
      </c>
      <c r="D1358" s="709" t="s">
        <v>168</v>
      </c>
      <c r="E1358" s="716">
        <v>16.899999999999999</v>
      </c>
      <c r="F1358" s="717">
        <v>0</v>
      </c>
      <c r="G1358">
        <f>VLOOKUP(B1358,'SINAPI-%MO'!B:E,4,0)</f>
        <v>0.34499999999999997</v>
      </c>
      <c r="H1358" s="225">
        <f t="shared" si="21"/>
        <v>11.06</v>
      </c>
    </row>
    <row r="1359" spans="1:8" x14ac:dyDescent="0.3">
      <c r="A1359" s="400"/>
      <c r="B1359" s="709">
        <v>87886</v>
      </c>
      <c r="C1359" s="710" t="s">
        <v>1559</v>
      </c>
      <c r="D1359" s="709" t="s">
        <v>168</v>
      </c>
      <c r="E1359" s="716">
        <v>17.79</v>
      </c>
      <c r="F1359" s="717">
        <v>0</v>
      </c>
      <c r="G1359">
        <f>VLOOKUP(B1359,'SINAPI-%MO'!B:E,4,0)</f>
        <v>0.37830000000000003</v>
      </c>
      <c r="H1359" s="225">
        <f t="shared" si="21"/>
        <v>11.06</v>
      </c>
    </row>
    <row r="1360" spans="1:8" x14ac:dyDescent="0.3">
      <c r="A1360" s="400"/>
      <c r="B1360" s="709">
        <v>87911</v>
      </c>
      <c r="C1360" s="710" t="s">
        <v>1560</v>
      </c>
      <c r="D1360" s="709" t="s">
        <v>168</v>
      </c>
      <c r="E1360" s="716">
        <v>23.1</v>
      </c>
      <c r="F1360" s="717">
        <v>0</v>
      </c>
      <c r="G1360">
        <f>VLOOKUP(B1360,'SINAPI-%MO'!B:E,4,0)</f>
        <v>0.52080000000000004</v>
      </c>
      <c r="H1360" s="225">
        <f t="shared" si="21"/>
        <v>11.06</v>
      </c>
    </row>
    <row r="1361" spans="1:8" x14ac:dyDescent="0.3">
      <c r="A1361" s="400"/>
      <c r="B1361" s="709">
        <v>87910</v>
      </c>
      <c r="C1361" s="710" t="s">
        <v>1561</v>
      </c>
      <c r="D1361" s="709" t="s">
        <v>168</v>
      </c>
      <c r="E1361" s="716">
        <v>23.99</v>
      </c>
      <c r="F1361" s="717">
        <v>0</v>
      </c>
      <c r="G1361">
        <f>VLOOKUP(B1361,'SINAPI-%MO'!B:E,4,0)</f>
        <v>0.53900000000000003</v>
      </c>
      <c r="H1361" s="225">
        <f t="shared" si="21"/>
        <v>11.05</v>
      </c>
    </row>
    <row r="1362" spans="1:8" x14ac:dyDescent="0.3">
      <c r="A1362" s="400"/>
      <c r="B1362" s="709">
        <v>103686</v>
      </c>
      <c r="C1362" s="710" t="s">
        <v>1562</v>
      </c>
      <c r="D1362" s="709" t="s">
        <v>170</v>
      </c>
      <c r="E1362" s="716">
        <v>895.7</v>
      </c>
      <c r="F1362" s="717">
        <v>0</v>
      </c>
      <c r="G1362">
        <f>VLOOKUP(B1362,'SINAPI-%MO'!B:E,4,0)</f>
        <v>0.13519999999999999</v>
      </c>
      <c r="H1362" s="225">
        <f t="shared" si="21"/>
        <v>774.6</v>
      </c>
    </row>
    <row r="1363" spans="1:8" x14ac:dyDescent="0.3">
      <c r="A1363" s="400"/>
      <c r="B1363" s="709">
        <v>103685</v>
      </c>
      <c r="C1363" s="710" t="s">
        <v>1563</v>
      </c>
      <c r="D1363" s="709" t="s">
        <v>170</v>
      </c>
      <c r="E1363" s="716">
        <v>828.03</v>
      </c>
      <c r="F1363" s="717">
        <v>0</v>
      </c>
      <c r="G1363">
        <f>VLOOKUP(B1363,'SINAPI-%MO'!B:E,4,0)</f>
        <v>6.5000000000000002E-2</v>
      </c>
      <c r="H1363" s="225">
        <f t="shared" si="21"/>
        <v>774.2</v>
      </c>
    </row>
    <row r="1364" spans="1:8" x14ac:dyDescent="0.3">
      <c r="A1364" s="400"/>
      <c r="B1364" s="709">
        <v>103669</v>
      </c>
      <c r="C1364" s="710" t="s">
        <v>1564</v>
      </c>
      <c r="D1364" s="709" t="s">
        <v>170</v>
      </c>
      <c r="E1364" s="716">
        <v>1165.31</v>
      </c>
      <c r="F1364" s="717">
        <v>0</v>
      </c>
      <c r="G1364">
        <f>VLOOKUP(B1364,'SINAPI-%MO'!B:E,4,0)</f>
        <v>0.29330000000000001</v>
      </c>
      <c r="H1364" s="225">
        <f t="shared" si="21"/>
        <v>823.52</v>
      </c>
    </row>
    <row r="1365" spans="1:8" x14ac:dyDescent="0.3">
      <c r="A1365" s="400"/>
      <c r="B1365" s="709">
        <v>103672</v>
      </c>
      <c r="C1365" s="710" t="s">
        <v>1565</v>
      </c>
      <c r="D1365" s="709" t="s">
        <v>170</v>
      </c>
      <c r="E1365" s="716">
        <v>822.7</v>
      </c>
      <c r="F1365" s="717">
        <v>0</v>
      </c>
      <c r="G1365">
        <f>VLOOKUP(B1365,'SINAPI-%MO'!B:E,4,0)</f>
        <v>5.8900000000000001E-2</v>
      </c>
      <c r="H1365" s="225">
        <f t="shared" si="21"/>
        <v>774.24</v>
      </c>
    </row>
    <row r="1366" spans="1:8" x14ac:dyDescent="0.3">
      <c r="A1366" s="400"/>
      <c r="B1366" s="709">
        <v>103671</v>
      </c>
      <c r="C1366" s="710" t="s">
        <v>1566</v>
      </c>
      <c r="D1366" s="709" t="s">
        <v>170</v>
      </c>
      <c r="E1366" s="716">
        <v>877.06</v>
      </c>
      <c r="F1366" s="717">
        <v>0</v>
      </c>
      <c r="G1366">
        <f>VLOOKUP(B1366,'SINAPI-%MO'!B:E,4,0)</f>
        <v>6.3200000000000006E-2</v>
      </c>
      <c r="H1366" s="225">
        <f t="shared" si="21"/>
        <v>821.62</v>
      </c>
    </row>
    <row r="1367" spans="1:8" x14ac:dyDescent="0.3">
      <c r="A1367" s="400"/>
      <c r="B1367" s="709">
        <v>103688</v>
      </c>
      <c r="C1367" s="710" t="s">
        <v>1567</v>
      </c>
      <c r="D1367" s="709" t="s">
        <v>170</v>
      </c>
      <c r="E1367" s="716">
        <v>1026.75</v>
      </c>
      <c r="F1367" s="717">
        <v>0</v>
      </c>
      <c r="G1367">
        <f>VLOOKUP(B1367,'SINAPI-%MO'!B:E,4,0)</f>
        <v>0.19939999999999999</v>
      </c>
      <c r="H1367" s="225">
        <f t="shared" si="21"/>
        <v>822.01</v>
      </c>
    </row>
    <row r="1368" spans="1:8" x14ac:dyDescent="0.3">
      <c r="A1368" s="400"/>
      <c r="B1368" s="709">
        <v>103687</v>
      </c>
      <c r="C1368" s="710" t="s">
        <v>1568</v>
      </c>
      <c r="D1368" s="709" t="s">
        <v>170</v>
      </c>
      <c r="E1368" s="716">
        <v>1309.7</v>
      </c>
      <c r="F1368" s="717">
        <v>0</v>
      </c>
      <c r="G1368">
        <f>VLOOKUP(B1368,'SINAPI-%MO'!B:E,4,0)</f>
        <v>0.37180000000000002</v>
      </c>
      <c r="H1368" s="225">
        <f t="shared" si="21"/>
        <v>822.75</v>
      </c>
    </row>
    <row r="1369" spans="1:8" x14ac:dyDescent="0.3">
      <c r="A1369" s="400"/>
      <c r="B1369" s="709">
        <v>103684</v>
      </c>
      <c r="C1369" s="710" t="s">
        <v>1569</v>
      </c>
      <c r="D1369" s="709" t="s">
        <v>170</v>
      </c>
      <c r="E1369" s="716">
        <v>842.61</v>
      </c>
      <c r="F1369" s="717">
        <v>0</v>
      </c>
      <c r="G1369">
        <f>VLOOKUP(B1369,'SINAPI-%MO'!B:E,4,0)</f>
        <v>8.1199999999999994E-2</v>
      </c>
      <c r="H1369" s="225">
        <f t="shared" si="21"/>
        <v>774.19</v>
      </c>
    </row>
    <row r="1370" spans="1:8" x14ac:dyDescent="0.3">
      <c r="A1370" s="400"/>
      <c r="B1370" s="709">
        <v>103681</v>
      </c>
      <c r="C1370" s="710" t="s">
        <v>1570</v>
      </c>
      <c r="D1370" s="709" t="s">
        <v>170</v>
      </c>
      <c r="E1370" s="716">
        <v>906.48</v>
      </c>
      <c r="F1370" s="717">
        <v>0</v>
      </c>
      <c r="G1370">
        <f>VLOOKUP(B1370,'SINAPI-%MO'!B:E,4,0)</f>
        <v>9.3600000000000003E-2</v>
      </c>
      <c r="H1370" s="225">
        <f t="shared" si="21"/>
        <v>821.63</v>
      </c>
    </row>
    <row r="1371" spans="1:8" x14ac:dyDescent="0.3">
      <c r="A1371" s="400"/>
      <c r="B1371" s="709">
        <v>103679</v>
      </c>
      <c r="C1371" s="710" t="s">
        <v>1571</v>
      </c>
      <c r="D1371" s="709" t="s">
        <v>170</v>
      </c>
      <c r="E1371" s="716">
        <v>985.7</v>
      </c>
      <c r="F1371" s="717">
        <v>0</v>
      </c>
      <c r="G1371">
        <f>VLOOKUP(B1371,'SINAPI-%MO'!B:E,4,0)</f>
        <v>0.1661</v>
      </c>
      <c r="H1371" s="225">
        <f t="shared" si="21"/>
        <v>821.97</v>
      </c>
    </row>
    <row r="1372" spans="1:8" x14ac:dyDescent="0.3">
      <c r="A1372" s="400"/>
      <c r="B1372" s="709">
        <v>103677</v>
      </c>
      <c r="C1372" s="710" t="s">
        <v>1572</v>
      </c>
      <c r="D1372" s="709" t="s">
        <v>170</v>
      </c>
      <c r="E1372" s="716">
        <v>1034.67</v>
      </c>
      <c r="F1372" s="717">
        <v>0</v>
      </c>
      <c r="G1372">
        <f>VLOOKUP(B1372,'SINAPI-%MO'!B:E,4,0)</f>
        <v>0.2056</v>
      </c>
      <c r="H1372" s="225">
        <f t="shared" si="21"/>
        <v>821.94</v>
      </c>
    </row>
    <row r="1373" spans="1:8" x14ac:dyDescent="0.3">
      <c r="A1373" s="400"/>
      <c r="B1373" s="709">
        <v>103675</v>
      </c>
      <c r="C1373" s="710" t="s">
        <v>1573</v>
      </c>
      <c r="D1373" s="709" t="s">
        <v>170</v>
      </c>
      <c r="E1373" s="716">
        <v>822.78</v>
      </c>
      <c r="F1373" s="717">
        <v>0</v>
      </c>
      <c r="G1373">
        <f>VLOOKUP(B1373,'SINAPI-%MO'!B:E,4,0)</f>
        <v>5.8999999999999997E-2</v>
      </c>
      <c r="H1373" s="225">
        <f t="shared" si="21"/>
        <v>774.23</v>
      </c>
    </row>
    <row r="1374" spans="1:8" x14ac:dyDescent="0.3">
      <c r="A1374" s="400"/>
      <c r="B1374" s="709">
        <v>103680</v>
      </c>
      <c r="C1374" s="710" t="s">
        <v>1574</v>
      </c>
      <c r="D1374" s="709" t="s">
        <v>170</v>
      </c>
      <c r="E1374" s="716">
        <v>1037.5999999999999</v>
      </c>
      <c r="F1374" s="717">
        <v>0</v>
      </c>
      <c r="G1374">
        <f>VLOOKUP(B1374,'SINAPI-%MO'!B:E,4,0)</f>
        <v>0.20749999999999999</v>
      </c>
      <c r="H1374" s="225">
        <f t="shared" si="21"/>
        <v>822.29</v>
      </c>
    </row>
    <row r="1375" spans="1:8" x14ac:dyDescent="0.3">
      <c r="A1375" s="400"/>
      <c r="B1375" s="709">
        <v>103678</v>
      </c>
      <c r="C1375" s="710" t="s">
        <v>1575</v>
      </c>
      <c r="D1375" s="709" t="s">
        <v>170</v>
      </c>
      <c r="E1375" s="716">
        <v>1122.47</v>
      </c>
      <c r="F1375" s="717">
        <v>0</v>
      </c>
      <c r="G1375">
        <f>VLOOKUP(B1375,'SINAPI-%MO'!B:E,4,0)</f>
        <v>0.26719999999999999</v>
      </c>
      <c r="H1375" s="225">
        <f t="shared" si="21"/>
        <v>822.54</v>
      </c>
    </row>
    <row r="1376" spans="1:8" x14ac:dyDescent="0.3">
      <c r="A1376" s="400"/>
      <c r="B1376" s="709">
        <v>103676</v>
      </c>
      <c r="C1376" s="710" t="s">
        <v>1576</v>
      </c>
      <c r="D1376" s="709" t="s">
        <v>170</v>
      </c>
      <c r="E1376" s="716">
        <v>1232.93</v>
      </c>
      <c r="F1376" s="717">
        <v>0</v>
      </c>
      <c r="G1376">
        <f>VLOOKUP(B1376,'SINAPI-%MO'!B:E,4,0)</f>
        <v>0.33289999999999997</v>
      </c>
      <c r="H1376" s="225">
        <f t="shared" si="21"/>
        <v>822.48</v>
      </c>
    </row>
    <row r="1377" spans="1:8" x14ac:dyDescent="0.3">
      <c r="A1377" s="400"/>
      <c r="B1377" s="709">
        <v>103674</v>
      </c>
      <c r="C1377" s="710" t="s">
        <v>1577</v>
      </c>
      <c r="D1377" s="709" t="s">
        <v>170</v>
      </c>
      <c r="E1377" s="716">
        <v>845.6</v>
      </c>
      <c r="F1377" s="717">
        <v>0</v>
      </c>
      <c r="G1377">
        <f>VLOOKUP(B1377,'SINAPI-%MO'!B:E,4,0)</f>
        <v>8.4199999999999997E-2</v>
      </c>
      <c r="H1377" s="225">
        <f t="shared" si="21"/>
        <v>774.4</v>
      </c>
    </row>
    <row r="1378" spans="1:8" x14ac:dyDescent="0.3">
      <c r="A1378" s="400"/>
      <c r="B1378" s="709">
        <v>103683</v>
      </c>
      <c r="C1378" s="710" t="s">
        <v>1578</v>
      </c>
      <c r="D1378" s="709" t="s">
        <v>170</v>
      </c>
      <c r="E1378" s="716">
        <v>1521.92</v>
      </c>
      <c r="F1378" s="717">
        <v>0</v>
      </c>
      <c r="G1378">
        <f>VLOOKUP(B1378,'SINAPI-%MO'!B:E,4,0)</f>
        <v>0.45850000000000002</v>
      </c>
      <c r="H1378" s="225">
        <f t="shared" si="21"/>
        <v>824.11</v>
      </c>
    </row>
    <row r="1379" spans="1:8" x14ac:dyDescent="0.3">
      <c r="A1379" s="400"/>
      <c r="B1379" s="709">
        <v>103682</v>
      </c>
      <c r="C1379" s="710" t="s">
        <v>1579</v>
      </c>
      <c r="D1379" s="709" t="s">
        <v>170</v>
      </c>
      <c r="E1379" s="716">
        <v>1187.06</v>
      </c>
      <c r="F1379" s="717">
        <v>0</v>
      </c>
      <c r="G1379">
        <f>VLOOKUP(B1379,'SINAPI-%MO'!B:E,4,0)</f>
        <v>0.30690000000000001</v>
      </c>
      <c r="H1379" s="225">
        <f t="shared" si="21"/>
        <v>822.75</v>
      </c>
    </row>
    <row r="1380" spans="1:8" x14ac:dyDescent="0.3">
      <c r="A1380" s="400"/>
      <c r="B1380" s="709">
        <v>103670</v>
      </c>
      <c r="C1380" s="710" t="s">
        <v>1580</v>
      </c>
      <c r="D1380" s="709" t="s">
        <v>170</v>
      </c>
      <c r="E1380" s="716">
        <v>344.03</v>
      </c>
      <c r="F1380" s="717">
        <v>0</v>
      </c>
      <c r="G1380">
        <f>VLOOKUP(B1380,'SINAPI-%MO'!B:E,4,0)</f>
        <v>0.99339999999999995</v>
      </c>
      <c r="H1380" s="225">
        <f t="shared" si="21"/>
        <v>2.27</v>
      </c>
    </row>
    <row r="1381" spans="1:8" x14ac:dyDescent="0.3">
      <c r="A1381" s="400"/>
      <c r="B1381" s="709">
        <v>103673</v>
      </c>
      <c r="C1381" s="710" t="s">
        <v>1581</v>
      </c>
      <c r="D1381" s="709" t="s">
        <v>170</v>
      </c>
      <c r="E1381" s="716">
        <v>48.69</v>
      </c>
      <c r="F1381" s="717">
        <v>0</v>
      </c>
      <c r="G1381">
        <f>VLOOKUP(B1381,'SINAPI-%MO'!B:E,4,0)</f>
        <v>0.99590000000000001</v>
      </c>
      <c r="H1381" s="225">
        <f t="shared" si="21"/>
        <v>0.19</v>
      </c>
    </row>
    <row r="1382" spans="1:8" x14ac:dyDescent="0.3">
      <c r="A1382" s="400"/>
      <c r="B1382" s="709">
        <v>107269</v>
      </c>
      <c r="C1382" s="710" t="s">
        <v>16170</v>
      </c>
      <c r="D1382" s="709" t="s">
        <v>168</v>
      </c>
      <c r="E1382" s="716">
        <v>169.38</v>
      </c>
      <c r="F1382" s="717">
        <v>4.3400000000000001E-2</v>
      </c>
      <c r="G1382">
        <f>VLOOKUP(B1382,'SINAPI-%MO'!B:E,4,0)</f>
        <v>0.48399999999999999</v>
      </c>
      <c r="H1382" s="225">
        <f t="shared" si="21"/>
        <v>87.4</v>
      </c>
    </row>
    <row r="1383" spans="1:8" x14ac:dyDescent="0.3">
      <c r="A1383" s="400"/>
      <c r="B1383" s="709">
        <v>107270</v>
      </c>
      <c r="C1383" s="710" t="s">
        <v>16171</v>
      </c>
      <c r="D1383" s="709" t="s">
        <v>168</v>
      </c>
      <c r="E1383" s="716">
        <v>203.7</v>
      </c>
      <c r="F1383" s="717">
        <v>3.5799999999999998E-2</v>
      </c>
      <c r="G1383">
        <f>VLOOKUP(B1383,'SINAPI-%MO'!B:E,4,0)</f>
        <v>0.39979999999999999</v>
      </c>
      <c r="H1383" s="225">
        <f t="shared" si="21"/>
        <v>122.26</v>
      </c>
    </row>
    <row r="1384" spans="1:8" x14ac:dyDescent="0.3">
      <c r="A1384" s="400"/>
      <c r="B1384" s="709">
        <v>107271</v>
      </c>
      <c r="C1384" s="710" t="s">
        <v>16172</v>
      </c>
      <c r="D1384" s="709" t="s">
        <v>168</v>
      </c>
      <c r="E1384" s="716">
        <v>238.34</v>
      </c>
      <c r="F1384" s="717">
        <v>3.0499999999999999E-2</v>
      </c>
      <c r="G1384">
        <f>VLOOKUP(B1384,'SINAPI-%MO'!B:E,4,0)</f>
        <v>0.34050000000000002</v>
      </c>
      <c r="H1384" s="225">
        <f t="shared" si="21"/>
        <v>157.18</v>
      </c>
    </row>
    <row r="1385" spans="1:8" x14ac:dyDescent="0.3">
      <c r="A1385" s="400"/>
      <c r="B1385" s="709">
        <v>107268</v>
      </c>
      <c r="C1385" s="710" t="s">
        <v>16173</v>
      </c>
      <c r="D1385" s="709" t="s">
        <v>168</v>
      </c>
      <c r="E1385" s="716">
        <v>136.41999999999999</v>
      </c>
      <c r="F1385" s="717">
        <v>5.5E-2</v>
      </c>
      <c r="G1385">
        <f>VLOOKUP(B1385,'SINAPI-%MO'!B:E,4,0)</f>
        <v>0.61329999999999996</v>
      </c>
      <c r="H1385" s="225">
        <f t="shared" si="21"/>
        <v>52.75</v>
      </c>
    </row>
    <row r="1386" spans="1:8" x14ac:dyDescent="0.3">
      <c r="A1386" s="400"/>
      <c r="B1386" s="709">
        <v>91084</v>
      </c>
      <c r="C1386" s="710" t="s">
        <v>16174</v>
      </c>
      <c r="D1386" s="709" t="s">
        <v>168</v>
      </c>
      <c r="E1386" s="716">
        <v>295.55</v>
      </c>
      <c r="F1386" s="717">
        <v>3.4200000000000001E-2</v>
      </c>
      <c r="G1386">
        <f>VLOOKUP(B1386,'SINAPI-%MO'!B:E,4,0)</f>
        <v>0.39300000000000002</v>
      </c>
      <c r="H1386" s="225">
        <f t="shared" si="21"/>
        <v>179.39</v>
      </c>
    </row>
    <row r="1387" spans="1:8" x14ac:dyDescent="0.3">
      <c r="A1387" s="400"/>
      <c r="B1387" s="709">
        <v>91080</v>
      </c>
      <c r="C1387" s="710" t="s">
        <v>16175</v>
      </c>
      <c r="D1387" s="709" t="s">
        <v>168</v>
      </c>
      <c r="E1387" s="716">
        <v>250.98</v>
      </c>
      <c r="F1387" s="717">
        <v>2.7099999999999999E-2</v>
      </c>
      <c r="G1387">
        <f>VLOOKUP(B1387,'SINAPI-%MO'!B:E,4,0)</f>
        <v>0.31590000000000001</v>
      </c>
      <c r="H1387" s="225">
        <f t="shared" si="21"/>
        <v>171.69</v>
      </c>
    </row>
    <row r="1388" spans="1:8" x14ac:dyDescent="0.3">
      <c r="A1388" s="400"/>
      <c r="B1388" s="709">
        <v>91101</v>
      </c>
      <c r="C1388" s="710" t="s">
        <v>16176</v>
      </c>
      <c r="D1388" s="709" t="s">
        <v>168</v>
      </c>
      <c r="E1388" s="716">
        <v>306</v>
      </c>
      <c r="F1388" s="717">
        <v>3.5499999999999997E-2</v>
      </c>
      <c r="G1388">
        <f>VLOOKUP(B1388,'SINAPI-%MO'!B:E,4,0)</f>
        <v>0.40589999999999998</v>
      </c>
      <c r="H1388" s="225">
        <f t="shared" si="21"/>
        <v>181.79</v>
      </c>
    </row>
    <row r="1389" spans="1:8" x14ac:dyDescent="0.3">
      <c r="A1389" s="400"/>
      <c r="B1389" s="709">
        <v>91097</v>
      </c>
      <c r="C1389" s="710" t="s">
        <v>16177</v>
      </c>
      <c r="D1389" s="709" t="s">
        <v>168</v>
      </c>
      <c r="E1389" s="716">
        <v>255.98</v>
      </c>
      <c r="F1389" s="717">
        <v>2.7900000000000001E-2</v>
      </c>
      <c r="G1389">
        <f>VLOOKUP(B1389,'SINAPI-%MO'!B:E,4,0)</f>
        <v>0.32369999999999999</v>
      </c>
      <c r="H1389" s="225">
        <f t="shared" si="21"/>
        <v>173.11</v>
      </c>
    </row>
    <row r="1390" spans="1:8" x14ac:dyDescent="0.3">
      <c r="A1390" s="400"/>
      <c r="B1390" s="709">
        <v>91082</v>
      </c>
      <c r="C1390" s="710" t="s">
        <v>16178</v>
      </c>
      <c r="D1390" s="709" t="s">
        <v>168</v>
      </c>
      <c r="E1390" s="716">
        <v>249.71</v>
      </c>
      <c r="F1390" s="717">
        <v>2.9600000000000001E-2</v>
      </c>
      <c r="G1390">
        <f>VLOOKUP(B1390,'SINAPI-%MO'!B:E,4,0)</f>
        <v>0.3075</v>
      </c>
      <c r="H1390" s="225">
        <f t="shared" si="21"/>
        <v>172.92</v>
      </c>
    </row>
    <row r="1391" spans="1:8" x14ac:dyDescent="0.3">
      <c r="A1391" s="400"/>
      <c r="B1391" s="709">
        <v>91078</v>
      </c>
      <c r="C1391" s="710" t="s">
        <v>16179</v>
      </c>
      <c r="D1391" s="709" t="s">
        <v>168</v>
      </c>
      <c r="E1391" s="716">
        <v>226.04</v>
      </c>
      <c r="F1391" s="717">
        <v>2.41E-2</v>
      </c>
      <c r="G1391">
        <f>VLOOKUP(B1391,'SINAPI-%MO'!B:E,4,0)</f>
        <v>0.25480000000000003</v>
      </c>
      <c r="H1391" s="225">
        <f t="shared" si="21"/>
        <v>168.44</v>
      </c>
    </row>
    <row r="1392" spans="1:8" x14ac:dyDescent="0.3">
      <c r="A1392" s="400"/>
      <c r="B1392" s="709">
        <v>91099</v>
      </c>
      <c r="C1392" s="710" t="s">
        <v>16180</v>
      </c>
      <c r="D1392" s="709" t="s">
        <v>168</v>
      </c>
      <c r="E1392" s="716">
        <v>255.04</v>
      </c>
      <c r="F1392" s="717">
        <v>3.04E-2</v>
      </c>
      <c r="G1392">
        <f>VLOOKUP(B1392,'SINAPI-%MO'!B:E,4,0)</f>
        <v>0.31580000000000003</v>
      </c>
      <c r="H1392" s="225">
        <f t="shared" si="21"/>
        <v>174.49</v>
      </c>
    </row>
    <row r="1393" spans="1:8" x14ac:dyDescent="0.3">
      <c r="A1393" s="400"/>
      <c r="B1393" s="709">
        <v>91095</v>
      </c>
      <c r="C1393" s="710" t="s">
        <v>16181</v>
      </c>
      <c r="D1393" s="709" t="s">
        <v>168</v>
      </c>
      <c r="E1393" s="716">
        <v>229.21</v>
      </c>
      <c r="F1393" s="717">
        <v>2.46E-2</v>
      </c>
      <c r="G1393">
        <f>VLOOKUP(B1393,'SINAPI-%MO'!B:E,4,0)</f>
        <v>0.26</v>
      </c>
      <c r="H1393" s="225">
        <f t="shared" si="21"/>
        <v>169.61</v>
      </c>
    </row>
    <row r="1394" spans="1:8" x14ac:dyDescent="0.3">
      <c r="A1394" s="400"/>
      <c r="B1394" s="709">
        <v>91076</v>
      </c>
      <c r="C1394" s="710" t="s">
        <v>16182</v>
      </c>
      <c r="D1394" s="709" t="s">
        <v>168</v>
      </c>
      <c r="E1394" s="716">
        <v>397.2</v>
      </c>
      <c r="F1394" s="717">
        <v>5.1999999999999998E-2</v>
      </c>
      <c r="G1394">
        <f>VLOOKUP(B1394,'SINAPI-%MO'!B:E,4,0)</f>
        <v>0.66590000000000005</v>
      </c>
      <c r="H1394" s="225">
        <f t="shared" si="21"/>
        <v>132.69999999999999</v>
      </c>
    </row>
    <row r="1395" spans="1:8" x14ac:dyDescent="0.3">
      <c r="A1395" s="400"/>
      <c r="B1395" s="709">
        <v>91072</v>
      </c>
      <c r="C1395" s="710" t="s">
        <v>16183</v>
      </c>
      <c r="D1395" s="709" t="s">
        <v>168</v>
      </c>
      <c r="E1395" s="716">
        <v>349.47</v>
      </c>
      <c r="F1395" s="717">
        <v>4.9000000000000002E-2</v>
      </c>
      <c r="G1395">
        <f>VLOOKUP(B1395,'SINAPI-%MO'!B:E,4,0)</f>
        <v>0.64349999999999996</v>
      </c>
      <c r="H1395" s="225">
        <f t="shared" si="21"/>
        <v>124.58</v>
      </c>
    </row>
    <row r="1396" spans="1:8" x14ac:dyDescent="0.3">
      <c r="A1396" s="400"/>
      <c r="B1396" s="709">
        <v>91093</v>
      </c>
      <c r="C1396" s="710" t="s">
        <v>16184</v>
      </c>
      <c r="D1396" s="709" t="s">
        <v>168</v>
      </c>
      <c r="E1396" s="716">
        <v>435.54</v>
      </c>
      <c r="F1396" s="717">
        <v>5.33E-2</v>
      </c>
      <c r="G1396">
        <f>VLOOKUP(B1396,'SINAPI-%MO'!B:E,4,0)</f>
        <v>0.68440000000000001</v>
      </c>
      <c r="H1396" s="225">
        <f t="shared" si="21"/>
        <v>137.44999999999999</v>
      </c>
    </row>
    <row r="1397" spans="1:8" x14ac:dyDescent="0.3">
      <c r="A1397" s="400"/>
      <c r="B1397" s="709">
        <v>91089</v>
      </c>
      <c r="C1397" s="710" t="s">
        <v>16185</v>
      </c>
      <c r="D1397" s="709" t="s">
        <v>168</v>
      </c>
      <c r="E1397" s="716">
        <v>381.74</v>
      </c>
      <c r="F1397" s="717">
        <v>5.0299999999999997E-2</v>
      </c>
      <c r="G1397">
        <f>VLOOKUP(B1397,'SINAPI-%MO'!B:E,4,0)</f>
        <v>0.66390000000000005</v>
      </c>
      <c r="H1397" s="225">
        <f t="shared" si="21"/>
        <v>128.30000000000001</v>
      </c>
    </row>
    <row r="1398" spans="1:8" x14ac:dyDescent="0.3">
      <c r="A1398" s="400"/>
      <c r="B1398" s="709">
        <v>91074</v>
      </c>
      <c r="C1398" s="710" t="s">
        <v>16186</v>
      </c>
      <c r="D1398" s="709" t="s">
        <v>168</v>
      </c>
      <c r="E1398" s="716">
        <v>240.88</v>
      </c>
      <c r="F1398" s="717">
        <v>4.5999999999999999E-2</v>
      </c>
      <c r="G1398">
        <f>VLOOKUP(B1398,'SINAPI-%MO'!B:E,4,0)</f>
        <v>0.51329999999999998</v>
      </c>
      <c r="H1398" s="225">
        <f t="shared" si="21"/>
        <v>117.23</v>
      </c>
    </row>
    <row r="1399" spans="1:8" x14ac:dyDescent="0.3">
      <c r="A1399" s="400"/>
      <c r="B1399" s="709">
        <v>91070</v>
      </c>
      <c r="C1399" s="710" t="s">
        <v>16187</v>
      </c>
      <c r="D1399" s="709" t="s">
        <v>168</v>
      </c>
      <c r="E1399" s="716">
        <v>215.93</v>
      </c>
      <c r="F1399" s="717">
        <v>4.19E-2</v>
      </c>
      <c r="G1399">
        <f>VLOOKUP(B1399,'SINAPI-%MO'!B:E,4,0)</f>
        <v>0.47870000000000001</v>
      </c>
      <c r="H1399" s="225">
        <f t="shared" si="21"/>
        <v>112.56</v>
      </c>
    </row>
    <row r="1400" spans="1:8" x14ac:dyDescent="0.3">
      <c r="A1400" s="400"/>
      <c r="B1400" s="709">
        <v>91091</v>
      </c>
      <c r="C1400" s="710" t="s">
        <v>16188</v>
      </c>
      <c r="D1400" s="709" t="s">
        <v>168</v>
      </c>
      <c r="E1400" s="716">
        <v>271.08999999999997</v>
      </c>
      <c r="F1400" s="717">
        <v>4.8800000000000003E-2</v>
      </c>
      <c r="G1400">
        <f>VLOOKUP(B1400,'SINAPI-%MO'!B:E,4,0)</f>
        <v>0.55330000000000001</v>
      </c>
      <c r="H1400" s="225">
        <f t="shared" si="21"/>
        <v>121.09</v>
      </c>
    </row>
    <row r="1401" spans="1:8" x14ac:dyDescent="0.3">
      <c r="A1401" s="400"/>
      <c r="B1401" s="709">
        <v>91087</v>
      </c>
      <c r="C1401" s="710" t="s">
        <v>16189</v>
      </c>
      <c r="D1401" s="709" t="s">
        <v>168</v>
      </c>
      <c r="E1401" s="716">
        <v>243.85</v>
      </c>
      <c r="F1401" s="717">
        <v>4.5199999999999997E-2</v>
      </c>
      <c r="G1401">
        <f>VLOOKUP(B1401,'SINAPI-%MO'!B:E,4,0)</f>
        <v>0.5242</v>
      </c>
      <c r="H1401" s="225">
        <f t="shared" si="21"/>
        <v>116.02</v>
      </c>
    </row>
    <row r="1402" spans="1:8" x14ac:dyDescent="0.3">
      <c r="A1402" s="400"/>
      <c r="B1402" s="709">
        <v>91083</v>
      </c>
      <c r="C1402" s="710" t="s">
        <v>16190</v>
      </c>
      <c r="D1402" s="709" t="s">
        <v>168</v>
      </c>
      <c r="E1402" s="716">
        <v>285.86</v>
      </c>
      <c r="F1402" s="717">
        <v>4.2799999999999998E-2</v>
      </c>
      <c r="G1402">
        <f>VLOOKUP(B1402,'SINAPI-%MO'!B:E,4,0)</f>
        <v>0.48909999999999998</v>
      </c>
      <c r="H1402" s="225">
        <f t="shared" si="21"/>
        <v>146.04</v>
      </c>
    </row>
    <row r="1403" spans="1:8" x14ac:dyDescent="0.3">
      <c r="A1403" s="400"/>
      <c r="B1403" s="709">
        <v>91079</v>
      </c>
      <c r="C1403" s="710" t="s">
        <v>16191</v>
      </c>
      <c r="D1403" s="709" t="s">
        <v>168</v>
      </c>
      <c r="E1403" s="716">
        <v>210.49</v>
      </c>
      <c r="F1403" s="717">
        <v>3.1600000000000003E-2</v>
      </c>
      <c r="G1403">
        <f>VLOOKUP(B1403,'SINAPI-%MO'!B:E,4,0)</f>
        <v>0.36840000000000001</v>
      </c>
      <c r="H1403" s="225">
        <f t="shared" si="21"/>
        <v>132.94</v>
      </c>
    </row>
    <row r="1404" spans="1:8" x14ac:dyDescent="0.3">
      <c r="A1404" s="400"/>
      <c r="B1404" s="709">
        <v>91100</v>
      </c>
      <c r="C1404" s="710" t="s">
        <v>16192</v>
      </c>
      <c r="D1404" s="709" t="s">
        <v>168</v>
      </c>
      <c r="E1404" s="716">
        <v>308.08</v>
      </c>
      <c r="F1404" s="717">
        <v>4.4900000000000002E-2</v>
      </c>
      <c r="G1404">
        <f>VLOOKUP(B1404,'SINAPI-%MO'!B:E,4,0)</f>
        <v>0.51160000000000005</v>
      </c>
      <c r="H1404" s="225">
        <f t="shared" si="21"/>
        <v>150.46</v>
      </c>
    </row>
    <row r="1405" spans="1:8" x14ac:dyDescent="0.3">
      <c r="A1405" s="400"/>
      <c r="B1405" s="709">
        <v>91096</v>
      </c>
      <c r="C1405" s="710" t="s">
        <v>16193</v>
      </c>
      <c r="D1405" s="709" t="s">
        <v>168</v>
      </c>
      <c r="E1405" s="716">
        <v>217.21</v>
      </c>
      <c r="F1405" s="717">
        <v>3.27E-2</v>
      </c>
      <c r="G1405">
        <f>VLOOKUP(B1405,'SINAPI-%MO'!B:E,4,0)</f>
        <v>0.37990000000000002</v>
      </c>
      <c r="H1405" s="225">
        <f t="shared" si="21"/>
        <v>134.69</v>
      </c>
    </row>
    <row r="1406" spans="1:8" x14ac:dyDescent="0.3">
      <c r="A1406" s="400"/>
      <c r="B1406" s="709">
        <v>91081</v>
      </c>
      <c r="C1406" s="710" t="s">
        <v>16194</v>
      </c>
      <c r="D1406" s="709" t="s">
        <v>168</v>
      </c>
      <c r="E1406" s="716">
        <v>212.29</v>
      </c>
      <c r="F1406" s="717">
        <v>3.5099999999999999E-2</v>
      </c>
      <c r="G1406">
        <f>VLOOKUP(B1406,'SINAPI-%MO'!B:E,4,0)</f>
        <v>0.36530000000000001</v>
      </c>
      <c r="H1406" s="225">
        <f t="shared" si="21"/>
        <v>134.74</v>
      </c>
    </row>
    <row r="1407" spans="1:8" x14ac:dyDescent="0.3">
      <c r="A1407" s="400"/>
      <c r="B1407" s="709">
        <v>91077</v>
      </c>
      <c r="C1407" s="710" t="s">
        <v>16195</v>
      </c>
      <c r="D1407" s="709" t="s">
        <v>168</v>
      </c>
      <c r="E1407" s="716">
        <v>181.29</v>
      </c>
      <c r="F1407" s="717">
        <v>2.7199999999999998E-2</v>
      </c>
      <c r="G1407">
        <f>VLOOKUP(B1407,'SINAPI-%MO'!B:E,4,0)</f>
        <v>0.2893</v>
      </c>
      <c r="H1407" s="225">
        <f t="shared" si="21"/>
        <v>128.84</v>
      </c>
    </row>
    <row r="1408" spans="1:8" x14ac:dyDescent="0.3">
      <c r="A1408" s="400"/>
      <c r="B1408" s="709">
        <v>91098</v>
      </c>
      <c r="C1408" s="710" t="s">
        <v>16196</v>
      </c>
      <c r="D1408" s="709" t="s">
        <v>168</v>
      </c>
      <c r="E1408" s="716">
        <v>219.9</v>
      </c>
      <c r="F1408" s="717">
        <v>3.6400000000000002E-2</v>
      </c>
      <c r="G1408">
        <f>VLOOKUP(B1408,'SINAPI-%MO'!B:E,4,0)</f>
        <v>0.37819999999999998</v>
      </c>
      <c r="H1408" s="225">
        <f t="shared" si="21"/>
        <v>136.72999999999999</v>
      </c>
    </row>
    <row r="1409" spans="1:8" x14ac:dyDescent="0.3">
      <c r="A1409" s="400"/>
      <c r="B1409" s="709">
        <v>91094</v>
      </c>
      <c r="C1409" s="710" t="s">
        <v>16197</v>
      </c>
      <c r="D1409" s="709" t="s">
        <v>168</v>
      </c>
      <c r="E1409" s="716">
        <v>184.92</v>
      </c>
      <c r="F1409" s="717">
        <v>2.8000000000000001E-2</v>
      </c>
      <c r="G1409">
        <f>VLOOKUP(B1409,'SINAPI-%MO'!B:E,4,0)</f>
        <v>0.29649999999999999</v>
      </c>
      <c r="H1409" s="225">
        <f t="shared" si="21"/>
        <v>130.09</v>
      </c>
    </row>
    <row r="1410" spans="1:8" x14ac:dyDescent="0.3">
      <c r="A1410" s="400"/>
      <c r="B1410" s="709">
        <v>91075</v>
      </c>
      <c r="C1410" s="710" t="s">
        <v>16198</v>
      </c>
      <c r="D1410" s="709" t="s">
        <v>168</v>
      </c>
      <c r="E1410" s="716">
        <v>412.64</v>
      </c>
      <c r="F1410" s="717">
        <v>5.6500000000000002E-2</v>
      </c>
      <c r="G1410">
        <f>VLOOKUP(B1410,'SINAPI-%MO'!B:E,4,0)</f>
        <v>0.71230000000000004</v>
      </c>
      <c r="H1410" s="225">
        <f t="shared" si="21"/>
        <v>118.71</v>
      </c>
    </row>
    <row r="1411" spans="1:8" x14ac:dyDescent="0.3">
      <c r="A1411" s="400"/>
      <c r="B1411" s="709">
        <v>91071</v>
      </c>
      <c r="C1411" s="710" t="s">
        <v>16199</v>
      </c>
      <c r="D1411" s="709" t="s">
        <v>168</v>
      </c>
      <c r="E1411" s="716">
        <v>328.18</v>
      </c>
      <c r="F1411" s="717">
        <v>5.1999999999999998E-2</v>
      </c>
      <c r="G1411">
        <f>VLOOKUP(B1411,'SINAPI-%MO'!B:E,4,0)</f>
        <v>0.6825</v>
      </c>
      <c r="H1411" s="225">
        <f t="shared" si="21"/>
        <v>104.19</v>
      </c>
    </row>
    <row r="1412" spans="1:8" x14ac:dyDescent="0.3">
      <c r="A1412" s="400"/>
      <c r="B1412" s="709">
        <v>91092</v>
      </c>
      <c r="C1412" s="710" t="s">
        <v>16200</v>
      </c>
      <c r="D1412" s="709" t="s">
        <v>168</v>
      </c>
      <c r="E1412" s="716">
        <v>465.61</v>
      </c>
      <c r="F1412" s="717">
        <v>5.79E-2</v>
      </c>
      <c r="G1412">
        <f>VLOOKUP(B1412,'SINAPI-%MO'!B:E,4,0)</f>
        <v>0.72929999999999995</v>
      </c>
      <c r="H1412" s="225">
        <f t="shared" si="21"/>
        <v>126.04</v>
      </c>
    </row>
    <row r="1413" spans="1:8" x14ac:dyDescent="0.3">
      <c r="A1413" s="400"/>
      <c r="B1413" s="709">
        <v>91088</v>
      </c>
      <c r="C1413" s="710" t="s">
        <v>16201</v>
      </c>
      <c r="D1413" s="709" t="s">
        <v>168</v>
      </c>
      <c r="E1413" s="716">
        <v>362.43</v>
      </c>
      <c r="F1413" s="717">
        <v>5.3199999999999997E-2</v>
      </c>
      <c r="G1413">
        <f>VLOOKUP(B1413,'SINAPI-%MO'!B:E,4,0)</f>
        <v>0.70130000000000003</v>
      </c>
      <c r="H1413" s="225">
        <f t="shared" si="21"/>
        <v>108.25</v>
      </c>
    </row>
    <row r="1414" spans="1:8" x14ac:dyDescent="0.3">
      <c r="A1414" s="400"/>
      <c r="B1414" s="709">
        <v>91073</v>
      </c>
      <c r="C1414" s="710" t="s">
        <v>16202</v>
      </c>
      <c r="D1414" s="709" t="s">
        <v>168</v>
      </c>
      <c r="E1414" s="716">
        <v>223.02</v>
      </c>
      <c r="F1414" s="717">
        <v>5.0599999999999999E-2</v>
      </c>
      <c r="G1414">
        <f>VLOOKUP(B1414,'SINAPI-%MO'!B:E,4,0)</f>
        <v>0.56279999999999997</v>
      </c>
      <c r="H1414" s="225">
        <f t="shared" si="21"/>
        <v>97.5</v>
      </c>
    </row>
    <row r="1415" spans="1:8" x14ac:dyDescent="0.3">
      <c r="A1415" s="400"/>
      <c r="B1415" s="709">
        <v>91069</v>
      </c>
      <c r="C1415" s="710" t="s">
        <v>16203</v>
      </c>
      <c r="D1415" s="709" t="s">
        <v>168</v>
      </c>
      <c r="E1415" s="716">
        <v>189.68</v>
      </c>
      <c r="F1415" s="717">
        <v>4.5100000000000001E-2</v>
      </c>
      <c r="G1415">
        <f>VLOOKUP(B1415,'SINAPI-%MO'!B:E,4,0)</f>
        <v>0.51900000000000002</v>
      </c>
      <c r="H1415" s="225">
        <f t="shared" si="21"/>
        <v>91.23</v>
      </c>
    </row>
    <row r="1416" spans="1:8" x14ac:dyDescent="0.3">
      <c r="A1416" s="400"/>
      <c r="B1416" s="709">
        <v>91090</v>
      </c>
      <c r="C1416" s="710" t="s">
        <v>16204</v>
      </c>
      <c r="D1416" s="709" t="s">
        <v>168</v>
      </c>
      <c r="E1416" s="716">
        <v>255.89</v>
      </c>
      <c r="F1416" s="717">
        <v>5.33E-2</v>
      </c>
      <c r="G1416">
        <f>VLOOKUP(B1416,'SINAPI-%MO'!B:E,4,0)</f>
        <v>0.60189999999999999</v>
      </c>
      <c r="H1416" s="225">
        <f t="shared" si="21"/>
        <v>101.86</v>
      </c>
    </row>
    <row r="1417" spans="1:8" x14ac:dyDescent="0.3">
      <c r="A1417" s="400"/>
      <c r="B1417" s="709">
        <v>91086</v>
      </c>
      <c r="C1417" s="710" t="s">
        <v>16205</v>
      </c>
      <c r="D1417" s="709" t="s">
        <v>168</v>
      </c>
      <c r="E1417" s="716">
        <v>218.11</v>
      </c>
      <c r="F1417" s="717">
        <v>4.8399999999999999E-2</v>
      </c>
      <c r="G1417">
        <f>VLOOKUP(B1417,'SINAPI-%MO'!B:E,4,0)</f>
        <v>0.5655</v>
      </c>
      <c r="H1417" s="225">
        <f t="shared" si="21"/>
        <v>94.76</v>
      </c>
    </row>
    <row r="1418" spans="1:8" x14ac:dyDescent="0.3">
      <c r="A1418" s="400"/>
      <c r="B1418" s="709">
        <v>107272</v>
      </c>
      <c r="C1418" s="710" t="s">
        <v>16206</v>
      </c>
      <c r="D1418" s="709" t="s">
        <v>175</v>
      </c>
      <c r="E1418" s="716">
        <v>55.46</v>
      </c>
      <c r="F1418" s="717">
        <v>0</v>
      </c>
      <c r="G1418">
        <f>VLOOKUP(B1418,'SINAPI-%MO'!B:E,4,0)</f>
        <v>0.80510000000000004</v>
      </c>
      <c r="H1418" s="225">
        <f t="shared" si="21"/>
        <v>10.8</v>
      </c>
    </row>
    <row r="1419" spans="1:8" x14ac:dyDescent="0.3">
      <c r="A1419" s="400"/>
      <c r="B1419" s="709">
        <v>107273</v>
      </c>
      <c r="C1419" s="710" t="s">
        <v>16207</v>
      </c>
      <c r="D1419" s="709" t="s">
        <v>175</v>
      </c>
      <c r="E1419" s="716">
        <v>42.56</v>
      </c>
      <c r="F1419" s="717">
        <v>0</v>
      </c>
      <c r="G1419">
        <f>VLOOKUP(B1419,'SINAPI-%MO'!B:E,4,0)</f>
        <v>0.74219999999999997</v>
      </c>
      <c r="H1419" s="225">
        <f t="shared" ref="H1419:H1482" si="22">IF(E1419&gt;0,TRUNC(E1419*(1-G1419),2),"")</f>
        <v>10.97</v>
      </c>
    </row>
    <row r="1420" spans="1:8" x14ac:dyDescent="0.3">
      <c r="A1420" s="400"/>
      <c r="B1420" s="709">
        <v>107274</v>
      </c>
      <c r="C1420" s="710" t="s">
        <v>16208</v>
      </c>
      <c r="D1420" s="709" t="s">
        <v>175</v>
      </c>
      <c r="E1420" s="716">
        <v>32.82</v>
      </c>
      <c r="F1420" s="717">
        <v>0</v>
      </c>
      <c r="G1420">
        <f>VLOOKUP(B1420,'SINAPI-%MO'!B:E,4,0)</f>
        <v>0.66790000000000005</v>
      </c>
      <c r="H1420" s="225">
        <f t="shared" si="22"/>
        <v>10.89</v>
      </c>
    </row>
    <row r="1421" spans="1:8" x14ac:dyDescent="0.3">
      <c r="A1421" s="400"/>
      <c r="B1421" s="709">
        <v>107275</v>
      </c>
      <c r="C1421" s="710" t="s">
        <v>16360</v>
      </c>
      <c r="D1421" s="709" t="s">
        <v>175</v>
      </c>
      <c r="E1421" s="716">
        <v>0</v>
      </c>
      <c r="F1421" s="717"/>
      <c r="G1421" t="e">
        <f>VLOOKUP(B1421,'SINAPI-%MO'!B:E,4,0)</f>
        <v>#N/A</v>
      </c>
      <c r="H1421" s="225" t="str">
        <f t="shared" si="22"/>
        <v/>
      </c>
    </row>
    <row r="1422" spans="1:8" x14ac:dyDescent="0.3">
      <c r="A1422" s="400"/>
      <c r="B1422" s="709">
        <v>105522</v>
      </c>
      <c r="C1422" s="710" t="s">
        <v>16361</v>
      </c>
      <c r="D1422" s="709" t="s">
        <v>168</v>
      </c>
      <c r="E1422" s="716">
        <v>0</v>
      </c>
      <c r="F1422" s="717"/>
      <c r="G1422" t="e">
        <f>VLOOKUP(B1422,'SINAPI-%MO'!B:E,4,0)</f>
        <v>#N/A</v>
      </c>
      <c r="H1422" s="225" t="str">
        <f t="shared" si="22"/>
        <v/>
      </c>
    </row>
    <row r="1423" spans="1:8" x14ac:dyDescent="0.3">
      <c r="A1423" s="400"/>
      <c r="B1423" s="709">
        <v>104281</v>
      </c>
      <c r="C1423" s="710" t="s">
        <v>1582</v>
      </c>
      <c r="D1423" s="709" t="s">
        <v>136</v>
      </c>
      <c r="E1423" s="716">
        <v>0</v>
      </c>
      <c r="F1423" s="717"/>
      <c r="G1423" t="e">
        <f>VLOOKUP(B1423,'SINAPI-%MO'!B:E,4,0)</f>
        <v>#N/A</v>
      </c>
      <c r="H1423" s="225" t="str">
        <f t="shared" si="22"/>
        <v/>
      </c>
    </row>
    <row r="1424" spans="1:8" x14ac:dyDescent="0.3">
      <c r="A1424" s="400"/>
      <c r="B1424" s="709">
        <v>104287</v>
      </c>
      <c r="C1424" s="710" t="s">
        <v>1583</v>
      </c>
      <c r="D1424" s="709" t="s">
        <v>136</v>
      </c>
      <c r="E1424" s="716">
        <v>0</v>
      </c>
      <c r="F1424" s="717"/>
      <c r="G1424" t="e">
        <f>VLOOKUP(B1424,'SINAPI-%MO'!B:E,4,0)</f>
        <v>#N/A</v>
      </c>
      <c r="H1424" s="225" t="str">
        <f t="shared" si="22"/>
        <v/>
      </c>
    </row>
    <row r="1425" spans="1:8" x14ac:dyDescent="0.3">
      <c r="A1425" s="400"/>
      <c r="B1425" s="709">
        <v>104286</v>
      </c>
      <c r="C1425" s="710" t="s">
        <v>1584</v>
      </c>
      <c r="D1425" s="709" t="s">
        <v>136</v>
      </c>
      <c r="E1425" s="716">
        <v>0</v>
      </c>
      <c r="F1425" s="717"/>
      <c r="G1425" t="e">
        <f>VLOOKUP(B1425,'SINAPI-%MO'!B:E,4,0)</f>
        <v>#N/A</v>
      </c>
      <c r="H1425" s="225" t="str">
        <f t="shared" si="22"/>
        <v/>
      </c>
    </row>
    <row r="1426" spans="1:8" x14ac:dyDescent="0.3">
      <c r="A1426" s="400"/>
      <c r="B1426" s="709">
        <v>104292</v>
      </c>
      <c r="C1426" s="710" t="s">
        <v>1585</v>
      </c>
      <c r="D1426" s="709" t="s">
        <v>136</v>
      </c>
      <c r="E1426" s="716">
        <v>0</v>
      </c>
      <c r="F1426" s="717"/>
      <c r="G1426" t="e">
        <f>VLOOKUP(B1426,'SINAPI-%MO'!B:E,4,0)</f>
        <v>#N/A</v>
      </c>
      <c r="H1426" s="225" t="str">
        <f t="shared" si="22"/>
        <v/>
      </c>
    </row>
    <row r="1427" spans="1:8" x14ac:dyDescent="0.3">
      <c r="A1427" s="400"/>
      <c r="B1427" s="709">
        <v>104282</v>
      </c>
      <c r="C1427" s="710" t="s">
        <v>1586</v>
      </c>
      <c r="D1427" s="709" t="s">
        <v>136</v>
      </c>
      <c r="E1427" s="716">
        <v>0</v>
      </c>
      <c r="F1427" s="717"/>
      <c r="G1427" t="e">
        <f>VLOOKUP(B1427,'SINAPI-%MO'!B:E,4,0)</f>
        <v>#N/A</v>
      </c>
      <c r="H1427" s="225" t="str">
        <f t="shared" si="22"/>
        <v/>
      </c>
    </row>
    <row r="1428" spans="1:8" x14ac:dyDescent="0.3">
      <c r="A1428" s="400"/>
      <c r="B1428" s="709">
        <v>104288</v>
      </c>
      <c r="C1428" s="710" t="s">
        <v>1587</v>
      </c>
      <c r="D1428" s="709" t="s">
        <v>136</v>
      </c>
      <c r="E1428" s="716">
        <v>0</v>
      </c>
      <c r="F1428" s="717"/>
      <c r="G1428" t="e">
        <f>VLOOKUP(B1428,'SINAPI-%MO'!B:E,4,0)</f>
        <v>#N/A</v>
      </c>
      <c r="H1428" s="225" t="str">
        <f t="shared" si="22"/>
        <v/>
      </c>
    </row>
    <row r="1429" spans="1:8" x14ac:dyDescent="0.3">
      <c r="A1429" s="400"/>
      <c r="B1429" s="709">
        <v>104283</v>
      </c>
      <c r="C1429" s="710" t="s">
        <v>1588</v>
      </c>
      <c r="D1429" s="709" t="s">
        <v>136</v>
      </c>
      <c r="E1429" s="716">
        <v>0</v>
      </c>
      <c r="F1429" s="717"/>
      <c r="G1429" t="e">
        <f>VLOOKUP(B1429,'SINAPI-%MO'!B:E,4,0)</f>
        <v>#N/A</v>
      </c>
      <c r="H1429" s="225" t="str">
        <f t="shared" si="22"/>
        <v/>
      </c>
    </row>
    <row r="1430" spans="1:8" x14ac:dyDescent="0.3">
      <c r="A1430" s="400"/>
      <c r="B1430" s="709">
        <v>104289</v>
      </c>
      <c r="C1430" s="710" t="s">
        <v>1589</v>
      </c>
      <c r="D1430" s="709" t="s">
        <v>136</v>
      </c>
      <c r="E1430" s="716">
        <v>0</v>
      </c>
      <c r="F1430" s="717"/>
      <c r="G1430" t="e">
        <f>VLOOKUP(B1430,'SINAPI-%MO'!B:E,4,0)</f>
        <v>#N/A</v>
      </c>
      <c r="H1430" s="225" t="str">
        <f t="shared" si="22"/>
        <v/>
      </c>
    </row>
    <row r="1431" spans="1:8" x14ac:dyDescent="0.3">
      <c r="A1431" s="400"/>
      <c r="B1431" s="709">
        <v>104284</v>
      </c>
      <c r="C1431" s="710" t="s">
        <v>1590</v>
      </c>
      <c r="D1431" s="709" t="s">
        <v>136</v>
      </c>
      <c r="E1431" s="716">
        <v>0</v>
      </c>
      <c r="F1431" s="717"/>
      <c r="G1431" t="e">
        <f>VLOOKUP(B1431,'SINAPI-%MO'!B:E,4,0)</f>
        <v>#N/A</v>
      </c>
      <c r="H1431" s="225" t="str">
        <f t="shared" si="22"/>
        <v/>
      </c>
    </row>
    <row r="1432" spans="1:8" x14ac:dyDescent="0.3">
      <c r="A1432" s="400"/>
      <c r="B1432" s="709">
        <v>104290</v>
      </c>
      <c r="C1432" s="710" t="s">
        <v>1591</v>
      </c>
      <c r="D1432" s="709" t="s">
        <v>136</v>
      </c>
      <c r="E1432" s="716">
        <v>0</v>
      </c>
      <c r="F1432" s="717"/>
      <c r="G1432" t="e">
        <f>VLOOKUP(B1432,'SINAPI-%MO'!B:E,4,0)</f>
        <v>#N/A</v>
      </c>
      <c r="H1432" s="225" t="str">
        <f t="shared" si="22"/>
        <v/>
      </c>
    </row>
    <row r="1433" spans="1:8" x14ac:dyDescent="0.3">
      <c r="A1433" s="400"/>
      <c r="B1433" s="709">
        <v>104285</v>
      </c>
      <c r="C1433" s="710" t="s">
        <v>1592</v>
      </c>
      <c r="D1433" s="709" t="s">
        <v>136</v>
      </c>
      <c r="E1433" s="716">
        <v>0</v>
      </c>
      <c r="F1433" s="717"/>
      <c r="G1433" t="e">
        <f>VLOOKUP(B1433,'SINAPI-%MO'!B:E,4,0)</f>
        <v>#N/A</v>
      </c>
      <c r="H1433" s="225" t="str">
        <f t="shared" si="22"/>
        <v/>
      </c>
    </row>
    <row r="1434" spans="1:8" x14ac:dyDescent="0.3">
      <c r="A1434" s="400"/>
      <c r="B1434" s="709">
        <v>104291</v>
      </c>
      <c r="C1434" s="710" t="s">
        <v>1593</v>
      </c>
      <c r="D1434" s="709" t="s">
        <v>136</v>
      </c>
      <c r="E1434" s="716">
        <v>0</v>
      </c>
      <c r="F1434" s="717"/>
      <c r="G1434" t="e">
        <f>VLOOKUP(B1434,'SINAPI-%MO'!B:E,4,0)</f>
        <v>#N/A</v>
      </c>
      <c r="H1434" s="225" t="str">
        <f t="shared" si="22"/>
        <v/>
      </c>
    </row>
    <row r="1435" spans="1:8" x14ac:dyDescent="0.3">
      <c r="A1435" s="400"/>
      <c r="B1435" s="709">
        <v>104267</v>
      </c>
      <c r="C1435" s="710" t="s">
        <v>1594</v>
      </c>
      <c r="D1435" s="709" t="s">
        <v>136</v>
      </c>
      <c r="E1435" s="716">
        <v>0</v>
      </c>
      <c r="F1435" s="717"/>
      <c r="G1435" t="e">
        <f>VLOOKUP(B1435,'SINAPI-%MO'!B:E,4,0)</f>
        <v>#N/A</v>
      </c>
      <c r="H1435" s="225" t="str">
        <f t="shared" si="22"/>
        <v/>
      </c>
    </row>
    <row r="1436" spans="1:8" x14ac:dyDescent="0.3">
      <c r="A1436" s="400"/>
      <c r="B1436" s="709">
        <v>104268</v>
      </c>
      <c r="C1436" s="710" t="s">
        <v>1595</v>
      </c>
      <c r="D1436" s="709" t="s">
        <v>136</v>
      </c>
      <c r="E1436" s="716">
        <v>0</v>
      </c>
      <c r="F1436" s="717"/>
      <c r="G1436" t="e">
        <f>VLOOKUP(B1436,'SINAPI-%MO'!B:E,4,0)</f>
        <v>#N/A</v>
      </c>
      <c r="H1436" s="225" t="str">
        <f t="shared" si="22"/>
        <v/>
      </c>
    </row>
    <row r="1437" spans="1:8" x14ac:dyDescent="0.3">
      <c r="A1437" s="400"/>
      <c r="B1437" s="709">
        <v>104269</v>
      </c>
      <c r="C1437" s="710" t="s">
        <v>1596</v>
      </c>
      <c r="D1437" s="709" t="s">
        <v>136</v>
      </c>
      <c r="E1437" s="716">
        <v>0</v>
      </c>
      <c r="F1437" s="717"/>
      <c r="G1437" t="e">
        <f>VLOOKUP(B1437,'SINAPI-%MO'!B:E,4,0)</f>
        <v>#N/A</v>
      </c>
      <c r="H1437" s="225" t="str">
        <f t="shared" si="22"/>
        <v/>
      </c>
    </row>
    <row r="1438" spans="1:8" x14ac:dyDescent="0.3">
      <c r="A1438" s="400"/>
      <c r="B1438" s="709">
        <v>104270</v>
      </c>
      <c r="C1438" s="710" t="s">
        <v>1597</v>
      </c>
      <c r="D1438" s="709" t="s">
        <v>136</v>
      </c>
      <c r="E1438" s="716">
        <v>0</v>
      </c>
      <c r="F1438" s="717"/>
      <c r="G1438" t="e">
        <f>VLOOKUP(B1438,'SINAPI-%MO'!B:E,4,0)</f>
        <v>#N/A</v>
      </c>
      <c r="H1438" s="225" t="str">
        <f t="shared" si="22"/>
        <v/>
      </c>
    </row>
    <row r="1439" spans="1:8" x14ac:dyDescent="0.3">
      <c r="A1439" s="400"/>
      <c r="B1439" s="709">
        <v>104276</v>
      </c>
      <c r="C1439" s="710" t="s">
        <v>1598</v>
      </c>
      <c r="D1439" s="709" t="s">
        <v>136</v>
      </c>
      <c r="E1439" s="716">
        <v>0</v>
      </c>
      <c r="F1439" s="717"/>
      <c r="G1439" t="e">
        <f>VLOOKUP(B1439,'SINAPI-%MO'!B:E,4,0)</f>
        <v>#N/A</v>
      </c>
      <c r="H1439" s="225" t="str">
        <f t="shared" si="22"/>
        <v/>
      </c>
    </row>
    <row r="1440" spans="1:8" x14ac:dyDescent="0.3">
      <c r="A1440" s="400"/>
      <c r="B1440" s="709">
        <v>104280</v>
      </c>
      <c r="C1440" s="710" t="s">
        <v>1599</v>
      </c>
      <c r="D1440" s="709" t="s">
        <v>136</v>
      </c>
      <c r="E1440" s="716">
        <v>0</v>
      </c>
      <c r="F1440" s="717"/>
      <c r="G1440" t="e">
        <f>VLOOKUP(B1440,'SINAPI-%MO'!B:E,4,0)</f>
        <v>#N/A</v>
      </c>
      <c r="H1440" s="225" t="str">
        <f t="shared" si="22"/>
        <v/>
      </c>
    </row>
    <row r="1441" spans="1:8" x14ac:dyDescent="0.3">
      <c r="A1441" s="400"/>
      <c r="B1441" s="709">
        <v>104271</v>
      </c>
      <c r="C1441" s="710" t="s">
        <v>1600</v>
      </c>
      <c r="D1441" s="709" t="s">
        <v>136</v>
      </c>
      <c r="E1441" s="716">
        <v>0</v>
      </c>
      <c r="F1441" s="717"/>
      <c r="G1441" t="e">
        <f>VLOOKUP(B1441,'SINAPI-%MO'!B:E,4,0)</f>
        <v>#N/A</v>
      </c>
      <c r="H1441" s="225" t="str">
        <f t="shared" si="22"/>
        <v/>
      </c>
    </row>
    <row r="1442" spans="1:8" x14ac:dyDescent="0.3">
      <c r="A1442" s="400"/>
      <c r="B1442" s="709">
        <v>104272</v>
      </c>
      <c r="C1442" s="710" t="s">
        <v>1601</v>
      </c>
      <c r="D1442" s="709" t="s">
        <v>136</v>
      </c>
      <c r="E1442" s="716">
        <v>0</v>
      </c>
      <c r="F1442" s="717"/>
      <c r="G1442" t="e">
        <f>VLOOKUP(B1442,'SINAPI-%MO'!B:E,4,0)</f>
        <v>#N/A</v>
      </c>
      <c r="H1442" s="225" t="str">
        <f t="shared" si="22"/>
        <v/>
      </c>
    </row>
    <row r="1443" spans="1:8" x14ac:dyDescent="0.3">
      <c r="A1443" s="400"/>
      <c r="B1443" s="709">
        <v>104273</v>
      </c>
      <c r="C1443" s="710" t="s">
        <v>1602</v>
      </c>
      <c r="D1443" s="709" t="s">
        <v>136</v>
      </c>
      <c r="E1443" s="716">
        <v>0</v>
      </c>
      <c r="F1443" s="717"/>
      <c r="G1443" t="e">
        <f>VLOOKUP(B1443,'SINAPI-%MO'!B:E,4,0)</f>
        <v>#N/A</v>
      </c>
      <c r="H1443" s="225" t="str">
        <f t="shared" si="22"/>
        <v/>
      </c>
    </row>
    <row r="1444" spans="1:8" x14ac:dyDescent="0.3">
      <c r="A1444" s="400"/>
      <c r="B1444" s="709">
        <v>104277</v>
      </c>
      <c r="C1444" s="710" t="s">
        <v>1603</v>
      </c>
      <c r="D1444" s="709" t="s">
        <v>136</v>
      </c>
      <c r="E1444" s="716">
        <v>0</v>
      </c>
      <c r="F1444" s="717"/>
      <c r="G1444" t="e">
        <f>VLOOKUP(B1444,'SINAPI-%MO'!B:E,4,0)</f>
        <v>#N/A</v>
      </c>
      <c r="H1444" s="225" t="str">
        <f t="shared" si="22"/>
        <v/>
      </c>
    </row>
    <row r="1445" spans="1:8" x14ac:dyDescent="0.3">
      <c r="A1445" s="400"/>
      <c r="B1445" s="709">
        <v>104274</v>
      </c>
      <c r="C1445" s="710" t="s">
        <v>1604</v>
      </c>
      <c r="D1445" s="709" t="s">
        <v>136</v>
      </c>
      <c r="E1445" s="716">
        <v>0</v>
      </c>
      <c r="F1445" s="717"/>
      <c r="G1445" t="e">
        <f>VLOOKUP(B1445,'SINAPI-%MO'!B:E,4,0)</f>
        <v>#N/A</v>
      </c>
      <c r="H1445" s="225" t="str">
        <f t="shared" si="22"/>
        <v/>
      </c>
    </row>
    <row r="1446" spans="1:8" x14ac:dyDescent="0.3">
      <c r="A1446" s="400"/>
      <c r="B1446" s="709">
        <v>104278</v>
      </c>
      <c r="C1446" s="710" t="s">
        <v>1605</v>
      </c>
      <c r="D1446" s="709" t="s">
        <v>136</v>
      </c>
      <c r="E1446" s="716">
        <v>0</v>
      </c>
      <c r="F1446" s="717"/>
      <c r="G1446" t="e">
        <f>VLOOKUP(B1446,'SINAPI-%MO'!B:E,4,0)</f>
        <v>#N/A</v>
      </c>
      <c r="H1446" s="225" t="str">
        <f t="shared" si="22"/>
        <v/>
      </c>
    </row>
    <row r="1447" spans="1:8" x14ac:dyDescent="0.3">
      <c r="A1447" s="400"/>
      <c r="B1447" s="709">
        <v>104275</v>
      </c>
      <c r="C1447" s="710" t="s">
        <v>1606</v>
      </c>
      <c r="D1447" s="709" t="s">
        <v>136</v>
      </c>
      <c r="E1447" s="716">
        <v>0</v>
      </c>
      <c r="F1447" s="717"/>
      <c r="G1447" t="e">
        <f>VLOOKUP(B1447,'SINAPI-%MO'!B:E,4,0)</f>
        <v>#N/A</v>
      </c>
      <c r="H1447" s="225" t="str">
        <f t="shared" si="22"/>
        <v/>
      </c>
    </row>
    <row r="1448" spans="1:8" x14ac:dyDescent="0.3">
      <c r="A1448" s="400"/>
      <c r="B1448" s="709">
        <v>104279</v>
      </c>
      <c r="C1448" s="710" t="s">
        <v>1607</v>
      </c>
      <c r="D1448" s="709" t="s">
        <v>136</v>
      </c>
      <c r="E1448" s="716">
        <v>0</v>
      </c>
      <c r="F1448" s="717"/>
      <c r="G1448" t="e">
        <f>VLOOKUP(B1448,'SINAPI-%MO'!B:E,4,0)</f>
        <v>#N/A</v>
      </c>
      <c r="H1448" s="225" t="str">
        <f t="shared" si="22"/>
        <v/>
      </c>
    </row>
    <row r="1449" spans="1:8" x14ac:dyDescent="0.3">
      <c r="A1449" s="400"/>
      <c r="B1449" s="709">
        <v>104265</v>
      </c>
      <c r="C1449" s="710" t="s">
        <v>1608</v>
      </c>
      <c r="D1449" s="709" t="s">
        <v>136</v>
      </c>
      <c r="E1449" s="716">
        <v>0</v>
      </c>
      <c r="F1449" s="717"/>
      <c r="G1449" t="e">
        <f>VLOOKUP(B1449,'SINAPI-%MO'!B:E,4,0)</f>
        <v>#N/A</v>
      </c>
      <c r="H1449" s="225" t="str">
        <f t="shared" si="22"/>
        <v/>
      </c>
    </row>
    <row r="1450" spans="1:8" x14ac:dyDescent="0.3">
      <c r="A1450" s="400"/>
      <c r="B1450" s="709">
        <v>104266</v>
      </c>
      <c r="C1450" s="710" t="s">
        <v>1609</v>
      </c>
      <c r="D1450" s="709" t="s">
        <v>136</v>
      </c>
      <c r="E1450" s="716">
        <v>0</v>
      </c>
      <c r="F1450" s="717"/>
      <c r="G1450" t="e">
        <f>VLOOKUP(B1450,'SINAPI-%MO'!B:E,4,0)</f>
        <v>#N/A</v>
      </c>
      <c r="H1450" s="225" t="str">
        <f t="shared" si="22"/>
        <v/>
      </c>
    </row>
    <row r="1451" spans="1:8" x14ac:dyDescent="0.3">
      <c r="A1451" s="400"/>
      <c r="B1451" s="709">
        <v>104305</v>
      </c>
      <c r="C1451" s="710" t="s">
        <v>1610</v>
      </c>
      <c r="D1451" s="709" t="s">
        <v>159</v>
      </c>
      <c r="E1451" s="716">
        <v>0</v>
      </c>
      <c r="F1451" s="717"/>
      <c r="G1451" t="e">
        <f>VLOOKUP(B1451,'SINAPI-%MO'!B:E,4,0)</f>
        <v>#N/A</v>
      </c>
      <c r="H1451" s="225" t="str">
        <f t="shared" si="22"/>
        <v/>
      </c>
    </row>
    <row r="1452" spans="1:8" x14ac:dyDescent="0.3">
      <c r="A1452" s="400"/>
      <c r="B1452" s="709">
        <v>104306</v>
      </c>
      <c r="C1452" s="710" t="s">
        <v>1611</v>
      </c>
      <c r="D1452" s="709" t="s">
        <v>159</v>
      </c>
      <c r="E1452" s="716">
        <v>0</v>
      </c>
      <c r="F1452" s="717"/>
      <c r="G1452" t="e">
        <f>VLOOKUP(B1452,'SINAPI-%MO'!B:E,4,0)</f>
        <v>#N/A</v>
      </c>
      <c r="H1452" s="225" t="str">
        <f t="shared" si="22"/>
        <v/>
      </c>
    </row>
    <row r="1453" spans="1:8" x14ac:dyDescent="0.3">
      <c r="A1453" s="400"/>
      <c r="B1453" s="709">
        <v>104307</v>
      </c>
      <c r="C1453" s="710" t="s">
        <v>1612</v>
      </c>
      <c r="D1453" s="709" t="s">
        <v>159</v>
      </c>
      <c r="E1453" s="716">
        <v>0</v>
      </c>
      <c r="F1453" s="717"/>
      <c r="G1453" t="e">
        <f>VLOOKUP(B1453,'SINAPI-%MO'!B:E,4,0)</f>
        <v>#N/A</v>
      </c>
      <c r="H1453" s="225" t="str">
        <f t="shared" si="22"/>
        <v/>
      </c>
    </row>
    <row r="1454" spans="1:8" x14ac:dyDescent="0.3">
      <c r="A1454" s="400"/>
      <c r="B1454" s="709">
        <v>104308</v>
      </c>
      <c r="C1454" s="710" t="s">
        <v>1613</v>
      </c>
      <c r="D1454" s="709" t="s">
        <v>159</v>
      </c>
      <c r="E1454" s="716">
        <v>0</v>
      </c>
      <c r="F1454" s="717"/>
      <c r="G1454" t="e">
        <f>VLOOKUP(B1454,'SINAPI-%MO'!B:E,4,0)</f>
        <v>#N/A</v>
      </c>
      <c r="H1454" s="225" t="str">
        <f t="shared" si="22"/>
        <v/>
      </c>
    </row>
    <row r="1455" spans="1:8" x14ac:dyDescent="0.3">
      <c r="A1455" s="400"/>
      <c r="B1455" s="709">
        <v>104309</v>
      </c>
      <c r="C1455" s="710" t="s">
        <v>1614</v>
      </c>
      <c r="D1455" s="709" t="s">
        <v>159</v>
      </c>
      <c r="E1455" s="716">
        <v>0</v>
      </c>
      <c r="F1455" s="717"/>
      <c r="G1455" t="e">
        <f>VLOOKUP(B1455,'SINAPI-%MO'!B:E,4,0)</f>
        <v>#N/A</v>
      </c>
      <c r="H1455" s="225" t="str">
        <f t="shared" si="22"/>
        <v/>
      </c>
    </row>
    <row r="1456" spans="1:8" x14ac:dyDescent="0.3">
      <c r="A1456" s="400"/>
      <c r="B1456" s="709">
        <v>104310</v>
      </c>
      <c r="C1456" s="710" t="s">
        <v>1615</v>
      </c>
      <c r="D1456" s="709" t="s">
        <v>159</v>
      </c>
      <c r="E1456" s="716">
        <v>0</v>
      </c>
      <c r="F1456" s="717"/>
      <c r="G1456" t="e">
        <f>VLOOKUP(B1456,'SINAPI-%MO'!B:E,4,0)</f>
        <v>#N/A</v>
      </c>
      <c r="H1456" s="225" t="str">
        <f t="shared" si="22"/>
        <v/>
      </c>
    </row>
    <row r="1457" spans="1:8" x14ac:dyDescent="0.3">
      <c r="A1457" s="400"/>
      <c r="B1457" s="709">
        <v>104311</v>
      </c>
      <c r="C1457" s="710" t="s">
        <v>1616</v>
      </c>
      <c r="D1457" s="709" t="s">
        <v>159</v>
      </c>
      <c r="E1457" s="716">
        <v>0</v>
      </c>
      <c r="F1457" s="717"/>
      <c r="G1457" t="e">
        <f>VLOOKUP(B1457,'SINAPI-%MO'!B:E,4,0)</f>
        <v>#N/A</v>
      </c>
      <c r="H1457" s="225" t="str">
        <f t="shared" si="22"/>
        <v/>
      </c>
    </row>
    <row r="1458" spans="1:8" x14ac:dyDescent="0.3">
      <c r="A1458" s="400"/>
      <c r="B1458" s="709">
        <v>104301</v>
      </c>
      <c r="C1458" s="710" t="s">
        <v>1617</v>
      </c>
      <c r="D1458" s="709" t="s">
        <v>175</v>
      </c>
      <c r="E1458" s="716">
        <v>0</v>
      </c>
      <c r="F1458" s="717"/>
      <c r="G1458" t="e">
        <f>VLOOKUP(B1458,'SINAPI-%MO'!B:E,4,0)</f>
        <v>#N/A</v>
      </c>
      <c r="H1458" s="225" t="str">
        <f t="shared" si="22"/>
        <v/>
      </c>
    </row>
    <row r="1459" spans="1:8" x14ac:dyDescent="0.3">
      <c r="A1459" s="400"/>
      <c r="B1459" s="709">
        <v>104302</v>
      </c>
      <c r="C1459" s="710" t="s">
        <v>1618</v>
      </c>
      <c r="D1459" s="709" t="s">
        <v>175</v>
      </c>
      <c r="E1459" s="716">
        <v>0</v>
      </c>
      <c r="F1459" s="717"/>
      <c r="G1459" t="e">
        <f>VLOOKUP(B1459,'SINAPI-%MO'!B:E,4,0)</f>
        <v>#N/A</v>
      </c>
      <c r="H1459" s="225" t="str">
        <f t="shared" si="22"/>
        <v/>
      </c>
    </row>
    <row r="1460" spans="1:8" x14ac:dyDescent="0.3">
      <c r="A1460" s="400"/>
      <c r="B1460" s="709">
        <v>104303</v>
      </c>
      <c r="C1460" s="710" t="s">
        <v>1619</v>
      </c>
      <c r="D1460" s="709" t="s">
        <v>175</v>
      </c>
      <c r="E1460" s="716">
        <v>0</v>
      </c>
      <c r="F1460" s="717"/>
      <c r="G1460" t="e">
        <f>VLOOKUP(B1460,'SINAPI-%MO'!B:E,4,0)</f>
        <v>#N/A</v>
      </c>
      <c r="H1460" s="225" t="str">
        <f t="shared" si="22"/>
        <v/>
      </c>
    </row>
    <row r="1461" spans="1:8" x14ac:dyDescent="0.3">
      <c r="A1461" s="400"/>
      <c r="B1461" s="709">
        <v>104304</v>
      </c>
      <c r="C1461" s="710" t="s">
        <v>1620</v>
      </c>
      <c r="D1461" s="709" t="s">
        <v>175</v>
      </c>
      <c r="E1461" s="716">
        <v>0</v>
      </c>
      <c r="F1461" s="717"/>
      <c r="G1461" t="e">
        <f>VLOOKUP(B1461,'SINAPI-%MO'!B:E,4,0)</f>
        <v>#N/A</v>
      </c>
      <c r="H1461" s="225" t="str">
        <f t="shared" si="22"/>
        <v/>
      </c>
    </row>
    <row r="1462" spans="1:8" x14ac:dyDescent="0.3">
      <c r="A1462" s="400"/>
      <c r="B1462" s="709">
        <v>104293</v>
      </c>
      <c r="C1462" s="710" t="s">
        <v>1621</v>
      </c>
      <c r="D1462" s="709" t="s">
        <v>175</v>
      </c>
      <c r="E1462" s="716">
        <v>0</v>
      </c>
      <c r="F1462" s="717"/>
      <c r="G1462" t="e">
        <f>VLOOKUP(B1462,'SINAPI-%MO'!B:E,4,0)</f>
        <v>#N/A</v>
      </c>
      <c r="H1462" s="225" t="str">
        <f t="shared" si="22"/>
        <v/>
      </c>
    </row>
    <row r="1463" spans="1:8" x14ac:dyDescent="0.3">
      <c r="A1463" s="400"/>
      <c r="B1463" s="709">
        <v>104297</v>
      </c>
      <c r="C1463" s="710" t="s">
        <v>1622</v>
      </c>
      <c r="D1463" s="709" t="s">
        <v>175</v>
      </c>
      <c r="E1463" s="716">
        <v>0</v>
      </c>
      <c r="F1463" s="717"/>
      <c r="G1463" t="e">
        <f>VLOOKUP(B1463,'SINAPI-%MO'!B:E,4,0)</f>
        <v>#N/A</v>
      </c>
      <c r="H1463" s="225" t="str">
        <f t="shared" si="22"/>
        <v/>
      </c>
    </row>
    <row r="1464" spans="1:8" x14ac:dyDescent="0.3">
      <c r="A1464" s="400"/>
      <c r="B1464" s="709">
        <v>104295</v>
      </c>
      <c r="C1464" s="710" t="s">
        <v>1623</v>
      </c>
      <c r="D1464" s="709" t="s">
        <v>175</v>
      </c>
      <c r="E1464" s="716">
        <v>0</v>
      </c>
      <c r="F1464" s="717"/>
      <c r="G1464" t="e">
        <f>VLOOKUP(B1464,'SINAPI-%MO'!B:E,4,0)</f>
        <v>#N/A</v>
      </c>
      <c r="H1464" s="225" t="str">
        <f t="shared" si="22"/>
        <v/>
      </c>
    </row>
    <row r="1465" spans="1:8" x14ac:dyDescent="0.3">
      <c r="A1465" s="400"/>
      <c r="B1465" s="709">
        <v>104299</v>
      </c>
      <c r="C1465" s="710" t="s">
        <v>1624</v>
      </c>
      <c r="D1465" s="709" t="s">
        <v>175</v>
      </c>
      <c r="E1465" s="716">
        <v>0</v>
      </c>
      <c r="F1465" s="717"/>
      <c r="G1465" t="e">
        <f>VLOOKUP(B1465,'SINAPI-%MO'!B:E,4,0)</f>
        <v>#N/A</v>
      </c>
      <c r="H1465" s="225" t="str">
        <f t="shared" si="22"/>
        <v/>
      </c>
    </row>
    <row r="1466" spans="1:8" x14ac:dyDescent="0.3">
      <c r="A1466" s="400"/>
      <c r="B1466" s="709">
        <v>104294</v>
      </c>
      <c r="C1466" s="710" t="s">
        <v>1625</v>
      </c>
      <c r="D1466" s="709" t="s">
        <v>175</v>
      </c>
      <c r="E1466" s="716">
        <v>0</v>
      </c>
      <c r="F1466" s="717"/>
      <c r="G1466" t="e">
        <f>VLOOKUP(B1466,'SINAPI-%MO'!B:E,4,0)</f>
        <v>#N/A</v>
      </c>
      <c r="H1466" s="225" t="str">
        <f t="shared" si="22"/>
        <v/>
      </c>
    </row>
    <row r="1467" spans="1:8" x14ac:dyDescent="0.3">
      <c r="A1467" s="400"/>
      <c r="B1467" s="709">
        <v>104298</v>
      </c>
      <c r="C1467" s="710" t="s">
        <v>1626</v>
      </c>
      <c r="D1467" s="709" t="s">
        <v>175</v>
      </c>
      <c r="E1467" s="716">
        <v>0</v>
      </c>
      <c r="F1467" s="717"/>
      <c r="G1467" t="e">
        <f>VLOOKUP(B1467,'SINAPI-%MO'!B:E,4,0)</f>
        <v>#N/A</v>
      </c>
      <c r="H1467" s="225" t="str">
        <f t="shared" si="22"/>
        <v/>
      </c>
    </row>
    <row r="1468" spans="1:8" x14ac:dyDescent="0.3">
      <c r="A1468" s="400"/>
      <c r="B1468" s="709">
        <v>104296</v>
      </c>
      <c r="C1468" s="710" t="s">
        <v>1627</v>
      </c>
      <c r="D1468" s="709" t="s">
        <v>175</v>
      </c>
      <c r="E1468" s="716">
        <v>0</v>
      </c>
      <c r="F1468" s="717"/>
      <c r="G1468" t="e">
        <f>VLOOKUP(B1468,'SINAPI-%MO'!B:E,4,0)</f>
        <v>#N/A</v>
      </c>
      <c r="H1468" s="225" t="str">
        <f t="shared" si="22"/>
        <v/>
      </c>
    </row>
    <row r="1469" spans="1:8" x14ac:dyDescent="0.3">
      <c r="A1469" s="400"/>
      <c r="B1469" s="709">
        <v>104300</v>
      </c>
      <c r="C1469" s="710" t="s">
        <v>1628</v>
      </c>
      <c r="D1469" s="709" t="s">
        <v>175</v>
      </c>
      <c r="E1469" s="716">
        <v>0</v>
      </c>
      <c r="F1469" s="717"/>
      <c r="G1469" t="e">
        <f>VLOOKUP(B1469,'SINAPI-%MO'!B:E,4,0)</f>
        <v>#N/A</v>
      </c>
      <c r="H1469" s="225" t="str">
        <f t="shared" si="22"/>
        <v/>
      </c>
    </row>
    <row r="1470" spans="1:8" x14ac:dyDescent="0.3">
      <c r="A1470" s="400"/>
      <c r="B1470" s="709">
        <v>90944</v>
      </c>
      <c r="C1470" s="710" t="s">
        <v>1629</v>
      </c>
      <c r="D1470" s="709" t="s">
        <v>168</v>
      </c>
      <c r="E1470" s="716">
        <v>199.01</v>
      </c>
      <c r="F1470" s="717">
        <v>0</v>
      </c>
      <c r="G1470">
        <f>VLOOKUP(B1470,'SINAPI-%MO'!B:E,4,0)</f>
        <v>0.22850000000000001</v>
      </c>
      <c r="H1470" s="225">
        <f t="shared" si="22"/>
        <v>153.53</v>
      </c>
    </row>
    <row r="1471" spans="1:8" x14ac:dyDescent="0.3">
      <c r="A1471" s="400"/>
      <c r="B1471" s="709">
        <v>90934</v>
      </c>
      <c r="C1471" s="710" t="s">
        <v>1630</v>
      </c>
      <c r="D1471" s="709" t="s">
        <v>168</v>
      </c>
      <c r="E1471" s="716">
        <v>184.64</v>
      </c>
      <c r="F1471" s="717">
        <v>0</v>
      </c>
      <c r="G1471">
        <f>VLOOKUP(B1471,'SINAPI-%MO'!B:E,4,0)</f>
        <v>0.22450000000000001</v>
      </c>
      <c r="H1471" s="225">
        <f t="shared" si="22"/>
        <v>143.18</v>
      </c>
    </row>
    <row r="1472" spans="1:8" x14ac:dyDescent="0.3">
      <c r="A1472" s="400"/>
      <c r="B1472" s="709">
        <v>90954</v>
      </c>
      <c r="C1472" s="710" t="s">
        <v>1631</v>
      </c>
      <c r="D1472" s="709" t="s">
        <v>168</v>
      </c>
      <c r="E1472" s="716">
        <v>225.35</v>
      </c>
      <c r="F1472" s="717">
        <v>0</v>
      </c>
      <c r="G1472">
        <f>VLOOKUP(B1472,'SINAPI-%MO'!B:E,4,0)</f>
        <v>0.2344</v>
      </c>
      <c r="H1472" s="225">
        <f t="shared" si="22"/>
        <v>172.52</v>
      </c>
    </row>
    <row r="1473" spans="1:8" x14ac:dyDescent="0.3">
      <c r="A1473" s="400"/>
      <c r="B1473" s="709">
        <v>90933</v>
      </c>
      <c r="C1473" s="710" t="s">
        <v>1632</v>
      </c>
      <c r="D1473" s="709" t="s">
        <v>168</v>
      </c>
      <c r="E1473" s="716">
        <v>169.91</v>
      </c>
      <c r="F1473" s="717">
        <v>0</v>
      </c>
      <c r="G1473">
        <f>VLOOKUP(B1473,'SINAPI-%MO'!B:E,4,0)</f>
        <v>0.16370000000000001</v>
      </c>
      <c r="H1473" s="225">
        <f t="shared" si="22"/>
        <v>142.09</v>
      </c>
    </row>
    <row r="1474" spans="1:8" x14ac:dyDescent="0.3">
      <c r="A1474" s="400"/>
      <c r="B1474" s="709">
        <v>90943</v>
      </c>
      <c r="C1474" s="710" t="s">
        <v>1633</v>
      </c>
      <c r="D1474" s="709" t="s">
        <v>168</v>
      </c>
      <c r="E1474" s="716">
        <v>182.97</v>
      </c>
      <c r="F1474" s="717">
        <v>0</v>
      </c>
      <c r="G1474">
        <f>VLOOKUP(B1474,'SINAPI-%MO'!B:E,4,0)</f>
        <v>0.16739999999999999</v>
      </c>
      <c r="H1474" s="225">
        <f t="shared" si="22"/>
        <v>152.34</v>
      </c>
    </row>
    <row r="1475" spans="1:8" x14ac:dyDescent="0.3">
      <c r="A1475" s="400"/>
      <c r="B1475" s="709">
        <v>90953</v>
      </c>
      <c r="C1475" s="710" t="s">
        <v>1634</v>
      </c>
      <c r="D1475" s="709" t="s">
        <v>168</v>
      </c>
      <c r="E1475" s="716">
        <v>206.9</v>
      </c>
      <c r="F1475" s="717">
        <v>0</v>
      </c>
      <c r="G1475">
        <f>VLOOKUP(B1475,'SINAPI-%MO'!B:E,4,0)</f>
        <v>0.17280000000000001</v>
      </c>
      <c r="H1475" s="225">
        <f t="shared" si="22"/>
        <v>171.14</v>
      </c>
    </row>
    <row r="1476" spans="1:8" x14ac:dyDescent="0.3">
      <c r="A1476" s="400"/>
      <c r="B1476" s="709">
        <v>90932</v>
      </c>
      <c r="C1476" s="710" t="s">
        <v>1635</v>
      </c>
      <c r="D1476" s="709" t="s">
        <v>168</v>
      </c>
      <c r="E1476" s="716">
        <v>99.89</v>
      </c>
      <c r="F1476" s="717">
        <v>0</v>
      </c>
      <c r="G1476">
        <f>VLOOKUP(B1476,'SINAPI-%MO'!B:E,4,0)</f>
        <v>0.38729999999999998</v>
      </c>
      <c r="H1476" s="225">
        <f t="shared" si="22"/>
        <v>61.2</v>
      </c>
    </row>
    <row r="1477" spans="1:8" x14ac:dyDescent="0.3">
      <c r="A1477" s="400"/>
      <c r="B1477" s="709">
        <v>90942</v>
      </c>
      <c r="C1477" s="710" t="s">
        <v>1636</v>
      </c>
      <c r="D1477" s="709" t="s">
        <v>168</v>
      </c>
      <c r="E1477" s="716">
        <v>106.72</v>
      </c>
      <c r="F1477" s="717">
        <v>0</v>
      </c>
      <c r="G1477">
        <f>VLOOKUP(B1477,'SINAPI-%MO'!B:E,4,0)</f>
        <v>0.39789999999999998</v>
      </c>
      <c r="H1477" s="225">
        <f t="shared" si="22"/>
        <v>64.25</v>
      </c>
    </row>
    <row r="1478" spans="1:8" x14ac:dyDescent="0.3">
      <c r="A1478" s="400"/>
      <c r="B1478" s="709">
        <v>90952</v>
      </c>
      <c r="C1478" s="710" t="s">
        <v>1637</v>
      </c>
      <c r="D1478" s="709" t="s">
        <v>168</v>
      </c>
      <c r="E1478" s="716">
        <v>119.23</v>
      </c>
      <c r="F1478" s="717">
        <v>0</v>
      </c>
      <c r="G1478">
        <f>VLOOKUP(B1478,'SINAPI-%MO'!B:E,4,0)</f>
        <v>0.41410000000000002</v>
      </c>
      <c r="H1478" s="225">
        <f t="shared" si="22"/>
        <v>69.849999999999994</v>
      </c>
    </row>
    <row r="1479" spans="1:8" x14ac:dyDescent="0.3">
      <c r="A1479" s="400"/>
      <c r="B1479" s="709">
        <v>90930</v>
      </c>
      <c r="C1479" s="710" t="s">
        <v>1638</v>
      </c>
      <c r="D1479" s="709" t="s">
        <v>168</v>
      </c>
      <c r="E1479" s="716">
        <v>91.47</v>
      </c>
      <c r="F1479" s="717">
        <v>0</v>
      </c>
      <c r="G1479">
        <f>VLOOKUP(B1479,'SINAPI-%MO'!B:E,4,0)</f>
        <v>0.3231</v>
      </c>
      <c r="H1479" s="225">
        <f t="shared" si="22"/>
        <v>61.91</v>
      </c>
    </row>
    <row r="1480" spans="1:8" x14ac:dyDescent="0.3">
      <c r="A1480" s="400"/>
      <c r="B1480" s="709">
        <v>90940</v>
      </c>
      <c r="C1480" s="710" t="s">
        <v>1639</v>
      </c>
      <c r="D1480" s="709" t="s">
        <v>168</v>
      </c>
      <c r="E1480" s="716">
        <v>97.56</v>
      </c>
      <c r="F1480" s="717">
        <v>0</v>
      </c>
      <c r="G1480">
        <f>VLOOKUP(B1480,'SINAPI-%MO'!B:E,4,0)</f>
        <v>0.3332</v>
      </c>
      <c r="H1480" s="225">
        <f t="shared" si="22"/>
        <v>65.05</v>
      </c>
    </row>
    <row r="1481" spans="1:8" x14ac:dyDescent="0.3">
      <c r="A1481" s="400"/>
      <c r="B1481" s="709">
        <v>90950</v>
      </c>
      <c r="C1481" s="710" t="s">
        <v>1640</v>
      </c>
      <c r="D1481" s="709" t="s">
        <v>168</v>
      </c>
      <c r="E1481" s="716">
        <v>108.7</v>
      </c>
      <c r="F1481" s="717">
        <v>0</v>
      </c>
      <c r="G1481">
        <f>VLOOKUP(B1481,'SINAPI-%MO'!B:E,4,0)</f>
        <v>0.34889999999999999</v>
      </c>
      <c r="H1481" s="225">
        <f t="shared" si="22"/>
        <v>70.77</v>
      </c>
    </row>
    <row r="1482" spans="1:8" x14ac:dyDescent="0.3">
      <c r="A1482" s="400"/>
      <c r="B1482" s="709">
        <v>88476</v>
      </c>
      <c r="C1482" s="710" t="s">
        <v>1641</v>
      </c>
      <c r="D1482" s="709" t="s">
        <v>168</v>
      </c>
      <c r="E1482" s="716">
        <v>27.09</v>
      </c>
      <c r="F1482" s="717">
        <v>0</v>
      </c>
      <c r="G1482">
        <f>VLOOKUP(B1482,'SINAPI-%MO'!B:E,4,0)</f>
        <v>8.5300000000000001E-2</v>
      </c>
      <c r="H1482" s="225">
        <f t="shared" si="22"/>
        <v>24.77</v>
      </c>
    </row>
    <row r="1483" spans="1:8" x14ac:dyDescent="0.3">
      <c r="A1483" s="400"/>
      <c r="B1483" s="709">
        <v>88477</v>
      </c>
      <c r="C1483" s="710" t="s">
        <v>1642</v>
      </c>
      <c r="D1483" s="709" t="s">
        <v>168</v>
      </c>
      <c r="E1483" s="716">
        <v>37.42</v>
      </c>
      <c r="F1483" s="717">
        <v>0</v>
      </c>
      <c r="G1483">
        <f>VLOOKUP(B1483,'SINAPI-%MO'!B:E,4,0)</f>
        <v>0.1176</v>
      </c>
      <c r="H1483" s="225">
        <f t="shared" ref="H1483:H1546" si="23">IF(E1483&gt;0,TRUNC(E1483*(1-G1483),2),"")</f>
        <v>33.01</v>
      </c>
    </row>
    <row r="1484" spans="1:8" x14ac:dyDescent="0.3">
      <c r="A1484" s="400"/>
      <c r="B1484" s="709">
        <v>88478</v>
      </c>
      <c r="C1484" s="710" t="s">
        <v>1643</v>
      </c>
      <c r="D1484" s="709" t="s">
        <v>168</v>
      </c>
      <c r="E1484" s="716">
        <v>45.97</v>
      </c>
      <c r="F1484" s="717">
        <v>0</v>
      </c>
      <c r="G1484">
        <f>VLOOKUP(B1484,'SINAPI-%MO'!B:E,4,0)</f>
        <v>0.13200000000000001</v>
      </c>
      <c r="H1484" s="225">
        <f t="shared" si="23"/>
        <v>39.9</v>
      </c>
    </row>
    <row r="1485" spans="1:8" x14ac:dyDescent="0.3">
      <c r="A1485" s="400"/>
      <c r="B1485" s="709">
        <v>88470</v>
      </c>
      <c r="C1485" s="710" t="s">
        <v>1644</v>
      </c>
      <c r="D1485" s="709" t="s">
        <v>168</v>
      </c>
      <c r="E1485" s="716">
        <v>33.21</v>
      </c>
      <c r="F1485" s="717">
        <v>0</v>
      </c>
      <c r="G1485">
        <f>VLOOKUP(B1485,'SINAPI-%MO'!B:E,4,0)</f>
        <v>0.11020000000000001</v>
      </c>
      <c r="H1485" s="225">
        <f t="shared" si="23"/>
        <v>29.55</v>
      </c>
    </row>
    <row r="1486" spans="1:8" x14ac:dyDescent="0.3">
      <c r="A1486" s="400"/>
      <c r="B1486" s="709">
        <v>88471</v>
      </c>
      <c r="C1486" s="710" t="s">
        <v>1645</v>
      </c>
      <c r="D1486" s="709" t="s">
        <v>168</v>
      </c>
      <c r="E1486" s="716">
        <v>41.49</v>
      </c>
      <c r="F1486" s="717">
        <v>0</v>
      </c>
      <c r="G1486">
        <f>VLOOKUP(B1486,'SINAPI-%MO'!B:E,4,0)</f>
        <v>0.122</v>
      </c>
      <c r="H1486" s="225">
        <f t="shared" si="23"/>
        <v>36.42</v>
      </c>
    </row>
    <row r="1487" spans="1:8" x14ac:dyDescent="0.3">
      <c r="A1487" s="400"/>
      <c r="B1487" s="709">
        <v>88472</v>
      </c>
      <c r="C1487" s="710" t="s">
        <v>1646</v>
      </c>
      <c r="D1487" s="709" t="s">
        <v>168</v>
      </c>
      <c r="E1487" s="716">
        <v>48.08</v>
      </c>
      <c r="F1487" s="717">
        <v>0</v>
      </c>
      <c r="G1487">
        <f>VLOOKUP(B1487,'SINAPI-%MO'!B:E,4,0)</f>
        <v>0.12790000000000001</v>
      </c>
      <c r="H1487" s="225">
        <f t="shared" si="23"/>
        <v>41.93</v>
      </c>
    </row>
    <row r="1488" spans="1:8" x14ac:dyDescent="0.3">
      <c r="A1488" s="400"/>
      <c r="B1488" s="709">
        <v>87759</v>
      </c>
      <c r="C1488" s="710" t="s">
        <v>1647</v>
      </c>
      <c r="D1488" s="709" t="s">
        <v>168</v>
      </c>
      <c r="E1488" s="716">
        <v>124.26</v>
      </c>
      <c r="F1488" s="717">
        <v>0</v>
      </c>
      <c r="G1488">
        <f>VLOOKUP(B1488,'SINAPI-%MO'!B:E,4,0)</f>
        <v>0.33119999999999999</v>
      </c>
      <c r="H1488" s="225">
        <f t="shared" si="23"/>
        <v>83.1</v>
      </c>
    </row>
    <row r="1489" spans="1:8" x14ac:dyDescent="0.3">
      <c r="A1489" s="400"/>
      <c r="B1489" s="709">
        <v>87769</v>
      </c>
      <c r="C1489" s="710" t="s">
        <v>1648</v>
      </c>
      <c r="D1489" s="709" t="s">
        <v>168</v>
      </c>
      <c r="E1489" s="716">
        <v>147.94</v>
      </c>
      <c r="F1489" s="717">
        <v>0</v>
      </c>
      <c r="G1489">
        <f>VLOOKUP(B1489,'SINAPI-%MO'!B:E,4,0)</f>
        <v>0.30990000000000001</v>
      </c>
      <c r="H1489" s="225">
        <f t="shared" si="23"/>
        <v>102.09</v>
      </c>
    </row>
    <row r="1490" spans="1:8" x14ac:dyDescent="0.3">
      <c r="A1490" s="400"/>
      <c r="B1490" s="709">
        <v>87739</v>
      </c>
      <c r="C1490" s="710" t="s">
        <v>1649</v>
      </c>
      <c r="D1490" s="709" t="s">
        <v>168</v>
      </c>
      <c r="E1490" s="716">
        <v>97.62</v>
      </c>
      <c r="F1490" s="717">
        <v>0</v>
      </c>
      <c r="G1490">
        <f>VLOOKUP(B1490,'SINAPI-%MO'!B:E,4,0)</f>
        <v>0.35089999999999999</v>
      </c>
      <c r="H1490" s="225">
        <f t="shared" si="23"/>
        <v>63.36</v>
      </c>
    </row>
    <row r="1491" spans="1:8" x14ac:dyDescent="0.3">
      <c r="A1491" s="400"/>
      <c r="B1491" s="709">
        <v>87749</v>
      </c>
      <c r="C1491" s="710" t="s">
        <v>1650</v>
      </c>
      <c r="D1491" s="709" t="s">
        <v>168</v>
      </c>
      <c r="E1491" s="716">
        <v>126.5</v>
      </c>
      <c r="F1491" s="717">
        <v>0</v>
      </c>
      <c r="G1491">
        <f>VLOOKUP(B1491,'SINAPI-%MO'!B:E,4,0)</f>
        <v>0.31559999999999999</v>
      </c>
      <c r="H1491" s="225">
        <f t="shared" si="23"/>
        <v>86.57</v>
      </c>
    </row>
    <row r="1492" spans="1:8" x14ac:dyDescent="0.3">
      <c r="A1492" s="400"/>
      <c r="B1492" s="709">
        <v>87624</v>
      </c>
      <c r="C1492" s="710" t="s">
        <v>1651</v>
      </c>
      <c r="D1492" s="709" t="s">
        <v>168</v>
      </c>
      <c r="E1492" s="716">
        <v>83.75</v>
      </c>
      <c r="F1492" s="717">
        <v>0</v>
      </c>
      <c r="G1492">
        <f>VLOOKUP(B1492,'SINAPI-%MO'!B:E,4,0)</f>
        <v>0.24329999999999999</v>
      </c>
      <c r="H1492" s="225">
        <f t="shared" si="23"/>
        <v>63.37</v>
      </c>
    </row>
    <row r="1493" spans="1:8" x14ac:dyDescent="0.3">
      <c r="A1493" s="400"/>
      <c r="B1493" s="709">
        <v>87634</v>
      </c>
      <c r="C1493" s="710" t="s">
        <v>1652</v>
      </c>
      <c r="D1493" s="709" t="s">
        <v>168</v>
      </c>
      <c r="E1493" s="716">
        <v>112.62</v>
      </c>
      <c r="F1493" s="717">
        <v>0</v>
      </c>
      <c r="G1493">
        <f>VLOOKUP(B1493,'SINAPI-%MO'!B:E,4,0)</f>
        <v>0.23119999999999999</v>
      </c>
      <c r="H1493" s="225">
        <f t="shared" si="23"/>
        <v>86.58</v>
      </c>
    </row>
    <row r="1494" spans="1:8" x14ac:dyDescent="0.3">
      <c r="A1494" s="400"/>
      <c r="B1494" s="709">
        <v>87644</v>
      </c>
      <c r="C1494" s="710" t="s">
        <v>1653</v>
      </c>
      <c r="D1494" s="709" t="s">
        <v>168</v>
      </c>
      <c r="E1494" s="716">
        <v>136.25</v>
      </c>
      <c r="F1494" s="717">
        <v>0</v>
      </c>
      <c r="G1494">
        <f>VLOOKUP(B1494,'SINAPI-%MO'!B:E,4,0)</f>
        <v>0.22520000000000001</v>
      </c>
      <c r="H1494" s="225">
        <f t="shared" si="23"/>
        <v>105.56</v>
      </c>
    </row>
    <row r="1495" spans="1:8" x14ac:dyDescent="0.3">
      <c r="A1495" s="400"/>
      <c r="B1495" s="709">
        <v>87684</v>
      </c>
      <c r="C1495" s="710" t="s">
        <v>1654</v>
      </c>
      <c r="D1495" s="709" t="s">
        <v>168</v>
      </c>
      <c r="E1495" s="716">
        <v>131.28</v>
      </c>
      <c r="F1495" s="717">
        <v>0</v>
      </c>
      <c r="G1495">
        <f>VLOOKUP(B1495,'SINAPI-%MO'!B:E,4,0)</f>
        <v>0.22589999999999999</v>
      </c>
      <c r="H1495" s="225">
        <f t="shared" si="23"/>
        <v>101.62</v>
      </c>
    </row>
    <row r="1496" spans="1:8" x14ac:dyDescent="0.3">
      <c r="A1496" s="400"/>
      <c r="B1496" s="709">
        <v>87694</v>
      </c>
      <c r="C1496" s="710" t="s">
        <v>1655</v>
      </c>
      <c r="D1496" s="709" t="s">
        <v>168</v>
      </c>
      <c r="E1496" s="716">
        <v>150.38</v>
      </c>
      <c r="F1496" s="717">
        <v>0</v>
      </c>
      <c r="G1496">
        <f>VLOOKUP(B1496,'SINAPI-%MO'!B:E,4,0)</f>
        <v>0.2261</v>
      </c>
      <c r="H1496" s="225">
        <f t="shared" si="23"/>
        <v>116.37</v>
      </c>
    </row>
    <row r="1497" spans="1:8" x14ac:dyDescent="0.3">
      <c r="A1497" s="400"/>
      <c r="B1497" s="709">
        <v>87704</v>
      </c>
      <c r="C1497" s="710" t="s">
        <v>1656</v>
      </c>
      <c r="D1497" s="709" t="s">
        <v>168</v>
      </c>
      <c r="E1497" s="716">
        <v>163.26</v>
      </c>
      <c r="F1497" s="717">
        <v>0</v>
      </c>
      <c r="G1497">
        <f>VLOOKUP(B1497,'SINAPI-%MO'!B:E,4,0)</f>
        <v>0.2238</v>
      </c>
      <c r="H1497" s="225">
        <f t="shared" si="23"/>
        <v>126.72</v>
      </c>
    </row>
    <row r="1498" spans="1:8" x14ac:dyDescent="0.3">
      <c r="A1498" s="400"/>
      <c r="B1498" s="709">
        <v>87758</v>
      </c>
      <c r="C1498" s="710" t="s">
        <v>1657</v>
      </c>
      <c r="D1498" s="709" t="s">
        <v>168</v>
      </c>
      <c r="E1498" s="716">
        <v>113.8</v>
      </c>
      <c r="F1498" s="717">
        <v>0</v>
      </c>
      <c r="G1498">
        <f>VLOOKUP(B1498,'SINAPI-%MO'!B:E,4,0)</f>
        <v>0.27650000000000002</v>
      </c>
      <c r="H1498" s="225">
        <f t="shared" si="23"/>
        <v>82.33</v>
      </c>
    </row>
    <row r="1499" spans="1:8" x14ac:dyDescent="0.3">
      <c r="A1499" s="400"/>
      <c r="B1499" s="709">
        <v>87768</v>
      </c>
      <c r="C1499" s="710" t="s">
        <v>1658</v>
      </c>
      <c r="D1499" s="709" t="s">
        <v>168</v>
      </c>
      <c r="E1499" s="716">
        <v>135.08000000000001</v>
      </c>
      <c r="F1499" s="717">
        <v>0</v>
      </c>
      <c r="G1499">
        <f>VLOOKUP(B1499,'SINAPI-%MO'!B:E,4,0)</f>
        <v>0.25130000000000002</v>
      </c>
      <c r="H1499" s="225">
        <f t="shared" si="23"/>
        <v>101.13</v>
      </c>
    </row>
    <row r="1500" spans="1:8" x14ac:dyDescent="0.3">
      <c r="A1500" s="400"/>
      <c r="B1500" s="709">
        <v>87738</v>
      </c>
      <c r="C1500" s="710" t="s">
        <v>1659</v>
      </c>
      <c r="D1500" s="709" t="s">
        <v>168</v>
      </c>
      <c r="E1500" s="716">
        <v>90.1</v>
      </c>
      <c r="F1500" s="717">
        <v>0</v>
      </c>
      <c r="G1500">
        <f>VLOOKUP(B1500,'SINAPI-%MO'!B:E,4,0)</f>
        <v>0.30280000000000001</v>
      </c>
      <c r="H1500" s="225">
        <f t="shared" si="23"/>
        <v>62.81</v>
      </c>
    </row>
    <row r="1501" spans="1:8" x14ac:dyDescent="0.3">
      <c r="A1501" s="400"/>
      <c r="B1501" s="709">
        <v>87748</v>
      </c>
      <c r="C1501" s="710" t="s">
        <v>1660</v>
      </c>
      <c r="D1501" s="709" t="s">
        <v>168</v>
      </c>
      <c r="E1501" s="716">
        <v>116.04</v>
      </c>
      <c r="F1501" s="717">
        <v>0</v>
      </c>
      <c r="G1501">
        <f>VLOOKUP(B1501,'SINAPI-%MO'!B:E,4,0)</f>
        <v>0.2606</v>
      </c>
      <c r="H1501" s="225">
        <f t="shared" si="23"/>
        <v>85.79</v>
      </c>
    </row>
    <row r="1502" spans="1:8" x14ac:dyDescent="0.3">
      <c r="A1502" s="400"/>
      <c r="B1502" s="709">
        <v>87623</v>
      </c>
      <c r="C1502" s="710" t="s">
        <v>1661</v>
      </c>
      <c r="D1502" s="709" t="s">
        <v>168</v>
      </c>
      <c r="E1502" s="716">
        <v>76.23</v>
      </c>
      <c r="F1502" s="717">
        <v>0</v>
      </c>
      <c r="G1502">
        <f>VLOOKUP(B1502,'SINAPI-%MO'!B:E,4,0)</f>
        <v>0.1759</v>
      </c>
      <c r="H1502" s="225">
        <f t="shared" si="23"/>
        <v>62.82</v>
      </c>
    </row>
    <row r="1503" spans="1:8" x14ac:dyDescent="0.3">
      <c r="A1503" s="400"/>
      <c r="B1503" s="709">
        <v>87633</v>
      </c>
      <c r="C1503" s="710" t="s">
        <v>1662</v>
      </c>
      <c r="D1503" s="709" t="s">
        <v>168</v>
      </c>
      <c r="E1503" s="716">
        <v>102.16</v>
      </c>
      <c r="F1503" s="717">
        <v>0</v>
      </c>
      <c r="G1503">
        <f>VLOOKUP(B1503,'SINAPI-%MO'!B:E,4,0)</f>
        <v>0.16009999999999999</v>
      </c>
      <c r="H1503" s="225">
        <f t="shared" si="23"/>
        <v>85.8</v>
      </c>
    </row>
    <row r="1504" spans="1:8" x14ac:dyDescent="0.3">
      <c r="A1504" s="400"/>
      <c r="B1504" s="709">
        <v>87643</v>
      </c>
      <c r="C1504" s="710" t="s">
        <v>1663</v>
      </c>
      <c r="D1504" s="709" t="s">
        <v>168</v>
      </c>
      <c r="E1504" s="716">
        <v>123.39</v>
      </c>
      <c r="F1504" s="717">
        <v>0</v>
      </c>
      <c r="G1504">
        <f>VLOOKUP(B1504,'SINAPI-%MO'!B:E,4,0)</f>
        <v>0.15229999999999999</v>
      </c>
      <c r="H1504" s="225">
        <f t="shared" si="23"/>
        <v>104.59</v>
      </c>
    </row>
    <row r="1505" spans="1:8" x14ac:dyDescent="0.3">
      <c r="A1505" s="400"/>
      <c r="B1505" s="709">
        <v>87683</v>
      </c>
      <c r="C1505" s="710" t="s">
        <v>1664</v>
      </c>
      <c r="D1505" s="709" t="s">
        <v>168</v>
      </c>
      <c r="E1505" s="716">
        <v>118.42</v>
      </c>
      <c r="F1505" s="717">
        <v>0</v>
      </c>
      <c r="G1505">
        <f>VLOOKUP(B1505,'SINAPI-%MO'!B:E,4,0)</f>
        <v>0.15</v>
      </c>
      <c r="H1505" s="225">
        <f t="shared" si="23"/>
        <v>100.65</v>
      </c>
    </row>
    <row r="1506" spans="1:8" x14ac:dyDescent="0.3">
      <c r="A1506" s="400"/>
      <c r="B1506" s="709">
        <v>87703</v>
      </c>
      <c r="C1506" s="710" t="s">
        <v>1665</v>
      </c>
      <c r="D1506" s="709" t="s">
        <v>168</v>
      </c>
      <c r="E1506" s="716">
        <v>147.22</v>
      </c>
      <c r="F1506" s="717">
        <v>0</v>
      </c>
      <c r="G1506">
        <f>VLOOKUP(B1506,'SINAPI-%MO'!B:E,4,0)</f>
        <v>0.14729999999999999</v>
      </c>
      <c r="H1506" s="225">
        <f t="shared" si="23"/>
        <v>125.53</v>
      </c>
    </row>
    <row r="1507" spans="1:8" x14ac:dyDescent="0.3">
      <c r="A1507" s="400"/>
      <c r="B1507" s="709">
        <v>87693</v>
      </c>
      <c r="C1507" s="710" t="s">
        <v>1666</v>
      </c>
      <c r="D1507" s="709" t="s">
        <v>168</v>
      </c>
      <c r="E1507" s="716">
        <v>135.65</v>
      </c>
      <c r="F1507" s="717">
        <v>0</v>
      </c>
      <c r="G1507">
        <f>VLOOKUP(B1507,'SINAPI-%MO'!B:E,4,0)</f>
        <v>0.1502</v>
      </c>
      <c r="H1507" s="225">
        <f t="shared" si="23"/>
        <v>115.27</v>
      </c>
    </row>
    <row r="1508" spans="1:8" x14ac:dyDescent="0.3">
      <c r="A1508" s="400"/>
      <c r="B1508" s="709">
        <v>87757</v>
      </c>
      <c r="C1508" s="710" t="s">
        <v>1667</v>
      </c>
      <c r="D1508" s="709" t="s">
        <v>168</v>
      </c>
      <c r="E1508" s="716">
        <v>64.08</v>
      </c>
      <c r="F1508" s="717">
        <v>0</v>
      </c>
      <c r="G1508">
        <f>VLOOKUP(B1508,'SINAPI-%MO'!B:E,4,0)</f>
        <v>0.61160000000000003</v>
      </c>
      <c r="H1508" s="225">
        <f t="shared" si="23"/>
        <v>24.88</v>
      </c>
    </row>
    <row r="1509" spans="1:8" x14ac:dyDescent="0.3">
      <c r="A1509" s="400"/>
      <c r="B1509" s="709">
        <v>87767</v>
      </c>
      <c r="C1509" s="710" t="s">
        <v>1668</v>
      </c>
      <c r="D1509" s="709" t="s">
        <v>168</v>
      </c>
      <c r="E1509" s="716">
        <v>73.94</v>
      </c>
      <c r="F1509" s="717">
        <v>0</v>
      </c>
      <c r="G1509">
        <f>VLOOKUP(B1509,'SINAPI-%MO'!B:E,4,0)</f>
        <v>0.58750000000000002</v>
      </c>
      <c r="H1509" s="225">
        <f t="shared" si="23"/>
        <v>30.5</v>
      </c>
    </row>
    <row r="1510" spans="1:8" x14ac:dyDescent="0.3">
      <c r="A1510" s="400"/>
      <c r="B1510" s="709">
        <v>87737</v>
      </c>
      <c r="C1510" s="710" t="s">
        <v>1669</v>
      </c>
      <c r="D1510" s="709" t="s">
        <v>168</v>
      </c>
      <c r="E1510" s="716">
        <v>54.34</v>
      </c>
      <c r="F1510" s="717">
        <v>0</v>
      </c>
      <c r="G1510">
        <f>VLOOKUP(B1510,'SINAPI-%MO'!B:E,4,0)</f>
        <v>0.60429999999999995</v>
      </c>
      <c r="H1510" s="225">
        <f t="shared" si="23"/>
        <v>21.5</v>
      </c>
    </row>
    <row r="1511" spans="1:8" x14ac:dyDescent="0.3">
      <c r="A1511" s="400"/>
      <c r="B1511" s="709">
        <v>87747</v>
      </c>
      <c r="C1511" s="710" t="s">
        <v>1670</v>
      </c>
      <c r="D1511" s="709" t="s">
        <v>168</v>
      </c>
      <c r="E1511" s="716">
        <v>66.319999999999993</v>
      </c>
      <c r="F1511" s="717">
        <v>0</v>
      </c>
      <c r="G1511">
        <f>VLOOKUP(B1511,'SINAPI-%MO'!B:E,4,0)</f>
        <v>0.57240000000000002</v>
      </c>
      <c r="H1511" s="225">
        <f t="shared" si="23"/>
        <v>28.35</v>
      </c>
    </row>
    <row r="1512" spans="1:8" x14ac:dyDescent="0.3">
      <c r="A1512" s="400"/>
      <c r="B1512" s="709">
        <v>87622</v>
      </c>
      <c r="C1512" s="710" t="s">
        <v>1671</v>
      </c>
      <c r="D1512" s="709" t="s">
        <v>168</v>
      </c>
      <c r="E1512" s="716">
        <v>40.47</v>
      </c>
      <c r="F1512" s="717">
        <v>0</v>
      </c>
      <c r="G1512">
        <f>VLOOKUP(B1512,'SINAPI-%MO'!B:E,4,0)</f>
        <v>0.46870000000000001</v>
      </c>
      <c r="H1512" s="225">
        <f t="shared" si="23"/>
        <v>21.5</v>
      </c>
    </row>
    <row r="1513" spans="1:8" x14ac:dyDescent="0.3">
      <c r="A1513" s="400"/>
      <c r="B1513" s="709">
        <v>87632</v>
      </c>
      <c r="C1513" s="710" t="s">
        <v>1672</v>
      </c>
      <c r="D1513" s="709" t="s">
        <v>168</v>
      </c>
      <c r="E1513" s="716">
        <v>52.44</v>
      </c>
      <c r="F1513" s="717">
        <v>0</v>
      </c>
      <c r="G1513">
        <f>VLOOKUP(B1513,'SINAPI-%MO'!B:E,4,0)</f>
        <v>0.4592</v>
      </c>
      <c r="H1513" s="225">
        <f t="shared" si="23"/>
        <v>28.35</v>
      </c>
    </row>
    <row r="1514" spans="1:8" x14ac:dyDescent="0.3">
      <c r="A1514" s="400"/>
      <c r="B1514" s="709">
        <v>87642</v>
      </c>
      <c r="C1514" s="710" t="s">
        <v>1673</v>
      </c>
      <c r="D1514" s="709" t="s">
        <v>168</v>
      </c>
      <c r="E1514" s="716">
        <v>62.25</v>
      </c>
      <c r="F1514" s="717">
        <v>0</v>
      </c>
      <c r="G1514">
        <f>VLOOKUP(B1514,'SINAPI-%MO'!B:E,4,0)</f>
        <v>0.45429999999999998</v>
      </c>
      <c r="H1514" s="225">
        <f t="shared" si="23"/>
        <v>33.96</v>
      </c>
    </row>
    <row r="1515" spans="1:8" x14ac:dyDescent="0.3">
      <c r="A1515" s="400"/>
      <c r="B1515" s="709">
        <v>87682</v>
      </c>
      <c r="C1515" s="710" t="s">
        <v>1674</v>
      </c>
      <c r="D1515" s="709" t="s">
        <v>168</v>
      </c>
      <c r="E1515" s="716">
        <v>57.28</v>
      </c>
      <c r="F1515" s="717">
        <v>0</v>
      </c>
      <c r="G1515">
        <f>VLOOKUP(B1515,'SINAPI-%MO'!B:E,4,0)</f>
        <v>0.47570000000000001</v>
      </c>
      <c r="H1515" s="225">
        <f t="shared" si="23"/>
        <v>30.03</v>
      </c>
    </row>
    <row r="1516" spans="1:8" x14ac:dyDescent="0.3">
      <c r="A1516" s="400"/>
      <c r="B1516" s="709">
        <v>87692</v>
      </c>
      <c r="C1516" s="710" t="s">
        <v>1675</v>
      </c>
      <c r="D1516" s="709" t="s">
        <v>168</v>
      </c>
      <c r="E1516" s="716">
        <v>65.63</v>
      </c>
      <c r="F1516" s="717">
        <v>0</v>
      </c>
      <c r="G1516">
        <f>VLOOKUP(B1516,'SINAPI-%MO'!B:E,4,0)</f>
        <v>0.47599999999999998</v>
      </c>
      <c r="H1516" s="225">
        <f t="shared" si="23"/>
        <v>34.39</v>
      </c>
    </row>
    <row r="1517" spans="1:8" x14ac:dyDescent="0.3">
      <c r="A1517" s="400"/>
      <c r="B1517" s="709">
        <v>87702</v>
      </c>
      <c r="C1517" s="710" t="s">
        <v>1676</v>
      </c>
      <c r="D1517" s="709" t="s">
        <v>168</v>
      </c>
      <c r="E1517" s="716">
        <v>70.97</v>
      </c>
      <c r="F1517" s="717">
        <v>0</v>
      </c>
      <c r="G1517">
        <f>VLOOKUP(B1517,'SINAPI-%MO'!B:E,4,0)</f>
        <v>0.4723</v>
      </c>
      <c r="H1517" s="225">
        <f t="shared" si="23"/>
        <v>37.450000000000003</v>
      </c>
    </row>
    <row r="1518" spans="1:8" x14ac:dyDescent="0.3">
      <c r="A1518" s="400"/>
      <c r="B1518" s="709">
        <v>87755</v>
      </c>
      <c r="C1518" s="710" t="s">
        <v>1677</v>
      </c>
      <c r="D1518" s="709" t="s">
        <v>168</v>
      </c>
      <c r="E1518" s="716">
        <v>58.1</v>
      </c>
      <c r="F1518" s="717">
        <v>0</v>
      </c>
      <c r="G1518">
        <f>VLOOKUP(B1518,'SINAPI-%MO'!B:E,4,0)</f>
        <v>0.56279999999999997</v>
      </c>
      <c r="H1518" s="225">
        <f t="shared" si="23"/>
        <v>25.4</v>
      </c>
    </row>
    <row r="1519" spans="1:8" x14ac:dyDescent="0.3">
      <c r="A1519" s="400"/>
      <c r="B1519" s="709">
        <v>87765</v>
      </c>
      <c r="C1519" s="710" t="s">
        <v>1678</v>
      </c>
      <c r="D1519" s="709" t="s">
        <v>168</v>
      </c>
      <c r="E1519" s="716">
        <v>66.59</v>
      </c>
      <c r="F1519" s="717">
        <v>0</v>
      </c>
      <c r="G1519">
        <f>VLOOKUP(B1519,'SINAPI-%MO'!B:E,4,0)</f>
        <v>0.53249999999999997</v>
      </c>
      <c r="H1519" s="225">
        <f t="shared" si="23"/>
        <v>31.13</v>
      </c>
    </row>
    <row r="1520" spans="1:8" x14ac:dyDescent="0.3">
      <c r="A1520" s="400"/>
      <c r="B1520" s="709">
        <v>87735</v>
      </c>
      <c r="C1520" s="710" t="s">
        <v>1679</v>
      </c>
      <c r="D1520" s="709" t="s">
        <v>168</v>
      </c>
      <c r="E1520" s="716">
        <v>50.04</v>
      </c>
      <c r="F1520" s="717">
        <v>0</v>
      </c>
      <c r="G1520">
        <f>VLOOKUP(B1520,'SINAPI-%MO'!B:E,4,0)</f>
        <v>0.56289999999999996</v>
      </c>
      <c r="H1520" s="225">
        <f t="shared" si="23"/>
        <v>21.87</v>
      </c>
    </row>
    <row r="1521" spans="1:8" x14ac:dyDescent="0.3">
      <c r="A1521" s="400"/>
      <c r="B1521" s="709">
        <v>87745</v>
      </c>
      <c r="C1521" s="710" t="s">
        <v>1680</v>
      </c>
      <c r="D1521" s="709" t="s">
        <v>168</v>
      </c>
      <c r="E1521" s="716">
        <v>60.34</v>
      </c>
      <c r="F1521" s="717">
        <v>0</v>
      </c>
      <c r="G1521">
        <f>VLOOKUP(B1521,'SINAPI-%MO'!B:E,4,0)</f>
        <v>0.52149999999999996</v>
      </c>
      <c r="H1521" s="225">
        <f t="shared" si="23"/>
        <v>28.87</v>
      </c>
    </row>
    <row r="1522" spans="1:8" x14ac:dyDescent="0.3">
      <c r="A1522" s="400"/>
      <c r="B1522" s="709">
        <v>87620</v>
      </c>
      <c r="C1522" s="710" t="s">
        <v>1681</v>
      </c>
      <c r="D1522" s="709" t="s">
        <v>168</v>
      </c>
      <c r="E1522" s="716">
        <v>36.17</v>
      </c>
      <c r="F1522" s="717">
        <v>0</v>
      </c>
      <c r="G1522">
        <f>VLOOKUP(B1522,'SINAPI-%MO'!B:E,4,0)</f>
        <v>0.39539999999999997</v>
      </c>
      <c r="H1522" s="225">
        <f t="shared" si="23"/>
        <v>21.86</v>
      </c>
    </row>
    <row r="1523" spans="1:8" x14ac:dyDescent="0.3">
      <c r="A1523" s="400"/>
      <c r="B1523" s="709">
        <v>87630</v>
      </c>
      <c r="C1523" s="710" t="s">
        <v>1682</v>
      </c>
      <c r="D1523" s="709" t="s">
        <v>168</v>
      </c>
      <c r="E1523" s="716">
        <v>46.46</v>
      </c>
      <c r="F1523" s="717">
        <v>0</v>
      </c>
      <c r="G1523">
        <f>VLOOKUP(B1523,'SINAPI-%MO'!B:E,4,0)</f>
        <v>0.37859999999999999</v>
      </c>
      <c r="H1523" s="225">
        <f t="shared" si="23"/>
        <v>28.87</v>
      </c>
    </row>
    <row r="1524" spans="1:8" x14ac:dyDescent="0.3">
      <c r="A1524" s="400"/>
      <c r="B1524" s="709">
        <v>87640</v>
      </c>
      <c r="C1524" s="710" t="s">
        <v>1683</v>
      </c>
      <c r="D1524" s="709" t="s">
        <v>168</v>
      </c>
      <c r="E1524" s="716">
        <v>54.9</v>
      </c>
      <c r="F1524" s="717">
        <v>0</v>
      </c>
      <c r="G1524">
        <f>VLOOKUP(B1524,'SINAPI-%MO'!B:E,4,0)</f>
        <v>0.36980000000000002</v>
      </c>
      <c r="H1524" s="225">
        <f t="shared" si="23"/>
        <v>34.590000000000003</v>
      </c>
    </row>
    <row r="1525" spans="1:8" x14ac:dyDescent="0.3">
      <c r="A1525" s="400"/>
      <c r="B1525" s="709">
        <v>87680</v>
      </c>
      <c r="C1525" s="710" t="s">
        <v>1684</v>
      </c>
      <c r="D1525" s="709" t="s">
        <v>168</v>
      </c>
      <c r="E1525" s="716">
        <v>49.93</v>
      </c>
      <c r="F1525" s="717">
        <v>0</v>
      </c>
      <c r="G1525">
        <f>VLOOKUP(B1525,'SINAPI-%MO'!B:E,4,0)</f>
        <v>0.38590000000000002</v>
      </c>
      <c r="H1525" s="225">
        <f t="shared" si="23"/>
        <v>30.66</v>
      </c>
    </row>
    <row r="1526" spans="1:8" x14ac:dyDescent="0.3">
      <c r="A1526" s="400"/>
      <c r="B1526" s="709">
        <v>87690</v>
      </c>
      <c r="C1526" s="710" t="s">
        <v>1685</v>
      </c>
      <c r="D1526" s="709" t="s">
        <v>168</v>
      </c>
      <c r="E1526" s="716">
        <v>57.21</v>
      </c>
      <c r="F1526" s="717">
        <v>0</v>
      </c>
      <c r="G1526">
        <f>VLOOKUP(B1526,'SINAPI-%MO'!B:E,4,0)</f>
        <v>0.38629999999999998</v>
      </c>
      <c r="H1526" s="225">
        <f t="shared" si="23"/>
        <v>35.1</v>
      </c>
    </row>
    <row r="1527" spans="1:8" x14ac:dyDescent="0.3">
      <c r="A1527" s="400"/>
      <c r="B1527" s="709">
        <v>87700</v>
      </c>
      <c r="C1527" s="710" t="s">
        <v>1686</v>
      </c>
      <c r="D1527" s="709" t="s">
        <v>168</v>
      </c>
      <c r="E1527" s="716">
        <v>61.81</v>
      </c>
      <c r="F1527" s="717">
        <v>0</v>
      </c>
      <c r="G1527">
        <f>VLOOKUP(B1527,'SINAPI-%MO'!B:E,4,0)</f>
        <v>0.38129999999999997</v>
      </c>
      <c r="H1527" s="225">
        <f t="shared" si="23"/>
        <v>38.24</v>
      </c>
    </row>
    <row r="1528" spans="1:8" x14ac:dyDescent="0.3">
      <c r="A1528" s="400"/>
      <c r="B1528" s="709">
        <v>102803</v>
      </c>
      <c r="C1528" s="710" t="s">
        <v>1687</v>
      </c>
      <c r="D1528" s="709" t="s">
        <v>168</v>
      </c>
      <c r="E1528" s="716">
        <v>2.75</v>
      </c>
      <c r="F1528" s="717">
        <v>0</v>
      </c>
      <c r="G1528">
        <f>VLOOKUP(B1528,'SINAPI-%MO'!B:E,4,0)</f>
        <v>0.82909999999999995</v>
      </c>
      <c r="H1528" s="225">
        <f t="shared" si="23"/>
        <v>0.46</v>
      </c>
    </row>
    <row r="1529" spans="1:8" x14ac:dyDescent="0.3">
      <c r="A1529" s="400"/>
      <c r="B1529" s="709">
        <v>92717</v>
      </c>
      <c r="C1529" s="710" t="s">
        <v>1688</v>
      </c>
      <c r="D1529" s="709" t="s">
        <v>1689</v>
      </c>
      <c r="E1529" s="716">
        <v>0.33</v>
      </c>
      <c r="F1529" s="717">
        <v>0</v>
      </c>
      <c r="G1529">
        <f>VLOOKUP(B1529,'SINAPI-%MO'!B:E,4,0)</f>
        <v>0</v>
      </c>
      <c r="H1529" s="225">
        <f t="shared" si="23"/>
        <v>0.33</v>
      </c>
    </row>
    <row r="1530" spans="1:8" x14ac:dyDescent="0.3">
      <c r="A1530" s="400"/>
      <c r="B1530" s="709">
        <v>92716</v>
      </c>
      <c r="C1530" s="710" t="s">
        <v>1690</v>
      </c>
      <c r="D1530" s="709" t="s">
        <v>230</v>
      </c>
      <c r="E1530" s="716">
        <v>127.41</v>
      </c>
      <c r="F1530" s="717">
        <v>0</v>
      </c>
      <c r="G1530">
        <f>VLOOKUP(B1530,'SINAPI-%MO'!B:E,4,0)</f>
        <v>0</v>
      </c>
      <c r="H1530" s="225">
        <f t="shared" si="23"/>
        <v>127.41</v>
      </c>
    </row>
    <row r="1531" spans="1:8" x14ac:dyDescent="0.3">
      <c r="A1531" s="400"/>
      <c r="B1531" s="709">
        <v>103668</v>
      </c>
      <c r="C1531" s="710" t="s">
        <v>1691</v>
      </c>
      <c r="D1531" s="709" t="s">
        <v>1689</v>
      </c>
      <c r="E1531" s="716">
        <v>0</v>
      </c>
      <c r="F1531" s="717"/>
      <c r="G1531" t="e">
        <f>VLOOKUP(B1531,'SINAPI-%MO'!B:E,4,0)</f>
        <v>#N/A</v>
      </c>
      <c r="H1531" s="225" t="str">
        <f t="shared" si="23"/>
        <v/>
      </c>
    </row>
    <row r="1532" spans="1:8" x14ac:dyDescent="0.3">
      <c r="A1532" s="400"/>
      <c r="B1532" s="709">
        <v>103667</v>
      </c>
      <c r="C1532" s="710" t="s">
        <v>1692</v>
      </c>
      <c r="D1532" s="709" t="s">
        <v>230</v>
      </c>
      <c r="E1532" s="716">
        <v>0</v>
      </c>
      <c r="F1532" s="717"/>
      <c r="G1532" t="e">
        <f>VLOOKUP(B1532,'SINAPI-%MO'!B:E,4,0)</f>
        <v>#N/A</v>
      </c>
      <c r="H1532" s="225" t="str">
        <f t="shared" si="23"/>
        <v/>
      </c>
    </row>
    <row r="1533" spans="1:8" x14ac:dyDescent="0.3">
      <c r="A1533" s="400"/>
      <c r="B1533" s="709">
        <v>89218</v>
      </c>
      <c r="C1533" s="710" t="s">
        <v>1693</v>
      </c>
      <c r="D1533" s="709" t="s">
        <v>1689</v>
      </c>
      <c r="E1533" s="716">
        <v>107.87</v>
      </c>
      <c r="F1533" s="717">
        <v>0</v>
      </c>
      <c r="G1533">
        <f>VLOOKUP(B1533,'SINAPI-%MO'!B:E,4,0)</f>
        <v>0.64600000000000002</v>
      </c>
      <c r="H1533" s="225">
        <f t="shared" si="23"/>
        <v>38.18</v>
      </c>
    </row>
    <row r="1534" spans="1:8" x14ac:dyDescent="0.3">
      <c r="A1534" s="400"/>
      <c r="B1534" s="709">
        <v>89843</v>
      </c>
      <c r="C1534" s="710" t="s">
        <v>1694</v>
      </c>
      <c r="D1534" s="709" t="s">
        <v>230</v>
      </c>
      <c r="E1534" s="716">
        <v>235.37</v>
      </c>
      <c r="F1534" s="717">
        <v>0</v>
      </c>
      <c r="G1534">
        <f>VLOOKUP(B1534,'SINAPI-%MO'!B:E,4,0)</f>
        <v>0.29599999999999999</v>
      </c>
      <c r="H1534" s="225">
        <f t="shared" si="23"/>
        <v>165.7</v>
      </c>
    </row>
    <row r="1535" spans="1:8" x14ac:dyDescent="0.3">
      <c r="A1535" s="400"/>
      <c r="B1535" s="709">
        <v>87446</v>
      </c>
      <c r="C1535" s="710" t="s">
        <v>1695</v>
      </c>
      <c r="D1535" s="709" t="s">
        <v>1689</v>
      </c>
      <c r="E1535" s="716">
        <v>0.51</v>
      </c>
      <c r="F1535" s="717">
        <v>0</v>
      </c>
      <c r="G1535">
        <f>VLOOKUP(B1535,'SINAPI-%MO'!B:E,4,0)</f>
        <v>0</v>
      </c>
      <c r="H1535" s="225">
        <f t="shared" si="23"/>
        <v>0.51</v>
      </c>
    </row>
    <row r="1536" spans="1:8" x14ac:dyDescent="0.3">
      <c r="A1536" s="400"/>
      <c r="B1536" s="709">
        <v>87445</v>
      </c>
      <c r="C1536" s="710" t="s">
        <v>1696</v>
      </c>
      <c r="D1536" s="709" t="s">
        <v>230</v>
      </c>
      <c r="E1536" s="716">
        <v>5.55</v>
      </c>
      <c r="F1536" s="717">
        <v>0</v>
      </c>
      <c r="G1536">
        <f>VLOOKUP(B1536,'SINAPI-%MO'!B:E,4,0)</f>
        <v>0</v>
      </c>
      <c r="H1536" s="225">
        <f t="shared" si="23"/>
        <v>5.55</v>
      </c>
    </row>
    <row r="1537" spans="1:8" x14ac:dyDescent="0.3">
      <c r="A1537" s="400"/>
      <c r="B1537" s="709">
        <v>93234</v>
      </c>
      <c r="C1537" s="710" t="s">
        <v>1697</v>
      </c>
      <c r="D1537" s="709" t="s">
        <v>1689</v>
      </c>
      <c r="E1537" s="716">
        <v>0.48</v>
      </c>
      <c r="F1537" s="717">
        <v>0</v>
      </c>
      <c r="G1537">
        <f>VLOOKUP(B1537,'SINAPI-%MO'!B:E,4,0)</f>
        <v>0</v>
      </c>
      <c r="H1537" s="225">
        <f t="shared" si="23"/>
        <v>0.48</v>
      </c>
    </row>
    <row r="1538" spans="1:8" x14ac:dyDescent="0.3">
      <c r="A1538" s="400"/>
      <c r="B1538" s="709">
        <v>93233</v>
      </c>
      <c r="C1538" s="710" t="s">
        <v>1698</v>
      </c>
      <c r="D1538" s="709" t="s">
        <v>230</v>
      </c>
      <c r="E1538" s="716">
        <v>5.75</v>
      </c>
      <c r="F1538" s="717">
        <v>0</v>
      </c>
      <c r="G1538">
        <f>VLOOKUP(B1538,'SINAPI-%MO'!B:E,4,0)</f>
        <v>0</v>
      </c>
      <c r="H1538" s="225">
        <f t="shared" si="23"/>
        <v>5.75</v>
      </c>
    </row>
    <row r="1539" spans="1:8" x14ac:dyDescent="0.3">
      <c r="A1539" s="400"/>
      <c r="B1539" s="709">
        <v>102953</v>
      </c>
      <c r="C1539" s="710" t="s">
        <v>1699</v>
      </c>
      <c r="D1539" s="709" t="s">
        <v>1689</v>
      </c>
      <c r="E1539" s="716">
        <v>0</v>
      </c>
      <c r="F1539" s="717"/>
      <c r="G1539" t="e">
        <f>VLOOKUP(B1539,'SINAPI-%MO'!B:E,4,0)</f>
        <v>#N/A</v>
      </c>
      <c r="H1539" s="225" t="str">
        <f t="shared" si="23"/>
        <v/>
      </c>
    </row>
    <row r="1540" spans="1:8" x14ac:dyDescent="0.3">
      <c r="A1540" s="400"/>
      <c r="B1540" s="709">
        <v>102952</v>
      </c>
      <c r="C1540" s="710" t="s">
        <v>1700</v>
      </c>
      <c r="D1540" s="709" t="s">
        <v>230</v>
      </c>
      <c r="E1540" s="716">
        <v>0</v>
      </c>
      <c r="F1540" s="717"/>
      <c r="G1540" t="e">
        <f>VLOOKUP(B1540,'SINAPI-%MO'!B:E,4,0)</f>
        <v>#N/A</v>
      </c>
      <c r="H1540" s="225" t="str">
        <f t="shared" si="23"/>
        <v/>
      </c>
    </row>
    <row r="1541" spans="1:8" x14ac:dyDescent="0.3">
      <c r="A1541" s="400"/>
      <c r="B1541" s="709">
        <v>88831</v>
      </c>
      <c r="C1541" s="710" t="s">
        <v>1701</v>
      </c>
      <c r="D1541" s="709" t="s">
        <v>1689</v>
      </c>
      <c r="E1541" s="716">
        <v>0.38</v>
      </c>
      <c r="F1541" s="717">
        <v>0</v>
      </c>
      <c r="G1541">
        <f>VLOOKUP(B1541,'SINAPI-%MO'!B:E,4,0)</f>
        <v>0</v>
      </c>
      <c r="H1541" s="225">
        <f t="shared" si="23"/>
        <v>0.38</v>
      </c>
    </row>
    <row r="1542" spans="1:8" x14ac:dyDescent="0.3">
      <c r="A1542" s="400"/>
      <c r="B1542" s="709">
        <v>88830</v>
      </c>
      <c r="C1542" s="710" t="s">
        <v>1702</v>
      </c>
      <c r="D1542" s="709" t="s">
        <v>230</v>
      </c>
      <c r="E1542" s="716">
        <v>2.0299999999999998</v>
      </c>
      <c r="F1542" s="717">
        <v>0</v>
      </c>
      <c r="G1542">
        <f>VLOOKUP(B1542,'SINAPI-%MO'!B:E,4,0)</f>
        <v>0</v>
      </c>
      <c r="H1542" s="225">
        <f t="shared" si="23"/>
        <v>2.0299999999999998</v>
      </c>
    </row>
    <row r="1543" spans="1:8" x14ac:dyDescent="0.3">
      <c r="A1543" s="400"/>
      <c r="B1543" s="709">
        <v>89226</v>
      </c>
      <c r="C1543" s="710" t="s">
        <v>1703</v>
      </c>
      <c r="D1543" s="709" t="s">
        <v>1689</v>
      </c>
      <c r="E1543" s="716">
        <v>1.56</v>
      </c>
      <c r="F1543" s="717">
        <v>0</v>
      </c>
      <c r="G1543">
        <f>VLOOKUP(B1543,'SINAPI-%MO'!B:E,4,0)</f>
        <v>0</v>
      </c>
      <c r="H1543" s="225">
        <f t="shared" si="23"/>
        <v>1.56</v>
      </c>
    </row>
    <row r="1544" spans="1:8" x14ac:dyDescent="0.3">
      <c r="A1544" s="400"/>
      <c r="B1544" s="709">
        <v>89225</v>
      </c>
      <c r="C1544" s="710" t="s">
        <v>1704</v>
      </c>
      <c r="D1544" s="709" t="s">
        <v>230</v>
      </c>
      <c r="E1544" s="716">
        <v>5.57</v>
      </c>
      <c r="F1544" s="717">
        <v>0</v>
      </c>
      <c r="G1544">
        <f>VLOOKUP(B1544,'SINAPI-%MO'!B:E,4,0)</f>
        <v>0</v>
      </c>
      <c r="H1544" s="225">
        <f t="shared" si="23"/>
        <v>5.57</v>
      </c>
    </row>
    <row r="1545" spans="1:8" x14ac:dyDescent="0.3">
      <c r="A1545" s="400"/>
      <c r="B1545" s="709">
        <v>89279</v>
      </c>
      <c r="C1545" s="710" t="s">
        <v>1705</v>
      </c>
      <c r="D1545" s="709" t="s">
        <v>1689</v>
      </c>
      <c r="E1545" s="716">
        <v>1.89</v>
      </c>
      <c r="F1545" s="717">
        <v>0</v>
      </c>
      <c r="G1545">
        <f>VLOOKUP(B1545,'SINAPI-%MO'!B:E,4,0)</f>
        <v>0</v>
      </c>
      <c r="H1545" s="225">
        <f t="shared" si="23"/>
        <v>1.89</v>
      </c>
    </row>
    <row r="1546" spans="1:8" x14ac:dyDescent="0.3">
      <c r="A1546" s="400"/>
      <c r="B1546" s="709">
        <v>89278</v>
      </c>
      <c r="C1546" s="710" t="s">
        <v>1706</v>
      </c>
      <c r="D1546" s="709" t="s">
        <v>230</v>
      </c>
      <c r="E1546" s="716">
        <v>12.85</v>
      </c>
      <c r="F1546" s="717">
        <v>0</v>
      </c>
      <c r="G1546">
        <f>VLOOKUP(B1546,'SINAPI-%MO'!B:E,4,0)</f>
        <v>0</v>
      </c>
      <c r="H1546" s="225">
        <f t="shared" si="23"/>
        <v>12.85</v>
      </c>
    </row>
    <row r="1547" spans="1:8" x14ac:dyDescent="0.3">
      <c r="A1547" s="400"/>
      <c r="B1547" s="709">
        <v>90651</v>
      </c>
      <c r="C1547" s="710" t="s">
        <v>1707</v>
      </c>
      <c r="D1547" s="709" t="s">
        <v>1689</v>
      </c>
      <c r="E1547" s="716">
        <v>1.22</v>
      </c>
      <c r="F1547" s="717">
        <v>0</v>
      </c>
      <c r="G1547">
        <f>VLOOKUP(B1547,'SINAPI-%MO'!B:E,4,0)</f>
        <v>0</v>
      </c>
      <c r="H1547" s="225">
        <f t="shared" ref="H1547:H1610" si="24">IF(E1547&gt;0,TRUNC(E1547*(1-G1547),2),"")</f>
        <v>1.22</v>
      </c>
    </row>
    <row r="1548" spans="1:8" x14ac:dyDescent="0.3">
      <c r="A1548" s="400"/>
      <c r="B1548" s="709">
        <v>90650</v>
      </c>
      <c r="C1548" s="710" t="s">
        <v>1708</v>
      </c>
      <c r="D1548" s="709" t="s">
        <v>230</v>
      </c>
      <c r="E1548" s="716">
        <v>12.48</v>
      </c>
      <c r="F1548" s="717">
        <v>0</v>
      </c>
      <c r="G1548">
        <f>VLOOKUP(B1548,'SINAPI-%MO'!B:E,4,0)</f>
        <v>0</v>
      </c>
      <c r="H1548" s="225">
        <f t="shared" si="24"/>
        <v>12.48</v>
      </c>
    </row>
    <row r="1549" spans="1:8" x14ac:dyDescent="0.3">
      <c r="A1549" s="400"/>
      <c r="B1549" s="709">
        <v>106101</v>
      </c>
      <c r="C1549" s="710" t="s">
        <v>1709</v>
      </c>
      <c r="D1549" s="709" t="s">
        <v>1689</v>
      </c>
      <c r="E1549" s="716">
        <v>0</v>
      </c>
      <c r="F1549" s="717"/>
      <c r="G1549" t="e">
        <f>VLOOKUP(B1549,'SINAPI-%MO'!B:E,4,0)</f>
        <v>#N/A</v>
      </c>
      <c r="H1549" s="225" t="str">
        <f t="shared" si="24"/>
        <v/>
      </c>
    </row>
    <row r="1550" spans="1:8" x14ac:dyDescent="0.3">
      <c r="A1550" s="400"/>
      <c r="B1550" s="709">
        <v>106100</v>
      </c>
      <c r="C1550" s="710" t="s">
        <v>1710</v>
      </c>
      <c r="D1550" s="709" t="s">
        <v>230</v>
      </c>
      <c r="E1550" s="716">
        <v>0</v>
      </c>
      <c r="F1550" s="717"/>
      <c r="G1550" t="e">
        <f>VLOOKUP(B1550,'SINAPI-%MO'!B:E,4,0)</f>
        <v>#N/A</v>
      </c>
      <c r="H1550" s="225" t="str">
        <f t="shared" si="24"/>
        <v/>
      </c>
    </row>
    <row r="1551" spans="1:8" x14ac:dyDescent="0.3">
      <c r="A1551" s="400"/>
      <c r="B1551" s="709">
        <v>90657</v>
      </c>
      <c r="C1551" s="710" t="s">
        <v>1711</v>
      </c>
      <c r="D1551" s="709" t="s">
        <v>1689</v>
      </c>
      <c r="E1551" s="716">
        <v>4.6900000000000004</v>
      </c>
      <c r="F1551" s="717">
        <v>0</v>
      </c>
      <c r="G1551">
        <f>VLOOKUP(B1551,'SINAPI-%MO'!B:E,4,0)</f>
        <v>0</v>
      </c>
      <c r="H1551" s="225">
        <f t="shared" si="24"/>
        <v>4.6900000000000004</v>
      </c>
    </row>
    <row r="1552" spans="1:8" x14ac:dyDescent="0.3">
      <c r="A1552" s="400"/>
      <c r="B1552" s="709">
        <v>90656</v>
      </c>
      <c r="C1552" s="710" t="s">
        <v>1712</v>
      </c>
      <c r="D1552" s="709" t="s">
        <v>230</v>
      </c>
      <c r="E1552" s="716">
        <v>15.55</v>
      </c>
      <c r="F1552" s="717">
        <v>0</v>
      </c>
      <c r="G1552">
        <f>VLOOKUP(B1552,'SINAPI-%MO'!B:E,4,0)</f>
        <v>0</v>
      </c>
      <c r="H1552" s="225">
        <f t="shared" si="24"/>
        <v>15.55</v>
      </c>
    </row>
    <row r="1553" spans="1:8" x14ac:dyDescent="0.3">
      <c r="A1553" s="400"/>
      <c r="B1553" s="709">
        <v>90663</v>
      </c>
      <c r="C1553" s="710" t="s">
        <v>1713</v>
      </c>
      <c r="D1553" s="709" t="s">
        <v>1689</v>
      </c>
      <c r="E1553" s="716">
        <v>5.0199999999999996</v>
      </c>
      <c r="F1553" s="717">
        <v>0</v>
      </c>
      <c r="G1553">
        <f>VLOOKUP(B1553,'SINAPI-%MO'!B:E,4,0)</f>
        <v>0</v>
      </c>
      <c r="H1553" s="225">
        <f t="shared" si="24"/>
        <v>5.0199999999999996</v>
      </c>
    </row>
    <row r="1554" spans="1:8" x14ac:dyDescent="0.3">
      <c r="A1554" s="400"/>
      <c r="B1554" s="709">
        <v>90662</v>
      </c>
      <c r="C1554" s="710" t="s">
        <v>1714</v>
      </c>
      <c r="D1554" s="709" t="s">
        <v>230</v>
      </c>
      <c r="E1554" s="716">
        <v>16.18</v>
      </c>
      <c r="F1554" s="717">
        <v>0</v>
      </c>
      <c r="G1554">
        <f>VLOOKUP(B1554,'SINAPI-%MO'!B:E,4,0)</f>
        <v>0</v>
      </c>
      <c r="H1554" s="225">
        <f t="shared" si="24"/>
        <v>16.18</v>
      </c>
    </row>
    <row r="1555" spans="1:8" x14ac:dyDescent="0.3">
      <c r="A1555" s="400"/>
      <c r="B1555" s="709">
        <v>89022</v>
      </c>
      <c r="C1555" s="710" t="s">
        <v>1715</v>
      </c>
      <c r="D1555" s="709" t="s">
        <v>1689</v>
      </c>
      <c r="E1555" s="716">
        <v>0.67</v>
      </c>
      <c r="F1555" s="717">
        <v>0</v>
      </c>
      <c r="G1555">
        <f>VLOOKUP(B1555,'SINAPI-%MO'!B:E,4,0)</f>
        <v>0</v>
      </c>
      <c r="H1555" s="225">
        <f t="shared" si="24"/>
        <v>0.67</v>
      </c>
    </row>
    <row r="1556" spans="1:8" x14ac:dyDescent="0.3">
      <c r="A1556" s="400"/>
      <c r="B1556" s="709">
        <v>89021</v>
      </c>
      <c r="C1556" s="710" t="s">
        <v>1716</v>
      </c>
      <c r="D1556" s="709" t="s">
        <v>230</v>
      </c>
      <c r="E1556" s="716">
        <v>3.28</v>
      </c>
      <c r="F1556" s="717">
        <v>0</v>
      </c>
      <c r="G1556">
        <f>VLOOKUP(B1556,'SINAPI-%MO'!B:E,4,0)</f>
        <v>0</v>
      </c>
      <c r="H1556" s="225">
        <f t="shared" si="24"/>
        <v>3.28</v>
      </c>
    </row>
    <row r="1557" spans="1:8" x14ac:dyDescent="0.3">
      <c r="A1557" s="400"/>
      <c r="B1557" s="709">
        <v>90644</v>
      </c>
      <c r="C1557" s="710" t="s">
        <v>1717</v>
      </c>
      <c r="D1557" s="709" t="s">
        <v>1689</v>
      </c>
      <c r="E1557" s="716">
        <v>7.21</v>
      </c>
      <c r="F1557" s="717">
        <v>0</v>
      </c>
      <c r="G1557">
        <f>VLOOKUP(B1557,'SINAPI-%MO'!B:E,4,0)</f>
        <v>0</v>
      </c>
      <c r="H1557" s="225">
        <f t="shared" si="24"/>
        <v>7.21</v>
      </c>
    </row>
    <row r="1558" spans="1:8" x14ac:dyDescent="0.3">
      <c r="A1558" s="400"/>
      <c r="B1558" s="709">
        <v>90643</v>
      </c>
      <c r="C1558" s="710" t="s">
        <v>1718</v>
      </c>
      <c r="D1558" s="709" t="s">
        <v>230</v>
      </c>
      <c r="E1558" s="716">
        <v>27.15</v>
      </c>
      <c r="F1558" s="717">
        <v>0</v>
      </c>
      <c r="G1558">
        <f>VLOOKUP(B1558,'SINAPI-%MO'!B:E,4,0)</f>
        <v>0</v>
      </c>
      <c r="H1558" s="225">
        <f t="shared" si="24"/>
        <v>27.15</v>
      </c>
    </row>
    <row r="1559" spans="1:8" x14ac:dyDescent="0.3">
      <c r="A1559" s="400"/>
      <c r="B1559" s="709">
        <v>102811</v>
      </c>
      <c r="C1559" s="710" t="s">
        <v>1719</v>
      </c>
      <c r="D1559" s="709" t="s">
        <v>1689</v>
      </c>
      <c r="E1559" s="716">
        <v>0</v>
      </c>
      <c r="F1559" s="717"/>
      <c r="G1559" t="e">
        <f>VLOOKUP(B1559,'SINAPI-%MO'!B:E,4,0)</f>
        <v>#N/A</v>
      </c>
      <c r="H1559" s="225" t="str">
        <f t="shared" si="24"/>
        <v/>
      </c>
    </row>
    <row r="1560" spans="1:8" x14ac:dyDescent="0.3">
      <c r="A1560" s="400"/>
      <c r="B1560" s="709">
        <v>102810</v>
      </c>
      <c r="C1560" s="710" t="s">
        <v>1720</v>
      </c>
      <c r="D1560" s="709" t="s">
        <v>230</v>
      </c>
      <c r="E1560" s="716">
        <v>0</v>
      </c>
      <c r="F1560" s="717"/>
      <c r="G1560" t="e">
        <f>VLOOKUP(B1560,'SINAPI-%MO'!B:E,4,0)</f>
        <v>#N/A</v>
      </c>
      <c r="H1560" s="225" t="str">
        <f t="shared" si="24"/>
        <v/>
      </c>
    </row>
    <row r="1561" spans="1:8" x14ac:dyDescent="0.3">
      <c r="A1561" s="400"/>
      <c r="B1561" s="709">
        <v>92146</v>
      </c>
      <c r="C1561" s="710" t="s">
        <v>1721</v>
      </c>
      <c r="D1561" s="709" t="s">
        <v>1689</v>
      </c>
      <c r="E1561" s="716">
        <v>32.76</v>
      </c>
      <c r="F1561" s="717">
        <v>0</v>
      </c>
      <c r="G1561">
        <f>VLOOKUP(B1561,'SINAPI-%MO'!B:E,4,0)</f>
        <v>0.78390000000000004</v>
      </c>
      <c r="H1561" s="225">
        <f t="shared" si="24"/>
        <v>7.07</v>
      </c>
    </row>
    <row r="1562" spans="1:8" x14ac:dyDescent="0.3">
      <c r="A1562" s="400"/>
      <c r="B1562" s="709">
        <v>92145</v>
      </c>
      <c r="C1562" s="710" t="s">
        <v>1722</v>
      </c>
      <c r="D1562" s="709" t="s">
        <v>230</v>
      </c>
      <c r="E1562" s="716">
        <v>80.62</v>
      </c>
      <c r="F1562" s="717">
        <v>0</v>
      </c>
      <c r="G1562">
        <f>VLOOKUP(B1562,'SINAPI-%MO'!B:E,4,0)</f>
        <v>0.31850000000000001</v>
      </c>
      <c r="H1562" s="225">
        <f t="shared" si="24"/>
        <v>54.94</v>
      </c>
    </row>
    <row r="1563" spans="1:8" x14ac:dyDescent="0.3">
      <c r="A1563" s="400"/>
      <c r="B1563" s="709">
        <v>92139</v>
      </c>
      <c r="C1563" s="710" t="s">
        <v>1723</v>
      </c>
      <c r="D1563" s="709" t="s">
        <v>1689</v>
      </c>
      <c r="E1563" s="716">
        <v>45.07</v>
      </c>
      <c r="F1563" s="717">
        <v>0</v>
      </c>
      <c r="G1563">
        <f>VLOOKUP(B1563,'SINAPI-%MO'!B:E,4,0)</f>
        <v>0.56979999999999997</v>
      </c>
      <c r="H1563" s="225">
        <f t="shared" si="24"/>
        <v>19.38</v>
      </c>
    </row>
    <row r="1564" spans="1:8" x14ac:dyDescent="0.3">
      <c r="A1564" s="400"/>
      <c r="B1564" s="709">
        <v>92138</v>
      </c>
      <c r="C1564" s="710" t="s">
        <v>1724</v>
      </c>
      <c r="D1564" s="709" t="s">
        <v>230</v>
      </c>
      <c r="E1564" s="716">
        <v>99.97</v>
      </c>
      <c r="F1564" s="717">
        <v>0</v>
      </c>
      <c r="G1564">
        <f>VLOOKUP(B1564,'SINAPI-%MO'!B:E,4,0)</f>
        <v>0.25690000000000002</v>
      </c>
      <c r="H1564" s="225">
        <f t="shared" si="24"/>
        <v>74.28</v>
      </c>
    </row>
    <row r="1565" spans="1:8" x14ac:dyDescent="0.3">
      <c r="A1565" s="400"/>
      <c r="B1565" s="709">
        <v>91387</v>
      </c>
      <c r="C1565" s="710" t="s">
        <v>1725</v>
      </c>
      <c r="D1565" s="709" t="s">
        <v>1689</v>
      </c>
      <c r="E1565" s="716">
        <v>81.81</v>
      </c>
      <c r="F1565" s="717">
        <v>0</v>
      </c>
      <c r="G1565">
        <f>VLOOKUP(B1565,'SINAPI-%MO'!B:E,4,0)</f>
        <v>0.35630000000000001</v>
      </c>
      <c r="H1565" s="225">
        <f t="shared" si="24"/>
        <v>52.66</v>
      </c>
    </row>
    <row r="1566" spans="1:8" x14ac:dyDescent="0.3">
      <c r="A1566" s="400"/>
      <c r="B1566" s="709">
        <v>91386</v>
      </c>
      <c r="C1566" s="710" t="s">
        <v>1726</v>
      </c>
      <c r="D1566" s="709" t="s">
        <v>230</v>
      </c>
      <c r="E1566" s="716">
        <v>296.17</v>
      </c>
      <c r="F1566" s="717">
        <v>0</v>
      </c>
      <c r="G1566">
        <f>VLOOKUP(B1566,'SINAPI-%MO'!B:E,4,0)</f>
        <v>9.8400000000000001E-2</v>
      </c>
      <c r="H1566" s="225">
        <f t="shared" si="24"/>
        <v>267.02</v>
      </c>
    </row>
    <row r="1567" spans="1:8" x14ac:dyDescent="0.3">
      <c r="A1567" s="400"/>
      <c r="B1567" s="709">
        <v>96036</v>
      </c>
      <c r="C1567" s="710" t="s">
        <v>1727</v>
      </c>
      <c r="D1567" s="709" t="s">
        <v>1689</v>
      </c>
      <c r="E1567" s="716">
        <v>91.27</v>
      </c>
      <c r="F1567" s="717">
        <v>0.1036</v>
      </c>
      <c r="G1567">
        <f>VLOOKUP(B1567,'SINAPI-%MO'!B:E,4,0)</f>
        <v>0.31940000000000002</v>
      </c>
      <c r="H1567" s="225">
        <f t="shared" si="24"/>
        <v>62.11</v>
      </c>
    </row>
    <row r="1568" spans="1:8" x14ac:dyDescent="0.3">
      <c r="A1568" s="400"/>
      <c r="B1568" s="709">
        <v>96035</v>
      </c>
      <c r="C1568" s="710" t="s">
        <v>1728</v>
      </c>
      <c r="D1568" s="709" t="s">
        <v>230</v>
      </c>
      <c r="E1568" s="716">
        <v>311.77</v>
      </c>
      <c r="F1568" s="717">
        <v>0.05</v>
      </c>
      <c r="G1568">
        <f>VLOOKUP(B1568,'SINAPI-%MO'!B:E,4,0)</f>
        <v>9.35E-2</v>
      </c>
      <c r="H1568" s="225">
        <f t="shared" si="24"/>
        <v>282.61</v>
      </c>
    </row>
    <row r="1569" spans="1:8" x14ac:dyDescent="0.3">
      <c r="A1569" s="400"/>
      <c r="B1569" s="709">
        <v>89877</v>
      </c>
      <c r="C1569" s="710" t="s">
        <v>1729</v>
      </c>
      <c r="D1569" s="709" t="s">
        <v>1689</v>
      </c>
      <c r="E1569" s="716">
        <v>96.25</v>
      </c>
      <c r="F1569" s="717">
        <v>0</v>
      </c>
      <c r="G1569">
        <f>VLOOKUP(B1569,'SINAPI-%MO'!B:E,4,0)</f>
        <v>0.3029</v>
      </c>
      <c r="H1569" s="225">
        <f t="shared" si="24"/>
        <v>67.09</v>
      </c>
    </row>
    <row r="1570" spans="1:8" x14ac:dyDescent="0.3">
      <c r="A1570" s="400"/>
      <c r="B1570" s="709">
        <v>89876</v>
      </c>
      <c r="C1570" s="710" t="s">
        <v>1730</v>
      </c>
      <c r="D1570" s="709" t="s">
        <v>230</v>
      </c>
      <c r="E1570" s="716">
        <v>362.83</v>
      </c>
      <c r="F1570" s="717">
        <v>0</v>
      </c>
      <c r="G1570">
        <f>VLOOKUP(B1570,'SINAPI-%MO'!B:E,4,0)</f>
        <v>8.0299999999999996E-2</v>
      </c>
      <c r="H1570" s="225">
        <f t="shared" si="24"/>
        <v>333.69</v>
      </c>
    </row>
    <row r="1571" spans="1:8" x14ac:dyDescent="0.3">
      <c r="A1571" s="400"/>
      <c r="B1571" s="709">
        <v>89884</v>
      </c>
      <c r="C1571" s="710" t="s">
        <v>1731</v>
      </c>
      <c r="D1571" s="709" t="s">
        <v>1689</v>
      </c>
      <c r="E1571" s="716">
        <v>100.99</v>
      </c>
      <c r="F1571" s="717">
        <v>0</v>
      </c>
      <c r="G1571">
        <f>VLOOKUP(B1571,'SINAPI-%MO'!B:E,4,0)</f>
        <v>0.28860000000000002</v>
      </c>
      <c r="H1571" s="225">
        <f t="shared" si="24"/>
        <v>71.84</v>
      </c>
    </row>
    <row r="1572" spans="1:8" x14ac:dyDescent="0.3">
      <c r="A1572" s="400"/>
      <c r="B1572" s="709">
        <v>89883</v>
      </c>
      <c r="C1572" s="710" t="s">
        <v>1732</v>
      </c>
      <c r="D1572" s="709" t="s">
        <v>230</v>
      </c>
      <c r="E1572" s="716">
        <v>401.83</v>
      </c>
      <c r="F1572" s="717">
        <v>0</v>
      </c>
      <c r="G1572">
        <f>VLOOKUP(B1572,'SINAPI-%MO'!B:E,4,0)</f>
        <v>7.2499999999999995E-2</v>
      </c>
      <c r="H1572" s="225">
        <f t="shared" si="24"/>
        <v>372.69</v>
      </c>
    </row>
    <row r="1573" spans="1:8" x14ac:dyDescent="0.3">
      <c r="A1573" s="400"/>
      <c r="B1573" s="709">
        <v>67827</v>
      </c>
      <c r="C1573" s="710" t="s">
        <v>1733</v>
      </c>
      <c r="D1573" s="709" t="s">
        <v>1689</v>
      </c>
      <c r="E1573" s="716">
        <v>70.56</v>
      </c>
      <c r="F1573" s="717">
        <v>0</v>
      </c>
      <c r="G1573">
        <f>VLOOKUP(B1573,'SINAPI-%MO'!B:E,4,0)</f>
        <v>0.41310000000000002</v>
      </c>
      <c r="H1573" s="225">
        <f t="shared" si="24"/>
        <v>41.41</v>
      </c>
    </row>
    <row r="1574" spans="1:8" x14ac:dyDescent="0.3">
      <c r="A1574" s="400"/>
      <c r="B1574" s="709">
        <v>67826</v>
      </c>
      <c r="C1574" s="710" t="s">
        <v>1734</v>
      </c>
      <c r="D1574" s="709" t="s">
        <v>230</v>
      </c>
      <c r="E1574" s="716">
        <v>206.82</v>
      </c>
      <c r="F1574" s="717">
        <v>0</v>
      </c>
      <c r="G1574">
        <f>VLOOKUP(B1574,'SINAPI-%MO'!B:E,4,0)</f>
        <v>0.1409</v>
      </c>
      <c r="H1574" s="225">
        <f t="shared" si="24"/>
        <v>177.67</v>
      </c>
    </row>
    <row r="1575" spans="1:8" x14ac:dyDescent="0.3">
      <c r="A1575" s="400"/>
      <c r="B1575" s="709">
        <v>5961</v>
      </c>
      <c r="C1575" s="710" t="s">
        <v>1735</v>
      </c>
      <c r="D1575" s="709" t="s">
        <v>1689</v>
      </c>
      <c r="E1575" s="716">
        <v>69.16</v>
      </c>
      <c r="F1575" s="717">
        <v>0</v>
      </c>
      <c r="G1575">
        <f>VLOOKUP(B1575,'SINAPI-%MO'!B:E,4,0)</f>
        <v>0.42149999999999999</v>
      </c>
      <c r="H1575" s="225">
        <f t="shared" si="24"/>
        <v>40</v>
      </c>
    </row>
    <row r="1576" spans="1:8" x14ac:dyDescent="0.3">
      <c r="A1576" s="400"/>
      <c r="B1576" s="709">
        <v>5811</v>
      </c>
      <c r="C1576" s="710" t="s">
        <v>1736</v>
      </c>
      <c r="D1576" s="709" t="s">
        <v>230</v>
      </c>
      <c r="E1576" s="716">
        <v>225.17</v>
      </c>
      <c r="F1576" s="717">
        <v>0</v>
      </c>
      <c r="G1576">
        <f>VLOOKUP(B1576,'SINAPI-%MO'!B:E,4,0)</f>
        <v>0.1295</v>
      </c>
      <c r="H1576" s="225">
        <f t="shared" si="24"/>
        <v>196.01</v>
      </c>
    </row>
    <row r="1577" spans="1:8" x14ac:dyDescent="0.3">
      <c r="A1577" s="400"/>
      <c r="B1577" s="709">
        <v>106373</v>
      </c>
      <c r="C1577" s="710" t="s">
        <v>14891</v>
      </c>
      <c r="D1577" s="709" t="s">
        <v>1689</v>
      </c>
      <c r="E1577" s="716">
        <v>0</v>
      </c>
      <c r="F1577" s="717"/>
      <c r="G1577" t="e">
        <f>VLOOKUP(B1577,'SINAPI-%MO'!B:E,4,0)</f>
        <v>#N/A</v>
      </c>
      <c r="H1577" s="225" t="str">
        <f t="shared" si="24"/>
        <v/>
      </c>
    </row>
    <row r="1578" spans="1:8" x14ac:dyDescent="0.3">
      <c r="A1578" s="400"/>
      <c r="B1578" s="709">
        <v>106366</v>
      </c>
      <c r="C1578" s="710" t="s">
        <v>14892</v>
      </c>
      <c r="D1578" s="709" t="s">
        <v>230</v>
      </c>
      <c r="E1578" s="716">
        <v>0</v>
      </c>
      <c r="F1578" s="717"/>
      <c r="G1578" t="e">
        <f>VLOOKUP(B1578,'SINAPI-%MO'!B:E,4,0)</f>
        <v>#N/A</v>
      </c>
      <c r="H1578" s="225" t="str">
        <f t="shared" si="24"/>
        <v/>
      </c>
    </row>
    <row r="1579" spans="1:8" x14ac:dyDescent="0.3">
      <c r="A1579" s="400"/>
      <c r="B1579" s="709">
        <v>106371</v>
      </c>
      <c r="C1579" s="710" t="s">
        <v>14893</v>
      </c>
      <c r="D1579" s="709" t="s">
        <v>1689</v>
      </c>
      <c r="E1579" s="716">
        <v>0</v>
      </c>
      <c r="F1579" s="717"/>
      <c r="G1579" t="e">
        <f>VLOOKUP(B1579,'SINAPI-%MO'!B:E,4,0)</f>
        <v>#N/A</v>
      </c>
      <c r="H1579" s="225" t="str">
        <f t="shared" si="24"/>
        <v/>
      </c>
    </row>
    <row r="1580" spans="1:8" x14ac:dyDescent="0.3">
      <c r="A1580" s="400"/>
      <c r="B1580" s="709">
        <v>106364</v>
      </c>
      <c r="C1580" s="710" t="s">
        <v>14894</v>
      </c>
      <c r="D1580" s="709" t="s">
        <v>230</v>
      </c>
      <c r="E1580" s="716">
        <v>0</v>
      </c>
      <c r="F1580" s="717"/>
      <c r="G1580" t="e">
        <f>VLOOKUP(B1580,'SINAPI-%MO'!B:E,4,0)</f>
        <v>#N/A</v>
      </c>
      <c r="H1580" s="225" t="str">
        <f t="shared" si="24"/>
        <v/>
      </c>
    </row>
    <row r="1581" spans="1:8" x14ac:dyDescent="0.3">
      <c r="A1581" s="400"/>
      <c r="B1581" s="709">
        <v>92243</v>
      </c>
      <c r="C1581" s="710" t="s">
        <v>1737</v>
      </c>
      <c r="D1581" s="709" t="s">
        <v>1689</v>
      </c>
      <c r="E1581" s="716">
        <v>83.7</v>
      </c>
      <c r="F1581" s="717">
        <v>7.2400000000000006E-2</v>
      </c>
      <c r="G1581">
        <f>VLOOKUP(B1581,'SINAPI-%MO'!B:E,4,0)</f>
        <v>0.4042</v>
      </c>
      <c r="H1581" s="225">
        <f t="shared" si="24"/>
        <v>49.86</v>
      </c>
    </row>
    <row r="1582" spans="1:8" x14ac:dyDescent="0.3">
      <c r="A1582" s="400"/>
      <c r="B1582" s="709">
        <v>92242</v>
      </c>
      <c r="C1582" s="710" t="s">
        <v>1738</v>
      </c>
      <c r="D1582" s="709" t="s">
        <v>230</v>
      </c>
      <c r="E1582" s="716">
        <v>438.54</v>
      </c>
      <c r="F1582" s="717">
        <v>2.5399999999999999E-2</v>
      </c>
      <c r="G1582">
        <f>VLOOKUP(B1582,'SINAPI-%MO'!B:E,4,0)</f>
        <v>7.7100000000000002E-2</v>
      </c>
      <c r="H1582" s="225">
        <f t="shared" si="24"/>
        <v>404.72</v>
      </c>
    </row>
    <row r="1583" spans="1:8" x14ac:dyDescent="0.3">
      <c r="A1583" s="400"/>
      <c r="B1583" s="709">
        <v>91646</v>
      </c>
      <c r="C1583" s="710" t="s">
        <v>1739</v>
      </c>
      <c r="D1583" s="709" t="s">
        <v>1689</v>
      </c>
      <c r="E1583" s="716">
        <v>102.36</v>
      </c>
      <c r="F1583" s="717">
        <v>7.2900000000000006E-2</v>
      </c>
      <c r="G1583">
        <f>VLOOKUP(B1583,'SINAPI-%MO'!B:E,4,0)</f>
        <v>0.33050000000000002</v>
      </c>
      <c r="H1583" s="225">
        <f t="shared" si="24"/>
        <v>68.53</v>
      </c>
    </row>
    <row r="1584" spans="1:8" x14ac:dyDescent="0.3">
      <c r="A1584" s="400"/>
      <c r="B1584" s="709">
        <v>91645</v>
      </c>
      <c r="C1584" s="710" t="s">
        <v>1740</v>
      </c>
      <c r="D1584" s="709" t="s">
        <v>230</v>
      </c>
      <c r="E1584" s="716">
        <v>505.92</v>
      </c>
      <c r="F1584" s="717">
        <v>2.7099999999999999E-2</v>
      </c>
      <c r="G1584">
        <f>VLOOKUP(B1584,'SINAPI-%MO'!B:E,4,0)</f>
        <v>6.6900000000000001E-2</v>
      </c>
      <c r="H1584" s="225">
        <f t="shared" si="24"/>
        <v>472.07</v>
      </c>
    </row>
    <row r="1585" spans="1:8" x14ac:dyDescent="0.3">
      <c r="A1585" s="400"/>
      <c r="B1585" s="709">
        <v>92107</v>
      </c>
      <c r="C1585" s="710" t="s">
        <v>1741</v>
      </c>
      <c r="D1585" s="709" t="s">
        <v>1689</v>
      </c>
      <c r="E1585" s="716">
        <v>100.62</v>
      </c>
      <c r="F1585" s="717">
        <v>0.29099999999999998</v>
      </c>
      <c r="G1585">
        <f>VLOOKUP(B1585,'SINAPI-%MO'!B:E,4,0)</f>
        <v>0.28079999999999999</v>
      </c>
      <c r="H1585" s="225">
        <f t="shared" si="24"/>
        <v>72.36</v>
      </c>
    </row>
    <row r="1586" spans="1:8" x14ac:dyDescent="0.3">
      <c r="A1586" s="400"/>
      <c r="B1586" s="709">
        <v>92106</v>
      </c>
      <c r="C1586" s="710" t="s">
        <v>1742</v>
      </c>
      <c r="D1586" s="709" t="s">
        <v>230</v>
      </c>
      <c r="E1586" s="716">
        <v>387.67</v>
      </c>
      <c r="F1586" s="717">
        <v>0.14879999999999999</v>
      </c>
      <c r="G1586">
        <f>VLOOKUP(B1586,'SINAPI-%MO'!B:E,4,0)</f>
        <v>7.2900000000000006E-2</v>
      </c>
      <c r="H1586" s="225">
        <f t="shared" si="24"/>
        <v>359.4</v>
      </c>
    </row>
    <row r="1587" spans="1:8" x14ac:dyDescent="0.3">
      <c r="A1587" s="400"/>
      <c r="B1587" s="709">
        <v>5903</v>
      </c>
      <c r="C1587" s="710" t="s">
        <v>1743</v>
      </c>
      <c r="D1587" s="709" t="s">
        <v>1689</v>
      </c>
      <c r="E1587" s="716">
        <v>79.69</v>
      </c>
      <c r="F1587" s="717">
        <v>8.6599999999999996E-2</v>
      </c>
      <c r="G1587">
        <f>VLOOKUP(B1587,'SINAPI-%MO'!B:E,4,0)</f>
        <v>0.35449999999999998</v>
      </c>
      <c r="H1587" s="225">
        <f t="shared" si="24"/>
        <v>51.43</v>
      </c>
    </row>
    <row r="1588" spans="1:8" x14ac:dyDescent="0.3">
      <c r="A1588" s="400"/>
      <c r="B1588" s="709">
        <v>5901</v>
      </c>
      <c r="C1588" s="710" t="s">
        <v>1744</v>
      </c>
      <c r="D1588" s="709" t="s">
        <v>230</v>
      </c>
      <c r="E1588" s="716">
        <v>346.39</v>
      </c>
      <c r="F1588" s="717">
        <v>3.8199999999999998E-2</v>
      </c>
      <c r="G1588">
        <f>VLOOKUP(B1588,'SINAPI-%MO'!B:E,4,0)</f>
        <v>8.1600000000000006E-2</v>
      </c>
      <c r="H1588" s="225">
        <f t="shared" si="24"/>
        <v>318.12</v>
      </c>
    </row>
    <row r="1589" spans="1:8" x14ac:dyDescent="0.3">
      <c r="A1589" s="400"/>
      <c r="B1589" s="709">
        <v>106252</v>
      </c>
      <c r="C1589" s="710" t="s">
        <v>13329</v>
      </c>
      <c r="D1589" s="709" t="s">
        <v>1689</v>
      </c>
      <c r="E1589" s="716">
        <v>79.02</v>
      </c>
      <c r="F1589" s="717">
        <v>0.10780000000000001</v>
      </c>
      <c r="G1589">
        <f>VLOOKUP(B1589,'SINAPI-%MO'!B:E,4,0)</f>
        <v>0.35749999999999998</v>
      </c>
      <c r="H1589" s="225">
        <f t="shared" si="24"/>
        <v>50.77</v>
      </c>
    </row>
    <row r="1590" spans="1:8" x14ac:dyDescent="0.3">
      <c r="A1590" s="400"/>
      <c r="B1590" s="709">
        <v>106247</v>
      </c>
      <c r="C1590" s="710" t="s">
        <v>13330</v>
      </c>
      <c r="D1590" s="709" t="s">
        <v>230</v>
      </c>
      <c r="E1590" s="716">
        <v>307.18</v>
      </c>
      <c r="F1590" s="717">
        <v>5.3100000000000001E-2</v>
      </c>
      <c r="G1590">
        <f>VLOOKUP(B1590,'SINAPI-%MO'!B:E,4,0)</f>
        <v>9.1999999999999998E-2</v>
      </c>
      <c r="H1590" s="225">
        <f t="shared" si="24"/>
        <v>278.91000000000003</v>
      </c>
    </row>
    <row r="1591" spans="1:8" x14ac:dyDescent="0.3">
      <c r="A1591" s="400"/>
      <c r="B1591" s="709">
        <v>6260</v>
      </c>
      <c r="C1591" s="710" t="s">
        <v>1745</v>
      </c>
      <c r="D1591" s="709" t="s">
        <v>1689</v>
      </c>
      <c r="E1591" s="716">
        <v>65.13</v>
      </c>
      <c r="F1591" s="717">
        <v>8.8300000000000003E-2</v>
      </c>
      <c r="G1591">
        <f>VLOOKUP(B1591,'SINAPI-%MO'!B:E,4,0)</f>
        <v>0.43369999999999997</v>
      </c>
      <c r="H1591" s="225">
        <f t="shared" si="24"/>
        <v>36.880000000000003</v>
      </c>
    </row>
    <row r="1592" spans="1:8" x14ac:dyDescent="0.3">
      <c r="A1592" s="400"/>
      <c r="B1592" s="709">
        <v>6259</v>
      </c>
      <c r="C1592" s="710" t="s">
        <v>1746</v>
      </c>
      <c r="D1592" s="709" t="s">
        <v>230</v>
      </c>
      <c r="E1592" s="716">
        <v>277.88</v>
      </c>
      <c r="F1592" s="717">
        <v>3.9699999999999999E-2</v>
      </c>
      <c r="G1592">
        <f>VLOOKUP(B1592,'SINAPI-%MO'!B:E,4,0)</f>
        <v>0.1017</v>
      </c>
      <c r="H1592" s="225">
        <f t="shared" si="24"/>
        <v>249.61</v>
      </c>
    </row>
    <row r="1593" spans="1:8" x14ac:dyDescent="0.3">
      <c r="A1593" s="400"/>
      <c r="B1593" s="709">
        <v>104705</v>
      </c>
      <c r="C1593" s="710" t="s">
        <v>1747</v>
      </c>
      <c r="D1593" s="709" t="s">
        <v>1689</v>
      </c>
      <c r="E1593" s="716">
        <v>0</v>
      </c>
      <c r="F1593" s="717"/>
      <c r="G1593" t="e">
        <f>VLOOKUP(B1593,'SINAPI-%MO'!B:E,4,0)</f>
        <v>#N/A</v>
      </c>
      <c r="H1593" s="225" t="str">
        <f t="shared" si="24"/>
        <v/>
      </c>
    </row>
    <row r="1594" spans="1:8" x14ac:dyDescent="0.3">
      <c r="A1594" s="400"/>
      <c r="B1594" s="709">
        <v>104704</v>
      </c>
      <c r="C1594" s="710" t="s">
        <v>1748</v>
      </c>
      <c r="D1594" s="709" t="s">
        <v>230</v>
      </c>
      <c r="E1594" s="716">
        <v>0</v>
      </c>
      <c r="F1594" s="717"/>
      <c r="G1594" t="e">
        <f>VLOOKUP(B1594,'SINAPI-%MO'!B:E,4,0)</f>
        <v>#N/A</v>
      </c>
      <c r="H1594" s="225" t="str">
        <f t="shared" si="24"/>
        <v/>
      </c>
    </row>
    <row r="1595" spans="1:8" x14ac:dyDescent="0.3">
      <c r="A1595" s="400"/>
      <c r="B1595" s="709">
        <v>91395</v>
      </c>
      <c r="C1595" s="710" t="s">
        <v>1749</v>
      </c>
      <c r="D1595" s="709" t="s">
        <v>1689</v>
      </c>
      <c r="E1595" s="716">
        <v>63.24</v>
      </c>
      <c r="F1595" s="717">
        <v>0</v>
      </c>
      <c r="G1595">
        <f>VLOOKUP(B1595,'SINAPI-%MO'!B:E,4,0)</f>
        <v>0.44669999999999999</v>
      </c>
      <c r="H1595" s="225">
        <f t="shared" si="24"/>
        <v>34.99</v>
      </c>
    </row>
    <row r="1596" spans="1:8" x14ac:dyDescent="0.3">
      <c r="A1596" s="400"/>
      <c r="B1596" s="709">
        <v>73467</v>
      </c>
      <c r="C1596" s="710" t="s">
        <v>1750</v>
      </c>
      <c r="D1596" s="709" t="s">
        <v>230</v>
      </c>
      <c r="E1596" s="716">
        <v>270.95</v>
      </c>
      <c r="F1596" s="717">
        <v>0</v>
      </c>
      <c r="G1596">
        <f>VLOOKUP(B1596,'SINAPI-%MO'!B:E,4,0)</f>
        <v>0.1043</v>
      </c>
      <c r="H1596" s="225">
        <f t="shared" si="24"/>
        <v>242.68</v>
      </c>
    </row>
    <row r="1597" spans="1:8" x14ac:dyDescent="0.3">
      <c r="A1597" s="400"/>
      <c r="B1597" s="709">
        <v>5826</v>
      </c>
      <c r="C1597" s="710" t="s">
        <v>1751</v>
      </c>
      <c r="D1597" s="709" t="s">
        <v>1689</v>
      </c>
      <c r="E1597" s="716">
        <v>66.59</v>
      </c>
      <c r="F1597" s="717">
        <v>0</v>
      </c>
      <c r="G1597">
        <f>VLOOKUP(B1597,'SINAPI-%MO'!B:E,4,0)</f>
        <v>0.42420000000000002</v>
      </c>
      <c r="H1597" s="225">
        <f t="shared" si="24"/>
        <v>38.340000000000003</v>
      </c>
    </row>
    <row r="1598" spans="1:8" x14ac:dyDescent="0.3">
      <c r="A1598" s="400"/>
      <c r="B1598" s="709">
        <v>5824</v>
      </c>
      <c r="C1598" s="710" t="s">
        <v>1752</v>
      </c>
      <c r="D1598" s="709" t="s">
        <v>230</v>
      </c>
      <c r="E1598" s="716">
        <v>236.94</v>
      </c>
      <c r="F1598" s="717">
        <v>0</v>
      </c>
      <c r="G1598">
        <f>VLOOKUP(B1598,'SINAPI-%MO'!B:E,4,0)</f>
        <v>0.1192</v>
      </c>
      <c r="H1598" s="225">
        <f t="shared" si="24"/>
        <v>208.69</v>
      </c>
    </row>
    <row r="1599" spans="1:8" x14ac:dyDescent="0.3">
      <c r="A1599" s="400"/>
      <c r="B1599" s="709">
        <v>106369</v>
      </c>
      <c r="C1599" s="710" t="s">
        <v>14895</v>
      </c>
      <c r="D1599" s="709" t="s">
        <v>1689</v>
      </c>
      <c r="E1599" s="716">
        <v>0</v>
      </c>
      <c r="F1599" s="717"/>
      <c r="G1599" t="e">
        <f>VLOOKUP(B1599,'SINAPI-%MO'!B:E,4,0)</f>
        <v>#N/A</v>
      </c>
      <c r="H1599" s="225" t="str">
        <f t="shared" si="24"/>
        <v/>
      </c>
    </row>
    <row r="1600" spans="1:8" x14ac:dyDescent="0.3">
      <c r="A1600" s="400"/>
      <c r="B1600" s="709">
        <v>106362</v>
      </c>
      <c r="C1600" s="710" t="s">
        <v>14896</v>
      </c>
      <c r="D1600" s="709" t="s">
        <v>230</v>
      </c>
      <c r="E1600" s="716">
        <v>0</v>
      </c>
      <c r="F1600" s="717"/>
      <c r="G1600" t="e">
        <f>VLOOKUP(B1600,'SINAPI-%MO'!B:E,4,0)</f>
        <v>#N/A</v>
      </c>
      <c r="H1600" s="225" t="str">
        <f t="shared" si="24"/>
        <v/>
      </c>
    </row>
    <row r="1601" spans="1:8" x14ac:dyDescent="0.3">
      <c r="A1601" s="400"/>
      <c r="B1601" s="709">
        <v>106253</v>
      </c>
      <c r="C1601" s="710" t="s">
        <v>13331</v>
      </c>
      <c r="D1601" s="709" t="s">
        <v>1689</v>
      </c>
      <c r="E1601" s="716">
        <v>85.05</v>
      </c>
      <c r="F1601" s="717">
        <v>0</v>
      </c>
      <c r="G1601">
        <f>VLOOKUP(B1601,'SINAPI-%MO'!B:E,4,0)</f>
        <v>0.3322</v>
      </c>
      <c r="H1601" s="225">
        <f t="shared" si="24"/>
        <v>56.79</v>
      </c>
    </row>
    <row r="1602" spans="1:8" x14ac:dyDescent="0.3">
      <c r="A1602" s="400"/>
      <c r="B1602" s="709">
        <v>106248</v>
      </c>
      <c r="C1602" s="710" t="s">
        <v>13332</v>
      </c>
      <c r="D1602" s="709" t="s">
        <v>230</v>
      </c>
      <c r="E1602" s="716">
        <v>322.72000000000003</v>
      </c>
      <c r="F1602" s="717">
        <v>0</v>
      </c>
      <c r="G1602">
        <f>VLOOKUP(B1602,'SINAPI-%MO'!B:E,4,0)</f>
        <v>8.7499999999999994E-2</v>
      </c>
      <c r="H1602" s="225">
        <f t="shared" si="24"/>
        <v>294.48</v>
      </c>
    </row>
    <row r="1603" spans="1:8" x14ac:dyDescent="0.3">
      <c r="A1603" s="400"/>
      <c r="B1603" s="709">
        <v>106372</v>
      </c>
      <c r="C1603" s="710" t="s">
        <v>14897</v>
      </c>
      <c r="D1603" s="709" t="s">
        <v>1689</v>
      </c>
      <c r="E1603" s="716">
        <v>0</v>
      </c>
      <c r="F1603" s="717"/>
      <c r="G1603" t="e">
        <f>VLOOKUP(B1603,'SINAPI-%MO'!B:E,4,0)</f>
        <v>#N/A</v>
      </c>
      <c r="H1603" s="225" t="str">
        <f t="shared" si="24"/>
        <v/>
      </c>
    </row>
    <row r="1604" spans="1:8" x14ac:dyDescent="0.3">
      <c r="A1604" s="400"/>
      <c r="B1604" s="709">
        <v>106365</v>
      </c>
      <c r="C1604" s="710" t="s">
        <v>14898</v>
      </c>
      <c r="D1604" s="709" t="s">
        <v>230</v>
      </c>
      <c r="E1604" s="716">
        <v>0</v>
      </c>
      <c r="F1604" s="717"/>
      <c r="G1604" t="e">
        <f>VLOOKUP(B1604,'SINAPI-%MO'!B:E,4,0)</f>
        <v>#N/A</v>
      </c>
      <c r="H1604" s="225" t="str">
        <f t="shared" si="24"/>
        <v/>
      </c>
    </row>
    <row r="1605" spans="1:8" x14ac:dyDescent="0.3">
      <c r="A1605" s="400"/>
      <c r="B1605" s="709">
        <v>106370</v>
      </c>
      <c r="C1605" s="710" t="s">
        <v>14899</v>
      </c>
      <c r="D1605" s="709" t="s">
        <v>1689</v>
      </c>
      <c r="E1605" s="716">
        <v>0</v>
      </c>
      <c r="F1605" s="717"/>
      <c r="G1605" t="e">
        <f>VLOOKUP(B1605,'SINAPI-%MO'!B:E,4,0)</f>
        <v>#N/A</v>
      </c>
      <c r="H1605" s="225" t="str">
        <f t="shared" si="24"/>
        <v/>
      </c>
    </row>
    <row r="1606" spans="1:8" x14ac:dyDescent="0.3">
      <c r="A1606" s="400"/>
      <c r="B1606" s="709">
        <v>106363</v>
      </c>
      <c r="C1606" s="710" t="s">
        <v>14900</v>
      </c>
      <c r="D1606" s="709" t="s">
        <v>230</v>
      </c>
      <c r="E1606" s="716">
        <v>0</v>
      </c>
      <c r="F1606" s="717"/>
      <c r="G1606" t="e">
        <f>VLOOKUP(B1606,'SINAPI-%MO'!B:E,4,0)</f>
        <v>#N/A</v>
      </c>
      <c r="H1606" s="225" t="str">
        <f t="shared" si="24"/>
        <v/>
      </c>
    </row>
    <row r="1607" spans="1:8" x14ac:dyDescent="0.3">
      <c r="A1607" s="400"/>
      <c r="B1607" s="709">
        <v>5892</v>
      </c>
      <c r="C1607" s="710" t="s">
        <v>1753</v>
      </c>
      <c r="D1607" s="709" t="s">
        <v>1689</v>
      </c>
      <c r="E1607" s="716">
        <v>60.44</v>
      </c>
      <c r="F1607" s="717">
        <v>0</v>
      </c>
      <c r="G1607">
        <f>VLOOKUP(B1607,'SINAPI-%MO'!B:E,4,0)</f>
        <v>0.46739999999999998</v>
      </c>
      <c r="H1607" s="225">
        <f t="shared" si="24"/>
        <v>32.19</v>
      </c>
    </row>
    <row r="1608" spans="1:8" x14ac:dyDescent="0.3">
      <c r="A1608" s="400"/>
      <c r="B1608" s="709">
        <v>5890</v>
      </c>
      <c r="C1608" s="710" t="s">
        <v>1754</v>
      </c>
      <c r="D1608" s="709" t="s">
        <v>230</v>
      </c>
      <c r="E1608" s="716">
        <v>221.64</v>
      </c>
      <c r="F1608" s="717">
        <v>0</v>
      </c>
      <c r="G1608">
        <f>VLOOKUP(B1608,'SINAPI-%MO'!B:E,4,0)</f>
        <v>0.1275</v>
      </c>
      <c r="H1608" s="225">
        <f t="shared" si="24"/>
        <v>193.38</v>
      </c>
    </row>
    <row r="1609" spans="1:8" x14ac:dyDescent="0.3">
      <c r="A1609" s="400"/>
      <c r="B1609" s="709">
        <v>5896</v>
      </c>
      <c r="C1609" s="710" t="s">
        <v>1755</v>
      </c>
      <c r="D1609" s="709" t="s">
        <v>1689</v>
      </c>
      <c r="E1609" s="716">
        <v>63.59</v>
      </c>
      <c r="F1609" s="717">
        <v>0</v>
      </c>
      <c r="G1609">
        <f>VLOOKUP(B1609,'SINAPI-%MO'!B:E,4,0)</f>
        <v>0.44429999999999997</v>
      </c>
      <c r="H1609" s="225">
        <f t="shared" si="24"/>
        <v>35.33</v>
      </c>
    </row>
    <row r="1610" spans="1:8" x14ac:dyDescent="0.3">
      <c r="A1610" s="400"/>
      <c r="B1610" s="709">
        <v>5894</v>
      </c>
      <c r="C1610" s="710" t="s">
        <v>1756</v>
      </c>
      <c r="D1610" s="709" t="s">
        <v>230</v>
      </c>
      <c r="E1610" s="716">
        <v>231.18</v>
      </c>
      <c r="F1610" s="717">
        <v>0</v>
      </c>
      <c r="G1610">
        <f>VLOOKUP(B1610,'SINAPI-%MO'!B:E,4,0)</f>
        <v>0.1222</v>
      </c>
      <c r="H1610" s="225">
        <f t="shared" si="24"/>
        <v>202.92</v>
      </c>
    </row>
    <row r="1611" spans="1:8" x14ac:dyDescent="0.3">
      <c r="A1611" s="400"/>
      <c r="B1611" s="709">
        <v>91032</v>
      </c>
      <c r="C1611" s="710" t="s">
        <v>1757</v>
      </c>
      <c r="D1611" s="709" t="s">
        <v>1689</v>
      </c>
      <c r="E1611" s="716">
        <v>73.3</v>
      </c>
      <c r="F1611" s="717">
        <v>0</v>
      </c>
      <c r="G1611">
        <f>VLOOKUP(B1611,'SINAPI-%MO'!B:E,4,0)</f>
        <v>0.38540000000000002</v>
      </c>
      <c r="H1611" s="225">
        <f t="shared" ref="H1611:H1674" si="25">IF(E1611&gt;0,TRUNC(E1611*(1-G1611),2),"")</f>
        <v>45.05</v>
      </c>
    </row>
    <row r="1612" spans="1:8" x14ac:dyDescent="0.3">
      <c r="A1612" s="400"/>
      <c r="B1612" s="709">
        <v>91031</v>
      </c>
      <c r="C1612" s="710" t="s">
        <v>1758</v>
      </c>
      <c r="D1612" s="709" t="s">
        <v>230</v>
      </c>
      <c r="E1612" s="716">
        <v>284.25</v>
      </c>
      <c r="F1612" s="717">
        <v>0</v>
      </c>
      <c r="G1612">
        <f>VLOOKUP(B1612,'SINAPI-%MO'!B:E,4,0)</f>
        <v>9.9400000000000002E-2</v>
      </c>
      <c r="H1612" s="225">
        <f t="shared" si="25"/>
        <v>255.99</v>
      </c>
    </row>
    <row r="1613" spans="1:8" x14ac:dyDescent="0.3">
      <c r="A1613" s="400"/>
      <c r="B1613" s="709">
        <v>106255</v>
      </c>
      <c r="C1613" s="710" t="s">
        <v>14901</v>
      </c>
      <c r="D1613" s="709" t="s">
        <v>1689</v>
      </c>
      <c r="E1613" s="716">
        <v>0</v>
      </c>
      <c r="F1613" s="717"/>
      <c r="G1613" t="e">
        <f>VLOOKUP(B1613,'SINAPI-%MO'!B:E,4,0)</f>
        <v>#N/A</v>
      </c>
      <c r="H1613" s="225" t="str">
        <f t="shared" si="25"/>
        <v/>
      </c>
    </row>
    <row r="1614" spans="1:8" x14ac:dyDescent="0.3">
      <c r="A1614" s="400"/>
      <c r="B1614" s="709">
        <v>106250</v>
      </c>
      <c r="C1614" s="710" t="s">
        <v>14902</v>
      </c>
      <c r="D1614" s="709" t="s">
        <v>230</v>
      </c>
      <c r="E1614" s="716">
        <v>0</v>
      </c>
      <c r="F1614" s="717"/>
      <c r="G1614" t="e">
        <f>VLOOKUP(B1614,'SINAPI-%MO'!B:E,4,0)</f>
        <v>#N/A</v>
      </c>
      <c r="H1614" s="225" t="str">
        <f t="shared" si="25"/>
        <v/>
      </c>
    </row>
    <row r="1615" spans="1:8" x14ac:dyDescent="0.3">
      <c r="A1615" s="400"/>
      <c r="B1615" s="709">
        <v>106374</v>
      </c>
      <c r="C1615" s="710" t="s">
        <v>14903</v>
      </c>
      <c r="D1615" s="709" t="s">
        <v>1689</v>
      </c>
      <c r="E1615" s="716">
        <v>0</v>
      </c>
      <c r="F1615" s="717"/>
      <c r="G1615" t="e">
        <f>VLOOKUP(B1615,'SINAPI-%MO'!B:E,4,0)</f>
        <v>#N/A</v>
      </c>
      <c r="H1615" s="225" t="str">
        <f t="shared" si="25"/>
        <v/>
      </c>
    </row>
    <row r="1616" spans="1:8" x14ac:dyDescent="0.3">
      <c r="A1616" s="400"/>
      <c r="B1616" s="709">
        <v>106367</v>
      </c>
      <c r="C1616" s="710" t="s">
        <v>14904</v>
      </c>
      <c r="D1616" s="709" t="s">
        <v>230</v>
      </c>
      <c r="E1616" s="716">
        <v>0</v>
      </c>
      <c r="F1616" s="717"/>
      <c r="G1616" t="e">
        <f>VLOOKUP(B1616,'SINAPI-%MO'!B:E,4,0)</f>
        <v>#N/A</v>
      </c>
      <c r="H1616" s="225" t="str">
        <f t="shared" si="25"/>
        <v/>
      </c>
    </row>
    <row r="1617" spans="1:8" x14ac:dyDescent="0.3">
      <c r="A1617" s="400"/>
      <c r="B1617" s="709">
        <v>106375</v>
      </c>
      <c r="C1617" s="710" t="s">
        <v>14905</v>
      </c>
      <c r="D1617" s="709" t="s">
        <v>1689</v>
      </c>
      <c r="E1617" s="716">
        <v>0</v>
      </c>
      <c r="F1617" s="717"/>
      <c r="G1617" t="e">
        <f>VLOOKUP(B1617,'SINAPI-%MO'!B:E,4,0)</f>
        <v>#N/A</v>
      </c>
      <c r="H1617" s="225" t="str">
        <f t="shared" si="25"/>
        <v/>
      </c>
    </row>
    <row r="1618" spans="1:8" x14ac:dyDescent="0.3">
      <c r="A1618" s="400"/>
      <c r="B1618" s="709">
        <v>106368</v>
      </c>
      <c r="C1618" s="710" t="s">
        <v>14906</v>
      </c>
      <c r="D1618" s="709" t="s">
        <v>230</v>
      </c>
      <c r="E1618" s="716">
        <v>0</v>
      </c>
      <c r="F1618" s="717"/>
      <c r="G1618" t="e">
        <f>VLOOKUP(B1618,'SINAPI-%MO'!B:E,4,0)</f>
        <v>#N/A</v>
      </c>
      <c r="H1618" s="225" t="str">
        <f t="shared" si="25"/>
        <v/>
      </c>
    </row>
    <row r="1619" spans="1:8" x14ac:dyDescent="0.3">
      <c r="A1619" s="400"/>
      <c r="B1619" s="709">
        <v>102817</v>
      </c>
      <c r="C1619" s="710" t="s">
        <v>1759</v>
      </c>
      <c r="D1619" s="709" t="s">
        <v>1689</v>
      </c>
      <c r="E1619" s="716">
        <v>0</v>
      </c>
      <c r="F1619" s="717"/>
      <c r="G1619" t="e">
        <f>VLOOKUP(B1619,'SINAPI-%MO'!B:E,4,0)</f>
        <v>#N/A</v>
      </c>
      <c r="H1619" s="225" t="str">
        <f t="shared" si="25"/>
        <v/>
      </c>
    </row>
    <row r="1620" spans="1:8" x14ac:dyDescent="0.3">
      <c r="A1620" s="400"/>
      <c r="B1620" s="709">
        <v>102816</v>
      </c>
      <c r="C1620" s="710" t="s">
        <v>1760</v>
      </c>
      <c r="D1620" s="709" t="s">
        <v>230</v>
      </c>
      <c r="E1620" s="716">
        <v>0</v>
      </c>
      <c r="F1620" s="717"/>
      <c r="G1620" t="e">
        <f>VLOOKUP(B1620,'SINAPI-%MO'!B:E,4,0)</f>
        <v>#N/A</v>
      </c>
      <c r="H1620" s="225" t="str">
        <f t="shared" si="25"/>
        <v/>
      </c>
    </row>
    <row r="1621" spans="1:8" x14ac:dyDescent="0.3">
      <c r="A1621" s="400"/>
      <c r="B1621" s="709">
        <v>91534</v>
      </c>
      <c r="C1621" s="710" t="s">
        <v>1761</v>
      </c>
      <c r="D1621" s="709" t="s">
        <v>1689</v>
      </c>
      <c r="E1621" s="716">
        <v>37.01</v>
      </c>
      <c r="F1621" s="717">
        <v>0</v>
      </c>
      <c r="G1621">
        <f>VLOOKUP(B1621,'SINAPI-%MO'!B:E,4,0)</f>
        <v>0.96540000000000004</v>
      </c>
      <c r="H1621" s="225">
        <f t="shared" si="25"/>
        <v>1.28</v>
      </c>
    </row>
    <row r="1622" spans="1:8" x14ac:dyDescent="0.3">
      <c r="A1622" s="400"/>
      <c r="B1622" s="709">
        <v>91533</v>
      </c>
      <c r="C1622" s="710" t="s">
        <v>1762</v>
      </c>
      <c r="D1622" s="709" t="s">
        <v>230</v>
      </c>
      <c r="E1622" s="716">
        <v>44.68</v>
      </c>
      <c r="F1622" s="717">
        <v>0</v>
      </c>
      <c r="G1622">
        <f>VLOOKUP(B1622,'SINAPI-%MO'!B:E,4,0)</f>
        <v>0.79969999999999997</v>
      </c>
      <c r="H1622" s="225">
        <f t="shared" si="25"/>
        <v>8.94</v>
      </c>
    </row>
    <row r="1623" spans="1:8" x14ac:dyDescent="0.3">
      <c r="A1623" s="400"/>
      <c r="B1623" s="709">
        <v>95265</v>
      </c>
      <c r="C1623" s="710" t="s">
        <v>1763</v>
      </c>
      <c r="D1623" s="709" t="s">
        <v>1689</v>
      </c>
      <c r="E1623" s="716">
        <v>1.02</v>
      </c>
      <c r="F1623" s="717">
        <v>0</v>
      </c>
      <c r="G1623">
        <f>VLOOKUP(B1623,'SINAPI-%MO'!B:E,4,0)</f>
        <v>0</v>
      </c>
      <c r="H1623" s="225">
        <f t="shared" si="25"/>
        <v>1.02</v>
      </c>
    </row>
    <row r="1624" spans="1:8" x14ac:dyDescent="0.3">
      <c r="A1624" s="400"/>
      <c r="B1624" s="709">
        <v>95264</v>
      </c>
      <c r="C1624" s="710" t="s">
        <v>1764</v>
      </c>
      <c r="D1624" s="709" t="s">
        <v>230</v>
      </c>
      <c r="E1624" s="716">
        <v>6.89</v>
      </c>
      <c r="F1624" s="717">
        <v>0</v>
      </c>
      <c r="G1624">
        <f>VLOOKUP(B1624,'SINAPI-%MO'!B:E,4,0)</f>
        <v>0</v>
      </c>
      <c r="H1624" s="225">
        <f t="shared" si="25"/>
        <v>6.89</v>
      </c>
    </row>
    <row r="1625" spans="1:8" x14ac:dyDescent="0.3">
      <c r="A1625" s="400"/>
      <c r="B1625" s="709">
        <v>90973</v>
      </c>
      <c r="C1625" s="710" t="s">
        <v>1765</v>
      </c>
      <c r="D1625" s="709" t="s">
        <v>1689</v>
      </c>
      <c r="E1625" s="716">
        <v>8.93</v>
      </c>
      <c r="F1625" s="717">
        <v>1</v>
      </c>
      <c r="G1625">
        <f>VLOOKUP(B1625,'SINAPI-%MO'!B:E,4,0)</f>
        <v>0</v>
      </c>
      <c r="H1625" s="225">
        <f t="shared" si="25"/>
        <v>8.93</v>
      </c>
    </row>
    <row r="1626" spans="1:8" x14ac:dyDescent="0.3">
      <c r="A1626" s="400"/>
      <c r="B1626" s="709">
        <v>90972</v>
      </c>
      <c r="C1626" s="710" t="s">
        <v>1766</v>
      </c>
      <c r="D1626" s="709" t="s">
        <v>230</v>
      </c>
      <c r="E1626" s="716">
        <v>83.07</v>
      </c>
      <c r="F1626" s="717">
        <v>0.21360000000000001</v>
      </c>
      <c r="G1626">
        <f>VLOOKUP(B1626,'SINAPI-%MO'!B:E,4,0)</f>
        <v>0</v>
      </c>
      <c r="H1626" s="225">
        <f t="shared" si="25"/>
        <v>83.07</v>
      </c>
    </row>
    <row r="1627" spans="1:8" x14ac:dyDescent="0.3">
      <c r="A1627" s="400"/>
      <c r="B1627" s="709">
        <v>91001</v>
      </c>
      <c r="C1627" s="710" t="s">
        <v>1767</v>
      </c>
      <c r="D1627" s="709" t="s">
        <v>1689</v>
      </c>
      <c r="E1627" s="716">
        <v>10.59</v>
      </c>
      <c r="F1627" s="717">
        <v>1</v>
      </c>
      <c r="G1627">
        <f>VLOOKUP(B1627,'SINAPI-%MO'!B:E,4,0)</f>
        <v>0</v>
      </c>
      <c r="H1627" s="225">
        <f t="shared" si="25"/>
        <v>10.59</v>
      </c>
    </row>
    <row r="1628" spans="1:8" x14ac:dyDescent="0.3">
      <c r="A1628" s="400"/>
      <c r="B1628" s="709">
        <v>90999</v>
      </c>
      <c r="C1628" s="710" t="s">
        <v>1768</v>
      </c>
      <c r="D1628" s="709" t="s">
        <v>230</v>
      </c>
      <c r="E1628" s="716">
        <v>109.79</v>
      </c>
      <c r="F1628" s="717">
        <v>0.19159999999999999</v>
      </c>
      <c r="G1628">
        <f>VLOOKUP(B1628,'SINAPI-%MO'!B:E,4,0)</f>
        <v>0</v>
      </c>
      <c r="H1628" s="225">
        <f t="shared" si="25"/>
        <v>109.79</v>
      </c>
    </row>
    <row r="1629" spans="1:8" x14ac:dyDescent="0.3">
      <c r="A1629" s="400"/>
      <c r="B1629" s="709">
        <v>5954</v>
      </c>
      <c r="C1629" s="710" t="s">
        <v>1769</v>
      </c>
      <c r="D1629" s="709" t="s">
        <v>1689</v>
      </c>
      <c r="E1629" s="716">
        <v>6.67</v>
      </c>
      <c r="F1629" s="717">
        <v>1</v>
      </c>
      <c r="G1629">
        <f>VLOOKUP(B1629,'SINAPI-%MO'!B:E,4,0)</f>
        <v>0</v>
      </c>
      <c r="H1629" s="225">
        <f t="shared" si="25"/>
        <v>6.67</v>
      </c>
    </row>
    <row r="1630" spans="1:8" x14ac:dyDescent="0.3">
      <c r="A1630" s="400"/>
      <c r="B1630" s="709">
        <v>5953</v>
      </c>
      <c r="C1630" s="710" t="s">
        <v>1770</v>
      </c>
      <c r="D1630" s="709" t="s">
        <v>230</v>
      </c>
      <c r="E1630" s="716">
        <v>64.069999999999993</v>
      </c>
      <c r="F1630" s="717">
        <v>0.20680000000000001</v>
      </c>
      <c r="G1630">
        <f>VLOOKUP(B1630,'SINAPI-%MO'!B:E,4,0)</f>
        <v>0</v>
      </c>
      <c r="H1630" s="225">
        <f t="shared" si="25"/>
        <v>64.069999999999993</v>
      </c>
    </row>
    <row r="1631" spans="1:8" x14ac:dyDescent="0.3">
      <c r="A1631" s="400"/>
      <c r="B1631" s="709">
        <v>90982</v>
      </c>
      <c r="C1631" s="710" t="s">
        <v>1771</v>
      </c>
      <c r="D1631" s="709" t="s">
        <v>1689</v>
      </c>
      <c r="E1631" s="716">
        <v>22.69</v>
      </c>
      <c r="F1631" s="717">
        <v>1</v>
      </c>
      <c r="G1631">
        <f>VLOOKUP(B1631,'SINAPI-%MO'!B:E,4,0)</f>
        <v>0</v>
      </c>
      <c r="H1631" s="225">
        <f t="shared" si="25"/>
        <v>22.69</v>
      </c>
    </row>
    <row r="1632" spans="1:8" x14ac:dyDescent="0.3">
      <c r="A1632" s="400"/>
      <c r="B1632" s="709">
        <v>90979</v>
      </c>
      <c r="C1632" s="710" t="s">
        <v>1772</v>
      </c>
      <c r="D1632" s="709" t="s">
        <v>230</v>
      </c>
      <c r="E1632" s="716">
        <v>214.58</v>
      </c>
      <c r="F1632" s="717">
        <v>0.21010000000000001</v>
      </c>
      <c r="G1632">
        <f>VLOOKUP(B1632,'SINAPI-%MO'!B:E,4,0)</f>
        <v>0</v>
      </c>
      <c r="H1632" s="225">
        <f t="shared" si="25"/>
        <v>214.58</v>
      </c>
    </row>
    <row r="1633" spans="1:8" x14ac:dyDescent="0.3">
      <c r="A1633" s="400"/>
      <c r="B1633" s="709">
        <v>90965</v>
      </c>
      <c r="C1633" s="710" t="s">
        <v>1773</v>
      </c>
      <c r="D1633" s="709" t="s">
        <v>1689</v>
      </c>
      <c r="E1633" s="716">
        <v>8.9</v>
      </c>
      <c r="F1633" s="717">
        <v>1</v>
      </c>
      <c r="G1633">
        <f>VLOOKUP(B1633,'SINAPI-%MO'!B:E,4,0)</f>
        <v>0</v>
      </c>
      <c r="H1633" s="225">
        <f t="shared" si="25"/>
        <v>8.9</v>
      </c>
    </row>
    <row r="1634" spans="1:8" x14ac:dyDescent="0.3">
      <c r="A1634" s="400"/>
      <c r="B1634" s="709">
        <v>90964</v>
      </c>
      <c r="C1634" s="710" t="s">
        <v>1774</v>
      </c>
      <c r="D1634" s="709" t="s">
        <v>230</v>
      </c>
      <c r="E1634" s="716">
        <v>33.81</v>
      </c>
      <c r="F1634" s="717">
        <v>0.5232</v>
      </c>
      <c r="G1634">
        <f>VLOOKUP(B1634,'SINAPI-%MO'!B:E,4,0)</f>
        <v>0</v>
      </c>
      <c r="H1634" s="225">
        <f t="shared" si="25"/>
        <v>33.81</v>
      </c>
    </row>
    <row r="1635" spans="1:8" x14ac:dyDescent="0.3">
      <c r="A1635" s="400"/>
      <c r="B1635" s="709">
        <v>102970</v>
      </c>
      <c r="C1635" s="710" t="s">
        <v>1775</v>
      </c>
      <c r="D1635" s="709" t="s">
        <v>1689</v>
      </c>
      <c r="E1635" s="716">
        <v>0.24</v>
      </c>
      <c r="F1635" s="717">
        <v>0</v>
      </c>
      <c r="G1635">
        <f>VLOOKUP(B1635,'SINAPI-%MO'!B:E,4,0)</f>
        <v>0</v>
      </c>
      <c r="H1635" s="225">
        <f t="shared" si="25"/>
        <v>0.24</v>
      </c>
    </row>
    <row r="1636" spans="1:8" x14ac:dyDescent="0.3">
      <c r="A1636" s="400"/>
      <c r="B1636" s="709">
        <v>102971</v>
      </c>
      <c r="C1636" s="710" t="s">
        <v>1776</v>
      </c>
      <c r="D1636" s="709" t="s">
        <v>230</v>
      </c>
      <c r="E1636" s="716">
        <v>0.57999999999999996</v>
      </c>
      <c r="F1636" s="717">
        <v>0</v>
      </c>
      <c r="G1636">
        <f>VLOOKUP(B1636,'SINAPI-%MO'!B:E,4,0)</f>
        <v>0</v>
      </c>
      <c r="H1636" s="225">
        <f t="shared" si="25"/>
        <v>0.57999999999999996</v>
      </c>
    </row>
    <row r="1637" spans="1:8" x14ac:dyDescent="0.3">
      <c r="A1637" s="400"/>
      <c r="B1637" s="709">
        <v>102822</v>
      </c>
      <c r="C1637" s="710" t="s">
        <v>1777</v>
      </c>
      <c r="D1637" s="709" t="s">
        <v>1689</v>
      </c>
      <c r="E1637" s="716">
        <v>0</v>
      </c>
      <c r="F1637" s="717"/>
      <c r="G1637" t="e">
        <f>VLOOKUP(B1637,'SINAPI-%MO'!B:E,4,0)</f>
        <v>#N/A</v>
      </c>
      <c r="H1637" s="225" t="str">
        <f t="shared" si="25"/>
        <v/>
      </c>
    </row>
    <row r="1638" spans="1:8" x14ac:dyDescent="0.3">
      <c r="A1638" s="400"/>
      <c r="B1638" s="709">
        <v>102821</v>
      </c>
      <c r="C1638" s="710" t="s">
        <v>1778</v>
      </c>
      <c r="D1638" s="709" t="s">
        <v>230</v>
      </c>
      <c r="E1638" s="716">
        <v>0</v>
      </c>
      <c r="F1638" s="717"/>
      <c r="G1638" t="e">
        <f>VLOOKUP(B1638,'SINAPI-%MO'!B:E,4,0)</f>
        <v>#N/A</v>
      </c>
      <c r="H1638" s="225" t="str">
        <f t="shared" si="25"/>
        <v/>
      </c>
    </row>
    <row r="1639" spans="1:8" x14ac:dyDescent="0.3">
      <c r="A1639" s="400"/>
      <c r="B1639" s="709">
        <v>102828</v>
      </c>
      <c r="C1639" s="710" t="s">
        <v>1779</v>
      </c>
      <c r="D1639" s="709" t="s">
        <v>1689</v>
      </c>
      <c r="E1639" s="716">
        <v>0</v>
      </c>
      <c r="F1639" s="717"/>
      <c r="G1639" t="e">
        <f>VLOOKUP(B1639,'SINAPI-%MO'!B:E,4,0)</f>
        <v>#N/A</v>
      </c>
      <c r="H1639" s="225" t="str">
        <f t="shared" si="25"/>
        <v/>
      </c>
    </row>
    <row r="1640" spans="1:8" x14ac:dyDescent="0.3">
      <c r="A1640" s="400"/>
      <c r="B1640" s="709">
        <v>102827</v>
      </c>
      <c r="C1640" s="710" t="s">
        <v>1780</v>
      </c>
      <c r="D1640" s="709" t="s">
        <v>230</v>
      </c>
      <c r="E1640" s="716">
        <v>0</v>
      </c>
      <c r="F1640" s="717"/>
      <c r="G1640" t="e">
        <f>VLOOKUP(B1640,'SINAPI-%MO'!B:E,4,0)</f>
        <v>#N/A</v>
      </c>
      <c r="H1640" s="225" t="str">
        <f t="shared" si="25"/>
        <v/>
      </c>
    </row>
    <row r="1641" spans="1:8" x14ac:dyDescent="0.3">
      <c r="A1641" s="400"/>
      <c r="B1641" s="709">
        <v>103939</v>
      </c>
      <c r="C1641" s="710" t="s">
        <v>1781</v>
      </c>
      <c r="D1641" s="709" t="s">
        <v>1689</v>
      </c>
      <c r="E1641" s="716">
        <v>0</v>
      </c>
      <c r="F1641" s="717"/>
      <c r="G1641" t="e">
        <f>VLOOKUP(B1641,'SINAPI-%MO'!B:E,4,0)</f>
        <v>#N/A</v>
      </c>
      <c r="H1641" s="225" t="str">
        <f t="shared" si="25"/>
        <v/>
      </c>
    </row>
    <row r="1642" spans="1:8" x14ac:dyDescent="0.3">
      <c r="A1642" s="400"/>
      <c r="B1642" s="709">
        <v>103938</v>
      </c>
      <c r="C1642" s="710" t="s">
        <v>1782</v>
      </c>
      <c r="D1642" s="709" t="s">
        <v>230</v>
      </c>
      <c r="E1642" s="716">
        <v>0</v>
      </c>
      <c r="F1642" s="717"/>
      <c r="G1642" t="e">
        <f>VLOOKUP(B1642,'SINAPI-%MO'!B:E,4,0)</f>
        <v>#N/A</v>
      </c>
      <c r="H1642" s="225" t="str">
        <f t="shared" si="25"/>
        <v/>
      </c>
    </row>
    <row r="1643" spans="1:8" x14ac:dyDescent="0.3">
      <c r="A1643" s="400"/>
      <c r="B1643" s="709">
        <v>103945</v>
      </c>
      <c r="C1643" s="710" t="s">
        <v>1783</v>
      </c>
      <c r="D1643" s="709" t="s">
        <v>1689</v>
      </c>
      <c r="E1643" s="716">
        <v>0</v>
      </c>
      <c r="F1643" s="717"/>
      <c r="G1643" t="e">
        <f>VLOOKUP(B1643,'SINAPI-%MO'!B:E,4,0)</f>
        <v>#N/A</v>
      </c>
      <c r="H1643" s="225" t="str">
        <f t="shared" si="25"/>
        <v/>
      </c>
    </row>
    <row r="1644" spans="1:8" x14ac:dyDescent="0.3">
      <c r="A1644" s="400"/>
      <c r="B1644" s="709">
        <v>103944</v>
      </c>
      <c r="C1644" s="710" t="s">
        <v>1784</v>
      </c>
      <c r="D1644" s="709" t="s">
        <v>230</v>
      </c>
      <c r="E1644" s="716">
        <v>0</v>
      </c>
      <c r="F1644" s="717"/>
      <c r="G1644" t="e">
        <f>VLOOKUP(B1644,'SINAPI-%MO'!B:E,4,0)</f>
        <v>#N/A</v>
      </c>
      <c r="H1644" s="225" t="str">
        <f t="shared" si="25"/>
        <v/>
      </c>
    </row>
    <row r="1645" spans="1:8" x14ac:dyDescent="0.3">
      <c r="A1645" s="400"/>
      <c r="B1645" s="709">
        <v>106416</v>
      </c>
      <c r="C1645" s="710" t="s">
        <v>13333</v>
      </c>
      <c r="D1645" s="709" t="s">
        <v>1689</v>
      </c>
      <c r="E1645" s="716">
        <v>14.14</v>
      </c>
      <c r="F1645" s="717">
        <v>0</v>
      </c>
      <c r="G1645">
        <f>VLOOKUP(B1645,'SINAPI-%MO'!B:E,4,0)</f>
        <v>0</v>
      </c>
      <c r="H1645" s="225">
        <f t="shared" si="25"/>
        <v>14.14</v>
      </c>
    </row>
    <row r="1646" spans="1:8" x14ac:dyDescent="0.3">
      <c r="A1646" s="400"/>
      <c r="B1646" s="709">
        <v>106414</v>
      </c>
      <c r="C1646" s="710" t="s">
        <v>13334</v>
      </c>
      <c r="D1646" s="709" t="s">
        <v>230</v>
      </c>
      <c r="E1646" s="716">
        <v>26.6</v>
      </c>
      <c r="F1646" s="717">
        <v>0</v>
      </c>
      <c r="G1646">
        <f>VLOOKUP(B1646,'SINAPI-%MO'!B:E,4,0)</f>
        <v>0</v>
      </c>
      <c r="H1646" s="225">
        <f t="shared" si="25"/>
        <v>26.6</v>
      </c>
    </row>
    <row r="1647" spans="1:8" x14ac:dyDescent="0.3">
      <c r="A1647" s="400"/>
      <c r="B1647" s="709">
        <v>91285</v>
      </c>
      <c r="C1647" s="710" t="s">
        <v>1785</v>
      </c>
      <c r="D1647" s="709" t="s">
        <v>1689</v>
      </c>
      <c r="E1647" s="716">
        <v>0.56999999999999995</v>
      </c>
      <c r="F1647" s="717">
        <v>0</v>
      </c>
      <c r="G1647">
        <f>VLOOKUP(B1647,'SINAPI-%MO'!B:E,4,0)</f>
        <v>0</v>
      </c>
      <c r="H1647" s="225">
        <f t="shared" si="25"/>
        <v>0.56999999999999995</v>
      </c>
    </row>
    <row r="1648" spans="1:8" x14ac:dyDescent="0.3">
      <c r="A1648" s="400"/>
      <c r="B1648" s="709">
        <v>91283</v>
      </c>
      <c r="C1648" s="710" t="s">
        <v>1786</v>
      </c>
      <c r="D1648" s="709" t="s">
        <v>230</v>
      </c>
      <c r="E1648" s="716">
        <v>10.19</v>
      </c>
      <c r="F1648" s="717">
        <v>0</v>
      </c>
      <c r="G1648">
        <f>VLOOKUP(B1648,'SINAPI-%MO'!B:E,4,0)</f>
        <v>0</v>
      </c>
      <c r="H1648" s="225">
        <f t="shared" si="25"/>
        <v>10.19</v>
      </c>
    </row>
    <row r="1649" spans="1:8" x14ac:dyDescent="0.3">
      <c r="A1649" s="400"/>
      <c r="B1649" s="709">
        <v>95283</v>
      </c>
      <c r="C1649" s="710" t="s">
        <v>1787</v>
      </c>
      <c r="D1649" s="709" t="s">
        <v>1689</v>
      </c>
      <c r="E1649" s="716">
        <v>0.79</v>
      </c>
      <c r="F1649" s="717">
        <v>1</v>
      </c>
      <c r="G1649">
        <f>VLOOKUP(B1649,'SINAPI-%MO'!B:E,4,0)</f>
        <v>0</v>
      </c>
      <c r="H1649" s="225">
        <f t="shared" si="25"/>
        <v>0.79</v>
      </c>
    </row>
    <row r="1650" spans="1:8" x14ac:dyDescent="0.3">
      <c r="A1650" s="400"/>
      <c r="B1650" s="709">
        <v>95282</v>
      </c>
      <c r="C1650" s="710" t="s">
        <v>1788</v>
      </c>
      <c r="D1650" s="709" t="s">
        <v>230</v>
      </c>
      <c r="E1650" s="716">
        <v>10.4</v>
      </c>
      <c r="F1650" s="717">
        <v>0.13750000000000001</v>
      </c>
      <c r="G1650">
        <f>VLOOKUP(B1650,'SINAPI-%MO'!B:E,4,0)</f>
        <v>0</v>
      </c>
      <c r="H1650" s="225">
        <f t="shared" si="25"/>
        <v>10.4</v>
      </c>
    </row>
    <row r="1651" spans="1:8" x14ac:dyDescent="0.3">
      <c r="A1651" s="400"/>
      <c r="B1651" s="709">
        <v>95128</v>
      </c>
      <c r="C1651" s="710" t="s">
        <v>1789</v>
      </c>
      <c r="D1651" s="709" t="s">
        <v>1689</v>
      </c>
      <c r="E1651" s="716">
        <v>62.35</v>
      </c>
      <c r="F1651" s="717">
        <v>0.4269</v>
      </c>
      <c r="G1651">
        <f>VLOOKUP(B1651,'SINAPI-%MO'!B:E,4,0)</f>
        <v>0.57310000000000005</v>
      </c>
      <c r="H1651" s="225">
        <f t="shared" si="25"/>
        <v>26.61</v>
      </c>
    </row>
    <row r="1652" spans="1:8" x14ac:dyDescent="0.3">
      <c r="A1652" s="400"/>
      <c r="B1652" s="709">
        <v>95127</v>
      </c>
      <c r="C1652" s="710" t="s">
        <v>1790</v>
      </c>
      <c r="D1652" s="709" t="s">
        <v>230</v>
      </c>
      <c r="E1652" s="716">
        <v>243.34</v>
      </c>
      <c r="F1652" s="717">
        <v>0.2009</v>
      </c>
      <c r="G1652">
        <f>VLOOKUP(B1652,'SINAPI-%MO'!B:E,4,0)</f>
        <v>0.14680000000000001</v>
      </c>
      <c r="H1652" s="225">
        <f t="shared" si="25"/>
        <v>207.61</v>
      </c>
    </row>
    <row r="1653" spans="1:8" x14ac:dyDescent="0.3">
      <c r="A1653" s="400"/>
      <c r="B1653" s="709">
        <v>92044</v>
      </c>
      <c r="C1653" s="710" t="s">
        <v>1791</v>
      </c>
      <c r="D1653" s="709" t="s">
        <v>1689</v>
      </c>
      <c r="E1653" s="716">
        <v>8.8800000000000008</v>
      </c>
      <c r="F1653" s="717">
        <v>1</v>
      </c>
      <c r="G1653">
        <f>VLOOKUP(B1653,'SINAPI-%MO'!B:E,4,0)</f>
        <v>0</v>
      </c>
      <c r="H1653" s="225">
        <f t="shared" si="25"/>
        <v>8.8800000000000008</v>
      </c>
    </row>
    <row r="1654" spans="1:8" x14ac:dyDescent="0.3">
      <c r="A1654" s="400"/>
      <c r="B1654" s="709">
        <v>92043</v>
      </c>
      <c r="C1654" s="710" t="s">
        <v>1792</v>
      </c>
      <c r="D1654" s="709" t="s">
        <v>230</v>
      </c>
      <c r="E1654" s="716">
        <v>15.02</v>
      </c>
      <c r="F1654" s="717">
        <v>1</v>
      </c>
      <c r="G1654">
        <f>VLOOKUP(B1654,'SINAPI-%MO'!B:E,4,0)</f>
        <v>0</v>
      </c>
      <c r="H1654" s="225">
        <f t="shared" si="25"/>
        <v>15.02</v>
      </c>
    </row>
    <row r="1655" spans="1:8" x14ac:dyDescent="0.3">
      <c r="A1655" s="400"/>
      <c r="B1655" s="709">
        <v>106417</v>
      </c>
      <c r="C1655" s="710" t="s">
        <v>13335</v>
      </c>
      <c r="D1655" s="709" t="s">
        <v>1689</v>
      </c>
      <c r="E1655" s="716">
        <v>8.0500000000000007</v>
      </c>
      <c r="F1655" s="717">
        <v>0</v>
      </c>
      <c r="G1655">
        <f>VLOOKUP(B1655,'SINAPI-%MO'!B:E,4,0)</f>
        <v>0</v>
      </c>
      <c r="H1655" s="225">
        <f t="shared" si="25"/>
        <v>8.0500000000000007</v>
      </c>
    </row>
    <row r="1656" spans="1:8" x14ac:dyDescent="0.3">
      <c r="A1656" s="400"/>
      <c r="B1656" s="709">
        <v>106415</v>
      </c>
      <c r="C1656" s="710" t="s">
        <v>13336</v>
      </c>
      <c r="D1656" s="709" t="s">
        <v>230</v>
      </c>
      <c r="E1656" s="716">
        <v>16.89</v>
      </c>
      <c r="F1656" s="717">
        <v>0</v>
      </c>
      <c r="G1656">
        <f>VLOOKUP(B1656,'SINAPI-%MO'!B:E,4,0)</f>
        <v>0</v>
      </c>
      <c r="H1656" s="225">
        <f t="shared" si="25"/>
        <v>16.89</v>
      </c>
    </row>
    <row r="1657" spans="1:8" x14ac:dyDescent="0.3">
      <c r="A1657" s="400"/>
      <c r="B1657" s="709">
        <v>102834</v>
      </c>
      <c r="C1657" s="710" t="s">
        <v>1793</v>
      </c>
      <c r="D1657" s="709" t="s">
        <v>1689</v>
      </c>
      <c r="E1657" s="716">
        <v>0</v>
      </c>
      <c r="F1657" s="717"/>
      <c r="G1657" t="e">
        <f>VLOOKUP(B1657,'SINAPI-%MO'!B:E,4,0)</f>
        <v>#N/A</v>
      </c>
      <c r="H1657" s="225" t="str">
        <f t="shared" si="25"/>
        <v/>
      </c>
    </row>
    <row r="1658" spans="1:8" x14ac:dyDescent="0.3">
      <c r="A1658" s="400"/>
      <c r="B1658" s="709">
        <v>102833</v>
      </c>
      <c r="C1658" s="710" t="s">
        <v>1794</v>
      </c>
      <c r="D1658" s="709" t="s">
        <v>230</v>
      </c>
      <c r="E1658" s="716">
        <v>0</v>
      </c>
      <c r="F1658" s="717"/>
      <c r="G1658" t="e">
        <f>VLOOKUP(B1658,'SINAPI-%MO'!B:E,4,0)</f>
        <v>#N/A</v>
      </c>
      <c r="H1658" s="225" t="str">
        <f t="shared" si="25"/>
        <v/>
      </c>
    </row>
    <row r="1659" spans="1:8" x14ac:dyDescent="0.3">
      <c r="A1659" s="400"/>
      <c r="B1659" s="709">
        <v>92119</v>
      </c>
      <c r="C1659" s="710" t="s">
        <v>1795</v>
      </c>
      <c r="D1659" s="709" t="s">
        <v>1689</v>
      </c>
      <c r="E1659" s="716">
        <v>0.27</v>
      </c>
      <c r="F1659" s="717">
        <v>0</v>
      </c>
      <c r="G1659">
        <f>VLOOKUP(B1659,'SINAPI-%MO'!B:E,4,0)</f>
        <v>0</v>
      </c>
      <c r="H1659" s="225">
        <f t="shared" si="25"/>
        <v>0.27</v>
      </c>
    </row>
    <row r="1660" spans="1:8" x14ac:dyDescent="0.3">
      <c r="A1660" s="400"/>
      <c r="B1660" s="709">
        <v>92118</v>
      </c>
      <c r="C1660" s="710" t="s">
        <v>1796</v>
      </c>
      <c r="D1660" s="709" t="s">
        <v>230</v>
      </c>
      <c r="E1660" s="716">
        <v>0.43</v>
      </c>
      <c r="F1660" s="717">
        <v>0</v>
      </c>
      <c r="G1660">
        <f>VLOOKUP(B1660,'SINAPI-%MO'!B:E,4,0)</f>
        <v>0</v>
      </c>
      <c r="H1660" s="225">
        <f t="shared" si="25"/>
        <v>0.43</v>
      </c>
    </row>
    <row r="1661" spans="1:8" x14ac:dyDescent="0.3">
      <c r="A1661" s="400"/>
      <c r="B1661" s="709">
        <v>102917</v>
      </c>
      <c r="C1661" s="710" t="s">
        <v>1797</v>
      </c>
      <c r="D1661" s="709" t="s">
        <v>1689</v>
      </c>
      <c r="E1661" s="716">
        <v>0</v>
      </c>
      <c r="F1661" s="717"/>
      <c r="G1661" t="e">
        <f>VLOOKUP(B1661,'SINAPI-%MO'!B:E,4,0)</f>
        <v>#N/A</v>
      </c>
      <c r="H1661" s="225" t="str">
        <f t="shared" si="25"/>
        <v/>
      </c>
    </row>
    <row r="1662" spans="1:8" x14ac:dyDescent="0.3">
      <c r="A1662" s="400"/>
      <c r="B1662" s="709">
        <v>102916</v>
      </c>
      <c r="C1662" s="710" t="s">
        <v>1798</v>
      </c>
      <c r="D1662" s="709" t="s">
        <v>230</v>
      </c>
      <c r="E1662" s="716">
        <v>0</v>
      </c>
      <c r="F1662" s="717"/>
      <c r="G1662" t="e">
        <f>VLOOKUP(B1662,'SINAPI-%MO'!B:E,4,0)</f>
        <v>#N/A</v>
      </c>
      <c r="H1662" s="225" t="str">
        <f t="shared" si="25"/>
        <v/>
      </c>
    </row>
    <row r="1663" spans="1:8" x14ac:dyDescent="0.3">
      <c r="A1663" s="400"/>
      <c r="B1663" s="709">
        <v>95721</v>
      </c>
      <c r="C1663" s="710" t="s">
        <v>1799</v>
      </c>
      <c r="D1663" s="709" t="s">
        <v>1689</v>
      </c>
      <c r="E1663" s="716">
        <v>113.52</v>
      </c>
      <c r="F1663" s="717">
        <v>0</v>
      </c>
      <c r="G1663">
        <f>VLOOKUP(B1663,'SINAPI-%MO'!B:E,4,0)</f>
        <v>0.29620000000000002</v>
      </c>
      <c r="H1663" s="225">
        <f t="shared" si="25"/>
        <v>79.89</v>
      </c>
    </row>
    <row r="1664" spans="1:8" x14ac:dyDescent="0.3">
      <c r="A1664" s="400"/>
      <c r="B1664" s="709">
        <v>95720</v>
      </c>
      <c r="C1664" s="710" t="s">
        <v>1800</v>
      </c>
      <c r="D1664" s="709" t="s">
        <v>230</v>
      </c>
      <c r="E1664" s="716">
        <v>289.45</v>
      </c>
      <c r="F1664" s="717">
        <v>0</v>
      </c>
      <c r="G1664">
        <f>VLOOKUP(B1664,'SINAPI-%MO'!B:E,4,0)</f>
        <v>0.1162</v>
      </c>
      <c r="H1664" s="225">
        <f t="shared" si="25"/>
        <v>255.81</v>
      </c>
    </row>
    <row r="1665" spans="1:8" x14ac:dyDescent="0.3">
      <c r="A1665" s="400"/>
      <c r="B1665" s="709">
        <v>104717</v>
      </c>
      <c r="C1665" s="710" t="s">
        <v>1801</v>
      </c>
      <c r="D1665" s="709" t="s">
        <v>1689</v>
      </c>
      <c r="E1665" s="716">
        <v>108.72</v>
      </c>
      <c r="F1665" s="717">
        <v>0</v>
      </c>
      <c r="G1665">
        <f>VLOOKUP(B1665,'SINAPI-%MO'!B:E,4,0)</f>
        <v>0.30930000000000002</v>
      </c>
      <c r="H1665" s="225">
        <f t="shared" si="25"/>
        <v>75.09</v>
      </c>
    </row>
    <row r="1666" spans="1:8" x14ac:dyDescent="0.3">
      <c r="A1666" s="400"/>
      <c r="B1666" s="709">
        <v>104716</v>
      </c>
      <c r="C1666" s="710" t="s">
        <v>1802</v>
      </c>
      <c r="D1666" s="709" t="s">
        <v>230</v>
      </c>
      <c r="E1666" s="716">
        <v>279.91000000000003</v>
      </c>
      <c r="F1666" s="717">
        <v>0</v>
      </c>
      <c r="G1666">
        <f>VLOOKUP(B1666,'SINAPI-%MO'!B:E,4,0)</f>
        <v>0.1201</v>
      </c>
      <c r="H1666" s="225">
        <f t="shared" si="25"/>
        <v>246.29</v>
      </c>
    </row>
    <row r="1667" spans="1:8" x14ac:dyDescent="0.3">
      <c r="A1667" s="400"/>
      <c r="B1667" s="709">
        <v>106399</v>
      </c>
      <c r="C1667" s="710" t="s">
        <v>14907</v>
      </c>
      <c r="D1667" s="709" t="s">
        <v>1689</v>
      </c>
      <c r="E1667" s="716">
        <v>0</v>
      </c>
      <c r="F1667" s="717"/>
      <c r="G1667" t="e">
        <f>VLOOKUP(B1667,'SINAPI-%MO'!B:E,4,0)</f>
        <v>#N/A</v>
      </c>
      <c r="H1667" s="225" t="str">
        <f t="shared" si="25"/>
        <v/>
      </c>
    </row>
    <row r="1668" spans="1:8" x14ac:dyDescent="0.3">
      <c r="A1668" s="400"/>
      <c r="B1668" s="709">
        <v>106398</v>
      </c>
      <c r="C1668" s="710" t="s">
        <v>14908</v>
      </c>
      <c r="D1668" s="709" t="s">
        <v>230</v>
      </c>
      <c r="E1668" s="716">
        <v>0</v>
      </c>
      <c r="F1668" s="717"/>
      <c r="G1668" t="e">
        <f>VLOOKUP(B1668,'SINAPI-%MO'!B:E,4,0)</f>
        <v>#N/A</v>
      </c>
      <c r="H1668" s="225" t="str">
        <f t="shared" si="25"/>
        <v/>
      </c>
    </row>
    <row r="1669" spans="1:8" x14ac:dyDescent="0.3">
      <c r="A1669" s="400"/>
      <c r="B1669" s="709">
        <v>106405</v>
      </c>
      <c r="C1669" s="710" t="s">
        <v>14909</v>
      </c>
      <c r="D1669" s="709" t="s">
        <v>1689</v>
      </c>
      <c r="E1669" s="716">
        <v>0</v>
      </c>
      <c r="F1669" s="717"/>
      <c r="G1669" t="e">
        <f>VLOOKUP(B1669,'SINAPI-%MO'!B:E,4,0)</f>
        <v>#N/A</v>
      </c>
      <c r="H1669" s="225" t="str">
        <f t="shared" si="25"/>
        <v/>
      </c>
    </row>
    <row r="1670" spans="1:8" x14ac:dyDescent="0.3">
      <c r="A1670" s="400"/>
      <c r="B1670" s="709">
        <v>106404</v>
      </c>
      <c r="C1670" s="710" t="s">
        <v>14910</v>
      </c>
      <c r="D1670" s="709" t="s">
        <v>230</v>
      </c>
      <c r="E1670" s="716">
        <v>0</v>
      </c>
      <c r="F1670" s="717"/>
      <c r="G1670" t="e">
        <f>VLOOKUP(B1670,'SINAPI-%MO'!B:E,4,0)</f>
        <v>#N/A</v>
      </c>
      <c r="H1670" s="225" t="str">
        <f t="shared" si="25"/>
        <v/>
      </c>
    </row>
    <row r="1671" spans="1:8" x14ac:dyDescent="0.3">
      <c r="A1671" s="400"/>
      <c r="B1671" s="709">
        <v>102899</v>
      </c>
      <c r="C1671" s="710" t="s">
        <v>1803</v>
      </c>
      <c r="D1671" s="709" t="s">
        <v>1689</v>
      </c>
      <c r="E1671" s="716">
        <v>0</v>
      </c>
      <c r="F1671" s="717"/>
      <c r="G1671" t="e">
        <f>VLOOKUP(B1671,'SINAPI-%MO'!B:E,4,0)</f>
        <v>#N/A</v>
      </c>
      <c r="H1671" s="225" t="str">
        <f t="shared" si="25"/>
        <v/>
      </c>
    </row>
    <row r="1672" spans="1:8" x14ac:dyDescent="0.3">
      <c r="A1672" s="400"/>
      <c r="B1672" s="709">
        <v>102898</v>
      </c>
      <c r="C1672" s="710" t="s">
        <v>1804</v>
      </c>
      <c r="D1672" s="709" t="s">
        <v>230</v>
      </c>
      <c r="E1672" s="716">
        <v>0</v>
      </c>
      <c r="F1672" s="717"/>
      <c r="G1672" t="e">
        <f>VLOOKUP(B1672,'SINAPI-%MO'!B:E,4,0)</f>
        <v>#N/A</v>
      </c>
      <c r="H1672" s="225" t="str">
        <f t="shared" si="25"/>
        <v/>
      </c>
    </row>
    <row r="1673" spans="1:8" x14ac:dyDescent="0.3">
      <c r="A1673" s="400"/>
      <c r="B1673" s="709">
        <v>5632</v>
      </c>
      <c r="C1673" s="710" t="s">
        <v>1805</v>
      </c>
      <c r="D1673" s="709" t="s">
        <v>1689</v>
      </c>
      <c r="E1673" s="716">
        <v>91.33</v>
      </c>
      <c r="F1673" s="717">
        <v>0</v>
      </c>
      <c r="G1673">
        <f>VLOOKUP(B1673,'SINAPI-%MO'!B:E,4,0)</f>
        <v>0.36820000000000003</v>
      </c>
      <c r="H1673" s="225">
        <f t="shared" si="25"/>
        <v>57.7</v>
      </c>
    </row>
    <row r="1674" spans="1:8" x14ac:dyDescent="0.3">
      <c r="A1674" s="400"/>
      <c r="B1674" s="709">
        <v>5631</v>
      </c>
      <c r="C1674" s="710" t="s">
        <v>1806</v>
      </c>
      <c r="D1674" s="709" t="s">
        <v>230</v>
      </c>
      <c r="E1674" s="716">
        <v>217.84</v>
      </c>
      <c r="F1674" s="717">
        <v>0</v>
      </c>
      <c r="G1674">
        <f>VLOOKUP(B1674,'SINAPI-%MO'!B:E,4,0)</f>
        <v>0.15440000000000001</v>
      </c>
      <c r="H1674" s="225">
        <f t="shared" si="25"/>
        <v>184.2</v>
      </c>
    </row>
    <row r="1675" spans="1:8" x14ac:dyDescent="0.3">
      <c r="A1675" s="400"/>
      <c r="B1675" s="709">
        <v>88908</v>
      </c>
      <c r="C1675" s="710" t="s">
        <v>1807</v>
      </c>
      <c r="D1675" s="709" t="s">
        <v>1689</v>
      </c>
      <c r="E1675" s="716">
        <v>98.91</v>
      </c>
      <c r="F1675" s="717">
        <v>0</v>
      </c>
      <c r="G1675">
        <f>VLOOKUP(B1675,'SINAPI-%MO'!B:E,4,0)</f>
        <v>0.34</v>
      </c>
      <c r="H1675" s="225">
        <f t="shared" ref="H1675:H1738" si="26">IF(E1675&gt;0,TRUNC(E1675*(1-G1675),2),"")</f>
        <v>65.28</v>
      </c>
    </row>
    <row r="1676" spans="1:8" x14ac:dyDescent="0.3">
      <c r="A1676" s="400"/>
      <c r="B1676" s="709">
        <v>88907</v>
      </c>
      <c r="C1676" s="710" t="s">
        <v>1808</v>
      </c>
      <c r="D1676" s="709" t="s">
        <v>230</v>
      </c>
      <c r="E1676" s="716">
        <v>260.39999999999998</v>
      </c>
      <c r="F1676" s="717">
        <v>0</v>
      </c>
      <c r="G1676">
        <f>VLOOKUP(B1676,'SINAPI-%MO'!B:E,4,0)</f>
        <v>0.12909999999999999</v>
      </c>
      <c r="H1676" s="225">
        <f t="shared" si="26"/>
        <v>226.78</v>
      </c>
    </row>
    <row r="1677" spans="1:8" x14ac:dyDescent="0.3">
      <c r="A1677" s="400"/>
      <c r="B1677" s="709">
        <v>5911</v>
      </c>
      <c r="C1677" s="710" t="s">
        <v>1809</v>
      </c>
      <c r="D1677" s="709" t="s">
        <v>1689</v>
      </c>
      <c r="E1677" s="716">
        <v>31.49</v>
      </c>
      <c r="F1677" s="717">
        <v>0.1804</v>
      </c>
      <c r="G1677">
        <f>VLOOKUP(B1677,'SINAPI-%MO'!B:E,4,0)</f>
        <v>0.8196</v>
      </c>
      <c r="H1677" s="225">
        <f t="shared" si="26"/>
        <v>5.68</v>
      </c>
    </row>
    <row r="1678" spans="1:8" x14ac:dyDescent="0.3">
      <c r="A1678" s="400"/>
      <c r="B1678" s="709">
        <v>5909</v>
      </c>
      <c r="C1678" s="710" t="s">
        <v>1810</v>
      </c>
      <c r="D1678" s="709" t="s">
        <v>230</v>
      </c>
      <c r="E1678" s="716">
        <v>39.76</v>
      </c>
      <c r="F1678" s="717">
        <v>0.2757</v>
      </c>
      <c r="G1678">
        <f>VLOOKUP(B1678,'SINAPI-%MO'!B:E,4,0)</f>
        <v>0.64910000000000001</v>
      </c>
      <c r="H1678" s="225">
        <f t="shared" si="26"/>
        <v>13.95</v>
      </c>
    </row>
    <row r="1679" spans="1:8" x14ac:dyDescent="0.3">
      <c r="A1679" s="400"/>
      <c r="B1679" s="709">
        <v>91486</v>
      </c>
      <c r="C1679" s="710" t="s">
        <v>1811</v>
      </c>
      <c r="D1679" s="709" t="s">
        <v>1689</v>
      </c>
      <c r="E1679" s="716">
        <v>73.77</v>
      </c>
      <c r="F1679" s="717">
        <v>0.1807</v>
      </c>
      <c r="G1679">
        <f>VLOOKUP(B1679,'SINAPI-%MO'!B:E,4,0)</f>
        <v>0.38290000000000002</v>
      </c>
      <c r="H1679" s="225">
        <f t="shared" si="26"/>
        <v>45.52</v>
      </c>
    </row>
    <row r="1680" spans="1:8" x14ac:dyDescent="0.3">
      <c r="A1680" s="400"/>
      <c r="B1680" s="709">
        <v>83362</v>
      </c>
      <c r="C1680" s="710" t="s">
        <v>1812</v>
      </c>
      <c r="D1680" s="709" t="s">
        <v>230</v>
      </c>
      <c r="E1680" s="716">
        <v>290.05</v>
      </c>
      <c r="F1680" s="717">
        <v>8.4599999999999995E-2</v>
      </c>
      <c r="G1680">
        <f>VLOOKUP(B1680,'SINAPI-%MO'!B:E,4,0)</f>
        <v>9.74E-2</v>
      </c>
      <c r="H1680" s="225">
        <f t="shared" si="26"/>
        <v>261.79000000000002</v>
      </c>
    </row>
    <row r="1681" spans="1:8" x14ac:dyDescent="0.3">
      <c r="A1681" s="400"/>
      <c r="B1681" s="709">
        <v>102839</v>
      </c>
      <c r="C1681" s="710" t="s">
        <v>1813</v>
      </c>
      <c r="D1681" s="709" t="s">
        <v>1689</v>
      </c>
      <c r="E1681" s="716">
        <v>0</v>
      </c>
      <c r="F1681" s="717"/>
      <c r="G1681" t="e">
        <f>VLOOKUP(B1681,'SINAPI-%MO'!B:E,4,0)</f>
        <v>#N/A</v>
      </c>
      <c r="H1681" s="225" t="str">
        <f t="shared" si="26"/>
        <v/>
      </c>
    </row>
    <row r="1682" spans="1:8" x14ac:dyDescent="0.3">
      <c r="A1682" s="400"/>
      <c r="B1682" s="709">
        <v>102838</v>
      </c>
      <c r="C1682" s="710" t="s">
        <v>1814</v>
      </c>
      <c r="D1682" s="709" t="s">
        <v>230</v>
      </c>
      <c r="E1682" s="716">
        <v>0</v>
      </c>
      <c r="F1682" s="717"/>
      <c r="G1682" t="e">
        <f>VLOOKUP(B1682,'SINAPI-%MO'!B:E,4,0)</f>
        <v>#N/A</v>
      </c>
      <c r="H1682" s="225" t="str">
        <f t="shared" si="26"/>
        <v/>
      </c>
    </row>
    <row r="1683" spans="1:8" x14ac:dyDescent="0.3">
      <c r="A1683" s="400"/>
      <c r="B1683" s="709">
        <v>89235</v>
      </c>
      <c r="C1683" s="710" t="s">
        <v>1815</v>
      </c>
      <c r="D1683" s="709" t="s">
        <v>1689</v>
      </c>
      <c r="E1683" s="716">
        <v>197.56</v>
      </c>
      <c r="F1683" s="717">
        <v>0.81510000000000005</v>
      </c>
      <c r="G1683">
        <f>VLOOKUP(B1683,'SINAPI-%MO'!B:E,4,0)</f>
        <v>0.18490000000000001</v>
      </c>
      <c r="H1683" s="225">
        <f t="shared" si="26"/>
        <v>161.03</v>
      </c>
    </row>
    <row r="1684" spans="1:8" x14ac:dyDescent="0.3">
      <c r="A1684" s="400"/>
      <c r="B1684" s="709">
        <v>89234</v>
      </c>
      <c r="C1684" s="710" t="s">
        <v>1816</v>
      </c>
      <c r="D1684" s="709" t="s">
        <v>230</v>
      </c>
      <c r="E1684" s="716">
        <v>597.6</v>
      </c>
      <c r="F1684" s="717">
        <v>0.63739999999999997</v>
      </c>
      <c r="G1684">
        <f>VLOOKUP(B1684,'SINAPI-%MO'!B:E,4,0)</f>
        <v>6.1100000000000002E-2</v>
      </c>
      <c r="H1684" s="225">
        <f t="shared" si="26"/>
        <v>561.08000000000004</v>
      </c>
    </row>
    <row r="1685" spans="1:8" x14ac:dyDescent="0.3">
      <c r="A1685" s="400"/>
      <c r="B1685" s="709">
        <v>89243</v>
      </c>
      <c r="C1685" s="710" t="s">
        <v>1817</v>
      </c>
      <c r="D1685" s="709" t="s">
        <v>1689</v>
      </c>
      <c r="E1685" s="716">
        <v>412.69</v>
      </c>
      <c r="F1685" s="717">
        <v>0.91149999999999998</v>
      </c>
      <c r="G1685">
        <f>VLOOKUP(B1685,'SINAPI-%MO'!B:E,4,0)</f>
        <v>8.8499999999999995E-2</v>
      </c>
      <c r="H1685" s="225">
        <f t="shared" si="26"/>
        <v>376.16</v>
      </c>
    </row>
    <row r="1686" spans="1:8" x14ac:dyDescent="0.3">
      <c r="A1686" s="400"/>
      <c r="B1686" s="709">
        <v>89242</v>
      </c>
      <c r="C1686" s="710" t="s">
        <v>1818</v>
      </c>
      <c r="D1686" s="709" t="s">
        <v>230</v>
      </c>
      <c r="E1686" s="716">
        <v>1402.76</v>
      </c>
      <c r="F1686" s="717">
        <v>0.63429999999999997</v>
      </c>
      <c r="G1686">
        <f>VLOOKUP(B1686,'SINAPI-%MO'!B:E,4,0)</f>
        <v>2.5999999999999999E-2</v>
      </c>
      <c r="H1686" s="225">
        <f t="shared" si="26"/>
        <v>1366.28</v>
      </c>
    </row>
    <row r="1687" spans="1:8" x14ac:dyDescent="0.3">
      <c r="A1687" s="400"/>
      <c r="B1687" s="709">
        <v>102935</v>
      </c>
      <c r="C1687" s="710" t="s">
        <v>1819</v>
      </c>
      <c r="D1687" s="709" t="s">
        <v>1689</v>
      </c>
      <c r="E1687" s="716">
        <v>0</v>
      </c>
      <c r="F1687" s="717"/>
      <c r="G1687" t="e">
        <f>VLOOKUP(B1687,'SINAPI-%MO'!B:E,4,0)</f>
        <v>#N/A</v>
      </c>
      <c r="H1687" s="225" t="str">
        <f t="shared" si="26"/>
        <v/>
      </c>
    </row>
    <row r="1688" spans="1:8" x14ac:dyDescent="0.3">
      <c r="A1688" s="400"/>
      <c r="B1688" s="709">
        <v>102934</v>
      </c>
      <c r="C1688" s="710" t="s">
        <v>1820</v>
      </c>
      <c r="D1688" s="709" t="s">
        <v>230</v>
      </c>
      <c r="E1688" s="716">
        <v>0</v>
      </c>
      <c r="F1688" s="717"/>
      <c r="G1688" t="e">
        <f>VLOOKUP(B1688,'SINAPI-%MO'!B:E,4,0)</f>
        <v>#N/A</v>
      </c>
      <c r="H1688" s="225" t="str">
        <f t="shared" si="26"/>
        <v/>
      </c>
    </row>
    <row r="1689" spans="1:8" x14ac:dyDescent="0.3">
      <c r="A1689" s="400"/>
      <c r="B1689" s="709">
        <v>93416</v>
      </c>
      <c r="C1689" s="710" t="s">
        <v>1821</v>
      </c>
      <c r="D1689" s="709" t="s">
        <v>1689</v>
      </c>
      <c r="E1689" s="716">
        <v>0.47</v>
      </c>
      <c r="F1689" s="717">
        <v>0</v>
      </c>
      <c r="G1689">
        <f>VLOOKUP(B1689,'SINAPI-%MO'!B:E,4,0)</f>
        <v>0</v>
      </c>
      <c r="H1689" s="225">
        <f t="shared" si="26"/>
        <v>0.47</v>
      </c>
    </row>
    <row r="1690" spans="1:8" x14ac:dyDescent="0.3">
      <c r="A1690" s="400"/>
      <c r="B1690" s="709">
        <v>93415</v>
      </c>
      <c r="C1690" s="710" t="s">
        <v>1822</v>
      </c>
      <c r="D1690" s="709" t="s">
        <v>230</v>
      </c>
      <c r="E1690" s="716">
        <v>12.11</v>
      </c>
      <c r="F1690" s="717">
        <v>0</v>
      </c>
      <c r="G1690">
        <f>VLOOKUP(B1690,'SINAPI-%MO'!B:E,4,0)</f>
        <v>0</v>
      </c>
      <c r="H1690" s="225">
        <f t="shared" si="26"/>
        <v>12.11</v>
      </c>
    </row>
    <row r="1691" spans="1:8" x14ac:dyDescent="0.3">
      <c r="A1691" s="400"/>
      <c r="B1691" s="709">
        <v>5689</v>
      </c>
      <c r="C1691" s="710" t="s">
        <v>1823</v>
      </c>
      <c r="D1691" s="709" t="s">
        <v>230</v>
      </c>
      <c r="E1691" s="716">
        <v>8.25</v>
      </c>
      <c r="F1691" s="717">
        <v>0</v>
      </c>
      <c r="G1691">
        <f>VLOOKUP(B1691,'SINAPI-%MO'!B:E,4,0)</f>
        <v>0</v>
      </c>
      <c r="H1691" s="225">
        <f t="shared" si="26"/>
        <v>8.25</v>
      </c>
    </row>
    <row r="1692" spans="1:8" x14ac:dyDescent="0.3">
      <c r="A1692" s="400"/>
      <c r="B1692" s="709">
        <v>5690</v>
      </c>
      <c r="C1692" s="710" t="s">
        <v>1824</v>
      </c>
      <c r="D1692" s="709" t="s">
        <v>1689</v>
      </c>
      <c r="E1692" s="716">
        <v>5.34</v>
      </c>
      <c r="F1692" s="717">
        <v>0</v>
      </c>
      <c r="G1692">
        <f>VLOOKUP(B1692,'SINAPI-%MO'!B:E,4,0)</f>
        <v>0</v>
      </c>
      <c r="H1692" s="225">
        <f t="shared" si="26"/>
        <v>5.34</v>
      </c>
    </row>
    <row r="1693" spans="1:8" x14ac:dyDescent="0.3">
      <c r="A1693" s="400"/>
      <c r="B1693" s="709">
        <v>5923</v>
      </c>
      <c r="C1693" s="710" t="s">
        <v>1825</v>
      </c>
      <c r="D1693" s="709" t="s">
        <v>1689</v>
      </c>
      <c r="E1693" s="716">
        <v>4.1900000000000004</v>
      </c>
      <c r="F1693" s="717">
        <v>0</v>
      </c>
      <c r="G1693">
        <f>VLOOKUP(B1693,'SINAPI-%MO'!B:E,4,0)</f>
        <v>0</v>
      </c>
      <c r="H1693" s="225">
        <f t="shared" si="26"/>
        <v>4.1900000000000004</v>
      </c>
    </row>
    <row r="1694" spans="1:8" x14ac:dyDescent="0.3">
      <c r="A1694" s="400"/>
      <c r="B1694" s="709">
        <v>5921</v>
      </c>
      <c r="C1694" s="710" t="s">
        <v>1826</v>
      </c>
      <c r="D1694" s="709" t="s">
        <v>230</v>
      </c>
      <c r="E1694" s="716">
        <v>6.47</v>
      </c>
      <c r="F1694" s="717">
        <v>0</v>
      </c>
      <c r="G1694">
        <f>VLOOKUP(B1694,'SINAPI-%MO'!B:E,4,0)</f>
        <v>0</v>
      </c>
      <c r="H1694" s="225">
        <f t="shared" si="26"/>
        <v>6.47</v>
      </c>
    </row>
    <row r="1695" spans="1:8" x14ac:dyDescent="0.3">
      <c r="A1695" s="400"/>
      <c r="B1695" s="709">
        <v>95212</v>
      </c>
      <c r="C1695" s="710" t="s">
        <v>1827</v>
      </c>
      <c r="D1695" s="709" t="s">
        <v>230</v>
      </c>
      <c r="E1695" s="716">
        <v>179.35</v>
      </c>
      <c r="F1695" s="717">
        <v>0</v>
      </c>
      <c r="G1695">
        <f>VLOOKUP(B1695,'SINAPI-%MO'!B:E,4,0)</f>
        <v>0.26240000000000002</v>
      </c>
      <c r="H1695" s="225">
        <f t="shared" si="26"/>
        <v>132.28</v>
      </c>
    </row>
    <row r="1696" spans="1:8" x14ac:dyDescent="0.3">
      <c r="A1696" s="400"/>
      <c r="B1696" s="709">
        <v>95213</v>
      </c>
      <c r="C1696" s="710" t="s">
        <v>1828</v>
      </c>
      <c r="D1696" s="709" t="s">
        <v>1689</v>
      </c>
      <c r="E1696" s="716">
        <v>111.92</v>
      </c>
      <c r="F1696" s="717">
        <v>0</v>
      </c>
      <c r="G1696">
        <f>VLOOKUP(B1696,'SINAPI-%MO'!B:E,4,0)</f>
        <v>0.42049999999999998</v>
      </c>
      <c r="H1696" s="225">
        <f t="shared" si="26"/>
        <v>64.849999999999994</v>
      </c>
    </row>
    <row r="1697" spans="1:8" x14ac:dyDescent="0.3">
      <c r="A1697" s="400"/>
      <c r="B1697" s="709">
        <v>93272</v>
      </c>
      <c r="C1697" s="710" t="s">
        <v>1829</v>
      </c>
      <c r="D1697" s="709" t="s">
        <v>230</v>
      </c>
      <c r="E1697" s="716">
        <v>118.25</v>
      </c>
      <c r="F1697" s="717">
        <v>0</v>
      </c>
      <c r="G1697">
        <f>VLOOKUP(B1697,'SINAPI-%MO'!B:E,4,0)</f>
        <v>0.39800000000000002</v>
      </c>
      <c r="H1697" s="225">
        <f t="shared" si="26"/>
        <v>71.180000000000007</v>
      </c>
    </row>
    <row r="1698" spans="1:8" x14ac:dyDescent="0.3">
      <c r="A1698" s="400"/>
      <c r="B1698" s="709">
        <v>93274</v>
      </c>
      <c r="C1698" s="710" t="s">
        <v>1830</v>
      </c>
      <c r="D1698" s="709" t="s">
        <v>1689</v>
      </c>
      <c r="E1698" s="716">
        <v>83.01</v>
      </c>
      <c r="F1698" s="717">
        <v>0</v>
      </c>
      <c r="G1698">
        <f>VLOOKUP(B1698,'SINAPI-%MO'!B:E,4,0)</f>
        <v>0.56689999999999996</v>
      </c>
      <c r="H1698" s="225">
        <f t="shared" si="26"/>
        <v>35.950000000000003</v>
      </c>
    </row>
    <row r="1699" spans="1:8" x14ac:dyDescent="0.3">
      <c r="A1699" s="400"/>
      <c r="B1699" s="709">
        <v>83766</v>
      </c>
      <c r="C1699" s="710" t="s">
        <v>1831</v>
      </c>
      <c r="D1699" s="709" t="s">
        <v>1689</v>
      </c>
      <c r="E1699" s="716">
        <v>48.19</v>
      </c>
      <c r="F1699" s="717">
        <v>0</v>
      </c>
      <c r="G1699">
        <f>VLOOKUP(B1699,'SINAPI-%MO'!B:E,4,0)</f>
        <v>0.72260000000000002</v>
      </c>
      <c r="H1699" s="225">
        <f t="shared" si="26"/>
        <v>13.36</v>
      </c>
    </row>
    <row r="1700" spans="1:8" x14ac:dyDescent="0.3">
      <c r="A1700" s="400"/>
      <c r="B1700" s="709">
        <v>83765</v>
      </c>
      <c r="C1700" s="710" t="s">
        <v>1832</v>
      </c>
      <c r="D1700" s="709" t="s">
        <v>230</v>
      </c>
      <c r="E1700" s="716">
        <v>111.12</v>
      </c>
      <c r="F1700" s="717">
        <v>0</v>
      </c>
      <c r="G1700">
        <f>VLOOKUP(B1700,'SINAPI-%MO'!B:E,4,0)</f>
        <v>0.31340000000000001</v>
      </c>
      <c r="H1700" s="225">
        <f t="shared" si="26"/>
        <v>76.290000000000006</v>
      </c>
    </row>
    <row r="1701" spans="1:8" x14ac:dyDescent="0.3">
      <c r="A1701" s="400"/>
      <c r="B1701" s="709">
        <v>95873</v>
      </c>
      <c r="C1701" s="710" t="s">
        <v>1833</v>
      </c>
      <c r="D1701" s="709" t="s">
        <v>1689</v>
      </c>
      <c r="E1701" s="716">
        <v>14.28</v>
      </c>
      <c r="F1701" s="717">
        <v>0</v>
      </c>
      <c r="G1701">
        <f>VLOOKUP(B1701,'SINAPI-%MO'!B:E,4,0)</f>
        <v>0</v>
      </c>
      <c r="H1701" s="225">
        <f t="shared" si="26"/>
        <v>14.28</v>
      </c>
    </row>
    <row r="1702" spans="1:8" x14ac:dyDescent="0.3">
      <c r="A1702" s="400"/>
      <c r="B1702" s="709">
        <v>95872</v>
      </c>
      <c r="C1702" s="710" t="s">
        <v>1834</v>
      </c>
      <c r="D1702" s="709" t="s">
        <v>230</v>
      </c>
      <c r="E1702" s="716">
        <v>318.07</v>
      </c>
      <c r="F1702" s="717">
        <v>0</v>
      </c>
      <c r="G1702">
        <f>VLOOKUP(B1702,'SINAPI-%MO'!B:E,4,0)</f>
        <v>0</v>
      </c>
      <c r="H1702" s="225">
        <f t="shared" si="26"/>
        <v>318.07</v>
      </c>
    </row>
    <row r="1703" spans="1:8" x14ac:dyDescent="0.3">
      <c r="A1703" s="400"/>
      <c r="B1703" s="709">
        <v>104689</v>
      </c>
      <c r="C1703" s="710" t="s">
        <v>1835</v>
      </c>
      <c r="D1703" s="709" t="s">
        <v>1689</v>
      </c>
      <c r="E1703" s="716">
        <v>0</v>
      </c>
      <c r="F1703" s="717"/>
      <c r="G1703" t="e">
        <f>VLOOKUP(B1703,'SINAPI-%MO'!B:E,4,0)</f>
        <v>#N/A</v>
      </c>
      <c r="H1703" s="225" t="str">
        <f t="shared" si="26"/>
        <v/>
      </c>
    </row>
    <row r="1704" spans="1:8" x14ac:dyDescent="0.3">
      <c r="A1704" s="400"/>
      <c r="B1704" s="709">
        <v>104688</v>
      </c>
      <c r="C1704" s="710" t="s">
        <v>1836</v>
      </c>
      <c r="D1704" s="709" t="s">
        <v>230</v>
      </c>
      <c r="E1704" s="716">
        <v>0</v>
      </c>
      <c r="F1704" s="717"/>
      <c r="G1704" t="e">
        <f>VLOOKUP(B1704,'SINAPI-%MO'!B:E,4,0)</f>
        <v>#N/A</v>
      </c>
      <c r="H1704" s="225" t="str">
        <f t="shared" si="26"/>
        <v/>
      </c>
    </row>
    <row r="1705" spans="1:8" x14ac:dyDescent="0.3">
      <c r="A1705" s="400"/>
      <c r="B1705" s="709">
        <v>73395</v>
      </c>
      <c r="C1705" s="710" t="s">
        <v>1837</v>
      </c>
      <c r="D1705" s="709" t="s">
        <v>1689</v>
      </c>
      <c r="E1705" s="716">
        <v>10.029999999999999</v>
      </c>
      <c r="F1705" s="717">
        <v>0</v>
      </c>
      <c r="G1705">
        <f>VLOOKUP(B1705,'SINAPI-%MO'!B:E,4,0)</f>
        <v>0</v>
      </c>
      <c r="H1705" s="225">
        <f t="shared" si="26"/>
        <v>10.029999999999999</v>
      </c>
    </row>
    <row r="1706" spans="1:8" x14ac:dyDescent="0.3">
      <c r="A1706" s="400"/>
      <c r="B1706" s="709">
        <v>73417</v>
      </c>
      <c r="C1706" s="710" t="s">
        <v>1838</v>
      </c>
      <c r="D1706" s="709" t="s">
        <v>230</v>
      </c>
      <c r="E1706" s="716">
        <v>206.05</v>
      </c>
      <c r="F1706" s="717">
        <v>0</v>
      </c>
      <c r="G1706">
        <f>VLOOKUP(B1706,'SINAPI-%MO'!B:E,4,0)</f>
        <v>0</v>
      </c>
      <c r="H1706" s="225">
        <f t="shared" si="26"/>
        <v>206.05</v>
      </c>
    </row>
    <row r="1707" spans="1:8" x14ac:dyDescent="0.3">
      <c r="A1707" s="400"/>
      <c r="B1707" s="709">
        <v>93428</v>
      </c>
      <c r="C1707" s="710" t="s">
        <v>1839</v>
      </c>
      <c r="D1707" s="709" t="s">
        <v>1689</v>
      </c>
      <c r="E1707" s="716">
        <v>8.92</v>
      </c>
      <c r="F1707" s="717">
        <v>0</v>
      </c>
      <c r="G1707">
        <f>VLOOKUP(B1707,'SINAPI-%MO'!B:E,4,0)</f>
        <v>0</v>
      </c>
      <c r="H1707" s="225">
        <f t="shared" si="26"/>
        <v>8.92</v>
      </c>
    </row>
    <row r="1708" spans="1:8" x14ac:dyDescent="0.3">
      <c r="A1708" s="400"/>
      <c r="B1708" s="709">
        <v>93427</v>
      </c>
      <c r="C1708" s="710" t="s">
        <v>1840</v>
      </c>
      <c r="D1708" s="709" t="s">
        <v>230</v>
      </c>
      <c r="E1708" s="716">
        <v>187.6</v>
      </c>
      <c r="F1708" s="717">
        <v>0</v>
      </c>
      <c r="G1708">
        <f>VLOOKUP(B1708,'SINAPI-%MO'!B:E,4,0)</f>
        <v>0</v>
      </c>
      <c r="H1708" s="225">
        <f t="shared" si="26"/>
        <v>187.6</v>
      </c>
    </row>
    <row r="1709" spans="1:8" x14ac:dyDescent="0.3">
      <c r="A1709" s="400"/>
      <c r="B1709" s="709">
        <v>93422</v>
      </c>
      <c r="C1709" s="710" t="s">
        <v>1841</v>
      </c>
      <c r="D1709" s="709" t="s">
        <v>1689</v>
      </c>
      <c r="E1709" s="716">
        <v>6.31</v>
      </c>
      <c r="F1709" s="717">
        <v>0</v>
      </c>
      <c r="G1709">
        <f>VLOOKUP(B1709,'SINAPI-%MO'!B:E,4,0)</f>
        <v>0</v>
      </c>
      <c r="H1709" s="225">
        <f t="shared" si="26"/>
        <v>6.31</v>
      </c>
    </row>
    <row r="1710" spans="1:8" x14ac:dyDescent="0.3">
      <c r="A1710" s="400"/>
      <c r="B1710" s="709">
        <v>93421</v>
      </c>
      <c r="C1710" s="710" t="s">
        <v>1842</v>
      </c>
      <c r="D1710" s="709" t="s">
        <v>230</v>
      </c>
      <c r="E1710" s="716">
        <v>82.77</v>
      </c>
      <c r="F1710" s="717">
        <v>0</v>
      </c>
      <c r="G1710">
        <f>VLOOKUP(B1710,'SINAPI-%MO'!B:E,4,0)</f>
        <v>0</v>
      </c>
      <c r="H1710" s="225">
        <f t="shared" si="26"/>
        <v>82.77</v>
      </c>
    </row>
    <row r="1711" spans="1:8" x14ac:dyDescent="0.3">
      <c r="A1711" s="400"/>
      <c r="B1711" s="709">
        <v>93282</v>
      </c>
      <c r="C1711" s="710" t="s">
        <v>1843</v>
      </c>
      <c r="D1711" s="709" t="s">
        <v>1689</v>
      </c>
      <c r="E1711" s="716">
        <v>31.63</v>
      </c>
      <c r="F1711" s="717">
        <v>0</v>
      </c>
      <c r="G1711">
        <f>VLOOKUP(B1711,'SINAPI-%MO'!B:E,4,0)</f>
        <v>0.99109999999999998</v>
      </c>
      <c r="H1711" s="225">
        <f t="shared" si="26"/>
        <v>0.28000000000000003</v>
      </c>
    </row>
    <row r="1712" spans="1:8" x14ac:dyDescent="0.3">
      <c r="A1712" s="400"/>
      <c r="B1712" s="709">
        <v>93281</v>
      </c>
      <c r="C1712" s="710" t="s">
        <v>1844</v>
      </c>
      <c r="D1712" s="709" t="s">
        <v>230</v>
      </c>
      <c r="E1712" s="716">
        <v>32.659999999999997</v>
      </c>
      <c r="F1712" s="717">
        <v>0</v>
      </c>
      <c r="G1712">
        <f>VLOOKUP(B1712,'SINAPI-%MO'!B:E,4,0)</f>
        <v>0.95989999999999998</v>
      </c>
      <c r="H1712" s="225">
        <f t="shared" si="26"/>
        <v>1.3</v>
      </c>
    </row>
    <row r="1713" spans="1:8" x14ac:dyDescent="0.3">
      <c r="A1713" s="400"/>
      <c r="B1713" s="709">
        <v>104914</v>
      </c>
      <c r="C1713" s="710" t="s">
        <v>1845</v>
      </c>
      <c r="D1713" s="709" t="s">
        <v>1689</v>
      </c>
      <c r="E1713" s="716">
        <v>0</v>
      </c>
      <c r="F1713" s="717"/>
      <c r="G1713" t="e">
        <f>VLOOKUP(B1713,'SINAPI-%MO'!B:E,4,0)</f>
        <v>#N/A</v>
      </c>
      <c r="H1713" s="225" t="str">
        <f t="shared" si="26"/>
        <v/>
      </c>
    </row>
    <row r="1714" spans="1:8" x14ac:dyDescent="0.3">
      <c r="A1714" s="400"/>
      <c r="B1714" s="709">
        <v>104913</v>
      </c>
      <c r="C1714" s="710" t="s">
        <v>1846</v>
      </c>
      <c r="D1714" s="709" t="s">
        <v>230</v>
      </c>
      <c r="E1714" s="716">
        <v>0</v>
      </c>
      <c r="F1714" s="717"/>
      <c r="G1714" t="e">
        <f>VLOOKUP(B1714,'SINAPI-%MO'!B:E,4,0)</f>
        <v>#N/A</v>
      </c>
      <c r="H1714" s="225" t="str">
        <f t="shared" si="26"/>
        <v/>
      </c>
    </row>
    <row r="1715" spans="1:8" x14ac:dyDescent="0.3">
      <c r="A1715" s="400"/>
      <c r="B1715" s="709">
        <v>102845</v>
      </c>
      <c r="C1715" s="710" t="s">
        <v>1847</v>
      </c>
      <c r="D1715" s="709" t="s">
        <v>1689</v>
      </c>
      <c r="E1715" s="716">
        <v>0</v>
      </c>
      <c r="F1715" s="717"/>
      <c r="G1715" t="e">
        <f>VLOOKUP(B1715,'SINAPI-%MO'!B:E,4,0)</f>
        <v>#N/A</v>
      </c>
      <c r="H1715" s="225" t="str">
        <f t="shared" si="26"/>
        <v/>
      </c>
    </row>
    <row r="1716" spans="1:8" x14ac:dyDescent="0.3">
      <c r="A1716" s="400"/>
      <c r="B1716" s="709">
        <v>102844</v>
      </c>
      <c r="C1716" s="710" t="s">
        <v>1848</v>
      </c>
      <c r="D1716" s="709" t="s">
        <v>230</v>
      </c>
      <c r="E1716" s="716">
        <v>0</v>
      </c>
      <c r="F1716" s="717"/>
      <c r="G1716" t="e">
        <f>VLOOKUP(B1716,'SINAPI-%MO'!B:E,4,0)</f>
        <v>#N/A</v>
      </c>
      <c r="H1716" s="225" t="str">
        <f t="shared" si="26"/>
        <v/>
      </c>
    </row>
    <row r="1717" spans="1:8" x14ac:dyDescent="0.3">
      <c r="A1717" s="400"/>
      <c r="B1717" s="709">
        <v>89273</v>
      </c>
      <c r="C1717" s="710" t="s">
        <v>1849</v>
      </c>
      <c r="D1717" s="709" t="s">
        <v>1689</v>
      </c>
      <c r="E1717" s="716">
        <v>123.03</v>
      </c>
      <c r="F1717" s="717">
        <v>0</v>
      </c>
      <c r="G1717">
        <f>VLOOKUP(B1717,'SINAPI-%MO'!B:E,4,0)</f>
        <v>0.38250000000000001</v>
      </c>
      <c r="H1717" s="225">
        <f t="shared" si="26"/>
        <v>75.97</v>
      </c>
    </row>
    <row r="1718" spans="1:8" x14ac:dyDescent="0.3">
      <c r="A1718" s="400"/>
      <c r="B1718" s="709">
        <v>89272</v>
      </c>
      <c r="C1718" s="710" t="s">
        <v>1850</v>
      </c>
      <c r="D1718" s="709" t="s">
        <v>230</v>
      </c>
      <c r="E1718" s="716">
        <v>236</v>
      </c>
      <c r="F1718" s="717">
        <v>0</v>
      </c>
      <c r="G1718">
        <f>VLOOKUP(B1718,'SINAPI-%MO'!B:E,4,0)</f>
        <v>0.19939999999999999</v>
      </c>
      <c r="H1718" s="225">
        <f t="shared" si="26"/>
        <v>188.94</v>
      </c>
    </row>
    <row r="1719" spans="1:8" x14ac:dyDescent="0.3">
      <c r="A1719" s="400"/>
      <c r="B1719" s="709">
        <v>93288</v>
      </c>
      <c r="C1719" s="710" t="s">
        <v>1851</v>
      </c>
      <c r="D1719" s="709" t="s">
        <v>1689</v>
      </c>
      <c r="E1719" s="716">
        <v>193.16</v>
      </c>
      <c r="F1719" s="717">
        <v>0</v>
      </c>
      <c r="G1719">
        <f>VLOOKUP(B1719,'SINAPI-%MO'!B:E,4,0)</f>
        <v>0.24360000000000001</v>
      </c>
      <c r="H1719" s="225">
        <f t="shared" si="26"/>
        <v>146.1</v>
      </c>
    </row>
    <row r="1720" spans="1:8" x14ac:dyDescent="0.3">
      <c r="A1720" s="400"/>
      <c r="B1720" s="709">
        <v>93287</v>
      </c>
      <c r="C1720" s="710" t="s">
        <v>1852</v>
      </c>
      <c r="D1720" s="709" t="s">
        <v>230</v>
      </c>
      <c r="E1720" s="716">
        <v>363.91</v>
      </c>
      <c r="F1720" s="717">
        <v>0</v>
      </c>
      <c r="G1720">
        <f>VLOOKUP(B1720,'SINAPI-%MO'!B:E,4,0)</f>
        <v>0.1293</v>
      </c>
      <c r="H1720" s="225">
        <f t="shared" si="26"/>
        <v>316.85000000000002</v>
      </c>
    </row>
    <row r="1721" spans="1:8" x14ac:dyDescent="0.3">
      <c r="A1721" s="400"/>
      <c r="B1721" s="709">
        <v>104711</v>
      </c>
      <c r="C1721" s="710" t="s">
        <v>1853</v>
      </c>
      <c r="D1721" s="709" t="s">
        <v>1689</v>
      </c>
      <c r="E1721" s="716">
        <v>0</v>
      </c>
      <c r="F1721" s="717"/>
      <c r="G1721" t="e">
        <f>VLOOKUP(B1721,'SINAPI-%MO'!B:E,4,0)</f>
        <v>#N/A</v>
      </c>
      <c r="H1721" s="225" t="str">
        <f t="shared" si="26"/>
        <v/>
      </c>
    </row>
    <row r="1722" spans="1:8" x14ac:dyDescent="0.3">
      <c r="A1722" s="400"/>
      <c r="B1722" s="709">
        <v>104710</v>
      </c>
      <c r="C1722" s="710" t="s">
        <v>1854</v>
      </c>
      <c r="D1722" s="709" t="s">
        <v>230</v>
      </c>
      <c r="E1722" s="716">
        <v>0</v>
      </c>
      <c r="F1722" s="717"/>
      <c r="G1722" t="e">
        <f>VLOOKUP(B1722,'SINAPI-%MO'!B:E,4,0)</f>
        <v>#N/A</v>
      </c>
      <c r="H1722" s="225" t="str">
        <f t="shared" si="26"/>
        <v/>
      </c>
    </row>
    <row r="1723" spans="1:8" x14ac:dyDescent="0.3">
      <c r="A1723" s="400"/>
      <c r="B1723" s="709">
        <v>104908</v>
      </c>
      <c r="C1723" s="710" t="s">
        <v>1855</v>
      </c>
      <c r="D1723" s="709" t="s">
        <v>1689</v>
      </c>
      <c r="E1723" s="716">
        <v>0</v>
      </c>
      <c r="F1723" s="717"/>
      <c r="G1723" t="e">
        <f>VLOOKUP(B1723,'SINAPI-%MO'!B:E,4,0)</f>
        <v>#N/A</v>
      </c>
      <c r="H1723" s="225" t="str">
        <f t="shared" si="26"/>
        <v/>
      </c>
    </row>
    <row r="1724" spans="1:8" x14ac:dyDescent="0.3">
      <c r="A1724" s="400"/>
      <c r="B1724" s="709">
        <v>104907</v>
      </c>
      <c r="C1724" s="710" t="s">
        <v>1856</v>
      </c>
      <c r="D1724" s="709" t="s">
        <v>230</v>
      </c>
      <c r="E1724" s="716">
        <v>0</v>
      </c>
      <c r="F1724" s="717"/>
      <c r="G1724" t="e">
        <f>VLOOKUP(B1724,'SINAPI-%MO'!B:E,4,0)</f>
        <v>#N/A</v>
      </c>
      <c r="H1724" s="225" t="str">
        <f t="shared" si="26"/>
        <v/>
      </c>
    </row>
    <row r="1725" spans="1:8" x14ac:dyDescent="0.3">
      <c r="A1725" s="400"/>
      <c r="B1725" s="709">
        <v>102851</v>
      </c>
      <c r="C1725" s="710" t="s">
        <v>1857</v>
      </c>
      <c r="D1725" s="709" t="s">
        <v>1689</v>
      </c>
      <c r="E1725" s="716">
        <v>0</v>
      </c>
      <c r="F1725" s="717"/>
      <c r="G1725" t="e">
        <f>VLOOKUP(B1725,'SINAPI-%MO'!B:E,4,0)</f>
        <v>#N/A</v>
      </c>
      <c r="H1725" s="225" t="str">
        <f t="shared" si="26"/>
        <v/>
      </c>
    </row>
    <row r="1726" spans="1:8" x14ac:dyDescent="0.3">
      <c r="A1726" s="400"/>
      <c r="B1726" s="709">
        <v>102850</v>
      </c>
      <c r="C1726" s="710" t="s">
        <v>1858</v>
      </c>
      <c r="D1726" s="709" t="s">
        <v>230</v>
      </c>
      <c r="E1726" s="716">
        <v>0</v>
      </c>
      <c r="F1726" s="717"/>
      <c r="G1726" t="e">
        <f>VLOOKUP(B1726,'SINAPI-%MO'!B:E,4,0)</f>
        <v>#N/A</v>
      </c>
      <c r="H1726" s="225" t="str">
        <f t="shared" si="26"/>
        <v/>
      </c>
    </row>
    <row r="1727" spans="1:8" x14ac:dyDescent="0.3">
      <c r="A1727" s="400"/>
      <c r="B1727" s="709">
        <v>102857</v>
      </c>
      <c r="C1727" s="710" t="s">
        <v>1859</v>
      </c>
      <c r="D1727" s="709" t="s">
        <v>1689</v>
      </c>
      <c r="E1727" s="716">
        <v>0</v>
      </c>
      <c r="F1727" s="717"/>
      <c r="G1727" t="e">
        <f>VLOOKUP(B1727,'SINAPI-%MO'!B:E,4,0)</f>
        <v>#N/A</v>
      </c>
      <c r="H1727" s="225" t="str">
        <f t="shared" si="26"/>
        <v/>
      </c>
    </row>
    <row r="1728" spans="1:8" x14ac:dyDescent="0.3">
      <c r="A1728" s="400"/>
      <c r="B1728" s="709">
        <v>102856</v>
      </c>
      <c r="C1728" s="710" t="s">
        <v>1860</v>
      </c>
      <c r="D1728" s="709" t="s">
        <v>230</v>
      </c>
      <c r="E1728" s="716">
        <v>0</v>
      </c>
      <c r="F1728" s="717"/>
      <c r="G1728" t="e">
        <f>VLOOKUP(B1728,'SINAPI-%MO'!B:E,4,0)</f>
        <v>#N/A</v>
      </c>
      <c r="H1728" s="225" t="str">
        <f t="shared" si="26"/>
        <v/>
      </c>
    </row>
    <row r="1729" spans="1:8" x14ac:dyDescent="0.3">
      <c r="A1729" s="400"/>
      <c r="B1729" s="709">
        <v>106256</v>
      </c>
      <c r="C1729" s="710" t="s">
        <v>13337</v>
      </c>
      <c r="D1729" s="709" t="s">
        <v>1689</v>
      </c>
      <c r="E1729" s="716">
        <v>105.83</v>
      </c>
      <c r="F1729" s="717">
        <v>0</v>
      </c>
      <c r="G1729">
        <f>VLOOKUP(B1729,'SINAPI-%MO'!B:E,4,0)</f>
        <v>0.3145</v>
      </c>
      <c r="H1729" s="225">
        <f t="shared" si="26"/>
        <v>72.540000000000006</v>
      </c>
    </row>
    <row r="1730" spans="1:8" x14ac:dyDescent="0.3">
      <c r="A1730" s="400"/>
      <c r="B1730" s="709">
        <v>106251</v>
      </c>
      <c r="C1730" s="710" t="s">
        <v>13338</v>
      </c>
      <c r="D1730" s="709" t="s">
        <v>230</v>
      </c>
      <c r="E1730" s="716">
        <v>353.86</v>
      </c>
      <c r="F1730" s="717">
        <v>0</v>
      </c>
      <c r="G1730">
        <f>VLOOKUP(B1730,'SINAPI-%MO'!B:E,4,0)</f>
        <v>9.4E-2</v>
      </c>
      <c r="H1730" s="225">
        <f t="shared" si="26"/>
        <v>320.58999999999997</v>
      </c>
    </row>
    <row r="1731" spans="1:8" x14ac:dyDescent="0.3">
      <c r="A1731" s="400"/>
      <c r="B1731" s="709">
        <v>93403</v>
      </c>
      <c r="C1731" s="710" t="s">
        <v>1861</v>
      </c>
      <c r="D1731" s="709" t="s">
        <v>1689</v>
      </c>
      <c r="E1731" s="716">
        <v>76.16</v>
      </c>
      <c r="F1731" s="717">
        <v>0</v>
      </c>
      <c r="G1731">
        <f>VLOOKUP(B1731,'SINAPI-%MO'!B:E,4,0)</f>
        <v>0.437</v>
      </c>
      <c r="H1731" s="225">
        <f t="shared" si="26"/>
        <v>42.87</v>
      </c>
    </row>
    <row r="1732" spans="1:8" x14ac:dyDescent="0.3">
      <c r="A1732" s="400"/>
      <c r="B1732" s="709">
        <v>93402</v>
      </c>
      <c r="C1732" s="710" t="s">
        <v>1862</v>
      </c>
      <c r="D1732" s="709" t="s">
        <v>230</v>
      </c>
      <c r="E1732" s="716">
        <v>295.54000000000002</v>
      </c>
      <c r="F1732" s="717">
        <v>0</v>
      </c>
      <c r="G1732">
        <f>VLOOKUP(B1732,'SINAPI-%MO'!B:E,4,0)</f>
        <v>0.11260000000000001</v>
      </c>
      <c r="H1732" s="225">
        <f t="shared" si="26"/>
        <v>262.26</v>
      </c>
    </row>
    <row r="1733" spans="1:8" x14ac:dyDescent="0.3">
      <c r="A1733" s="400"/>
      <c r="B1733" s="709">
        <v>5930</v>
      </c>
      <c r="C1733" s="710" t="s">
        <v>1863</v>
      </c>
      <c r="D1733" s="709" t="s">
        <v>1689</v>
      </c>
      <c r="E1733" s="716">
        <v>79.22</v>
      </c>
      <c r="F1733" s="717">
        <v>0</v>
      </c>
      <c r="G1733">
        <f>VLOOKUP(B1733,'SINAPI-%MO'!B:E,4,0)</f>
        <v>0.42009999999999997</v>
      </c>
      <c r="H1733" s="225">
        <f t="shared" si="26"/>
        <v>45.93</v>
      </c>
    </row>
    <row r="1734" spans="1:8" x14ac:dyDescent="0.3">
      <c r="A1734" s="400"/>
      <c r="B1734" s="709">
        <v>5928</v>
      </c>
      <c r="C1734" s="710" t="s">
        <v>1864</v>
      </c>
      <c r="D1734" s="709" t="s">
        <v>230</v>
      </c>
      <c r="E1734" s="716">
        <v>301.41000000000003</v>
      </c>
      <c r="F1734" s="717">
        <v>0</v>
      </c>
      <c r="G1734">
        <f>VLOOKUP(B1734,'SINAPI-%MO'!B:E,4,0)</f>
        <v>0.1104</v>
      </c>
      <c r="H1734" s="225">
        <f t="shared" si="26"/>
        <v>268.13</v>
      </c>
    </row>
    <row r="1735" spans="1:8" x14ac:dyDescent="0.3">
      <c r="A1735" s="400"/>
      <c r="B1735" s="709">
        <v>105845</v>
      </c>
      <c r="C1735" s="710" t="s">
        <v>1865</v>
      </c>
      <c r="D1735" s="709" t="s">
        <v>1689</v>
      </c>
      <c r="E1735" s="716">
        <v>0</v>
      </c>
      <c r="F1735" s="717"/>
      <c r="G1735" t="e">
        <f>VLOOKUP(B1735,'SINAPI-%MO'!B:E,4,0)</f>
        <v>#N/A</v>
      </c>
      <c r="H1735" s="225" t="str">
        <f t="shared" si="26"/>
        <v/>
      </c>
    </row>
    <row r="1736" spans="1:8" x14ac:dyDescent="0.3">
      <c r="A1736" s="400"/>
      <c r="B1736" s="709">
        <v>105844</v>
      </c>
      <c r="C1736" s="710" t="s">
        <v>1866</v>
      </c>
      <c r="D1736" s="709" t="s">
        <v>230</v>
      </c>
      <c r="E1736" s="716">
        <v>0</v>
      </c>
      <c r="F1736" s="717"/>
      <c r="G1736" t="e">
        <f>VLOOKUP(B1736,'SINAPI-%MO'!B:E,4,0)</f>
        <v>#N/A</v>
      </c>
      <c r="H1736" s="225" t="str">
        <f t="shared" si="26"/>
        <v/>
      </c>
    </row>
    <row r="1737" spans="1:8" x14ac:dyDescent="0.3">
      <c r="A1737" s="400"/>
      <c r="B1737" s="709">
        <v>91635</v>
      </c>
      <c r="C1737" s="710" t="s">
        <v>1867</v>
      </c>
      <c r="D1737" s="709" t="s">
        <v>1689</v>
      </c>
      <c r="E1737" s="716">
        <v>69.989999999999995</v>
      </c>
      <c r="F1737" s="717">
        <v>0</v>
      </c>
      <c r="G1737">
        <f>VLOOKUP(B1737,'SINAPI-%MO'!B:E,4,0)</f>
        <v>0.47549999999999998</v>
      </c>
      <c r="H1737" s="225">
        <f t="shared" si="26"/>
        <v>36.700000000000003</v>
      </c>
    </row>
    <row r="1738" spans="1:8" x14ac:dyDescent="0.3">
      <c r="A1738" s="400"/>
      <c r="B1738" s="709">
        <v>91634</v>
      </c>
      <c r="C1738" s="710" t="s">
        <v>1868</v>
      </c>
      <c r="D1738" s="709" t="s">
        <v>230</v>
      </c>
      <c r="E1738" s="716">
        <v>255.85</v>
      </c>
      <c r="F1738" s="717">
        <v>0</v>
      </c>
      <c r="G1738">
        <f>VLOOKUP(B1738,'SINAPI-%MO'!B:E,4,0)</f>
        <v>0.13009999999999999</v>
      </c>
      <c r="H1738" s="225">
        <f t="shared" si="26"/>
        <v>222.56</v>
      </c>
    </row>
    <row r="1739" spans="1:8" x14ac:dyDescent="0.3">
      <c r="A1739" s="400"/>
      <c r="B1739" s="709">
        <v>105985</v>
      </c>
      <c r="C1739" s="710" t="s">
        <v>1869</v>
      </c>
      <c r="D1739" s="709" t="s">
        <v>1689</v>
      </c>
      <c r="E1739" s="716">
        <v>103.87</v>
      </c>
      <c r="F1739" s="717">
        <v>0</v>
      </c>
      <c r="G1739">
        <f>VLOOKUP(B1739,'SINAPI-%MO'!B:E,4,0)</f>
        <v>0.32040000000000002</v>
      </c>
      <c r="H1739" s="225">
        <f t="shared" ref="H1739:H1802" si="27">IF(E1739&gt;0,TRUNC(E1739*(1-G1739),2),"")</f>
        <v>70.59</v>
      </c>
    </row>
    <row r="1740" spans="1:8" x14ac:dyDescent="0.3">
      <c r="A1740" s="400"/>
      <c r="B1740" s="709">
        <v>105984</v>
      </c>
      <c r="C1740" s="710" t="s">
        <v>1870</v>
      </c>
      <c r="D1740" s="709" t="s">
        <v>230</v>
      </c>
      <c r="E1740" s="716">
        <v>350.13</v>
      </c>
      <c r="F1740" s="717">
        <v>0</v>
      </c>
      <c r="G1740">
        <f>VLOOKUP(B1740,'SINAPI-%MO'!B:E,4,0)</f>
        <v>9.5100000000000004E-2</v>
      </c>
      <c r="H1740" s="225">
        <f t="shared" si="27"/>
        <v>316.83</v>
      </c>
    </row>
    <row r="1741" spans="1:8" x14ac:dyDescent="0.3">
      <c r="A1741" s="400"/>
      <c r="B1741" s="709">
        <v>98765</v>
      </c>
      <c r="C1741" s="710" t="s">
        <v>1871</v>
      </c>
      <c r="D1741" s="709" t="s">
        <v>1689</v>
      </c>
      <c r="E1741" s="716">
        <v>0.08</v>
      </c>
      <c r="F1741" s="717">
        <v>0</v>
      </c>
      <c r="G1741">
        <f>VLOOKUP(B1741,'SINAPI-%MO'!B:E,4,0)</f>
        <v>0</v>
      </c>
      <c r="H1741" s="225">
        <f t="shared" si="27"/>
        <v>0.08</v>
      </c>
    </row>
    <row r="1742" spans="1:8" x14ac:dyDescent="0.3">
      <c r="A1742" s="400"/>
      <c r="B1742" s="709">
        <v>98764</v>
      </c>
      <c r="C1742" s="710" t="s">
        <v>1872</v>
      </c>
      <c r="D1742" s="709" t="s">
        <v>230</v>
      </c>
      <c r="E1742" s="716">
        <v>6.41</v>
      </c>
      <c r="F1742" s="717">
        <v>0</v>
      </c>
      <c r="G1742">
        <f>VLOOKUP(B1742,'SINAPI-%MO'!B:E,4,0)</f>
        <v>0</v>
      </c>
      <c r="H1742" s="225">
        <f t="shared" si="27"/>
        <v>6.41</v>
      </c>
    </row>
    <row r="1743" spans="1:8" x14ac:dyDescent="0.3">
      <c r="A1743" s="400"/>
      <c r="B1743" s="709">
        <v>99834</v>
      </c>
      <c r="C1743" s="710" t="s">
        <v>1873</v>
      </c>
      <c r="D1743" s="709" t="s">
        <v>1689</v>
      </c>
      <c r="E1743" s="716">
        <v>0.24</v>
      </c>
      <c r="F1743" s="717">
        <v>0</v>
      </c>
      <c r="G1743">
        <f>VLOOKUP(B1743,'SINAPI-%MO'!B:E,4,0)</f>
        <v>0</v>
      </c>
      <c r="H1743" s="225">
        <f t="shared" si="27"/>
        <v>0.24</v>
      </c>
    </row>
    <row r="1744" spans="1:8" x14ac:dyDescent="0.3">
      <c r="A1744" s="400"/>
      <c r="B1744" s="709">
        <v>99833</v>
      </c>
      <c r="C1744" s="710" t="s">
        <v>1874</v>
      </c>
      <c r="D1744" s="709" t="s">
        <v>230</v>
      </c>
      <c r="E1744" s="716">
        <v>5.01</v>
      </c>
      <c r="F1744" s="717">
        <v>0</v>
      </c>
      <c r="G1744">
        <f>VLOOKUP(B1744,'SINAPI-%MO'!B:E,4,0)</f>
        <v>0</v>
      </c>
      <c r="H1744" s="225">
        <f t="shared" si="27"/>
        <v>5.01</v>
      </c>
    </row>
    <row r="1745" spans="1:8" x14ac:dyDescent="0.3">
      <c r="A1745" s="400"/>
      <c r="B1745" s="709">
        <v>104521</v>
      </c>
      <c r="C1745" s="710" t="s">
        <v>1875</v>
      </c>
      <c r="D1745" s="709" t="s">
        <v>1689</v>
      </c>
      <c r="E1745" s="716">
        <v>0</v>
      </c>
      <c r="F1745" s="717"/>
      <c r="G1745" t="e">
        <f>VLOOKUP(B1745,'SINAPI-%MO'!B:E,4,0)</f>
        <v>#N/A</v>
      </c>
      <c r="H1745" s="225" t="str">
        <f t="shared" si="27"/>
        <v/>
      </c>
    </row>
    <row r="1746" spans="1:8" x14ac:dyDescent="0.3">
      <c r="A1746" s="400"/>
      <c r="B1746" s="709">
        <v>104520</v>
      </c>
      <c r="C1746" s="710" t="s">
        <v>1876</v>
      </c>
      <c r="D1746" s="709" t="s">
        <v>230</v>
      </c>
      <c r="E1746" s="716">
        <v>0</v>
      </c>
      <c r="F1746" s="717"/>
      <c r="G1746" t="e">
        <f>VLOOKUP(B1746,'SINAPI-%MO'!B:E,4,0)</f>
        <v>#N/A</v>
      </c>
      <c r="H1746" s="225" t="str">
        <f t="shared" si="27"/>
        <v/>
      </c>
    </row>
    <row r="1747" spans="1:8" x14ac:dyDescent="0.3">
      <c r="A1747" s="400"/>
      <c r="B1747" s="709">
        <v>90687</v>
      </c>
      <c r="C1747" s="710" t="s">
        <v>1877</v>
      </c>
      <c r="D1747" s="709" t="s">
        <v>1689</v>
      </c>
      <c r="E1747" s="716">
        <v>82.33</v>
      </c>
      <c r="F1747" s="717">
        <v>0.55630000000000002</v>
      </c>
      <c r="G1747">
        <f>VLOOKUP(B1747,'SINAPI-%MO'!B:E,4,0)</f>
        <v>0.44369999999999998</v>
      </c>
      <c r="H1747" s="225">
        <f t="shared" si="27"/>
        <v>45.8</v>
      </c>
    </row>
    <row r="1748" spans="1:8" x14ac:dyDescent="0.3">
      <c r="A1748" s="400"/>
      <c r="B1748" s="709">
        <v>90686</v>
      </c>
      <c r="C1748" s="710" t="s">
        <v>1878</v>
      </c>
      <c r="D1748" s="709" t="s">
        <v>230</v>
      </c>
      <c r="E1748" s="716">
        <v>184.35</v>
      </c>
      <c r="F1748" s="717">
        <v>0.46920000000000001</v>
      </c>
      <c r="G1748">
        <f>VLOOKUP(B1748,'SINAPI-%MO'!B:E,4,0)</f>
        <v>0.19819999999999999</v>
      </c>
      <c r="H1748" s="225">
        <f t="shared" si="27"/>
        <v>147.81</v>
      </c>
    </row>
    <row r="1749" spans="1:8" x14ac:dyDescent="0.3">
      <c r="A1749" s="400"/>
      <c r="B1749" s="709">
        <v>5952</v>
      </c>
      <c r="C1749" s="710" t="s">
        <v>1879</v>
      </c>
      <c r="D1749" s="709" t="s">
        <v>1689</v>
      </c>
      <c r="E1749" s="716">
        <v>30.89</v>
      </c>
      <c r="F1749" s="717">
        <v>0</v>
      </c>
      <c r="G1749">
        <f>VLOOKUP(B1749,'SINAPI-%MO'!B:E,4,0)</f>
        <v>0.9819</v>
      </c>
      <c r="H1749" s="225">
        <f t="shared" si="27"/>
        <v>0.55000000000000004</v>
      </c>
    </row>
    <row r="1750" spans="1:8" x14ac:dyDescent="0.3">
      <c r="A1750" s="400"/>
      <c r="B1750" s="709">
        <v>5795</v>
      </c>
      <c r="C1750" s="710" t="s">
        <v>1880</v>
      </c>
      <c r="D1750" s="709" t="s">
        <v>230</v>
      </c>
      <c r="E1750" s="716">
        <v>31.47</v>
      </c>
      <c r="F1750" s="717">
        <v>0</v>
      </c>
      <c r="G1750">
        <f>VLOOKUP(B1750,'SINAPI-%MO'!B:E,4,0)</f>
        <v>0.96379999999999999</v>
      </c>
      <c r="H1750" s="225">
        <f t="shared" si="27"/>
        <v>1.1299999999999999</v>
      </c>
    </row>
    <row r="1751" spans="1:8" x14ac:dyDescent="0.3">
      <c r="A1751" s="400"/>
      <c r="B1751" s="709">
        <v>104657</v>
      </c>
      <c r="C1751" s="710" t="s">
        <v>1881</v>
      </c>
      <c r="D1751" s="709" t="s">
        <v>1689</v>
      </c>
      <c r="E1751" s="716">
        <v>0</v>
      </c>
      <c r="F1751" s="717"/>
      <c r="G1751" t="e">
        <f>VLOOKUP(B1751,'SINAPI-%MO'!B:E,4,0)</f>
        <v>#N/A</v>
      </c>
      <c r="H1751" s="225" t="str">
        <f t="shared" si="27"/>
        <v/>
      </c>
    </row>
    <row r="1752" spans="1:8" x14ac:dyDescent="0.3">
      <c r="A1752" s="400"/>
      <c r="B1752" s="709">
        <v>104656</v>
      </c>
      <c r="C1752" s="710" t="s">
        <v>1882</v>
      </c>
      <c r="D1752" s="709" t="s">
        <v>230</v>
      </c>
      <c r="E1752" s="716">
        <v>0</v>
      </c>
      <c r="F1752" s="717"/>
      <c r="G1752" t="e">
        <f>VLOOKUP(B1752,'SINAPI-%MO'!B:E,4,0)</f>
        <v>#N/A</v>
      </c>
      <c r="H1752" s="225" t="str">
        <f t="shared" si="27"/>
        <v/>
      </c>
    </row>
    <row r="1753" spans="1:8" x14ac:dyDescent="0.3">
      <c r="A1753" s="400"/>
      <c r="B1753" s="709">
        <v>102274</v>
      </c>
      <c r="C1753" s="710" t="s">
        <v>1883</v>
      </c>
      <c r="D1753" s="709" t="s">
        <v>1689</v>
      </c>
      <c r="E1753" s="716">
        <v>31.3</v>
      </c>
      <c r="F1753" s="717">
        <v>0</v>
      </c>
      <c r="G1753">
        <f>VLOOKUP(B1753,'SINAPI-%MO'!B:E,4,0)</f>
        <v>0.96899999999999997</v>
      </c>
      <c r="H1753" s="225">
        <f t="shared" si="27"/>
        <v>0.97</v>
      </c>
    </row>
    <row r="1754" spans="1:8" x14ac:dyDescent="0.3">
      <c r="A1754" s="400"/>
      <c r="B1754" s="709">
        <v>102275</v>
      </c>
      <c r="C1754" s="710" t="s">
        <v>1884</v>
      </c>
      <c r="D1754" s="709" t="s">
        <v>230</v>
      </c>
      <c r="E1754" s="716">
        <v>34.07</v>
      </c>
      <c r="F1754" s="717">
        <v>0</v>
      </c>
      <c r="G1754">
        <f>VLOOKUP(B1754,'SINAPI-%MO'!B:E,4,0)</f>
        <v>0.89019999999999999</v>
      </c>
      <c r="H1754" s="225">
        <f t="shared" si="27"/>
        <v>3.74</v>
      </c>
    </row>
    <row r="1755" spans="1:8" x14ac:dyDescent="0.3">
      <c r="A1755" s="400"/>
      <c r="B1755" s="709">
        <v>95259</v>
      </c>
      <c r="C1755" s="710" t="s">
        <v>1885</v>
      </c>
      <c r="D1755" s="709" t="s">
        <v>1689</v>
      </c>
      <c r="E1755" s="716">
        <v>31.48</v>
      </c>
      <c r="F1755" s="717">
        <v>0</v>
      </c>
      <c r="G1755">
        <f>VLOOKUP(B1755,'SINAPI-%MO'!B:E,4,0)</f>
        <v>0.96350000000000002</v>
      </c>
      <c r="H1755" s="225">
        <f t="shared" si="27"/>
        <v>1.1399999999999999</v>
      </c>
    </row>
    <row r="1756" spans="1:8" x14ac:dyDescent="0.3">
      <c r="A1756" s="400"/>
      <c r="B1756" s="709">
        <v>95258</v>
      </c>
      <c r="C1756" s="710" t="s">
        <v>1886</v>
      </c>
      <c r="D1756" s="709" t="s">
        <v>230</v>
      </c>
      <c r="E1756" s="716">
        <v>32.659999999999997</v>
      </c>
      <c r="F1756" s="717">
        <v>0</v>
      </c>
      <c r="G1756">
        <f>VLOOKUP(B1756,'SINAPI-%MO'!B:E,4,0)</f>
        <v>0.92869999999999997</v>
      </c>
      <c r="H1756" s="225">
        <f t="shared" si="27"/>
        <v>2.3199999999999998</v>
      </c>
    </row>
    <row r="1757" spans="1:8" x14ac:dyDescent="0.3">
      <c r="A1757" s="400"/>
      <c r="B1757" s="709">
        <v>105917</v>
      </c>
      <c r="C1757" s="710" t="s">
        <v>1887</v>
      </c>
      <c r="D1757" s="709" t="s">
        <v>1689</v>
      </c>
      <c r="E1757" s="716">
        <v>31.31</v>
      </c>
      <c r="F1757" s="717">
        <v>0</v>
      </c>
      <c r="G1757">
        <f>VLOOKUP(B1757,'SINAPI-%MO'!B:E,4,0)</f>
        <v>0.96870000000000001</v>
      </c>
      <c r="H1757" s="225">
        <f t="shared" si="27"/>
        <v>0.98</v>
      </c>
    </row>
    <row r="1758" spans="1:8" x14ac:dyDescent="0.3">
      <c r="A1758" s="400"/>
      <c r="B1758" s="709">
        <v>105916</v>
      </c>
      <c r="C1758" s="710" t="s">
        <v>1888</v>
      </c>
      <c r="D1758" s="709" t="s">
        <v>230</v>
      </c>
      <c r="E1758" s="716">
        <v>32.31</v>
      </c>
      <c r="F1758" s="717">
        <v>0</v>
      </c>
      <c r="G1758">
        <f>VLOOKUP(B1758,'SINAPI-%MO'!B:E,4,0)</f>
        <v>0.93869999999999998</v>
      </c>
      <c r="H1758" s="225">
        <f t="shared" si="27"/>
        <v>1.98</v>
      </c>
    </row>
    <row r="1759" spans="1:8" x14ac:dyDescent="0.3">
      <c r="A1759" s="400"/>
      <c r="B1759" s="709">
        <v>103794</v>
      </c>
      <c r="C1759" s="710" t="s">
        <v>1889</v>
      </c>
      <c r="D1759" s="709" t="s">
        <v>1689</v>
      </c>
      <c r="E1759" s="716">
        <v>0</v>
      </c>
      <c r="F1759" s="717"/>
      <c r="G1759" t="e">
        <f>VLOOKUP(B1759,'SINAPI-%MO'!B:E,4,0)</f>
        <v>#N/A</v>
      </c>
      <c r="H1759" s="225" t="str">
        <f t="shared" si="27"/>
        <v/>
      </c>
    </row>
    <row r="1760" spans="1:8" x14ac:dyDescent="0.3">
      <c r="A1760" s="400"/>
      <c r="B1760" s="709">
        <v>103793</v>
      </c>
      <c r="C1760" s="710" t="s">
        <v>1890</v>
      </c>
      <c r="D1760" s="709" t="s">
        <v>230</v>
      </c>
      <c r="E1760" s="716">
        <v>0</v>
      </c>
      <c r="F1760" s="717"/>
      <c r="G1760" t="e">
        <f>VLOOKUP(B1760,'SINAPI-%MO'!B:E,4,0)</f>
        <v>#N/A</v>
      </c>
      <c r="H1760" s="225" t="str">
        <f t="shared" si="27"/>
        <v/>
      </c>
    </row>
    <row r="1761" spans="1:8" x14ac:dyDescent="0.3">
      <c r="A1761" s="400"/>
      <c r="B1761" s="709">
        <v>96156</v>
      </c>
      <c r="C1761" s="710" t="s">
        <v>1891</v>
      </c>
      <c r="D1761" s="709" t="s">
        <v>1689</v>
      </c>
      <c r="E1761" s="716">
        <v>73.400000000000006</v>
      </c>
      <c r="F1761" s="717">
        <v>0</v>
      </c>
      <c r="G1761">
        <f>VLOOKUP(B1761,'SINAPI-%MO'!B:E,4,0)</f>
        <v>0.49769999999999998</v>
      </c>
      <c r="H1761" s="225">
        <f t="shared" si="27"/>
        <v>36.86</v>
      </c>
    </row>
    <row r="1762" spans="1:8" x14ac:dyDescent="0.3">
      <c r="A1762" s="400"/>
      <c r="B1762" s="709">
        <v>96158</v>
      </c>
      <c r="C1762" s="710" t="s">
        <v>1892</v>
      </c>
      <c r="D1762" s="709" t="s">
        <v>230</v>
      </c>
      <c r="E1762" s="716">
        <v>154.51</v>
      </c>
      <c r="F1762" s="717">
        <v>0</v>
      </c>
      <c r="G1762">
        <f>VLOOKUP(B1762,'SINAPI-%MO'!B:E,4,0)</f>
        <v>0.2364</v>
      </c>
      <c r="H1762" s="225">
        <f t="shared" si="27"/>
        <v>117.98</v>
      </c>
    </row>
    <row r="1763" spans="1:8" x14ac:dyDescent="0.3">
      <c r="A1763" s="400"/>
      <c r="B1763" s="709">
        <v>90693</v>
      </c>
      <c r="C1763" s="710" t="s">
        <v>1893</v>
      </c>
      <c r="D1763" s="709" t="s">
        <v>1689</v>
      </c>
      <c r="E1763" s="716">
        <v>67.28</v>
      </c>
      <c r="F1763" s="717">
        <v>0</v>
      </c>
      <c r="G1763">
        <f>VLOOKUP(B1763,'SINAPI-%MO'!B:E,4,0)</f>
        <v>0.54300000000000004</v>
      </c>
      <c r="H1763" s="225">
        <f t="shared" si="27"/>
        <v>30.74</v>
      </c>
    </row>
    <row r="1764" spans="1:8" x14ac:dyDescent="0.3">
      <c r="A1764" s="400"/>
      <c r="B1764" s="709">
        <v>90692</v>
      </c>
      <c r="C1764" s="710" t="s">
        <v>1894</v>
      </c>
      <c r="D1764" s="709" t="s">
        <v>230</v>
      </c>
      <c r="E1764" s="716">
        <v>142.33000000000001</v>
      </c>
      <c r="F1764" s="717">
        <v>0</v>
      </c>
      <c r="G1764">
        <f>VLOOKUP(B1764,'SINAPI-%MO'!B:E,4,0)</f>
        <v>0.25669999999999998</v>
      </c>
      <c r="H1764" s="225">
        <f t="shared" si="27"/>
        <v>105.79</v>
      </c>
    </row>
    <row r="1765" spans="1:8" x14ac:dyDescent="0.3">
      <c r="A1765" s="400"/>
      <c r="B1765" s="709">
        <v>96246</v>
      </c>
      <c r="C1765" s="710" t="s">
        <v>1895</v>
      </c>
      <c r="D1765" s="709" t="s">
        <v>1689</v>
      </c>
      <c r="E1765" s="716">
        <v>68.12</v>
      </c>
      <c r="F1765" s="717">
        <v>0</v>
      </c>
      <c r="G1765">
        <f>VLOOKUP(B1765,'SINAPI-%MO'!B:E,4,0)</f>
        <v>0.49370000000000003</v>
      </c>
      <c r="H1765" s="225">
        <f t="shared" si="27"/>
        <v>34.479999999999997</v>
      </c>
    </row>
    <row r="1766" spans="1:8" x14ac:dyDescent="0.3">
      <c r="A1766" s="400"/>
      <c r="B1766" s="709">
        <v>96245</v>
      </c>
      <c r="C1766" s="710" t="s">
        <v>1896</v>
      </c>
      <c r="D1766" s="709" t="s">
        <v>230</v>
      </c>
      <c r="E1766" s="716">
        <v>120.98</v>
      </c>
      <c r="F1766" s="717">
        <v>0</v>
      </c>
      <c r="G1766">
        <f>VLOOKUP(B1766,'SINAPI-%MO'!B:E,4,0)</f>
        <v>0.27800000000000002</v>
      </c>
      <c r="H1766" s="225">
        <f t="shared" si="27"/>
        <v>87.34</v>
      </c>
    </row>
    <row r="1767" spans="1:8" x14ac:dyDescent="0.3">
      <c r="A1767" s="400"/>
      <c r="B1767" s="709">
        <v>88404</v>
      </c>
      <c r="C1767" s="710" t="s">
        <v>1897</v>
      </c>
      <c r="D1767" s="709" t="s">
        <v>1689</v>
      </c>
      <c r="E1767" s="716">
        <v>0.96</v>
      </c>
      <c r="F1767" s="717">
        <v>0</v>
      </c>
      <c r="G1767">
        <f>VLOOKUP(B1767,'SINAPI-%MO'!B:E,4,0)</f>
        <v>0</v>
      </c>
      <c r="H1767" s="225">
        <f t="shared" si="27"/>
        <v>0.96</v>
      </c>
    </row>
    <row r="1768" spans="1:8" x14ac:dyDescent="0.3">
      <c r="A1768" s="400"/>
      <c r="B1768" s="709">
        <v>88399</v>
      </c>
      <c r="C1768" s="710" t="s">
        <v>1898</v>
      </c>
      <c r="D1768" s="709" t="s">
        <v>230</v>
      </c>
      <c r="E1768" s="716">
        <v>3.78</v>
      </c>
      <c r="F1768" s="717">
        <v>0</v>
      </c>
      <c r="G1768">
        <f>VLOOKUP(B1768,'SINAPI-%MO'!B:E,4,0)</f>
        <v>0</v>
      </c>
      <c r="H1768" s="225">
        <f t="shared" si="27"/>
        <v>3.78</v>
      </c>
    </row>
    <row r="1769" spans="1:8" x14ac:dyDescent="0.3">
      <c r="A1769" s="400"/>
      <c r="B1769" s="709">
        <v>88392</v>
      </c>
      <c r="C1769" s="710" t="s">
        <v>1899</v>
      </c>
      <c r="D1769" s="709" t="s">
        <v>1689</v>
      </c>
      <c r="E1769" s="716">
        <v>1.01</v>
      </c>
      <c r="F1769" s="717">
        <v>0</v>
      </c>
      <c r="G1769">
        <f>VLOOKUP(B1769,'SINAPI-%MO'!B:E,4,0)</f>
        <v>0</v>
      </c>
      <c r="H1769" s="225">
        <f t="shared" si="27"/>
        <v>1.01</v>
      </c>
    </row>
    <row r="1770" spans="1:8" x14ac:dyDescent="0.3">
      <c r="A1770" s="400"/>
      <c r="B1770" s="709">
        <v>88386</v>
      </c>
      <c r="C1770" s="710" t="s">
        <v>1900</v>
      </c>
      <c r="D1770" s="709" t="s">
        <v>230</v>
      </c>
      <c r="E1770" s="716">
        <v>5.19</v>
      </c>
      <c r="F1770" s="717">
        <v>0</v>
      </c>
      <c r="G1770">
        <f>VLOOKUP(B1770,'SINAPI-%MO'!B:E,4,0)</f>
        <v>0</v>
      </c>
      <c r="H1770" s="225">
        <f t="shared" si="27"/>
        <v>5.19</v>
      </c>
    </row>
    <row r="1771" spans="1:8" x14ac:dyDescent="0.3">
      <c r="A1771" s="400"/>
      <c r="B1771" s="709">
        <v>88398</v>
      </c>
      <c r="C1771" s="710" t="s">
        <v>1901</v>
      </c>
      <c r="D1771" s="709" t="s">
        <v>1689</v>
      </c>
      <c r="E1771" s="716">
        <v>1.2</v>
      </c>
      <c r="F1771" s="717">
        <v>0</v>
      </c>
      <c r="G1771">
        <f>VLOOKUP(B1771,'SINAPI-%MO'!B:E,4,0)</f>
        <v>0</v>
      </c>
      <c r="H1771" s="225">
        <f t="shared" si="27"/>
        <v>1.2</v>
      </c>
    </row>
    <row r="1772" spans="1:8" x14ac:dyDescent="0.3">
      <c r="A1772" s="400"/>
      <c r="B1772" s="709">
        <v>88393</v>
      </c>
      <c r="C1772" s="710" t="s">
        <v>1902</v>
      </c>
      <c r="D1772" s="709" t="s">
        <v>230</v>
      </c>
      <c r="E1772" s="716">
        <v>7.19</v>
      </c>
      <c r="F1772" s="717">
        <v>0</v>
      </c>
      <c r="G1772">
        <f>VLOOKUP(B1772,'SINAPI-%MO'!B:E,4,0)</f>
        <v>0</v>
      </c>
      <c r="H1772" s="225">
        <f t="shared" si="27"/>
        <v>7.19</v>
      </c>
    </row>
    <row r="1773" spans="1:8" x14ac:dyDescent="0.3">
      <c r="A1773" s="400"/>
      <c r="B1773" s="709">
        <v>90638</v>
      </c>
      <c r="C1773" s="710" t="s">
        <v>1903</v>
      </c>
      <c r="D1773" s="709" t="s">
        <v>1689</v>
      </c>
      <c r="E1773" s="716">
        <v>4.82</v>
      </c>
      <c r="F1773" s="717">
        <v>0</v>
      </c>
      <c r="G1773">
        <f>VLOOKUP(B1773,'SINAPI-%MO'!B:E,4,0)</f>
        <v>0</v>
      </c>
      <c r="H1773" s="225">
        <f t="shared" si="27"/>
        <v>4.82</v>
      </c>
    </row>
    <row r="1774" spans="1:8" x14ac:dyDescent="0.3">
      <c r="A1774" s="400"/>
      <c r="B1774" s="709">
        <v>90637</v>
      </c>
      <c r="C1774" s="710" t="s">
        <v>1904</v>
      </c>
      <c r="D1774" s="709" t="s">
        <v>230</v>
      </c>
      <c r="E1774" s="716">
        <v>15.68</v>
      </c>
      <c r="F1774" s="717">
        <v>0</v>
      </c>
      <c r="G1774">
        <f>VLOOKUP(B1774,'SINAPI-%MO'!B:E,4,0)</f>
        <v>0</v>
      </c>
      <c r="H1774" s="225">
        <f t="shared" si="27"/>
        <v>15.68</v>
      </c>
    </row>
    <row r="1775" spans="1:8" x14ac:dyDescent="0.3">
      <c r="A1775" s="400"/>
      <c r="B1775" s="709">
        <v>103243</v>
      </c>
      <c r="C1775" s="710" t="s">
        <v>1905</v>
      </c>
      <c r="D1775" s="709" t="s">
        <v>1689</v>
      </c>
      <c r="E1775" s="716">
        <v>0</v>
      </c>
      <c r="F1775" s="717"/>
      <c r="G1775" t="e">
        <f>VLOOKUP(B1775,'SINAPI-%MO'!B:E,4,0)</f>
        <v>#N/A</v>
      </c>
      <c r="H1775" s="225" t="str">
        <f t="shared" si="27"/>
        <v/>
      </c>
    </row>
    <row r="1776" spans="1:8" x14ac:dyDescent="0.3">
      <c r="A1776" s="400"/>
      <c r="B1776" s="709">
        <v>103242</v>
      </c>
      <c r="C1776" s="710" t="s">
        <v>1906</v>
      </c>
      <c r="D1776" s="709" t="s">
        <v>230</v>
      </c>
      <c r="E1776" s="716">
        <v>0</v>
      </c>
      <c r="F1776" s="717"/>
      <c r="G1776" t="e">
        <f>VLOOKUP(B1776,'SINAPI-%MO'!B:E,4,0)</f>
        <v>#N/A</v>
      </c>
      <c r="H1776" s="225" t="str">
        <f t="shared" si="27"/>
        <v/>
      </c>
    </row>
    <row r="1777" spans="1:8" x14ac:dyDescent="0.3">
      <c r="A1777" s="400"/>
      <c r="B1777" s="709">
        <v>5806</v>
      </c>
      <c r="C1777" s="710" t="s">
        <v>1907</v>
      </c>
      <c r="D1777" s="709" t="s">
        <v>1689</v>
      </c>
      <c r="E1777" s="716">
        <v>0.34</v>
      </c>
      <c r="F1777" s="717">
        <v>0</v>
      </c>
      <c r="G1777">
        <f>VLOOKUP(B1777,'SINAPI-%MO'!B:E,4,0)</f>
        <v>0</v>
      </c>
      <c r="H1777" s="225">
        <f t="shared" si="27"/>
        <v>0.34</v>
      </c>
    </row>
    <row r="1778" spans="1:8" x14ac:dyDescent="0.3">
      <c r="A1778" s="400"/>
      <c r="B1778" s="709">
        <v>73536</v>
      </c>
      <c r="C1778" s="710" t="s">
        <v>1908</v>
      </c>
      <c r="D1778" s="709" t="s">
        <v>230</v>
      </c>
      <c r="E1778" s="716">
        <v>22.08</v>
      </c>
      <c r="F1778" s="717">
        <v>0</v>
      </c>
      <c r="G1778">
        <f>VLOOKUP(B1778,'SINAPI-%MO'!B:E,4,0)</f>
        <v>0</v>
      </c>
      <c r="H1778" s="225">
        <f t="shared" si="27"/>
        <v>22.08</v>
      </c>
    </row>
    <row r="1779" spans="1:8" x14ac:dyDescent="0.3">
      <c r="A1779" s="400"/>
      <c r="B1779" s="709">
        <v>7043</v>
      </c>
      <c r="C1779" s="710" t="s">
        <v>1909</v>
      </c>
      <c r="D1779" s="709" t="s">
        <v>1689</v>
      </c>
      <c r="E1779" s="716">
        <v>0.43</v>
      </c>
      <c r="F1779" s="717">
        <v>0</v>
      </c>
      <c r="G1779">
        <f>VLOOKUP(B1779,'SINAPI-%MO'!B:E,4,0)</f>
        <v>0</v>
      </c>
      <c r="H1779" s="225">
        <f t="shared" si="27"/>
        <v>0.43</v>
      </c>
    </row>
    <row r="1780" spans="1:8" x14ac:dyDescent="0.3">
      <c r="A1780" s="400"/>
      <c r="B1780" s="709">
        <v>7042</v>
      </c>
      <c r="C1780" s="710" t="s">
        <v>1910</v>
      </c>
      <c r="D1780" s="709" t="s">
        <v>230</v>
      </c>
      <c r="E1780" s="716">
        <v>26.1</v>
      </c>
      <c r="F1780" s="717">
        <v>0</v>
      </c>
      <c r="G1780">
        <f>VLOOKUP(B1780,'SINAPI-%MO'!B:E,4,0)</f>
        <v>0</v>
      </c>
      <c r="H1780" s="225">
        <f t="shared" si="27"/>
        <v>26.1</v>
      </c>
    </row>
    <row r="1781" spans="1:8" x14ac:dyDescent="0.3">
      <c r="A1781" s="400"/>
      <c r="B1781" s="709">
        <v>5934</v>
      </c>
      <c r="C1781" s="710" t="s">
        <v>1911</v>
      </c>
      <c r="D1781" s="709" t="s">
        <v>1689</v>
      </c>
      <c r="E1781" s="716">
        <v>108.57</v>
      </c>
      <c r="F1781" s="717">
        <v>0</v>
      </c>
      <c r="G1781">
        <f>VLOOKUP(B1781,'SINAPI-%MO'!B:E,4,0)</f>
        <v>0.439</v>
      </c>
      <c r="H1781" s="225">
        <f t="shared" si="27"/>
        <v>60.9</v>
      </c>
    </row>
    <row r="1782" spans="1:8" x14ac:dyDescent="0.3">
      <c r="A1782" s="400"/>
      <c r="B1782" s="709">
        <v>5932</v>
      </c>
      <c r="C1782" s="710" t="s">
        <v>1912</v>
      </c>
      <c r="D1782" s="709" t="s">
        <v>230</v>
      </c>
      <c r="E1782" s="716">
        <v>271.2</v>
      </c>
      <c r="F1782" s="717">
        <v>0</v>
      </c>
      <c r="G1782">
        <f>VLOOKUP(B1782,'SINAPI-%MO'!B:E,4,0)</f>
        <v>0.1757</v>
      </c>
      <c r="H1782" s="225">
        <f t="shared" si="27"/>
        <v>223.55</v>
      </c>
    </row>
    <row r="1783" spans="1:8" x14ac:dyDescent="0.3">
      <c r="A1783" s="400"/>
      <c r="B1783" s="709">
        <v>96159</v>
      </c>
      <c r="C1783" s="710" t="s">
        <v>1913</v>
      </c>
      <c r="D1783" s="709" t="s">
        <v>1689</v>
      </c>
      <c r="E1783" s="716">
        <v>110.81</v>
      </c>
      <c r="F1783" s="717">
        <v>0.67030000000000001</v>
      </c>
      <c r="G1783">
        <f>VLOOKUP(B1783,'SINAPI-%MO'!B:E,4,0)</f>
        <v>0.32969999999999999</v>
      </c>
      <c r="H1783" s="225">
        <f t="shared" si="27"/>
        <v>74.27</v>
      </c>
    </row>
    <row r="1784" spans="1:8" x14ac:dyDescent="0.3">
      <c r="A1784" s="400"/>
      <c r="B1784" s="709">
        <v>95133</v>
      </c>
      <c r="C1784" s="710" t="s">
        <v>1914</v>
      </c>
      <c r="D1784" s="709" t="s">
        <v>230</v>
      </c>
      <c r="E1784" s="716">
        <v>209.74</v>
      </c>
      <c r="F1784" s="717">
        <v>0.66010000000000002</v>
      </c>
      <c r="G1784">
        <f>VLOOKUP(B1784,'SINAPI-%MO'!B:E,4,0)</f>
        <v>0.17419999999999999</v>
      </c>
      <c r="H1784" s="225">
        <f t="shared" si="27"/>
        <v>173.2</v>
      </c>
    </row>
    <row r="1785" spans="1:8" x14ac:dyDescent="0.3">
      <c r="A1785" s="400"/>
      <c r="B1785" s="709">
        <v>102986</v>
      </c>
      <c r="C1785" s="710" t="s">
        <v>1915</v>
      </c>
      <c r="D1785" s="709" t="s">
        <v>1689</v>
      </c>
      <c r="E1785" s="716">
        <v>0</v>
      </c>
      <c r="F1785" s="717"/>
      <c r="G1785" t="e">
        <f>VLOOKUP(B1785,'SINAPI-%MO'!B:E,4,0)</f>
        <v>#N/A</v>
      </c>
      <c r="H1785" s="225" t="str">
        <f t="shared" si="27"/>
        <v/>
      </c>
    </row>
    <row r="1786" spans="1:8" x14ac:dyDescent="0.3">
      <c r="A1786" s="400"/>
      <c r="B1786" s="709">
        <v>102987</v>
      </c>
      <c r="C1786" s="710" t="s">
        <v>1916</v>
      </c>
      <c r="D1786" s="709" t="s">
        <v>230</v>
      </c>
      <c r="E1786" s="716">
        <v>0</v>
      </c>
      <c r="F1786" s="717"/>
      <c r="G1786" t="e">
        <f>VLOOKUP(B1786,'SINAPI-%MO'!B:E,4,0)</f>
        <v>#N/A</v>
      </c>
      <c r="H1786" s="225" t="str">
        <f t="shared" si="27"/>
        <v/>
      </c>
    </row>
    <row r="1787" spans="1:8" x14ac:dyDescent="0.3">
      <c r="A1787" s="400"/>
      <c r="B1787" s="709">
        <v>92961</v>
      </c>
      <c r="C1787" s="710" t="s">
        <v>1917</v>
      </c>
      <c r="D1787" s="709" t="s">
        <v>1689</v>
      </c>
      <c r="E1787" s="716">
        <v>6.11</v>
      </c>
      <c r="F1787" s="717">
        <v>1</v>
      </c>
      <c r="G1787">
        <f>VLOOKUP(B1787,'SINAPI-%MO'!B:E,4,0)</f>
        <v>0</v>
      </c>
      <c r="H1787" s="225">
        <f t="shared" si="27"/>
        <v>6.11</v>
      </c>
    </row>
    <row r="1788" spans="1:8" x14ac:dyDescent="0.3">
      <c r="A1788" s="400"/>
      <c r="B1788" s="709">
        <v>92960</v>
      </c>
      <c r="C1788" s="710" t="s">
        <v>1918</v>
      </c>
      <c r="D1788" s="709" t="s">
        <v>230</v>
      </c>
      <c r="E1788" s="716">
        <v>21.53</v>
      </c>
      <c r="F1788" s="717">
        <v>0.53600000000000003</v>
      </c>
      <c r="G1788">
        <f>VLOOKUP(B1788,'SINAPI-%MO'!B:E,4,0)</f>
        <v>0</v>
      </c>
      <c r="H1788" s="225">
        <f t="shared" si="27"/>
        <v>21.53</v>
      </c>
    </row>
    <row r="1789" spans="1:8" x14ac:dyDescent="0.3">
      <c r="A1789" s="400"/>
      <c r="B1789" s="709">
        <v>102863</v>
      </c>
      <c r="C1789" s="710" t="s">
        <v>1919</v>
      </c>
      <c r="D1789" s="709" t="s">
        <v>1689</v>
      </c>
      <c r="E1789" s="716">
        <v>0</v>
      </c>
      <c r="F1789" s="717"/>
      <c r="G1789" t="e">
        <f>VLOOKUP(B1789,'SINAPI-%MO'!B:E,4,0)</f>
        <v>#N/A</v>
      </c>
      <c r="H1789" s="225" t="str">
        <f t="shared" si="27"/>
        <v/>
      </c>
    </row>
    <row r="1790" spans="1:8" x14ac:dyDescent="0.3">
      <c r="A1790" s="400"/>
      <c r="B1790" s="709">
        <v>102862</v>
      </c>
      <c r="C1790" s="710" t="s">
        <v>1920</v>
      </c>
      <c r="D1790" s="709" t="s">
        <v>230</v>
      </c>
      <c r="E1790" s="716">
        <v>0</v>
      </c>
      <c r="F1790" s="717"/>
      <c r="G1790" t="e">
        <f>VLOOKUP(B1790,'SINAPI-%MO'!B:E,4,0)</f>
        <v>#N/A</v>
      </c>
      <c r="H1790" s="225" t="str">
        <f t="shared" si="27"/>
        <v/>
      </c>
    </row>
    <row r="1791" spans="1:8" x14ac:dyDescent="0.3">
      <c r="A1791" s="400"/>
      <c r="B1791" s="709">
        <v>93409</v>
      </c>
      <c r="C1791" s="710" t="s">
        <v>1921</v>
      </c>
      <c r="D1791" s="709" t="s">
        <v>1689</v>
      </c>
      <c r="E1791" s="716">
        <v>40.479999999999997</v>
      </c>
      <c r="F1791" s="717">
        <v>0.2404</v>
      </c>
      <c r="G1791">
        <f>VLOOKUP(B1791,'SINAPI-%MO'!B:E,4,0)</f>
        <v>0.75960000000000005</v>
      </c>
      <c r="H1791" s="225">
        <f t="shared" si="27"/>
        <v>9.73</v>
      </c>
    </row>
    <row r="1792" spans="1:8" x14ac:dyDescent="0.3">
      <c r="A1792" s="400"/>
      <c r="B1792" s="709">
        <v>93408</v>
      </c>
      <c r="C1792" s="710" t="s">
        <v>1922</v>
      </c>
      <c r="D1792" s="709" t="s">
        <v>230</v>
      </c>
      <c r="E1792" s="716">
        <v>100.6</v>
      </c>
      <c r="F1792" s="717">
        <v>0.18920000000000001</v>
      </c>
      <c r="G1792">
        <f>VLOOKUP(B1792,'SINAPI-%MO'!B:E,4,0)</f>
        <v>0.30570000000000003</v>
      </c>
      <c r="H1792" s="225">
        <f t="shared" si="27"/>
        <v>69.84</v>
      </c>
    </row>
    <row r="1793" spans="1:8" x14ac:dyDescent="0.3">
      <c r="A1793" s="400"/>
      <c r="B1793" s="709">
        <v>102941</v>
      </c>
      <c r="C1793" s="710" t="s">
        <v>1923</v>
      </c>
      <c r="D1793" s="709" t="s">
        <v>1689</v>
      </c>
      <c r="E1793" s="716">
        <v>0</v>
      </c>
      <c r="F1793" s="717"/>
      <c r="G1793" t="e">
        <f>VLOOKUP(B1793,'SINAPI-%MO'!B:E,4,0)</f>
        <v>#N/A</v>
      </c>
      <c r="H1793" s="225" t="str">
        <f t="shared" si="27"/>
        <v/>
      </c>
    </row>
    <row r="1794" spans="1:8" x14ac:dyDescent="0.3">
      <c r="A1794" s="400"/>
      <c r="B1794" s="709">
        <v>102940</v>
      </c>
      <c r="C1794" s="710" t="s">
        <v>1924</v>
      </c>
      <c r="D1794" s="709" t="s">
        <v>230</v>
      </c>
      <c r="E1794" s="716">
        <v>0</v>
      </c>
      <c r="F1794" s="717"/>
      <c r="G1794" t="e">
        <f>VLOOKUP(B1794,'SINAPI-%MO'!B:E,4,0)</f>
        <v>#N/A</v>
      </c>
      <c r="H1794" s="225" t="str">
        <f t="shared" si="27"/>
        <v/>
      </c>
    </row>
    <row r="1795" spans="1:8" x14ac:dyDescent="0.3">
      <c r="A1795" s="400"/>
      <c r="B1795" s="709">
        <v>103164</v>
      </c>
      <c r="C1795" s="710" t="s">
        <v>1925</v>
      </c>
      <c r="D1795" s="709" t="s">
        <v>1689</v>
      </c>
      <c r="E1795" s="716">
        <v>0</v>
      </c>
      <c r="F1795" s="717"/>
      <c r="G1795" t="e">
        <f>VLOOKUP(B1795,'SINAPI-%MO'!B:E,4,0)</f>
        <v>#N/A</v>
      </c>
      <c r="H1795" s="225" t="str">
        <f t="shared" si="27"/>
        <v/>
      </c>
    </row>
    <row r="1796" spans="1:8" x14ac:dyDescent="0.3">
      <c r="A1796" s="400"/>
      <c r="B1796" s="709">
        <v>103163</v>
      </c>
      <c r="C1796" s="710" t="s">
        <v>1926</v>
      </c>
      <c r="D1796" s="709" t="s">
        <v>230</v>
      </c>
      <c r="E1796" s="716">
        <v>0</v>
      </c>
      <c r="F1796" s="717"/>
      <c r="G1796" t="e">
        <f>VLOOKUP(B1796,'SINAPI-%MO'!B:E,4,0)</f>
        <v>#N/A</v>
      </c>
      <c r="H1796" s="225" t="str">
        <f t="shared" si="27"/>
        <v/>
      </c>
    </row>
    <row r="1797" spans="1:8" x14ac:dyDescent="0.3">
      <c r="A1797" s="400"/>
      <c r="B1797" s="709">
        <v>103158</v>
      </c>
      <c r="C1797" s="710" t="s">
        <v>1927</v>
      </c>
      <c r="D1797" s="709" t="s">
        <v>1689</v>
      </c>
      <c r="E1797" s="716">
        <v>0</v>
      </c>
      <c r="F1797" s="717"/>
      <c r="G1797" t="e">
        <f>VLOOKUP(B1797,'SINAPI-%MO'!B:E,4,0)</f>
        <v>#N/A</v>
      </c>
      <c r="H1797" s="225" t="str">
        <f t="shared" si="27"/>
        <v/>
      </c>
    </row>
    <row r="1798" spans="1:8" x14ac:dyDescent="0.3">
      <c r="A1798" s="400"/>
      <c r="B1798" s="709">
        <v>103157</v>
      </c>
      <c r="C1798" s="710" t="s">
        <v>1928</v>
      </c>
      <c r="D1798" s="709" t="s">
        <v>230</v>
      </c>
      <c r="E1798" s="716">
        <v>0</v>
      </c>
      <c r="F1798" s="717"/>
      <c r="G1798" t="e">
        <f>VLOOKUP(B1798,'SINAPI-%MO'!B:E,4,0)</f>
        <v>#N/A</v>
      </c>
      <c r="H1798" s="225" t="str">
        <f t="shared" si="27"/>
        <v/>
      </c>
    </row>
    <row r="1799" spans="1:8" x14ac:dyDescent="0.3">
      <c r="A1799" s="400"/>
      <c r="B1799" s="709">
        <v>103176</v>
      </c>
      <c r="C1799" s="710" t="s">
        <v>1929</v>
      </c>
      <c r="D1799" s="709" t="s">
        <v>1689</v>
      </c>
      <c r="E1799" s="716">
        <v>0</v>
      </c>
      <c r="F1799" s="717"/>
      <c r="G1799" t="e">
        <f>VLOOKUP(B1799,'SINAPI-%MO'!B:E,4,0)</f>
        <v>#N/A</v>
      </c>
      <c r="H1799" s="225" t="str">
        <f t="shared" si="27"/>
        <v/>
      </c>
    </row>
    <row r="1800" spans="1:8" x14ac:dyDescent="0.3">
      <c r="A1800" s="400"/>
      <c r="B1800" s="709">
        <v>103175</v>
      </c>
      <c r="C1800" s="710" t="s">
        <v>1930</v>
      </c>
      <c r="D1800" s="709" t="s">
        <v>230</v>
      </c>
      <c r="E1800" s="716">
        <v>0</v>
      </c>
      <c r="F1800" s="717"/>
      <c r="G1800" t="e">
        <f>VLOOKUP(B1800,'SINAPI-%MO'!B:E,4,0)</f>
        <v>#N/A</v>
      </c>
      <c r="H1800" s="225" t="str">
        <f t="shared" si="27"/>
        <v/>
      </c>
    </row>
    <row r="1801" spans="1:8" x14ac:dyDescent="0.3">
      <c r="A1801" s="400"/>
      <c r="B1801" s="709">
        <v>103182</v>
      </c>
      <c r="C1801" s="710" t="s">
        <v>1931</v>
      </c>
      <c r="D1801" s="709" t="s">
        <v>1689</v>
      </c>
      <c r="E1801" s="716">
        <v>0</v>
      </c>
      <c r="F1801" s="717"/>
      <c r="G1801" t="e">
        <f>VLOOKUP(B1801,'SINAPI-%MO'!B:E,4,0)</f>
        <v>#N/A</v>
      </c>
      <c r="H1801" s="225" t="str">
        <f t="shared" si="27"/>
        <v/>
      </c>
    </row>
    <row r="1802" spans="1:8" x14ac:dyDescent="0.3">
      <c r="A1802" s="400"/>
      <c r="B1802" s="709">
        <v>103181</v>
      </c>
      <c r="C1802" s="710" t="s">
        <v>1932</v>
      </c>
      <c r="D1802" s="709" t="s">
        <v>230</v>
      </c>
      <c r="E1802" s="716">
        <v>0</v>
      </c>
      <c r="F1802" s="717"/>
      <c r="G1802" t="e">
        <f>VLOOKUP(B1802,'SINAPI-%MO'!B:E,4,0)</f>
        <v>#N/A</v>
      </c>
      <c r="H1802" s="225" t="str">
        <f t="shared" si="27"/>
        <v/>
      </c>
    </row>
    <row r="1803" spans="1:8" x14ac:dyDescent="0.3">
      <c r="A1803" s="400"/>
      <c r="B1803" s="709">
        <v>103170</v>
      </c>
      <c r="C1803" s="710" t="s">
        <v>1933</v>
      </c>
      <c r="D1803" s="709" t="s">
        <v>1689</v>
      </c>
      <c r="E1803" s="716">
        <v>0</v>
      </c>
      <c r="F1803" s="717"/>
      <c r="G1803" t="e">
        <f>VLOOKUP(B1803,'SINAPI-%MO'!B:E,4,0)</f>
        <v>#N/A</v>
      </c>
      <c r="H1803" s="225" t="str">
        <f t="shared" ref="H1803:H1866" si="28">IF(E1803&gt;0,TRUNC(E1803*(1-G1803),2),"")</f>
        <v/>
      </c>
    </row>
    <row r="1804" spans="1:8" x14ac:dyDescent="0.3">
      <c r="A1804" s="400"/>
      <c r="B1804" s="709">
        <v>103169</v>
      </c>
      <c r="C1804" s="710" t="s">
        <v>1934</v>
      </c>
      <c r="D1804" s="709" t="s">
        <v>230</v>
      </c>
      <c r="E1804" s="716">
        <v>0</v>
      </c>
      <c r="F1804" s="717"/>
      <c r="G1804" t="e">
        <f>VLOOKUP(B1804,'SINAPI-%MO'!B:E,4,0)</f>
        <v>#N/A</v>
      </c>
      <c r="H1804" s="225" t="str">
        <f t="shared" si="28"/>
        <v/>
      </c>
    </row>
    <row r="1805" spans="1:8" x14ac:dyDescent="0.3">
      <c r="A1805" s="400"/>
      <c r="B1805" s="709">
        <v>102869</v>
      </c>
      <c r="C1805" s="710" t="s">
        <v>1935</v>
      </c>
      <c r="D1805" s="709" t="s">
        <v>1689</v>
      </c>
      <c r="E1805" s="716">
        <v>0</v>
      </c>
      <c r="F1805" s="717"/>
      <c r="G1805" t="e">
        <f>VLOOKUP(B1805,'SINAPI-%MO'!B:E,4,0)</f>
        <v>#N/A</v>
      </c>
      <c r="H1805" s="225" t="str">
        <f t="shared" si="28"/>
        <v/>
      </c>
    </row>
    <row r="1806" spans="1:8" x14ac:dyDescent="0.3">
      <c r="A1806" s="400"/>
      <c r="B1806" s="709">
        <v>102868</v>
      </c>
      <c r="C1806" s="710" t="s">
        <v>1936</v>
      </c>
      <c r="D1806" s="709" t="s">
        <v>230</v>
      </c>
      <c r="E1806" s="716">
        <v>0</v>
      </c>
      <c r="F1806" s="717"/>
      <c r="G1806" t="e">
        <f>VLOOKUP(B1806,'SINAPI-%MO'!B:E,4,0)</f>
        <v>#N/A</v>
      </c>
      <c r="H1806" s="225" t="str">
        <f t="shared" si="28"/>
        <v/>
      </c>
    </row>
    <row r="1807" spans="1:8" x14ac:dyDescent="0.3">
      <c r="A1807" s="400"/>
      <c r="B1807" s="709">
        <v>106326</v>
      </c>
      <c r="C1807" s="710" t="s">
        <v>14911</v>
      </c>
      <c r="D1807" s="709" t="s">
        <v>1689</v>
      </c>
      <c r="E1807" s="716">
        <v>0</v>
      </c>
      <c r="F1807" s="717"/>
      <c r="G1807" t="e">
        <f>VLOOKUP(B1807,'SINAPI-%MO'!B:E,4,0)</f>
        <v>#N/A</v>
      </c>
      <c r="H1807" s="225" t="str">
        <f t="shared" si="28"/>
        <v/>
      </c>
    </row>
    <row r="1808" spans="1:8" x14ac:dyDescent="0.3">
      <c r="A1808" s="400"/>
      <c r="B1808" s="709">
        <v>106325</v>
      </c>
      <c r="C1808" s="710" t="s">
        <v>14912</v>
      </c>
      <c r="D1808" s="709" t="s">
        <v>230</v>
      </c>
      <c r="E1808" s="716">
        <v>0</v>
      </c>
      <c r="F1808" s="717"/>
      <c r="G1808" t="e">
        <f>VLOOKUP(B1808,'SINAPI-%MO'!B:E,4,0)</f>
        <v>#N/A</v>
      </c>
      <c r="H1808" s="225" t="str">
        <f t="shared" si="28"/>
        <v/>
      </c>
    </row>
    <row r="1809" spans="1:8" x14ac:dyDescent="0.3">
      <c r="A1809" s="400"/>
      <c r="B1809" s="709">
        <v>92113</v>
      </c>
      <c r="C1809" s="710" t="s">
        <v>1937</v>
      </c>
      <c r="D1809" s="709" t="s">
        <v>1689</v>
      </c>
      <c r="E1809" s="716">
        <v>1.1200000000000001</v>
      </c>
      <c r="F1809" s="717">
        <v>0</v>
      </c>
      <c r="G1809">
        <f>VLOOKUP(B1809,'SINAPI-%MO'!B:E,4,0)</f>
        <v>0</v>
      </c>
      <c r="H1809" s="225">
        <f t="shared" si="28"/>
        <v>1.1200000000000001</v>
      </c>
    </row>
    <row r="1810" spans="1:8" x14ac:dyDescent="0.3">
      <c r="A1810" s="400"/>
      <c r="B1810" s="709">
        <v>92112</v>
      </c>
      <c r="C1810" s="710" t="s">
        <v>1938</v>
      </c>
      <c r="D1810" s="709" t="s">
        <v>230</v>
      </c>
      <c r="E1810" s="716">
        <v>3.57</v>
      </c>
      <c r="F1810" s="717">
        <v>0</v>
      </c>
      <c r="G1810">
        <f>VLOOKUP(B1810,'SINAPI-%MO'!B:E,4,0)</f>
        <v>0</v>
      </c>
      <c r="H1810" s="225">
        <f t="shared" si="28"/>
        <v>3.57</v>
      </c>
    </row>
    <row r="1811" spans="1:8" x14ac:dyDescent="0.3">
      <c r="A1811" s="400"/>
      <c r="B1811" s="709">
        <v>90675</v>
      </c>
      <c r="C1811" s="710" t="s">
        <v>1939</v>
      </c>
      <c r="D1811" s="709" t="s">
        <v>1689</v>
      </c>
      <c r="E1811" s="716">
        <v>333.52</v>
      </c>
      <c r="F1811" s="717">
        <v>0</v>
      </c>
      <c r="G1811">
        <f>VLOOKUP(B1811,'SINAPI-%MO'!B:E,4,0)</f>
        <v>0.1071</v>
      </c>
      <c r="H1811" s="225">
        <f t="shared" si="28"/>
        <v>297.8</v>
      </c>
    </row>
    <row r="1812" spans="1:8" x14ac:dyDescent="0.3">
      <c r="A1812" s="400"/>
      <c r="B1812" s="709">
        <v>90674</v>
      </c>
      <c r="C1812" s="710" t="s">
        <v>1940</v>
      </c>
      <c r="D1812" s="709" t="s">
        <v>230</v>
      </c>
      <c r="E1812" s="716">
        <v>756.29</v>
      </c>
      <c r="F1812" s="717">
        <v>0</v>
      </c>
      <c r="G1812">
        <f>VLOOKUP(B1812,'SINAPI-%MO'!B:E,4,0)</f>
        <v>4.7199999999999999E-2</v>
      </c>
      <c r="H1812" s="225">
        <f t="shared" si="28"/>
        <v>720.59</v>
      </c>
    </row>
    <row r="1813" spans="1:8" x14ac:dyDescent="0.3">
      <c r="A1813" s="400"/>
      <c r="B1813" s="709">
        <v>93225</v>
      </c>
      <c r="C1813" s="710" t="s">
        <v>1941</v>
      </c>
      <c r="D1813" s="709" t="s">
        <v>1689</v>
      </c>
      <c r="E1813" s="716">
        <v>492.35</v>
      </c>
      <c r="F1813" s="717">
        <v>0</v>
      </c>
      <c r="G1813">
        <f>VLOOKUP(B1813,'SINAPI-%MO'!B:E,4,0)</f>
        <v>7.2599999999999998E-2</v>
      </c>
      <c r="H1813" s="225">
        <f t="shared" si="28"/>
        <v>456.6</v>
      </c>
    </row>
    <row r="1814" spans="1:8" x14ac:dyDescent="0.3">
      <c r="A1814" s="400"/>
      <c r="B1814" s="709">
        <v>93224</v>
      </c>
      <c r="C1814" s="710" t="s">
        <v>1942</v>
      </c>
      <c r="D1814" s="709" t="s">
        <v>230</v>
      </c>
      <c r="E1814" s="716">
        <v>1111.3</v>
      </c>
      <c r="F1814" s="717">
        <v>0</v>
      </c>
      <c r="G1814">
        <f>VLOOKUP(B1814,'SINAPI-%MO'!B:E,4,0)</f>
        <v>3.2199999999999999E-2</v>
      </c>
      <c r="H1814" s="225">
        <f t="shared" si="28"/>
        <v>1075.51</v>
      </c>
    </row>
    <row r="1815" spans="1:8" x14ac:dyDescent="0.3">
      <c r="A1815" s="400"/>
      <c r="B1815" s="709">
        <v>104696</v>
      </c>
      <c r="C1815" s="710" t="s">
        <v>1943</v>
      </c>
      <c r="D1815" s="709" t="s">
        <v>1689</v>
      </c>
      <c r="E1815" s="716">
        <v>36.869999999999997</v>
      </c>
      <c r="F1815" s="717">
        <v>0</v>
      </c>
      <c r="G1815">
        <f>VLOOKUP(B1815,'SINAPI-%MO'!B:E,4,0)</f>
        <v>0.96909999999999996</v>
      </c>
      <c r="H1815" s="225">
        <f t="shared" si="28"/>
        <v>1.1299999999999999</v>
      </c>
    </row>
    <row r="1816" spans="1:8" x14ac:dyDescent="0.3">
      <c r="A1816" s="400"/>
      <c r="B1816" s="709">
        <v>104695</v>
      </c>
      <c r="C1816" s="710" t="s">
        <v>1944</v>
      </c>
      <c r="D1816" s="709" t="s">
        <v>230</v>
      </c>
      <c r="E1816" s="716">
        <v>40.270000000000003</v>
      </c>
      <c r="F1816" s="717">
        <v>0</v>
      </c>
      <c r="G1816">
        <f>VLOOKUP(B1816,'SINAPI-%MO'!B:E,4,0)</f>
        <v>0.88729999999999998</v>
      </c>
      <c r="H1816" s="225">
        <f t="shared" si="28"/>
        <v>4.53</v>
      </c>
    </row>
    <row r="1817" spans="1:8" x14ac:dyDescent="0.3">
      <c r="A1817" s="400"/>
      <c r="B1817" s="709">
        <v>90681</v>
      </c>
      <c r="C1817" s="710" t="s">
        <v>1945</v>
      </c>
      <c r="D1817" s="709" t="s">
        <v>1689</v>
      </c>
      <c r="E1817" s="716">
        <v>178.84</v>
      </c>
      <c r="F1817" s="717">
        <v>0</v>
      </c>
      <c r="G1817">
        <f>VLOOKUP(B1817,'SINAPI-%MO'!B:E,4,0)</f>
        <v>0.19980000000000001</v>
      </c>
      <c r="H1817" s="225">
        <f t="shared" si="28"/>
        <v>143.1</v>
      </c>
    </row>
    <row r="1818" spans="1:8" x14ac:dyDescent="0.3">
      <c r="A1818" s="400"/>
      <c r="B1818" s="709">
        <v>90680</v>
      </c>
      <c r="C1818" s="710" t="s">
        <v>1946</v>
      </c>
      <c r="D1818" s="709" t="s">
        <v>230</v>
      </c>
      <c r="E1818" s="716">
        <v>419.59</v>
      </c>
      <c r="F1818" s="717">
        <v>0</v>
      </c>
      <c r="G1818">
        <f>VLOOKUP(B1818,'SINAPI-%MO'!B:E,4,0)</f>
        <v>8.5199999999999998E-2</v>
      </c>
      <c r="H1818" s="225">
        <f t="shared" si="28"/>
        <v>383.84</v>
      </c>
    </row>
    <row r="1819" spans="1:8" x14ac:dyDescent="0.3">
      <c r="A1819" s="400"/>
      <c r="B1819" s="709">
        <v>102875</v>
      </c>
      <c r="C1819" s="710" t="s">
        <v>1947</v>
      </c>
      <c r="D1819" s="709" t="s">
        <v>1689</v>
      </c>
      <c r="E1819" s="716">
        <v>470.67</v>
      </c>
      <c r="F1819" s="717">
        <v>0</v>
      </c>
      <c r="G1819">
        <f>VLOOKUP(B1819,'SINAPI-%MO'!B:E,4,0)</f>
        <v>7.5899999999999995E-2</v>
      </c>
      <c r="H1819" s="225">
        <f t="shared" si="28"/>
        <v>434.94</v>
      </c>
    </row>
    <row r="1820" spans="1:8" x14ac:dyDescent="0.3">
      <c r="A1820" s="400"/>
      <c r="B1820" s="709">
        <v>102874</v>
      </c>
      <c r="C1820" s="710" t="s">
        <v>1948</v>
      </c>
      <c r="D1820" s="709" t="s">
        <v>230</v>
      </c>
      <c r="E1820" s="716">
        <v>1028.1300000000001</v>
      </c>
      <c r="F1820" s="717">
        <v>0</v>
      </c>
      <c r="G1820">
        <f>VLOOKUP(B1820,'SINAPI-%MO'!B:E,4,0)</f>
        <v>3.4799999999999998E-2</v>
      </c>
      <c r="H1820" s="225">
        <f t="shared" si="28"/>
        <v>992.35</v>
      </c>
    </row>
    <row r="1821" spans="1:8" x14ac:dyDescent="0.3">
      <c r="A1821" s="400"/>
      <c r="B1821" s="709">
        <v>102965</v>
      </c>
      <c r="C1821" s="710" t="s">
        <v>1949</v>
      </c>
      <c r="D1821" s="709" t="s">
        <v>1689</v>
      </c>
      <c r="E1821" s="716">
        <v>246.81</v>
      </c>
      <c r="F1821" s="717">
        <v>0</v>
      </c>
      <c r="G1821">
        <f>VLOOKUP(B1821,'SINAPI-%MO'!B:E,4,0)</f>
        <v>0.14480000000000001</v>
      </c>
      <c r="H1821" s="225">
        <f t="shared" si="28"/>
        <v>211.07</v>
      </c>
    </row>
    <row r="1822" spans="1:8" x14ac:dyDescent="0.3">
      <c r="A1822" s="400"/>
      <c r="B1822" s="709">
        <v>102964</v>
      </c>
      <c r="C1822" s="710" t="s">
        <v>1950</v>
      </c>
      <c r="D1822" s="709" t="s">
        <v>230</v>
      </c>
      <c r="E1822" s="716">
        <v>494.1</v>
      </c>
      <c r="F1822" s="717">
        <v>0</v>
      </c>
      <c r="G1822">
        <f>VLOOKUP(B1822,'SINAPI-%MO'!B:E,4,0)</f>
        <v>7.2300000000000003E-2</v>
      </c>
      <c r="H1822" s="225">
        <f t="shared" si="28"/>
        <v>458.37</v>
      </c>
    </row>
    <row r="1823" spans="1:8" x14ac:dyDescent="0.3">
      <c r="A1823" s="400"/>
      <c r="B1823" s="709">
        <v>90626</v>
      </c>
      <c r="C1823" s="710" t="s">
        <v>1951</v>
      </c>
      <c r="D1823" s="709" t="s">
        <v>1689</v>
      </c>
      <c r="E1823" s="716">
        <v>3.63</v>
      </c>
      <c r="F1823" s="717">
        <v>0</v>
      </c>
      <c r="G1823">
        <f>VLOOKUP(B1823,'SINAPI-%MO'!B:E,4,0)</f>
        <v>0</v>
      </c>
      <c r="H1823" s="225">
        <f t="shared" si="28"/>
        <v>3.63</v>
      </c>
    </row>
    <row r="1824" spans="1:8" x14ac:dyDescent="0.3">
      <c r="A1824" s="400"/>
      <c r="B1824" s="709">
        <v>90625</v>
      </c>
      <c r="C1824" s="710" t="s">
        <v>1952</v>
      </c>
      <c r="D1824" s="709" t="s">
        <v>230</v>
      </c>
      <c r="E1824" s="716">
        <v>10.6</v>
      </c>
      <c r="F1824" s="717">
        <v>0</v>
      </c>
      <c r="G1824">
        <f>VLOOKUP(B1824,'SINAPI-%MO'!B:E,4,0)</f>
        <v>0</v>
      </c>
      <c r="H1824" s="225">
        <f t="shared" si="28"/>
        <v>10.6</v>
      </c>
    </row>
    <row r="1825" spans="1:8" x14ac:dyDescent="0.3">
      <c r="A1825" s="400"/>
      <c r="B1825" s="709">
        <v>102881</v>
      </c>
      <c r="C1825" s="710" t="s">
        <v>1953</v>
      </c>
      <c r="D1825" s="709" t="s">
        <v>1689</v>
      </c>
      <c r="E1825" s="716">
        <v>640.16</v>
      </c>
      <c r="F1825" s="717">
        <v>0</v>
      </c>
      <c r="G1825">
        <f>VLOOKUP(B1825,'SINAPI-%MO'!B:E,4,0)</f>
        <v>5.5800000000000002E-2</v>
      </c>
      <c r="H1825" s="225">
        <f t="shared" si="28"/>
        <v>604.42999999999995</v>
      </c>
    </row>
    <row r="1826" spans="1:8" x14ac:dyDescent="0.3">
      <c r="A1826" s="400"/>
      <c r="B1826" s="709">
        <v>102880</v>
      </c>
      <c r="C1826" s="710" t="s">
        <v>1954</v>
      </c>
      <c r="D1826" s="709" t="s">
        <v>230</v>
      </c>
      <c r="E1826" s="716">
        <v>1429.17</v>
      </c>
      <c r="F1826" s="717">
        <v>0</v>
      </c>
      <c r="G1826">
        <f>VLOOKUP(B1826,'SINAPI-%MO'!B:E,4,0)</f>
        <v>2.5000000000000001E-2</v>
      </c>
      <c r="H1826" s="225">
        <f t="shared" si="28"/>
        <v>1393.44</v>
      </c>
    </row>
    <row r="1827" spans="1:8" x14ac:dyDescent="0.3">
      <c r="A1827" s="400"/>
      <c r="B1827" s="709">
        <v>103225</v>
      </c>
      <c r="C1827" s="710" t="s">
        <v>1955</v>
      </c>
      <c r="D1827" s="709" t="s">
        <v>1689</v>
      </c>
      <c r="E1827" s="716">
        <v>220.57</v>
      </c>
      <c r="F1827" s="717">
        <v>0</v>
      </c>
      <c r="G1827">
        <f>VLOOKUP(B1827,'SINAPI-%MO'!B:E,4,0)</f>
        <v>0.16200000000000001</v>
      </c>
      <c r="H1827" s="225">
        <f t="shared" si="28"/>
        <v>184.83</v>
      </c>
    </row>
    <row r="1828" spans="1:8" x14ac:dyDescent="0.3">
      <c r="A1828" s="400"/>
      <c r="B1828" s="709">
        <v>103224</v>
      </c>
      <c r="C1828" s="710" t="s">
        <v>1956</v>
      </c>
      <c r="D1828" s="709" t="s">
        <v>230</v>
      </c>
      <c r="E1828" s="716">
        <v>440.48</v>
      </c>
      <c r="F1828" s="717">
        <v>0</v>
      </c>
      <c r="G1828">
        <f>VLOOKUP(B1828,'SINAPI-%MO'!B:E,4,0)</f>
        <v>8.1100000000000005E-2</v>
      </c>
      <c r="H1828" s="225">
        <f t="shared" si="28"/>
        <v>404.75</v>
      </c>
    </row>
    <row r="1829" spans="1:8" x14ac:dyDescent="0.3">
      <c r="A1829" s="400"/>
      <c r="B1829" s="709">
        <v>103237</v>
      </c>
      <c r="C1829" s="710" t="s">
        <v>1957</v>
      </c>
      <c r="D1829" s="709" t="s">
        <v>1689</v>
      </c>
      <c r="E1829" s="716">
        <v>615.66999999999996</v>
      </c>
      <c r="F1829" s="717">
        <v>0</v>
      </c>
      <c r="G1829">
        <f>VLOOKUP(B1829,'SINAPI-%MO'!B:E,4,0)</f>
        <v>5.8000000000000003E-2</v>
      </c>
      <c r="H1829" s="225">
        <f t="shared" si="28"/>
        <v>579.96</v>
      </c>
    </row>
    <row r="1830" spans="1:8" x14ac:dyDescent="0.3">
      <c r="A1830" s="400"/>
      <c r="B1830" s="709">
        <v>103236</v>
      </c>
      <c r="C1830" s="710" t="s">
        <v>1958</v>
      </c>
      <c r="D1830" s="709" t="s">
        <v>230</v>
      </c>
      <c r="E1830" s="716">
        <v>1325.99</v>
      </c>
      <c r="F1830" s="717">
        <v>0</v>
      </c>
      <c r="G1830">
        <f>VLOOKUP(B1830,'SINAPI-%MO'!B:E,4,0)</f>
        <v>2.69E-2</v>
      </c>
      <c r="H1830" s="225">
        <f t="shared" si="28"/>
        <v>1290.32</v>
      </c>
    </row>
    <row r="1831" spans="1:8" x14ac:dyDescent="0.3">
      <c r="A1831" s="400"/>
      <c r="B1831" s="709">
        <v>103231</v>
      </c>
      <c r="C1831" s="710" t="s">
        <v>1959</v>
      </c>
      <c r="D1831" s="709" t="s">
        <v>1689</v>
      </c>
      <c r="E1831" s="716">
        <v>459.81</v>
      </c>
      <c r="F1831" s="717">
        <v>0</v>
      </c>
      <c r="G1831">
        <f>VLOOKUP(B1831,'SINAPI-%MO'!B:E,4,0)</f>
        <v>7.7700000000000005E-2</v>
      </c>
      <c r="H1831" s="225">
        <f t="shared" si="28"/>
        <v>424.08</v>
      </c>
    </row>
    <row r="1832" spans="1:8" x14ac:dyDescent="0.3">
      <c r="A1832" s="400"/>
      <c r="B1832" s="709">
        <v>103230</v>
      </c>
      <c r="C1832" s="710" t="s">
        <v>1960</v>
      </c>
      <c r="D1832" s="709" t="s">
        <v>230</v>
      </c>
      <c r="E1832" s="716">
        <v>971.47</v>
      </c>
      <c r="F1832" s="717">
        <v>0</v>
      </c>
      <c r="G1832">
        <f>VLOOKUP(B1832,'SINAPI-%MO'!B:E,4,0)</f>
        <v>3.6799999999999999E-2</v>
      </c>
      <c r="H1832" s="225">
        <f t="shared" si="28"/>
        <v>935.71</v>
      </c>
    </row>
    <row r="1833" spans="1:8" x14ac:dyDescent="0.3">
      <c r="A1833" s="400"/>
      <c r="B1833" s="709">
        <v>102975</v>
      </c>
      <c r="C1833" s="710" t="s">
        <v>1961</v>
      </c>
      <c r="D1833" s="709" t="s">
        <v>1689</v>
      </c>
      <c r="E1833" s="716">
        <v>149.06</v>
      </c>
      <c r="F1833" s="717">
        <v>0</v>
      </c>
      <c r="G1833">
        <f>VLOOKUP(B1833,'SINAPI-%MO'!B:E,4,0)</f>
        <v>0.2397</v>
      </c>
      <c r="H1833" s="225">
        <f t="shared" si="28"/>
        <v>113.33</v>
      </c>
    </row>
    <row r="1834" spans="1:8" x14ac:dyDescent="0.3">
      <c r="A1834" s="400"/>
      <c r="B1834" s="709">
        <v>102976</v>
      </c>
      <c r="C1834" s="710" t="s">
        <v>1962</v>
      </c>
      <c r="D1834" s="709" t="s">
        <v>230</v>
      </c>
      <c r="E1834" s="716">
        <v>285.22000000000003</v>
      </c>
      <c r="F1834" s="717">
        <v>0</v>
      </c>
      <c r="G1834">
        <f>VLOOKUP(B1834,'SINAPI-%MO'!B:E,4,0)</f>
        <v>0.12529999999999999</v>
      </c>
      <c r="H1834" s="225">
        <f t="shared" si="28"/>
        <v>249.48</v>
      </c>
    </row>
    <row r="1835" spans="1:8" x14ac:dyDescent="0.3">
      <c r="A1835" s="400"/>
      <c r="B1835" s="709">
        <v>90632</v>
      </c>
      <c r="C1835" s="710" t="s">
        <v>1963</v>
      </c>
      <c r="D1835" s="709" t="s">
        <v>1689</v>
      </c>
      <c r="E1835" s="716">
        <v>101.73</v>
      </c>
      <c r="F1835" s="717">
        <v>0</v>
      </c>
      <c r="G1835">
        <f>VLOOKUP(B1835,'SINAPI-%MO'!B:E,4,0)</f>
        <v>0.35120000000000001</v>
      </c>
      <c r="H1835" s="225">
        <f t="shared" si="28"/>
        <v>66</v>
      </c>
    </row>
    <row r="1836" spans="1:8" x14ac:dyDescent="0.3">
      <c r="A1836" s="400"/>
      <c r="B1836" s="709">
        <v>90631</v>
      </c>
      <c r="C1836" s="710" t="s">
        <v>1964</v>
      </c>
      <c r="D1836" s="709" t="s">
        <v>230</v>
      </c>
      <c r="E1836" s="716">
        <v>168.42</v>
      </c>
      <c r="F1836" s="717">
        <v>0</v>
      </c>
      <c r="G1836">
        <f>VLOOKUP(B1836,'SINAPI-%MO'!B:E,4,0)</f>
        <v>0.21210000000000001</v>
      </c>
      <c r="H1836" s="225">
        <f t="shared" si="28"/>
        <v>132.69</v>
      </c>
    </row>
    <row r="1837" spans="1:8" x14ac:dyDescent="0.3">
      <c r="A1837" s="400"/>
      <c r="B1837" s="709">
        <v>95709</v>
      </c>
      <c r="C1837" s="710" t="s">
        <v>1965</v>
      </c>
      <c r="D1837" s="709" t="s">
        <v>1689</v>
      </c>
      <c r="E1837" s="716">
        <v>102.38</v>
      </c>
      <c r="F1837" s="717">
        <v>0</v>
      </c>
      <c r="G1837">
        <f>VLOOKUP(B1837,'SINAPI-%MO'!B:E,4,0)</f>
        <v>0.34899999999999998</v>
      </c>
      <c r="H1837" s="225">
        <f t="shared" si="28"/>
        <v>66.64</v>
      </c>
    </row>
    <row r="1838" spans="1:8" x14ac:dyDescent="0.3">
      <c r="A1838" s="400"/>
      <c r="B1838" s="709">
        <v>95708</v>
      </c>
      <c r="C1838" s="710" t="s">
        <v>1966</v>
      </c>
      <c r="D1838" s="709" t="s">
        <v>230</v>
      </c>
      <c r="E1838" s="716">
        <v>172.45</v>
      </c>
      <c r="F1838" s="717">
        <v>0</v>
      </c>
      <c r="G1838">
        <f>VLOOKUP(B1838,'SINAPI-%MO'!B:E,4,0)</f>
        <v>0.2072</v>
      </c>
      <c r="H1838" s="225">
        <f t="shared" si="28"/>
        <v>136.71</v>
      </c>
    </row>
    <row r="1839" spans="1:8" x14ac:dyDescent="0.3">
      <c r="A1839" s="400"/>
      <c r="B1839" s="709">
        <v>91278</v>
      </c>
      <c r="C1839" s="710" t="s">
        <v>1967</v>
      </c>
      <c r="D1839" s="709" t="s">
        <v>1689</v>
      </c>
      <c r="E1839" s="716">
        <v>0.86</v>
      </c>
      <c r="F1839" s="717">
        <v>0</v>
      </c>
      <c r="G1839">
        <f>VLOOKUP(B1839,'SINAPI-%MO'!B:E,4,0)</f>
        <v>0</v>
      </c>
      <c r="H1839" s="225">
        <f t="shared" si="28"/>
        <v>0.86</v>
      </c>
    </row>
    <row r="1840" spans="1:8" x14ac:dyDescent="0.3">
      <c r="A1840" s="400"/>
      <c r="B1840" s="709">
        <v>91277</v>
      </c>
      <c r="C1840" s="710" t="s">
        <v>1968</v>
      </c>
      <c r="D1840" s="709" t="s">
        <v>230</v>
      </c>
      <c r="E1840" s="716">
        <v>10.69</v>
      </c>
      <c r="F1840" s="717">
        <v>0</v>
      </c>
      <c r="G1840">
        <f>VLOOKUP(B1840,'SINAPI-%MO'!B:E,4,0)</f>
        <v>0</v>
      </c>
      <c r="H1840" s="225">
        <f t="shared" si="28"/>
        <v>10.69</v>
      </c>
    </row>
    <row r="1841" spans="1:8" x14ac:dyDescent="0.3">
      <c r="A1841" s="400"/>
      <c r="B1841" s="709">
        <v>102887</v>
      </c>
      <c r="C1841" s="710" t="s">
        <v>1969</v>
      </c>
      <c r="D1841" s="709" t="s">
        <v>1689</v>
      </c>
      <c r="E1841" s="716">
        <v>0</v>
      </c>
      <c r="F1841" s="717"/>
      <c r="G1841" t="e">
        <f>VLOOKUP(B1841,'SINAPI-%MO'!B:E,4,0)</f>
        <v>#N/A</v>
      </c>
      <c r="H1841" s="225" t="str">
        <f t="shared" si="28"/>
        <v/>
      </c>
    </row>
    <row r="1842" spans="1:8" x14ac:dyDescent="0.3">
      <c r="A1842" s="400"/>
      <c r="B1842" s="709">
        <v>102886</v>
      </c>
      <c r="C1842" s="710" t="s">
        <v>1970</v>
      </c>
      <c r="D1842" s="709" t="s">
        <v>230</v>
      </c>
      <c r="E1842" s="716">
        <v>0</v>
      </c>
      <c r="F1842" s="717"/>
      <c r="G1842" t="e">
        <f>VLOOKUP(B1842,'SINAPI-%MO'!B:E,4,0)</f>
        <v>#N/A</v>
      </c>
      <c r="H1842" s="225" t="str">
        <f t="shared" si="28"/>
        <v/>
      </c>
    </row>
    <row r="1843" spans="1:8" x14ac:dyDescent="0.3">
      <c r="A1843" s="400"/>
      <c r="B1843" s="709">
        <v>95277</v>
      </c>
      <c r="C1843" s="710" t="s">
        <v>1971</v>
      </c>
      <c r="D1843" s="709" t="s">
        <v>1689</v>
      </c>
      <c r="E1843" s="716">
        <v>0.66</v>
      </c>
      <c r="F1843" s="717">
        <v>1</v>
      </c>
      <c r="G1843">
        <f>VLOOKUP(B1843,'SINAPI-%MO'!B:E,4,0)</f>
        <v>0</v>
      </c>
      <c r="H1843" s="225">
        <f t="shared" si="28"/>
        <v>0.66</v>
      </c>
    </row>
    <row r="1844" spans="1:8" x14ac:dyDescent="0.3">
      <c r="A1844" s="400"/>
      <c r="B1844" s="709">
        <v>95276</v>
      </c>
      <c r="C1844" s="710" t="s">
        <v>1972</v>
      </c>
      <c r="D1844" s="709" t="s">
        <v>230</v>
      </c>
      <c r="E1844" s="716">
        <v>3.74</v>
      </c>
      <c r="F1844" s="717">
        <v>0.2888</v>
      </c>
      <c r="G1844">
        <f>VLOOKUP(B1844,'SINAPI-%MO'!B:E,4,0)</f>
        <v>0</v>
      </c>
      <c r="H1844" s="225">
        <f t="shared" si="28"/>
        <v>3.74</v>
      </c>
    </row>
    <row r="1845" spans="1:8" x14ac:dyDescent="0.3">
      <c r="A1845" s="400"/>
      <c r="B1845" s="709">
        <v>106254</v>
      </c>
      <c r="C1845" s="710" t="s">
        <v>14913</v>
      </c>
      <c r="D1845" s="709" t="s">
        <v>1689</v>
      </c>
      <c r="E1845" s="716">
        <v>0</v>
      </c>
      <c r="F1845" s="717"/>
      <c r="G1845" t="e">
        <f>VLOOKUP(B1845,'SINAPI-%MO'!B:E,4,0)</f>
        <v>#N/A</v>
      </c>
      <c r="H1845" s="225" t="str">
        <f t="shared" si="28"/>
        <v/>
      </c>
    </row>
    <row r="1846" spans="1:8" x14ac:dyDescent="0.3">
      <c r="A1846" s="400"/>
      <c r="B1846" s="709">
        <v>106249</v>
      </c>
      <c r="C1846" s="710" t="s">
        <v>14914</v>
      </c>
      <c r="D1846" s="709" t="s">
        <v>230</v>
      </c>
      <c r="E1846" s="716">
        <v>0</v>
      </c>
      <c r="F1846" s="717"/>
      <c r="G1846" t="e">
        <f>VLOOKUP(B1846,'SINAPI-%MO'!B:E,4,0)</f>
        <v>#N/A</v>
      </c>
      <c r="H1846" s="225" t="str">
        <f t="shared" si="28"/>
        <v/>
      </c>
    </row>
    <row r="1847" spans="1:8" x14ac:dyDescent="0.3">
      <c r="A1847" s="400"/>
      <c r="B1847" s="709">
        <v>88430</v>
      </c>
      <c r="C1847" s="710" t="s">
        <v>1973</v>
      </c>
      <c r="D1847" s="709" t="s">
        <v>1689</v>
      </c>
      <c r="E1847" s="716">
        <v>6.28</v>
      </c>
      <c r="F1847" s="717">
        <v>0</v>
      </c>
      <c r="G1847">
        <f>VLOOKUP(B1847,'SINAPI-%MO'!B:E,4,0)</f>
        <v>0</v>
      </c>
      <c r="H1847" s="225">
        <f t="shared" si="28"/>
        <v>6.28</v>
      </c>
    </row>
    <row r="1848" spans="1:8" x14ac:dyDescent="0.3">
      <c r="A1848" s="400"/>
      <c r="B1848" s="709">
        <v>88418</v>
      </c>
      <c r="C1848" s="710" t="s">
        <v>1974</v>
      </c>
      <c r="D1848" s="709" t="s">
        <v>230</v>
      </c>
      <c r="E1848" s="716">
        <v>13.76</v>
      </c>
      <c r="F1848" s="717">
        <v>0</v>
      </c>
      <c r="G1848">
        <f>VLOOKUP(B1848,'SINAPI-%MO'!B:E,4,0)</f>
        <v>0</v>
      </c>
      <c r="H1848" s="225">
        <f t="shared" si="28"/>
        <v>13.76</v>
      </c>
    </row>
    <row r="1849" spans="1:8" x14ac:dyDescent="0.3">
      <c r="A1849" s="400"/>
      <c r="B1849" s="709">
        <v>88438</v>
      </c>
      <c r="C1849" s="710" t="s">
        <v>1975</v>
      </c>
      <c r="D1849" s="709" t="s">
        <v>1689</v>
      </c>
      <c r="E1849" s="716">
        <v>8.32</v>
      </c>
      <c r="F1849" s="717">
        <v>0</v>
      </c>
      <c r="G1849">
        <f>VLOOKUP(B1849,'SINAPI-%MO'!B:E,4,0)</f>
        <v>0</v>
      </c>
      <c r="H1849" s="225">
        <f t="shared" si="28"/>
        <v>8.32</v>
      </c>
    </row>
    <row r="1850" spans="1:8" x14ac:dyDescent="0.3">
      <c r="A1850" s="400"/>
      <c r="B1850" s="709">
        <v>88433</v>
      </c>
      <c r="C1850" s="710" t="s">
        <v>1976</v>
      </c>
      <c r="D1850" s="709" t="s">
        <v>230</v>
      </c>
      <c r="E1850" s="716">
        <v>17.88</v>
      </c>
      <c r="F1850" s="717">
        <v>0</v>
      </c>
      <c r="G1850">
        <f>VLOOKUP(B1850,'SINAPI-%MO'!B:E,4,0)</f>
        <v>0</v>
      </c>
      <c r="H1850" s="225">
        <f t="shared" si="28"/>
        <v>17.88</v>
      </c>
    </row>
    <row r="1851" spans="1:8" x14ac:dyDescent="0.3">
      <c r="A1851" s="400"/>
      <c r="B1851" s="709">
        <v>90669</v>
      </c>
      <c r="C1851" s="710" t="s">
        <v>1977</v>
      </c>
      <c r="D1851" s="709" t="s">
        <v>1689</v>
      </c>
      <c r="E1851" s="716">
        <v>8.94</v>
      </c>
      <c r="F1851" s="717">
        <v>0.99550000000000005</v>
      </c>
      <c r="G1851">
        <f>VLOOKUP(B1851,'SINAPI-%MO'!B:E,4,0)</f>
        <v>0</v>
      </c>
      <c r="H1851" s="225">
        <f t="shared" si="28"/>
        <v>8.94</v>
      </c>
    </row>
    <row r="1852" spans="1:8" x14ac:dyDescent="0.3">
      <c r="A1852" s="400"/>
      <c r="B1852" s="709">
        <v>90668</v>
      </c>
      <c r="C1852" s="710" t="s">
        <v>1978</v>
      </c>
      <c r="D1852" s="709" t="s">
        <v>230</v>
      </c>
      <c r="E1852" s="716">
        <v>33.9</v>
      </c>
      <c r="F1852" s="717">
        <v>0.52180000000000004</v>
      </c>
      <c r="G1852">
        <f>VLOOKUP(B1852,'SINAPI-%MO'!B:E,4,0)</f>
        <v>0</v>
      </c>
      <c r="H1852" s="225">
        <f t="shared" si="28"/>
        <v>33.9</v>
      </c>
    </row>
    <row r="1853" spans="1:8" x14ac:dyDescent="0.3">
      <c r="A1853" s="400"/>
      <c r="B1853" s="709">
        <v>102980</v>
      </c>
      <c r="C1853" s="710" t="s">
        <v>1979</v>
      </c>
      <c r="D1853" s="709" t="s">
        <v>1689</v>
      </c>
      <c r="E1853" s="716">
        <v>0</v>
      </c>
      <c r="F1853" s="717"/>
      <c r="G1853" t="e">
        <f>VLOOKUP(B1853,'SINAPI-%MO'!B:E,4,0)</f>
        <v>#N/A</v>
      </c>
      <c r="H1853" s="225" t="str">
        <f t="shared" si="28"/>
        <v/>
      </c>
    </row>
    <row r="1854" spans="1:8" x14ac:dyDescent="0.3">
      <c r="A1854" s="400"/>
      <c r="B1854" s="709">
        <v>102981</v>
      </c>
      <c r="C1854" s="710" t="s">
        <v>1980</v>
      </c>
      <c r="D1854" s="709" t="s">
        <v>230</v>
      </c>
      <c r="E1854" s="716">
        <v>0</v>
      </c>
      <c r="F1854" s="717"/>
      <c r="G1854" t="e">
        <f>VLOOKUP(B1854,'SINAPI-%MO'!B:E,4,0)</f>
        <v>#N/A</v>
      </c>
      <c r="H1854" s="225" t="str">
        <f t="shared" si="28"/>
        <v/>
      </c>
    </row>
    <row r="1855" spans="1:8" x14ac:dyDescent="0.3">
      <c r="A1855" s="400"/>
      <c r="B1855" s="709">
        <v>5946</v>
      </c>
      <c r="C1855" s="710" t="s">
        <v>1981</v>
      </c>
      <c r="D1855" s="709" t="s">
        <v>1689</v>
      </c>
      <c r="E1855" s="716">
        <v>105.24</v>
      </c>
      <c r="F1855" s="717">
        <v>0</v>
      </c>
      <c r="G1855">
        <f>VLOOKUP(B1855,'SINAPI-%MO'!B:E,4,0)</f>
        <v>0.34710000000000002</v>
      </c>
      <c r="H1855" s="225">
        <f t="shared" si="28"/>
        <v>68.709999999999994</v>
      </c>
    </row>
    <row r="1856" spans="1:8" x14ac:dyDescent="0.3">
      <c r="A1856" s="400"/>
      <c r="B1856" s="709">
        <v>5944</v>
      </c>
      <c r="C1856" s="710" t="s">
        <v>1982</v>
      </c>
      <c r="D1856" s="709" t="s">
        <v>230</v>
      </c>
      <c r="E1856" s="716">
        <v>249.03</v>
      </c>
      <c r="F1856" s="717">
        <v>0</v>
      </c>
      <c r="G1856">
        <f>VLOOKUP(B1856,'SINAPI-%MO'!B:E,4,0)</f>
        <v>0.1467</v>
      </c>
      <c r="H1856" s="225">
        <f t="shared" si="28"/>
        <v>212.49</v>
      </c>
    </row>
    <row r="1857" spans="1:8" x14ac:dyDescent="0.3">
      <c r="A1857" s="400"/>
      <c r="B1857" s="709">
        <v>5942</v>
      </c>
      <c r="C1857" s="710" t="s">
        <v>1983</v>
      </c>
      <c r="D1857" s="709" t="s">
        <v>1689</v>
      </c>
      <c r="E1857" s="716">
        <v>86.09</v>
      </c>
      <c r="F1857" s="717">
        <v>0</v>
      </c>
      <c r="G1857">
        <f>VLOOKUP(B1857,'SINAPI-%MO'!B:E,4,0)</f>
        <v>0.42430000000000001</v>
      </c>
      <c r="H1857" s="225">
        <f t="shared" si="28"/>
        <v>49.56</v>
      </c>
    </row>
    <row r="1858" spans="1:8" x14ac:dyDescent="0.3">
      <c r="A1858" s="400"/>
      <c r="B1858" s="709">
        <v>5940</v>
      </c>
      <c r="C1858" s="710" t="s">
        <v>1984</v>
      </c>
      <c r="D1858" s="709" t="s">
        <v>230</v>
      </c>
      <c r="E1858" s="716">
        <v>184.36</v>
      </c>
      <c r="F1858" s="717">
        <v>0</v>
      </c>
      <c r="G1858">
        <f>VLOOKUP(B1858,'SINAPI-%MO'!B:E,4,0)</f>
        <v>0.1981</v>
      </c>
      <c r="H1858" s="225">
        <f t="shared" si="28"/>
        <v>147.83000000000001</v>
      </c>
    </row>
    <row r="1859" spans="1:8" x14ac:dyDescent="0.3">
      <c r="A1859" s="400"/>
      <c r="B1859" s="709">
        <v>102893</v>
      </c>
      <c r="C1859" s="710" t="s">
        <v>1985</v>
      </c>
      <c r="D1859" s="709" t="s">
        <v>1689</v>
      </c>
      <c r="E1859" s="716">
        <v>0</v>
      </c>
      <c r="F1859" s="717"/>
      <c r="G1859" t="e">
        <f>VLOOKUP(B1859,'SINAPI-%MO'!B:E,4,0)</f>
        <v>#N/A</v>
      </c>
      <c r="H1859" s="225" t="str">
        <f t="shared" si="28"/>
        <v/>
      </c>
    </row>
    <row r="1860" spans="1:8" x14ac:dyDescent="0.3">
      <c r="A1860" s="400"/>
      <c r="B1860" s="709">
        <v>102892</v>
      </c>
      <c r="C1860" s="710" t="s">
        <v>1986</v>
      </c>
      <c r="D1860" s="709" t="s">
        <v>230</v>
      </c>
      <c r="E1860" s="716">
        <v>0</v>
      </c>
      <c r="F1860" s="717"/>
      <c r="G1860" t="e">
        <f>VLOOKUP(B1860,'SINAPI-%MO'!B:E,4,0)</f>
        <v>#N/A</v>
      </c>
      <c r="H1860" s="225" t="str">
        <f t="shared" si="28"/>
        <v/>
      </c>
    </row>
    <row r="1861" spans="1:8" x14ac:dyDescent="0.3">
      <c r="A1861" s="400"/>
      <c r="B1861" s="709">
        <v>89251</v>
      </c>
      <c r="C1861" s="710" t="s">
        <v>1987</v>
      </c>
      <c r="D1861" s="709" t="s">
        <v>1689</v>
      </c>
      <c r="E1861" s="716">
        <v>363.39</v>
      </c>
      <c r="F1861" s="717">
        <v>0.89949999999999997</v>
      </c>
      <c r="G1861">
        <f>VLOOKUP(B1861,'SINAPI-%MO'!B:E,4,0)</f>
        <v>0.10050000000000001</v>
      </c>
      <c r="H1861" s="225">
        <f t="shared" si="28"/>
        <v>326.86</v>
      </c>
    </row>
    <row r="1862" spans="1:8" x14ac:dyDescent="0.3">
      <c r="A1862" s="400"/>
      <c r="B1862" s="709">
        <v>89250</v>
      </c>
      <c r="C1862" s="710" t="s">
        <v>1988</v>
      </c>
      <c r="D1862" s="709" t="s">
        <v>230</v>
      </c>
      <c r="E1862" s="716">
        <v>1215.8399999999999</v>
      </c>
      <c r="F1862" s="717">
        <v>0.63600000000000001</v>
      </c>
      <c r="G1862">
        <f>VLOOKUP(B1862,'SINAPI-%MO'!B:E,4,0)</f>
        <v>0.03</v>
      </c>
      <c r="H1862" s="225">
        <f t="shared" si="28"/>
        <v>1179.3599999999999</v>
      </c>
    </row>
    <row r="1863" spans="1:8" x14ac:dyDescent="0.3">
      <c r="A1863" s="400"/>
      <c r="B1863" s="709">
        <v>102959</v>
      </c>
      <c r="C1863" s="710" t="s">
        <v>1989</v>
      </c>
      <c r="D1863" s="709" t="s">
        <v>1689</v>
      </c>
      <c r="E1863" s="716">
        <v>0</v>
      </c>
      <c r="F1863" s="717"/>
      <c r="G1863" t="e">
        <f>VLOOKUP(B1863,'SINAPI-%MO'!B:E,4,0)</f>
        <v>#N/A</v>
      </c>
      <c r="H1863" s="225" t="str">
        <f t="shared" si="28"/>
        <v/>
      </c>
    </row>
    <row r="1864" spans="1:8" x14ac:dyDescent="0.3">
      <c r="A1864" s="400"/>
      <c r="B1864" s="709">
        <v>102958</v>
      </c>
      <c r="C1864" s="710" t="s">
        <v>1990</v>
      </c>
      <c r="D1864" s="709" t="s">
        <v>230</v>
      </c>
      <c r="E1864" s="716">
        <v>0</v>
      </c>
      <c r="F1864" s="717"/>
      <c r="G1864" t="e">
        <f>VLOOKUP(B1864,'SINAPI-%MO'!B:E,4,0)</f>
        <v>#N/A</v>
      </c>
      <c r="H1864" s="225" t="str">
        <f t="shared" si="28"/>
        <v/>
      </c>
    </row>
    <row r="1865" spans="1:8" x14ac:dyDescent="0.3">
      <c r="A1865" s="400"/>
      <c r="B1865" s="709">
        <v>5681</v>
      </c>
      <c r="C1865" s="710" t="s">
        <v>1991</v>
      </c>
      <c r="D1865" s="709" t="s">
        <v>1689</v>
      </c>
      <c r="E1865" s="716">
        <v>62.67</v>
      </c>
      <c r="F1865" s="717">
        <v>0</v>
      </c>
      <c r="G1865">
        <f>VLOOKUP(B1865,'SINAPI-%MO'!B:E,4,0)</f>
        <v>0.53659999999999997</v>
      </c>
      <c r="H1865" s="225">
        <f t="shared" si="28"/>
        <v>29.04</v>
      </c>
    </row>
    <row r="1866" spans="1:8" x14ac:dyDescent="0.3">
      <c r="A1866" s="400"/>
      <c r="B1866" s="709">
        <v>5680</v>
      </c>
      <c r="C1866" s="710" t="s">
        <v>1992</v>
      </c>
      <c r="D1866" s="709" t="s">
        <v>230</v>
      </c>
      <c r="E1866" s="716">
        <v>140.78</v>
      </c>
      <c r="F1866" s="717">
        <v>0</v>
      </c>
      <c r="G1866">
        <f>VLOOKUP(B1866,'SINAPI-%MO'!B:E,4,0)</f>
        <v>0.2389</v>
      </c>
      <c r="H1866" s="225">
        <f t="shared" si="28"/>
        <v>107.14</v>
      </c>
    </row>
    <row r="1867" spans="1:8" x14ac:dyDescent="0.3">
      <c r="A1867" s="400"/>
      <c r="B1867" s="709">
        <v>5877</v>
      </c>
      <c r="C1867" s="710" t="s">
        <v>1993</v>
      </c>
      <c r="D1867" s="709" t="s">
        <v>1689</v>
      </c>
      <c r="E1867" s="716">
        <v>65.13</v>
      </c>
      <c r="F1867" s="717">
        <v>0</v>
      </c>
      <c r="G1867">
        <f>VLOOKUP(B1867,'SINAPI-%MO'!B:E,4,0)</f>
        <v>0.51639999999999997</v>
      </c>
      <c r="H1867" s="225">
        <f t="shared" ref="H1867:H1930" si="29">IF(E1867&gt;0,TRUNC(E1867*(1-G1867),2),"")</f>
        <v>31.49</v>
      </c>
    </row>
    <row r="1868" spans="1:8" x14ac:dyDescent="0.3">
      <c r="A1868" s="400"/>
      <c r="B1868" s="709">
        <v>5875</v>
      </c>
      <c r="C1868" s="710" t="s">
        <v>1994</v>
      </c>
      <c r="D1868" s="709" t="s">
        <v>230</v>
      </c>
      <c r="E1868" s="716">
        <v>141.30000000000001</v>
      </c>
      <c r="F1868" s="717">
        <v>0</v>
      </c>
      <c r="G1868">
        <f>VLOOKUP(B1868,'SINAPI-%MO'!B:E,4,0)</f>
        <v>0.23799999999999999</v>
      </c>
      <c r="H1868" s="225">
        <f t="shared" si="29"/>
        <v>107.67</v>
      </c>
    </row>
    <row r="1869" spans="1:8" x14ac:dyDescent="0.3">
      <c r="A1869" s="400"/>
      <c r="B1869" s="709">
        <v>5679</v>
      </c>
      <c r="C1869" s="710" t="s">
        <v>1995</v>
      </c>
      <c r="D1869" s="709" t="s">
        <v>1689</v>
      </c>
      <c r="E1869" s="716">
        <v>66.28</v>
      </c>
      <c r="F1869" s="717">
        <v>0</v>
      </c>
      <c r="G1869">
        <f>VLOOKUP(B1869,'SINAPI-%MO'!B:E,4,0)</f>
        <v>0.50739999999999996</v>
      </c>
      <c r="H1869" s="225">
        <f t="shared" si="29"/>
        <v>32.64</v>
      </c>
    </row>
    <row r="1870" spans="1:8" x14ac:dyDescent="0.3">
      <c r="A1870" s="400"/>
      <c r="B1870" s="709">
        <v>5678</v>
      </c>
      <c r="C1870" s="710" t="s">
        <v>1996</v>
      </c>
      <c r="D1870" s="709" t="s">
        <v>230</v>
      </c>
      <c r="E1870" s="716">
        <v>153.57</v>
      </c>
      <c r="F1870" s="717">
        <v>0</v>
      </c>
      <c r="G1870">
        <f>VLOOKUP(B1870,'SINAPI-%MO'!B:E,4,0)</f>
        <v>0.219</v>
      </c>
      <c r="H1870" s="225">
        <f t="shared" si="29"/>
        <v>119.93</v>
      </c>
    </row>
    <row r="1871" spans="1:8" x14ac:dyDescent="0.3">
      <c r="A1871" s="400"/>
      <c r="B1871" s="709">
        <v>6880</v>
      </c>
      <c r="C1871" s="710" t="s">
        <v>1997</v>
      </c>
      <c r="D1871" s="709" t="s">
        <v>1689</v>
      </c>
      <c r="E1871" s="716">
        <v>90.9</v>
      </c>
      <c r="F1871" s="717">
        <v>0.66120000000000001</v>
      </c>
      <c r="G1871">
        <f>VLOOKUP(B1871,'SINAPI-%MO'!B:E,4,0)</f>
        <v>0.33879999999999999</v>
      </c>
      <c r="H1871" s="225">
        <f t="shared" si="29"/>
        <v>60.1</v>
      </c>
    </row>
    <row r="1872" spans="1:8" x14ac:dyDescent="0.3">
      <c r="A1872" s="400"/>
      <c r="B1872" s="709">
        <v>6879</v>
      </c>
      <c r="C1872" s="710" t="s">
        <v>1998</v>
      </c>
      <c r="D1872" s="709" t="s">
        <v>230</v>
      </c>
      <c r="E1872" s="716">
        <v>219.66</v>
      </c>
      <c r="F1872" s="717">
        <v>0.54359999999999997</v>
      </c>
      <c r="G1872">
        <f>VLOOKUP(B1872,'SINAPI-%MO'!B:E,4,0)</f>
        <v>0.14019999999999999</v>
      </c>
      <c r="H1872" s="225">
        <f t="shared" si="29"/>
        <v>188.86</v>
      </c>
    </row>
    <row r="1873" spans="1:8" x14ac:dyDescent="0.3">
      <c r="A1873" s="400"/>
      <c r="B1873" s="709">
        <v>96464</v>
      </c>
      <c r="C1873" s="710" t="s">
        <v>1999</v>
      </c>
      <c r="D1873" s="709" t="s">
        <v>1689</v>
      </c>
      <c r="E1873" s="716">
        <v>94.59</v>
      </c>
      <c r="F1873" s="717">
        <v>0.6744</v>
      </c>
      <c r="G1873">
        <f>VLOOKUP(B1873,'SINAPI-%MO'!B:E,4,0)</f>
        <v>0.3256</v>
      </c>
      <c r="H1873" s="225">
        <f t="shared" si="29"/>
        <v>63.79</v>
      </c>
    </row>
    <row r="1874" spans="1:8" x14ac:dyDescent="0.3">
      <c r="A1874" s="400"/>
      <c r="B1874" s="709">
        <v>96463</v>
      </c>
      <c r="C1874" s="710" t="s">
        <v>2000</v>
      </c>
      <c r="D1874" s="709" t="s">
        <v>230</v>
      </c>
      <c r="E1874" s="716">
        <v>226.36</v>
      </c>
      <c r="F1874" s="717">
        <v>0.55989999999999995</v>
      </c>
      <c r="G1874">
        <f>VLOOKUP(B1874,'SINAPI-%MO'!B:E,4,0)</f>
        <v>0.1361</v>
      </c>
      <c r="H1874" s="225">
        <f t="shared" si="29"/>
        <v>195.55</v>
      </c>
    </row>
    <row r="1875" spans="1:8" x14ac:dyDescent="0.3">
      <c r="A1875" s="400"/>
      <c r="B1875" s="709">
        <v>7050</v>
      </c>
      <c r="C1875" s="710" t="s">
        <v>2001</v>
      </c>
      <c r="D1875" s="709" t="s">
        <v>1689</v>
      </c>
      <c r="E1875" s="716">
        <v>84.18</v>
      </c>
      <c r="F1875" s="717">
        <v>0.6341</v>
      </c>
      <c r="G1875">
        <f>VLOOKUP(B1875,'SINAPI-%MO'!B:E,4,0)</f>
        <v>0.3659</v>
      </c>
      <c r="H1875" s="225">
        <f t="shared" si="29"/>
        <v>53.37</v>
      </c>
    </row>
    <row r="1876" spans="1:8" x14ac:dyDescent="0.3">
      <c r="A1876" s="400"/>
      <c r="B1876" s="709">
        <v>7049</v>
      </c>
      <c r="C1876" s="710" t="s">
        <v>2002</v>
      </c>
      <c r="D1876" s="709" t="s">
        <v>230</v>
      </c>
      <c r="E1876" s="716">
        <v>233.01</v>
      </c>
      <c r="F1876" s="717">
        <v>0.45479999999999998</v>
      </c>
      <c r="G1876">
        <f>VLOOKUP(B1876,'SINAPI-%MO'!B:E,4,0)</f>
        <v>0.13220000000000001</v>
      </c>
      <c r="H1876" s="225">
        <f t="shared" si="29"/>
        <v>202.2</v>
      </c>
    </row>
    <row r="1877" spans="1:8" x14ac:dyDescent="0.3">
      <c r="A1877" s="400"/>
      <c r="B1877" s="709">
        <v>95632</v>
      </c>
      <c r="C1877" s="710" t="s">
        <v>2003</v>
      </c>
      <c r="D1877" s="709" t="s">
        <v>1689</v>
      </c>
      <c r="E1877" s="716">
        <v>88.32</v>
      </c>
      <c r="F1877" s="717">
        <v>0.65129999999999999</v>
      </c>
      <c r="G1877">
        <f>VLOOKUP(B1877,'SINAPI-%MO'!B:E,4,0)</f>
        <v>0.34870000000000001</v>
      </c>
      <c r="H1877" s="225">
        <f t="shared" si="29"/>
        <v>57.52</v>
      </c>
    </row>
    <row r="1878" spans="1:8" x14ac:dyDescent="0.3">
      <c r="A1878" s="400"/>
      <c r="B1878" s="709">
        <v>95631</v>
      </c>
      <c r="C1878" s="710" t="s">
        <v>2004</v>
      </c>
      <c r="D1878" s="709" t="s">
        <v>230</v>
      </c>
      <c r="E1878" s="716">
        <v>241.31</v>
      </c>
      <c r="F1878" s="717">
        <v>0.47360000000000002</v>
      </c>
      <c r="G1878">
        <f>VLOOKUP(B1878,'SINAPI-%MO'!B:E,4,0)</f>
        <v>0.12759999999999999</v>
      </c>
      <c r="H1878" s="225">
        <f t="shared" si="29"/>
        <v>210.51</v>
      </c>
    </row>
    <row r="1879" spans="1:8" x14ac:dyDescent="0.3">
      <c r="A1879" s="400"/>
      <c r="B1879" s="709">
        <v>5685</v>
      </c>
      <c r="C1879" s="710" t="s">
        <v>2005</v>
      </c>
      <c r="D1879" s="709" t="s">
        <v>1689</v>
      </c>
      <c r="E1879" s="716">
        <v>69.25</v>
      </c>
      <c r="F1879" s="717">
        <v>0.55520000000000003</v>
      </c>
      <c r="G1879">
        <f>VLOOKUP(B1879,'SINAPI-%MO'!B:E,4,0)</f>
        <v>0.44479999999999997</v>
      </c>
      <c r="H1879" s="225">
        <f t="shared" si="29"/>
        <v>38.44</v>
      </c>
    </row>
    <row r="1880" spans="1:8" x14ac:dyDescent="0.3">
      <c r="A1880" s="400"/>
      <c r="B1880" s="709">
        <v>5684</v>
      </c>
      <c r="C1880" s="710" t="s">
        <v>2006</v>
      </c>
      <c r="D1880" s="709" t="s">
        <v>230</v>
      </c>
      <c r="E1880" s="716">
        <v>168.78</v>
      </c>
      <c r="F1880" s="717">
        <v>0.4526</v>
      </c>
      <c r="G1880">
        <f>VLOOKUP(B1880,'SINAPI-%MO'!B:E,4,0)</f>
        <v>0.1825</v>
      </c>
      <c r="H1880" s="225">
        <f t="shared" si="29"/>
        <v>137.97</v>
      </c>
    </row>
    <row r="1881" spans="1:8" x14ac:dyDescent="0.3">
      <c r="A1881" s="400"/>
      <c r="B1881" s="709">
        <v>93244</v>
      </c>
      <c r="C1881" s="710" t="s">
        <v>2007</v>
      </c>
      <c r="D1881" s="709" t="s">
        <v>1689</v>
      </c>
      <c r="E1881" s="716">
        <v>70.83</v>
      </c>
      <c r="F1881" s="717">
        <v>0.56520000000000004</v>
      </c>
      <c r="G1881">
        <f>VLOOKUP(B1881,'SINAPI-%MO'!B:E,4,0)</f>
        <v>0.43480000000000002</v>
      </c>
      <c r="H1881" s="225">
        <f t="shared" si="29"/>
        <v>40.03</v>
      </c>
    </row>
    <row r="1882" spans="1:8" x14ac:dyDescent="0.3">
      <c r="A1882" s="400"/>
      <c r="B1882" s="709">
        <v>73436</v>
      </c>
      <c r="C1882" s="710" t="s">
        <v>2008</v>
      </c>
      <c r="D1882" s="709" t="s">
        <v>230</v>
      </c>
      <c r="E1882" s="716">
        <v>171.87</v>
      </c>
      <c r="F1882" s="717">
        <v>0.46239999999999998</v>
      </c>
      <c r="G1882">
        <f>VLOOKUP(B1882,'SINAPI-%MO'!B:E,4,0)</f>
        <v>0.1792</v>
      </c>
      <c r="H1882" s="225">
        <f t="shared" si="29"/>
        <v>141.07</v>
      </c>
    </row>
    <row r="1883" spans="1:8" x14ac:dyDescent="0.3">
      <c r="A1883" s="400"/>
      <c r="B1883" s="709">
        <v>5881</v>
      </c>
      <c r="C1883" s="710" t="s">
        <v>2009</v>
      </c>
      <c r="D1883" s="709" t="s">
        <v>1689</v>
      </c>
      <c r="E1883" s="716">
        <v>83.34</v>
      </c>
      <c r="F1883" s="717">
        <v>0.63039999999999996</v>
      </c>
      <c r="G1883">
        <f>VLOOKUP(B1883,'SINAPI-%MO'!B:E,4,0)</f>
        <v>0.36959999999999998</v>
      </c>
      <c r="H1883" s="225">
        <f t="shared" si="29"/>
        <v>52.53</v>
      </c>
    </row>
    <row r="1884" spans="1:8" x14ac:dyDescent="0.3">
      <c r="A1884" s="400"/>
      <c r="B1884" s="709">
        <v>5879</v>
      </c>
      <c r="C1884" s="710" t="s">
        <v>2010</v>
      </c>
      <c r="D1884" s="709" t="s">
        <v>230</v>
      </c>
      <c r="E1884" s="716">
        <v>148.09</v>
      </c>
      <c r="F1884" s="717">
        <v>0.70489999999999997</v>
      </c>
      <c r="G1884">
        <f>VLOOKUP(B1884,'SINAPI-%MO'!B:E,4,0)</f>
        <v>0.20799999999999999</v>
      </c>
      <c r="H1884" s="225">
        <f t="shared" si="29"/>
        <v>117.28</v>
      </c>
    </row>
    <row r="1885" spans="1:8" x14ac:dyDescent="0.3">
      <c r="A1885" s="400"/>
      <c r="B1885" s="709">
        <v>5865</v>
      </c>
      <c r="C1885" s="710" t="s">
        <v>2011</v>
      </c>
      <c r="D1885" s="709" t="s">
        <v>1689</v>
      </c>
      <c r="E1885" s="716">
        <v>11.6</v>
      </c>
      <c r="F1885" s="717">
        <v>1</v>
      </c>
      <c r="G1885">
        <f>VLOOKUP(B1885,'SINAPI-%MO'!B:E,4,0)</f>
        <v>0</v>
      </c>
      <c r="H1885" s="225">
        <f t="shared" si="29"/>
        <v>11.6</v>
      </c>
    </row>
    <row r="1886" spans="1:8" x14ac:dyDescent="0.3">
      <c r="A1886" s="400"/>
      <c r="B1886" s="709">
        <v>5863</v>
      </c>
      <c r="C1886" s="710" t="s">
        <v>2012</v>
      </c>
      <c r="D1886" s="709" t="s">
        <v>230</v>
      </c>
      <c r="E1886" s="716">
        <v>23.05</v>
      </c>
      <c r="F1886" s="717">
        <v>1</v>
      </c>
      <c r="G1886">
        <f>VLOOKUP(B1886,'SINAPI-%MO'!B:E,4,0)</f>
        <v>0</v>
      </c>
      <c r="H1886" s="225">
        <f t="shared" si="29"/>
        <v>23.05</v>
      </c>
    </row>
    <row r="1887" spans="1:8" x14ac:dyDescent="0.3">
      <c r="A1887" s="400"/>
      <c r="B1887" s="709">
        <v>5869</v>
      </c>
      <c r="C1887" s="710" t="s">
        <v>2013</v>
      </c>
      <c r="D1887" s="709" t="s">
        <v>1689</v>
      </c>
      <c r="E1887" s="716">
        <v>78.02</v>
      </c>
      <c r="F1887" s="717">
        <v>0.60519999999999996</v>
      </c>
      <c r="G1887">
        <f>VLOOKUP(B1887,'SINAPI-%MO'!B:E,4,0)</f>
        <v>0.39479999999999998</v>
      </c>
      <c r="H1887" s="225">
        <f t="shared" si="29"/>
        <v>47.21</v>
      </c>
    </row>
    <row r="1888" spans="1:8" x14ac:dyDescent="0.3">
      <c r="A1888" s="400"/>
      <c r="B1888" s="709">
        <v>5867</v>
      </c>
      <c r="C1888" s="710" t="s">
        <v>2014</v>
      </c>
      <c r="D1888" s="709" t="s">
        <v>230</v>
      </c>
      <c r="E1888" s="716">
        <v>168.66</v>
      </c>
      <c r="F1888" s="717">
        <v>0.55620000000000003</v>
      </c>
      <c r="G1888">
        <f>VLOOKUP(B1888,'SINAPI-%MO'!B:E,4,0)</f>
        <v>0.18260000000000001</v>
      </c>
      <c r="H1888" s="225">
        <f t="shared" si="29"/>
        <v>137.86000000000001</v>
      </c>
    </row>
    <row r="1889" spans="1:8" x14ac:dyDescent="0.3">
      <c r="A1889" s="400"/>
      <c r="B1889" s="709">
        <v>95271</v>
      </c>
      <c r="C1889" s="710" t="s">
        <v>2015</v>
      </c>
      <c r="D1889" s="709" t="s">
        <v>1689</v>
      </c>
      <c r="E1889" s="716">
        <v>0.66</v>
      </c>
      <c r="F1889" s="717">
        <v>1</v>
      </c>
      <c r="G1889">
        <f>VLOOKUP(B1889,'SINAPI-%MO'!B:E,4,0)</f>
        <v>0</v>
      </c>
      <c r="H1889" s="225">
        <f t="shared" si="29"/>
        <v>0.66</v>
      </c>
    </row>
    <row r="1890" spans="1:8" x14ac:dyDescent="0.3">
      <c r="A1890" s="400"/>
      <c r="B1890" s="709">
        <v>95270</v>
      </c>
      <c r="C1890" s="710" t="s">
        <v>2016</v>
      </c>
      <c r="D1890" s="709" t="s">
        <v>230</v>
      </c>
      <c r="E1890" s="716">
        <v>10.17</v>
      </c>
      <c r="F1890" s="717">
        <v>0.11799999999999999</v>
      </c>
      <c r="G1890">
        <f>VLOOKUP(B1890,'SINAPI-%MO'!B:E,4,0)</f>
        <v>0</v>
      </c>
      <c r="H1890" s="225">
        <f t="shared" si="29"/>
        <v>10.17</v>
      </c>
    </row>
    <row r="1891" spans="1:8" x14ac:dyDescent="0.3">
      <c r="A1891" s="400"/>
      <c r="B1891" s="709">
        <v>91693</v>
      </c>
      <c r="C1891" s="710" t="s">
        <v>2017</v>
      </c>
      <c r="D1891" s="709" t="s">
        <v>1689</v>
      </c>
      <c r="E1891" s="716">
        <v>35.85</v>
      </c>
      <c r="F1891" s="717">
        <v>0</v>
      </c>
      <c r="G1891">
        <f>VLOOKUP(B1891,'SINAPI-%MO'!B:E,4,0)</f>
        <v>0.99670000000000003</v>
      </c>
      <c r="H1891" s="225">
        <f t="shared" si="29"/>
        <v>0.11</v>
      </c>
    </row>
    <row r="1892" spans="1:8" x14ac:dyDescent="0.3">
      <c r="A1892" s="400"/>
      <c r="B1892" s="709">
        <v>91692</v>
      </c>
      <c r="C1892" s="710" t="s">
        <v>2018</v>
      </c>
      <c r="D1892" s="709" t="s">
        <v>230</v>
      </c>
      <c r="E1892" s="716">
        <v>37.340000000000003</v>
      </c>
      <c r="F1892" s="717">
        <v>0</v>
      </c>
      <c r="G1892">
        <f>VLOOKUP(B1892,'SINAPI-%MO'!B:E,4,0)</f>
        <v>0.95689999999999997</v>
      </c>
      <c r="H1892" s="225">
        <f t="shared" si="29"/>
        <v>1.6</v>
      </c>
    </row>
    <row r="1893" spans="1:8" x14ac:dyDescent="0.3">
      <c r="A1893" s="400"/>
      <c r="B1893" s="709">
        <v>102929</v>
      </c>
      <c r="C1893" s="710" t="s">
        <v>2019</v>
      </c>
      <c r="D1893" s="709" t="s">
        <v>1689</v>
      </c>
      <c r="E1893" s="716">
        <v>0</v>
      </c>
      <c r="F1893" s="717"/>
      <c r="G1893" t="e">
        <f>VLOOKUP(B1893,'SINAPI-%MO'!B:E,4,0)</f>
        <v>#N/A</v>
      </c>
      <c r="H1893" s="225" t="str">
        <f t="shared" si="29"/>
        <v/>
      </c>
    </row>
    <row r="1894" spans="1:8" x14ac:dyDescent="0.3">
      <c r="A1894" s="400"/>
      <c r="B1894" s="709">
        <v>102928</v>
      </c>
      <c r="C1894" s="710" t="s">
        <v>2020</v>
      </c>
      <c r="D1894" s="709" t="s">
        <v>230</v>
      </c>
      <c r="E1894" s="716">
        <v>0</v>
      </c>
      <c r="F1894" s="717"/>
      <c r="G1894" t="e">
        <f>VLOOKUP(B1894,'SINAPI-%MO'!B:E,4,0)</f>
        <v>#N/A</v>
      </c>
      <c r="H1894" s="225" t="str">
        <f t="shared" si="29"/>
        <v/>
      </c>
    </row>
    <row r="1895" spans="1:8" x14ac:dyDescent="0.3">
      <c r="A1895" s="400"/>
      <c r="B1895" s="709">
        <v>95140</v>
      </c>
      <c r="C1895" s="710" t="s">
        <v>2021</v>
      </c>
      <c r="D1895" s="709" t="s">
        <v>1689</v>
      </c>
      <c r="E1895" s="716">
        <v>0.03</v>
      </c>
      <c r="F1895" s="717">
        <v>0</v>
      </c>
      <c r="G1895">
        <f>VLOOKUP(B1895,'SINAPI-%MO'!B:E,4,0)</f>
        <v>0</v>
      </c>
      <c r="H1895" s="225">
        <f t="shared" si="29"/>
        <v>0.03</v>
      </c>
    </row>
    <row r="1896" spans="1:8" x14ac:dyDescent="0.3">
      <c r="A1896" s="400"/>
      <c r="B1896" s="709">
        <v>95139</v>
      </c>
      <c r="C1896" s="710" t="s">
        <v>2022</v>
      </c>
      <c r="D1896" s="709" t="s">
        <v>230</v>
      </c>
      <c r="E1896" s="716">
        <v>0.05</v>
      </c>
      <c r="F1896" s="717">
        <v>0</v>
      </c>
      <c r="G1896">
        <f>VLOOKUP(B1896,'SINAPI-%MO'!B:E,4,0)</f>
        <v>0</v>
      </c>
      <c r="H1896" s="225">
        <f t="shared" si="29"/>
        <v>0.05</v>
      </c>
    </row>
    <row r="1897" spans="1:8" x14ac:dyDescent="0.3">
      <c r="A1897" s="400"/>
      <c r="B1897" s="709">
        <v>89027</v>
      </c>
      <c r="C1897" s="710" t="s">
        <v>2023</v>
      </c>
      <c r="D1897" s="709" t="s">
        <v>1689</v>
      </c>
      <c r="E1897" s="716">
        <v>5.49</v>
      </c>
      <c r="F1897" s="717">
        <v>1</v>
      </c>
      <c r="G1897">
        <f>VLOOKUP(B1897,'SINAPI-%MO'!B:E,4,0)</f>
        <v>0</v>
      </c>
      <c r="H1897" s="225">
        <f t="shared" si="29"/>
        <v>5.49</v>
      </c>
    </row>
    <row r="1898" spans="1:8" x14ac:dyDescent="0.3">
      <c r="A1898" s="400"/>
      <c r="B1898" s="709">
        <v>89028</v>
      </c>
      <c r="C1898" s="710" t="s">
        <v>2024</v>
      </c>
      <c r="D1898" s="709" t="s">
        <v>230</v>
      </c>
      <c r="E1898" s="716">
        <v>194.89</v>
      </c>
      <c r="F1898" s="717">
        <v>5.4300000000000001E-2</v>
      </c>
      <c r="G1898">
        <f>VLOOKUP(B1898,'SINAPI-%MO'!B:E,4,0)</f>
        <v>0</v>
      </c>
      <c r="H1898" s="225">
        <f t="shared" si="29"/>
        <v>194.89</v>
      </c>
    </row>
    <row r="1899" spans="1:8" x14ac:dyDescent="0.3">
      <c r="A1899" s="400"/>
      <c r="B1899" s="709">
        <v>7031</v>
      </c>
      <c r="C1899" s="710" t="s">
        <v>2025</v>
      </c>
      <c r="D1899" s="709" t="s">
        <v>1689</v>
      </c>
      <c r="E1899" s="716">
        <v>6.76</v>
      </c>
      <c r="F1899" s="717">
        <v>1</v>
      </c>
      <c r="G1899">
        <f>VLOOKUP(B1899,'SINAPI-%MO'!B:E,4,0)</f>
        <v>0</v>
      </c>
      <c r="H1899" s="225">
        <f t="shared" si="29"/>
        <v>6.76</v>
      </c>
    </row>
    <row r="1900" spans="1:8" x14ac:dyDescent="0.3">
      <c r="A1900" s="400"/>
      <c r="B1900" s="709">
        <v>7030</v>
      </c>
      <c r="C1900" s="710" t="s">
        <v>2026</v>
      </c>
      <c r="D1900" s="709" t="s">
        <v>230</v>
      </c>
      <c r="E1900" s="716">
        <v>289.49</v>
      </c>
      <c r="F1900" s="717">
        <v>4.4999999999999998E-2</v>
      </c>
      <c r="G1900">
        <f>VLOOKUP(B1900,'SINAPI-%MO'!B:E,4,0)</f>
        <v>0</v>
      </c>
      <c r="H1900" s="225">
        <f t="shared" si="29"/>
        <v>289.49</v>
      </c>
    </row>
    <row r="1901" spans="1:8" x14ac:dyDescent="0.3">
      <c r="A1901" s="400"/>
      <c r="B1901" s="709">
        <v>102947</v>
      </c>
      <c r="C1901" s="710" t="s">
        <v>2027</v>
      </c>
      <c r="D1901" s="709" t="s">
        <v>1689</v>
      </c>
      <c r="E1901" s="716">
        <v>0</v>
      </c>
      <c r="F1901" s="717"/>
      <c r="G1901" t="e">
        <f>VLOOKUP(B1901,'SINAPI-%MO'!B:E,4,0)</f>
        <v>#N/A</v>
      </c>
      <c r="H1901" s="225" t="str">
        <f t="shared" si="29"/>
        <v/>
      </c>
    </row>
    <row r="1902" spans="1:8" x14ac:dyDescent="0.3">
      <c r="A1902" s="400"/>
      <c r="B1902" s="709">
        <v>102946</v>
      </c>
      <c r="C1902" s="710" t="s">
        <v>2028</v>
      </c>
      <c r="D1902" s="709" t="s">
        <v>230</v>
      </c>
      <c r="E1902" s="716">
        <v>0</v>
      </c>
      <c r="F1902" s="717"/>
      <c r="G1902" t="e">
        <f>VLOOKUP(B1902,'SINAPI-%MO'!B:E,4,0)</f>
        <v>#N/A</v>
      </c>
      <c r="H1902" s="225" t="str">
        <f t="shared" si="29"/>
        <v/>
      </c>
    </row>
    <row r="1903" spans="1:8" x14ac:dyDescent="0.3">
      <c r="A1903" s="400"/>
      <c r="B1903" s="709">
        <v>104092</v>
      </c>
      <c r="C1903" s="710" t="s">
        <v>2029</v>
      </c>
      <c r="D1903" s="709" t="s">
        <v>1689</v>
      </c>
      <c r="E1903" s="716">
        <v>0.04</v>
      </c>
      <c r="F1903" s="717">
        <v>0</v>
      </c>
      <c r="G1903">
        <f>VLOOKUP(B1903,'SINAPI-%MO'!B:E,4,0)</f>
        <v>0</v>
      </c>
      <c r="H1903" s="225">
        <f t="shared" si="29"/>
        <v>0.04</v>
      </c>
    </row>
    <row r="1904" spans="1:8" x14ac:dyDescent="0.3">
      <c r="A1904" s="400"/>
      <c r="B1904" s="709">
        <v>104091</v>
      </c>
      <c r="C1904" s="710" t="s">
        <v>2030</v>
      </c>
      <c r="D1904" s="709" t="s">
        <v>230</v>
      </c>
      <c r="E1904" s="716">
        <v>0.8</v>
      </c>
      <c r="F1904" s="717">
        <v>0</v>
      </c>
      <c r="G1904">
        <f>VLOOKUP(B1904,'SINAPI-%MO'!B:E,4,0)</f>
        <v>0</v>
      </c>
      <c r="H1904" s="225">
        <f t="shared" si="29"/>
        <v>0.8</v>
      </c>
    </row>
    <row r="1905" spans="1:8" x14ac:dyDescent="0.3">
      <c r="A1905" s="400"/>
      <c r="B1905" s="709">
        <v>104098</v>
      </c>
      <c r="C1905" s="710" t="s">
        <v>2031</v>
      </c>
      <c r="D1905" s="709" t="s">
        <v>1689</v>
      </c>
      <c r="E1905" s="716">
        <v>0.06</v>
      </c>
      <c r="F1905" s="717">
        <v>0</v>
      </c>
      <c r="G1905">
        <f>VLOOKUP(B1905,'SINAPI-%MO'!B:E,4,0)</f>
        <v>0</v>
      </c>
      <c r="H1905" s="225">
        <f t="shared" si="29"/>
        <v>0.06</v>
      </c>
    </row>
    <row r="1906" spans="1:8" x14ac:dyDescent="0.3">
      <c r="A1906" s="400"/>
      <c r="B1906" s="709">
        <v>104097</v>
      </c>
      <c r="C1906" s="710" t="s">
        <v>2032</v>
      </c>
      <c r="D1906" s="709" t="s">
        <v>230</v>
      </c>
      <c r="E1906" s="716">
        <v>1.1000000000000001</v>
      </c>
      <c r="F1906" s="717">
        <v>0</v>
      </c>
      <c r="G1906">
        <f>VLOOKUP(B1906,'SINAPI-%MO'!B:E,4,0)</f>
        <v>0</v>
      </c>
      <c r="H1906" s="225">
        <f t="shared" si="29"/>
        <v>1.1000000000000001</v>
      </c>
    </row>
    <row r="1907" spans="1:8" x14ac:dyDescent="0.3">
      <c r="A1907" s="400"/>
      <c r="B1907" s="709">
        <v>102905</v>
      </c>
      <c r="C1907" s="710" t="s">
        <v>2033</v>
      </c>
      <c r="D1907" s="709" t="s">
        <v>1689</v>
      </c>
      <c r="E1907" s="716">
        <v>0</v>
      </c>
      <c r="F1907" s="717"/>
      <c r="G1907" t="e">
        <f>VLOOKUP(B1907,'SINAPI-%MO'!B:E,4,0)</f>
        <v>#N/A</v>
      </c>
      <c r="H1907" s="225" t="str">
        <f t="shared" si="29"/>
        <v/>
      </c>
    </row>
    <row r="1908" spans="1:8" x14ac:dyDescent="0.3">
      <c r="A1908" s="400"/>
      <c r="B1908" s="709">
        <v>102904</v>
      </c>
      <c r="C1908" s="710" t="s">
        <v>2034</v>
      </c>
      <c r="D1908" s="709" t="s">
        <v>230</v>
      </c>
      <c r="E1908" s="716">
        <v>0</v>
      </c>
      <c r="F1908" s="717"/>
      <c r="G1908" t="e">
        <f>VLOOKUP(B1908,'SINAPI-%MO'!B:E,4,0)</f>
        <v>#N/A</v>
      </c>
      <c r="H1908" s="225" t="str">
        <f t="shared" si="29"/>
        <v/>
      </c>
    </row>
    <row r="1909" spans="1:8" x14ac:dyDescent="0.3">
      <c r="A1909" s="400"/>
      <c r="B1909" s="709">
        <v>89031</v>
      </c>
      <c r="C1909" s="710" t="s">
        <v>2035</v>
      </c>
      <c r="D1909" s="709" t="s">
        <v>1689</v>
      </c>
      <c r="E1909" s="716">
        <v>81.75</v>
      </c>
      <c r="F1909" s="717">
        <v>0</v>
      </c>
      <c r="G1909">
        <f>VLOOKUP(B1909,'SINAPI-%MO'!B:E,4,0)</f>
        <v>0.43709999999999999</v>
      </c>
      <c r="H1909" s="225">
        <f t="shared" si="29"/>
        <v>46.01</v>
      </c>
    </row>
    <row r="1910" spans="1:8" x14ac:dyDescent="0.3">
      <c r="A1910" s="400"/>
      <c r="B1910" s="709">
        <v>89032</v>
      </c>
      <c r="C1910" s="710" t="s">
        <v>2036</v>
      </c>
      <c r="D1910" s="709" t="s">
        <v>230</v>
      </c>
      <c r="E1910" s="716">
        <v>206.2</v>
      </c>
      <c r="F1910" s="717">
        <v>0</v>
      </c>
      <c r="G1910">
        <f>VLOOKUP(B1910,'SINAPI-%MO'!B:E,4,0)</f>
        <v>0.17330000000000001</v>
      </c>
      <c r="H1910" s="225">
        <f t="shared" si="29"/>
        <v>170.46</v>
      </c>
    </row>
    <row r="1911" spans="1:8" x14ac:dyDescent="0.3">
      <c r="A1911" s="400"/>
      <c r="B1911" s="709">
        <v>88844</v>
      </c>
      <c r="C1911" s="710" t="s">
        <v>2037</v>
      </c>
      <c r="D1911" s="709" t="s">
        <v>1689</v>
      </c>
      <c r="E1911" s="716">
        <v>83.9</v>
      </c>
      <c r="F1911" s="717">
        <v>0</v>
      </c>
      <c r="G1911">
        <f>VLOOKUP(B1911,'SINAPI-%MO'!B:E,4,0)</f>
        <v>0.4259</v>
      </c>
      <c r="H1911" s="225">
        <f t="shared" si="29"/>
        <v>48.16</v>
      </c>
    </row>
    <row r="1912" spans="1:8" x14ac:dyDescent="0.3">
      <c r="A1912" s="400"/>
      <c r="B1912" s="709">
        <v>88843</v>
      </c>
      <c r="C1912" s="710" t="s">
        <v>2038</v>
      </c>
      <c r="D1912" s="709" t="s">
        <v>230</v>
      </c>
      <c r="E1912" s="716">
        <v>227.92</v>
      </c>
      <c r="F1912" s="717">
        <v>0</v>
      </c>
      <c r="G1912">
        <f>VLOOKUP(B1912,'SINAPI-%MO'!B:E,4,0)</f>
        <v>0.15679999999999999</v>
      </c>
      <c r="H1912" s="225">
        <f t="shared" si="29"/>
        <v>192.18</v>
      </c>
    </row>
    <row r="1913" spans="1:8" x14ac:dyDescent="0.3">
      <c r="A1913" s="400"/>
      <c r="B1913" s="709">
        <v>5853</v>
      </c>
      <c r="C1913" s="710" t="s">
        <v>2039</v>
      </c>
      <c r="D1913" s="709" t="s">
        <v>1689</v>
      </c>
      <c r="E1913" s="716">
        <v>95.39</v>
      </c>
      <c r="F1913" s="717">
        <v>0</v>
      </c>
      <c r="G1913">
        <f>VLOOKUP(B1913,'SINAPI-%MO'!B:E,4,0)</f>
        <v>0.37459999999999999</v>
      </c>
      <c r="H1913" s="225">
        <f t="shared" si="29"/>
        <v>59.65</v>
      </c>
    </row>
    <row r="1914" spans="1:8" x14ac:dyDescent="0.3">
      <c r="A1914" s="400"/>
      <c r="B1914" s="709">
        <v>5851</v>
      </c>
      <c r="C1914" s="710" t="s">
        <v>2040</v>
      </c>
      <c r="D1914" s="709" t="s">
        <v>230</v>
      </c>
      <c r="E1914" s="716">
        <v>270.51</v>
      </c>
      <c r="F1914" s="717">
        <v>0</v>
      </c>
      <c r="G1914">
        <f>VLOOKUP(B1914,'SINAPI-%MO'!B:E,4,0)</f>
        <v>0.1321</v>
      </c>
      <c r="H1914" s="225">
        <f t="shared" si="29"/>
        <v>234.77</v>
      </c>
    </row>
    <row r="1915" spans="1:8" x14ac:dyDescent="0.3">
      <c r="A1915" s="400"/>
      <c r="B1915" s="709">
        <v>5849</v>
      </c>
      <c r="C1915" s="710" t="s">
        <v>2041</v>
      </c>
      <c r="D1915" s="709" t="s">
        <v>1689</v>
      </c>
      <c r="E1915" s="716">
        <v>95.03</v>
      </c>
      <c r="F1915" s="717">
        <v>0</v>
      </c>
      <c r="G1915">
        <f>VLOOKUP(B1915,'SINAPI-%MO'!B:E,4,0)</f>
        <v>0.376</v>
      </c>
      <c r="H1915" s="225">
        <f t="shared" si="29"/>
        <v>59.29</v>
      </c>
    </row>
    <row r="1916" spans="1:8" x14ac:dyDescent="0.3">
      <c r="A1916" s="400"/>
      <c r="B1916" s="709">
        <v>5847</v>
      </c>
      <c r="C1916" s="710" t="s">
        <v>2042</v>
      </c>
      <c r="D1916" s="709" t="s">
        <v>230</v>
      </c>
      <c r="E1916" s="716">
        <v>283.18</v>
      </c>
      <c r="F1916" s="717">
        <v>0</v>
      </c>
      <c r="G1916">
        <f>VLOOKUP(B1916,'SINAPI-%MO'!B:E,4,0)</f>
        <v>0.12620000000000001</v>
      </c>
      <c r="H1916" s="225">
        <f t="shared" si="29"/>
        <v>247.44</v>
      </c>
    </row>
    <row r="1917" spans="1:8" x14ac:dyDescent="0.3">
      <c r="A1917" s="400"/>
      <c r="B1917" s="709">
        <v>5857</v>
      </c>
      <c r="C1917" s="710" t="s">
        <v>2043</v>
      </c>
      <c r="D1917" s="709" t="s">
        <v>1689</v>
      </c>
      <c r="E1917" s="716">
        <v>231.19</v>
      </c>
      <c r="F1917" s="717">
        <v>0</v>
      </c>
      <c r="G1917">
        <f>VLOOKUP(B1917,'SINAPI-%MO'!B:E,4,0)</f>
        <v>0.1545</v>
      </c>
      <c r="H1917" s="225">
        <f t="shared" si="29"/>
        <v>195.47</v>
      </c>
    </row>
    <row r="1918" spans="1:8" x14ac:dyDescent="0.3">
      <c r="A1918" s="400"/>
      <c r="B1918" s="709">
        <v>5855</v>
      </c>
      <c r="C1918" s="710" t="s">
        <v>2044</v>
      </c>
      <c r="D1918" s="709" t="s">
        <v>230</v>
      </c>
      <c r="E1918" s="716">
        <v>707.51</v>
      </c>
      <c r="F1918" s="717">
        <v>0</v>
      </c>
      <c r="G1918">
        <f>VLOOKUP(B1918,'SINAPI-%MO'!B:E,4,0)</f>
        <v>5.0500000000000003E-2</v>
      </c>
      <c r="H1918" s="225">
        <f t="shared" si="29"/>
        <v>671.78</v>
      </c>
    </row>
    <row r="1919" spans="1:8" x14ac:dyDescent="0.3">
      <c r="A1919" s="400"/>
      <c r="B1919" s="709">
        <v>96021</v>
      </c>
      <c r="C1919" s="710" t="s">
        <v>2045</v>
      </c>
      <c r="D1919" s="709" t="s">
        <v>1689</v>
      </c>
      <c r="E1919" s="716">
        <v>65.209999999999994</v>
      </c>
      <c r="F1919" s="717">
        <v>0</v>
      </c>
      <c r="G1919">
        <f>VLOOKUP(B1919,'SINAPI-%MO'!B:E,4,0)</f>
        <v>0.54790000000000005</v>
      </c>
      <c r="H1919" s="225">
        <f t="shared" si="29"/>
        <v>29.48</v>
      </c>
    </row>
    <row r="1920" spans="1:8" x14ac:dyDescent="0.3">
      <c r="A1920" s="400"/>
      <c r="B1920" s="709">
        <v>96020</v>
      </c>
      <c r="C1920" s="710" t="s">
        <v>2046</v>
      </c>
      <c r="D1920" s="709" t="s">
        <v>230</v>
      </c>
      <c r="E1920" s="716">
        <v>194.88</v>
      </c>
      <c r="F1920" s="717">
        <v>0</v>
      </c>
      <c r="G1920">
        <f>VLOOKUP(B1920,'SINAPI-%MO'!B:E,4,0)</f>
        <v>0.18329999999999999</v>
      </c>
      <c r="H1920" s="225">
        <f t="shared" si="29"/>
        <v>159.15</v>
      </c>
    </row>
    <row r="1921" spans="1:8" x14ac:dyDescent="0.3">
      <c r="A1921" s="400"/>
      <c r="B1921" s="709">
        <v>96014</v>
      </c>
      <c r="C1921" s="710" t="s">
        <v>2047</v>
      </c>
      <c r="D1921" s="709" t="s">
        <v>1689</v>
      </c>
      <c r="E1921" s="716">
        <v>65.540000000000006</v>
      </c>
      <c r="F1921" s="717">
        <v>0</v>
      </c>
      <c r="G1921">
        <f>VLOOKUP(B1921,'SINAPI-%MO'!B:E,4,0)</f>
        <v>0.54520000000000002</v>
      </c>
      <c r="H1921" s="225">
        <f t="shared" si="29"/>
        <v>29.8</v>
      </c>
    </row>
    <row r="1922" spans="1:8" x14ac:dyDescent="0.3">
      <c r="A1922" s="400"/>
      <c r="B1922" s="709">
        <v>96013</v>
      </c>
      <c r="C1922" s="710" t="s">
        <v>2048</v>
      </c>
      <c r="D1922" s="709" t="s">
        <v>230</v>
      </c>
      <c r="E1922" s="716">
        <v>195.49</v>
      </c>
      <c r="F1922" s="717">
        <v>0</v>
      </c>
      <c r="G1922">
        <f>VLOOKUP(B1922,'SINAPI-%MO'!B:E,4,0)</f>
        <v>0.18279999999999999</v>
      </c>
      <c r="H1922" s="225">
        <f t="shared" si="29"/>
        <v>159.75</v>
      </c>
    </row>
    <row r="1923" spans="1:8" x14ac:dyDescent="0.3">
      <c r="A1923" s="400"/>
      <c r="B1923" s="709">
        <v>96029</v>
      </c>
      <c r="C1923" s="710" t="s">
        <v>2049</v>
      </c>
      <c r="D1923" s="709" t="s">
        <v>1689</v>
      </c>
      <c r="E1923" s="716">
        <v>58.8</v>
      </c>
      <c r="F1923" s="717">
        <v>0</v>
      </c>
      <c r="G1923">
        <f>VLOOKUP(B1923,'SINAPI-%MO'!B:E,4,0)</f>
        <v>0.60770000000000002</v>
      </c>
      <c r="H1923" s="225">
        <f t="shared" si="29"/>
        <v>23.06</v>
      </c>
    </row>
    <row r="1924" spans="1:8" x14ac:dyDescent="0.3">
      <c r="A1924" s="400"/>
      <c r="B1924" s="709">
        <v>96028</v>
      </c>
      <c r="C1924" s="710" t="s">
        <v>2050</v>
      </c>
      <c r="D1924" s="709" t="s">
        <v>230</v>
      </c>
      <c r="E1924" s="716">
        <v>151.33000000000001</v>
      </c>
      <c r="F1924" s="717">
        <v>0</v>
      </c>
      <c r="G1924">
        <f>VLOOKUP(B1924,'SINAPI-%MO'!B:E,4,0)</f>
        <v>0.2361</v>
      </c>
      <c r="H1924" s="225">
        <f t="shared" si="29"/>
        <v>115.6</v>
      </c>
    </row>
    <row r="1925" spans="1:8" x14ac:dyDescent="0.3">
      <c r="A1925" s="400"/>
      <c r="B1925" s="709">
        <v>96155</v>
      </c>
      <c r="C1925" s="710" t="s">
        <v>2051</v>
      </c>
      <c r="D1925" s="709" t="s">
        <v>1689</v>
      </c>
      <c r="E1925" s="716">
        <v>59.13</v>
      </c>
      <c r="F1925" s="717">
        <v>0</v>
      </c>
      <c r="G1925">
        <f>VLOOKUP(B1925,'SINAPI-%MO'!B:E,4,0)</f>
        <v>0.60429999999999995</v>
      </c>
      <c r="H1925" s="225">
        <f t="shared" si="29"/>
        <v>23.39</v>
      </c>
    </row>
    <row r="1926" spans="1:8" x14ac:dyDescent="0.3">
      <c r="A1926" s="400"/>
      <c r="B1926" s="709">
        <v>96157</v>
      </c>
      <c r="C1926" s="710" t="s">
        <v>2052</v>
      </c>
      <c r="D1926" s="709" t="s">
        <v>230</v>
      </c>
      <c r="E1926" s="716">
        <v>151.94</v>
      </c>
      <c r="F1926" s="717">
        <v>0</v>
      </c>
      <c r="G1926">
        <f>VLOOKUP(B1926,'SINAPI-%MO'!B:E,4,0)</f>
        <v>0.23519999999999999</v>
      </c>
      <c r="H1926" s="225">
        <f t="shared" si="29"/>
        <v>116.2</v>
      </c>
    </row>
    <row r="1927" spans="1:8" x14ac:dyDescent="0.3">
      <c r="A1927" s="400"/>
      <c r="B1927" s="709">
        <v>5845</v>
      </c>
      <c r="C1927" s="710" t="s">
        <v>2053</v>
      </c>
      <c r="D1927" s="709" t="s">
        <v>1689</v>
      </c>
      <c r="E1927" s="716">
        <v>59.73</v>
      </c>
      <c r="F1927" s="717">
        <v>0</v>
      </c>
      <c r="G1927">
        <f>VLOOKUP(B1927,'SINAPI-%MO'!B:E,4,0)</f>
        <v>0.59819999999999995</v>
      </c>
      <c r="H1927" s="225">
        <f t="shared" si="29"/>
        <v>23.99</v>
      </c>
    </row>
    <row r="1928" spans="1:8" x14ac:dyDescent="0.3">
      <c r="A1928" s="400"/>
      <c r="B1928" s="709">
        <v>5843</v>
      </c>
      <c r="C1928" s="710" t="s">
        <v>2054</v>
      </c>
      <c r="D1928" s="709" t="s">
        <v>230</v>
      </c>
      <c r="E1928" s="716">
        <v>184.64</v>
      </c>
      <c r="F1928" s="717">
        <v>0</v>
      </c>
      <c r="G1928">
        <f>VLOOKUP(B1928,'SINAPI-%MO'!B:E,4,0)</f>
        <v>0.19350000000000001</v>
      </c>
      <c r="H1928" s="225">
        <f t="shared" si="29"/>
        <v>148.91</v>
      </c>
    </row>
    <row r="1929" spans="1:8" x14ac:dyDescent="0.3">
      <c r="A1929" s="400"/>
      <c r="B1929" s="709">
        <v>89036</v>
      </c>
      <c r="C1929" s="710" t="s">
        <v>2055</v>
      </c>
      <c r="D1929" s="709" t="s">
        <v>1689</v>
      </c>
      <c r="E1929" s="716">
        <v>53.29</v>
      </c>
      <c r="F1929" s="717">
        <v>0</v>
      </c>
      <c r="G1929">
        <f>VLOOKUP(B1929,'SINAPI-%MO'!B:E,4,0)</f>
        <v>0.67049999999999998</v>
      </c>
      <c r="H1929" s="225">
        <f t="shared" si="29"/>
        <v>17.55</v>
      </c>
    </row>
    <row r="1930" spans="1:8" x14ac:dyDescent="0.3">
      <c r="A1930" s="400"/>
      <c r="B1930" s="709">
        <v>89035</v>
      </c>
      <c r="C1930" s="710" t="s">
        <v>2056</v>
      </c>
      <c r="D1930" s="709" t="s">
        <v>230</v>
      </c>
      <c r="E1930" s="716">
        <v>141.06</v>
      </c>
      <c r="F1930" s="717">
        <v>0</v>
      </c>
      <c r="G1930">
        <f>VLOOKUP(B1930,'SINAPI-%MO'!B:E,4,0)</f>
        <v>0.25330000000000003</v>
      </c>
      <c r="H1930" s="225">
        <f t="shared" si="29"/>
        <v>105.32</v>
      </c>
    </row>
    <row r="1931" spans="1:8" x14ac:dyDescent="0.3">
      <c r="A1931" s="400"/>
      <c r="B1931" s="709">
        <v>102911</v>
      </c>
      <c r="C1931" s="710" t="s">
        <v>2057</v>
      </c>
      <c r="D1931" s="709" t="s">
        <v>1689</v>
      </c>
      <c r="E1931" s="716">
        <v>0</v>
      </c>
      <c r="F1931" s="717"/>
      <c r="G1931" t="e">
        <f>VLOOKUP(B1931,'SINAPI-%MO'!B:E,4,0)</f>
        <v>#N/A</v>
      </c>
      <c r="H1931" s="225" t="str">
        <f t="shared" ref="H1931:H1994" si="30">IF(E1931&gt;0,TRUNC(E1931*(1-G1931),2),"")</f>
        <v/>
      </c>
    </row>
    <row r="1932" spans="1:8" x14ac:dyDescent="0.3">
      <c r="A1932" s="400"/>
      <c r="B1932" s="709">
        <v>102910</v>
      </c>
      <c r="C1932" s="710" t="s">
        <v>2058</v>
      </c>
      <c r="D1932" s="709" t="s">
        <v>230</v>
      </c>
      <c r="E1932" s="716">
        <v>0</v>
      </c>
      <c r="F1932" s="717"/>
      <c r="G1932" t="e">
        <f>VLOOKUP(B1932,'SINAPI-%MO'!B:E,4,0)</f>
        <v>#N/A</v>
      </c>
      <c r="H1932" s="225" t="str">
        <f t="shared" si="30"/>
        <v/>
      </c>
    </row>
    <row r="1933" spans="1:8" x14ac:dyDescent="0.3">
      <c r="A1933" s="400"/>
      <c r="B1933" s="709">
        <v>93440</v>
      </c>
      <c r="C1933" s="710" t="s">
        <v>2059</v>
      </c>
      <c r="D1933" s="709" t="s">
        <v>1689</v>
      </c>
      <c r="E1933" s="716">
        <v>163.72999999999999</v>
      </c>
      <c r="F1933" s="717">
        <v>7.8399999999999997E-2</v>
      </c>
      <c r="G1933">
        <f>VLOOKUP(B1933,'SINAPI-%MO'!B:E,4,0)</f>
        <v>0.92159999999999997</v>
      </c>
      <c r="H1933" s="225">
        <f t="shared" si="30"/>
        <v>12.83</v>
      </c>
    </row>
    <row r="1934" spans="1:8" x14ac:dyDescent="0.3">
      <c r="A1934" s="400"/>
      <c r="B1934" s="709">
        <v>93439</v>
      </c>
      <c r="C1934" s="710" t="s">
        <v>2060</v>
      </c>
      <c r="D1934" s="709" t="s">
        <v>230</v>
      </c>
      <c r="E1934" s="716">
        <v>295.52</v>
      </c>
      <c r="F1934" s="717">
        <v>7.9699999999999993E-2</v>
      </c>
      <c r="G1934">
        <f>VLOOKUP(B1934,'SINAPI-%MO'!B:E,4,0)</f>
        <v>0.51060000000000005</v>
      </c>
      <c r="H1934" s="225">
        <f t="shared" si="30"/>
        <v>144.62</v>
      </c>
    </row>
    <row r="1935" spans="1:8" x14ac:dyDescent="0.3">
      <c r="A1935" s="400"/>
      <c r="B1935" s="709">
        <v>100648</v>
      </c>
      <c r="C1935" s="710" t="s">
        <v>2061</v>
      </c>
      <c r="D1935" s="709" t="s">
        <v>1689</v>
      </c>
      <c r="E1935" s="716">
        <v>642.54</v>
      </c>
      <c r="F1935" s="717">
        <v>0.92579999999999996</v>
      </c>
      <c r="G1935">
        <f>VLOOKUP(B1935,'SINAPI-%MO'!B:E,4,0)</f>
        <v>7.4200000000000002E-2</v>
      </c>
      <c r="H1935" s="225">
        <f t="shared" si="30"/>
        <v>594.86</v>
      </c>
    </row>
    <row r="1936" spans="1:8" x14ac:dyDescent="0.3">
      <c r="A1936" s="400"/>
      <c r="B1936" s="709">
        <v>100647</v>
      </c>
      <c r="C1936" s="710" t="s">
        <v>2062</v>
      </c>
      <c r="D1936" s="709" t="s">
        <v>230</v>
      </c>
      <c r="E1936" s="716">
        <v>7154.59</v>
      </c>
      <c r="F1936" s="717">
        <v>0.182</v>
      </c>
      <c r="G1936">
        <f>VLOOKUP(B1936,'SINAPI-%MO'!B:E,4,0)</f>
        <v>6.7000000000000002E-3</v>
      </c>
      <c r="H1936" s="225">
        <f t="shared" si="30"/>
        <v>7106.65</v>
      </c>
    </row>
    <row r="1937" spans="1:8" x14ac:dyDescent="0.3">
      <c r="A1937" s="400"/>
      <c r="B1937" s="709">
        <v>5829</v>
      </c>
      <c r="C1937" s="710" t="s">
        <v>2063</v>
      </c>
      <c r="D1937" s="709" t="s">
        <v>1689</v>
      </c>
      <c r="E1937" s="716">
        <v>194.48</v>
      </c>
      <c r="F1937" s="717">
        <v>0.22409999999999999</v>
      </c>
      <c r="G1937">
        <f>VLOOKUP(B1937,'SINAPI-%MO'!B:E,4,0)</f>
        <v>0.77590000000000003</v>
      </c>
      <c r="H1937" s="225">
        <f t="shared" si="30"/>
        <v>43.58</v>
      </c>
    </row>
    <row r="1938" spans="1:8" x14ac:dyDescent="0.3">
      <c r="A1938" s="400"/>
      <c r="B1938" s="709">
        <v>5823</v>
      </c>
      <c r="C1938" s="710" t="s">
        <v>2064</v>
      </c>
      <c r="D1938" s="709" t="s">
        <v>230</v>
      </c>
      <c r="E1938" s="716">
        <v>255.91</v>
      </c>
      <c r="F1938" s="717">
        <v>0.31269999999999998</v>
      </c>
      <c r="G1938">
        <f>VLOOKUP(B1938,'SINAPI-%MO'!B:E,4,0)</f>
        <v>0.5897</v>
      </c>
      <c r="H1938" s="225">
        <f t="shared" si="30"/>
        <v>104.99</v>
      </c>
    </row>
    <row r="1939" spans="1:8" x14ac:dyDescent="0.3">
      <c r="A1939" s="400"/>
      <c r="B1939" s="709">
        <v>106095</v>
      </c>
      <c r="C1939" s="710" t="s">
        <v>2065</v>
      </c>
      <c r="D1939" s="709" t="s">
        <v>1689</v>
      </c>
      <c r="E1939" s="716">
        <v>112.48</v>
      </c>
      <c r="F1939" s="717">
        <v>0.36409999999999998</v>
      </c>
      <c r="G1939">
        <f>VLOOKUP(B1939,'SINAPI-%MO'!B:E,4,0)</f>
        <v>0.25119999999999998</v>
      </c>
      <c r="H1939" s="225">
        <f t="shared" si="30"/>
        <v>84.22</v>
      </c>
    </row>
    <row r="1940" spans="1:8" x14ac:dyDescent="0.3">
      <c r="A1940" s="400"/>
      <c r="B1940" s="709">
        <v>106094</v>
      </c>
      <c r="C1940" s="710" t="s">
        <v>2066</v>
      </c>
      <c r="D1940" s="709" t="s">
        <v>230</v>
      </c>
      <c r="E1940" s="716">
        <v>348.39</v>
      </c>
      <c r="F1940" s="717">
        <v>0.25729999999999997</v>
      </c>
      <c r="G1940">
        <f>VLOOKUP(B1940,'SINAPI-%MO'!B:E,4,0)</f>
        <v>8.1100000000000005E-2</v>
      </c>
      <c r="H1940" s="225">
        <f t="shared" si="30"/>
        <v>320.13</v>
      </c>
    </row>
    <row r="1941" spans="1:8" x14ac:dyDescent="0.3">
      <c r="A1941" s="400"/>
      <c r="B1941" s="709">
        <v>100642</v>
      </c>
      <c r="C1941" s="710" t="s">
        <v>2067</v>
      </c>
      <c r="D1941" s="709" t="s">
        <v>1689</v>
      </c>
      <c r="E1941" s="716">
        <v>328.3</v>
      </c>
      <c r="F1941" s="717">
        <v>0.8548</v>
      </c>
      <c r="G1941">
        <f>VLOOKUP(B1941,'SINAPI-%MO'!B:E,4,0)</f>
        <v>0.1452</v>
      </c>
      <c r="H1941" s="225">
        <f t="shared" si="30"/>
        <v>280.63</v>
      </c>
    </row>
    <row r="1942" spans="1:8" x14ac:dyDescent="0.3">
      <c r="A1942" s="400"/>
      <c r="B1942" s="709">
        <v>100641</v>
      </c>
      <c r="C1942" s="710" t="s">
        <v>2068</v>
      </c>
      <c r="D1942" s="709" t="s">
        <v>230</v>
      </c>
      <c r="E1942" s="716">
        <v>5240.83</v>
      </c>
      <c r="F1942" s="717">
        <v>0.1048</v>
      </c>
      <c r="G1942">
        <f>VLOOKUP(B1942,'SINAPI-%MO'!B:E,4,0)</f>
        <v>9.1000000000000004E-3</v>
      </c>
      <c r="H1942" s="225">
        <f t="shared" si="30"/>
        <v>5193.13</v>
      </c>
    </row>
    <row r="1943" spans="1:8" x14ac:dyDescent="0.3">
      <c r="A1943" s="400"/>
      <c r="B1943" s="709">
        <v>93434</v>
      </c>
      <c r="C1943" s="710" t="s">
        <v>2069</v>
      </c>
      <c r="D1943" s="709" t="s">
        <v>1689</v>
      </c>
      <c r="E1943" s="716">
        <v>379.38</v>
      </c>
      <c r="F1943" s="717">
        <v>0.60219999999999996</v>
      </c>
      <c r="G1943">
        <f>VLOOKUP(B1943,'SINAPI-%MO'!B:E,4,0)</f>
        <v>0.39779999999999999</v>
      </c>
      <c r="H1943" s="225">
        <f t="shared" si="30"/>
        <v>228.46</v>
      </c>
    </row>
    <row r="1944" spans="1:8" x14ac:dyDescent="0.3">
      <c r="A1944" s="400"/>
      <c r="B1944" s="709">
        <v>93433</v>
      </c>
      <c r="C1944" s="710" t="s">
        <v>2070</v>
      </c>
      <c r="D1944" s="709" t="s">
        <v>230</v>
      </c>
      <c r="E1944" s="716">
        <v>2920</v>
      </c>
      <c r="F1944" s="717">
        <v>0.15310000000000001</v>
      </c>
      <c r="G1944">
        <f>VLOOKUP(B1944,'SINAPI-%MO'!B:E,4,0)</f>
        <v>5.1700000000000003E-2</v>
      </c>
      <c r="H1944" s="225">
        <f t="shared" si="30"/>
        <v>2769.03</v>
      </c>
    </row>
    <row r="1945" spans="1:8" x14ac:dyDescent="0.3">
      <c r="A1945" s="400"/>
      <c r="B1945" s="709">
        <v>95122</v>
      </c>
      <c r="C1945" s="710" t="s">
        <v>2071</v>
      </c>
      <c r="D1945" s="709" t="s">
        <v>1689</v>
      </c>
      <c r="E1945" s="716">
        <v>255.77</v>
      </c>
      <c r="F1945" s="717">
        <v>0.41</v>
      </c>
      <c r="G1945">
        <f>VLOOKUP(B1945,'SINAPI-%MO'!B:E,4,0)</f>
        <v>0.59</v>
      </c>
      <c r="H1945" s="225">
        <f t="shared" si="30"/>
        <v>104.86</v>
      </c>
    </row>
    <row r="1946" spans="1:8" x14ac:dyDescent="0.3">
      <c r="A1946" s="400"/>
      <c r="B1946" s="709">
        <v>95121</v>
      </c>
      <c r="C1946" s="710" t="s">
        <v>2072</v>
      </c>
      <c r="D1946" s="709" t="s">
        <v>230</v>
      </c>
      <c r="E1946" s="716">
        <v>410.39</v>
      </c>
      <c r="F1946" s="717">
        <v>0.46920000000000001</v>
      </c>
      <c r="G1946">
        <f>VLOOKUP(B1946,'SINAPI-%MO'!B:E,4,0)</f>
        <v>0.36770000000000003</v>
      </c>
      <c r="H1946" s="225">
        <f t="shared" si="30"/>
        <v>259.48</v>
      </c>
    </row>
    <row r="1947" spans="1:8" x14ac:dyDescent="0.3">
      <c r="A1947" s="400"/>
      <c r="B1947" s="709">
        <v>103662</v>
      </c>
      <c r="C1947" s="710" t="s">
        <v>2073</v>
      </c>
      <c r="D1947" s="709" t="s">
        <v>1689</v>
      </c>
      <c r="E1947" s="716">
        <v>0</v>
      </c>
      <c r="F1947" s="717"/>
      <c r="G1947" t="e">
        <f>VLOOKUP(B1947,'SINAPI-%MO'!B:E,4,0)</f>
        <v>#N/A</v>
      </c>
      <c r="H1947" s="225" t="str">
        <f t="shared" si="30"/>
        <v/>
      </c>
    </row>
    <row r="1948" spans="1:8" x14ac:dyDescent="0.3">
      <c r="A1948" s="400"/>
      <c r="B1948" s="709">
        <v>103661</v>
      </c>
      <c r="C1948" s="710" t="s">
        <v>2074</v>
      </c>
      <c r="D1948" s="709" t="s">
        <v>230</v>
      </c>
      <c r="E1948" s="716">
        <v>0</v>
      </c>
      <c r="F1948" s="717"/>
      <c r="G1948" t="e">
        <f>VLOOKUP(B1948,'SINAPI-%MO'!B:E,4,0)</f>
        <v>#N/A</v>
      </c>
      <c r="H1948" s="225" t="str">
        <f t="shared" si="30"/>
        <v/>
      </c>
    </row>
    <row r="1949" spans="1:8" x14ac:dyDescent="0.3">
      <c r="A1949" s="400"/>
      <c r="B1949" s="709">
        <v>5841</v>
      </c>
      <c r="C1949" s="710" t="s">
        <v>2075</v>
      </c>
      <c r="D1949" s="709" t="s">
        <v>1689</v>
      </c>
      <c r="E1949" s="716">
        <v>6.12</v>
      </c>
      <c r="F1949" s="717">
        <v>0</v>
      </c>
      <c r="G1949">
        <f>VLOOKUP(B1949,'SINAPI-%MO'!B:E,4,0)</f>
        <v>0</v>
      </c>
      <c r="H1949" s="225">
        <f t="shared" si="30"/>
        <v>6.12</v>
      </c>
    </row>
    <row r="1950" spans="1:8" x14ac:dyDescent="0.3">
      <c r="A1950" s="400"/>
      <c r="B1950" s="709">
        <v>5839</v>
      </c>
      <c r="C1950" s="710" t="s">
        <v>2076</v>
      </c>
      <c r="D1950" s="709" t="s">
        <v>230</v>
      </c>
      <c r="E1950" s="716">
        <v>12.18</v>
      </c>
      <c r="F1950" s="717">
        <v>0</v>
      </c>
      <c r="G1950">
        <f>VLOOKUP(B1950,'SINAPI-%MO'!B:E,4,0)</f>
        <v>0</v>
      </c>
      <c r="H1950" s="225">
        <f t="shared" si="30"/>
        <v>12.18</v>
      </c>
    </row>
    <row r="1951" spans="1:8" x14ac:dyDescent="0.3">
      <c r="A1951" s="400"/>
      <c r="B1951" s="709">
        <v>90587</v>
      </c>
      <c r="C1951" s="710" t="s">
        <v>2077</v>
      </c>
      <c r="D1951" s="709" t="s">
        <v>1689</v>
      </c>
      <c r="E1951" s="716">
        <v>0.55000000000000004</v>
      </c>
      <c r="F1951" s="717">
        <v>0</v>
      </c>
      <c r="G1951">
        <f>VLOOKUP(B1951,'SINAPI-%MO'!B:E,4,0)</f>
        <v>0</v>
      </c>
      <c r="H1951" s="225">
        <f t="shared" si="30"/>
        <v>0.55000000000000004</v>
      </c>
    </row>
    <row r="1952" spans="1:8" x14ac:dyDescent="0.3">
      <c r="A1952" s="400"/>
      <c r="B1952" s="709">
        <v>90586</v>
      </c>
      <c r="C1952" s="710" t="s">
        <v>2078</v>
      </c>
      <c r="D1952" s="709" t="s">
        <v>230</v>
      </c>
      <c r="E1952" s="716">
        <v>1.44</v>
      </c>
      <c r="F1952" s="717">
        <v>0</v>
      </c>
      <c r="G1952">
        <f>VLOOKUP(B1952,'SINAPI-%MO'!B:E,4,0)</f>
        <v>0</v>
      </c>
      <c r="H1952" s="225">
        <f t="shared" si="30"/>
        <v>1.44</v>
      </c>
    </row>
    <row r="1953" spans="1:8" x14ac:dyDescent="0.3">
      <c r="A1953" s="400"/>
      <c r="B1953" s="709">
        <v>106392</v>
      </c>
      <c r="C1953" s="710" t="s">
        <v>13339</v>
      </c>
      <c r="D1953" s="709" t="s">
        <v>1689</v>
      </c>
      <c r="E1953" s="716">
        <v>135.19</v>
      </c>
      <c r="F1953" s="717">
        <v>0.7298</v>
      </c>
      <c r="G1953">
        <f>VLOOKUP(B1953,'SINAPI-%MO'!B:E,4,0)</f>
        <v>0.2702</v>
      </c>
      <c r="H1953" s="225">
        <f t="shared" si="30"/>
        <v>98.66</v>
      </c>
    </row>
    <row r="1954" spans="1:8" x14ac:dyDescent="0.3">
      <c r="A1954" s="400"/>
      <c r="B1954" s="709">
        <v>106389</v>
      </c>
      <c r="C1954" s="710" t="s">
        <v>13340</v>
      </c>
      <c r="D1954" s="709" t="s">
        <v>230</v>
      </c>
      <c r="E1954" s="716">
        <v>353</v>
      </c>
      <c r="F1954" s="717">
        <v>0.61170000000000002</v>
      </c>
      <c r="G1954">
        <f>VLOOKUP(B1954,'SINAPI-%MO'!B:E,4,0)</f>
        <v>0.10349999999999999</v>
      </c>
      <c r="H1954" s="225">
        <f t="shared" si="30"/>
        <v>316.45999999999998</v>
      </c>
    </row>
    <row r="1955" spans="1:8" x14ac:dyDescent="0.3">
      <c r="A1955" s="400"/>
      <c r="B1955" s="709">
        <v>106391</v>
      </c>
      <c r="C1955" s="710" t="s">
        <v>13341</v>
      </c>
      <c r="D1955" s="709" t="s">
        <v>1689</v>
      </c>
      <c r="E1955" s="716">
        <v>269.2</v>
      </c>
      <c r="F1955" s="717">
        <v>0.86429999999999996</v>
      </c>
      <c r="G1955">
        <f>VLOOKUP(B1955,'SINAPI-%MO'!B:E,4,0)</f>
        <v>0.13569999999999999</v>
      </c>
      <c r="H1955" s="225">
        <f t="shared" si="30"/>
        <v>232.66</v>
      </c>
    </row>
    <row r="1956" spans="1:8" x14ac:dyDescent="0.3">
      <c r="A1956" s="400"/>
      <c r="B1956" s="709">
        <v>106388</v>
      </c>
      <c r="C1956" s="710" t="s">
        <v>13342</v>
      </c>
      <c r="D1956" s="709" t="s">
        <v>230</v>
      </c>
      <c r="E1956" s="716">
        <v>668.23</v>
      </c>
      <c r="F1956" s="717">
        <v>0.76200000000000001</v>
      </c>
      <c r="G1956">
        <f>VLOOKUP(B1956,'SINAPI-%MO'!B:E,4,0)</f>
        <v>5.4699999999999999E-2</v>
      </c>
      <c r="H1956" s="225">
        <f t="shared" si="30"/>
        <v>631.66999999999996</v>
      </c>
    </row>
    <row r="1957" spans="1:8" x14ac:dyDescent="0.3">
      <c r="A1957" s="400"/>
      <c r="B1957" s="709">
        <v>5837</v>
      </c>
      <c r="C1957" s="710" t="s">
        <v>2079</v>
      </c>
      <c r="D1957" s="709" t="s">
        <v>1689</v>
      </c>
      <c r="E1957" s="716">
        <v>156.06</v>
      </c>
      <c r="F1957" s="717">
        <v>0.76590000000000003</v>
      </c>
      <c r="G1957">
        <f>VLOOKUP(B1957,'SINAPI-%MO'!B:E,4,0)</f>
        <v>0.2341</v>
      </c>
      <c r="H1957" s="225">
        <f t="shared" si="30"/>
        <v>119.52</v>
      </c>
    </row>
    <row r="1958" spans="1:8" x14ac:dyDescent="0.3">
      <c r="A1958" s="400"/>
      <c r="B1958" s="709">
        <v>5835</v>
      </c>
      <c r="C1958" s="710" t="s">
        <v>2080</v>
      </c>
      <c r="D1958" s="709" t="s">
        <v>230</v>
      </c>
      <c r="E1958" s="716">
        <v>394.1</v>
      </c>
      <c r="F1958" s="717">
        <v>0.66379999999999995</v>
      </c>
      <c r="G1958">
        <f>VLOOKUP(B1958,'SINAPI-%MO'!B:E,4,0)</f>
        <v>9.2700000000000005E-2</v>
      </c>
      <c r="H1958" s="225">
        <f t="shared" si="30"/>
        <v>357.56</v>
      </c>
    </row>
    <row r="1959" spans="1:8" x14ac:dyDescent="0.3">
      <c r="A1959" s="400"/>
      <c r="B1959" s="709">
        <v>89257</v>
      </c>
      <c r="C1959" s="710" t="s">
        <v>2081</v>
      </c>
      <c r="D1959" s="709" t="s">
        <v>230</v>
      </c>
      <c r="E1959" s="716">
        <v>342.29</v>
      </c>
      <c r="F1959" s="717">
        <v>0.62629999999999997</v>
      </c>
      <c r="G1959">
        <f>VLOOKUP(B1959,'SINAPI-%MO'!B:E,4,0)</f>
        <v>0.1067</v>
      </c>
      <c r="H1959" s="225">
        <f t="shared" si="30"/>
        <v>305.76</v>
      </c>
    </row>
    <row r="1960" spans="1:8" x14ac:dyDescent="0.3">
      <c r="A1960" s="400"/>
      <c r="B1960" s="709">
        <v>89258</v>
      </c>
      <c r="C1960" s="710" t="s">
        <v>2082</v>
      </c>
      <c r="D1960" s="709" t="s">
        <v>1689</v>
      </c>
      <c r="E1960" s="716">
        <v>134.47999999999999</v>
      </c>
      <c r="F1960" s="717">
        <v>0.72840000000000005</v>
      </c>
      <c r="G1960">
        <f>VLOOKUP(B1960,'SINAPI-%MO'!B:E,4,0)</f>
        <v>0.27160000000000001</v>
      </c>
      <c r="H1960" s="225">
        <f t="shared" si="30"/>
        <v>97.95</v>
      </c>
    </row>
    <row r="1961" spans="1:8" x14ac:dyDescent="0.3">
      <c r="A1961" s="400"/>
      <c r="B1961" s="709">
        <v>106393</v>
      </c>
      <c r="C1961" s="710" t="s">
        <v>13343</v>
      </c>
      <c r="D1961" s="709" t="s">
        <v>1689</v>
      </c>
      <c r="E1961" s="716">
        <v>153.59</v>
      </c>
      <c r="F1961" s="717">
        <v>0.76219999999999999</v>
      </c>
      <c r="G1961">
        <f>VLOOKUP(B1961,'SINAPI-%MO'!B:E,4,0)</f>
        <v>0.23780000000000001</v>
      </c>
      <c r="H1961" s="225">
        <f t="shared" si="30"/>
        <v>117.06</v>
      </c>
    </row>
    <row r="1962" spans="1:8" x14ac:dyDescent="0.3">
      <c r="A1962" s="400"/>
      <c r="B1962" s="709">
        <v>106390</v>
      </c>
      <c r="C1962" s="710" t="s">
        <v>13344</v>
      </c>
      <c r="D1962" s="709" t="s">
        <v>230</v>
      </c>
      <c r="E1962" s="716">
        <v>375.43</v>
      </c>
      <c r="F1962" s="717">
        <v>0.64710000000000001</v>
      </c>
      <c r="G1962">
        <f>VLOOKUP(B1962,'SINAPI-%MO'!B:E,4,0)</f>
        <v>9.7299999999999998E-2</v>
      </c>
      <c r="H1962" s="225">
        <f t="shared" si="30"/>
        <v>338.9</v>
      </c>
    </row>
    <row r="1963" spans="1:8" x14ac:dyDescent="0.3">
      <c r="A1963" s="400"/>
      <c r="B1963" s="709">
        <v>97621</v>
      </c>
      <c r="C1963" s="710" t="s">
        <v>2083</v>
      </c>
      <c r="D1963" s="709" t="s">
        <v>170</v>
      </c>
      <c r="E1963" s="716">
        <v>138.86000000000001</v>
      </c>
      <c r="F1963" s="717">
        <v>0</v>
      </c>
      <c r="G1963">
        <f>VLOOKUP(B1963,'SINAPI-%MO'!B:E,4,0)</f>
        <v>1</v>
      </c>
      <c r="H1963" s="225">
        <f t="shared" si="30"/>
        <v>0</v>
      </c>
    </row>
    <row r="1964" spans="1:8" x14ac:dyDescent="0.3">
      <c r="A1964" s="400"/>
      <c r="B1964" s="709">
        <v>97622</v>
      </c>
      <c r="C1964" s="710" t="s">
        <v>2084</v>
      </c>
      <c r="D1964" s="709" t="s">
        <v>170</v>
      </c>
      <c r="E1964" s="716">
        <v>67.680000000000007</v>
      </c>
      <c r="F1964" s="717">
        <v>0</v>
      </c>
      <c r="G1964">
        <f>VLOOKUP(B1964,'SINAPI-%MO'!B:E,4,0)</f>
        <v>1</v>
      </c>
      <c r="H1964" s="225">
        <f t="shared" si="30"/>
        <v>0</v>
      </c>
    </row>
    <row r="1965" spans="1:8" x14ac:dyDescent="0.3">
      <c r="A1965" s="400"/>
      <c r="B1965" s="709">
        <v>97623</v>
      </c>
      <c r="C1965" s="710" t="s">
        <v>2085</v>
      </c>
      <c r="D1965" s="709" t="s">
        <v>170</v>
      </c>
      <c r="E1965" s="716">
        <v>207.32</v>
      </c>
      <c r="F1965" s="717">
        <v>0</v>
      </c>
      <c r="G1965">
        <f>VLOOKUP(B1965,'SINAPI-%MO'!B:E,4,0)</f>
        <v>1</v>
      </c>
      <c r="H1965" s="225">
        <f t="shared" si="30"/>
        <v>0</v>
      </c>
    </row>
    <row r="1966" spans="1:8" x14ac:dyDescent="0.3">
      <c r="A1966" s="400"/>
      <c r="B1966" s="709">
        <v>97624</v>
      </c>
      <c r="C1966" s="710" t="s">
        <v>288</v>
      </c>
      <c r="D1966" s="709" t="s">
        <v>170</v>
      </c>
      <c r="E1966" s="716">
        <v>127.24</v>
      </c>
      <c r="F1966" s="717">
        <v>0</v>
      </c>
      <c r="G1966">
        <f>VLOOKUP(B1966,'SINAPI-%MO'!B:E,4,0)</f>
        <v>1</v>
      </c>
      <c r="H1966" s="225">
        <f t="shared" si="30"/>
        <v>0</v>
      </c>
    </row>
    <row r="1967" spans="1:8" x14ac:dyDescent="0.3">
      <c r="A1967" s="400"/>
      <c r="B1967" s="709">
        <v>97625</v>
      </c>
      <c r="C1967" s="710" t="s">
        <v>2086</v>
      </c>
      <c r="D1967" s="709" t="s">
        <v>170</v>
      </c>
      <c r="E1967" s="716">
        <v>56.24</v>
      </c>
      <c r="F1967" s="717">
        <v>0</v>
      </c>
      <c r="G1967">
        <f>VLOOKUP(B1967,'SINAPI-%MO'!B:E,4,0)</f>
        <v>0.24629999999999999</v>
      </c>
      <c r="H1967" s="225">
        <f t="shared" si="30"/>
        <v>42.38</v>
      </c>
    </row>
    <row r="1968" spans="1:8" x14ac:dyDescent="0.3">
      <c r="A1968" s="400"/>
      <c r="B1968" s="709">
        <v>104791</v>
      </c>
      <c r="C1968" s="710" t="s">
        <v>2087</v>
      </c>
      <c r="D1968" s="709" t="s">
        <v>168</v>
      </c>
      <c r="E1968" s="716">
        <v>7.49</v>
      </c>
      <c r="F1968" s="717">
        <v>0</v>
      </c>
      <c r="G1968">
        <f>VLOOKUP(B1968,'SINAPI-%MO'!B:E,4,0)</f>
        <v>0.9506</v>
      </c>
      <c r="H1968" s="225">
        <f t="shared" si="30"/>
        <v>0.37</v>
      </c>
    </row>
    <row r="1969" spans="1:8" x14ac:dyDescent="0.3">
      <c r="A1969" s="400"/>
      <c r="B1969" s="709">
        <v>97631</v>
      </c>
      <c r="C1969" s="710" t="s">
        <v>2088</v>
      </c>
      <c r="D1969" s="709" t="s">
        <v>168</v>
      </c>
      <c r="E1969" s="716">
        <v>13.57</v>
      </c>
      <c r="F1969" s="717">
        <v>0</v>
      </c>
      <c r="G1969">
        <f>VLOOKUP(B1969,'SINAPI-%MO'!B:E,4,0)</f>
        <v>1</v>
      </c>
      <c r="H1969" s="225">
        <f t="shared" si="30"/>
        <v>0</v>
      </c>
    </row>
    <row r="1970" spans="1:8" x14ac:dyDescent="0.3">
      <c r="A1970" s="400"/>
      <c r="B1970" s="709">
        <v>97630</v>
      </c>
      <c r="C1970" s="710" t="s">
        <v>2089</v>
      </c>
      <c r="D1970" s="709" t="s">
        <v>170</v>
      </c>
      <c r="E1970" s="716">
        <v>0</v>
      </c>
      <c r="F1970" s="717"/>
      <c r="G1970" t="e">
        <f>VLOOKUP(B1970,'SINAPI-%MO'!B:E,4,0)</f>
        <v>#N/A</v>
      </c>
      <c r="H1970" s="225" t="str">
        <f t="shared" si="30"/>
        <v/>
      </c>
    </row>
    <row r="1971" spans="1:8" x14ac:dyDescent="0.3">
      <c r="A1971" s="400"/>
      <c r="B1971" s="709">
        <v>104796</v>
      </c>
      <c r="C1971" s="710" t="s">
        <v>294</v>
      </c>
      <c r="D1971" s="709" t="s">
        <v>159</v>
      </c>
      <c r="E1971" s="716">
        <v>15.84</v>
      </c>
      <c r="F1971" s="717">
        <v>0.1351</v>
      </c>
      <c r="G1971">
        <f>VLOOKUP(B1971,'SINAPI-%MO'!B:E,4,0)</f>
        <v>0.76700000000000002</v>
      </c>
      <c r="H1971" s="225">
        <f t="shared" si="30"/>
        <v>3.69</v>
      </c>
    </row>
    <row r="1972" spans="1:8" x14ac:dyDescent="0.3">
      <c r="A1972" s="400"/>
      <c r="B1972" s="709">
        <v>97628</v>
      </c>
      <c r="C1972" s="710" t="s">
        <v>2090</v>
      </c>
      <c r="D1972" s="709" t="s">
        <v>170</v>
      </c>
      <c r="E1972" s="716">
        <v>316.77999999999997</v>
      </c>
      <c r="F1972" s="717">
        <v>0</v>
      </c>
      <c r="G1972">
        <f>VLOOKUP(B1972,'SINAPI-%MO'!B:E,4,0)</f>
        <v>1</v>
      </c>
      <c r="H1972" s="225">
        <f t="shared" si="30"/>
        <v>0</v>
      </c>
    </row>
    <row r="1973" spans="1:8" x14ac:dyDescent="0.3">
      <c r="A1973" s="400"/>
      <c r="B1973" s="709">
        <v>97629</v>
      </c>
      <c r="C1973" s="710" t="s">
        <v>2091</v>
      </c>
      <c r="D1973" s="709" t="s">
        <v>170</v>
      </c>
      <c r="E1973" s="716">
        <v>106.11</v>
      </c>
      <c r="F1973" s="717">
        <v>0</v>
      </c>
      <c r="G1973">
        <f>VLOOKUP(B1973,'SINAPI-%MO'!B:E,4,0)</f>
        <v>0.93600000000000005</v>
      </c>
      <c r="H1973" s="225">
        <f t="shared" si="30"/>
        <v>6.79</v>
      </c>
    </row>
    <row r="1974" spans="1:8" x14ac:dyDescent="0.3">
      <c r="A1974" s="400"/>
      <c r="B1974" s="709">
        <v>97626</v>
      </c>
      <c r="C1974" s="710" t="s">
        <v>2092</v>
      </c>
      <c r="D1974" s="709" t="s">
        <v>170</v>
      </c>
      <c r="E1974" s="716">
        <v>680.16</v>
      </c>
      <c r="F1974" s="717">
        <v>0</v>
      </c>
      <c r="G1974">
        <f>VLOOKUP(B1974,'SINAPI-%MO'!B:E,4,0)</f>
        <v>1</v>
      </c>
      <c r="H1974" s="225">
        <f t="shared" si="30"/>
        <v>0</v>
      </c>
    </row>
    <row r="1975" spans="1:8" x14ac:dyDescent="0.3">
      <c r="A1975" s="400"/>
      <c r="B1975" s="709">
        <v>97627</v>
      </c>
      <c r="C1975" s="710" t="s">
        <v>2093</v>
      </c>
      <c r="D1975" s="709" t="s">
        <v>170</v>
      </c>
      <c r="E1975" s="716">
        <v>227.84</v>
      </c>
      <c r="F1975" s="717">
        <v>0</v>
      </c>
      <c r="G1975">
        <f>VLOOKUP(B1975,'SINAPI-%MO'!B:E,4,0)</f>
        <v>0.93610000000000004</v>
      </c>
      <c r="H1975" s="225">
        <f t="shared" si="30"/>
        <v>14.55</v>
      </c>
    </row>
    <row r="1976" spans="1:8" x14ac:dyDescent="0.3">
      <c r="A1976" s="400"/>
      <c r="B1976" s="709">
        <v>104789</v>
      </c>
      <c r="C1976" s="710" t="s">
        <v>278</v>
      </c>
      <c r="D1976" s="709" t="s">
        <v>170</v>
      </c>
      <c r="E1976" s="716">
        <v>238.18</v>
      </c>
      <c r="F1976" s="717">
        <v>0</v>
      </c>
      <c r="G1976">
        <f>VLOOKUP(B1976,'SINAPI-%MO'!B:E,4,0)</f>
        <v>1</v>
      </c>
      <c r="H1976" s="225">
        <f t="shared" si="30"/>
        <v>0</v>
      </c>
    </row>
    <row r="1977" spans="1:8" x14ac:dyDescent="0.3">
      <c r="A1977" s="400"/>
      <c r="B1977" s="709">
        <v>104790</v>
      </c>
      <c r="C1977" s="710" t="s">
        <v>2094</v>
      </c>
      <c r="D1977" s="709" t="s">
        <v>170</v>
      </c>
      <c r="E1977" s="716">
        <v>122.6</v>
      </c>
      <c r="F1977" s="717">
        <v>0.2271</v>
      </c>
      <c r="G1977">
        <f>VLOOKUP(B1977,'SINAPI-%MO'!B:E,4,0)</f>
        <v>0.6089</v>
      </c>
      <c r="H1977" s="225">
        <f t="shared" si="30"/>
        <v>47.94</v>
      </c>
    </row>
    <row r="1978" spans="1:8" x14ac:dyDescent="0.3">
      <c r="A1978" s="400"/>
      <c r="B1978" s="709">
        <v>97633</v>
      </c>
      <c r="C1978" s="710" t="s">
        <v>290</v>
      </c>
      <c r="D1978" s="709" t="s">
        <v>168</v>
      </c>
      <c r="E1978" s="716">
        <v>27.09</v>
      </c>
      <c r="F1978" s="717">
        <v>0</v>
      </c>
      <c r="G1978">
        <f>VLOOKUP(B1978,'SINAPI-%MO'!B:E,4,0)</f>
        <v>1</v>
      </c>
      <c r="H1978" s="225">
        <f t="shared" si="30"/>
        <v>0</v>
      </c>
    </row>
    <row r="1979" spans="1:8" x14ac:dyDescent="0.3">
      <c r="A1979" s="400"/>
      <c r="B1979" s="709">
        <v>97634</v>
      </c>
      <c r="C1979" s="710" t="s">
        <v>2095</v>
      </c>
      <c r="D1979" s="709" t="s">
        <v>168</v>
      </c>
      <c r="E1979" s="716">
        <v>8.36</v>
      </c>
      <c r="F1979" s="717">
        <v>0</v>
      </c>
      <c r="G1979">
        <f>VLOOKUP(B1979,'SINAPI-%MO'!B:E,4,0)</f>
        <v>0.95809999999999995</v>
      </c>
      <c r="H1979" s="225">
        <f t="shared" si="30"/>
        <v>0.35</v>
      </c>
    </row>
    <row r="1980" spans="1:8" x14ac:dyDescent="0.3">
      <c r="A1980" s="400"/>
      <c r="B1980" s="709">
        <v>97632</v>
      </c>
      <c r="C1980" s="710" t="s">
        <v>2096</v>
      </c>
      <c r="D1980" s="709" t="s">
        <v>159</v>
      </c>
      <c r="E1980" s="716">
        <v>3.1</v>
      </c>
      <c r="F1980" s="717">
        <v>0</v>
      </c>
      <c r="G1980">
        <f>VLOOKUP(B1980,'SINAPI-%MO'!B:E,4,0)</f>
        <v>1</v>
      </c>
      <c r="H1980" s="225">
        <f t="shared" si="30"/>
        <v>0</v>
      </c>
    </row>
    <row r="1981" spans="1:8" x14ac:dyDescent="0.3">
      <c r="A1981" s="400"/>
      <c r="B1981" s="709">
        <v>97636</v>
      </c>
      <c r="C1981" s="710" t="s">
        <v>2097</v>
      </c>
      <c r="D1981" s="709" t="s">
        <v>168</v>
      </c>
      <c r="E1981" s="716">
        <v>23.41</v>
      </c>
      <c r="F1981" s="717">
        <v>0</v>
      </c>
      <c r="G1981">
        <f>VLOOKUP(B1981,'SINAPI-%MO'!B:E,4,0)</f>
        <v>0.49809999999999999</v>
      </c>
      <c r="H1981" s="225">
        <f t="shared" si="30"/>
        <v>11.74</v>
      </c>
    </row>
    <row r="1982" spans="1:8" x14ac:dyDescent="0.3">
      <c r="A1982" s="400"/>
      <c r="B1982" s="709">
        <v>104797</v>
      </c>
      <c r="C1982" s="710" t="s">
        <v>281</v>
      </c>
      <c r="D1982" s="709" t="s">
        <v>159</v>
      </c>
      <c r="E1982" s="716">
        <v>19.82</v>
      </c>
      <c r="F1982" s="717">
        <v>0.13519999999999999</v>
      </c>
      <c r="G1982">
        <f>VLOOKUP(B1982,'SINAPI-%MO'!B:E,4,0)</f>
        <v>0.76690000000000003</v>
      </c>
      <c r="H1982" s="225">
        <f t="shared" si="30"/>
        <v>4.62</v>
      </c>
    </row>
    <row r="1983" spans="1:8" x14ac:dyDescent="0.3">
      <c r="A1983" s="400"/>
      <c r="B1983" s="709">
        <v>104803</v>
      </c>
      <c r="C1983" s="710" t="s">
        <v>2098</v>
      </c>
      <c r="D1983" s="709" t="s">
        <v>159</v>
      </c>
      <c r="E1983" s="716">
        <v>5.35</v>
      </c>
      <c r="F1983" s="717">
        <v>0</v>
      </c>
      <c r="G1983">
        <f>VLOOKUP(B1983,'SINAPI-%MO'!B:E,4,0)</f>
        <v>1</v>
      </c>
      <c r="H1983" s="225">
        <f t="shared" si="30"/>
        <v>0</v>
      </c>
    </row>
    <row r="1984" spans="1:8" x14ac:dyDescent="0.3">
      <c r="A1984" s="400"/>
      <c r="B1984" s="709">
        <v>97664</v>
      </c>
      <c r="C1984" s="710" t="s">
        <v>2099</v>
      </c>
      <c r="D1984" s="709" t="s">
        <v>136</v>
      </c>
      <c r="E1984" s="716">
        <v>1.87</v>
      </c>
      <c r="F1984" s="717">
        <v>0</v>
      </c>
      <c r="G1984">
        <f>VLOOKUP(B1984,'SINAPI-%MO'!B:E,4,0)</f>
        <v>1</v>
      </c>
      <c r="H1984" s="225">
        <f t="shared" si="30"/>
        <v>0</v>
      </c>
    </row>
    <row r="1985" spans="1:8" x14ac:dyDescent="0.3">
      <c r="A1985" s="400"/>
      <c r="B1985" s="709">
        <v>104801</v>
      </c>
      <c r="C1985" s="710" t="s">
        <v>2100</v>
      </c>
      <c r="D1985" s="709" t="s">
        <v>168</v>
      </c>
      <c r="E1985" s="716">
        <v>16.559999999999999</v>
      </c>
      <c r="F1985" s="717">
        <v>0</v>
      </c>
      <c r="G1985">
        <f>VLOOKUP(B1985,'SINAPI-%MO'!B:E,4,0)</f>
        <v>1</v>
      </c>
      <c r="H1985" s="225">
        <f t="shared" si="30"/>
        <v>0</v>
      </c>
    </row>
    <row r="1986" spans="1:8" x14ac:dyDescent="0.3">
      <c r="A1986" s="400"/>
      <c r="B1986" s="709">
        <v>97661</v>
      </c>
      <c r="C1986" s="710" t="s">
        <v>2101</v>
      </c>
      <c r="D1986" s="709" t="s">
        <v>159</v>
      </c>
      <c r="E1986" s="716">
        <v>0.84</v>
      </c>
      <c r="F1986" s="717">
        <v>0</v>
      </c>
      <c r="G1986">
        <f>VLOOKUP(B1986,'SINAPI-%MO'!B:E,4,0)</f>
        <v>1</v>
      </c>
      <c r="H1986" s="225">
        <f t="shared" si="30"/>
        <v>0</v>
      </c>
    </row>
    <row r="1987" spans="1:8" x14ac:dyDescent="0.3">
      <c r="A1987" s="400"/>
      <c r="B1987" s="709">
        <v>104794</v>
      </c>
      <c r="C1987" s="710" t="s">
        <v>2102</v>
      </c>
      <c r="D1987" s="709" t="s">
        <v>159</v>
      </c>
      <c r="E1987" s="716">
        <v>1.1499999999999999</v>
      </c>
      <c r="F1987" s="717">
        <v>0</v>
      </c>
      <c r="G1987">
        <f>VLOOKUP(B1987,'SINAPI-%MO'!B:E,4,0)</f>
        <v>1</v>
      </c>
      <c r="H1987" s="225">
        <f t="shared" si="30"/>
        <v>0</v>
      </c>
    </row>
    <row r="1988" spans="1:8" x14ac:dyDescent="0.3">
      <c r="A1988" s="400"/>
      <c r="B1988" s="709">
        <v>104795</v>
      </c>
      <c r="C1988" s="710" t="s">
        <v>2103</v>
      </c>
      <c r="D1988" s="709" t="s">
        <v>159</v>
      </c>
      <c r="E1988" s="716">
        <v>1.61</v>
      </c>
      <c r="F1988" s="717">
        <v>0</v>
      </c>
      <c r="G1988">
        <f>VLOOKUP(B1988,'SINAPI-%MO'!B:E,4,0)</f>
        <v>1</v>
      </c>
      <c r="H1988" s="225">
        <f t="shared" si="30"/>
        <v>0</v>
      </c>
    </row>
    <row r="1989" spans="1:8" x14ac:dyDescent="0.3">
      <c r="A1989" s="400"/>
      <c r="B1989" s="709">
        <v>104792</v>
      </c>
      <c r="C1989" s="710" t="s">
        <v>2104</v>
      </c>
      <c r="D1989" s="709" t="s">
        <v>159</v>
      </c>
      <c r="E1989" s="716">
        <v>0.47</v>
      </c>
      <c r="F1989" s="717">
        <v>0</v>
      </c>
      <c r="G1989">
        <f>VLOOKUP(B1989,'SINAPI-%MO'!B:E,4,0)</f>
        <v>1</v>
      </c>
      <c r="H1989" s="225">
        <f t="shared" si="30"/>
        <v>0</v>
      </c>
    </row>
    <row r="1990" spans="1:8" x14ac:dyDescent="0.3">
      <c r="A1990" s="400"/>
      <c r="B1990" s="709">
        <v>104793</v>
      </c>
      <c r="C1990" s="710" t="s">
        <v>2105</v>
      </c>
      <c r="D1990" s="709" t="s">
        <v>159</v>
      </c>
      <c r="E1990" s="716">
        <v>0.64</v>
      </c>
      <c r="F1990" s="717">
        <v>0</v>
      </c>
      <c r="G1990">
        <f>VLOOKUP(B1990,'SINAPI-%MO'!B:E,4,0)</f>
        <v>1</v>
      </c>
      <c r="H1990" s="225">
        <f t="shared" si="30"/>
        <v>0</v>
      </c>
    </row>
    <row r="1991" spans="1:8" x14ac:dyDescent="0.3">
      <c r="A1991" s="400"/>
      <c r="B1991" s="709">
        <v>104800</v>
      </c>
      <c r="C1991" s="710" t="s">
        <v>2106</v>
      </c>
      <c r="D1991" s="709" t="s">
        <v>159</v>
      </c>
      <c r="E1991" s="716">
        <v>10.9</v>
      </c>
      <c r="F1991" s="717">
        <v>0</v>
      </c>
      <c r="G1991">
        <f>VLOOKUP(B1991,'SINAPI-%MO'!B:E,4,0)</f>
        <v>1</v>
      </c>
      <c r="H1991" s="225">
        <f t="shared" si="30"/>
        <v>0</v>
      </c>
    </row>
    <row r="1992" spans="1:8" x14ac:dyDescent="0.3">
      <c r="A1992" s="400"/>
      <c r="B1992" s="709">
        <v>97638</v>
      </c>
      <c r="C1992" s="710" t="s">
        <v>2107</v>
      </c>
      <c r="D1992" s="709" t="s">
        <v>168</v>
      </c>
      <c r="E1992" s="716">
        <v>9.98</v>
      </c>
      <c r="F1992" s="717">
        <v>0</v>
      </c>
      <c r="G1992">
        <f>VLOOKUP(B1992,'SINAPI-%MO'!B:E,4,0)</f>
        <v>1</v>
      </c>
      <c r="H1992" s="225">
        <f t="shared" si="30"/>
        <v>0</v>
      </c>
    </row>
    <row r="1993" spans="1:8" x14ac:dyDescent="0.3">
      <c r="A1993" s="400"/>
      <c r="B1993" s="709">
        <v>97641</v>
      </c>
      <c r="C1993" s="710" t="s">
        <v>2108</v>
      </c>
      <c r="D1993" s="709" t="s">
        <v>168</v>
      </c>
      <c r="E1993" s="716">
        <v>3.48</v>
      </c>
      <c r="F1993" s="717">
        <v>0</v>
      </c>
      <c r="G1993">
        <f>VLOOKUP(B1993,'SINAPI-%MO'!B:E,4,0)</f>
        <v>1</v>
      </c>
      <c r="H1993" s="225">
        <f t="shared" si="30"/>
        <v>0</v>
      </c>
    </row>
    <row r="1994" spans="1:8" x14ac:dyDescent="0.3">
      <c r="A1994" s="400"/>
      <c r="B1994" s="709">
        <v>97640</v>
      </c>
      <c r="C1994" s="710" t="s">
        <v>2109</v>
      </c>
      <c r="D1994" s="709" t="s">
        <v>168</v>
      </c>
      <c r="E1994" s="716">
        <v>2.3199999999999998</v>
      </c>
      <c r="F1994" s="717">
        <v>0</v>
      </c>
      <c r="G1994">
        <f>VLOOKUP(B1994,'SINAPI-%MO'!B:E,4,0)</f>
        <v>1</v>
      </c>
      <c r="H1994" s="225">
        <f t="shared" si="30"/>
        <v>0</v>
      </c>
    </row>
    <row r="1995" spans="1:8" x14ac:dyDescent="0.3">
      <c r="A1995" s="400"/>
      <c r="B1995" s="709">
        <v>97660</v>
      </c>
      <c r="C1995" s="710" t="s">
        <v>2110</v>
      </c>
      <c r="D1995" s="709" t="s">
        <v>136</v>
      </c>
      <c r="E1995" s="716">
        <v>0.79</v>
      </c>
      <c r="F1995" s="717">
        <v>0</v>
      </c>
      <c r="G1995">
        <f>VLOOKUP(B1995,'SINAPI-%MO'!B:E,4,0)</f>
        <v>1</v>
      </c>
      <c r="H1995" s="225">
        <f t="shared" ref="H1995:H2058" si="31">IF(E1995&gt;0,TRUNC(E1995*(1-G1995),2),"")</f>
        <v>0</v>
      </c>
    </row>
    <row r="1996" spans="1:8" x14ac:dyDescent="0.3">
      <c r="A1996" s="400"/>
      <c r="B1996" s="709">
        <v>97645</v>
      </c>
      <c r="C1996" s="710" t="s">
        <v>2111</v>
      </c>
      <c r="D1996" s="709" t="s">
        <v>168</v>
      </c>
      <c r="E1996" s="716">
        <v>29.21</v>
      </c>
      <c r="F1996" s="717">
        <v>0</v>
      </c>
      <c r="G1996">
        <f>VLOOKUP(B1996,'SINAPI-%MO'!B:E,4,0)</f>
        <v>1</v>
      </c>
      <c r="H1996" s="225">
        <f t="shared" si="31"/>
        <v>0</v>
      </c>
    </row>
    <row r="1997" spans="1:8" x14ac:dyDescent="0.3">
      <c r="A1997" s="400"/>
      <c r="B1997" s="709">
        <v>97663</v>
      </c>
      <c r="C1997" s="710" t="s">
        <v>2112</v>
      </c>
      <c r="D1997" s="709" t="s">
        <v>136</v>
      </c>
      <c r="E1997" s="716">
        <v>15.01</v>
      </c>
      <c r="F1997" s="717">
        <v>0</v>
      </c>
      <c r="G1997">
        <f>VLOOKUP(B1997,'SINAPI-%MO'!B:E,4,0)</f>
        <v>1</v>
      </c>
      <c r="H1997" s="225">
        <f t="shared" si="31"/>
        <v>0</v>
      </c>
    </row>
    <row r="1998" spans="1:8" x14ac:dyDescent="0.3">
      <c r="A1998" s="400"/>
      <c r="B1998" s="709">
        <v>97665</v>
      </c>
      <c r="C1998" s="710" t="s">
        <v>2113</v>
      </c>
      <c r="D1998" s="709" t="s">
        <v>136</v>
      </c>
      <c r="E1998" s="716">
        <v>2.14</v>
      </c>
      <c r="F1998" s="717">
        <v>0</v>
      </c>
      <c r="G1998">
        <f>VLOOKUP(B1998,'SINAPI-%MO'!B:E,4,0)</f>
        <v>1</v>
      </c>
      <c r="H1998" s="225">
        <f t="shared" si="31"/>
        <v>0</v>
      </c>
    </row>
    <row r="1999" spans="1:8" x14ac:dyDescent="0.3">
      <c r="A1999" s="400"/>
      <c r="B1999" s="709">
        <v>97666</v>
      </c>
      <c r="C1999" s="710" t="s">
        <v>2114</v>
      </c>
      <c r="D1999" s="709" t="s">
        <v>136</v>
      </c>
      <c r="E1999" s="716">
        <v>10.94</v>
      </c>
      <c r="F1999" s="717">
        <v>0</v>
      </c>
      <c r="G1999">
        <f>VLOOKUP(B1999,'SINAPI-%MO'!B:E,4,0)</f>
        <v>1</v>
      </c>
      <c r="H1999" s="225">
        <f t="shared" si="31"/>
        <v>0</v>
      </c>
    </row>
    <row r="2000" spans="1:8" x14ac:dyDescent="0.3">
      <c r="A2000" s="400"/>
      <c r="B2000" s="709">
        <v>97635</v>
      </c>
      <c r="C2000" s="710" t="s">
        <v>292</v>
      </c>
      <c r="D2000" s="709" t="s">
        <v>168</v>
      </c>
      <c r="E2000" s="716">
        <v>18.61</v>
      </c>
      <c r="F2000" s="717">
        <v>0</v>
      </c>
      <c r="G2000">
        <f>VLOOKUP(B2000,'SINAPI-%MO'!B:E,4,0)</f>
        <v>1</v>
      </c>
      <c r="H2000" s="225">
        <f t="shared" si="31"/>
        <v>0</v>
      </c>
    </row>
    <row r="2001" spans="1:8" x14ac:dyDescent="0.3">
      <c r="A2001" s="400"/>
      <c r="B2001" s="709">
        <v>97643</v>
      </c>
      <c r="C2001" s="710" t="s">
        <v>2115</v>
      </c>
      <c r="D2001" s="709" t="s">
        <v>168</v>
      </c>
      <c r="E2001" s="716">
        <v>29.89</v>
      </c>
      <c r="F2001" s="717">
        <v>0</v>
      </c>
      <c r="G2001">
        <f>VLOOKUP(B2001,'SINAPI-%MO'!B:E,4,0)</f>
        <v>1</v>
      </c>
      <c r="H2001" s="225">
        <f t="shared" si="31"/>
        <v>0</v>
      </c>
    </row>
    <row r="2002" spans="1:8" x14ac:dyDescent="0.3">
      <c r="A2002" s="400"/>
      <c r="B2002" s="709">
        <v>104799</v>
      </c>
      <c r="C2002" s="710" t="s">
        <v>2116</v>
      </c>
      <c r="D2002" s="709" t="s">
        <v>168</v>
      </c>
      <c r="E2002" s="716">
        <v>12.89</v>
      </c>
      <c r="F2002" s="717">
        <v>0</v>
      </c>
      <c r="G2002">
        <f>VLOOKUP(B2002,'SINAPI-%MO'!B:E,4,0)</f>
        <v>1</v>
      </c>
      <c r="H2002" s="225">
        <f t="shared" si="31"/>
        <v>0</v>
      </c>
    </row>
    <row r="2003" spans="1:8" x14ac:dyDescent="0.3">
      <c r="A2003" s="400"/>
      <c r="B2003" s="709">
        <v>97639</v>
      </c>
      <c r="C2003" s="710" t="s">
        <v>2117</v>
      </c>
      <c r="D2003" s="709" t="s">
        <v>168</v>
      </c>
      <c r="E2003" s="716">
        <v>24.42</v>
      </c>
      <c r="F2003" s="717">
        <v>0</v>
      </c>
      <c r="G2003">
        <f>VLOOKUP(B2003,'SINAPI-%MO'!B:E,4,0)</f>
        <v>1</v>
      </c>
      <c r="H2003" s="225">
        <f t="shared" si="31"/>
        <v>0</v>
      </c>
    </row>
    <row r="2004" spans="1:8" x14ac:dyDescent="0.3">
      <c r="A2004" s="400"/>
      <c r="B2004" s="709">
        <v>97644</v>
      </c>
      <c r="C2004" s="710" t="s">
        <v>2118</v>
      </c>
      <c r="D2004" s="709" t="s">
        <v>168</v>
      </c>
      <c r="E2004" s="716">
        <v>11.31</v>
      </c>
      <c r="F2004" s="717">
        <v>0</v>
      </c>
      <c r="G2004">
        <f>VLOOKUP(B2004,'SINAPI-%MO'!B:E,4,0)</f>
        <v>1</v>
      </c>
      <c r="H2004" s="225">
        <f t="shared" si="31"/>
        <v>0</v>
      </c>
    </row>
    <row r="2005" spans="1:8" x14ac:dyDescent="0.3">
      <c r="A2005" s="400"/>
      <c r="B2005" s="709">
        <v>97648</v>
      </c>
      <c r="C2005" s="710" t="s">
        <v>2119</v>
      </c>
      <c r="D2005" s="709" t="s">
        <v>168</v>
      </c>
      <c r="E2005" s="716">
        <v>2.41</v>
      </c>
      <c r="F2005" s="717">
        <v>0</v>
      </c>
      <c r="G2005">
        <f>VLOOKUP(B2005,'SINAPI-%MO'!B:E,4,0)</f>
        <v>1</v>
      </c>
      <c r="H2005" s="225">
        <f t="shared" si="31"/>
        <v>0</v>
      </c>
    </row>
    <row r="2006" spans="1:8" x14ac:dyDescent="0.3">
      <c r="A2006" s="400"/>
      <c r="B2006" s="709">
        <v>104798</v>
      </c>
      <c r="C2006" s="710" t="s">
        <v>2120</v>
      </c>
      <c r="D2006" s="709" t="s">
        <v>136</v>
      </c>
      <c r="E2006" s="716">
        <v>16.41</v>
      </c>
      <c r="F2006" s="717">
        <v>0</v>
      </c>
      <c r="G2006">
        <f>VLOOKUP(B2006,'SINAPI-%MO'!B:E,4,0)</f>
        <v>1</v>
      </c>
      <c r="H2006" s="225">
        <f t="shared" si="31"/>
        <v>0</v>
      </c>
    </row>
    <row r="2007" spans="1:8" x14ac:dyDescent="0.3">
      <c r="A2007" s="400"/>
      <c r="B2007" s="709">
        <v>97637</v>
      </c>
      <c r="C2007" s="710" t="s">
        <v>2121</v>
      </c>
      <c r="D2007" s="709" t="s">
        <v>168</v>
      </c>
      <c r="E2007" s="716">
        <v>3.43</v>
      </c>
      <c r="F2007" s="717">
        <v>0</v>
      </c>
      <c r="G2007">
        <f>VLOOKUP(B2007,'SINAPI-%MO'!B:E,4,0)</f>
        <v>1</v>
      </c>
      <c r="H2007" s="225">
        <f t="shared" si="31"/>
        <v>0</v>
      </c>
    </row>
    <row r="2008" spans="1:8" x14ac:dyDescent="0.3">
      <c r="A2008" s="400"/>
      <c r="B2008" s="709">
        <v>104802</v>
      </c>
      <c r="C2008" s="710" t="s">
        <v>2122</v>
      </c>
      <c r="D2008" s="709" t="s">
        <v>168</v>
      </c>
      <c r="E2008" s="716">
        <v>11.02</v>
      </c>
      <c r="F2008" s="717">
        <v>0</v>
      </c>
      <c r="G2008">
        <f>VLOOKUP(B2008,'SINAPI-%MO'!B:E,4,0)</f>
        <v>1</v>
      </c>
      <c r="H2008" s="225">
        <f t="shared" si="31"/>
        <v>0</v>
      </c>
    </row>
    <row r="2009" spans="1:8" x14ac:dyDescent="0.3">
      <c r="A2009" s="400"/>
      <c r="B2009" s="709">
        <v>97647</v>
      </c>
      <c r="C2009" s="710" t="s">
        <v>2123</v>
      </c>
      <c r="D2009" s="709" t="s">
        <v>168</v>
      </c>
      <c r="E2009" s="716">
        <v>4.2</v>
      </c>
      <c r="F2009" s="717">
        <v>0</v>
      </c>
      <c r="G2009">
        <f>VLOOKUP(B2009,'SINAPI-%MO'!B:E,4,0)</f>
        <v>1</v>
      </c>
      <c r="H2009" s="225">
        <f t="shared" si="31"/>
        <v>0</v>
      </c>
    </row>
    <row r="2010" spans="1:8" x14ac:dyDescent="0.3">
      <c r="A2010" s="400"/>
      <c r="B2010" s="709">
        <v>97649</v>
      </c>
      <c r="C2010" s="710" t="s">
        <v>2124</v>
      </c>
      <c r="D2010" s="709" t="s">
        <v>168</v>
      </c>
      <c r="E2010" s="716">
        <v>5.25</v>
      </c>
      <c r="F2010" s="717">
        <v>0</v>
      </c>
      <c r="G2010">
        <f>VLOOKUP(B2010,'SINAPI-%MO'!B:E,4,0)</f>
        <v>0.87809999999999999</v>
      </c>
      <c r="H2010" s="225">
        <f t="shared" si="31"/>
        <v>0.63</v>
      </c>
    </row>
    <row r="2011" spans="1:8" x14ac:dyDescent="0.3">
      <c r="A2011" s="400"/>
      <c r="B2011" s="709">
        <v>97652</v>
      </c>
      <c r="C2011" s="710" t="s">
        <v>2125</v>
      </c>
      <c r="D2011" s="709" t="s">
        <v>136</v>
      </c>
      <c r="E2011" s="716">
        <v>223.77</v>
      </c>
      <c r="F2011" s="717">
        <v>0</v>
      </c>
      <c r="G2011">
        <f>VLOOKUP(B2011,'SINAPI-%MO'!B:E,4,0)</f>
        <v>1</v>
      </c>
      <c r="H2011" s="225">
        <f t="shared" si="31"/>
        <v>0</v>
      </c>
    </row>
    <row r="2012" spans="1:8" x14ac:dyDescent="0.3">
      <c r="A2012" s="400"/>
      <c r="B2012" s="709">
        <v>97654</v>
      </c>
      <c r="C2012" s="710" t="s">
        <v>2126</v>
      </c>
      <c r="D2012" s="709" t="s">
        <v>136</v>
      </c>
      <c r="E2012" s="716">
        <v>196.41</v>
      </c>
      <c r="F2012" s="717">
        <v>0</v>
      </c>
      <c r="G2012">
        <f>VLOOKUP(B2012,'SINAPI-%MO'!B:E,4,0)</f>
        <v>0.50739999999999996</v>
      </c>
      <c r="H2012" s="225">
        <f t="shared" si="31"/>
        <v>96.75</v>
      </c>
    </row>
    <row r="2013" spans="1:8" x14ac:dyDescent="0.3">
      <c r="A2013" s="400"/>
      <c r="B2013" s="709">
        <v>97651</v>
      </c>
      <c r="C2013" s="710" t="s">
        <v>2127</v>
      </c>
      <c r="D2013" s="709" t="s">
        <v>136</v>
      </c>
      <c r="E2013" s="716">
        <v>98.7</v>
      </c>
      <c r="F2013" s="717">
        <v>0</v>
      </c>
      <c r="G2013">
        <f>VLOOKUP(B2013,'SINAPI-%MO'!B:E,4,0)</f>
        <v>1</v>
      </c>
      <c r="H2013" s="225">
        <f t="shared" si="31"/>
        <v>0</v>
      </c>
    </row>
    <row r="2014" spans="1:8" x14ac:dyDescent="0.3">
      <c r="A2014" s="400"/>
      <c r="B2014" s="709">
        <v>97653</v>
      </c>
      <c r="C2014" s="710" t="s">
        <v>2128</v>
      </c>
      <c r="D2014" s="709" t="s">
        <v>136</v>
      </c>
      <c r="E2014" s="716">
        <v>155.47999999999999</v>
      </c>
      <c r="F2014" s="717">
        <v>0</v>
      </c>
      <c r="G2014">
        <f>VLOOKUP(B2014,'SINAPI-%MO'!B:E,4,0)</f>
        <v>0.37769999999999998</v>
      </c>
      <c r="H2014" s="225">
        <f t="shared" si="31"/>
        <v>96.75</v>
      </c>
    </row>
    <row r="2015" spans="1:8" x14ac:dyDescent="0.3">
      <c r="A2015" s="400"/>
      <c r="B2015" s="709">
        <v>97657</v>
      </c>
      <c r="C2015" s="710" t="s">
        <v>2129</v>
      </c>
      <c r="D2015" s="709" t="s">
        <v>136</v>
      </c>
      <c r="E2015" s="716">
        <v>795.84</v>
      </c>
      <c r="F2015" s="717">
        <v>0</v>
      </c>
      <c r="G2015">
        <f>VLOOKUP(B2015,'SINAPI-%MO'!B:E,4,0)</f>
        <v>0.53810000000000002</v>
      </c>
      <c r="H2015" s="225">
        <f t="shared" si="31"/>
        <v>367.59</v>
      </c>
    </row>
    <row r="2016" spans="1:8" x14ac:dyDescent="0.3">
      <c r="A2016" s="400"/>
      <c r="B2016" s="709">
        <v>97659</v>
      </c>
      <c r="C2016" s="710" t="s">
        <v>2130</v>
      </c>
      <c r="D2016" s="709" t="s">
        <v>136</v>
      </c>
      <c r="E2016" s="716">
        <v>352.15</v>
      </c>
      <c r="F2016" s="717">
        <v>0</v>
      </c>
      <c r="G2016">
        <f>VLOOKUP(B2016,'SINAPI-%MO'!B:E,4,0)</f>
        <v>0.48399999999999999</v>
      </c>
      <c r="H2016" s="225">
        <f t="shared" si="31"/>
        <v>181.7</v>
      </c>
    </row>
    <row r="2017" spans="1:8" x14ac:dyDescent="0.3">
      <c r="A2017" s="400"/>
      <c r="B2017" s="709">
        <v>97656</v>
      </c>
      <c r="C2017" s="710" t="s">
        <v>2131</v>
      </c>
      <c r="D2017" s="709" t="s">
        <v>136</v>
      </c>
      <c r="E2017" s="716">
        <v>401.51</v>
      </c>
      <c r="F2017" s="717">
        <v>0</v>
      </c>
      <c r="G2017">
        <f>VLOOKUP(B2017,'SINAPI-%MO'!B:E,4,0)</f>
        <v>0.53810000000000002</v>
      </c>
      <c r="H2017" s="225">
        <f t="shared" si="31"/>
        <v>185.45</v>
      </c>
    </row>
    <row r="2018" spans="1:8" x14ac:dyDescent="0.3">
      <c r="A2018" s="400"/>
      <c r="B2018" s="709">
        <v>97658</v>
      </c>
      <c r="C2018" s="710" t="s">
        <v>2132</v>
      </c>
      <c r="D2018" s="709" t="s">
        <v>136</v>
      </c>
      <c r="E2018" s="716">
        <v>249.92</v>
      </c>
      <c r="F2018" s="717">
        <v>0</v>
      </c>
      <c r="G2018">
        <f>VLOOKUP(B2018,'SINAPI-%MO'!B:E,4,0)</f>
        <v>0.42409999999999998</v>
      </c>
      <c r="H2018" s="225">
        <f t="shared" si="31"/>
        <v>143.91999999999999</v>
      </c>
    </row>
    <row r="2019" spans="1:8" x14ac:dyDescent="0.3">
      <c r="A2019" s="400"/>
      <c r="B2019" s="709">
        <v>97650</v>
      </c>
      <c r="C2019" s="710" t="s">
        <v>2133</v>
      </c>
      <c r="D2019" s="709" t="s">
        <v>168</v>
      </c>
      <c r="E2019" s="716">
        <v>9.06</v>
      </c>
      <c r="F2019" s="717">
        <v>0</v>
      </c>
      <c r="G2019">
        <f>VLOOKUP(B2019,'SINAPI-%MO'!B:E,4,0)</f>
        <v>1</v>
      </c>
      <c r="H2019" s="225">
        <f t="shared" si="31"/>
        <v>0</v>
      </c>
    </row>
    <row r="2020" spans="1:8" x14ac:dyDescent="0.3">
      <c r="A2020" s="400"/>
      <c r="B2020" s="709">
        <v>97642</v>
      </c>
      <c r="C2020" s="710" t="s">
        <v>2134</v>
      </c>
      <c r="D2020" s="709" t="s">
        <v>168</v>
      </c>
      <c r="E2020" s="716">
        <v>3.34</v>
      </c>
      <c r="F2020" s="717">
        <v>0</v>
      </c>
      <c r="G2020">
        <f>VLOOKUP(B2020,'SINAPI-%MO'!B:E,4,0)</f>
        <v>1</v>
      </c>
      <c r="H2020" s="225">
        <f t="shared" si="31"/>
        <v>0</v>
      </c>
    </row>
    <row r="2021" spans="1:8" x14ac:dyDescent="0.3">
      <c r="A2021" s="400"/>
      <c r="B2021" s="709">
        <v>97655</v>
      </c>
      <c r="C2021" s="710" t="s">
        <v>2135</v>
      </c>
      <c r="D2021" s="709" t="s">
        <v>168</v>
      </c>
      <c r="E2021" s="716">
        <v>44.18</v>
      </c>
      <c r="F2021" s="717">
        <v>0</v>
      </c>
      <c r="G2021">
        <f>VLOOKUP(B2021,'SINAPI-%MO'!B:E,4,0)</f>
        <v>0.46629999999999999</v>
      </c>
      <c r="H2021" s="225">
        <f t="shared" si="31"/>
        <v>23.57</v>
      </c>
    </row>
    <row r="2022" spans="1:8" x14ac:dyDescent="0.3">
      <c r="A2022" s="400"/>
      <c r="B2022" s="709">
        <v>97662</v>
      </c>
      <c r="C2022" s="710" t="s">
        <v>2136</v>
      </c>
      <c r="D2022" s="709" t="s">
        <v>159</v>
      </c>
      <c r="E2022" s="716">
        <v>0.6</v>
      </c>
      <c r="F2022" s="717">
        <v>0</v>
      </c>
      <c r="G2022">
        <f>VLOOKUP(B2022,'SINAPI-%MO'!B:E,4,0)</f>
        <v>1</v>
      </c>
      <c r="H2022" s="225">
        <f t="shared" si="31"/>
        <v>0</v>
      </c>
    </row>
    <row r="2023" spans="1:8" x14ac:dyDescent="0.3">
      <c r="A2023" s="400"/>
      <c r="B2023" s="709">
        <v>97646</v>
      </c>
      <c r="C2023" s="710" t="s">
        <v>2137</v>
      </c>
      <c r="D2023" s="709" t="s">
        <v>168</v>
      </c>
      <c r="E2023" s="716">
        <v>0</v>
      </c>
      <c r="F2023" s="717"/>
      <c r="G2023" t="e">
        <f>VLOOKUP(B2023,'SINAPI-%MO'!B:E,4,0)</f>
        <v>#N/A</v>
      </c>
      <c r="H2023" s="225" t="str">
        <f t="shared" si="31"/>
        <v/>
      </c>
    </row>
    <row r="2024" spans="1:8" x14ac:dyDescent="0.3">
      <c r="A2024" s="400"/>
      <c r="B2024" s="709">
        <v>92712</v>
      </c>
      <c r="C2024" s="710" t="s">
        <v>2138</v>
      </c>
      <c r="D2024" s="709" t="s">
        <v>234</v>
      </c>
      <c r="E2024" s="716">
        <v>0.27</v>
      </c>
      <c r="F2024" s="717">
        <v>0</v>
      </c>
      <c r="G2024">
        <f>VLOOKUP(B2024,'SINAPI-%MO'!B:E,4,0)</f>
        <v>0</v>
      </c>
      <c r="H2024" s="225">
        <f t="shared" si="31"/>
        <v>0.27</v>
      </c>
    </row>
    <row r="2025" spans="1:8" x14ac:dyDescent="0.3">
      <c r="A2025" s="400"/>
      <c r="B2025" s="709">
        <v>92713</v>
      </c>
      <c r="C2025" s="710" t="s">
        <v>2139</v>
      </c>
      <c r="D2025" s="709" t="s">
        <v>234</v>
      </c>
      <c r="E2025" s="716">
        <v>0.06</v>
      </c>
      <c r="F2025" s="717">
        <v>0</v>
      </c>
      <c r="G2025">
        <f>VLOOKUP(B2025,'SINAPI-%MO'!B:E,4,0)</f>
        <v>0</v>
      </c>
      <c r="H2025" s="225">
        <f t="shared" si="31"/>
        <v>0.06</v>
      </c>
    </row>
    <row r="2026" spans="1:8" x14ac:dyDescent="0.3">
      <c r="A2026" s="400"/>
      <c r="B2026" s="709">
        <v>92714</v>
      </c>
      <c r="C2026" s="710" t="s">
        <v>2140</v>
      </c>
      <c r="D2026" s="709" t="s">
        <v>234</v>
      </c>
      <c r="E2026" s="716">
        <v>0.33</v>
      </c>
      <c r="F2026" s="717">
        <v>0</v>
      </c>
      <c r="G2026">
        <f>VLOOKUP(B2026,'SINAPI-%MO'!B:E,4,0)</f>
        <v>0</v>
      </c>
      <c r="H2026" s="225">
        <f t="shared" si="31"/>
        <v>0.33</v>
      </c>
    </row>
    <row r="2027" spans="1:8" x14ac:dyDescent="0.3">
      <c r="A2027" s="400"/>
      <c r="B2027" s="709">
        <v>92715</v>
      </c>
      <c r="C2027" s="710" t="s">
        <v>2141</v>
      </c>
      <c r="D2027" s="709" t="s">
        <v>234</v>
      </c>
      <c r="E2027" s="716">
        <v>126.75</v>
      </c>
      <c r="F2027" s="717">
        <v>0</v>
      </c>
      <c r="G2027">
        <f>VLOOKUP(B2027,'SINAPI-%MO'!B:E,4,0)</f>
        <v>0</v>
      </c>
      <c r="H2027" s="225">
        <f t="shared" si="31"/>
        <v>126.75</v>
      </c>
    </row>
    <row r="2028" spans="1:8" x14ac:dyDescent="0.3">
      <c r="A2028" s="400"/>
      <c r="B2028" s="709">
        <v>103663</v>
      </c>
      <c r="C2028" s="710" t="s">
        <v>2142</v>
      </c>
      <c r="D2028" s="709" t="s">
        <v>234</v>
      </c>
      <c r="E2028" s="716">
        <v>0</v>
      </c>
      <c r="F2028" s="717"/>
      <c r="G2028" t="e">
        <f>VLOOKUP(B2028,'SINAPI-%MO'!B:E,4,0)</f>
        <v>#N/A</v>
      </c>
      <c r="H2028" s="225" t="str">
        <f t="shared" si="31"/>
        <v/>
      </c>
    </row>
    <row r="2029" spans="1:8" x14ac:dyDescent="0.3">
      <c r="A2029" s="400"/>
      <c r="B2029" s="709">
        <v>104390</v>
      </c>
      <c r="C2029" s="710" t="s">
        <v>2143</v>
      </c>
      <c r="D2029" s="709" t="s">
        <v>234</v>
      </c>
      <c r="E2029" s="716">
        <v>0</v>
      </c>
      <c r="F2029" s="717"/>
      <c r="G2029" t="e">
        <f>VLOOKUP(B2029,'SINAPI-%MO'!B:E,4,0)</f>
        <v>#N/A</v>
      </c>
      <c r="H2029" s="225" t="str">
        <f t="shared" si="31"/>
        <v/>
      </c>
    </row>
    <row r="2030" spans="1:8" x14ac:dyDescent="0.3">
      <c r="A2030" s="400"/>
      <c r="B2030" s="709">
        <v>103664</v>
      </c>
      <c r="C2030" s="710" t="s">
        <v>2144</v>
      </c>
      <c r="D2030" s="709" t="s">
        <v>234</v>
      </c>
      <c r="E2030" s="716">
        <v>0</v>
      </c>
      <c r="F2030" s="717"/>
      <c r="G2030" t="e">
        <f>VLOOKUP(B2030,'SINAPI-%MO'!B:E,4,0)</f>
        <v>#N/A</v>
      </c>
      <c r="H2030" s="225" t="str">
        <f t="shared" si="31"/>
        <v/>
      </c>
    </row>
    <row r="2031" spans="1:8" x14ac:dyDescent="0.3">
      <c r="A2031" s="400"/>
      <c r="B2031" s="709">
        <v>104451</v>
      </c>
      <c r="C2031" s="710" t="s">
        <v>2145</v>
      </c>
      <c r="D2031" s="709" t="s">
        <v>234</v>
      </c>
      <c r="E2031" s="716">
        <v>0</v>
      </c>
      <c r="F2031" s="717"/>
      <c r="G2031" t="e">
        <f>VLOOKUP(B2031,'SINAPI-%MO'!B:E,4,0)</f>
        <v>#N/A</v>
      </c>
      <c r="H2031" s="225" t="str">
        <f t="shared" si="31"/>
        <v/>
      </c>
    </row>
    <row r="2032" spans="1:8" x14ac:dyDescent="0.3">
      <c r="A2032" s="400"/>
      <c r="B2032" s="709">
        <v>103666</v>
      </c>
      <c r="C2032" s="710" t="s">
        <v>2146</v>
      </c>
      <c r="D2032" s="709" t="s">
        <v>234</v>
      </c>
      <c r="E2032" s="716">
        <v>146.28</v>
      </c>
      <c r="F2032" s="717">
        <v>0</v>
      </c>
      <c r="G2032">
        <f>VLOOKUP(B2032,'SINAPI-%MO'!B:E,4,0)</f>
        <v>0</v>
      </c>
      <c r="H2032" s="225">
        <f t="shared" si="31"/>
        <v>146.28</v>
      </c>
    </row>
    <row r="2033" spans="1:8" x14ac:dyDescent="0.3">
      <c r="A2033" s="400"/>
      <c r="B2033" s="709">
        <v>89212</v>
      </c>
      <c r="C2033" s="710" t="s">
        <v>2147</v>
      </c>
      <c r="D2033" s="709" t="s">
        <v>234</v>
      </c>
      <c r="E2033" s="716">
        <v>29.19</v>
      </c>
      <c r="F2033" s="717">
        <v>0</v>
      </c>
      <c r="G2033">
        <f>VLOOKUP(B2033,'SINAPI-%MO'!B:E,4,0)</f>
        <v>0</v>
      </c>
      <c r="H2033" s="225">
        <f t="shared" si="31"/>
        <v>29.19</v>
      </c>
    </row>
    <row r="2034" spans="1:8" x14ac:dyDescent="0.3">
      <c r="A2034" s="400"/>
      <c r="B2034" s="709">
        <v>89213</v>
      </c>
      <c r="C2034" s="710" t="s">
        <v>2148</v>
      </c>
      <c r="D2034" s="709" t="s">
        <v>234</v>
      </c>
      <c r="E2034" s="716">
        <v>9</v>
      </c>
      <c r="F2034" s="717">
        <v>0</v>
      </c>
      <c r="G2034">
        <f>VLOOKUP(B2034,'SINAPI-%MO'!B:E,4,0)</f>
        <v>0</v>
      </c>
      <c r="H2034" s="225">
        <f t="shared" si="31"/>
        <v>9</v>
      </c>
    </row>
    <row r="2035" spans="1:8" x14ac:dyDescent="0.3">
      <c r="A2035" s="400"/>
      <c r="B2035" s="709">
        <v>89214</v>
      </c>
      <c r="C2035" s="710" t="s">
        <v>2149</v>
      </c>
      <c r="D2035" s="709" t="s">
        <v>234</v>
      </c>
      <c r="E2035" s="716">
        <v>27.4</v>
      </c>
      <c r="F2035" s="717">
        <v>0</v>
      </c>
      <c r="G2035">
        <f>VLOOKUP(B2035,'SINAPI-%MO'!B:E,4,0)</f>
        <v>0</v>
      </c>
      <c r="H2035" s="225">
        <f t="shared" si="31"/>
        <v>27.4</v>
      </c>
    </row>
    <row r="2036" spans="1:8" x14ac:dyDescent="0.3">
      <c r="A2036" s="400"/>
      <c r="B2036" s="709">
        <v>89215</v>
      </c>
      <c r="C2036" s="710" t="s">
        <v>2150</v>
      </c>
      <c r="D2036" s="709" t="s">
        <v>234</v>
      </c>
      <c r="E2036" s="716">
        <v>100.1</v>
      </c>
      <c r="F2036" s="717">
        <v>0</v>
      </c>
      <c r="G2036">
        <f>VLOOKUP(B2036,'SINAPI-%MO'!B:E,4,0)</f>
        <v>0</v>
      </c>
      <c r="H2036" s="225">
        <f t="shared" si="31"/>
        <v>100.1</v>
      </c>
    </row>
    <row r="2037" spans="1:8" x14ac:dyDescent="0.3">
      <c r="A2037" s="400"/>
      <c r="B2037" s="709">
        <v>87441</v>
      </c>
      <c r="C2037" s="710" t="s">
        <v>2151</v>
      </c>
      <c r="D2037" s="709" t="s">
        <v>234</v>
      </c>
      <c r="E2037" s="716">
        <v>0.42</v>
      </c>
      <c r="F2037" s="717">
        <v>0</v>
      </c>
      <c r="G2037">
        <f>VLOOKUP(B2037,'SINAPI-%MO'!B:E,4,0)</f>
        <v>0</v>
      </c>
      <c r="H2037" s="225">
        <f t="shared" si="31"/>
        <v>0.42</v>
      </c>
    </row>
    <row r="2038" spans="1:8" x14ac:dyDescent="0.3">
      <c r="A2038" s="400"/>
      <c r="B2038" s="709">
        <v>87442</v>
      </c>
      <c r="C2038" s="710" t="s">
        <v>2152</v>
      </c>
      <c r="D2038" s="709" t="s">
        <v>234</v>
      </c>
      <c r="E2038" s="716">
        <v>0.09</v>
      </c>
      <c r="F2038" s="717">
        <v>0</v>
      </c>
      <c r="G2038">
        <f>VLOOKUP(B2038,'SINAPI-%MO'!B:E,4,0)</f>
        <v>0</v>
      </c>
      <c r="H2038" s="225">
        <f t="shared" si="31"/>
        <v>0.09</v>
      </c>
    </row>
    <row r="2039" spans="1:8" x14ac:dyDescent="0.3">
      <c r="A2039" s="400"/>
      <c r="B2039" s="709">
        <v>87443</v>
      </c>
      <c r="C2039" s="710" t="s">
        <v>2153</v>
      </c>
      <c r="D2039" s="709" t="s">
        <v>234</v>
      </c>
      <c r="E2039" s="716">
        <v>0.53</v>
      </c>
      <c r="F2039" s="717">
        <v>0</v>
      </c>
      <c r="G2039">
        <f>VLOOKUP(B2039,'SINAPI-%MO'!B:E,4,0)</f>
        <v>0</v>
      </c>
      <c r="H2039" s="225">
        <f t="shared" si="31"/>
        <v>0.53</v>
      </c>
    </row>
    <row r="2040" spans="1:8" x14ac:dyDescent="0.3">
      <c r="A2040" s="400"/>
      <c r="B2040" s="709">
        <v>87444</v>
      </c>
      <c r="C2040" s="710" t="s">
        <v>2154</v>
      </c>
      <c r="D2040" s="709" t="s">
        <v>234</v>
      </c>
      <c r="E2040" s="716">
        <v>4.51</v>
      </c>
      <c r="F2040" s="717">
        <v>0</v>
      </c>
      <c r="G2040">
        <f>VLOOKUP(B2040,'SINAPI-%MO'!B:E,4,0)</f>
        <v>0</v>
      </c>
      <c r="H2040" s="225">
        <f t="shared" si="31"/>
        <v>4.51</v>
      </c>
    </row>
    <row r="2041" spans="1:8" x14ac:dyDescent="0.3">
      <c r="A2041" s="400"/>
      <c r="B2041" s="709">
        <v>93229</v>
      </c>
      <c r="C2041" s="710" t="s">
        <v>2155</v>
      </c>
      <c r="D2041" s="709" t="s">
        <v>234</v>
      </c>
      <c r="E2041" s="716">
        <v>0.39</v>
      </c>
      <c r="F2041" s="717">
        <v>0</v>
      </c>
      <c r="G2041">
        <f>VLOOKUP(B2041,'SINAPI-%MO'!B:E,4,0)</f>
        <v>0</v>
      </c>
      <c r="H2041" s="225">
        <f t="shared" si="31"/>
        <v>0.39</v>
      </c>
    </row>
    <row r="2042" spans="1:8" x14ac:dyDescent="0.3">
      <c r="A2042" s="400"/>
      <c r="B2042" s="709">
        <v>93230</v>
      </c>
      <c r="C2042" s="710" t="s">
        <v>2156</v>
      </c>
      <c r="D2042" s="709" t="s">
        <v>234</v>
      </c>
      <c r="E2042" s="716">
        <v>0.09</v>
      </c>
      <c r="F2042" s="717">
        <v>0</v>
      </c>
      <c r="G2042">
        <f>VLOOKUP(B2042,'SINAPI-%MO'!B:E,4,0)</f>
        <v>0</v>
      </c>
      <c r="H2042" s="225">
        <f t="shared" si="31"/>
        <v>0.09</v>
      </c>
    </row>
    <row r="2043" spans="1:8" x14ac:dyDescent="0.3">
      <c r="A2043" s="400"/>
      <c r="B2043" s="709">
        <v>93231</v>
      </c>
      <c r="C2043" s="710" t="s">
        <v>2157</v>
      </c>
      <c r="D2043" s="709" t="s">
        <v>234</v>
      </c>
      <c r="E2043" s="716">
        <v>0.48</v>
      </c>
      <c r="F2043" s="717">
        <v>0</v>
      </c>
      <c r="G2043">
        <f>VLOOKUP(B2043,'SINAPI-%MO'!B:E,4,0)</f>
        <v>0</v>
      </c>
      <c r="H2043" s="225">
        <f t="shared" si="31"/>
        <v>0.48</v>
      </c>
    </row>
    <row r="2044" spans="1:8" x14ac:dyDescent="0.3">
      <c r="A2044" s="400"/>
      <c r="B2044" s="709">
        <v>93232</v>
      </c>
      <c r="C2044" s="710" t="s">
        <v>2158</v>
      </c>
      <c r="D2044" s="709" t="s">
        <v>234</v>
      </c>
      <c r="E2044" s="716">
        <v>4.79</v>
      </c>
      <c r="F2044" s="717">
        <v>0</v>
      </c>
      <c r="G2044">
        <f>VLOOKUP(B2044,'SINAPI-%MO'!B:E,4,0)</f>
        <v>0</v>
      </c>
      <c r="H2044" s="225">
        <f t="shared" si="31"/>
        <v>4.79</v>
      </c>
    </row>
    <row r="2045" spans="1:8" x14ac:dyDescent="0.3">
      <c r="A2045" s="400"/>
      <c r="B2045" s="709">
        <v>102948</v>
      </c>
      <c r="C2045" s="710" t="s">
        <v>2159</v>
      </c>
      <c r="D2045" s="709" t="s">
        <v>234</v>
      </c>
      <c r="E2045" s="716">
        <v>0</v>
      </c>
      <c r="F2045" s="717"/>
      <c r="G2045" t="e">
        <f>VLOOKUP(B2045,'SINAPI-%MO'!B:E,4,0)</f>
        <v>#N/A</v>
      </c>
      <c r="H2045" s="225" t="str">
        <f t="shared" si="31"/>
        <v/>
      </c>
    </row>
    <row r="2046" spans="1:8" x14ac:dyDescent="0.3">
      <c r="A2046" s="400"/>
      <c r="B2046" s="709">
        <v>102949</v>
      </c>
      <c r="C2046" s="710" t="s">
        <v>2160</v>
      </c>
      <c r="D2046" s="709" t="s">
        <v>234</v>
      </c>
      <c r="E2046" s="716">
        <v>0</v>
      </c>
      <c r="F2046" s="717"/>
      <c r="G2046" t="e">
        <f>VLOOKUP(B2046,'SINAPI-%MO'!B:E,4,0)</f>
        <v>#N/A</v>
      </c>
      <c r="H2046" s="225" t="str">
        <f t="shared" si="31"/>
        <v/>
      </c>
    </row>
    <row r="2047" spans="1:8" x14ac:dyDescent="0.3">
      <c r="A2047" s="400"/>
      <c r="B2047" s="709">
        <v>102950</v>
      </c>
      <c r="C2047" s="710" t="s">
        <v>2161</v>
      </c>
      <c r="D2047" s="709" t="s">
        <v>234</v>
      </c>
      <c r="E2047" s="716">
        <v>0</v>
      </c>
      <c r="F2047" s="717"/>
      <c r="G2047" t="e">
        <f>VLOOKUP(B2047,'SINAPI-%MO'!B:E,4,0)</f>
        <v>#N/A</v>
      </c>
      <c r="H2047" s="225" t="str">
        <f t="shared" si="31"/>
        <v/>
      </c>
    </row>
    <row r="2048" spans="1:8" x14ac:dyDescent="0.3">
      <c r="A2048" s="400"/>
      <c r="B2048" s="709">
        <v>102951</v>
      </c>
      <c r="C2048" s="710" t="s">
        <v>2162</v>
      </c>
      <c r="D2048" s="709" t="s">
        <v>234</v>
      </c>
      <c r="E2048" s="716">
        <v>0.66</v>
      </c>
      <c r="F2048" s="717">
        <v>0</v>
      </c>
      <c r="G2048">
        <f>VLOOKUP(B2048,'SINAPI-%MO'!B:E,4,0)</f>
        <v>0</v>
      </c>
      <c r="H2048" s="225">
        <f t="shared" si="31"/>
        <v>0.66</v>
      </c>
    </row>
    <row r="2049" spans="1:8" x14ac:dyDescent="0.3">
      <c r="A2049" s="400"/>
      <c r="B2049" s="709">
        <v>88826</v>
      </c>
      <c r="C2049" s="710" t="s">
        <v>2163</v>
      </c>
      <c r="D2049" s="709" t="s">
        <v>234</v>
      </c>
      <c r="E2049" s="716">
        <v>0.31</v>
      </c>
      <c r="F2049" s="717">
        <v>0</v>
      </c>
      <c r="G2049">
        <f>VLOOKUP(B2049,'SINAPI-%MO'!B:E,4,0)</f>
        <v>0</v>
      </c>
      <c r="H2049" s="225">
        <f t="shared" si="31"/>
        <v>0.31</v>
      </c>
    </row>
    <row r="2050" spans="1:8" x14ac:dyDescent="0.3">
      <c r="A2050" s="400"/>
      <c r="B2050" s="709">
        <v>88827</v>
      </c>
      <c r="C2050" s="710" t="s">
        <v>2164</v>
      </c>
      <c r="D2050" s="709" t="s">
        <v>234</v>
      </c>
      <c r="E2050" s="716">
        <v>7.0000000000000007E-2</v>
      </c>
      <c r="F2050" s="717">
        <v>0</v>
      </c>
      <c r="G2050">
        <f>VLOOKUP(B2050,'SINAPI-%MO'!B:E,4,0)</f>
        <v>0</v>
      </c>
      <c r="H2050" s="225">
        <f t="shared" si="31"/>
        <v>7.0000000000000007E-2</v>
      </c>
    </row>
    <row r="2051" spans="1:8" x14ac:dyDescent="0.3">
      <c r="A2051" s="400"/>
      <c r="B2051" s="709">
        <v>88828</v>
      </c>
      <c r="C2051" s="710" t="s">
        <v>2165</v>
      </c>
      <c r="D2051" s="709" t="s">
        <v>234</v>
      </c>
      <c r="E2051" s="716">
        <v>0.34</v>
      </c>
      <c r="F2051" s="717">
        <v>0</v>
      </c>
      <c r="G2051">
        <f>VLOOKUP(B2051,'SINAPI-%MO'!B:E,4,0)</f>
        <v>0</v>
      </c>
      <c r="H2051" s="225">
        <f t="shared" si="31"/>
        <v>0.34</v>
      </c>
    </row>
    <row r="2052" spans="1:8" x14ac:dyDescent="0.3">
      <c r="A2052" s="400"/>
      <c r="B2052" s="709">
        <v>88829</v>
      </c>
      <c r="C2052" s="710" t="s">
        <v>2166</v>
      </c>
      <c r="D2052" s="709" t="s">
        <v>234</v>
      </c>
      <c r="E2052" s="716">
        <v>1.31</v>
      </c>
      <c r="F2052" s="717">
        <v>0</v>
      </c>
      <c r="G2052">
        <f>VLOOKUP(B2052,'SINAPI-%MO'!B:E,4,0)</f>
        <v>0</v>
      </c>
      <c r="H2052" s="225">
        <f t="shared" si="31"/>
        <v>1.31</v>
      </c>
    </row>
    <row r="2053" spans="1:8" x14ac:dyDescent="0.3">
      <c r="A2053" s="400"/>
      <c r="B2053" s="709">
        <v>89221</v>
      </c>
      <c r="C2053" s="710" t="s">
        <v>2167</v>
      </c>
      <c r="D2053" s="709" t="s">
        <v>234</v>
      </c>
      <c r="E2053" s="716">
        <v>1.27</v>
      </c>
      <c r="F2053" s="717">
        <v>0</v>
      </c>
      <c r="G2053">
        <f>VLOOKUP(B2053,'SINAPI-%MO'!B:E,4,0)</f>
        <v>0</v>
      </c>
      <c r="H2053" s="225">
        <f t="shared" si="31"/>
        <v>1.27</v>
      </c>
    </row>
    <row r="2054" spans="1:8" x14ac:dyDescent="0.3">
      <c r="A2054" s="400"/>
      <c r="B2054" s="709">
        <v>89222</v>
      </c>
      <c r="C2054" s="710" t="s">
        <v>2168</v>
      </c>
      <c r="D2054" s="709" t="s">
        <v>234</v>
      </c>
      <c r="E2054" s="716">
        <v>0.28999999999999998</v>
      </c>
      <c r="F2054" s="717">
        <v>0</v>
      </c>
      <c r="G2054">
        <f>VLOOKUP(B2054,'SINAPI-%MO'!B:E,4,0)</f>
        <v>0</v>
      </c>
      <c r="H2054" s="225">
        <f t="shared" si="31"/>
        <v>0.28999999999999998</v>
      </c>
    </row>
    <row r="2055" spans="1:8" x14ac:dyDescent="0.3">
      <c r="A2055" s="400"/>
      <c r="B2055" s="709">
        <v>89223</v>
      </c>
      <c r="C2055" s="710" t="s">
        <v>2169</v>
      </c>
      <c r="D2055" s="709" t="s">
        <v>234</v>
      </c>
      <c r="E2055" s="716">
        <v>1.39</v>
      </c>
      <c r="F2055" s="717">
        <v>0</v>
      </c>
      <c r="G2055">
        <f>VLOOKUP(B2055,'SINAPI-%MO'!B:E,4,0)</f>
        <v>0</v>
      </c>
      <c r="H2055" s="225">
        <f t="shared" si="31"/>
        <v>1.39</v>
      </c>
    </row>
    <row r="2056" spans="1:8" x14ac:dyDescent="0.3">
      <c r="A2056" s="400"/>
      <c r="B2056" s="709">
        <v>89224</v>
      </c>
      <c r="C2056" s="710" t="s">
        <v>2170</v>
      </c>
      <c r="D2056" s="709" t="s">
        <v>234</v>
      </c>
      <c r="E2056" s="716">
        <v>2.62</v>
      </c>
      <c r="F2056" s="717">
        <v>0</v>
      </c>
      <c r="G2056">
        <f>VLOOKUP(B2056,'SINAPI-%MO'!B:E,4,0)</f>
        <v>0</v>
      </c>
      <c r="H2056" s="225">
        <f t="shared" si="31"/>
        <v>2.62</v>
      </c>
    </row>
    <row r="2057" spans="1:8" x14ac:dyDescent="0.3">
      <c r="A2057" s="400"/>
      <c r="B2057" s="709">
        <v>89274</v>
      </c>
      <c r="C2057" s="710" t="s">
        <v>2171</v>
      </c>
      <c r="D2057" s="709" t="s">
        <v>234</v>
      </c>
      <c r="E2057" s="716">
        <v>1.54</v>
      </c>
      <c r="F2057" s="717">
        <v>0</v>
      </c>
      <c r="G2057">
        <f>VLOOKUP(B2057,'SINAPI-%MO'!B:E,4,0)</f>
        <v>0</v>
      </c>
      <c r="H2057" s="225">
        <f t="shared" si="31"/>
        <v>1.54</v>
      </c>
    </row>
    <row r="2058" spans="1:8" x14ac:dyDescent="0.3">
      <c r="A2058" s="400"/>
      <c r="B2058" s="709">
        <v>89275</v>
      </c>
      <c r="C2058" s="710" t="s">
        <v>2172</v>
      </c>
      <c r="D2058" s="709" t="s">
        <v>234</v>
      </c>
      <c r="E2058" s="716">
        <v>0.35</v>
      </c>
      <c r="F2058" s="717">
        <v>0</v>
      </c>
      <c r="G2058">
        <f>VLOOKUP(B2058,'SINAPI-%MO'!B:E,4,0)</f>
        <v>0</v>
      </c>
      <c r="H2058" s="225">
        <f t="shared" si="31"/>
        <v>0.35</v>
      </c>
    </row>
    <row r="2059" spans="1:8" x14ac:dyDescent="0.3">
      <c r="A2059" s="400"/>
      <c r="B2059" s="709">
        <v>89276</v>
      </c>
      <c r="C2059" s="710" t="s">
        <v>2173</v>
      </c>
      <c r="D2059" s="709" t="s">
        <v>234</v>
      </c>
      <c r="E2059" s="716">
        <v>1.93</v>
      </c>
      <c r="F2059" s="717">
        <v>0</v>
      </c>
      <c r="G2059">
        <f>VLOOKUP(B2059,'SINAPI-%MO'!B:E,4,0)</f>
        <v>0</v>
      </c>
      <c r="H2059" s="225">
        <f t="shared" ref="H2059:H2122" si="32">IF(E2059&gt;0,TRUNC(E2059*(1-G2059),2),"")</f>
        <v>1.93</v>
      </c>
    </row>
    <row r="2060" spans="1:8" x14ac:dyDescent="0.3">
      <c r="A2060" s="400"/>
      <c r="B2060" s="709">
        <v>89277</v>
      </c>
      <c r="C2060" s="710" t="s">
        <v>2174</v>
      </c>
      <c r="D2060" s="709" t="s">
        <v>234</v>
      </c>
      <c r="E2060" s="716">
        <v>9.0299999999999994</v>
      </c>
      <c r="F2060" s="717">
        <v>0</v>
      </c>
      <c r="G2060">
        <f>VLOOKUP(B2060,'SINAPI-%MO'!B:E,4,0)</f>
        <v>0</v>
      </c>
      <c r="H2060" s="225">
        <f t="shared" si="32"/>
        <v>9.0299999999999994</v>
      </c>
    </row>
    <row r="2061" spans="1:8" x14ac:dyDescent="0.3">
      <c r="A2061" s="400"/>
      <c r="B2061" s="709">
        <v>90646</v>
      </c>
      <c r="C2061" s="710" t="s">
        <v>2175</v>
      </c>
      <c r="D2061" s="709" t="s">
        <v>234</v>
      </c>
      <c r="E2061" s="716">
        <v>0.99</v>
      </c>
      <c r="F2061" s="717">
        <v>0</v>
      </c>
      <c r="G2061">
        <f>VLOOKUP(B2061,'SINAPI-%MO'!B:E,4,0)</f>
        <v>0</v>
      </c>
      <c r="H2061" s="225">
        <f t="shared" si="32"/>
        <v>0.99</v>
      </c>
    </row>
    <row r="2062" spans="1:8" x14ac:dyDescent="0.3">
      <c r="A2062" s="400"/>
      <c r="B2062" s="709">
        <v>90647</v>
      </c>
      <c r="C2062" s="710" t="s">
        <v>2176</v>
      </c>
      <c r="D2062" s="709" t="s">
        <v>234</v>
      </c>
      <c r="E2062" s="716">
        <v>0.23</v>
      </c>
      <c r="F2062" s="717">
        <v>0</v>
      </c>
      <c r="G2062">
        <f>VLOOKUP(B2062,'SINAPI-%MO'!B:E,4,0)</f>
        <v>0</v>
      </c>
      <c r="H2062" s="225">
        <f t="shared" si="32"/>
        <v>0.23</v>
      </c>
    </row>
    <row r="2063" spans="1:8" x14ac:dyDescent="0.3">
      <c r="A2063" s="400"/>
      <c r="B2063" s="709">
        <v>90648</v>
      </c>
      <c r="C2063" s="710" t="s">
        <v>2177</v>
      </c>
      <c r="D2063" s="709" t="s">
        <v>234</v>
      </c>
      <c r="E2063" s="716">
        <v>1.0900000000000001</v>
      </c>
      <c r="F2063" s="717">
        <v>0</v>
      </c>
      <c r="G2063">
        <f>VLOOKUP(B2063,'SINAPI-%MO'!B:E,4,0)</f>
        <v>0</v>
      </c>
      <c r="H2063" s="225">
        <f t="shared" si="32"/>
        <v>1.0900000000000001</v>
      </c>
    </row>
    <row r="2064" spans="1:8" x14ac:dyDescent="0.3">
      <c r="A2064" s="400"/>
      <c r="B2064" s="709">
        <v>90649</v>
      </c>
      <c r="C2064" s="710" t="s">
        <v>2178</v>
      </c>
      <c r="D2064" s="709" t="s">
        <v>234</v>
      </c>
      <c r="E2064" s="716">
        <v>10.17</v>
      </c>
      <c r="F2064" s="717">
        <v>0</v>
      </c>
      <c r="G2064">
        <f>VLOOKUP(B2064,'SINAPI-%MO'!B:E,4,0)</f>
        <v>0</v>
      </c>
      <c r="H2064" s="225">
        <f t="shared" si="32"/>
        <v>10.17</v>
      </c>
    </row>
    <row r="2065" spans="1:8" x14ac:dyDescent="0.3">
      <c r="A2065" s="400"/>
      <c r="B2065" s="709">
        <v>106096</v>
      </c>
      <c r="C2065" s="710" t="s">
        <v>2179</v>
      </c>
      <c r="D2065" s="709" t="s">
        <v>234</v>
      </c>
      <c r="E2065" s="716">
        <v>0</v>
      </c>
      <c r="F2065" s="717"/>
      <c r="G2065" t="e">
        <f>VLOOKUP(B2065,'SINAPI-%MO'!B:E,4,0)</f>
        <v>#N/A</v>
      </c>
      <c r="H2065" s="225" t="str">
        <f t="shared" si="32"/>
        <v/>
      </c>
    </row>
    <row r="2066" spans="1:8" x14ac:dyDescent="0.3">
      <c r="A2066" s="400"/>
      <c r="B2066" s="709">
        <v>106097</v>
      </c>
      <c r="C2066" s="710" t="s">
        <v>2180</v>
      </c>
      <c r="D2066" s="709" t="s">
        <v>234</v>
      </c>
      <c r="E2066" s="716">
        <v>0</v>
      </c>
      <c r="F2066" s="717"/>
      <c r="G2066" t="e">
        <f>VLOOKUP(B2066,'SINAPI-%MO'!B:E,4,0)</f>
        <v>#N/A</v>
      </c>
      <c r="H2066" s="225" t="str">
        <f t="shared" si="32"/>
        <v/>
      </c>
    </row>
    <row r="2067" spans="1:8" x14ac:dyDescent="0.3">
      <c r="A2067" s="400"/>
      <c r="B2067" s="709">
        <v>106098</v>
      </c>
      <c r="C2067" s="710" t="s">
        <v>2181</v>
      </c>
      <c r="D2067" s="709" t="s">
        <v>234</v>
      </c>
      <c r="E2067" s="716">
        <v>0</v>
      </c>
      <c r="F2067" s="717"/>
      <c r="G2067" t="e">
        <f>VLOOKUP(B2067,'SINAPI-%MO'!B:E,4,0)</f>
        <v>#N/A</v>
      </c>
      <c r="H2067" s="225" t="str">
        <f t="shared" si="32"/>
        <v/>
      </c>
    </row>
    <row r="2068" spans="1:8" x14ac:dyDescent="0.3">
      <c r="A2068" s="400"/>
      <c r="B2068" s="709">
        <v>106099</v>
      </c>
      <c r="C2068" s="710" t="s">
        <v>2182</v>
      </c>
      <c r="D2068" s="709" t="s">
        <v>234</v>
      </c>
      <c r="E2068" s="716">
        <v>1.1000000000000001</v>
      </c>
      <c r="F2068" s="717">
        <v>0</v>
      </c>
      <c r="G2068">
        <f>VLOOKUP(B2068,'SINAPI-%MO'!B:E,4,0)</f>
        <v>0</v>
      </c>
      <c r="H2068" s="225">
        <f t="shared" si="32"/>
        <v>1.1000000000000001</v>
      </c>
    </row>
    <row r="2069" spans="1:8" x14ac:dyDescent="0.3">
      <c r="A2069" s="400"/>
      <c r="B2069" s="709">
        <v>90652</v>
      </c>
      <c r="C2069" s="710" t="s">
        <v>2183</v>
      </c>
      <c r="D2069" s="709" t="s">
        <v>234</v>
      </c>
      <c r="E2069" s="716">
        <v>3.81</v>
      </c>
      <c r="F2069" s="717">
        <v>0</v>
      </c>
      <c r="G2069">
        <f>VLOOKUP(B2069,'SINAPI-%MO'!B:E,4,0)</f>
        <v>0</v>
      </c>
      <c r="H2069" s="225">
        <f t="shared" si="32"/>
        <v>3.81</v>
      </c>
    </row>
    <row r="2070" spans="1:8" x14ac:dyDescent="0.3">
      <c r="A2070" s="400"/>
      <c r="B2070" s="709">
        <v>90653</v>
      </c>
      <c r="C2070" s="710" t="s">
        <v>2184</v>
      </c>
      <c r="D2070" s="709" t="s">
        <v>234</v>
      </c>
      <c r="E2070" s="716">
        <v>0.88</v>
      </c>
      <c r="F2070" s="717">
        <v>0</v>
      </c>
      <c r="G2070">
        <f>VLOOKUP(B2070,'SINAPI-%MO'!B:E,4,0)</f>
        <v>0</v>
      </c>
      <c r="H2070" s="225">
        <f t="shared" si="32"/>
        <v>0.88</v>
      </c>
    </row>
    <row r="2071" spans="1:8" x14ac:dyDescent="0.3">
      <c r="A2071" s="400"/>
      <c r="B2071" s="709">
        <v>90654</v>
      </c>
      <c r="C2071" s="710" t="s">
        <v>2185</v>
      </c>
      <c r="D2071" s="709" t="s">
        <v>234</v>
      </c>
      <c r="E2071" s="716">
        <v>4.17</v>
      </c>
      <c r="F2071" s="717">
        <v>0</v>
      </c>
      <c r="G2071">
        <f>VLOOKUP(B2071,'SINAPI-%MO'!B:E,4,0)</f>
        <v>0</v>
      </c>
      <c r="H2071" s="225">
        <f t="shared" si="32"/>
        <v>4.17</v>
      </c>
    </row>
    <row r="2072" spans="1:8" x14ac:dyDescent="0.3">
      <c r="A2072" s="400"/>
      <c r="B2072" s="709">
        <v>90655</v>
      </c>
      <c r="C2072" s="710" t="s">
        <v>2186</v>
      </c>
      <c r="D2072" s="709" t="s">
        <v>234</v>
      </c>
      <c r="E2072" s="716">
        <v>6.69</v>
      </c>
      <c r="F2072" s="717">
        <v>0</v>
      </c>
      <c r="G2072">
        <f>VLOOKUP(B2072,'SINAPI-%MO'!B:E,4,0)</f>
        <v>0</v>
      </c>
      <c r="H2072" s="225">
        <f t="shared" si="32"/>
        <v>6.69</v>
      </c>
    </row>
    <row r="2073" spans="1:8" x14ac:dyDescent="0.3">
      <c r="A2073" s="400"/>
      <c r="B2073" s="709">
        <v>90658</v>
      </c>
      <c r="C2073" s="710" t="s">
        <v>2187</v>
      </c>
      <c r="D2073" s="709" t="s">
        <v>234</v>
      </c>
      <c r="E2073" s="716">
        <v>4.08</v>
      </c>
      <c r="F2073" s="717">
        <v>0</v>
      </c>
      <c r="G2073">
        <f>VLOOKUP(B2073,'SINAPI-%MO'!B:E,4,0)</f>
        <v>0</v>
      </c>
      <c r="H2073" s="225">
        <f t="shared" si="32"/>
        <v>4.08</v>
      </c>
    </row>
    <row r="2074" spans="1:8" x14ac:dyDescent="0.3">
      <c r="A2074" s="400"/>
      <c r="B2074" s="709">
        <v>90659</v>
      </c>
      <c r="C2074" s="710" t="s">
        <v>2188</v>
      </c>
      <c r="D2074" s="709" t="s">
        <v>234</v>
      </c>
      <c r="E2074" s="716">
        <v>0.94</v>
      </c>
      <c r="F2074" s="717">
        <v>0</v>
      </c>
      <c r="G2074">
        <f>VLOOKUP(B2074,'SINAPI-%MO'!B:E,4,0)</f>
        <v>0</v>
      </c>
      <c r="H2074" s="225">
        <f t="shared" si="32"/>
        <v>0.94</v>
      </c>
    </row>
    <row r="2075" spans="1:8" x14ac:dyDescent="0.3">
      <c r="A2075" s="400"/>
      <c r="B2075" s="709">
        <v>90660</v>
      </c>
      <c r="C2075" s="710" t="s">
        <v>2189</v>
      </c>
      <c r="D2075" s="709" t="s">
        <v>234</v>
      </c>
      <c r="E2075" s="716">
        <v>4.47</v>
      </c>
      <c r="F2075" s="717">
        <v>0</v>
      </c>
      <c r="G2075">
        <f>VLOOKUP(B2075,'SINAPI-%MO'!B:E,4,0)</f>
        <v>0</v>
      </c>
      <c r="H2075" s="225">
        <f t="shared" si="32"/>
        <v>4.47</v>
      </c>
    </row>
    <row r="2076" spans="1:8" x14ac:dyDescent="0.3">
      <c r="A2076" s="400"/>
      <c r="B2076" s="709">
        <v>90661</v>
      </c>
      <c r="C2076" s="710" t="s">
        <v>2190</v>
      </c>
      <c r="D2076" s="709" t="s">
        <v>234</v>
      </c>
      <c r="E2076" s="716">
        <v>6.69</v>
      </c>
      <c r="F2076" s="717">
        <v>0</v>
      </c>
      <c r="G2076">
        <f>VLOOKUP(B2076,'SINAPI-%MO'!B:E,4,0)</f>
        <v>0</v>
      </c>
      <c r="H2076" s="225">
        <f t="shared" si="32"/>
        <v>6.69</v>
      </c>
    </row>
    <row r="2077" spans="1:8" x14ac:dyDescent="0.3">
      <c r="A2077" s="400"/>
      <c r="B2077" s="709">
        <v>89019</v>
      </c>
      <c r="C2077" s="710" t="s">
        <v>2191</v>
      </c>
      <c r="D2077" s="709" t="s">
        <v>234</v>
      </c>
      <c r="E2077" s="716">
        <v>0.55000000000000004</v>
      </c>
      <c r="F2077" s="717">
        <v>0</v>
      </c>
      <c r="G2077">
        <f>VLOOKUP(B2077,'SINAPI-%MO'!B:E,4,0)</f>
        <v>0</v>
      </c>
      <c r="H2077" s="225">
        <f t="shared" si="32"/>
        <v>0.55000000000000004</v>
      </c>
    </row>
    <row r="2078" spans="1:8" x14ac:dyDescent="0.3">
      <c r="A2078" s="400"/>
      <c r="B2078" s="709">
        <v>89020</v>
      </c>
      <c r="C2078" s="710" t="s">
        <v>2192</v>
      </c>
      <c r="D2078" s="709" t="s">
        <v>234</v>
      </c>
      <c r="E2078" s="716">
        <v>0.12</v>
      </c>
      <c r="F2078" s="717">
        <v>0</v>
      </c>
      <c r="G2078">
        <f>VLOOKUP(B2078,'SINAPI-%MO'!B:E,4,0)</f>
        <v>0</v>
      </c>
      <c r="H2078" s="225">
        <f t="shared" si="32"/>
        <v>0.12</v>
      </c>
    </row>
    <row r="2079" spans="1:8" x14ac:dyDescent="0.3">
      <c r="A2079" s="400"/>
      <c r="B2079" s="709">
        <v>5800</v>
      </c>
      <c r="C2079" s="710" t="s">
        <v>2193</v>
      </c>
      <c r="D2079" s="709" t="s">
        <v>234</v>
      </c>
      <c r="E2079" s="716">
        <v>0.6</v>
      </c>
      <c r="F2079" s="717">
        <v>0</v>
      </c>
      <c r="G2079">
        <f>VLOOKUP(B2079,'SINAPI-%MO'!B:E,4,0)</f>
        <v>0</v>
      </c>
      <c r="H2079" s="225">
        <f t="shared" si="32"/>
        <v>0.6</v>
      </c>
    </row>
    <row r="2080" spans="1:8" x14ac:dyDescent="0.3">
      <c r="A2080" s="400"/>
      <c r="B2080" s="709">
        <v>53866</v>
      </c>
      <c r="C2080" s="710" t="s">
        <v>2194</v>
      </c>
      <c r="D2080" s="709" t="s">
        <v>234</v>
      </c>
      <c r="E2080" s="716">
        <v>2.0099999999999998</v>
      </c>
      <c r="F2080" s="717">
        <v>0</v>
      </c>
      <c r="G2080">
        <f>VLOOKUP(B2080,'SINAPI-%MO'!B:E,4,0)</f>
        <v>0</v>
      </c>
      <c r="H2080" s="225">
        <f t="shared" si="32"/>
        <v>2.0099999999999998</v>
      </c>
    </row>
    <row r="2081" spans="1:8" x14ac:dyDescent="0.3">
      <c r="A2081" s="400"/>
      <c r="B2081" s="709">
        <v>90639</v>
      </c>
      <c r="C2081" s="710" t="s">
        <v>2195</v>
      </c>
      <c r="D2081" s="709" t="s">
        <v>234</v>
      </c>
      <c r="E2081" s="716">
        <v>5.86</v>
      </c>
      <c r="F2081" s="717">
        <v>0</v>
      </c>
      <c r="G2081">
        <f>VLOOKUP(B2081,'SINAPI-%MO'!B:E,4,0)</f>
        <v>0</v>
      </c>
      <c r="H2081" s="225">
        <f t="shared" si="32"/>
        <v>5.86</v>
      </c>
    </row>
    <row r="2082" spans="1:8" x14ac:dyDescent="0.3">
      <c r="A2082" s="400"/>
      <c r="B2082" s="709">
        <v>90640</v>
      </c>
      <c r="C2082" s="710" t="s">
        <v>2196</v>
      </c>
      <c r="D2082" s="709" t="s">
        <v>234</v>
      </c>
      <c r="E2082" s="716">
        <v>1.35</v>
      </c>
      <c r="F2082" s="717">
        <v>0</v>
      </c>
      <c r="G2082">
        <f>VLOOKUP(B2082,'SINAPI-%MO'!B:E,4,0)</f>
        <v>0</v>
      </c>
      <c r="H2082" s="225">
        <f t="shared" si="32"/>
        <v>1.35</v>
      </c>
    </row>
    <row r="2083" spans="1:8" x14ac:dyDescent="0.3">
      <c r="A2083" s="400"/>
      <c r="B2083" s="709">
        <v>90641</v>
      </c>
      <c r="C2083" s="710" t="s">
        <v>2197</v>
      </c>
      <c r="D2083" s="709" t="s">
        <v>234</v>
      </c>
      <c r="E2083" s="716">
        <v>6.4</v>
      </c>
      <c r="F2083" s="717">
        <v>0</v>
      </c>
      <c r="G2083">
        <f>VLOOKUP(B2083,'SINAPI-%MO'!B:E,4,0)</f>
        <v>0</v>
      </c>
      <c r="H2083" s="225">
        <f t="shared" si="32"/>
        <v>6.4</v>
      </c>
    </row>
    <row r="2084" spans="1:8" x14ac:dyDescent="0.3">
      <c r="A2084" s="400"/>
      <c r="B2084" s="709">
        <v>90642</v>
      </c>
      <c r="C2084" s="710" t="s">
        <v>2198</v>
      </c>
      <c r="D2084" s="709" t="s">
        <v>234</v>
      </c>
      <c r="E2084" s="716">
        <v>13.54</v>
      </c>
      <c r="F2084" s="717">
        <v>0</v>
      </c>
      <c r="G2084">
        <f>VLOOKUP(B2084,'SINAPI-%MO'!B:E,4,0)</f>
        <v>0</v>
      </c>
      <c r="H2084" s="225">
        <f t="shared" si="32"/>
        <v>13.54</v>
      </c>
    </row>
    <row r="2085" spans="1:8" x14ac:dyDescent="0.3">
      <c r="A2085" s="400"/>
      <c r="B2085" s="709">
        <v>102806</v>
      </c>
      <c r="C2085" s="710" t="s">
        <v>2199</v>
      </c>
      <c r="D2085" s="709" t="s">
        <v>234</v>
      </c>
      <c r="E2085" s="716">
        <v>0</v>
      </c>
      <c r="F2085" s="717"/>
      <c r="G2085" t="e">
        <f>VLOOKUP(B2085,'SINAPI-%MO'!B:E,4,0)</f>
        <v>#N/A</v>
      </c>
      <c r="H2085" s="225" t="str">
        <f t="shared" si="32"/>
        <v/>
      </c>
    </row>
    <row r="2086" spans="1:8" x14ac:dyDescent="0.3">
      <c r="A2086" s="400"/>
      <c r="B2086" s="709">
        <v>102807</v>
      </c>
      <c r="C2086" s="710" t="s">
        <v>2200</v>
      </c>
      <c r="D2086" s="709" t="s">
        <v>234</v>
      </c>
      <c r="E2086" s="716">
        <v>0</v>
      </c>
      <c r="F2086" s="717"/>
      <c r="G2086" t="e">
        <f>VLOOKUP(B2086,'SINAPI-%MO'!B:E,4,0)</f>
        <v>#N/A</v>
      </c>
      <c r="H2086" s="225" t="str">
        <f t="shared" si="32"/>
        <v/>
      </c>
    </row>
    <row r="2087" spans="1:8" x14ac:dyDescent="0.3">
      <c r="A2087" s="400"/>
      <c r="B2087" s="709">
        <v>102808</v>
      </c>
      <c r="C2087" s="710" t="s">
        <v>2201</v>
      </c>
      <c r="D2087" s="709" t="s">
        <v>234</v>
      </c>
      <c r="E2087" s="716">
        <v>0</v>
      </c>
      <c r="F2087" s="717"/>
      <c r="G2087" t="e">
        <f>VLOOKUP(B2087,'SINAPI-%MO'!B:E,4,0)</f>
        <v>#N/A</v>
      </c>
      <c r="H2087" s="225" t="str">
        <f t="shared" si="32"/>
        <v/>
      </c>
    </row>
    <row r="2088" spans="1:8" x14ac:dyDescent="0.3">
      <c r="A2088" s="400"/>
      <c r="B2088" s="709">
        <v>102809</v>
      </c>
      <c r="C2088" s="710" t="s">
        <v>2202</v>
      </c>
      <c r="D2088" s="709" t="s">
        <v>234</v>
      </c>
      <c r="E2088" s="716">
        <v>19.170000000000002</v>
      </c>
      <c r="F2088" s="717">
        <v>0</v>
      </c>
      <c r="G2088">
        <f>VLOOKUP(B2088,'SINAPI-%MO'!B:E,4,0)</f>
        <v>0</v>
      </c>
      <c r="H2088" s="225">
        <f t="shared" si="32"/>
        <v>19.170000000000002</v>
      </c>
    </row>
    <row r="2089" spans="1:8" x14ac:dyDescent="0.3">
      <c r="A2089" s="400"/>
      <c r="B2089" s="709">
        <v>92140</v>
      </c>
      <c r="C2089" s="710" t="s">
        <v>2203</v>
      </c>
      <c r="D2089" s="709" t="s">
        <v>234</v>
      </c>
      <c r="E2089" s="716">
        <v>4.95</v>
      </c>
      <c r="F2089" s="717">
        <v>0</v>
      </c>
      <c r="G2089">
        <f>VLOOKUP(B2089,'SINAPI-%MO'!B:E,4,0)</f>
        <v>0</v>
      </c>
      <c r="H2089" s="225">
        <f t="shared" si="32"/>
        <v>4.95</v>
      </c>
    </row>
    <row r="2090" spans="1:8" x14ac:dyDescent="0.3">
      <c r="A2090" s="400"/>
      <c r="B2090" s="709">
        <v>92142</v>
      </c>
      <c r="C2090" s="710" t="s">
        <v>2204</v>
      </c>
      <c r="D2090" s="709" t="s">
        <v>234</v>
      </c>
      <c r="E2090" s="716">
        <v>0.61</v>
      </c>
      <c r="F2090" s="717">
        <v>0</v>
      </c>
      <c r="G2090">
        <f>VLOOKUP(B2090,'SINAPI-%MO'!B:E,4,0)</f>
        <v>0</v>
      </c>
      <c r="H2090" s="225">
        <f t="shared" si="32"/>
        <v>0.61</v>
      </c>
    </row>
    <row r="2091" spans="1:8" x14ac:dyDescent="0.3">
      <c r="A2091" s="400"/>
      <c r="B2091" s="709">
        <v>92141</v>
      </c>
      <c r="C2091" s="710" t="s">
        <v>2205</v>
      </c>
      <c r="D2091" s="709" t="s">
        <v>234</v>
      </c>
      <c r="E2091" s="716">
        <v>1.52</v>
      </c>
      <c r="F2091" s="717">
        <v>0</v>
      </c>
      <c r="G2091">
        <f>VLOOKUP(B2091,'SINAPI-%MO'!B:E,4,0)</f>
        <v>0</v>
      </c>
      <c r="H2091" s="225">
        <f t="shared" si="32"/>
        <v>1.52</v>
      </c>
    </row>
    <row r="2092" spans="1:8" x14ac:dyDescent="0.3">
      <c r="A2092" s="400"/>
      <c r="B2092" s="709">
        <v>92143</v>
      </c>
      <c r="C2092" s="710" t="s">
        <v>2206</v>
      </c>
      <c r="D2092" s="709" t="s">
        <v>234</v>
      </c>
      <c r="E2092" s="716">
        <v>6.19</v>
      </c>
      <c r="F2092" s="717">
        <v>0</v>
      </c>
      <c r="G2092">
        <f>VLOOKUP(B2092,'SINAPI-%MO'!B:E,4,0)</f>
        <v>0</v>
      </c>
      <c r="H2092" s="225">
        <f t="shared" si="32"/>
        <v>6.19</v>
      </c>
    </row>
    <row r="2093" spans="1:8" x14ac:dyDescent="0.3">
      <c r="A2093" s="400"/>
      <c r="B2093" s="709">
        <v>92144</v>
      </c>
      <c r="C2093" s="710" t="s">
        <v>2207</v>
      </c>
      <c r="D2093" s="709" t="s">
        <v>234</v>
      </c>
      <c r="E2093" s="716">
        <v>41.67</v>
      </c>
      <c r="F2093" s="717">
        <v>0</v>
      </c>
      <c r="G2093">
        <f>VLOOKUP(B2093,'SINAPI-%MO'!B:E,4,0)</f>
        <v>0</v>
      </c>
      <c r="H2093" s="225">
        <f t="shared" si="32"/>
        <v>41.67</v>
      </c>
    </row>
    <row r="2094" spans="1:8" x14ac:dyDescent="0.3">
      <c r="A2094" s="400"/>
      <c r="B2094" s="709">
        <v>92133</v>
      </c>
      <c r="C2094" s="710" t="s">
        <v>2208</v>
      </c>
      <c r="D2094" s="709" t="s">
        <v>234</v>
      </c>
      <c r="E2094" s="716">
        <v>13.53</v>
      </c>
      <c r="F2094" s="717">
        <v>0</v>
      </c>
      <c r="G2094">
        <f>VLOOKUP(B2094,'SINAPI-%MO'!B:E,4,0)</f>
        <v>0</v>
      </c>
      <c r="H2094" s="225">
        <f t="shared" si="32"/>
        <v>13.53</v>
      </c>
    </row>
    <row r="2095" spans="1:8" x14ac:dyDescent="0.3">
      <c r="A2095" s="400"/>
      <c r="B2095" s="709">
        <v>92135</v>
      </c>
      <c r="C2095" s="710" t="s">
        <v>2209</v>
      </c>
      <c r="D2095" s="709" t="s">
        <v>234</v>
      </c>
      <c r="E2095" s="716">
        <v>1.69</v>
      </c>
      <c r="F2095" s="717">
        <v>0</v>
      </c>
      <c r="G2095">
        <f>VLOOKUP(B2095,'SINAPI-%MO'!B:E,4,0)</f>
        <v>0</v>
      </c>
      <c r="H2095" s="225">
        <f t="shared" si="32"/>
        <v>1.69</v>
      </c>
    </row>
    <row r="2096" spans="1:8" x14ac:dyDescent="0.3">
      <c r="A2096" s="400"/>
      <c r="B2096" s="709">
        <v>92134</v>
      </c>
      <c r="C2096" s="710" t="s">
        <v>2210</v>
      </c>
      <c r="D2096" s="709" t="s">
        <v>234</v>
      </c>
      <c r="E2096" s="716">
        <v>4.17</v>
      </c>
      <c r="F2096" s="717">
        <v>0</v>
      </c>
      <c r="G2096">
        <f>VLOOKUP(B2096,'SINAPI-%MO'!B:E,4,0)</f>
        <v>0</v>
      </c>
      <c r="H2096" s="225">
        <f t="shared" si="32"/>
        <v>4.17</v>
      </c>
    </row>
    <row r="2097" spans="1:8" x14ac:dyDescent="0.3">
      <c r="A2097" s="400"/>
      <c r="B2097" s="709">
        <v>92136</v>
      </c>
      <c r="C2097" s="710" t="s">
        <v>2211</v>
      </c>
      <c r="D2097" s="709" t="s">
        <v>234</v>
      </c>
      <c r="E2097" s="716">
        <v>16.91</v>
      </c>
      <c r="F2097" s="717">
        <v>0</v>
      </c>
      <c r="G2097">
        <f>VLOOKUP(B2097,'SINAPI-%MO'!B:E,4,0)</f>
        <v>0</v>
      </c>
      <c r="H2097" s="225">
        <f t="shared" si="32"/>
        <v>16.91</v>
      </c>
    </row>
    <row r="2098" spans="1:8" x14ac:dyDescent="0.3">
      <c r="A2098" s="400"/>
      <c r="B2098" s="709">
        <v>92137</v>
      </c>
      <c r="C2098" s="710" t="s">
        <v>2212</v>
      </c>
      <c r="D2098" s="709" t="s">
        <v>234</v>
      </c>
      <c r="E2098" s="716">
        <v>37.99</v>
      </c>
      <c r="F2098" s="717">
        <v>0</v>
      </c>
      <c r="G2098">
        <f>VLOOKUP(B2098,'SINAPI-%MO'!B:E,4,0)</f>
        <v>0</v>
      </c>
      <c r="H2098" s="225">
        <f t="shared" si="32"/>
        <v>37.99</v>
      </c>
    </row>
    <row r="2099" spans="1:8" x14ac:dyDescent="0.3">
      <c r="A2099" s="400"/>
      <c r="B2099" s="709">
        <v>91380</v>
      </c>
      <c r="C2099" s="710" t="s">
        <v>2213</v>
      </c>
      <c r="D2099" s="709" t="s">
        <v>234</v>
      </c>
      <c r="E2099" s="716">
        <v>34.29</v>
      </c>
      <c r="F2099" s="717">
        <v>0</v>
      </c>
      <c r="G2099">
        <f>VLOOKUP(B2099,'SINAPI-%MO'!B:E,4,0)</f>
        <v>0</v>
      </c>
      <c r="H2099" s="225">
        <f t="shared" si="32"/>
        <v>34.29</v>
      </c>
    </row>
    <row r="2100" spans="1:8" x14ac:dyDescent="0.3">
      <c r="A2100" s="400"/>
      <c r="B2100" s="709">
        <v>91382</v>
      </c>
      <c r="C2100" s="710" t="s">
        <v>2214</v>
      </c>
      <c r="D2100" s="709" t="s">
        <v>234</v>
      </c>
      <c r="E2100" s="716">
        <v>5.28</v>
      </c>
      <c r="F2100" s="717">
        <v>0</v>
      </c>
      <c r="G2100">
        <f>VLOOKUP(B2100,'SINAPI-%MO'!B:E,4,0)</f>
        <v>0</v>
      </c>
      <c r="H2100" s="225">
        <f t="shared" si="32"/>
        <v>5.28</v>
      </c>
    </row>
    <row r="2101" spans="1:8" x14ac:dyDescent="0.3">
      <c r="A2101" s="400"/>
      <c r="B2101" s="709">
        <v>91381</v>
      </c>
      <c r="C2101" s="710" t="s">
        <v>2215</v>
      </c>
      <c r="D2101" s="709" t="s">
        <v>234</v>
      </c>
      <c r="E2101" s="716">
        <v>13.09</v>
      </c>
      <c r="F2101" s="717">
        <v>0</v>
      </c>
      <c r="G2101">
        <f>VLOOKUP(B2101,'SINAPI-%MO'!B:E,4,0)</f>
        <v>0</v>
      </c>
      <c r="H2101" s="225">
        <f t="shared" si="32"/>
        <v>13.09</v>
      </c>
    </row>
    <row r="2102" spans="1:8" x14ac:dyDescent="0.3">
      <c r="A2102" s="400"/>
      <c r="B2102" s="709">
        <v>91383</v>
      </c>
      <c r="C2102" s="710" t="s">
        <v>2216</v>
      </c>
      <c r="D2102" s="709" t="s">
        <v>234</v>
      </c>
      <c r="E2102" s="716">
        <v>61.5</v>
      </c>
      <c r="F2102" s="717">
        <v>0</v>
      </c>
      <c r="G2102">
        <f>VLOOKUP(B2102,'SINAPI-%MO'!B:E,4,0)</f>
        <v>0</v>
      </c>
      <c r="H2102" s="225">
        <f t="shared" si="32"/>
        <v>61.5</v>
      </c>
    </row>
    <row r="2103" spans="1:8" x14ac:dyDescent="0.3">
      <c r="A2103" s="400"/>
      <c r="B2103" s="709">
        <v>91384</v>
      </c>
      <c r="C2103" s="710" t="s">
        <v>2217</v>
      </c>
      <c r="D2103" s="709" t="s">
        <v>234</v>
      </c>
      <c r="E2103" s="716">
        <v>152.86000000000001</v>
      </c>
      <c r="F2103" s="717">
        <v>0</v>
      </c>
      <c r="G2103">
        <f>VLOOKUP(B2103,'SINAPI-%MO'!B:E,4,0)</f>
        <v>0</v>
      </c>
      <c r="H2103" s="225">
        <f t="shared" si="32"/>
        <v>152.86000000000001</v>
      </c>
    </row>
    <row r="2104" spans="1:8" x14ac:dyDescent="0.3">
      <c r="A2104" s="400"/>
      <c r="B2104" s="709">
        <v>96030</v>
      </c>
      <c r="C2104" s="710" t="s">
        <v>2218</v>
      </c>
      <c r="D2104" s="709" t="s">
        <v>234</v>
      </c>
      <c r="E2104" s="716">
        <v>41.66</v>
      </c>
      <c r="F2104" s="717">
        <v>0.1769</v>
      </c>
      <c r="G2104">
        <f>VLOOKUP(B2104,'SINAPI-%MO'!B:E,4,0)</f>
        <v>0</v>
      </c>
      <c r="H2104" s="225">
        <f t="shared" si="32"/>
        <v>41.66</v>
      </c>
    </row>
    <row r="2105" spans="1:8" x14ac:dyDescent="0.3">
      <c r="A2105" s="400"/>
      <c r="B2105" s="709">
        <v>96032</v>
      </c>
      <c r="C2105" s="710" t="s">
        <v>2219</v>
      </c>
      <c r="D2105" s="709" t="s">
        <v>234</v>
      </c>
      <c r="E2105" s="716">
        <v>5.86</v>
      </c>
      <c r="F2105" s="717">
        <v>9.9000000000000005E-2</v>
      </c>
      <c r="G2105">
        <f>VLOOKUP(B2105,'SINAPI-%MO'!B:E,4,0)</f>
        <v>0</v>
      </c>
      <c r="H2105" s="225">
        <f t="shared" si="32"/>
        <v>5.86</v>
      </c>
    </row>
    <row r="2106" spans="1:8" x14ac:dyDescent="0.3">
      <c r="A2106" s="400"/>
      <c r="B2106" s="709">
        <v>96031</v>
      </c>
      <c r="C2106" s="710" t="s">
        <v>2220</v>
      </c>
      <c r="D2106" s="709" t="s">
        <v>234</v>
      </c>
      <c r="E2106" s="716">
        <v>14.6</v>
      </c>
      <c r="F2106" s="717">
        <v>0.10340000000000001</v>
      </c>
      <c r="G2106">
        <f>VLOOKUP(B2106,'SINAPI-%MO'!B:E,4,0)</f>
        <v>0</v>
      </c>
      <c r="H2106" s="225">
        <f t="shared" si="32"/>
        <v>14.6</v>
      </c>
    </row>
    <row r="2107" spans="1:8" x14ac:dyDescent="0.3">
      <c r="A2107" s="400"/>
      <c r="B2107" s="709">
        <v>96033</v>
      </c>
      <c r="C2107" s="710" t="s">
        <v>2221</v>
      </c>
      <c r="D2107" s="709" t="s">
        <v>234</v>
      </c>
      <c r="E2107" s="716">
        <v>67.64</v>
      </c>
      <c r="F2107" s="717">
        <v>9.0800000000000006E-2</v>
      </c>
      <c r="G2107">
        <f>VLOOKUP(B2107,'SINAPI-%MO'!B:E,4,0)</f>
        <v>0</v>
      </c>
      <c r="H2107" s="225">
        <f t="shared" si="32"/>
        <v>67.64</v>
      </c>
    </row>
    <row r="2108" spans="1:8" x14ac:dyDescent="0.3">
      <c r="A2108" s="400"/>
      <c r="B2108" s="709">
        <v>96034</v>
      </c>
      <c r="C2108" s="710" t="s">
        <v>2222</v>
      </c>
      <c r="D2108" s="709" t="s">
        <v>234</v>
      </c>
      <c r="E2108" s="716">
        <v>152.86000000000001</v>
      </c>
      <c r="F2108" s="717">
        <v>0</v>
      </c>
      <c r="G2108">
        <f>VLOOKUP(B2108,'SINAPI-%MO'!B:E,4,0)</f>
        <v>0</v>
      </c>
      <c r="H2108" s="225">
        <f t="shared" si="32"/>
        <v>152.86000000000001</v>
      </c>
    </row>
    <row r="2109" spans="1:8" x14ac:dyDescent="0.3">
      <c r="A2109" s="400"/>
      <c r="B2109" s="709">
        <v>89870</v>
      </c>
      <c r="C2109" s="710" t="s">
        <v>2223</v>
      </c>
      <c r="D2109" s="709" t="s">
        <v>234</v>
      </c>
      <c r="E2109" s="716">
        <v>45.2</v>
      </c>
      <c r="F2109" s="717">
        <v>0</v>
      </c>
      <c r="G2109">
        <f>VLOOKUP(B2109,'SINAPI-%MO'!B:E,4,0)</f>
        <v>0</v>
      </c>
      <c r="H2109" s="225">
        <f t="shared" si="32"/>
        <v>45.2</v>
      </c>
    </row>
    <row r="2110" spans="1:8" x14ac:dyDescent="0.3">
      <c r="A2110" s="400"/>
      <c r="B2110" s="709">
        <v>89872</v>
      </c>
      <c r="C2110" s="710" t="s">
        <v>2224</v>
      </c>
      <c r="D2110" s="709" t="s">
        <v>234</v>
      </c>
      <c r="E2110" s="716">
        <v>6.3</v>
      </c>
      <c r="F2110" s="717">
        <v>0</v>
      </c>
      <c r="G2110">
        <f>VLOOKUP(B2110,'SINAPI-%MO'!B:E,4,0)</f>
        <v>0</v>
      </c>
      <c r="H2110" s="225">
        <f t="shared" si="32"/>
        <v>6.3</v>
      </c>
    </row>
    <row r="2111" spans="1:8" x14ac:dyDescent="0.3">
      <c r="A2111" s="400"/>
      <c r="B2111" s="709">
        <v>89871</v>
      </c>
      <c r="C2111" s="710" t="s">
        <v>2225</v>
      </c>
      <c r="D2111" s="709" t="s">
        <v>234</v>
      </c>
      <c r="E2111" s="716">
        <v>15.6</v>
      </c>
      <c r="F2111" s="717">
        <v>0</v>
      </c>
      <c r="G2111">
        <f>VLOOKUP(B2111,'SINAPI-%MO'!B:E,4,0)</f>
        <v>0</v>
      </c>
      <c r="H2111" s="225">
        <f t="shared" si="32"/>
        <v>15.6</v>
      </c>
    </row>
    <row r="2112" spans="1:8" x14ac:dyDescent="0.3">
      <c r="A2112" s="400"/>
      <c r="B2112" s="709">
        <v>89873</v>
      </c>
      <c r="C2112" s="710" t="s">
        <v>2226</v>
      </c>
      <c r="D2112" s="709" t="s">
        <v>234</v>
      </c>
      <c r="E2112" s="716">
        <v>76.5</v>
      </c>
      <c r="F2112" s="717">
        <v>0</v>
      </c>
      <c r="G2112">
        <f>VLOOKUP(B2112,'SINAPI-%MO'!B:E,4,0)</f>
        <v>0</v>
      </c>
      <c r="H2112" s="225">
        <f t="shared" si="32"/>
        <v>76.5</v>
      </c>
    </row>
    <row r="2113" spans="1:8" x14ac:dyDescent="0.3">
      <c r="A2113" s="400"/>
      <c r="B2113" s="709">
        <v>89874</v>
      </c>
      <c r="C2113" s="710" t="s">
        <v>2227</v>
      </c>
      <c r="D2113" s="709" t="s">
        <v>234</v>
      </c>
      <c r="E2113" s="716">
        <v>190.08</v>
      </c>
      <c r="F2113" s="717">
        <v>0</v>
      </c>
      <c r="G2113">
        <f>VLOOKUP(B2113,'SINAPI-%MO'!B:E,4,0)</f>
        <v>0</v>
      </c>
      <c r="H2113" s="225">
        <f t="shared" si="32"/>
        <v>190.08</v>
      </c>
    </row>
    <row r="2114" spans="1:8" x14ac:dyDescent="0.3">
      <c r="A2114" s="400"/>
      <c r="B2114" s="709">
        <v>89878</v>
      </c>
      <c r="C2114" s="710" t="s">
        <v>2228</v>
      </c>
      <c r="D2114" s="709" t="s">
        <v>234</v>
      </c>
      <c r="E2114" s="716">
        <v>48.68</v>
      </c>
      <c r="F2114" s="717">
        <v>0</v>
      </c>
      <c r="G2114">
        <f>VLOOKUP(B2114,'SINAPI-%MO'!B:E,4,0)</f>
        <v>0</v>
      </c>
      <c r="H2114" s="225">
        <f t="shared" si="32"/>
        <v>48.68</v>
      </c>
    </row>
    <row r="2115" spans="1:8" x14ac:dyDescent="0.3">
      <c r="A2115" s="400"/>
      <c r="B2115" s="709">
        <v>89880</v>
      </c>
      <c r="C2115" s="710" t="s">
        <v>2229</v>
      </c>
      <c r="D2115" s="709" t="s">
        <v>234</v>
      </c>
      <c r="E2115" s="716">
        <v>6.66</v>
      </c>
      <c r="F2115" s="717">
        <v>0</v>
      </c>
      <c r="G2115">
        <f>VLOOKUP(B2115,'SINAPI-%MO'!B:E,4,0)</f>
        <v>0</v>
      </c>
      <c r="H2115" s="225">
        <f t="shared" si="32"/>
        <v>6.66</v>
      </c>
    </row>
    <row r="2116" spans="1:8" x14ac:dyDescent="0.3">
      <c r="A2116" s="400"/>
      <c r="B2116" s="709">
        <v>89879</v>
      </c>
      <c r="C2116" s="710" t="s">
        <v>2230</v>
      </c>
      <c r="D2116" s="709" t="s">
        <v>234</v>
      </c>
      <c r="E2116" s="716">
        <v>16.5</v>
      </c>
      <c r="F2116" s="717">
        <v>0</v>
      </c>
      <c r="G2116">
        <f>VLOOKUP(B2116,'SINAPI-%MO'!B:E,4,0)</f>
        <v>0</v>
      </c>
      <c r="H2116" s="225">
        <f t="shared" si="32"/>
        <v>16.5</v>
      </c>
    </row>
    <row r="2117" spans="1:8" x14ac:dyDescent="0.3">
      <c r="A2117" s="400"/>
      <c r="B2117" s="709">
        <v>89881</v>
      </c>
      <c r="C2117" s="710" t="s">
        <v>2231</v>
      </c>
      <c r="D2117" s="709" t="s">
        <v>234</v>
      </c>
      <c r="E2117" s="716">
        <v>81.540000000000006</v>
      </c>
      <c r="F2117" s="717">
        <v>0</v>
      </c>
      <c r="G2117">
        <f>VLOOKUP(B2117,'SINAPI-%MO'!B:E,4,0)</f>
        <v>0</v>
      </c>
      <c r="H2117" s="225">
        <f t="shared" si="32"/>
        <v>81.540000000000006</v>
      </c>
    </row>
    <row r="2118" spans="1:8" x14ac:dyDescent="0.3">
      <c r="A2118" s="400"/>
      <c r="B2118" s="709">
        <v>89882</v>
      </c>
      <c r="C2118" s="710" t="s">
        <v>2232</v>
      </c>
      <c r="D2118" s="709" t="s">
        <v>234</v>
      </c>
      <c r="E2118" s="716">
        <v>219.3</v>
      </c>
      <c r="F2118" s="717">
        <v>0</v>
      </c>
      <c r="G2118">
        <f>VLOOKUP(B2118,'SINAPI-%MO'!B:E,4,0)</f>
        <v>0</v>
      </c>
      <c r="H2118" s="225">
        <f t="shared" si="32"/>
        <v>219.3</v>
      </c>
    </row>
    <row r="2119" spans="1:8" x14ac:dyDescent="0.3">
      <c r="A2119" s="400"/>
      <c r="B2119" s="709">
        <v>7058</v>
      </c>
      <c r="C2119" s="710" t="s">
        <v>2233</v>
      </c>
      <c r="D2119" s="709" t="s">
        <v>234</v>
      </c>
      <c r="E2119" s="716">
        <v>26.93</v>
      </c>
      <c r="F2119" s="717">
        <v>0</v>
      </c>
      <c r="G2119">
        <f>VLOOKUP(B2119,'SINAPI-%MO'!B:E,4,0)</f>
        <v>0</v>
      </c>
      <c r="H2119" s="225">
        <f t="shared" si="32"/>
        <v>26.93</v>
      </c>
    </row>
    <row r="2120" spans="1:8" x14ac:dyDescent="0.3">
      <c r="A2120" s="400"/>
      <c r="B2120" s="709">
        <v>91402</v>
      </c>
      <c r="C2120" s="710" t="s">
        <v>2234</v>
      </c>
      <c r="D2120" s="709" t="s">
        <v>234</v>
      </c>
      <c r="E2120" s="716">
        <v>4.16</v>
      </c>
      <c r="F2120" s="717">
        <v>0</v>
      </c>
      <c r="G2120">
        <f>VLOOKUP(B2120,'SINAPI-%MO'!B:E,4,0)</f>
        <v>0</v>
      </c>
      <c r="H2120" s="225">
        <f t="shared" si="32"/>
        <v>4.16</v>
      </c>
    </row>
    <row r="2121" spans="1:8" x14ac:dyDescent="0.3">
      <c r="A2121" s="400"/>
      <c r="B2121" s="709">
        <v>7059</v>
      </c>
      <c r="C2121" s="710" t="s">
        <v>2235</v>
      </c>
      <c r="D2121" s="709" t="s">
        <v>234</v>
      </c>
      <c r="E2121" s="716">
        <v>10.32</v>
      </c>
      <c r="F2121" s="717">
        <v>0</v>
      </c>
      <c r="G2121">
        <f>VLOOKUP(B2121,'SINAPI-%MO'!B:E,4,0)</f>
        <v>0</v>
      </c>
      <c r="H2121" s="225">
        <f t="shared" si="32"/>
        <v>10.32</v>
      </c>
    </row>
    <row r="2122" spans="1:8" x14ac:dyDescent="0.3">
      <c r="A2122" s="400"/>
      <c r="B2122" s="709">
        <v>7060</v>
      </c>
      <c r="C2122" s="710" t="s">
        <v>2236</v>
      </c>
      <c r="D2122" s="709" t="s">
        <v>234</v>
      </c>
      <c r="E2122" s="716">
        <v>48.42</v>
      </c>
      <c r="F2122" s="717">
        <v>0</v>
      </c>
      <c r="G2122">
        <f>VLOOKUP(B2122,'SINAPI-%MO'!B:E,4,0)</f>
        <v>0</v>
      </c>
      <c r="H2122" s="225">
        <f t="shared" si="32"/>
        <v>48.42</v>
      </c>
    </row>
    <row r="2123" spans="1:8" x14ac:dyDescent="0.3">
      <c r="A2123" s="400"/>
      <c r="B2123" s="709">
        <v>7061</v>
      </c>
      <c r="C2123" s="710" t="s">
        <v>2237</v>
      </c>
      <c r="D2123" s="709" t="s">
        <v>234</v>
      </c>
      <c r="E2123" s="716">
        <v>87.84</v>
      </c>
      <c r="F2123" s="717">
        <v>0</v>
      </c>
      <c r="G2123">
        <f>VLOOKUP(B2123,'SINAPI-%MO'!B:E,4,0)</f>
        <v>0</v>
      </c>
      <c r="H2123" s="225">
        <f t="shared" ref="H2123:H2186" si="33">IF(E2123&gt;0,TRUNC(E2123*(1-G2123),2),"")</f>
        <v>87.84</v>
      </c>
    </row>
    <row r="2124" spans="1:8" x14ac:dyDescent="0.3">
      <c r="A2124" s="400"/>
      <c r="B2124" s="709">
        <v>91367</v>
      </c>
      <c r="C2124" s="710" t="s">
        <v>2238</v>
      </c>
      <c r="D2124" s="709" t="s">
        <v>234</v>
      </c>
      <c r="E2124" s="716">
        <v>26.05</v>
      </c>
      <c r="F2124" s="717">
        <v>0</v>
      </c>
      <c r="G2124">
        <f>VLOOKUP(B2124,'SINAPI-%MO'!B:E,4,0)</f>
        <v>0</v>
      </c>
      <c r="H2124" s="225">
        <f t="shared" si="33"/>
        <v>26.05</v>
      </c>
    </row>
    <row r="2125" spans="1:8" x14ac:dyDescent="0.3">
      <c r="A2125" s="400"/>
      <c r="B2125" s="709">
        <v>91369</v>
      </c>
      <c r="C2125" s="710" t="s">
        <v>2239</v>
      </c>
      <c r="D2125" s="709" t="s">
        <v>234</v>
      </c>
      <c r="E2125" s="716">
        <v>4.01</v>
      </c>
      <c r="F2125" s="717">
        <v>0</v>
      </c>
      <c r="G2125">
        <f>VLOOKUP(B2125,'SINAPI-%MO'!B:E,4,0)</f>
        <v>0</v>
      </c>
      <c r="H2125" s="225">
        <f t="shared" si="33"/>
        <v>4.01</v>
      </c>
    </row>
    <row r="2126" spans="1:8" x14ac:dyDescent="0.3">
      <c r="A2126" s="400"/>
      <c r="B2126" s="709">
        <v>91368</v>
      </c>
      <c r="C2126" s="710" t="s">
        <v>2240</v>
      </c>
      <c r="D2126" s="709" t="s">
        <v>234</v>
      </c>
      <c r="E2126" s="716">
        <v>9.9499999999999993</v>
      </c>
      <c r="F2126" s="717">
        <v>0</v>
      </c>
      <c r="G2126">
        <f>VLOOKUP(B2126,'SINAPI-%MO'!B:E,4,0)</f>
        <v>0</v>
      </c>
      <c r="H2126" s="225">
        <f t="shared" si="33"/>
        <v>9.9499999999999993</v>
      </c>
    </row>
    <row r="2127" spans="1:8" x14ac:dyDescent="0.3">
      <c r="A2127" s="400"/>
      <c r="B2127" s="709">
        <v>5695</v>
      </c>
      <c r="C2127" s="710" t="s">
        <v>2241</v>
      </c>
      <c r="D2127" s="709" t="s">
        <v>234</v>
      </c>
      <c r="E2127" s="716">
        <v>46.82</v>
      </c>
      <c r="F2127" s="717">
        <v>0</v>
      </c>
      <c r="G2127">
        <f>VLOOKUP(B2127,'SINAPI-%MO'!B:E,4,0)</f>
        <v>0</v>
      </c>
      <c r="H2127" s="225">
        <f t="shared" si="33"/>
        <v>46.82</v>
      </c>
    </row>
    <row r="2128" spans="1:8" x14ac:dyDescent="0.3">
      <c r="A2128" s="400"/>
      <c r="B2128" s="709">
        <v>53792</v>
      </c>
      <c r="C2128" s="710" t="s">
        <v>2242</v>
      </c>
      <c r="D2128" s="709" t="s">
        <v>234</v>
      </c>
      <c r="E2128" s="716">
        <v>109.19</v>
      </c>
      <c r="F2128" s="717">
        <v>0</v>
      </c>
      <c r="G2128">
        <f>VLOOKUP(B2128,'SINAPI-%MO'!B:E,4,0)</f>
        <v>0</v>
      </c>
      <c r="H2128" s="225">
        <f t="shared" si="33"/>
        <v>109.19</v>
      </c>
    </row>
    <row r="2129" spans="1:8" x14ac:dyDescent="0.3">
      <c r="A2129" s="400"/>
      <c r="B2129" s="709">
        <v>106347</v>
      </c>
      <c r="C2129" s="710" t="s">
        <v>14915</v>
      </c>
      <c r="D2129" s="709" t="s">
        <v>234</v>
      </c>
      <c r="E2129" s="716">
        <v>0</v>
      </c>
      <c r="F2129" s="717"/>
      <c r="G2129" t="e">
        <f>VLOOKUP(B2129,'SINAPI-%MO'!B:E,4,0)</f>
        <v>#N/A</v>
      </c>
      <c r="H2129" s="225" t="str">
        <f t="shared" si="33"/>
        <v/>
      </c>
    </row>
    <row r="2130" spans="1:8" x14ac:dyDescent="0.3">
      <c r="A2130" s="400"/>
      <c r="B2130" s="709">
        <v>106350</v>
      </c>
      <c r="C2130" s="710" t="s">
        <v>14916</v>
      </c>
      <c r="D2130" s="709" t="s">
        <v>234</v>
      </c>
      <c r="E2130" s="716">
        <v>0</v>
      </c>
      <c r="F2130" s="717"/>
      <c r="G2130" t="e">
        <f>VLOOKUP(B2130,'SINAPI-%MO'!B:E,4,0)</f>
        <v>#N/A</v>
      </c>
      <c r="H2130" s="225" t="str">
        <f t="shared" si="33"/>
        <v/>
      </c>
    </row>
    <row r="2131" spans="1:8" x14ac:dyDescent="0.3">
      <c r="A2131" s="400"/>
      <c r="B2131" s="709">
        <v>106348</v>
      </c>
      <c r="C2131" s="710" t="s">
        <v>14917</v>
      </c>
      <c r="D2131" s="709" t="s">
        <v>234</v>
      </c>
      <c r="E2131" s="716">
        <v>0</v>
      </c>
      <c r="F2131" s="717"/>
      <c r="G2131" t="e">
        <f>VLOOKUP(B2131,'SINAPI-%MO'!B:E,4,0)</f>
        <v>#N/A</v>
      </c>
      <c r="H2131" s="225" t="str">
        <f t="shared" si="33"/>
        <v/>
      </c>
    </row>
    <row r="2132" spans="1:8" x14ac:dyDescent="0.3">
      <c r="A2132" s="400"/>
      <c r="B2132" s="709">
        <v>106349</v>
      </c>
      <c r="C2132" s="710" t="s">
        <v>14918</v>
      </c>
      <c r="D2132" s="709" t="s">
        <v>234</v>
      </c>
      <c r="E2132" s="716">
        <v>0</v>
      </c>
      <c r="F2132" s="717"/>
      <c r="G2132" t="e">
        <f>VLOOKUP(B2132,'SINAPI-%MO'!B:E,4,0)</f>
        <v>#N/A</v>
      </c>
      <c r="H2132" s="225" t="str">
        <f t="shared" si="33"/>
        <v/>
      </c>
    </row>
    <row r="2133" spans="1:8" x14ac:dyDescent="0.3">
      <c r="A2133" s="400"/>
      <c r="B2133" s="709">
        <v>106351</v>
      </c>
      <c r="C2133" s="710" t="s">
        <v>13345</v>
      </c>
      <c r="D2133" s="709" t="s">
        <v>234</v>
      </c>
      <c r="E2133" s="716">
        <v>213.36</v>
      </c>
      <c r="F2133" s="717">
        <v>0</v>
      </c>
      <c r="G2133">
        <f>VLOOKUP(B2133,'SINAPI-%MO'!B:E,4,0)</f>
        <v>0</v>
      </c>
      <c r="H2133" s="225">
        <f t="shared" si="33"/>
        <v>213.36</v>
      </c>
    </row>
    <row r="2134" spans="1:8" x14ac:dyDescent="0.3">
      <c r="A2134" s="400"/>
      <c r="B2134" s="709">
        <v>106337</v>
      </c>
      <c r="C2134" s="710" t="s">
        <v>14919</v>
      </c>
      <c r="D2134" s="709" t="s">
        <v>234</v>
      </c>
      <c r="E2134" s="716">
        <v>0</v>
      </c>
      <c r="F2134" s="717"/>
      <c r="G2134" t="e">
        <f>VLOOKUP(B2134,'SINAPI-%MO'!B:E,4,0)</f>
        <v>#N/A</v>
      </c>
      <c r="H2134" s="225" t="str">
        <f t="shared" si="33"/>
        <v/>
      </c>
    </row>
    <row r="2135" spans="1:8" x14ac:dyDescent="0.3">
      <c r="A2135" s="400"/>
      <c r="B2135" s="709">
        <v>106340</v>
      </c>
      <c r="C2135" s="710" t="s">
        <v>14920</v>
      </c>
      <c r="D2135" s="709" t="s">
        <v>234</v>
      </c>
      <c r="E2135" s="716">
        <v>0</v>
      </c>
      <c r="F2135" s="717"/>
      <c r="G2135" t="e">
        <f>VLOOKUP(B2135,'SINAPI-%MO'!B:E,4,0)</f>
        <v>#N/A</v>
      </c>
      <c r="H2135" s="225" t="str">
        <f t="shared" si="33"/>
        <v/>
      </c>
    </row>
    <row r="2136" spans="1:8" x14ac:dyDescent="0.3">
      <c r="A2136" s="400"/>
      <c r="B2136" s="709">
        <v>106338</v>
      </c>
      <c r="C2136" s="710" t="s">
        <v>14921</v>
      </c>
      <c r="D2136" s="709" t="s">
        <v>234</v>
      </c>
      <c r="E2136" s="716">
        <v>0</v>
      </c>
      <c r="F2136" s="717"/>
      <c r="G2136" t="e">
        <f>VLOOKUP(B2136,'SINAPI-%MO'!B:E,4,0)</f>
        <v>#N/A</v>
      </c>
      <c r="H2136" s="225" t="str">
        <f t="shared" si="33"/>
        <v/>
      </c>
    </row>
    <row r="2137" spans="1:8" x14ac:dyDescent="0.3">
      <c r="A2137" s="400"/>
      <c r="B2137" s="709">
        <v>106339</v>
      </c>
      <c r="C2137" s="710" t="s">
        <v>14922</v>
      </c>
      <c r="D2137" s="709" t="s">
        <v>234</v>
      </c>
      <c r="E2137" s="716">
        <v>0</v>
      </c>
      <c r="F2137" s="717"/>
      <c r="G2137" t="e">
        <f>VLOOKUP(B2137,'SINAPI-%MO'!B:E,4,0)</f>
        <v>#N/A</v>
      </c>
      <c r="H2137" s="225" t="str">
        <f t="shared" si="33"/>
        <v/>
      </c>
    </row>
    <row r="2138" spans="1:8" x14ac:dyDescent="0.3">
      <c r="A2138" s="400"/>
      <c r="B2138" s="709">
        <v>106341</v>
      </c>
      <c r="C2138" s="710" t="s">
        <v>13346</v>
      </c>
      <c r="D2138" s="709" t="s">
        <v>234</v>
      </c>
      <c r="E2138" s="716">
        <v>289.54000000000002</v>
      </c>
      <c r="F2138" s="717">
        <v>0</v>
      </c>
      <c r="G2138">
        <f>VLOOKUP(B2138,'SINAPI-%MO'!B:E,4,0)</f>
        <v>0</v>
      </c>
      <c r="H2138" s="225">
        <f t="shared" si="33"/>
        <v>289.54000000000002</v>
      </c>
    </row>
    <row r="2139" spans="1:8" x14ac:dyDescent="0.3">
      <c r="A2139" s="400"/>
      <c r="B2139" s="709">
        <v>92237</v>
      </c>
      <c r="C2139" s="710" t="s">
        <v>2243</v>
      </c>
      <c r="D2139" s="709" t="s">
        <v>234</v>
      </c>
      <c r="E2139" s="716">
        <v>31.86</v>
      </c>
      <c r="F2139" s="717">
        <v>0.12809999999999999</v>
      </c>
      <c r="G2139">
        <f>VLOOKUP(B2139,'SINAPI-%MO'!B:E,4,0)</f>
        <v>0</v>
      </c>
      <c r="H2139" s="225">
        <f t="shared" si="33"/>
        <v>31.86</v>
      </c>
    </row>
    <row r="2140" spans="1:8" x14ac:dyDescent="0.3">
      <c r="A2140" s="400"/>
      <c r="B2140" s="709">
        <v>92239</v>
      </c>
      <c r="C2140" s="710" t="s">
        <v>2244</v>
      </c>
      <c r="D2140" s="709" t="s">
        <v>234</v>
      </c>
      <c r="E2140" s="716">
        <v>5.18</v>
      </c>
      <c r="F2140" s="717">
        <v>0.11</v>
      </c>
      <c r="G2140">
        <f>VLOOKUP(B2140,'SINAPI-%MO'!B:E,4,0)</f>
        <v>0</v>
      </c>
      <c r="H2140" s="225">
        <f t="shared" si="33"/>
        <v>5.18</v>
      </c>
    </row>
    <row r="2141" spans="1:8" x14ac:dyDescent="0.3">
      <c r="A2141" s="400"/>
      <c r="B2141" s="709">
        <v>92238</v>
      </c>
      <c r="C2141" s="710" t="s">
        <v>2245</v>
      </c>
      <c r="D2141" s="709" t="s">
        <v>234</v>
      </c>
      <c r="E2141" s="716">
        <v>12.83</v>
      </c>
      <c r="F2141" s="717">
        <v>0.1099</v>
      </c>
      <c r="G2141">
        <f>VLOOKUP(B2141,'SINAPI-%MO'!B:E,4,0)</f>
        <v>0</v>
      </c>
      <c r="H2141" s="225">
        <f t="shared" si="33"/>
        <v>12.83</v>
      </c>
    </row>
    <row r="2142" spans="1:8" x14ac:dyDescent="0.3">
      <c r="A2142" s="400"/>
      <c r="B2142" s="709">
        <v>92240</v>
      </c>
      <c r="C2142" s="710" t="s">
        <v>2246</v>
      </c>
      <c r="D2142" s="709" t="s">
        <v>234</v>
      </c>
      <c r="E2142" s="716">
        <v>57.18</v>
      </c>
      <c r="F2142" s="717">
        <v>8.9200000000000002E-2</v>
      </c>
      <c r="G2142">
        <f>VLOOKUP(B2142,'SINAPI-%MO'!B:E,4,0)</f>
        <v>0</v>
      </c>
      <c r="H2142" s="225">
        <f t="shared" si="33"/>
        <v>57.18</v>
      </c>
    </row>
    <row r="2143" spans="1:8" x14ac:dyDescent="0.3">
      <c r="A2143" s="400"/>
      <c r="B2143" s="709">
        <v>92241</v>
      </c>
      <c r="C2143" s="710" t="s">
        <v>2247</v>
      </c>
      <c r="D2143" s="709" t="s">
        <v>234</v>
      </c>
      <c r="E2143" s="716">
        <v>297.66000000000003</v>
      </c>
      <c r="F2143" s="717">
        <v>0</v>
      </c>
      <c r="G2143">
        <f>VLOOKUP(B2143,'SINAPI-%MO'!B:E,4,0)</f>
        <v>0</v>
      </c>
      <c r="H2143" s="225">
        <f t="shared" si="33"/>
        <v>297.66000000000003</v>
      </c>
    </row>
    <row r="2144" spans="1:8" x14ac:dyDescent="0.3">
      <c r="A2144" s="400"/>
      <c r="B2144" s="709">
        <v>91640</v>
      </c>
      <c r="C2144" s="710" t="s">
        <v>2248</v>
      </c>
      <c r="D2144" s="709" t="s">
        <v>234</v>
      </c>
      <c r="E2144" s="716">
        <v>43.74</v>
      </c>
      <c r="F2144" s="717">
        <v>0.1148</v>
      </c>
      <c r="G2144">
        <f>VLOOKUP(B2144,'SINAPI-%MO'!B:E,4,0)</f>
        <v>0</v>
      </c>
      <c r="H2144" s="225">
        <f t="shared" si="33"/>
        <v>43.74</v>
      </c>
    </row>
    <row r="2145" spans="1:8" x14ac:dyDescent="0.3">
      <c r="A2145" s="400"/>
      <c r="B2145" s="709">
        <v>91642</v>
      </c>
      <c r="C2145" s="710" t="s">
        <v>2249</v>
      </c>
      <c r="D2145" s="709" t="s">
        <v>234</v>
      </c>
      <c r="E2145" s="716">
        <v>7.13</v>
      </c>
      <c r="F2145" s="717">
        <v>9.8199999999999996E-2</v>
      </c>
      <c r="G2145">
        <f>VLOOKUP(B2145,'SINAPI-%MO'!B:E,4,0)</f>
        <v>0</v>
      </c>
      <c r="H2145" s="225">
        <f t="shared" si="33"/>
        <v>7.13</v>
      </c>
    </row>
    <row r="2146" spans="1:8" x14ac:dyDescent="0.3">
      <c r="A2146" s="400"/>
      <c r="B2146" s="709">
        <v>91641</v>
      </c>
      <c r="C2146" s="710" t="s">
        <v>2250</v>
      </c>
      <c r="D2146" s="709" t="s">
        <v>234</v>
      </c>
      <c r="E2146" s="716">
        <v>17.66</v>
      </c>
      <c r="F2146" s="717">
        <v>9.8500000000000004E-2</v>
      </c>
      <c r="G2146">
        <f>VLOOKUP(B2146,'SINAPI-%MO'!B:E,4,0)</f>
        <v>0</v>
      </c>
      <c r="H2146" s="225">
        <f t="shared" si="33"/>
        <v>17.66</v>
      </c>
    </row>
    <row r="2147" spans="1:8" x14ac:dyDescent="0.3">
      <c r="A2147" s="400"/>
      <c r="B2147" s="709">
        <v>91643</v>
      </c>
      <c r="C2147" s="710" t="s">
        <v>2251</v>
      </c>
      <c r="D2147" s="709" t="s">
        <v>234</v>
      </c>
      <c r="E2147" s="716">
        <v>78.87</v>
      </c>
      <c r="F2147" s="717">
        <v>7.9500000000000001E-2</v>
      </c>
      <c r="G2147">
        <f>VLOOKUP(B2147,'SINAPI-%MO'!B:E,4,0)</f>
        <v>0</v>
      </c>
      <c r="H2147" s="225">
        <f t="shared" si="33"/>
        <v>78.87</v>
      </c>
    </row>
    <row r="2148" spans="1:8" x14ac:dyDescent="0.3">
      <c r="A2148" s="400"/>
      <c r="B2148" s="709">
        <v>91644</v>
      </c>
      <c r="C2148" s="710" t="s">
        <v>2252</v>
      </c>
      <c r="D2148" s="709" t="s">
        <v>234</v>
      </c>
      <c r="E2148" s="716">
        <v>324.69</v>
      </c>
      <c r="F2148" s="717">
        <v>0</v>
      </c>
      <c r="G2148">
        <f>VLOOKUP(B2148,'SINAPI-%MO'!B:E,4,0)</f>
        <v>0</v>
      </c>
      <c r="H2148" s="225">
        <f t="shared" si="33"/>
        <v>324.69</v>
      </c>
    </row>
    <row r="2149" spans="1:8" x14ac:dyDescent="0.3">
      <c r="A2149" s="400"/>
      <c r="B2149" s="709">
        <v>92105</v>
      </c>
      <c r="C2149" s="710" t="s">
        <v>2253</v>
      </c>
      <c r="D2149" s="709" t="s">
        <v>234</v>
      </c>
      <c r="E2149" s="716">
        <v>207.43</v>
      </c>
      <c r="F2149" s="717">
        <v>0</v>
      </c>
      <c r="G2149">
        <f>VLOOKUP(B2149,'SINAPI-%MO'!B:E,4,0)</f>
        <v>0</v>
      </c>
      <c r="H2149" s="225">
        <f t="shared" si="33"/>
        <v>207.43</v>
      </c>
    </row>
    <row r="2150" spans="1:8" x14ac:dyDescent="0.3">
      <c r="A2150" s="400"/>
      <c r="B2150" s="709">
        <v>92101</v>
      </c>
      <c r="C2150" s="710" t="s">
        <v>2254</v>
      </c>
      <c r="D2150" s="709" t="s">
        <v>234</v>
      </c>
      <c r="E2150" s="716">
        <v>50.04</v>
      </c>
      <c r="F2150" s="717">
        <v>0.45400000000000001</v>
      </c>
      <c r="G2150">
        <f>VLOOKUP(B2150,'SINAPI-%MO'!B:E,4,0)</f>
        <v>0</v>
      </c>
      <c r="H2150" s="225">
        <f t="shared" si="33"/>
        <v>50.04</v>
      </c>
    </row>
    <row r="2151" spans="1:8" x14ac:dyDescent="0.3">
      <c r="A2151" s="400"/>
      <c r="B2151" s="709">
        <v>92103</v>
      </c>
      <c r="C2151" s="710" t="s">
        <v>2255</v>
      </c>
      <c r="D2151" s="709" t="s">
        <v>234</v>
      </c>
      <c r="E2151" s="716">
        <v>6.43</v>
      </c>
      <c r="F2151" s="717">
        <v>0.29389999999999999</v>
      </c>
      <c r="G2151">
        <f>VLOOKUP(B2151,'SINAPI-%MO'!B:E,4,0)</f>
        <v>0</v>
      </c>
      <c r="H2151" s="225">
        <f t="shared" si="33"/>
        <v>6.43</v>
      </c>
    </row>
    <row r="2152" spans="1:8" x14ac:dyDescent="0.3">
      <c r="A2152" s="400"/>
      <c r="B2152" s="709">
        <v>92102</v>
      </c>
      <c r="C2152" s="710" t="s">
        <v>2256</v>
      </c>
      <c r="D2152" s="709" t="s">
        <v>234</v>
      </c>
      <c r="E2152" s="716">
        <v>15.9</v>
      </c>
      <c r="F2152" s="717">
        <v>0.29370000000000002</v>
      </c>
      <c r="G2152">
        <f>VLOOKUP(B2152,'SINAPI-%MO'!B:E,4,0)</f>
        <v>0</v>
      </c>
      <c r="H2152" s="225">
        <f t="shared" si="33"/>
        <v>15.9</v>
      </c>
    </row>
    <row r="2153" spans="1:8" x14ac:dyDescent="0.3">
      <c r="A2153" s="400"/>
      <c r="B2153" s="709">
        <v>92104</v>
      </c>
      <c r="C2153" s="710" t="s">
        <v>2257</v>
      </c>
      <c r="D2153" s="709" t="s">
        <v>234</v>
      </c>
      <c r="E2153" s="716">
        <v>79.62</v>
      </c>
      <c r="F2153" s="717">
        <v>0.35670000000000002</v>
      </c>
      <c r="G2153">
        <f>VLOOKUP(B2153,'SINAPI-%MO'!B:E,4,0)</f>
        <v>0</v>
      </c>
      <c r="H2153" s="225">
        <f t="shared" si="33"/>
        <v>79.62</v>
      </c>
    </row>
    <row r="2154" spans="1:8" x14ac:dyDescent="0.3">
      <c r="A2154" s="400"/>
      <c r="B2154" s="709">
        <v>91396</v>
      </c>
      <c r="C2154" s="710" t="s">
        <v>2258</v>
      </c>
      <c r="D2154" s="709" t="s">
        <v>234</v>
      </c>
      <c r="E2154" s="716">
        <v>33.29</v>
      </c>
      <c r="F2154" s="717">
        <v>0.1517</v>
      </c>
      <c r="G2154">
        <f>VLOOKUP(B2154,'SINAPI-%MO'!B:E,4,0)</f>
        <v>0</v>
      </c>
      <c r="H2154" s="225">
        <f t="shared" si="33"/>
        <v>33.29</v>
      </c>
    </row>
    <row r="2155" spans="1:8" x14ac:dyDescent="0.3">
      <c r="A2155" s="400"/>
      <c r="B2155" s="709">
        <v>91398</v>
      </c>
      <c r="C2155" s="710" t="s">
        <v>2259</v>
      </c>
      <c r="D2155" s="709" t="s">
        <v>234</v>
      </c>
      <c r="E2155" s="716">
        <v>5.22</v>
      </c>
      <c r="F2155" s="717">
        <v>0.10150000000000001</v>
      </c>
      <c r="G2155">
        <f>VLOOKUP(B2155,'SINAPI-%MO'!B:E,4,0)</f>
        <v>0</v>
      </c>
      <c r="H2155" s="225">
        <f t="shared" si="33"/>
        <v>5.22</v>
      </c>
    </row>
    <row r="2156" spans="1:8" x14ac:dyDescent="0.3">
      <c r="A2156" s="400"/>
      <c r="B2156" s="709">
        <v>91397</v>
      </c>
      <c r="C2156" s="710" t="s">
        <v>2260</v>
      </c>
      <c r="D2156" s="709" t="s">
        <v>234</v>
      </c>
      <c r="E2156" s="716">
        <v>12.93</v>
      </c>
      <c r="F2156" s="717">
        <v>0.1021</v>
      </c>
      <c r="G2156">
        <f>VLOOKUP(B2156,'SINAPI-%MO'!B:E,4,0)</f>
        <v>0</v>
      </c>
      <c r="H2156" s="225">
        <f t="shared" si="33"/>
        <v>12.93</v>
      </c>
    </row>
    <row r="2157" spans="1:8" x14ac:dyDescent="0.3">
      <c r="A2157" s="400"/>
      <c r="B2157" s="709">
        <v>5763</v>
      </c>
      <c r="C2157" s="710" t="s">
        <v>2261</v>
      </c>
      <c r="D2157" s="709" t="s">
        <v>234</v>
      </c>
      <c r="E2157" s="716">
        <v>59.27</v>
      </c>
      <c r="F2157" s="717">
        <v>0.1066</v>
      </c>
      <c r="G2157">
        <f>VLOOKUP(B2157,'SINAPI-%MO'!B:E,4,0)</f>
        <v>0</v>
      </c>
      <c r="H2157" s="225">
        <f t="shared" si="33"/>
        <v>59.27</v>
      </c>
    </row>
    <row r="2158" spans="1:8" x14ac:dyDescent="0.3">
      <c r="A2158" s="400"/>
      <c r="B2158" s="709">
        <v>53831</v>
      </c>
      <c r="C2158" s="710" t="s">
        <v>2262</v>
      </c>
      <c r="D2158" s="709" t="s">
        <v>234</v>
      </c>
      <c r="E2158" s="716">
        <v>207.43</v>
      </c>
      <c r="F2158" s="717">
        <v>0</v>
      </c>
      <c r="G2158">
        <f>VLOOKUP(B2158,'SINAPI-%MO'!B:E,4,0)</f>
        <v>0</v>
      </c>
      <c r="H2158" s="225">
        <f t="shared" si="33"/>
        <v>207.43</v>
      </c>
    </row>
    <row r="2159" spans="1:8" x14ac:dyDescent="0.3">
      <c r="A2159" s="400"/>
      <c r="B2159" s="709">
        <v>106222</v>
      </c>
      <c r="C2159" s="710" t="s">
        <v>13347</v>
      </c>
      <c r="D2159" s="709" t="s">
        <v>234</v>
      </c>
      <c r="E2159" s="716">
        <v>33.020000000000003</v>
      </c>
      <c r="F2159" s="717">
        <v>0.18870000000000001</v>
      </c>
      <c r="G2159">
        <f>VLOOKUP(B2159,'SINAPI-%MO'!B:E,4,0)</f>
        <v>0</v>
      </c>
      <c r="H2159" s="225">
        <f t="shared" si="33"/>
        <v>33.020000000000003</v>
      </c>
    </row>
    <row r="2160" spans="1:8" x14ac:dyDescent="0.3">
      <c r="A2160" s="400"/>
      <c r="B2160" s="709">
        <v>106225</v>
      </c>
      <c r="C2160" s="710" t="s">
        <v>13348</v>
      </c>
      <c r="D2160" s="709" t="s">
        <v>234</v>
      </c>
      <c r="E2160" s="716">
        <v>5.1100000000000003</v>
      </c>
      <c r="F2160" s="717">
        <v>0.12920000000000001</v>
      </c>
      <c r="G2160">
        <f>VLOOKUP(B2160,'SINAPI-%MO'!B:E,4,0)</f>
        <v>0</v>
      </c>
      <c r="H2160" s="225">
        <f t="shared" si="33"/>
        <v>5.1100000000000003</v>
      </c>
    </row>
    <row r="2161" spans="1:8" x14ac:dyDescent="0.3">
      <c r="A2161" s="400"/>
      <c r="B2161" s="709">
        <v>106223</v>
      </c>
      <c r="C2161" s="710" t="s">
        <v>13349</v>
      </c>
      <c r="D2161" s="709" t="s">
        <v>234</v>
      </c>
      <c r="E2161" s="716">
        <v>12.64</v>
      </c>
      <c r="F2161" s="717">
        <v>0.129</v>
      </c>
      <c r="G2161">
        <f>VLOOKUP(B2161,'SINAPI-%MO'!B:E,4,0)</f>
        <v>0</v>
      </c>
      <c r="H2161" s="225">
        <f t="shared" si="33"/>
        <v>12.64</v>
      </c>
    </row>
    <row r="2162" spans="1:8" x14ac:dyDescent="0.3">
      <c r="A2162" s="400"/>
      <c r="B2162" s="709">
        <v>106224</v>
      </c>
      <c r="C2162" s="710" t="s">
        <v>13350</v>
      </c>
      <c r="D2162" s="709" t="s">
        <v>234</v>
      </c>
      <c r="E2162" s="716">
        <v>58.01</v>
      </c>
      <c r="F2162" s="717">
        <v>0.1343</v>
      </c>
      <c r="G2162">
        <f>VLOOKUP(B2162,'SINAPI-%MO'!B:E,4,0)</f>
        <v>0</v>
      </c>
      <c r="H2162" s="225">
        <f t="shared" si="33"/>
        <v>58.01</v>
      </c>
    </row>
    <row r="2163" spans="1:8" x14ac:dyDescent="0.3">
      <c r="A2163" s="400"/>
      <c r="B2163" s="709">
        <v>106226</v>
      </c>
      <c r="C2163" s="710" t="s">
        <v>13351</v>
      </c>
      <c r="D2163" s="709" t="s">
        <v>234</v>
      </c>
      <c r="E2163" s="716">
        <v>170.15</v>
      </c>
      <c r="F2163" s="717">
        <v>0</v>
      </c>
      <c r="G2163">
        <f>VLOOKUP(B2163,'SINAPI-%MO'!B:E,4,0)</f>
        <v>0</v>
      </c>
      <c r="H2163" s="225">
        <f t="shared" si="33"/>
        <v>170.15</v>
      </c>
    </row>
    <row r="2164" spans="1:8" x14ac:dyDescent="0.3">
      <c r="A2164" s="400"/>
      <c r="B2164" s="709">
        <v>91359</v>
      </c>
      <c r="C2164" s="710" t="s">
        <v>2263</v>
      </c>
      <c r="D2164" s="709" t="s">
        <v>234</v>
      </c>
      <c r="E2164" s="716">
        <v>23.95</v>
      </c>
      <c r="F2164" s="717">
        <v>0.17580000000000001</v>
      </c>
      <c r="G2164">
        <f>VLOOKUP(B2164,'SINAPI-%MO'!B:E,4,0)</f>
        <v>0</v>
      </c>
      <c r="H2164" s="225">
        <f t="shared" si="33"/>
        <v>23.95</v>
      </c>
    </row>
    <row r="2165" spans="1:8" x14ac:dyDescent="0.3">
      <c r="A2165" s="400"/>
      <c r="B2165" s="709">
        <v>91361</v>
      </c>
      <c r="C2165" s="710" t="s">
        <v>2264</v>
      </c>
      <c r="D2165" s="709" t="s">
        <v>234</v>
      </c>
      <c r="E2165" s="716">
        <v>3.72</v>
      </c>
      <c r="F2165" s="717">
        <v>0.1183</v>
      </c>
      <c r="G2165">
        <f>VLOOKUP(B2165,'SINAPI-%MO'!B:E,4,0)</f>
        <v>0</v>
      </c>
      <c r="H2165" s="225">
        <f t="shared" si="33"/>
        <v>3.72</v>
      </c>
    </row>
    <row r="2166" spans="1:8" x14ac:dyDescent="0.3">
      <c r="A2166" s="400"/>
      <c r="B2166" s="709">
        <v>91360</v>
      </c>
      <c r="C2166" s="710" t="s">
        <v>2265</v>
      </c>
      <c r="D2166" s="709" t="s">
        <v>234</v>
      </c>
      <c r="E2166" s="716">
        <v>9.2100000000000009</v>
      </c>
      <c r="F2166" s="717">
        <v>0.11940000000000001</v>
      </c>
      <c r="G2166">
        <f>VLOOKUP(B2166,'SINAPI-%MO'!B:E,4,0)</f>
        <v>0</v>
      </c>
      <c r="H2166" s="225">
        <f t="shared" si="33"/>
        <v>9.2100000000000009</v>
      </c>
    </row>
    <row r="2167" spans="1:8" x14ac:dyDescent="0.3">
      <c r="A2167" s="400"/>
      <c r="B2167" s="709">
        <v>53882</v>
      </c>
      <c r="C2167" s="710" t="s">
        <v>2266</v>
      </c>
      <c r="D2167" s="709" t="s">
        <v>234</v>
      </c>
      <c r="E2167" s="716">
        <v>42.28</v>
      </c>
      <c r="F2167" s="717">
        <v>0.1246</v>
      </c>
      <c r="G2167">
        <f>VLOOKUP(B2167,'SINAPI-%MO'!B:E,4,0)</f>
        <v>0</v>
      </c>
      <c r="H2167" s="225">
        <f t="shared" si="33"/>
        <v>42.28</v>
      </c>
    </row>
    <row r="2168" spans="1:8" x14ac:dyDescent="0.3">
      <c r="A2168" s="400"/>
      <c r="B2168" s="709">
        <v>5747</v>
      </c>
      <c r="C2168" s="710" t="s">
        <v>2267</v>
      </c>
      <c r="D2168" s="709" t="s">
        <v>234</v>
      </c>
      <c r="E2168" s="716">
        <v>170.47</v>
      </c>
      <c r="F2168" s="717">
        <v>0</v>
      </c>
      <c r="G2168">
        <f>VLOOKUP(B2168,'SINAPI-%MO'!B:E,4,0)</f>
        <v>0</v>
      </c>
      <c r="H2168" s="225">
        <f t="shared" si="33"/>
        <v>170.47</v>
      </c>
    </row>
    <row r="2169" spans="1:8" x14ac:dyDescent="0.3">
      <c r="A2169" s="400"/>
      <c r="B2169" s="709">
        <v>104699</v>
      </c>
      <c r="C2169" s="710" t="s">
        <v>2268</v>
      </c>
      <c r="D2169" s="709" t="s">
        <v>234</v>
      </c>
      <c r="E2169" s="716">
        <v>0</v>
      </c>
      <c r="F2169" s="717"/>
      <c r="G2169" t="e">
        <f>VLOOKUP(B2169,'SINAPI-%MO'!B:E,4,0)</f>
        <v>#N/A</v>
      </c>
      <c r="H2169" s="225" t="str">
        <f t="shared" si="33"/>
        <v/>
      </c>
    </row>
    <row r="2170" spans="1:8" x14ac:dyDescent="0.3">
      <c r="A2170" s="400"/>
      <c r="B2170" s="709">
        <v>104702</v>
      </c>
      <c r="C2170" s="710" t="s">
        <v>2269</v>
      </c>
      <c r="D2170" s="709" t="s">
        <v>234</v>
      </c>
      <c r="E2170" s="716">
        <v>0</v>
      </c>
      <c r="F2170" s="717"/>
      <c r="G2170" t="e">
        <f>VLOOKUP(B2170,'SINAPI-%MO'!B:E,4,0)</f>
        <v>#N/A</v>
      </c>
      <c r="H2170" s="225" t="str">
        <f t="shared" si="33"/>
        <v/>
      </c>
    </row>
    <row r="2171" spans="1:8" x14ac:dyDescent="0.3">
      <c r="A2171" s="400"/>
      <c r="B2171" s="709">
        <v>104700</v>
      </c>
      <c r="C2171" s="710" t="s">
        <v>2270</v>
      </c>
      <c r="D2171" s="709" t="s">
        <v>234</v>
      </c>
      <c r="E2171" s="716">
        <v>0</v>
      </c>
      <c r="F2171" s="717"/>
      <c r="G2171" t="e">
        <f>VLOOKUP(B2171,'SINAPI-%MO'!B:E,4,0)</f>
        <v>#N/A</v>
      </c>
      <c r="H2171" s="225" t="str">
        <f t="shared" si="33"/>
        <v/>
      </c>
    </row>
    <row r="2172" spans="1:8" x14ac:dyDescent="0.3">
      <c r="A2172" s="400"/>
      <c r="B2172" s="709">
        <v>104701</v>
      </c>
      <c r="C2172" s="710" t="s">
        <v>2271</v>
      </c>
      <c r="D2172" s="709" t="s">
        <v>234</v>
      </c>
      <c r="E2172" s="716">
        <v>0</v>
      </c>
      <c r="F2172" s="717"/>
      <c r="G2172" t="e">
        <f>VLOOKUP(B2172,'SINAPI-%MO'!B:E,4,0)</f>
        <v>#N/A</v>
      </c>
      <c r="H2172" s="225" t="str">
        <f t="shared" si="33"/>
        <v/>
      </c>
    </row>
    <row r="2173" spans="1:8" x14ac:dyDescent="0.3">
      <c r="A2173" s="400"/>
      <c r="B2173" s="709">
        <v>104703</v>
      </c>
      <c r="C2173" s="710" t="s">
        <v>2272</v>
      </c>
      <c r="D2173" s="709" t="s">
        <v>234</v>
      </c>
      <c r="E2173" s="716">
        <v>99.71</v>
      </c>
      <c r="F2173" s="717">
        <v>0</v>
      </c>
      <c r="G2173">
        <f>VLOOKUP(B2173,'SINAPI-%MO'!B:E,4,0)</f>
        <v>0</v>
      </c>
      <c r="H2173" s="225">
        <f t="shared" si="33"/>
        <v>99.71</v>
      </c>
    </row>
    <row r="2174" spans="1:8" x14ac:dyDescent="0.3">
      <c r="A2174" s="400"/>
      <c r="B2174" s="709">
        <v>91390</v>
      </c>
      <c r="C2174" s="710" t="s">
        <v>2273</v>
      </c>
      <c r="D2174" s="709" t="s">
        <v>234</v>
      </c>
      <c r="E2174" s="716">
        <v>22.47</v>
      </c>
      <c r="F2174" s="717">
        <v>0</v>
      </c>
      <c r="G2174">
        <f>VLOOKUP(B2174,'SINAPI-%MO'!B:E,4,0)</f>
        <v>0</v>
      </c>
      <c r="H2174" s="225">
        <f t="shared" si="33"/>
        <v>22.47</v>
      </c>
    </row>
    <row r="2175" spans="1:8" x14ac:dyDescent="0.3">
      <c r="A2175" s="400"/>
      <c r="B2175" s="709">
        <v>91392</v>
      </c>
      <c r="C2175" s="710" t="s">
        <v>2274</v>
      </c>
      <c r="D2175" s="709" t="s">
        <v>234</v>
      </c>
      <c r="E2175" s="716">
        <v>3.6</v>
      </c>
      <c r="F2175" s="717">
        <v>0</v>
      </c>
      <c r="G2175">
        <f>VLOOKUP(B2175,'SINAPI-%MO'!B:E,4,0)</f>
        <v>0</v>
      </c>
      <c r="H2175" s="225">
        <f t="shared" si="33"/>
        <v>3.6</v>
      </c>
    </row>
    <row r="2176" spans="1:8" x14ac:dyDescent="0.3">
      <c r="A2176" s="400"/>
      <c r="B2176" s="709">
        <v>91391</v>
      </c>
      <c r="C2176" s="710" t="s">
        <v>2275</v>
      </c>
      <c r="D2176" s="709" t="s">
        <v>234</v>
      </c>
      <c r="E2176" s="716">
        <v>8.92</v>
      </c>
      <c r="F2176" s="717">
        <v>0</v>
      </c>
      <c r="G2176">
        <f>VLOOKUP(B2176,'SINAPI-%MO'!B:E,4,0)</f>
        <v>0</v>
      </c>
      <c r="H2176" s="225">
        <f t="shared" si="33"/>
        <v>8.92</v>
      </c>
    </row>
    <row r="2177" spans="1:8" x14ac:dyDescent="0.3">
      <c r="A2177" s="400"/>
      <c r="B2177" s="709">
        <v>73335</v>
      </c>
      <c r="C2177" s="710" t="s">
        <v>2276</v>
      </c>
      <c r="D2177" s="709" t="s">
        <v>234</v>
      </c>
      <c r="E2177" s="716">
        <v>40.85</v>
      </c>
      <c r="F2177" s="717">
        <v>0</v>
      </c>
      <c r="G2177">
        <f>VLOOKUP(B2177,'SINAPI-%MO'!B:E,4,0)</f>
        <v>0</v>
      </c>
      <c r="H2177" s="225">
        <f t="shared" si="33"/>
        <v>40.85</v>
      </c>
    </row>
    <row r="2178" spans="1:8" x14ac:dyDescent="0.3">
      <c r="A2178" s="400"/>
      <c r="B2178" s="709">
        <v>73340</v>
      </c>
      <c r="C2178" s="710" t="s">
        <v>2277</v>
      </c>
      <c r="D2178" s="709" t="s">
        <v>234</v>
      </c>
      <c r="E2178" s="716">
        <v>166.86</v>
      </c>
      <c r="F2178" s="717">
        <v>0</v>
      </c>
      <c r="G2178">
        <f>VLOOKUP(B2178,'SINAPI-%MO'!B:E,4,0)</f>
        <v>0</v>
      </c>
      <c r="H2178" s="225">
        <f t="shared" si="33"/>
        <v>166.86</v>
      </c>
    </row>
    <row r="2179" spans="1:8" x14ac:dyDescent="0.3">
      <c r="A2179" s="400"/>
      <c r="B2179" s="709">
        <v>89264</v>
      </c>
      <c r="C2179" s="710" t="s">
        <v>2278</v>
      </c>
      <c r="D2179" s="709" t="s">
        <v>234</v>
      </c>
      <c r="E2179" s="716">
        <v>24.61</v>
      </c>
      <c r="F2179" s="717">
        <v>0</v>
      </c>
      <c r="G2179">
        <f>VLOOKUP(B2179,'SINAPI-%MO'!B:E,4,0)</f>
        <v>0</v>
      </c>
      <c r="H2179" s="225">
        <f t="shared" si="33"/>
        <v>24.61</v>
      </c>
    </row>
    <row r="2180" spans="1:8" x14ac:dyDescent="0.3">
      <c r="A2180" s="400"/>
      <c r="B2180" s="709">
        <v>89266</v>
      </c>
      <c r="C2180" s="710" t="s">
        <v>2279</v>
      </c>
      <c r="D2180" s="709" t="s">
        <v>234</v>
      </c>
      <c r="E2180" s="716">
        <v>3.95</v>
      </c>
      <c r="F2180" s="717">
        <v>0</v>
      </c>
      <c r="G2180">
        <f>VLOOKUP(B2180,'SINAPI-%MO'!B:E,4,0)</f>
        <v>0</v>
      </c>
      <c r="H2180" s="225">
        <f t="shared" si="33"/>
        <v>3.95</v>
      </c>
    </row>
    <row r="2181" spans="1:8" x14ac:dyDescent="0.3">
      <c r="A2181" s="400"/>
      <c r="B2181" s="709">
        <v>89265</v>
      </c>
      <c r="C2181" s="710" t="s">
        <v>2280</v>
      </c>
      <c r="D2181" s="709" t="s">
        <v>234</v>
      </c>
      <c r="E2181" s="716">
        <v>9.7799999999999994</v>
      </c>
      <c r="F2181" s="717">
        <v>0</v>
      </c>
      <c r="G2181">
        <f>VLOOKUP(B2181,'SINAPI-%MO'!B:E,4,0)</f>
        <v>0</v>
      </c>
      <c r="H2181" s="225">
        <f t="shared" si="33"/>
        <v>9.7799999999999994</v>
      </c>
    </row>
    <row r="2182" spans="1:8" x14ac:dyDescent="0.3">
      <c r="A2182" s="400"/>
      <c r="B2182" s="709">
        <v>5705</v>
      </c>
      <c r="C2182" s="710" t="s">
        <v>2281</v>
      </c>
      <c r="D2182" s="709" t="s">
        <v>234</v>
      </c>
      <c r="E2182" s="716">
        <v>44.77</v>
      </c>
      <c r="F2182" s="717">
        <v>0</v>
      </c>
      <c r="G2182">
        <f>VLOOKUP(B2182,'SINAPI-%MO'!B:E,4,0)</f>
        <v>0</v>
      </c>
      <c r="H2182" s="225">
        <f t="shared" si="33"/>
        <v>44.77</v>
      </c>
    </row>
    <row r="2183" spans="1:8" x14ac:dyDescent="0.3">
      <c r="A2183" s="400"/>
      <c r="B2183" s="709">
        <v>53797</v>
      </c>
      <c r="C2183" s="710" t="s">
        <v>2282</v>
      </c>
      <c r="D2183" s="709" t="s">
        <v>234</v>
      </c>
      <c r="E2183" s="716">
        <v>125.58</v>
      </c>
      <c r="F2183" s="717">
        <v>0</v>
      </c>
      <c r="G2183">
        <f>VLOOKUP(B2183,'SINAPI-%MO'!B:E,4,0)</f>
        <v>0</v>
      </c>
      <c r="H2183" s="225">
        <f t="shared" si="33"/>
        <v>125.58</v>
      </c>
    </row>
    <row r="2184" spans="1:8" x14ac:dyDescent="0.3">
      <c r="A2184" s="400"/>
      <c r="B2184" s="709">
        <v>106327</v>
      </c>
      <c r="C2184" s="710" t="s">
        <v>14923</v>
      </c>
      <c r="D2184" s="709" t="s">
        <v>234</v>
      </c>
      <c r="E2184" s="716">
        <v>0</v>
      </c>
      <c r="F2184" s="717"/>
      <c r="G2184" t="e">
        <f>VLOOKUP(B2184,'SINAPI-%MO'!B:E,4,0)</f>
        <v>#N/A</v>
      </c>
      <c r="H2184" s="225" t="str">
        <f t="shared" si="33"/>
        <v/>
      </c>
    </row>
    <row r="2185" spans="1:8" x14ac:dyDescent="0.3">
      <c r="A2185" s="400"/>
      <c r="B2185" s="709">
        <v>106330</v>
      </c>
      <c r="C2185" s="710" t="s">
        <v>14924</v>
      </c>
      <c r="D2185" s="709" t="s">
        <v>234</v>
      </c>
      <c r="E2185" s="716">
        <v>0</v>
      </c>
      <c r="F2185" s="717"/>
      <c r="G2185" t="e">
        <f>VLOOKUP(B2185,'SINAPI-%MO'!B:E,4,0)</f>
        <v>#N/A</v>
      </c>
      <c r="H2185" s="225" t="str">
        <f t="shared" si="33"/>
        <v/>
      </c>
    </row>
    <row r="2186" spans="1:8" x14ac:dyDescent="0.3">
      <c r="A2186" s="400"/>
      <c r="B2186" s="709">
        <v>106328</v>
      </c>
      <c r="C2186" s="710" t="s">
        <v>14925</v>
      </c>
      <c r="D2186" s="709" t="s">
        <v>234</v>
      </c>
      <c r="E2186" s="716">
        <v>0</v>
      </c>
      <c r="F2186" s="717"/>
      <c r="G2186" t="e">
        <f>VLOOKUP(B2186,'SINAPI-%MO'!B:E,4,0)</f>
        <v>#N/A</v>
      </c>
      <c r="H2186" s="225" t="str">
        <f t="shared" si="33"/>
        <v/>
      </c>
    </row>
    <row r="2187" spans="1:8" x14ac:dyDescent="0.3">
      <c r="A2187" s="400"/>
      <c r="B2187" s="709">
        <v>106329</v>
      </c>
      <c r="C2187" s="710" t="s">
        <v>14926</v>
      </c>
      <c r="D2187" s="709" t="s">
        <v>234</v>
      </c>
      <c r="E2187" s="716">
        <v>0</v>
      </c>
      <c r="F2187" s="717"/>
      <c r="G2187" t="e">
        <f>VLOOKUP(B2187,'SINAPI-%MO'!B:E,4,0)</f>
        <v>#N/A</v>
      </c>
      <c r="H2187" s="225" t="str">
        <f t="shared" ref="H2187:H2250" si="34">IF(E2187&gt;0,TRUNC(E2187*(1-G2187),2),"")</f>
        <v/>
      </c>
    </row>
    <row r="2188" spans="1:8" x14ac:dyDescent="0.3">
      <c r="A2188" s="400"/>
      <c r="B2188" s="709">
        <v>106331</v>
      </c>
      <c r="C2188" s="710" t="s">
        <v>13352</v>
      </c>
      <c r="D2188" s="709" t="s">
        <v>234</v>
      </c>
      <c r="E2188" s="716">
        <v>107.26</v>
      </c>
      <c r="F2188" s="717">
        <v>0</v>
      </c>
      <c r="G2188">
        <f>VLOOKUP(B2188,'SINAPI-%MO'!B:E,4,0)</f>
        <v>0</v>
      </c>
      <c r="H2188" s="225">
        <f t="shared" si="34"/>
        <v>107.26</v>
      </c>
    </row>
    <row r="2189" spans="1:8" x14ac:dyDescent="0.3">
      <c r="A2189" s="400"/>
      <c r="B2189" s="709">
        <v>106227</v>
      </c>
      <c r="C2189" s="710" t="s">
        <v>13353</v>
      </c>
      <c r="D2189" s="709" t="s">
        <v>234</v>
      </c>
      <c r="E2189" s="716">
        <v>36.020000000000003</v>
      </c>
      <c r="F2189" s="717">
        <v>0</v>
      </c>
      <c r="G2189">
        <f>VLOOKUP(B2189,'SINAPI-%MO'!B:E,4,0)</f>
        <v>0</v>
      </c>
      <c r="H2189" s="225">
        <f t="shared" si="34"/>
        <v>36.020000000000003</v>
      </c>
    </row>
    <row r="2190" spans="1:8" x14ac:dyDescent="0.3">
      <c r="A2190" s="400"/>
      <c r="B2190" s="709">
        <v>106230</v>
      </c>
      <c r="C2190" s="710" t="s">
        <v>13354</v>
      </c>
      <c r="D2190" s="709" t="s">
        <v>234</v>
      </c>
      <c r="E2190" s="716">
        <v>5.98</v>
      </c>
      <c r="F2190" s="717">
        <v>0</v>
      </c>
      <c r="G2190">
        <f>VLOOKUP(B2190,'SINAPI-%MO'!B:E,4,0)</f>
        <v>0</v>
      </c>
      <c r="H2190" s="225">
        <f t="shared" si="34"/>
        <v>5.98</v>
      </c>
    </row>
    <row r="2191" spans="1:8" x14ac:dyDescent="0.3">
      <c r="A2191" s="400"/>
      <c r="B2191" s="709">
        <v>106228</v>
      </c>
      <c r="C2191" s="710" t="s">
        <v>13355</v>
      </c>
      <c r="D2191" s="709" t="s">
        <v>234</v>
      </c>
      <c r="E2191" s="716">
        <v>14.8</v>
      </c>
      <c r="F2191" s="717">
        <v>0</v>
      </c>
      <c r="G2191">
        <f>VLOOKUP(B2191,'SINAPI-%MO'!B:E,4,0)</f>
        <v>0</v>
      </c>
      <c r="H2191" s="225">
        <f t="shared" si="34"/>
        <v>14.8</v>
      </c>
    </row>
    <row r="2192" spans="1:8" x14ac:dyDescent="0.3">
      <c r="A2192" s="400"/>
      <c r="B2192" s="709">
        <v>106229</v>
      </c>
      <c r="C2192" s="710" t="s">
        <v>13356</v>
      </c>
      <c r="D2192" s="709" t="s">
        <v>234</v>
      </c>
      <c r="E2192" s="716">
        <v>67.52</v>
      </c>
      <c r="F2192" s="717">
        <v>0</v>
      </c>
      <c r="G2192">
        <f>VLOOKUP(B2192,'SINAPI-%MO'!B:E,4,0)</f>
        <v>0</v>
      </c>
      <c r="H2192" s="225">
        <f t="shared" si="34"/>
        <v>67.52</v>
      </c>
    </row>
    <row r="2193" spans="1:8" x14ac:dyDescent="0.3">
      <c r="A2193" s="400"/>
      <c r="B2193" s="709">
        <v>106231</v>
      </c>
      <c r="C2193" s="710" t="s">
        <v>13357</v>
      </c>
      <c r="D2193" s="709" t="s">
        <v>234</v>
      </c>
      <c r="E2193" s="716">
        <v>170.15</v>
      </c>
      <c r="F2193" s="717">
        <v>0</v>
      </c>
      <c r="G2193">
        <f>VLOOKUP(B2193,'SINAPI-%MO'!B:E,4,0)</f>
        <v>0</v>
      </c>
      <c r="H2193" s="225">
        <f t="shared" si="34"/>
        <v>170.15</v>
      </c>
    </row>
    <row r="2194" spans="1:8" x14ac:dyDescent="0.3">
      <c r="A2194" s="400"/>
      <c r="B2194" s="709">
        <v>106342</v>
      </c>
      <c r="C2194" s="710" t="s">
        <v>14927</v>
      </c>
      <c r="D2194" s="709" t="s">
        <v>234</v>
      </c>
      <c r="E2194" s="716">
        <v>0</v>
      </c>
      <c r="F2194" s="717"/>
      <c r="G2194" t="e">
        <f>VLOOKUP(B2194,'SINAPI-%MO'!B:E,4,0)</f>
        <v>#N/A</v>
      </c>
      <c r="H2194" s="225" t="str">
        <f t="shared" si="34"/>
        <v/>
      </c>
    </row>
    <row r="2195" spans="1:8" x14ac:dyDescent="0.3">
      <c r="A2195" s="400"/>
      <c r="B2195" s="709">
        <v>106345</v>
      </c>
      <c r="C2195" s="710" t="s">
        <v>14928</v>
      </c>
      <c r="D2195" s="709" t="s">
        <v>234</v>
      </c>
      <c r="E2195" s="716">
        <v>0</v>
      </c>
      <c r="F2195" s="717"/>
      <c r="G2195" t="e">
        <f>VLOOKUP(B2195,'SINAPI-%MO'!B:E,4,0)</f>
        <v>#N/A</v>
      </c>
      <c r="H2195" s="225" t="str">
        <f t="shared" si="34"/>
        <v/>
      </c>
    </row>
    <row r="2196" spans="1:8" x14ac:dyDescent="0.3">
      <c r="A2196" s="400"/>
      <c r="B2196" s="709">
        <v>106343</v>
      </c>
      <c r="C2196" s="710" t="s">
        <v>14929</v>
      </c>
      <c r="D2196" s="709" t="s">
        <v>234</v>
      </c>
      <c r="E2196" s="716">
        <v>0</v>
      </c>
      <c r="F2196" s="717"/>
      <c r="G2196" t="e">
        <f>VLOOKUP(B2196,'SINAPI-%MO'!B:E,4,0)</f>
        <v>#N/A</v>
      </c>
      <c r="H2196" s="225" t="str">
        <f t="shared" si="34"/>
        <v/>
      </c>
    </row>
    <row r="2197" spans="1:8" x14ac:dyDescent="0.3">
      <c r="A2197" s="400"/>
      <c r="B2197" s="709">
        <v>106344</v>
      </c>
      <c r="C2197" s="710" t="s">
        <v>14930</v>
      </c>
      <c r="D2197" s="709" t="s">
        <v>234</v>
      </c>
      <c r="E2197" s="716">
        <v>0</v>
      </c>
      <c r="F2197" s="717"/>
      <c r="G2197" t="e">
        <f>VLOOKUP(B2197,'SINAPI-%MO'!B:E,4,0)</f>
        <v>#N/A</v>
      </c>
      <c r="H2197" s="225" t="str">
        <f t="shared" si="34"/>
        <v/>
      </c>
    </row>
    <row r="2198" spans="1:8" x14ac:dyDescent="0.3">
      <c r="A2198" s="400"/>
      <c r="B2198" s="709">
        <v>106346</v>
      </c>
      <c r="C2198" s="710" t="s">
        <v>13358</v>
      </c>
      <c r="D2198" s="709" t="s">
        <v>234</v>
      </c>
      <c r="E2198" s="716">
        <v>170.15</v>
      </c>
      <c r="F2198" s="717">
        <v>0</v>
      </c>
      <c r="G2198">
        <f>VLOOKUP(B2198,'SINAPI-%MO'!B:E,4,0)</f>
        <v>0</v>
      </c>
      <c r="H2198" s="225">
        <f t="shared" si="34"/>
        <v>170.15</v>
      </c>
    </row>
    <row r="2199" spans="1:8" x14ac:dyDescent="0.3">
      <c r="A2199" s="400"/>
      <c r="B2199" s="709">
        <v>106332</v>
      </c>
      <c r="C2199" s="710" t="s">
        <v>14931</v>
      </c>
      <c r="D2199" s="709" t="s">
        <v>234</v>
      </c>
      <c r="E2199" s="716">
        <v>0</v>
      </c>
      <c r="F2199" s="717"/>
      <c r="G2199" t="e">
        <f>VLOOKUP(B2199,'SINAPI-%MO'!B:E,4,0)</f>
        <v>#N/A</v>
      </c>
      <c r="H2199" s="225" t="str">
        <f t="shared" si="34"/>
        <v/>
      </c>
    </row>
    <row r="2200" spans="1:8" x14ac:dyDescent="0.3">
      <c r="A2200" s="400"/>
      <c r="B2200" s="709">
        <v>106335</v>
      </c>
      <c r="C2200" s="710" t="s">
        <v>14932</v>
      </c>
      <c r="D2200" s="709" t="s">
        <v>234</v>
      </c>
      <c r="E2200" s="716">
        <v>0</v>
      </c>
      <c r="F2200" s="717"/>
      <c r="G2200" t="e">
        <f>VLOOKUP(B2200,'SINAPI-%MO'!B:E,4,0)</f>
        <v>#N/A</v>
      </c>
      <c r="H2200" s="225" t="str">
        <f t="shared" si="34"/>
        <v/>
      </c>
    </row>
    <row r="2201" spans="1:8" x14ac:dyDescent="0.3">
      <c r="A2201" s="400"/>
      <c r="B2201" s="709">
        <v>106333</v>
      </c>
      <c r="C2201" s="710" t="s">
        <v>14933</v>
      </c>
      <c r="D2201" s="709" t="s">
        <v>234</v>
      </c>
      <c r="E2201" s="716">
        <v>0</v>
      </c>
      <c r="F2201" s="717"/>
      <c r="G2201" t="e">
        <f>VLOOKUP(B2201,'SINAPI-%MO'!B:E,4,0)</f>
        <v>#N/A</v>
      </c>
      <c r="H2201" s="225" t="str">
        <f t="shared" si="34"/>
        <v/>
      </c>
    </row>
    <row r="2202" spans="1:8" x14ac:dyDescent="0.3">
      <c r="A2202" s="400"/>
      <c r="B2202" s="709">
        <v>106334</v>
      </c>
      <c r="C2202" s="710" t="s">
        <v>14934</v>
      </c>
      <c r="D2202" s="709" t="s">
        <v>234</v>
      </c>
      <c r="E2202" s="716">
        <v>0</v>
      </c>
      <c r="F2202" s="717"/>
      <c r="G2202" t="e">
        <f>VLOOKUP(B2202,'SINAPI-%MO'!B:E,4,0)</f>
        <v>#N/A</v>
      </c>
      <c r="H2202" s="225" t="str">
        <f t="shared" si="34"/>
        <v/>
      </c>
    </row>
    <row r="2203" spans="1:8" x14ac:dyDescent="0.3">
      <c r="A2203" s="400"/>
      <c r="B2203" s="709">
        <v>106336</v>
      </c>
      <c r="C2203" s="710" t="s">
        <v>13359</v>
      </c>
      <c r="D2203" s="709" t="s">
        <v>234</v>
      </c>
      <c r="E2203" s="716">
        <v>170.15</v>
      </c>
      <c r="F2203" s="717">
        <v>0</v>
      </c>
      <c r="G2203">
        <f>VLOOKUP(B2203,'SINAPI-%MO'!B:E,4,0)</f>
        <v>0</v>
      </c>
      <c r="H2203" s="225">
        <f t="shared" si="34"/>
        <v>170.15</v>
      </c>
    </row>
    <row r="2204" spans="1:8" x14ac:dyDescent="0.3">
      <c r="A2204" s="400"/>
      <c r="B2204" s="709">
        <v>91354</v>
      </c>
      <c r="C2204" s="710" t="s">
        <v>2283</v>
      </c>
      <c r="D2204" s="709" t="s">
        <v>234</v>
      </c>
      <c r="E2204" s="716">
        <v>20.41</v>
      </c>
      <c r="F2204" s="717">
        <v>0</v>
      </c>
      <c r="G2204">
        <f>VLOOKUP(B2204,'SINAPI-%MO'!B:E,4,0)</f>
        <v>0</v>
      </c>
      <c r="H2204" s="225">
        <f t="shared" si="34"/>
        <v>20.41</v>
      </c>
    </row>
    <row r="2205" spans="1:8" x14ac:dyDescent="0.3">
      <c r="A2205" s="400"/>
      <c r="B2205" s="709">
        <v>91356</v>
      </c>
      <c r="C2205" s="710" t="s">
        <v>2284</v>
      </c>
      <c r="D2205" s="709" t="s">
        <v>234</v>
      </c>
      <c r="E2205" s="716">
        <v>3.39</v>
      </c>
      <c r="F2205" s="717">
        <v>0</v>
      </c>
      <c r="G2205">
        <f>VLOOKUP(B2205,'SINAPI-%MO'!B:E,4,0)</f>
        <v>0</v>
      </c>
      <c r="H2205" s="225">
        <f t="shared" si="34"/>
        <v>3.39</v>
      </c>
    </row>
    <row r="2206" spans="1:8" x14ac:dyDescent="0.3">
      <c r="A2206" s="400"/>
      <c r="B2206" s="709">
        <v>91355</v>
      </c>
      <c r="C2206" s="710" t="s">
        <v>2285</v>
      </c>
      <c r="D2206" s="709" t="s">
        <v>234</v>
      </c>
      <c r="E2206" s="716">
        <v>8.39</v>
      </c>
      <c r="F2206" s="717">
        <v>0</v>
      </c>
      <c r="G2206">
        <f>VLOOKUP(B2206,'SINAPI-%MO'!B:E,4,0)</f>
        <v>0</v>
      </c>
      <c r="H2206" s="225">
        <f t="shared" si="34"/>
        <v>8.39</v>
      </c>
    </row>
    <row r="2207" spans="1:8" x14ac:dyDescent="0.3">
      <c r="A2207" s="400"/>
      <c r="B2207" s="709">
        <v>5751</v>
      </c>
      <c r="C2207" s="710" t="s">
        <v>2286</v>
      </c>
      <c r="D2207" s="709" t="s">
        <v>234</v>
      </c>
      <c r="E2207" s="716">
        <v>38.270000000000003</v>
      </c>
      <c r="F2207" s="717">
        <v>0</v>
      </c>
      <c r="G2207">
        <f>VLOOKUP(B2207,'SINAPI-%MO'!B:E,4,0)</f>
        <v>0</v>
      </c>
      <c r="H2207" s="225">
        <f t="shared" si="34"/>
        <v>38.270000000000003</v>
      </c>
    </row>
    <row r="2208" spans="1:8" x14ac:dyDescent="0.3">
      <c r="A2208" s="400"/>
      <c r="B2208" s="709">
        <v>53827</v>
      </c>
      <c r="C2208" s="710" t="s">
        <v>2287</v>
      </c>
      <c r="D2208" s="709" t="s">
        <v>234</v>
      </c>
      <c r="E2208" s="716">
        <v>122.93</v>
      </c>
      <c r="F2208" s="717">
        <v>0</v>
      </c>
      <c r="G2208">
        <f>VLOOKUP(B2208,'SINAPI-%MO'!B:E,4,0)</f>
        <v>0</v>
      </c>
      <c r="H2208" s="225">
        <f t="shared" si="34"/>
        <v>122.93</v>
      </c>
    </row>
    <row r="2209" spans="1:8" x14ac:dyDescent="0.3">
      <c r="A2209" s="400"/>
      <c r="B2209" s="709">
        <v>91375</v>
      </c>
      <c r="C2209" s="710" t="s">
        <v>2288</v>
      </c>
      <c r="D2209" s="709" t="s">
        <v>234</v>
      </c>
      <c r="E2209" s="716">
        <v>22.41</v>
      </c>
      <c r="F2209" s="717">
        <v>0</v>
      </c>
      <c r="G2209">
        <f>VLOOKUP(B2209,'SINAPI-%MO'!B:E,4,0)</f>
        <v>0</v>
      </c>
      <c r="H2209" s="225">
        <f t="shared" si="34"/>
        <v>22.41</v>
      </c>
    </row>
    <row r="2210" spans="1:8" x14ac:dyDescent="0.3">
      <c r="A2210" s="400"/>
      <c r="B2210" s="709">
        <v>91377</v>
      </c>
      <c r="C2210" s="710" t="s">
        <v>2289</v>
      </c>
      <c r="D2210" s="709" t="s">
        <v>234</v>
      </c>
      <c r="E2210" s="716">
        <v>3.72</v>
      </c>
      <c r="F2210" s="717">
        <v>0</v>
      </c>
      <c r="G2210">
        <f>VLOOKUP(B2210,'SINAPI-%MO'!B:E,4,0)</f>
        <v>0</v>
      </c>
      <c r="H2210" s="225">
        <f t="shared" si="34"/>
        <v>3.72</v>
      </c>
    </row>
    <row r="2211" spans="1:8" x14ac:dyDescent="0.3">
      <c r="A2211" s="400"/>
      <c r="B2211" s="709">
        <v>91376</v>
      </c>
      <c r="C2211" s="710" t="s">
        <v>2290</v>
      </c>
      <c r="D2211" s="709" t="s">
        <v>234</v>
      </c>
      <c r="E2211" s="716">
        <v>9.2100000000000009</v>
      </c>
      <c r="F2211" s="717">
        <v>0</v>
      </c>
      <c r="G2211">
        <f>VLOOKUP(B2211,'SINAPI-%MO'!B:E,4,0)</f>
        <v>0</v>
      </c>
      <c r="H2211" s="225">
        <f t="shared" si="34"/>
        <v>9.2100000000000009</v>
      </c>
    </row>
    <row r="2212" spans="1:8" x14ac:dyDescent="0.3">
      <c r="A2212" s="400"/>
      <c r="B2212" s="709">
        <v>5754</v>
      </c>
      <c r="C2212" s="710" t="s">
        <v>2291</v>
      </c>
      <c r="D2212" s="709" t="s">
        <v>234</v>
      </c>
      <c r="E2212" s="716">
        <v>42.01</v>
      </c>
      <c r="F2212" s="717">
        <v>0</v>
      </c>
      <c r="G2212">
        <f>VLOOKUP(B2212,'SINAPI-%MO'!B:E,4,0)</f>
        <v>0</v>
      </c>
      <c r="H2212" s="225">
        <f t="shared" si="34"/>
        <v>42.01</v>
      </c>
    </row>
    <row r="2213" spans="1:8" x14ac:dyDescent="0.3">
      <c r="A2213" s="400"/>
      <c r="B2213" s="709">
        <v>53829</v>
      </c>
      <c r="C2213" s="710" t="s">
        <v>2292</v>
      </c>
      <c r="D2213" s="709" t="s">
        <v>234</v>
      </c>
      <c r="E2213" s="716">
        <v>125.58</v>
      </c>
      <c r="F2213" s="717">
        <v>0</v>
      </c>
      <c r="G2213">
        <f>VLOOKUP(B2213,'SINAPI-%MO'!B:E,4,0)</f>
        <v>0</v>
      </c>
      <c r="H2213" s="225">
        <f t="shared" si="34"/>
        <v>125.58</v>
      </c>
    </row>
    <row r="2214" spans="1:8" x14ac:dyDescent="0.3">
      <c r="A2214" s="400"/>
      <c r="B2214" s="709">
        <v>91026</v>
      </c>
      <c r="C2214" s="710" t="s">
        <v>2293</v>
      </c>
      <c r="D2214" s="709" t="s">
        <v>234</v>
      </c>
      <c r="E2214" s="716">
        <v>28.85</v>
      </c>
      <c r="F2214" s="717">
        <v>0</v>
      </c>
      <c r="G2214">
        <f>VLOOKUP(B2214,'SINAPI-%MO'!B:E,4,0)</f>
        <v>0</v>
      </c>
      <c r="H2214" s="225">
        <f t="shared" si="34"/>
        <v>28.85</v>
      </c>
    </row>
    <row r="2215" spans="1:8" x14ac:dyDescent="0.3">
      <c r="A2215" s="400"/>
      <c r="B2215" s="709">
        <v>91028</v>
      </c>
      <c r="C2215" s="710" t="s">
        <v>2294</v>
      </c>
      <c r="D2215" s="709" t="s">
        <v>234</v>
      </c>
      <c r="E2215" s="716">
        <v>4.66</v>
      </c>
      <c r="F2215" s="717">
        <v>0</v>
      </c>
      <c r="G2215">
        <f>VLOOKUP(B2215,'SINAPI-%MO'!B:E,4,0)</f>
        <v>0</v>
      </c>
      <c r="H2215" s="225">
        <f t="shared" si="34"/>
        <v>4.66</v>
      </c>
    </row>
    <row r="2216" spans="1:8" x14ac:dyDescent="0.3">
      <c r="A2216" s="400"/>
      <c r="B2216" s="709">
        <v>91027</v>
      </c>
      <c r="C2216" s="710" t="s">
        <v>2295</v>
      </c>
      <c r="D2216" s="709" t="s">
        <v>234</v>
      </c>
      <c r="E2216" s="716">
        <v>11.54</v>
      </c>
      <c r="F2216" s="717">
        <v>0</v>
      </c>
      <c r="G2216">
        <f>VLOOKUP(B2216,'SINAPI-%MO'!B:E,4,0)</f>
        <v>0</v>
      </c>
      <c r="H2216" s="225">
        <f t="shared" si="34"/>
        <v>11.54</v>
      </c>
    </row>
    <row r="2217" spans="1:8" x14ac:dyDescent="0.3">
      <c r="A2217" s="400"/>
      <c r="B2217" s="709">
        <v>91029</v>
      </c>
      <c r="C2217" s="710" t="s">
        <v>2296</v>
      </c>
      <c r="D2217" s="709" t="s">
        <v>234</v>
      </c>
      <c r="E2217" s="716">
        <v>52.8</v>
      </c>
      <c r="F2217" s="717">
        <v>0</v>
      </c>
      <c r="G2217">
        <f>VLOOKUP(B2217,'SINAPI-%MO'!B:E,4,0)</f>
        <v>0</v>
      </c>
      <c r="H2217" s="225">
        <f t="shared" si="34"/>
        <v>52.8</v>
      </c>
    </row>
    <row r="2218" spans="1:8" x14ac:dyDescent="0.3">
      <c r="A2218" s="400"/>
      <c r="B2218" s="709">
        <v>91030</v>
      </c>
      <c r="C2218" s="710" t="s">
        <v>2297</v>
      </c>
      <c r="D2218" s="709" t="s">
        <v>234</v>
      </c>
      <c r="E2218" s="716">
        <v>158.15</v>
      </c>
      <c r="F2218" s="717">
        <v>0</v>
      </c>
      <c r="G2218">
        <f>VLOOKUP(B2218,'SINAPI-%MO'!B:E,4,0)</f>
        <v>0</v>
      </c>
      <c r="H2218" s="225">
        <f t="shared" si="34"/>
        <v>158.15</v>
      </c>
    </row>
    <row r="2219" spans="1:8" x14ac:dyDescent="0.3">
      <c r="A2219" s="400"/>
      <c r="B2219" s="709">
        <v>106237</v>
      </c>
      <c r="C2219" s="710" t="s">
        <v>14935</v>
      </c>
      <c r="D2219" s="709" t="s">
        <v>234</v>
      </c>
      <c r="E2219" s="716">
        <v>0</v>
      </c>
      <c r="F2219" s="717"/>
      <c r="G2219" t="e">
        <f>VLOOKUP(B2219,'SINAPI-%MO'!B:E,4,0)</f>
        <v>#N/A</v>
      </c>
      <c r="H2219" s="225" t="str">
        <f t="shared" si="34"/>
        <v/>
      </c>
    </row>
    <row r="2220" spans="1:8" x14ac:dyDescent="0.3">
      <c r="A2220" s="400"/>
      <c r="B2220" s="709">
        <v>106240</v>
      </c>
      <c r="C2220" s="710" t="s">
        <v>14936</v>
      </c>
      <c r="D2220" s="709" t="s">
        <v>234</v>
      </c>
      <c r="E2220" s="716">
        <v>0</v>
      </c>
      <c r="F2220" s="717"/>
      <c r="G2220" t="e">
        <f>VLOOKUP(B2220,'SINAPI-%MO'!B:E,4,0)</f>
        <v>#N/A</v>
      </c>
      <c r="H2220" s="225" t="str">
        <f t="shared" si="34"/>
        <v/>
      </c>
    </row>
    <row r="2221" spans="1:8" x14ac:dyDescent="0.3">
      <c r="A2221" s="400"/>
      <c r="B2221" s="709">
        <v>106238</v>
      </c>
      <c r="C2221" s="710" t="s">
        <v>14937</v>
      </c>
      <c r="D2221" s="709" t="s">
        <v>234</v>
      </c>
      <c r="E2221" s="716">
        <v>0</v>
      </c>
      <c r="F2221" s="717"/>
      <c r="G2221" t="e">
        <f>VLOOKUP(B2221,'SINAPI-%MO'!B:E,4,0)</f>
        <v>#N/A</v>
      </c>
      <c r="H2221" s="225" t="str">
        <f t="shared" si="34"/>
        <v/>
      </c>
    </row>
    <row r="2222" spans="1:8" x14ac:dyDescent="0.3">
      <c r="A2222" s="400"/>
      <c r="B2222" s="709">
        <v>106239</v>
      </c>
      <c r="C2222" s="710" t="s">
        <v>14938</v>
      </c>
      <c r="D2222" s="709" t="s">
        <v>234</v>
      </c>
      <c r="E2222" s="716">
        <v>0</v>
      </c>
      <c r="F2222" s="717"/>
      <c r="G2222" t="e">
        <f>VLOOKUP(B2222,'SINAPI-%MO'!B:E,4,0)</f>
        <v>#N/A</v>
      </c>
      <c r="H2222" s="225" t="str">
        <f t="shared" si="34"/>
        <v/>
      </c>
    </row>
    <row r="2223" spans="1:8" x14ac:dyDescent="0.3">
      <c r="A2223" s="400"/>
      <c r="B2223" s="709">
        <v>106241</v>
      </c>
      <c r="C2223" s="710" t="s">
        <v>13360</v>
      </c>
      <c r="D2223" s="709" t="s">
        <v>234</v>
      </c>
      <c r="E2223" s="716">
        <v>239.23</v>
      </c>
      <c r="F2223" s="717">
        <v>0</v>
      </c>
      <c r="G2223">
        <f>VLOOKUP(B2223,'SINAPI-%MO'!B:E,4,0)</f>
        <v>0</v>
      </c>
      <c r="H2223" s="225">
        <f t="shared" si="34"/>
        <v>239.23</v>
      </c>
    </row>
    <row r="2224" spans="1:8" x14ac:dyDescent="0.3">
      <c r="A2224" s="400"/>
      <c r="B2224" s="709">
        <v>106352</v>
      </c>
      <c r="C2224" s="710" t="s">
        <v>14939</v>
      </c>
      <c r="D2224" s="709" t="s">
        <v>234</v>
      </c>
      <c r="E2224" s="716">
        <v>0</v>
      </c>
      <c r="F2224" s="717"/>
      <c r="G2224" t="e">
        <f>VLOOKUP(B2224,'SINAPI-%MO'!B:E,4,0)</f>
        <v>#N/A</v>
      </c>
      <c r="H2224" s="225" t="str">
        <f t="shared" si="34"/>
        <v/>
      </c>
    </row>
    <row r="2225" spans="1:8" x14ac:dyDescent="0.3">
      <c r="A2225" s="400"/>
      <c r="B2225" s="709">
        <v>106355</v>
      </c>
      <c r="C2225" s="710" t="s">
        <v>14940</v>
      </c>
      <c r="D2225" s="709" t="s">
        <v>234</v>
      </c>
      <c r="E2225" s="716">
        <v>0</v>
      </c>
      <c r="F2225" s="717"/>
      <c r="G2225" t="e">
        <f>VLOOKUP(B2225,'SINAPI-%MO'!B:E,4,0)</f>
        <v>#N/A</v>
      </c>
      <c r="H2225" s="225" t="str">
        <f t="shared" si="34"/>
        <v/>
      </c>
    </row>
    <row r="2226" spans="1:8" x14ac:dyDescent="0.3">
      <c r="A2226" s="400"/>
      <c r="B2226" s="709">
        <v>106353</v>
      </c>
      <c r="C2226" s="710" t="s">
        <v>14941</v>
      </c>
      <c r="D2226" s="709" t="s">
        <v>234</v>
      </c>
      <c r="E2226" s="716">
        <v>0</v>
      </c>
      <c r="F2226" s="717"/>
      <c r="G2226" t="e">
        <f>VLOOKUP(B2226,'SINAPI-%MO'!B:E,4,0)</f>
        <v>#N/A</v>
      </c>
      <c r="H2226" s="225" t="str">
        <f t="shared" si="34"/>
        <v/>
      </c>
    </row>
    <row r="2227" spans="1:8" x14ac:dyDescent="0.3">
      <c r="A2227" s="400"/>
      <c r="B2227" s="709">
        <v>106354</v>
      </c>
      <c r="C2227" s="710" t="s">
        <v>14942</v>
      </c>
      <c r="D2227" s="709" t="s">
        <v>234</v>
      </c>
      <c r="E2227" s="716">
        <v>0</v>
      </c>
      <c r="F2227" s="717"/>
      <c r="G2227" t="e">
        <f>VLOOKUP(B2227,'SINAPI-%MO'!B:E,4,0)</f>
        <v>#N/A</v>
      </c>
      <c r="H2227" s="225" t="str">
        <f t="shared" si="34"/>
        <v/>
      </c>
    </row>
    <row r="2228" spans="1:8" x14ac:dyDescent="0.3">
      <c r="A2228" s="400"/>
      <c r="B2228" s="709">
        <v>106356</v>
      </c>
      <c r="C2228" s="710" t="s">
        <v>13361</v>
      </c>
      <c r="D2228" s="709" t="s">
        <v>234</v>
      </c>
      <c r="E2228" s="716">
        <v>239.23</v>
      </c>
      <c r="F2228" s="717">
        <v>0</v>
      </c>
      <c r="G2228">
        <f>VLOOKUP(B2228,'SINAPI-%MO'!B:E,4,0)</f>
        <v>0</v>
      </c>
      <c r="H2228" s="225">
        <f t="shared" si="34"/>
        <v>239.23</v>
      </c>
    </row>
    <row r="2229" spans="1:8" x14ac:dyDescent="0.3">
      <c r="A2229" s="400"/>
      <c r="B2229" s="709">
        <v>106357</v>
      </c>
      <c r="C2229" s="710" t="s">
        <v>14943</v>
      </c>
      <c r="D2229" s="709" t="s">
        <v>234</v>
      </c>
      <c r="E2229" s="716">
        <v>0</v>
      </c>
      <c r="F2229" s="717"/>
      <c r="G2229" t="e">
        <f>VLOOKUP(B2229,'SINAPI-%MO'!B:E,4,0)</f>
        <v>#N/A</v>
      </c>
      <c r="H2229" s="225" t="str">
        <f t="shared" si="34"/>
        <v/>
      </c>
    </row>
    <row r="2230" spans="1:8" x14ac:dyDescent="0.3">
      <c r="A2230" s="400"/>
      <c r="B2230" s="709">
        <v>106360</v>
      </c>
      <c r="C2230" s="710" t="s">
        <v>14944</v>
      </c>
      <c r="D2230" s="709" t="s">
        <v>234</v>
      </c>
      <c r="E2230" s="716">
        <v>0</v>
      </c>
      <c r="F2230" s="717"/>
      <c r="G2230" t="e">
        <f>VLOOKUP(B2230,'SINAPI-%MO'!B:E,4,0)</f>
        <v>#N/A</v>
      </c>
      <c r="H2230" s="225" t="str">
        <f t="shared" si="34"/>
        <v/>
      </c>
    </row>
    <row r="2231" spans="1:8" x14ac:dyDescent="0.3">
      <c r="A2231" s="400"/>
      <c r="B2231" s="709">
        <v>106358</v>
      </c>
      <c r="C2231" s="710" t="s">
        <v>14945</v>
      </c>
      <c r="D2231" s="709" t="s">
        <v>234</v>
      </c>
      <c r="E2231" s="716">
        <v>0</v>
      </c>
      <c r="F2231" s="717"/>
      <c r="G2231" t="e">
        <f>VLOOKUP(B2231,'SINAPI-%MO'!B:E,4,0)</f>
        <v>#N/A</v>
      </c>
      <c r="H2231" s="225" t="str">
        <f t="shared" si="34"/>
        <v/>
      </c>
    </row>
    <row r="2232" spans="1:8" x14ac:dyDescent="0.3">
      <c r="A2232" s="400"/>
      <c r="B2232" s="709">
        <v>106359</v>
      </c>
      <c r="C2232" s="710" t="s">
        <v>14946</v>
      </c>
      <c r="D2232" s="709" t="s">
        <v>234</v>
      </c>
      <c r="E2232" s="716">
        <v>0</v>
      </c>
      <c r="F2232" s="717"/>
      <c r="G2232" t="e">
        <f>VLOOKUP(B2232,'SINAPI-%MO'!B:E,4,0)</f>
        <v>#N/A</v>
      </c>
      <c r="H2232" s="225" t="str">
        <f t="shared" si="34"/>
        <v/>
      </c>
    </row>
    <row r="2233" spans="1:8" x14ac:dyDescent="0.3">
      <c r="A2233" s="400"/>
      <c r="B2233" s="709">
        <v>106361</v>
      </c>
      <c r="C2233" s="710" t="s">
        <v>13362</v>
      </c>
      <c r="D2233" s="709" t="s">
        <v>234</v>
      </c>
      <c r="E2233" s="716">
        <v>324.69</v>
      </c>
      <c r="F2233" s="717">
        <v>0</v>
      </c>
      <c r="G2233">
        <f>VLOOKUP(B2233,'SINAPI-%MO'!B:E,4,0)</f>
        <v>0</v>
      </c>
      <c r="H2233" s="225">
        <f t="shared" si="34"/>
        <v>324.69</v>
      </c>
    </row>
    <row r="2234" spans="1:8" x14ac:dyDescent="0.3">
      <c r="A2234" s="400"/>
      <c r="B2234" s="709">
        <v>102812</v>
      </c>
      <c r="C2234" s="710" t="s">
        <v>2298</v>
      </c>
      <c r="D2234" s="709" t="s">
        <v>234</v>
      </c>
      <c r="E2234" s="716">
        <v>0</v>
      </c>
      <c r="F2234" s="717"/>
      <c r="G2234" t="e">
        <f>VLOOKUP(B2234,'SINAPI-%MO'!B:E,4,0)</f>
        <v>#N/A</v>
      </c>
      <c r="H2234" s="225" t="str">
        <f t="shared" si="34"/>
        <v/>
      </c>
    </row>
    <row r="2235" spans="1:8" x14ac:dyDescent="0.3">
      <c r="A2235" s="400"/>
      <c r="B2235" s="709">
        <v>102813</v>
      </c>
      <c r="C2235" s="710" t="s">
        <v>2299</v>
      </c>
      <c r="D2235" s="709" t="s">
        <v>234</v>
      </c>
      <c r="E2235" s="716">
        <v>0</v>
      </c>
      <c r="F2235" s="717"/>
      <c r="G2235" t="e">
        <f>VLOOKUP(B2235,'SINAPI-%MO'!B:E,4,0)</f>
        <v>#N/A</v>
      </c>
      <c r="H2235" s="225" t="str">
        <f t="shared" si="34"/>
        <v/>
      </c>
    </row>
    <row r="2236" spans="1:8" x14ac:dyDescent="0.3">
      <c r="A2236" s="400"/>
      <c r="B2236" s="709">
        <v>102814</v>
      </c>
      <c r="C2236" s="710" t="s">
        <v>2300</v>
      </c>
      <c r="D2236" s="709" t="s">
        <v>234</v>
      </c>
      <c r="E2236" s="716">
        <v>0</v>
      </c>
      <c r="F2236" s="717"/>
      <c r="G2236" t="e">
        <f>VLOOKUP(B2236,'SINAPI-%MO'!B:E,4,0)</f>
        <v>#N/A</v>
      </c>
      <c r="H2236" s="225" t="str">
        <f t="shared" si="34"/>
        <v/>
      </c>
    </row>
    <row r="2237" spans="1:8" x14ac:dyDescent="0.3">
      <c r="A2237" s="400"/>
      <c r="B2237" s="709">
        <v>102815</v>
      </c>
      <c r="C2237" s="710" t="s">
        <v>2301</v>
      </c>
      <c r="D2237" s="709" t="s">
        <v>234</v>
      </c>
      <c r="E2237" s="716">
        <v>3.57</v>
      </c>
      <c r="F2237" s="717">
        <v>0</v>
      </c>
      <c r="G2237">
        <f>VLOOKUP(B2237,'SINAPI-%MO'!B:E,4,0)</f>
        <v>0</v>
      </c>
      <c r="H2237" s="225">
        <f t="shared" si="34"/>
        <v>3.57</v>
      </c>
    </row>
    <row r="2238" spans="1:8" x14ac:dyDescent="0.3">
      <c r="A2238" s="400"/>
      <c r="B2238" s="709">
        <v>91529</v>
      </c>
      <c r="C2238" s="710" t="s">
        <v>2302</v>
      </c>
      <c r="D2238" s="709" t="s">
        <v>234</v>
      </c>
      <c r="E2238" s="716">
        <v>1.01</v>
      </c>
      <c r="F2238" s="717">
        <v>0</v>
      </c>
      <c r="G2238">
        <f>VLOOKUP(B2238,'SINAPI-%MO'!B:E,4,0)</f>
        <v>0</v>
      </c>
      <c r="H2238" s="225">
        <f t="shared" si="34"/>
        <v>1.01</v>
      </c>
    </row>
    <row r="2239" spans="1:8" x14ac:dyDescent="0.3">
      <c r="A2239" s="400"/>
      <c r="B2239" s="709">
        <v>91530</v>
      </c>
      <c r="C2239" s="710" t="s">
        <v>2303</v>
      </c>
      <c r="D2239" s="709" t="s">
        <v>234</v>
      </c>
      <c r="E2239" s="716">
        <v>0.27</v>
      </c>
      <c r="F2239" s="717">
        <v>0</v>
      </c>
      <c r="G2239">
        <f>VLOOKUP(B2239,'SINAPI-%MO'!B:E,4,0)</f>
        <v>0</v>
      </c>
      <c r="H2239" s="225">
        <f t="shared" si="34"/>
        <v>0.27</v>
      </c>
    </row>
    <row r="2240" spans="1:8" x14ac:dyDescent="0.3">
      <c r="A2240" s="400"/>
      <c r="B2240" s="709">
        <v>91531</v>
      </c>
      <c r="C2240" s="710" t="s">
        <v>2304</v>
      </c>
      <c r="D2240" s="709" t="s">
        <v>234</v>
      </c>
      <c r="E2240" s="716">
        <v>1.26</v>
      </c>
      <c r="F2240" s="717">
        <v>0</v>
      </c>
      <c r="G2240">
        <f>VLOOKUP(B2240,'SINAPI-%MO'!B:E,4,0)</f>
        <v>0</v>
      </c>
      <c r="H2240" s="225">
        <f t="shared" si="34"/>
        <v>1.26</v>
      </c>
    </row>
    <row r="2241" spans="1:8" x14ac:dyDescent="0.3">
      <c r="A2241" s="400"/>
      <c r="B2241" s="709">
        <v>91532</v>
      </c>
      <c r="C2241" s="710" t="s">
        <v>2305</v>
      </c>
      <c r="D2241" s="709" t="s">
        <v>234</v>
      </c>
      <c r="E2241" s="716">
        <v>6.41</v>
      </c>
      <c r="F2241" s="717">
        <v>0</v>
      </c>
      <c r="G2241">
        <f>VLOOKUP(B2241,'SINAPI-%MO'!B:E,4,0)</f>
        <v>0</v>
      </c>
      <c r="H2241" s="225">
        <f t="shared" si="34"/>
        <v>6.41</v>
      </c>
    </row>
    <row r="2242" spans="1:8" x14ac:dyDescent="0.3">
      <c r="A2242" s="400"/>
      <c r="B2242" s="709">
        <v>95260</v>
      </c>
      <c r="C2242" s="710" t="s">
        <v>2306</v>
      </c>
      <c r="D2242" s="709" t="s">
        <v>234</v>
      </c>
      <c r="E2242" s="716">
        <v>0.81</v>
      </c>
      <c r="F2242" s="717">
        <v>0</v>
      </c>
      <c r="G2242">
        <f>VLOOKUP(B2242,'SINAPI-%MO'!B:E,4,0)</f>
        <v>0</v>
      </c>
      <c r="H2242" s="225">
        <f t="shared" si="34"/>
        <v>0.81</v>
      </c>
    </row>
    <row r="2243" spans="1:8" x14ac:dyDescent="0.3">
      <c r="A2243" s="400"/>
      <c r="B2243" s="709">
        <v>95261</v>
      </c>
      <c r="C2243" s="710" t="s">
        <v>2307</v>
      </c>
      <c r="D2243" s="709" t="s">
        <v>234</v>
      </c>
      <c r="E2243" s="716">
        <v>0.21</v>
      </c>
      <c r="F2243" s="717">
        <v>0</v>
      </c>
      <c r="G2243">
        <f>VLOOKUP(B2243,'SINAPI-%MO'!B:E,4,0)</f>
        <v>0</v>
      </c>
      <c r="H2243" s="225">
        <f t="shared" si="34"/>
        <v>0.21</v>
      </c>
    </row>
    <row r="2244" spans="1:8" x14ac:dyDescent="0.3">
      <c r="A2244" s="400"/>
      <c r="B2244" s="709">
        <v>95262</v>
      </c>
      <c r="C2244" s="710" t="s">
        <v>2308</v>
      </c>
      <c r="D2244" s="709" t="s">
        <v>234</v>
      </c>
      <c r="E2244" s="716">
        <v>1.02</v>
      </c>
      <c r="F2244" s="717">
        <v>0</v>
      </c>
      <c r="G2244">
        <f>VLOOKUP(B2244,'SINAPI-%MO'!B:E,4,0)</f>
        <v>0</v>
      </c>
      <c r="H2244" s="225">
        <f t="shared" si="34"/>
        <v>1.02</v>
      </c>
    </row>
    <row r="2245" spans="1:8" x14ac:dyDescent="0.3">
      <c r="A2245" s="400"/>
      <c r="B2245" s="709">
        <v>95263</v>
      </c>
      <c r="C2245" s="710" t="s">
        <v>2309</v>
      </c>
      <c r="D2245" s="709" t="s">
        <v>234</v>
      </c>
      <c r="E2245" s="716">
        <v>4.8499999999999996</v>
      </c>
      <c r="F2245" s="717">
        <v>0</v>
      </c>
      <c r="G2245">
        <f>VLOOKUP(B2245,'SINAPI-%MO'!B:E,4,0)</f>
        <v>0</v>
      </c>
      <c r="H2245" s="225">
        <f t="shared" si="34"/>
        <v>4.8499999999999996</v>
      </c>
    </row>
    <row r="2246" spans="1:8" x14ac:dyDescent="0.3">
      <c r="A2246" s="400"/>
      <c r="B2246" s="709">
        <v>90968</v>
      </c>
      <c r="C2246" s="710" t="s">
        <v>2310</v>
      </c>
      <c r="D2246" s="709" t="s">
        <v>234</v>
      </c>
      <c r="E2246" s="716">
        <v>7.04</v>
      </c>
      <c r="F2246" s="717">
        <v>1</v>
      </c>
      <c r="G2246">
        <f>VLOOKUP(B2246,'SINAPI-%MO'!B:E,4,0)</f>
        <v>0</v>
      </c>
      <c r="H2246" s="225">
        <f t="shared" si="34"/>
        <v>7.04</v>
      </c>
    </row>
    <row r="2247" spans="1:8" x14ac:dyDescent="0.3">
      <c r="A2247" s="400"/>
      <c r="B2247" s="709">
        <v>90969</v>
      </c>
      <c r="C2247" s="710" t="s">
        <v>2311</v>
      </c>
      <c r="D2247" s="709" t="s">
        <v>234</v>
      </c>
      <c r="E2247" s="716">
        <v>1.89</v>
      </c>
      <c r="F2247" s="717">
        <v>1</v>
      </c>
      <c r="G2247">
        <f>VLOOKUP(B2247,'SINAPI-%MO'!B:E,4,0)</f>
        <v>0</v>
      </c>
      <c r="H2247" s="225">
        <f t="shared" si="34"/>
        <v>1.89</v>
      </c>
    </row>
    <row r="2248" spans="1:8" x14ac:dyDescent="0.3">
      <c r="A2248" s="400"/>
      <c r="B2248" s="709">
        <v>90970</v>
      </c>
      <c r="C2248" s="710" t="s">
        <v>2312</v>
      </c>
      <c r="D2248" s="709" t="s">
        <v>234</v>
      </c>
      <c r="E2248" s="716">
        <v>8.81</v>
      </c>
      <c r="F2248" s="717">
        <v>1</v>
      </c>
      <c r="G2248">
        <f>VLOOKUP(B2248,'SINAPI-%MO'!B:E,4,0)</f>
        <v>0</v>
      </c>
      <c r="H2248" s="225">
        <f t="shared" si="34"/>
        <v>8.81</v>
      </c>
    </row>
    <row r="2249" spans="1:8" x14ac:dyDescent="0.3">
      <c r="A2249" s="400"/>
      <c r="B2249" s="709">
        <v>90971</v>
      </c>
      <c r="C2249" s="710" t="s">
        <v>2313</v>
      </c>
      <c r="D2249" s="709" t="s">
        <v>234</v>
      </c>
      <c r="E2249" s="716">
        <v>65.33</v>
      </c>
      <c r="F2249" s="717">
        <v>0</v>
      </c>
      <c r="G2249">
        <f>VLOOKUP(B2249,'SINAPI-%MO'!B:E,4,0)</f>
        <v>0</v>
      </c>
      <c r="H2249" s="225">
        <f t="shared" si="34"/>
        <v>65.33</v>
      </c>
    </row>
    <row r="2250" spans="1:8" x14ac:dyDescent="0.3">
      <c r="A2250" s="400"/>
      <c r="B2250" s="709">
        <v>90992</v>
      </c>
      <c r="C2250" s="710" t="s">
        <v>2314</v>
      </c>
      <c r="D2250" s="709" t="s">
        <v>234</v>
      </c>
      <c r="E2250" s="716">
        <v>8.35</v>
      </c>
      <c r="F2250" s="717">
        <v>1</v>
      </c>
      <c r="G2250">
        <f>VLOOKUP(B2250,'SINAPI-%MO'!B:E,4,0)</f>
        <v>0</v>
      </c>
      <c r="H2250" s="225">
        <f t="shared" si="34"/>
        <v>8.35</v>
      </c>
    </row>
    <row r="2251" spans="1:8" x14ac:dyDescent="0.3">
      <c r="A2251" s="400"/>
      <c r="B2251" s="709">
        <v>90993</v>
      </c>
      <c r="C2251" s="710" t="s">
        <v>2315</v>
      </c>
      <c r="D2251" s="709" t="s">
        <v>234</v>
      </c>
      <c r="E2251" s="716">
        <v>2.2400000000000002</v>
      </c>
      <c r="F2251" s="717">
        <v>1</v>
      </c>
      <c r="G2251">
        <f>VLOOKUP(B2251,'SINAPI-%MO'!B:E,4,0)</f>
        <v>0</v>
      </c>
      <c r="H2251" s="225">
        <f t="shared" ref="H2251:H2314" si="35">IF(E2251&gt;0,TRUNC(E2251*(1-G2251),2),"")</f>
        <v>2.2400000000000002</v>
      </c>
    </row>
    <row r="2252" spans="1:8" x14ac:dyDescent="0.3">
      <c r="A2252" s="400"/>
      <c r="B2252" s="709">
        <v>90994</v>
      </c>
      <c r="C2252" s="710" t="s">
        <v>2316</v>
      </c>
      <c r="D2252" s="709" t="s">
        <v>234</v>
      </c>
      <c r="E2252" s="716">
        <v>10.45</v>
      </c>
      <c r="F2252" s="717">
        <v>1</v>
      </c>
      <c r="G2252">
        <f>VLOOKUP(B2252,'SINAPI-%MO'!B:E,4,0)</f>
        <v>0</v>
      </c>
      <c r="H2252" s="225">
        <f t="shared" si="35"/>
        <v>10.45</v>
      </c>
    </row>
    <row r="2253" spans="1:8" x14ac:dyDescent="0.3">
      <c r="A2253" s="400"/>
      <c r="B2253" s="709">
        <v>90995</v>
      </c>
      <c r="C2253" s="710" t="s">
        <v>2317</v>
      </c>
      <c r="D2253" s="709" t="s">
        <v>234</v>
      </c>
      <c r="E2253" s="716">
        <v>88.75</v>
      </c>
      <c r="F2253" s="717">
        <v>0</v>
      </c>
      <c r="G2253">
        <f>VLOOKUP(B2253,'SINAPI-%MO'!B:E,4,0)</f>
        <v>0</v>
      </c>
      <c r="H2253" s="225">
        <f t="shared" si="35"/>
        <v>88.75</v>
      </c>
    </row>
    <row r="2254" spans="1:8" x14ac:dyDescent="0.3">
      <c r="A2254" s="400"/>
      <c r="B2254" s="709">
        <v>90957</v>
      </c>
      <c r="C2254" s="710" t="s">
        <v>2318</v>
      </c>
      <c r="D2254" s="709" t="s">
        <v>234</v>
      </c>
      <c r="E2254" s="716">
        <v>5.26</v>
      </c>
      <c r="F2254" s="717">
        <v>1</v>
      </c>
      <c r="G2254">
        <f>VLOOKUP(B2254,'SINAPI-%MO'!B:E,4,0)</f>
        <v>0</v>
      </c>
      <c r="H2254" s="225">
        <f t="shared" si="35"/>
        <v>5.26</v>
      </c>
    </row>
    <row r="2255" spans="1:8" x14ac:dyDescent="0.3">
      <c r="A2255" s="400"/>
      <c r="B2255" s="709">
        <v>90958</v>
      </c>
      <c r="C2255" s="710" t="s">
        <v>2319</v>
      </c>
      <c r="D2255" s="709" t="s">
        <v>234</v>
      </c>
      <c r="E2255" s="716">
        <v>1.41</v>
      </c>
      <c r="F2255" s="717">
        <v>1</v>
      </c>
      <c r="G2255">
        <f>VLOOKUP(B2255,'SINAPI-%MO'!B:E,4,0)</f>
        <v>0</v>
      </c>
      <c r="H2255" s="225">
        <f t="shared" si="35"/>
        <v>1.41</v>
      </c>
    </row>
    <row r="2256" spans="1:8" x14ac:dyDescent="0.3">
      <c r="A2256" s="400"/>
      <c r="B2256" s="709">
        <v>5797</v>
      </c>
      <c r="C2256" s="710" t="s">
        <v>2320</v>
      </c>
      <c r="D2256" s="709" t="s">
        <v>234</v>
      </c>
      <c r="E2256" s="716">
        <v>6.58</v>
      </c>
      <c r="F2256" s="717">
        <v>1</v>
      </c>
      <c r="G2256">
        <f>VLOOKUP(B2256,'SINAPI-%MO'!B:E,4,0)</f>
        <v>0</v>
      </c>
      <c r="H2256" s="225">
        <f t="shared" si="35"/>
        <v>6.58</v>
      </c>
    </row>
    <row r="2257" spans="1:8" x14ac:dyDescent="0.3">
      <c r="A2257" s="400"/>
      <c r="B2257" s="709">
        <v>53865</v>
      </c>
      <c r="C2257" s="710" t="s">
        <v>2321</v>
      </c>
      <c r="D2257" s="709" t="s">
        <v>234</v>
      </c>
      <c r="E2257" s="716">
        <v>50.82</v>
      </c>
      <c r="F2257" s="717">
        <v>0</v>
      </c>
      <c r="G2257">
        <f>VLOOKUP(B2257,'SINAPI-%MO'!B:E,4,0)</f>
        <v>0</v>
      </c>
      <c r="H2257" s="225">
        <f t="shared" si="35"/>
        <v>50.82</v>
      </c>
    </row>
    <row r="2258" spans="1:8" x14ac:dyDescent="0.3">
      <c r="A2258" s="400"/>
      <c r="B2258" s="709">
        <v>90975</v>
      </c>
      <c r="C2258" s="710" t="s">
        <v>2322</v>
      </c>
      <c r="D2258" s="709" t="s">
        <v>234</v>
      </c>
      <c r="E2258" s="716">
        <v>17.89</v>
      </c>
      <c r="F2258" s="717">
        <v>1</v>
      </c>
      <c r="G2258">
        <f>VLOOKUP(B2258,'SINAPI-%MO'!B:E,4,0)</f>
        <v>0</v>
      </c>
      <c r="H2258" s="225">
        <f t="shared" si="35"/>
        <v>17.89</v>
      </c>
    </row>
    <row r="2259" spans="1:8" x14ac:dyDescent="0.3">
      <c r="A2259" s="400"/>
      <c r="B2259" s="709">
        <v>90976</v>
      </c>
      <c r="C2259" s="710" t="s">
        <v>2323</v>
      </c>
      <c r="D2259" s="709" t="s">
        <v>234</v>
      </c>
      <c r="E2259" s="716">
        <v>4.8</v>
      </c>
      <c r="F2259" s="717">
        <v>1</v>
      </c>
      <c r="G2259">
        <f>VLOOKUP(B2259,'SINAPI-%MO'!B:E,4,0)</f>
        <v>0</v>
      </c>
      <c r="H2259" s="225">
        <f t="shared" si="35"/>
        <v>4.8</v>
      </c>
    </row>
    <row r="2260" spans="1:8" x14ac:dyDescent="0.3">
      <c r="A2260" s="400"/>
      <c r="B2260" s="709">
        <v>90977</v>
      </c>
      <c r="C2260" s="710" t="s">
        <v>2324</v>
      </c>
      <c r="D2260" s="709" t="s">
        <v>234</v>
      </c>
      <c r="E2260" s="716">
        <v>22.39</v>
      </c>
      <c r="F2260" s="717">
        <v>1</v>
      </c>
      <c r="G2260">
        <f>VLOOKUP(B2260,'SINAPI-%MO'!B:E,4,0)</f>
        <v>0</v>
      </c>
      <c r="H2260" s="225">
        <f t="shared" si="35"/>
        <v>22.39</v>
      </c>
    </row>
    <row r="2261" spans="1:8" x14ac:dyDescent="0.3">
      <c r="A2261" s="400"/>
      <c r="B2261" s="709">
        <v>90978</v>
      </c>
      <c r="C2261" s="710" t="s">
        <v>2325</v>
      </c>
      <c r="D2261" s="709" t="s">
        <v>234</v>
      </c>
      <c r="E2261" s="716">
        <v>169.5</v>
      </c>
      <c r="F2261" s="717">
        <v>0</v>
      </c>
      <c r="G2261">
        <f>VLOOKUP(B2261,'SINAPI-%MO'!B:E,4,0)</f>
        <v>0</v>
      </c>
      <c r="H2261" s="225">
        <f t="shared" si="35"/>
        <v>169.5</v>
      </c>
    </row>
    <row r="2262" spans="1:8" x14ac:dyDescent="0.3">
      <c r="A2262" s="400"/>
      <c r="B2262" s="709">
        <v>90960</v>
      </c>
      <c r="C2262" s="710" t="s">
        <v>2326</v>
      </c>
      <c r="D2262" s="709" t="s">
        <v>234</v>
      </c>
      <c r="E2262" s="716">
        <v>7.02</v>
      </c>
      <c r="F2262" s="717">
        <v>1</v>
      </c>
      <c r="G2262">
        <f>VLOOKUP(B2262,'SINAPI-%MO'!B:E,4,0)</f>
        <v>0</v>
      </c>
      <c r="H2262" s="225">
        <f t="shared" si="35"/>
        <v>7.02</v>
      </c>
    </row>
    <row r="2263" spans="1:8" x14ac:dyDescent="0.3">
      <c r="A2263" s="400"/>
      <c r="B2263" s="709">
        <v>90961</v>
      </c>
      <c r="C2263" s="710" t="s">
        <v>2327</v>
      </c>
      <c r="D2263" s="709" t="s">
        <v>234</v>
      </c>
      <c r="E2263" s="716">
        <v>1.88</v>
      </c>
      <c r="F2263" s="717">
        <v>1</v>
      </c>
      <c r="G2263">
        <f>VLOOKUP(B2263,'SINAPI-%MO'!B:E,4,0)</f>
        <v>0</v>
      </c>
      <c r="H2263" s="225">
        <f t="shared" si="35"/>
        <v>1.88</v>
      </c>
    </row>
    <row r="2264" spans="1:8" x14ac:dyDescent="0.3">
      <c r="A2264" s="400"/>
      <c r="B2264" s="709">
        <v>90962</v>
      </c>
      <c r="C2264" s="710" t="s">
        <v>2328</v>
      </c>
      <c r="D2264" s="709" t="s">
        <v>234</v>
      </c>
      <c r="E2264" s="716">
        <v>8.7899999999999991</v>
      </c>
      <c r="F2264" s="717">
        <v>1</v>
      </c>
      <c r="G2264">
        <f>VLOOKUP(B2264,'SINAPI-%MO'!B:E,4,0)</f>
        <v>0</v>
      </c>
      <c r="H2264" s="225">
        <f t="shared" si="35"/>
        <v>8.7899999999999991</v>
      </c>
    </row>
    <row r="2265" spans="1:8" x14ac:dyDescent="0.3">
      <c r="A2265" s="400"/>
      <c r="B2265" s="709">
        <v>90963</v>
      </c>
      <c r="C2265" s="710" t="s">
        <v>2329</v>
      </c>
      <c r="D2265" s="709" t="s">
        <v>234</v>
      </c>
      <c r="E2265" s="716">
        <v>16.12</v>
      </c>
      <c r="F2265" s="717">
        <v>0</v>
      </c>
      <c r="G2265">
        <f>VLOOKUP(B2265,'SINAPI-%MO'!B:E,4,0)</f>
        <v>0</v>
      </c>
      <c r="H2265" s="225">
        <f t="shared" si="35"/>
        <v>16.12</v>
      </c>
    </row>
    <row r="2266" spans="1:8" x14ac:dyDescent="0.3">
      <c r="A2266" s="400"/>
      <c r="B2266" s="709">
        <v>102966</v>
      </c>
      <c r="C2266" s="710" t="s">
        <v>2330</v>
      </c>
      <c r="D2266" s="709" t="s">
        <v>234</v>
      </c>
      <c r="E2266" s="716">
        <v>0.2</v>
      </c>
      <c r="F2266" s="717">
        <v>0</v>
      </c>
      <c r="G2266">
        <f>VLOOKUP(B2266,'SINAPI-%MO'!B:E,4,0)</f>
        <v>0</v>
      </c>
      <c r="H2266" s="225">
        <f t="shared" si="35"/>
        <v>0.2</v>
      </c>
    </row>
    <row r="2267" spans="1:8" x14ac:dyDescent="0.3">
      <c r="A2267" s="400"/>
      <c r="B2267" s="709">
        <v>102967</v>
      </c>
      <c r="C2267" s="710" t="s">
        <v>2331</v>
      </c>
      <c r="D2267" s="709" t="s">
        <v>234</v>
      </c>
      <c r="E2267" s="716">
        <v>0.04</v>
      </c>
      <c r="F2267" s="717">
        <v>0</v>
      </c>
      <c r="G2267">
        <f>VLOOKUP(B2267,'SINAPI-%MO'!B:E,4,0)</f>
        <v>0</v>
      </c>
      <c r="H2267" s="225">
        <f t="shared" si="35"/>
        <v>0.04</v>
      </c>
    </row>
    <row r="2268" spans="1:8" x14ac:dyDescent="0.3">
      <c r="A2268" s="400"/>
      <c r="B2268" s="709">
        <v>102968</v>
      </c>
      <c r="C2268" s="710" t="s">
        <v>2332</v>
      </c>
      <c r="D2268" s="709" t="s">
        <v>234</v>
      </c>
      <c r="E2268" s="716">
        <v>0.19</v>
      </c>
      <c r="F2268" s="717">
        <v>0</v>
      </c>
      <c r="G2268">
        <f>VLOOKUP(B2268,'SINAPI-%MO'!B:E,4,0)</f>
        <v>0</v>
      </c>
      <c r="H2268" s="225">
        <f t="shared" si="35"/>
        <v>0.19</v>
      </c>
    </row>
    <row r="2269" spans="1:8" x14ac:dyDescent="0.3">
      <c r="A2269" s="400"/>
      <c r="B2269" s="709">
        <v>102969</v>
      </c>
      <c r="C2269" s="710" t="s">
        <v>2333</v>
      </c>
      <c r="D2269" s="709" t="s">
        <v>234</v>
      </c>
      <c r="E2269" s="716">
        <v>0.15</v>
      </c>
      <c r="F2269" s="717">
        <v>0</v>
      </c>
      <c r="G2269">
        <f>VLOOKUP(B2269,'SINAPI-%MO'!B:E,4,0)</f>
        <v>0</v>
      </c>
      <c r="H2269" s="225">
        <f t="shared" si="35"/>
        <v>0.15</v>
      </c>
    </row>
    <row r="2270" spans="1:8" x14ac:dyDescent="0.3">
      <c r="A2270" s="400"/>
      <c r="B2270" s="709">
        <v>102818</v>
      </c>
      <c r="C2270" s="710" t="s">
        <v>2334</v>
      </c>
      <c r="D2270" s="709" t="s">
        <v>234</v>
      </c>
      <c r="E2270" s="716">
        <v>0</v>
      </c>
      <c r="F2270" s="717"/>
      <c r="G2270" t="e">
        <f>VLOOKUP(B2270,'SINAPI-%MO'!B:E,4,0)</f>
        <v>#N/A</v>
      </c>
      <c r="H2270" s="225" t="str">
        <f t="shared" si="35"/>
        <v/>
      </c>
    </row>
    <row r="2271" spans="1:8" x14ac:dyDescent="0.3">
      <c r="A2271" s="400"/>
      <c r="B2271" s="709">
        <v>102819</v>
      </c>
      <c r="C2271" s="710" t="s">
        <v>2335</v>
      </c>
      <c r="D2271" s="709" t="s">
        <v>234</v>
      </c>
      <c r="E2271" s="716">
        <v>0</v>
      </c>
      <c r="F2271" s="717"/>
      <c r="G2271" t="e">
        <f>VLOOKUP(B2271,'SINAPI-%MO'!B:E,4,0)</f>
        <v>#N/A</v>
      </c>
      <c r="H2271" s="225" t="str">
        <f t="shared" si="35"/>
        <v/>
      </c>
    </row>
    <row r="2272" spans="1:8" x14ac:dyDescent="0.3">
      <c r="A2272" s="400"/>
      <c r="B2272" s="709">
        <v>102820</v>
      </c>
      <c r="C2272" s="710" t="s">
        <v>2336</v>
      </c>
      <c r="D2272" s="709" t="s">
        <v>234</v>
      </c>
      <c r="E2272" s="716">
        <v>0</v>
      </c>
      <c r="F2272" s="717"/>
      <c r="G2272" t="e">
        <f>VLOOKUP(B2272,'SINAPI-%MO'!B:E,4,0)</f>
        <v>#N/A</v>
      </c>
      <c r="H2272" s="225" t="str">
        <f t="shared" si="35"/>
        <v/>
      </c>
    </row>
    <row r="2273" spans="1:8" x14ac:dyDescent="0.3">
      <c r="A2273" s="400"/>
      <c r="B2273" s="709">
        <v>102832</v>
      </c>
      <c r="C2273" s="710" t="s">
        <v>2337</v>
      </c>
      <c r="D2273" s="709" t="s">
        <v>234</v>
      </c>
      <c r="E2273" s="716">
        <v>8.92</v>
      </c>
      <c r="F2273" s="717">
        <v>0</v>
      </c>
      <c r="G2273">
        <f>VLOOKUP(B2273,'SINAPI-%MO'!B:E,4,0)</f>
        <v>0</v>
      </c>
      <c r="H2273" s="225">
        <f t="shared" si="35"/>
        <v>8.92</v>
      </c>
    </row>
    <row r="2274" spans="1:8" x14ac:dyDescent="0.3">
      <c r="A2274" s="400"/>
      <c r="B2274" s="709">
        <v>102823</v>
      </c>
      <c r="C2274" s="710" t="s">
        <v>2338</v>
      </c>
      <c r="D2274" s="709" t="s">
        <v>234</v>
      </c>
      <c r="E2274" s="716">
        <v>0</v>
      </c>
      <c r="F2274" s="717"/>
      <c r="G2274" t="e">
        <f>VLOOKUP(B2274,'SINAPI-%MO'!B:E,4,0)</f>
        <v>#N/A</v>
      </c>
      <c r="H2274" s="225" t="str">
        <f t="shared" si="35"/>
        <v/>
      </c>
    </row>
    <row r="2275" spans="1:8" x14ac:dyDescent="0.3">
      <c r="A2275" s="400"/>
      <c r="B2275" s="709">
        <v>102824</v>
      </c>
      <c r="C2275" s="710" t="s">
        <v>2339</v>
      </c>
      <c r="D2275" s="709" t="s">
        <v>234</v>
      </c>
      <c r="E2275" s="716">
        <v>0</v>
      </c>
      <c r="F2275" s="717"/>
      <c r="G2275" t="e">
        <f>VLOOKUP(B2275,'SINAPI-%MO'!B:E,4,0)</f>
        <v>#N/A</v>
      </c>
      <c r="H2275" s="225" t="str">
        <f t="shared" si="35"/>
        <v/>
      </c>
    </row>
    <row r="2276" spans="1:8" x14ac:dyDescent="0.3">
      <c r="A2276" s="400"/>
      <c r="B2276" s="709">
        <v>102825</v>
      </c>
      <c r="C2276" s="710" t="s">
        <v>2340</v>
      </c>
      <c r="D2276" s="709" t="s">
        <v>234</v>
      </c>
      <c r="E2276" s="716">
        <v>0</v>
      </c>
      <c r="F2276" s="717"/>
      <c r="G2276" t="e">
        <f>VLOOKUP(B2276,'SINAPI-%MO'!B:E,4,0)</f>
        <v>#N/A</v>
      </c>
      <c r="H2276" s="225" t="str">
        <f t="shared" si="35"/>
        <v/>
      </c>
    </row>
    <row r="2277" spans="1:8" x14ac:dyDescent="0.3">
      <c r="A2277" s="400"/>
      <c r="B2277" s="709">
        <v>102826</v>
      </c>
      <c r="C2277" s="710" t="s">
        <v>2341</v>
      </c>
      <c r="D2277" s="709" t="s">
        <v>234</v>
      </c>
      <c r="E2277" s="716">
        <v>6.69</v>
      </c>
      <c r="F2277" s="717">
        <v>0</v>
      </c>
      <c r="G2277">
        <f>VLOOKUP(B2277,'SINAPI-%MO'!B:E,4,0)</f>
        <v>0</v>
      </c>
      <c r="H2277" s="225">
        <f t="shared" si="35"/>
        <v>6.69</v>
      </c>
    </row>
    <row r="2278" spans="1:8" x14ac:dyDescent="0.3">
      <c r="A2278" s="400"/>
      <c r="B2278" s="709">
        <v>103934</v>
      </c>
      <c r="C2278" s="710" t="s">
        <v>2342</v>
      </c>
      <c r="D2278" s="709" t="s">
        <v>234</v>
      </c>
      <c r="E2278" s="716">
        <v>0</v>
      </c>
      <c r="F2278" s="717"/>
      <c r="G2278" t="e">
        <f>VLOOKUP(B2278,'SINAPI-%MO'!B:E,4,0)</f>
        <v>#N/A</v>
      </c>
      <c r="H2278" s="225" t="str">
        <f t="shared" si="35"/>
        <v/>
      </c>
    </row>
    <row r="2279" spans="1:8" x14ac:dyDescent="0.3">
      <c r="A2279" s="400"/>
      <c r="B2279" s="709">
        <v>103935</v>
      </c>
      <c r="C2279" s="710" t="s">
        <v>2343</v>
      </c>
      <c r="D2279" s="709" t="s">
        <v>234</v>
      </c>
      <c r="E2279" s="716">
        <v>0</v>
      </c>
      <c r="F2279" s="717"/>
      <c r="G2279" t="e">
        <f>VLOOKUP(B2279,'SINAPI-%MO'!B:E,4,0)</f>
        <v>#N/A</v>
      </c>
      <c r="H2279" s="225" t="str">
        <f t="shared" si="35"/>
        <v/>
      </c>
    </row>
    <row r="2280" spans="1:8" x14ac:dyDescent="0.3">
      <c r="A2280" s="400"/>
      <c r="B2280" s="709">
        <v>103936</v>
      </c>
      <c r="C2280" s="710" t="s">
        <v>2344</v>
      </c>
      <c r="D2280" s="709" t="s">
        <v>234</v>
      </c>
      <c r="E2280" s="716">
        <v>0</v>
      </c>
      <c r="F2280" s="717"/>
      <c r="G2280" t="e">
        <f>VLOOKUP(B2280,'SINAPI-%MO'!B:E,4,0)</f>
        <v>#N/A</v>
      </c>
      <c r="H2280" s="225" t="str">
        <f t="shared" si="35"/>
        <v/>
      </c>
    </row>
    <row r="2281" spans="1:8" x14ac:dyDescent="0.3">
      <c r="A2281" s="400"/>
      <c r="B2281" s="709">
        <v>103937</v>
      </c>
      <c r="C2281" s="710" t="s">
        <v>2345</v>
      </c>
      <c r="D2281" s="709" t="s">
        <v>234</v>
      </c>
      <c r="E2281" s="716">
        <v>1.6</v>
      </c>
      <c r="F2281" s="717">
        <v>0</v>
      </c>
      <c r="G2281">
        <f>VLOOKUP(B2281,'SINAPI-%MO'!B:E,4,0)</f>
        <v>0</v>
      </c>
      <c r="H2281" s="225">
        <f t="shared" si="35"/>
        <v>1.6</v>
      </c>
    </row>
    <row r="2282" spans="1:8" x14ac:dyDescent="0.3">
      <c r="A2282" s="400"/>
      <c r="B2282" s="709">
        <v>103940</v>
      </c>
      <c r="C2282" s="710" t="s">
        <v>2346</v>
      </c>
      <c r="D2282" s="709" t="s">
        <v>234</v>
      </c>
      <c r="E2282" s="716">
        <v>0</v>
      </c>
      <c r="F2282" s="717"/>
      <c r="G2282" t="e">
        <f>VLOOKUP(B2282,'SINAPI-%MO'!B:E,4,0)</f>
        <v>#N/A</v>
      </c>
      <c r="H2282" s="225" t="str">
        <f t="shared" si="35"/>
        <v/>
      </c>
    </row>
    <row r="2283" spans="1:8" x14ac:dyDescent="0.3">
      <c r="A2283" s="400"/>
      <c r="B2283" s="709">
        <v>103941</v>
      </c>
      <c r="C2283" s="710" t="s">
        <v>2347</v>
      </c>
      <c r="D2283" s="709" t="s">
        <v>234</v>
      </c>
      <c r="E2283" s="716">
        <v>0</v>
      </c>
      <c r="F2283" s="717"/>
      <c r="G2283" t="e">
        <f>VLOOKUP(B2283,'SINAPI-%MO'!B:E,4,0)</f>
        <v>#N/A</v>
      </c>
      <c r="H2283" s="225" t="str">
        <f t="shared" si="35"/>
        <v/>
      </c>
    </row>
    <row r="2284" spans="1:8" x14ac:dyDescent="0.3">
      <c r="A2284" s="400"/>
      <c r="B2284" s="709">
        <v>103942</v>
      </c>
      <c r="C2284" s="710" t="s">
        <v>2348</v>
      </c>
      <c r="D2284" s="709" t="s">
        <v>234</v>
      </c>
      <c r="E2284" s="716">
        <v>0</v>
      </c>
      <c r="F2284" s="717"/>
      <c r="G2284" t="e">
        <f>VLOOKUP(B2284,'SINAPI-%MO'!B:E,4,0)</f>
        <v>#N/A</v>
      </c>
      <c r="H2284" s="225" t="str">
        <f t="shared" si="35"/>
        <v/>
      </c>
    </row>
    <row r="2285" spans="1:8" x14ac:dyDescent="0.3">
      <c r="A2285" s="400"/>
      <c r="B2285" s="709">
        <v>103943</v>
      </c>
      <c r="C2285" s="710" t="s">
        <v>2349</v>
      </c>
      <c r="D2285" s="709" t="s">
        <v>234</v>
      </c>
      <c r="E2285" s="716">
        <v>1.6</v>
      </c>
      <c r="F2285" s="717">
        <v>0</v>
      </c>
      <c r="G2285">
        <f>VLOOKUP(B2285,'SINAPI-%MO'!B:E,4,0)</f>
        <v>0</v>
      </c>
      <c r="H2285" s="225">
        <f t="shared" si="35"/>
        <v>1.6</v>
      </c>
    </row>
    <row r="2286" spans="1:8" x14ac:dyDescent="0.3">
      <c r="A2286" s="400"/>
      <c r="B2286" s="709">
        <v>106406</v>
      </c>
      <c r="C2286" s="710" t="s">
        <v>13363</v>
      </c>
      <c r="D2286" s="709" t="s">
        <v>234</v>
      </c>
      <c r="E2286" s="716">
        <v>11.73</v>
      </c>
      <c r="F2286" s="717">
        <v>0</v>
      </c>
      <c r="G2286">
        <f>VLOOKUP(B2286,'SINAPI-%MO'!B:E,4,0)</f>
        <v>0</v>
      </c>
      <c r="H2286" s="225">
        <f t="shared" si="35"/>
        <v>11.73</v>
      </c>
    </row>
    <row r="2287" spans="1:8" x14ac:dyDescent="0.3">
      <c r="A2287" s="400"/>
      <c r="B2287" s="709">
        <v>106407</v>
      </c>
      <c r="C2287" s="710" t="s">
        <v>13364</v>
      </c>
      <c r="D2287" s="709" t="s">
        <v>234</v>
      </c>
      <c r="E2287" s="716">
        <v>2.41</v>
      </c>
      <c r="F2287" s="717">
        <v>0</v>
      </c>
      <c r="G2287">
        <f>VLOOKUP(B2287,'SINAPI-%MO'!B:E,4,0)</f>
        <v>0</v>
      </c>
      <c r="H2287" s="225">
        <f t="shared" si="35"/>
        <v>2.41</v>
      </c>
    </row>
    <row r="2288" spans="1:8" x14ac:dyDescent="0.3">
      <c r="A2288" s="400"/>
      <c r="B2288" s="709">
        <v>106408</v>
      </c>
      <c r="C2288" s="710" t="s">
        <v>13365</v>
      </c>
      <c r="D2288" s="709" t="s">
        <v>234</v>
      </c>
      <c r="E2288" s="716">
        <v>8.14</v>
      </c>
      <c r="F2288" s="717">
        <v>0</v>
      </c>
      <c r="G2288">
        <f>VLOOKUP(B2288,'SINAPI-%MO'!B:E,4,0)</f>
        <v>0</v>
      </c>
      <c r="H2288" s="225">
        <f t="shared" si="35"/>
        <v>8.14</v>
      </c>
    </row>
    <row r="2289" spans="1:8" x14ac:dyDescent="0.3">
      <c r="A2289" s="400"/>
      <c r="B2289" s="709">
        <v>106409</v>
      </c>
      <c r="C2289" s="710" t="s">
        <v>13366</v>
      </c>
      <c r="D2289" s="709" t="s">
        <v>234</v>
      </c>
      <c r="E2289" s="716">
        <v>4.32</v>
      </c>
      <c r="F2289" s="717">
        <v>0</v>
      </c>
      <c r="G2289">
        <f>VLOOKUP(B2289,'SINAPI-%MO'!B:E,4,0)</f>
        <v>0</v>
      </c>
      <c r="H2289" s="225">
        <f t="shared" si="35"/>
        <v>4.32</v>
      </c>
    </row>
    <row r="2290" spans="1:8" x14ac:dyDescent="0.3">
      <c r="A2290" s="400"/>
      <c r="B2290" s="709">
        <v>91279</v>
      </c>
      <c r="C2290" s="710" t="s">
        <v>2350</v>
      </c>
      <c r="D2290" s="709" t="s">
        <v>234</v>
      </c>
      <c r="E2290" s="716">
        <v>0.47</v>
      </c>
      <c r="F2290" s="717">
        <v>0</v>
      </c>
      <c r="G2290">
        <f>VLOOKUP(B2290,'SINAPI-%MO'!B:E,4,0)</f>
        <v>0</v>
      </c>
      <c r="H2290" s="225">
        <f t="shared" si="35"/>
        <v>0.47</v>
      </c>
    </row>
    <row r="2291" spans="1:8" x14ac:dyDescent="0.3">
      <c r="A2291" s="400"/>
      <c r="B2291" s="709">
        <v>91280</v>
      </c>
      <c r="C2291" s="710" t="s">
        <v>2351</v>
      </c>
      <c r="D2291" s="709" t="s">
        <v>234</v>
      </c>
      <c r="E2291" s="716">
        <v>0.1</v>
      </c>
      <c r="F2291" s="717">
        <v>0</v>
      </c>
      <c r="G2291">
        <f>VLOOKUP(B2291,'SINAPI-%MO'!B:E,4,0)</f>
        <v>0</v>
      </c>
      <c r="H2291" s="225">
        <f t="shared" si="35"/>
        <v>0.1</v>
      </c>
    </row>
    <row r="2292" spans="1:8" x14ac:dyDescent="0.3">
      <c r="A2292" s="400"/>
      <c r="B2292" s="709">
        <v>91281</v>
      </c>
      <c r="C2292" s="710" t="s">
        <v>2352</v>
      </c>
      <c r="D2292" s="709" t="s">
        <v>234</v>
      </c>
      <c r="E2292" s="716">
        <v>0.59</v>
      </c>
      <c r="F2292" s="717">
        <v>0</v>
      </c>
      <c r="G2292">
        <f>VLOOKUP(B2292,'SINAPI-%MO'!B:E,4,0)</f>
        <v>0</v>
      </c>
      <c r="H2292" s="225">
        <f t="shared" si="35"/>
        <v>0.59</v>
      </c>
    </row>
    <row r="2293" spans="1:8" x14ac:dyDescent="0.3">
      <c r="A2293" s="400"/>
      <c r="B2293" s="709">
        <v>91282</v>
      </c>
      <c r="C2293" s="710" t="s">
        <v>2353</v>
      </c>
      <c r="D2293" s="709" t="s">
        <v>234</v>
      </c>
      <c r="E2293" s="716">
        <v>9.0299999999999994</v>
      </c>
      <c r="F2293" s="717">
        <v>0</v>
      </c>
      <c r="G2293">
        <f>VLOOKUP(B2293,'SINAPI-%MO'!B:E,4,0)</f>
        <v>0</v>
      </c>
      <c r="H2293" s="225">
        <f t="shared" si="35"/>
        <v>9.0299999999999994</v>
      </c>
    </row>
    <row r="2294" spans="1:8" x14ac:dyDescent="0.3">
      <c r="A2294" s="400"/>
      <c r="B2294" s="709">
        <v>95278</v>
      </c>
      <c r="C2294" s="710" t="s">
        <v>2354</v>
      </c>
      <c r="D2294" s="709" t="s">
        <v>234</v>
      </c>
      <c r="E2294" s="716">
        <v>0.66</v>
      </c>
      <c r="F2294" s="717">
        <v>1</v>
      </c>
      <c r="G2294">
        <f>VLOOKUP(B2294,'SINAPI-%MO'!B:E,4,0)</f>
        <v>0</v>
      </c>
      <c r="H2294" s="225">
        <f t="shared" si="35"/>
        <v>0.66</v>
      </c>
    </row>
    <row r="2295" spans="1:8" x14ac:dyDescent="0.3">
      <c r="A2295" s="400"/>
      <c r="B2295" s="709">
        <v>95279</v>
      </c>
      <c r="C2295" s="710" t="s">
        <v>2355</v>
      </c>
      <c r="D2295" s="709" t="s">
        <v>234</v>
      </c>
      <c r="E2295" s="716">
        <v>0.13</v>
      </c>
      <c r="F2295" s="717">
        <v>1</v>
      </c>
      <c r="G2295">
        <f>VLOOKUP(B2295,'SINAPI-%MO'!B:E,4,0)</f>
        <v>0</v>
      </c>
      <c r="H2295" s="225">
        <f t="shared" si="35"/>
        <v>0.13</v>
      </c>
    </row>
    <row r="2296" spans="1:8" x14ac:dyDescent="0.3">
      <c r="A2296" s="400"/>
      <c r="B2296" s="709">
        <v>95280</v>
      </c>
      <c r="C2296" s="710" t="s">
        <v>2356</v>
      </c>
      <c r="D2296" s="709" t="s">
        <v>234</v>
      </c>
      <c r="E2296" s="716">
        <v>0.64</v>
      </c>
      <c r="F2296" s="717">
        <v>1</v>
      </c>
      <c r="G2296">
        <f>VLOOKUP(B2296,'SINAPI-%MO'!B:E,4,0)</f>
        <v>0</v>
      </c>
      <c r="H2296" s="225">
        <f t="shared" si="35"/>
        <v>0.64</v>
      </c>
    </row>
    <row r="2297" spans="1:8" x14ac:dyDescent="0.3">
      <c r="A2297" s="400"/>
      <c r="B2297" s="709">
        <v>95281</v>
      </c>
      <c r="C2297" s="710" t="s">
        <v>2357</v>
      </c>
      <c r="D2297" s="709" t="s">
        <v>234</v>
      </c>
      <c r="E2297" s="716">
        <v>8.9700000000000006</v>
      </c>
      <c r="F2297" s="717">
        <v>0</v>
      </c>
      <c r="G2297">
        <f>VLOOKUP(B2297,'SINAPI-%MO'!B:E,4,0)</f>
        <v>0</v>
      </c>
      <c r="H2297" s="225">
        <f t="shared" si="35"/>
        <v>8.9700000000000006</v>
      </c>
    </row>
    <row r="2298" spans="1:8" x14ac:dyDescent="0.3">
      <c r="A2298" s="400"/>
      <c r="B2298" s="709">
        <v>95124</v>
      </c>
      <c r="C2298" s="710" t="s">
        <v>2358</v>
      </c>
      <c r="D2298" s="709" t="s">
        <v>234</v>
      </c>
      <c r="E2298" s="716">
        <v>6.27</v>
      </c>
      <c r="F2298" s="717">
        <v>1</v>
      </c>
      <c r="G2298">
        <f>VLOOKUP(B2298,'SINAPI-%MO'!B:E,4,0)</f>
        <v>0</v>
      </c>
      <c r="H2298" s="225">
        <f t="shared" si="35"/>
        <v>6.27</v>
      </c>
    </row>
    <row r="2299" spans="1:8" x14ac:dyDescent="0.3">
      <c r="A2299" s="400"/>
      <c r="B2299" s="709">
        <v>95123</v>
      </c>
      <c r="C2299" s="710" t="s">
        <v>2359</v>
      </c>
      <c r="D2299" s="709" t="s">
        <v>234</v>
      </c>
      <c r="E2299" s="716">
        <v>20.350000000000001</v>
      </c>
      <c r="F2299" s="717">
        <v>1</v>
      </c>
      <c r="G2299">
        <f>VLOOKUP(B2299,'SINAPI-%MO'!B:E,4,0)</f>
        <v>0</v>
      </c>
      <c r="H2299" s="225">
        <f t="shared" si="35"/>
        <v>20.350000000000001</v>
      </c>
    </row>
    <row r="2300" spans="1:8" x14ac:dyDescent="0.3">
      <c r="A2300" s="400"/>
      <c r="B2300" s="709">
        <v>95125</v>
      </c>
      <c r="C2300" s="710" t="s">
        <v>2360</v>
      </c>
      <c r="D2300" s="709" t="s">
        <v>234</v>
      </c>
      <c r="E2300" s="716">
        <v>22.26</v>
      </c>
      <c r="F2300" s="717">
        <v>1</v>
      </c>
      <c r="G2300">
        <f>VLOOKUP(B2300,'SINAPI-%MO'!B:E,4,0)</f>
        <v>0</v>
      </c>
      <c r="H2300" s="225">
        <f t="shared" si="35"/>
        <v>22.26</v>
      </c>
    </row>
    <row r="2301" spans="1:8" x14ac:dyDescent="0.3">
      <c r="A2301" s="400"/>
      <c r="B2301" s="709">
        <v>95126</v>
      </c>
      <c r="C2301" s="710" t="s">
        <v>2361</v>
      </c>
      <c r="D2301" s="709" t="s">
        <v>234</v>
      </c>
      <c r="E2301" s="716">
        <v>158.72999999999999</v>
      </c>
      <c r="F2301" s="717">
        <v>0</v>
      </c>
      <c r="G2301">
        <f>VLOOKUP(B2301,'SINAPI-%MO'!B:E,4,0)</f>
        <v>0</v>
      </c>
      <c r="H2301" s="225">
        <f t="shared" si="35"/>
        <v>158.72999999999999</v>
      </c>
    </row>
    <row r="2302" spans="1:8" x14ac:dyDescent="0.3">
      <c r="A2302" s="400"/>
      <c r="B2302" s="709">
        <v>92040</v>
      </c>
      <c r="C2302" s="710" t="s">
        <v>2362</v>
      </c>
      <c r="D2302" s="709" t="s">
        <v>234</v>
      </c>
      <c r="E2302" s="716">
        <v>7.37</v>
      </c>
      <c r="F2302" s="717">
        <v>1</v>
      </c>
      <c r="G2302">
        <f>VLOOKUP(B2302,'SINAPI-%MO'!B:E,4,0)</f>
        <v>0</v>
      </c>
      <c r="H2302" s="225">
        <f t="shared" si="35"/>
        <v>7.37</v>
      </c>
    </row>
    <row r="2303" spans="1:8" x14ac:dyDescent="0.3">
      <c r="A2303" s="400"/>
      <c r="B2303" s="709">
        <v>92041</v>
      </c>
      <c r="C2303" s="710" t="s">
        <v>2363</v>
      </c>
      <c r="D2303" s="709" t="s">
        <v>234</v>
      </c>
      <c r="E2303" s="716">
        <v>1.51</v>
      </c>
      <c r="F2303" s="717">
        <v>1</v>
      </c>
      <c r="G2303">
        <f>VLOOKUP(B2303,'SINAPI-%MO'!B:E,4,0)</f>
        <v>0</v>
      </c>
      <c r="H2303" s="225">
        <f t="shared" si="35"/>
        <v>1.51</v>
      </c>
    </row>
    <row r="2304" spans="1:8" x14ac:dyDescent="0.3">
      <c r="A2304" s="400"/>
      <c r="B2304" s="709">
        <v>92042</v>
      </c>
      <c r="C2304" s="710" t="s">
        <v>2364</v>
      </c>
      <c r="D2304" s="709" t="s">
        <v>234</v>
      </c>
      <c r="E2304" s="716">
        <v>6.14</v>
      </c>
      <c r="F2304" s="717">
        <v>1</v>
      </c>
      <c r="G2304">
        <f>VLOOKUP(B2304,'SINAPI-%MO'!B:E,4,0)</f>
        <v>0</v>
      </c>
      <c r="H2304" s="225">
        <f t="shared" si="35"/>
        <v>6.14</v>
      </c>
    </row>
    <row r="2305" spans="1:8" x14ac:dyDescent="0.3">
      <c r="A2305" s="400"/>
      <c r="B2305" s="709">
        <v>106410</v>
      </c>
      <c r="C2305" s="710" t="s">
        <v>13367</v>
      </c>
      <c r="D2305" s="709" t="s">
        <v>234</v>
      </c>
      <c r="E2305" s="716">
        <v>5.65</v>
      </c>
      <c r="F2305" s="717">
        <v>0</v>
      </c>
      <c r="G2305">
        <f>VLOOKUP(B2305,'SINAPI-%MO'!B:E,4,0)</f>
        <v>0</v>
      </c>
      <c r="H2305" s="225">
        <f t="shared" si="35"/>
        <v>5.65</v>
      </c>
    </row>
    <row r="2306" spans="1:8" x14ac:dyDescent="0.3">
      <c r="A2306" s="400"/>
      <c r="B2306" s="709">
        <v>106411</v>
      </c>
      <c r="C2306" s="710" t="s">
        <v>13368</v>
      </c>
      <c r="D2306" s="709" t="s">
        <v>234</v>
      </c>
      <c r="E2306" s="716">
        <v>2.4</v>
      </c>
      <c r="F2306" s="717">
        <v>0</v>
      </c>
      <c r="G2306">
        <f>VLOOKUP(B2306,'SINAPI-%MO'!B:E,4,0)</f>
        <v>0</v>
      </c>
      <c r="H2306" s="225">
        <f t="shared" si="35"/>
        <v>2.4</v>
      </c>
    </row>
    <row r="2307" spans="1:8" x14ac:dyDescent="0.3">
      <c r="A2307" s="400"/>
      <c r="B2307" s="709">
        <v>106412</v>
      </c>
      <c r="C2307" s="710" t="s">
        <v>13369</v>
      </c>
      <c r="D2307" s="709" t="s">
        <v>234</v>
      </c>
      <c r="E2307" s="716">
        <v>6.18</v>
      </c>
      <c r="F2307" s="717">
        <v>0</v>
      </c>
      <c r="G2307">
        <f>VLOOKUP(B2307,'SINAPI-%MO'!B:E,4,0)</f>
        <v>0</v>
      </c>
      <c r="H2307" s="225">
        <f t="shared" si="35"/>
        <v>6.18</v>
      </c>
    </row>
    <row r="2308" spans="1:8" x14ac:dyDescent="0.3">
      <c r="A2308" s="400"/>
      <c r="B2308" s="709">
        <v>106413</v>
      </c>
      <c r="C2308" s="710" t="s">
        <v>13370</v>
      </c>
      <c r="D2308" s="709" t="s">
        <v>234</v>
      </c>
      <c r="E2308" s="716">
        <v>2.66</v>
      </c>
      <c r="F2308" s="717">
        <v>0</v>
      </c>
      <c r="G2308">
        <f>VLOOKUP(B2308,'SINAPI-%MO'!B:E,4,0)</f>
        <v>0</v>
      </c>
      <c r="H2308" s="225">
        <f t="shared" si="35"/>
        <v>2.66</v>
      </c>
    </row>
    <row r="2309" spans="1:8" x14ac:dyDescent="0.3">
      <c r="A2309" s="400"/>
      <c r="B2309" s="709">
        <v>102829</v>
      </c>
      <c r="C2309" s="710" t="s">
        <v>2365</v>
      </c>
      <c r="D2309" s="709" t="s">
        <v>234</v>
      </c>
      <c r="E2309" s="716">
        <v>0</v>
      </c>
      <c r="F2309" s="717"/>
      <c r="G2309" t="e">
        <f>VLOOKUP(B2309,'SINAPI-%MO'!B:E,4,0)</f>
        <v>#N/A</v>
      </c>
      <c r="H2309" s="225" t="str">
        <f t="shared" si="35"/>
        <v/>
      </c>
    </row>
    <row r="2310" spans="1:8" x14ac:dyDescent="0.3">
      <c r="A2310" s="400"/>
      <c r="B2310" s="709">
        <v>102830</v>
      </c>
      <c r="C2310" s="710" t="s">
        <v>2366</v>
      </c>
      <c r="D2310" s="709" t="s">
        <v>234</v>
      </c>
      <c r="E2310" s="716">
        <v>0</v>
      </c>
      <c r="F2310" s="717"/>
      <c r="G2310" t="e">
        <f>VLOOKUP(B2310,'SINAPI-%MO'!B:E,4,0)</f>
        <v>#N/A</v>
      </c>
      <c r="H2310" s="225" t="str">
        <f t="shared" si="35"/>
        <v/>
      </c>
    </row>
    <row r="2311" spans="1:8" x14ac:dyDescent="0.3">
      <c r="A2311" s="400"/>
      <c r="B2311" s="709">
        <v>102831</v>
      </c>
      <c r="C2311" s="710" t="s">
        <v>2367</v>
      </c>
      <c r="D2311" s="709" t="s">
        <v>234</v>
      </c>
      <c r="E2311" s="716">
        <v>0</v>
      </c>
      <c r="F2311" s="717"/>
      <c r="G2311" t="e">
        <f>VLOOKUP(B2311,'SINAPI-%MO'!B:E,4,0)</f>
        <v>#N/A</v>
      </c>
      <c r="H2311" s="225" t="str">
        <f t="shared" si="35"/>
        <v/>
      </c>
    </row>
    <row r="2312" spans="1:8" x14ac:dyDescent="0.3">
      <c r="A2312" s="400"/>
      <c r="B2312" s="709">
        <v>92114</v>
      </c>
      <c r="C2312" s="710" t="s">
        <v>2368</v>
      </c>
      <c r="D2312" s="709" t="s">
        <v>234</v>
      </c>
      <c r="E2312" s="716">
        <v>0.23</v>
      </c>
      <c r="F2312" s="717">
        <v>0</v>
      </c>
      <c r="G2312">
        <f>VLOOKUP(B2312,'SINAPI-%MO'!B:E,4,0)</f>
        <v>0</v>
      </c>
      <c r="H2312" s="225">
        <f t="shared" si="35"/>
        <v>0.23</v>
      </c>
    </row>
    <row r="2313" spans="1:8" x14ac:dyDescent="0.3">
      <c r="A2313" s="400"/>
      <c r="B2313" s="709">
        <v>92115</v>
      </c>
      <c r="C2313" s="710" t="s">
        <v>2369</v>
      </c>
      <c r="D2313" s="709" t="s">
        <v>234</v>
      </c>
      <c r="E2313" s="716">
        <v>0.04</v>
      </c>
      <c r="F2313" s="717">
        <v>0</v>
      </c>
      <c r="G2313">
        <f>VLOOKUP(B2313,'SINAPI-%MO'!B:E,4,0)</f>
        <v>0</v>
      </c>
      <c r="H2313" s="225">
        <f t="shared" si="35"/>
        <v>0.04</v>
      </c>
    </row>
    <row r="2314" spans="1:8" x14ac:dyDescent="0.3">
      <c r="A2314" s="400"/>
      <c r="B2314" s="709">
        <v>92116</v>
      </c>
      <c r="C2314" s="710" t="s">
        <v>2370</v>
      </c>
      <c r="D2314" s="709" t="s">
        <v>234</v>
      </c>
      <c r="E2314" s="716">
        <v>0.16</v>
      </c>
      <c r="F2314" s="717">
        <v>0</v>
      </c>
      <c r="G2314">
        <f>VLOOKUP(B2314,'SINAPI-%MO'!B:E,4,0)</f>
        <v>0</v>
      </c>
      <c r="H2314" s="225">
        <f t="shared" si="35"/>
        <v>0.16</v>
      </c>
    </row>
    <row r="2315" spans="1:8" x14ac:dyDescent="0.3">
      <c r="A2315" s="400"/>
      <c r="B2315" s="709">
        <v>102912</v>
      </c>
      <c r="C2315" s="710" t="s">
        <v>2371</v>
      </c>
      <c r="D2315" s="709" t="s">
        <v>234</v>
      </c>
      <c r="E2315" s="716">
        <v>0</v>
      </c>
      <c r="F2315" s="717"/>
      <c r="G2315" t="e">
        <f>VLOOKUP(B2315,'SINAPI-%MO'!B:E,4,0)</f>
        <v>#N/A</v>
      </c>
      <c r="H2315" s="225" t="str">
        <f t="shared" ref="H2315:H2378" si="36">IF(E2315&gt;0,TRUNC(E2315*(1-G2315),2),"")</f>
        <v/>
      </c>
    </row>
    <row r="2316" spans="1:8" x14ac:dyDescent="0.3">
      <c r="A2316" s="400"/>
      <c r="B2316" s="709">
        <v>102913</v>
      </c>
      <c r="C2316" s="710" t="s">
        <v>2372</v>
      </c>
      <c r="D2316" s="709" t="s">
        <v>234</v>
      </c>
      <c r="E2316" s="716">
        <v>0</v>
      </c>
      <c r="F2316" s="717"/>
      <c r="G2316" t="e">
        <f>VLOOKUP(B2316,'SINAPI-%MO'!B:E,4,0)</f>
        <v>#N/A</v>
      </c>
      <c r="H2316" s="225" t="str">
        <f t="shared" si="36"/>
        <v/>
      </c>
    </row>
    <row r="2317" spans="1:8" x14ac:dyDescent="0.3">
      <c r="A2317" s="400"/>
      <c r="B2317" s="709">
        <v>102914</v>
      </c>
      <c r="C2317" s="710" t="s">
        <v>2373</v>
      </c>
      <c r="D2317" s="709" t="s">
        <v>234</v>
      </c>
      <c r="E2317" s="716">
        <v>0</v>
      </c>
      <c r="F2317" s="717"/>
      <c r="G2317" t="e">
        <f>VLOOKUP(B2317,'SINAPI-%MO'!B:E,4,0)</f>
        <v>#N/A</v>
      </c>
      <c r="H2317" s="225" t="str">
        <f t="shared" si="36"/>
        <v/>
      </c>
    </row>
    <row r="2318" spans="1:8" x14ac:dyDescent="0.3">
      <c r="A2318" s="400"/>
      <c r="B2318" s="709">
        <v>102915</v>
      </c>
      <c r="C2318" s="710" t="s">
        <v>2374</v>
      </c>
      <c r="D2318" s="709" t="s">
        <v>234</v>
      </c>
      <c r="E2318" s="716">
        <v>0.66</v>
      </c>
      <c r="F2318" s="717">
        <v>0</v>
      </c>
      <c r="G2318">
        <f>VLOOKUP(B2318,'SINAPI-%MO'!B:E,4,0)</f>
        <v>0</v>
      </c>
      <c r="H2318" s="225">
        <f t="shared" si="36"/>
        <v>0.66</v>
      </c>
    </row>
    <row r="2319" spans="1:8" x14ac:dyDescent="0.3">
      <c r="A2319" s="400"/>
      <c r="B2319" s="709">
        <v>95716</v>
      </c>
      <c r="C2319" s="710" t="s">
        <v>2375</v>
      </c>
      <c r="D2319" s="709" t="s">
        <v>234</v>
      </c>
      <c r="E2319" s="716">
        <v>63.19</v>
      </c>
      <c r="F2319" s="717">
        <v>0</v>
      </c>
      <c r="G2319">
        <f>VLOOKUP(B2319,'SINAPI-%MO'!B:E,4,0)</f>
        <v>0</v>
      </c>
      <c r="H2319" s="225">
        <f t="shared" si="36"/>
        <v>63.19</v>
      </c>
    </row>
    <row r="2320" spans="1:8" x14ac:dyDescent="0.3">
      <c r="A2320" s="400"/>
      <c r="B2320" s="709">
        <v>95717</v>
      </c>
      <c r="C2320" s="710" t="s">
        <v>2376</v>
      </c>
      <c r="D2320" s="709" t="s">
        <v>234</v>
      </c>
      <c r="E2320" s="716">
        <v>16.7</v>
      </c>
      <c r="F2320" s="717">
        <v>0</v>
      </c>
      <c r="G2320">
        <f>VLOOKUP(B2320,'SINAPI-%MO'!B:E,4,0)</f>
        <v>0</v>
      </c>
      <c r="H2320" s="225">
        <f t="shared" si="36"/>
        <v>16.7</v>
      </c>
    </row>
    <row r="2321" spans="1:8" x14ac:dyDescent="0.3">
      <c r="A2321" s="400"/>
      <c r="B2321" s="709">
        <v>95718</v>
      </c>
      <c r="C2321" s="710" t="s">
        <v>2377</v>
      </c>
      <c r="D2321" s="709" t="s">
        <v>234</v>
      </c>
      <c r="E2321" s="716">
        <v>78.989999999999995</v>
      </c>
      <c r="F2321" s="717">
        <v>0</v>
      </c>
      <c r="G2321">
        <f>VLOOKUP(B2321,'SINAPI-%MO'!B:E,4,0)</f>
        <v>0</v>
      </c>
      <c r="H2321" s="225">
        <f t="shared" si="36"/>
        <v>78.989999999999995</v>
      </c>
    </row>
    <row r="2322" spans="1:8" x14ac:dyDescent="0.3">
      <c r="A2322" s="400"/>
      <c r="B2322" s="709">
        <v>95719</v>
      </c>
      <c r="C2322" s="710" t="s">
        <v>2378</v>
      </c>
      <c r="D2322" s="709" t="s">
        <v>234</v>
      </c>
      <c r="E2322" s="716">
        <v>96.94</v>
      </c>
      <c r="F2322" s="717">
        <v>0</v>
      </c>
      <c r="G2322">
        <f>VLOOKUP(B2322,'SINAPI-%MO'!B:E,4,0)</f>
        <v>0</v>
      </c>
      <c r="H2322" s="225">
        <f t="shared" si="36"/>
        <v>96.94</v>
      </c>
    </row>
    <row r="2323" spans="1:8" x14ac:dyDescent="0.3">
      <c r="A2323" s="400"/>
      <c r="B2323" s="709">
        <v>104712</v>
      </c>
      <c r="C2323" s="710" t="s">
        <v>2379</v>
      </c>
      <c r="D2323" s="709" t="s">
        <v>234</v>
      </c>
      <c r="E2323" s="716">
        <v>59.4</v>
      </c>
      <c r="F2323" s="717">
        <v>0</v>
      </c>
      <c r="G2323">
        <f>VLOOKUP(B2323,'SINAPI-%MO'!B:E,4,0)</f>
        <v>0</v>
      </c>
      <c r="H2323" s="225">
        <f t="shared" si="36"/>
        <v>59.4</v>
      </c>
    </row>
    <row r="2324" spans="1:8" x14ac:dyDescent="0.3">
      <c r="A2324" s="400"/>
      <c r="B2324" s="709">
        <v>104713</v>
      </c>
      <c r="C2324" s="710" t="s">
        <v>2380</v>
      </c>
      <c r="D2324" s="709" t="s">
        <v>234</v>
      </c>
      <c r="E2324" s="716">
        <v>15.69</v>
      </c>
      <c r="F2324" s="717">
        <v>0</v>
      </c>
      <c r="G2324">
        <f>VLOOKUP(B2324,'SINAPI-%MO'!B:E,4,0)</f>
        <v>0</v>
      </c>
      <c r="H2324" s="225">
        <f t="shared" si="36"/>
        <v>15.69</v>
      </c>
    </row>
    <row r="2325" spans="1:8" x14ac:dyDescent="0.3">
      <c r="A2325" s="400"/>
      <c r="B2325" s="709">
        <v>104714</v>
      </c>
      <c r="C2325" s="710" t="s">
        <v>2381</v>
      </c>
      <c r="D2325" s="709" t="s">
        <v>234</v>
      </c>
      <c r="E2325" s="716">
        <v>74.25</v>
      </c>
      <c r="F2325" s="717">
        <v>0</v>
      </c>
      <c r="G2325">
        <f>VLOOKUP(B2325,'SINAPI-%MO'!B:E,4,0)</f>
        <v>0</v>
      </c>
      <c r="H2325" s="225">
        <f t="shared" si="36"/>
        <v>74.25</v>
      </c>
    </row>
    <row r="2326" spans="1:8" x14ac:dyDescent="0.3">
      <c r="A2326" s="400"/>
      <c r="B2326" s="709">
        <v>104715</v>
      </c>
      <c r="C2326" s="710" t="s">
        <v>2382</v>
      </c>
      <c r="D2326" s="709" t="s">
        <v>234</v>
      </c>
      <c r="E2326" s="716">
        <v>96.94</v>
      </c>
      <c r="F2326" s="717">
        <v>0</v>
      </c>
      <c r="G2326">
        <f>VLOOKUP(B2326,'SINAPI-%MO'!B:E,4,0)</f>
        <v>0</v>
      </c>
      <c r="H2326" s="225">
        <f t="shared" si="36"/>
        <v>96.94</v>
      </c>
    </row>
    <row r="2327" spans="1:8" x14ac:dyDescent="0.3">
      <c r="A2327" s="400"/>
      <c r="B2327" s="709">
        <v>106394</v>
      </c>
      <c r="C2327" s="710" t="s">
        <v>14947</v>
      </c>
      <c r="D2327" s="709" t="s">
        <v>234</v>
      </c>
      <c r="E2327" s="716">
        <v>0</v>
      </c>
      <c r="F2327" s="717"/>
      <c r="G2327" t="e">
        <f>VLOOKUP(B2327,'SINAPI-%MO'!B:E,4,0)</f>
        <v>#N/A</v>
      </c>
      <c r="H2327" s="225" t="str">
        <f t="shared" si="36"/>
        <v/>
      </c>
    </row>
    <row r="2328" spans="1:8" x14ac:dyDescent="0.3">
      <c r="A2328" s="400"/>
      <c r="B2328" s="709">
        <v>106395</v>
      </c>
      <c r="C2328" s="710" t="s">
        <v>14948</v>
      </c>
      <c r="D2328" s="709" t="s">
        <v>234</v>
      </c>
      <c r="E2328" s="716">
        <v>0</v>
      </c>
      <c r="F2328" s="717"/>
      <c r="G2328" t="e">
        <f>VLOOKUP(B2328,'SINAPI-%MO'!B:E,4,0)</f>
        <v>#N/A</v>
      </c>
      <c r="H2328" s="225" t="str">
        <f t="shared" si="36"/>
        <v/>
      </c>
    </row>
    <row r="2329" spans="1:8" x14ac:dyDescent="0.3">
      <c r="A2329" s="400"/>
      <c r="B2329" s="709">
        <v>106396</v>
      </c>
      <c r="C2329" s="710" t="s">
        <v>14949</v>
      </c>
      <c r="D2329" s="709" t="s">
        <v>234</v>
      </c>
      <c r="E2329" s="716">
        <v>0</v>
      </c>
      <c r="F2329" s="717"/>
      <c r="G2329" t="e">
        <f>VLOOKUP(B2329,'SINAPI-%MO'!B:E,4,0)</f>
        <v>#N/A</v>
      </c>
      <c r="H2329" s="225" t="str">
        <f t="shared" si="36"/>
        <v/>
      </c>
    </row>
    <row r="2330" spans="1:8" x14ac:dyDescent="0.3">
      <c r="A2330" s="400"/>
      <c r="B2330" s="709">
        <v>106397</v>
      </c>
      <c r="C2330" s="710" t="s">
        <v>13371</v>
      </c>
      <c r="D2330" s="709" t="s">
        <v>234</v>
      </c>
      <c r="E2330" s="716">
        <v>96.94</v>
      </c>
      <c r="F2330" s="717">
        <v>0</v>
      </c>
      <c r="G2330">
        <f>VLOOKUP(B2330,'SINAPI-%MO'!B:E,4,0)</f>
        <v>0</v>
      </c>
      <c r="H2330" s="225">
        <f t="shared" si="36"/>
        <v>96.94</v>
      </c>
    </row>
    <row r="2331" spans="1:8" x14ac:dyDescent="0.3">
      <c r="A2331" s="400"/>
      <c r="B2331" s="709">
        <v>106400</v>
      </c>
      <c r="C2331" s="710" t="s">
        <v>14950</v>
      </c>
      <c r="D2331" s="709" t="s">
        <v>234</v>
      </c>
      <c r="E2331" s="716">
        <v>0</v>
      </c>
      <c r="F2331" s="717"/>
      <c r="G2331" t="e">
        <f>VLOOKUP(B2331,'SINAPI-%MO'!B:E,4,0)</f>
        <v>#N/A</v>
      </c>
      <c r="H2331" s="225" t="str">
        <f t="shared" si="36"/>
        <v/>
      </c>
    </row>
    <row r="2332" spans="1:8" x14ac:dyDescent="0.3">
      <c r="A2332" s="400"/>
      <c r="B2332" s="709">
        <v>106401</v>
      </c>
      <c r="C2332" s="710" t="s">
        <v>14951</v>
      </c>
      <c r="D2332" s="709" t="s">
        <v>234</v>
      </c>
      <c r="E2332" s="716">
        <v>0</v>
      </c>
      <c r="F2332" s="717"/>
      <c r="G2332" t="e">
        <f>VLOOKUP(B2332,'SINAPI-%MO'!B:E,4,0)</f>
        <v>#N/A</v>
      </c>
      <c r="H2332" s="225" t="str">
        <f t="shared" si="36"/>
        <v/>
      </c>
    </row>
    <row r="2333" spans="1:8" x14ac:dyDescent="0.3">
      <c r="A2333" s="400"/>
      <c r="B2333" s="709">
        <v>106402</v>
      </c>
      <c r="C2333" s="710" t="s">
        <v>14952</v>
      </c>
      <c r="D2333" s="709" t="s">
        <v>234</v>
      </c>
      <c r="E2333" s="716">
        <v>0</v>
      </c>
      <c r="F2333" s="717"/>
      <c r="G2333" t="e">
        <f>VLOOKUP(B2333,'SINAPI-%MO'!B:E,4,0)</f>
        <v>#N/A</v>
      </c>
      <c r="H2333" s="225" t="str">
        <f t="shared" si="36"/>
        <v/>
      </c>
    </row>
    <row r="2334" spans="1:8" x14ac:dyDescent="0.3">
      <c r="A2334" s="400"/>
      <c r="B2334" s="709">
        <v>106403</v>
      </c>
      <c r="C2334" s="710" t="s">
        <v>13372</v>
      </c>
      <c r="D2334" s="709" t="s">
        <v>234</v>
      </c>
      <c r="E2334" s="716">
        <v>96.94</v>
      </c>
      <c r="F2334" s="717">
        <v>0</v>
      </c>
      <c r="G2334">
        <f>VLOOKUP(B2334,'SINAPI-%MO'!B:E,4,0)</f>
        <v>0</v>
      </c>
      <c r="H2334" s="225">
        <f t="shared" si="36"/>
        <v>96.94</v>
      </c>
    </row>
    <row r="2335" spans="1:8" x14ac:dyDescent="0.3">
      <c r="A2335" s="400"/>
      <c r="B2335" s="709">
        <v>102894</v>
      </c>
      <c r="C2335" s="710" t="s">
        <v>2383</v>
      </c>
      <c r="D2335" s="709" t="s">
        <v>234</v>
      </c>
      <c r="E2335" s="716">
        <v>0</v>
      </c>
      <c r="F2335" s="717"/>
      <c r="G2335" t="e">
        <f>VLOOKUP(B2335,'SINAPI-%MO'!B:E,4,0)</f>
        <v>#N/A</v>
      </c>
      <c r="H2335" s="225" t="str">
        <f t="shared" si="36"/>
        <v/>
      </c>
    </row>
    <row r="2336" spans="1:8" x14ac:dyDescent="0.3">
      <c r="A2336" s="400"/>
      <c r="B2336" s="709">
        <v>104161</v>
      </c>
      <c r="C2336" s="710" t="s">
        <v>2384</v>
      </c>
      <c r="D2336" s="709" t="s">
        <v>234</v>
      </c>
      <c r="E2336" s="716">
        <v>0</v>
      </c>
      <c r="F2336" s="717"/>
      <c r="G2336" t="e">
        <f>VLOOKUP(B2336,'SINAPI-%MO'!B:E,4,0)</f>
        <v>#N/A</v>
      </c>
      <c r="H2336" s="225" t="str">
        <f t="shared" si="36"/>
        <v/>
      </c>
    </row>
    <row r="2337" spans="1:8" x14ac:dyDescent="0.3">
      <c r="A2337" s="400"/>
      <c r="B2337" s="709">
        <v>102896</v>
      </c>
      <c r="C2337" s="710" t="s">
        <v>2385</v>
      </c>
      <c r="D2337" s="709" t="s">
        <v>234</v>
      </c>
      <c r="E2337" s="716">
        <v>0</v>
      </c>
      <c r="F2337" s="717"/>
      <c r="G2337" t="e">
        <f>VLOOKUP(B2337,'SINAPI-%MO'!B:E,4,0)</f>
        <v>#N/A</v>
      </c>
      <c r="H2337" s="225" t="str">
        <f t="shared" si="36"/>
        <v/>
      </c>
    </row>
    <row r="2338" spans="1:8" x14ac:dyDescent="0.3">
      <c r="A2338" s="400"/>
      <c r="B2338" s="709">
        <v>102897</v>
      </c>
      <c r="C2338" s="710" t="s">
        <v>2386</v>
      </c>
      <c r="D2338" s="709" t="s">
        <v>234</v>
      </c>
      <c r="E2338" s="716">
        <v>96.94</v>
      </c>
      <c r="F2338" s="717">
        <v>0</v>
      </c>
      <c r="G2338">
        <f>VLOOKUP(B2338,'SINAPI-%MO'!B:E,4,0)</f>
        <v>0</v>
      </c>
      <c r="H2338" s="225">
        <f t="shared" si="36"/>
        <v>96.94</v>
      </c>
    </row>
    <row r="2339" spans="1:8" x14ac:dyDescent="0.3">
      <c r="A2339" s="400"/>
      <c r="B2339" s="709">
        <v>5627</v>
      </c>
      <c r="C2339" s="710" t="s">
        <v>2387</v>
      </c>
      <c r="D2339" s="709" t="s">
        <v>234</v>
      </c>
      <c r="E2339" s="716">
        <v>45.64</v>
      </c>
      <c r="F2339" s="717">
        <v>0</v>
      </c>
      <c r="G2339">
        <f>VLOOKUP(B2339,'SINAPI-%MO'!B:E,4,0)</f>
        <v>0</v>
      </c>
      <c r="H2339" s="225">
        <f t="shared" si="36"/>
        <v>45.64</v>
      </c>
    </row>
    <row r="2340" spans="1:8" x14ac:dyDescent="0.3">
      <c r="A2340" s="400"/>
      <c r="B2340" s="709">
        <v>5628</v>
      </c>
      <c r="C2340" s="710" t="s">
        <v>2388</v>
      </c>
      <c r="D2340" s="709" t="s">
        <v>234</v>
      </c>
      <c r="E2340" s="716">
        <v>12.06</v>
      </c>
      <c r="F2340" s="717">
        <v>0</v>
      </c>
      <c r="G2340">
        <f>VLOOKUP(B2340,'SINAPI-%MO'!B:E,4,0)</f>
        <v>0</v>
      </c>
      <c r="H2340" s="225">
        <f t="shared" si="36"/>
        <v>12.06</v>
      </c>
    </row>
    <row r="2341" spans="1:8" x14ac:dyDescent="0.3">
      <c r="A2341" s="400"/>
      <c r="B2341" s="709">
        <v>5629</v>
      </c>
      <c r="C2341" s="710" t="s">
        <v>2389</v>
      </c>
      <c r="D2341" s="709" t="s">
        <v>234</v>
      </c>
      <c r="E2341" s="716">
        <v>57.05</v>
      </c>
      <c r="F2341" s="717">
        <v>0</v>
      </c>
      <c r="G2341">
        <f>VLOOKUP(B2341,'SINAPI-%MO'!B:E,4,0)</f>
        <v>0</v>
      </c>
      <c r="H2341" s="225">
        <f t="shared" si="36"/>
        <v>57.05</v>
      </c>
    </row>
    <row r="2342" spans="1:8" x14ac:dyDescent="0.3">
      <c r="A2342" s="400"/>
      <c r="B2342" s="709">
        <v>5630</v>
      </c>
      <c r="C2342" s="710" t="s">
        <v>2390</v>
      </c>
      <c r="D2342" s="709" t="s">
        <v>234</v>
      </c>
      <c r="E2342" s="716">
        <v>69.459999999999994</v>
      </c>
      <c r="F2342" s="717">
        <v>0</v>
      </c>
      <c r="G2342">
        <f>VLOOKUP(B2342,'SINAPI-%MO'!B:E,4,0)</f>
        <v>0</v>
      </c>
      <c r="H2342" s="225">
        <f t="shared" si="36"/>
        <v>69.459999999999994</v>
      </c>
    </row>
    <row r="2343" spans="1:8" x14ac:dyDescent="0.3">
      <c r="A2343" s="400"/>
      <c r="B2343" s="709">
        <v>88900</v>
      </c>
      <c r="C2343" s="710" t="s">
        <v>2391</v>
      </c>
      <c r="D2343" s="709" t="s">
        <v>234</v>
      </c>
      <c r="E2343" s="716">
        <v>51.64</v>
      </c>
      <c r="F2343" s="717">
        <v>0</v>
      </c>
      <c r="G2343">
        <f>VLOOKUP(B2343,'SINAPI-%MO'!B:E,4,0)</f>
        <v>0</v>
      </c>
      <c r="H2343" s="225">
        <f t="shared" si="36"/>
        <v>51.64</v>
      </c>
    </row>
    <row r="2344" spans="1:8" x14ac:dyDescent="0.3">
      <c r="A2344" s="400"/>
      <c r="B2344" s="709">
        <v>88902</v>
      </c>
      <c r="C2344" s="710" t="s">
        <v>2392</v>
      </c>
      <c r="D2344" s="709" t="s">
        <v>234</v>
      </c>
      <c r="E2344" s="716">
        <v>13.64</v>
      </c>
      <c r="F2344" s="717">
        <v>0</v>
      </c>
      <c r="G2344">
        <f>VLOOKUP(B2344,'SINAPI-%MO'!B:E,4,0)</f>
        <v>0</v>
      </c>
      <c r="H2344" s="225">
        <f t="shared" si="36"/>
        <v>13.64</v>
      </c>
    </row>
    <row r="2345" spans="1:8" x14ac:dyDescent="0.3">
      <c r="A2345" s="400"/>
      <c r="B2345" s="709">
        <v>88903</v>
      </c>
      <c r="C2345" s="710" t="s">
        <v>2393</v>
      </c>
      <c r="D2345" s="709" t="s">
        <v>234</v>
      </c>
      <c r="E2345" s="716">
        <v>64.55</v>
      </c>
      <c r="F2345" s="717">
        <v>0</v>
      </c>
      <c r="G2345">
        <f>VLOOKUP(B2345,'SINAPI-%MO'!B:E,4,0)</f>
        <v>0</v>
      </c>
      <c r="H2345" s="225">
        <f t="shared" si="36"/>
        <v>64.55</v>
      </c>
    </row>
    <row r="2346" spans="1:8" x14ac:dyDescent="0.3">
      <c r="A2346" s="400"/>
      <c r="B2346" s="709">
        <v>88904</v>
      </c>
      <c r="C2346" s="710" t="s">
        <v>2394</v>
      </c>
      <c r="D2346" s="709" t="s">
        <v>234</v>
      </c>
      <c r="E2346" s="716">
        <v>96.94</v>
      </c>
      <c r="F2346" s="717">
        <v>0</v>
      </c>
      <c r="G2346">
        <f>VLOOKUP(B2346,'SINAPI-%MO'!B:E,4,0)</f>
        <v>0</v>
      </c>
      <c r="H2346" s="225">
        <f t="shared" si="36"/>
        <v>96.94</v>
      </c>
    </row>
    <row r="2347" spans="1:8" x14ac:dyDescent="0.3">
      <c r="A2347" s="400"/>
      <c r="B2347" s="709">
        <v>88569</v>
      </c>
      <c r="C2347" s="710" t="s">
        <v>2395</v>
      </c>
      <c r="D2347" s="709" t="s">
        <v>234</v>
      </c>
      <c r="E2347" s="716">
        <v>4.22</v>
      </c>
      <c r="F2347" s="717">
        <v>1</v>
      </c>
      <c r="G2347">
        <f>VLOOKUP(B2347,'SINAPI-%MO'!B:E,4,0)</f>
        <v>0</v>
      </c>
      <c r="H2347" s="225">
        <f t="shared" si="36"/>
        <v>4.22</v>
      </c>
    </row>
    <row r="2348" spans="1:8" x14ac:dyDescent="0.3">
      <c r="A2348" s="400"/>
      <c r="B2348" s="709">
        <v>88570</v>
      </c>
      <c r="C2348" s="710" t="s">
        <v>2396</v>
      </c>
      <c r="D2348" s="709" t="s">
        <v>234</v>
      </c>
      <c r="E2348" s="716">
        <v>1.46</v>
      </c>
      <c r="F2348" s="717">
        <v>1</v>
      </c>
      <c r="G2348">
        <f>VLOOKUP(B2348,'SINAPI-%MO'!B:E,4,0)</f>
        <v>0</v>
      </c>
      <c r="H2348" s="225">
        <f t="shared" si="36"/>
        <v>1.46</v>
      </c>
    </row>
    <row r="2349" spans="1:8" x14ac:dyDescent="0.3">
      <c r="A2349" s="400"/>
      <c r="B2349" s="709">
        <v>5765</v>
      </c>
      <c r="C2349" s="710" t="s">
        <v>2397</v>
      </c>
      <c r="D2349" s="709" t="s">
        <v>234</v>
      </c>
      <c r="E2349" s="716">
        <v>5.28</v>
      </c>
      <c r="F2349" s="717">
        <v>1</v>
      </c>
      <c r="G2349">
        <f>VLOOKUP(B2349,'SINAPI-%MO'!B:E,4,0)</f>
        <v>0</v>
      </c>
      <c r="H2349" s="225">
        <f t="shared" si="36"/>
        <v>5.28</v>
      </c>
    </row>
    <row r="2350" spans="1:8" x14ac:dyDescent="0.3">
      <c r="A2350" s="400"/>
      <c r="B2350" s="709">
        <v>5766</v>
      </c>
      <c r="C2350" s="710" t="s">
        <v>2398</v>
      </c>
      <c r="D2350" s="709" t="s">
        <v>234</v>
      </c>
      <c r="E2350" s="716">
        <v>2.99</v>
      </c>
      <c r="F2350" s="717">
        <v>0</v>
      </c>
      <c r="G2350">
        <f>VLOOKUP(B2350,'SINAPI-%MO'!B:E,4,0)</f>
        <v>0</v>
      </c>
      <c r="H2350" s="225">
        <f t="shared" si="36"/>
        <v>2.99</v>
      </c>
    </row>
    <row r="2351" spans="1:8" x14ac:dyDescent="0.3">
      <c r="A2351" s="400"/>
      <c r="B2351" s="709">
        <v>91468</v>
      </c>
      <c r="C2351" s="710" t="s">
        <v>2399</v>
      </c>
      <c r="D2351" s="709" t="s">
        <v>234</v>
      </c>
      <c r="E2351" s="716">
        <v>29.37</v>
      </c>
      <c r="F2351" s="717">
        <v>0.30509999999999998</v>
      </c>
      <c r="G2351">
        <f>VLOOKUP(B2351,'SINAPI-%MO'!B:E,4,0)</f>
        <v>0</v>
      </c>
      <c r="H2351" s="225">
        <f t="shared" si="36"/>
        <v>29.37</v>
      </c>
    </row>
    <row r="2352" spans="1:8" x14ac:dyDescent="0.3">
      <c r="A2352" s="400"/>
      <c r="B2352" s="709">
        <v>91484</v>
      </c>
      <c r="C2352" s="710" t="s">
        <v>2400</v>
      </c>
      <c r="D2352" s="709" t="s">
        <v>234</v>
      </c>
      <c r="E2352" s="716">
        <v>4.6500000000000004</v>
      </c>
      <c r="F2352" s="717">
        <v>0.27100000000000002</v>
      </c>
      <c r="G2352">
        <f>VLOOKUP(B2352,'SINAPI-%MO'!B:E,4,0)</f>
        <v>0</v>
      </c>
      <c r="H2352" s="225">
        <f t="shared" si="36"/>
        <v>4.6500000000000004</v>
      </c>
    </row>
    <row r="2353" spans="1:8" x14ac:dyDescent="0.3">
      <c r="A2353" s="400"/>
      <c r="B2353" s="709">
        <v>91469</v>
      </c>
      <c r="C2353" s="710" t="s">
        <v>2401</v>
      </c>
      <c r="D2353" s="709" t="s">
        <v>234</v>
      </c>
      <c r="E2353" s="716">
        <v>11.5</v>
      </c>
      <c r="F2353" s="717">
        <v>0.27039999999999997</v>
      </c>
      <c r="G2353">
        <f>VLOOKUP(B2353,'SINAPI-%MO'!B:E,4,0)</f>
        <v>0</v>
      </c>
      <c r="H2353" s="225">
        <f t="shared" si="36"/>
        <v>11.5</v>
      </c>
    </row>
    <row r="2354" spans="1:8" x14ac:dyDescent="0.3">
      <c r="A2354" s="400"/>
      <c r="B2354" s="709">
        <v>83361</v>
      </c>
      <c r="C2354" s="710" t="s">
        <v>2402</v>
      </c>
      <c r="D2354" s="709" t="s">
        <v>234</v>
      </c>
      <c r="E2354" s="716">
        <v>49.42</v>
      </c>
      <c r="F2354" s="717">
        <v>0.2268</v>
      </c>
      <c r="G2354">
        <f>VLOOKUP(B2354,'SINAPI-%MO'!B:E,4,0)</f>
        <v>0</v>
      </c>
      <c r="H2354" s="225">
        <f t="shared" si="36"/>
        <v>49.42</v>
      </c>
    </row>
    <row r="2355" spans="1:8" x14ac:dyDescent="0.3">
      <c r="A2355" s="400"/>
      <c r="B2355" s="709">
        <v>91485</v>
      </c>
      <c r="C2355" s="710" t="s">
        <v>2403</v>
      </c>
      <c r="D2355" s="709" t="s">
        <v>234</v>
      </c>
      <c r="E2355" s="716">
        <v>166.86</v>
      </c>
      <c r="F2355" s="717">
        <v>0</v>
      </c>
      <c r="G2355">
        <f>VLOOKUP(B2355,'SINAPI-%MO'!B:E,4,0)</f>
        <v>0</v>
      </c>
      <c r="H2355" s="225">
        <f t="shared" si="36"/>
        <v>166.86</v>
      </c>
    </row>
    <row r="2356" spans="1:8" x14ac:dyDescent="0.3">
      <c r="A2356" s="400"/>
      <c r="B2356" s="709">
        <v>102835</v>
      </c>
      <c r="C2356" s="710" t="s">
        <v>2404</v>
      </c>
      <c r="D2356" s="709" t="s">
        <v>234</v>
      </c>
      <c r="E2356" s="716">
        <v>0</v>
      </c>
      <c r="F2356" s="717"/>
      <c r="G2356" t="e">
        <f>VLOOKUP(B2356,'SINAPI-%MO'!B:E,4,0)</f>
        <v>#N/A</v>
      </c>
      <c r="H2356" s="225" t="str">
        <f t="shared" si="36"/>
        <v/>
      </c>
    </row>
    <row r="2357" spans="1:8" x14ac:dyDescent="0.3">
      <c r="A2357" s="400"/>
      <c r="B2357" s="709">
        <v>102836</v>
      </c>
      <c r="C2357" s="710" t="s">
        <v>2405</v>
      </c>
      <c r="D2357" s="709" t="s">
        <v>234</v>
      </c>
      <c r="E2357" s="716">
        <v>0</v>
      </c>
      <c r="F2357" s="717"/>
      <c r="G2357" t="e">
        <f>VLOOKUP(B2357,'SINAPI-%MO'!B:E,4,0)</f>
        <v>#N/A</v>
      </c>
      <c r="H2357" s="225" t="str">
        <f t="shared" si="36"/>
        <v/>
      </c>
    </row>
    <row r="2358" spans="1:8" x14ac:dyDescent="0.3">
      <c r="A2358" s="400"/>
      <c r="B2358" s="709">
        <v>102837</v>
      </c>
      <c r="C2358" s="710" t="s">
        <v>2406</v>
      </c>
      <c r="D2358" s="709" t="s">
        <v>234</v>
      </c>
      <c r="E2358" s="716">
        <v>0</v>
      </c>
      <c r="F2358" s="717"/>
      <c r="G2358" t="e">
        <f>VLOOKUP(B2358,'SINAPI-%MO'!B:E,4,0)</f>
        <v>#N/A</v>
      </c>
      <c r="H2358" s="225" t="str">
        <f t="shared" si="36"/>
        <v/>
      </c>
    </row>
    <row r="2359" spans="1:8" x14ac:dyDescent="0.3">
      <c r="A2359" s="400"/>
      <c r="B2359" s="709">
        <v>89230</v>
      </c>
      <c r="C2359" s="710" t="s">
        <v>2407</v>
      </c>
      <c r="D2359" s="709" t="s">
        <v>234</v>
      </c>
      <c r="E2359" s="716">
        <v>123.28</v>
      </c>
      <c r="F2359" s="717">
        <v>1</v>
      </c>
      <c r="G2359">
        <f>VLOOKUP(B2359,'SINAPI-%MO'!B:E,4,0)</f>
        <v>0</v>
      </c>
      <c r="H2359" s="225">
        <f t="shared" si="36"/>
        <v>123.28</v>
      </c>
    </row>
    <row r="2360" spans="1:8" x14ac:dyDescent="0.3">
      <c r="A2360" s="400"/>
      <c r="B2360" s="709">
        <v>89231</v>
      </c>
      <c r="C2360" s="710" t="s">
        <v>2408</v>
      </c>
      <c r="D2360" s="709" t="s">
        <v>234</v>
      </c>
      <c r="E2360" s="716">
        <v>37.75</v>
      </c>
      <c r="F2360" s="717">
        <v>1</v>
      </c>
      <c r="G2360">
        <f>VLOOKUP(B2360,'SINAPI-%MO'!B:E,4,0)</f>
        <v>0</v>
      </c>
      <c r="H2360" s="225">
        <f t="shared" si="36"/>
        <v>37.75</v>
      </c>
    </row>
    <row r="2361" spans="1:8" x14ac:dyDescent="0.3">
      <c r="A2361" s="400"/>
      <c r="B2361" s="709">
        <v>89232</v>
      </c>
      <c r="C2361" s="710" t="s">
        <v>2409</v>
      </c>
      <c r="D2361" s="709" t="s">
        <v>234</v>
      </c>
      <c r="E2361" s="716">
        <v>219.9</v>
      </c>
      <c r="F2361" s="717">
        <v>1</v>
      </c>
      <c r="G2361">
        <f>VLOOKUP(B2361,'SINAPI-%MO'!B:E,4,0)</f>
        <v>0</v>
      </c>
      <c r="H2361" s="225">
        <f t="shared" si="36"/>
        <v>219.9</v>
      </c>
    </row>
    <row r="2362" spans="1:8" x14ac:dyDescent="0.3">
      <c r="A2362" s="400"/>
      <c r="B2362" s="709">
        <v>89233</v>
      </c>
      <c r="C2362" s="710" t="s">
        <v>2410</v>
      </c>
      <c r="D2362" s="709" t="s">
        <v>234</v>
      </c>
      <c r="E2362" s="716">
        <v>180.14</v>
      </c>
      <c r="F2362" s="717">
        <v>0</v>
      </c>
      <c r="G2362">
        <f>VLOOKUP(B2362,'SINAPI-%MO'!B:E,4,0)</f>
        <v>0</v>
      </c>
      <c r="H2362" s="225">
        <f t="shared" si="36"/>
        <v>180.14</v>
      </c>
    </row>
    <row r="2363" spans="1:8" x14ac:dyDescent="0.3">
      <c r="A2363" s="400"/>
      <c r="B2363" s="709">
        <v>89236</v>
      </c>
      <c r="C2363" s="710" t="s">
        <v>2411</v>
      </c>
      <c r="D2363" s="709" t="s">
        <v>234</v>
      </c>
      <c r="E2363" s="716">
        <v>287.98</v>
      </c>
      <c r="F2363" s="717">
        <v>1</v>
      </c>
      <c r="G2363">
        <f>VLOOKUP(B2363,'SINAPI-%MO'!B:E,4,0)</f>
        <v>0</v>
      </c>
      <c r="H2363" s="225">
        <f t="shared" si="36"/>
        <v>287.98</v>
      </c>
    </row>
    <row r="2364" spans="1:8" x14ac:dyDescent="0.3">
      <c r="A2364" s="400"/>
      <c r="B2364" s="709">
        <v>89237</v>
      </c>
      <c r="C2364" s="710" t="s">
        <v>2412</v>
      </c>
      <c r="D2364" s="709" t="s">
        <v>234</v>
      </c>
      <c r="E2364" s="716">
        <v>88.18</v>
      </c>
      <c r="F2364" s="717">
        <v>1</v>
      </c>
      <c r="G2364">
        <f>VLOOKUP(B2364,'SINAPI-%MO'!B:E,4,0)</f>
        <v>0</v>
      </c>
      <c r="H2364" s="225">
        <f t="shared" si="36"/>
        <v>88.18</v>
      </c>
    </row>
    <row r="2365" spans="1:8" x14ac:dyDescent="0.3">
      <c r="A2365" s="400"/>
      <c r="B2365" s="709">
        <v>89238</v>
      </c>
      <c r="C2365" s="710" t="s">
        <v>2413</v>
      </c>
      <c r="D2365" s="709" t="s">
        <v>234</v>
      </c>
      <c r="E2365" s="716">
        <v>513.67999999999995</v>
      </c>
      <c r="F2365" s="717">
        <v>1</v>
      </c>
      <c r="G2365">
        <f>VLOOKUP(B2365,'SINAPI-%MO'!B:E,4,0)</f>
        <v>0</v>
      </c>
      <c r="H2365" s="225">
        <f t="shared" si="36"/>
        <v>513.67999999999995</v>
      </c>
    </row>
    <row r="2366" spans="1:8" x14ac:dyDescent="0.3">
      <c r="A2366" s="400"/>
      <c r="B2366" s="709">
        <v>89239</v>
      </c>
      <c r="C2366" s="710" t="s">
        <v>2414</v>
      </c>
      <c r="D2366" s="709" t="s">
        <v>234</v>
      </c>
      <c r="E2366" s="716">
        <v>476.39</v>
      </c>
      <c r="F2366" s="717">
        <v>0</v>
      </c>
      <c r="G2366">
        <f>VLOOKUP(B2366,'SINAPI-%MO'!B:E,4,0)</f>
        <v>0</v>
      </c>
      <c r="H2366" s="225">
        <f t="shared" si="36"/>
        <v>476.39</v>
      </c>
    </row>
    <row r="2367" spans="1:8" x14ac:dyDescent="0.3">
      <c r="A2367" s="400"/>
      <c r="B2367" s="709">
        <v>102930</v>
      </c>
      <c r="C2367" s="710" t="s">
        <v>2415</v>
      </c>
      <c r="D2367" s="709" t="s">
        <v>234</v>
      </c>
      <c r="E2367" s="716">
        <v>0</v>
      </c>
      <c r="F2367" s="717"/>
      <c r="G2367" t="e">
        <f>VLOOKUP(B2367,'SINAPI-%MO'!B:E,4,0)</f>
        <v>#N/A</v>
      </c>
      <c r="H2367" s="225" t="str">
        <f t="shared" si="36"/>
        <v/>
      </c>
    </row>
    <row r="2368" spans="1:8" x14ac:dyDescent="0.3">
      <c r="A2368" s="400"/>
      <c r="B2368" s="709">
        <v>102931</v>
      </c>
      <c r="C2368" s="710" t="s">
        <v>2416</v>
      </c>
      <c r="D2368" s="709" t="s">
        <v>234</v>
      </c>
      <c r="E2368" s="716">
        <v>0</v>
      </c>
      <c r="F2368" s="717"/>
      <c r="G2368" t="e">
        <f>VLOOKUP(B2368,'SINAPI-%MO'!B:E,4,0)</f>
        <v>#N/A</v>
      </c>
      <c r="H2368" s="225" t="str">
        <f t="shared" si="36"/>
        <v/>
      </c>
    </row>
    <row r="2369" spans="1:8" x14ac:dyDescent="0.3">
      <c r="A2369" s="400"/>
      <c r="B2369" s="709">
        <v>102932</v>
      </c>
      <c r="C2369" s="710" t="s">
        <v>2417</v>
      </c>
      <c r="D2369" s="709" t="s">
        <v>234</v>
      </c>
      <c r="E2369" s="716">
        <v>0</v>
      </c>
      <c r="F2369" s="717"/>
      <c r="G2369" t="e">
        <f>VLOOKUP(B2369,'SINAPI-%MO'!B:E,4,0)</f>
        <v>#N/A</v>
      </c>
      <c r="H2369" s="225" t="str">
        <f t="shared" si="36"/>
        <v/>
      </c>
    </row>
    <row r="2370" spans="1:8" x14ac:dyDescent="0.3">
      <c r="A2370" s="400"/>
      <c r="B2370" s="709">
        <v>102933</v>
      </c>
      <c r="C2370" s="710" t="s">
        <v>2418</v>
      </c>
      <c r="D2370" s="709" t="s">
        <v>234</v>
      </c>
      <c r="E2370" s="716">
        <v>0.98</v>
      </c>
      <c r="F2370" s="717">
        <v>0</v>
      </c>
      <c r="G2370">
        <f>VLOOKUP(B2370,'SINAPI-%MO'!B:E,4,0)</f>
        <v>0</v>
      </c>
      <c r="H2370" s="225">
        <f t="shared" si="36"/>
        <v>0.98</v>
      </c>
    </row>
    <row r="2371" spans="1:8" x14ac:dyDescent="0.3">
      <c r="A2371" s="400"/>
      <c r="B2371" s="709">
        <v>93411</v>
      </c>
      <c r="C2371" s="710" t="s">
        <v>2419</v>
      </c>
      <c r="D2371" s="709" t="s">
        <v>234</v>
      </c>
      <c r="E2371" s="716">
        <v>0.35</v>
      </c>
      <c r="F2371" s="717">
        <v>0</v>
      </c>
      <c r="G2371">
        <f>VLOOKUP(B2371,'SINAPI-%MO'!B:E,4,0)</f>
        <v>0</v>
      </c>
      <c r="H2371" s="225">
        <f t="shared" si="36"/>
        <v>0.35</v>
      </c>
    </row>
    <row r="2372" spans="1:8" x14ac:dyDescent="0.3">
      <c r="A2372" s="400"/>
      <c r="B2372" s="709">
        <v>93412</v>
      </c>
      <c r="C2372" s="710" t="s">
        <v>2420</v>
      </c>
      <c r="D2372" s="709" t="s">
        <v>234</v>
      </c>
      <c r="E2372" s="716">
        <v>0.12</v>
      </c>
      <c r="F2372" s="717">
        <v>0</v>
      </c>
      <c r="G2372">
        <f>VLOOKUP(B2372,'SINAPI-%MO'!B:E,4,0)</f>
        <v>0</v>
      </c>
      <c r="H2372" s="225">
        <f t="shared" si="36"/>
        <v>0.12</v>
      </c>
    </row>
    <row r="2373" spans="1:8" x14ac:dyDescent="0.3">
      <c r="A2373" s="400"/>
      <c r="B2373" s="709">
        <v>93413</v>
      </c>
      <c r="C2373" s="710" t="s">
        <v>2421</v>
      </c>
      <c r="D2373" s="709" t="s">
        <v>234</v>
      </c>
      <c r="E2373" s="716">
        <v>0.31</v>
      </c>
      <c r="F2373" s="717">
        <v>0</v>
      </c>
      <c r="G2373">
        <f>VLOOKUP(B2373,'SINAPI-%MO'!B:E,4,0)</f>
        <v>0</v>
      </c>
      <c r="H2373" s="225">
        <f t="shared" si="36"/>
        <v>0.31</v>
      </c>
    </row>
    <row r="2374" spans="1:8" x14ac:dyDescent="0.3">
      <c r="A2374" s="400"/>
      <c r="B2374" s="709">
        <v>93414</v>
      </c>
      <c r="C2374" s="710" t="s">
        <v>2422</v>
      </c>
      <c r="D2374" s="709" t="s">
        <v>234</v>
      </c>
      <c r="E2374" s="716">
        <v>11.33</v>
      </c>
      <c r="F2374" s="717">
        <v>0</v>
      </c>
      <c r="G2374">
        <f>VLOOKUP(B2374,'SINAPI-%MO'!B:E,4,0)</f>
        <v>0</v>
      </c>
      <c r="H2374" s="225">
        <f t="shared" si="36"/>
        <v>11.33</v>
      </c>
    </row>
    <row r="2375" spans="1:8" x14ac:dyDescent="0.3">
      <c r="A2375" s="400"/>
      <c r="B2375" s="709">
        <v>88855</v>
      </c>
      <c r="C2375" s="710" t="s">
        <v>2423</v>
      </c>
      <c r="D2375" s="709" t="s">
        <v>234</v>
      </c>
      <c r="E2375" s="716">
        <v>4.1900000000000004</v>
      </c>
      <c r="F2375" s="717">
        <v>0</v>
      </c>
      <c r="G2375">
        <f>VLOOKUP(B2375,'SINAPI-%MO'!B:E,4,0)</f>
        <v>0</v>
      </c>
      <c r="H2375" s="225">
        <f t="shared" si="36"/>
        <v>4.1900000000000004</v>
      </c>
    </row>
    <row r="2376" spans="1:8" x14ac:dyDescent="0.3">
      <c r="A2376" s="400"/>
      <c r="B2376" s="709">
        <v>88856</v>
      </c>
      <c r="C2376" s="710" t="s">
        <v>2424</v>
      </c>
      <c r="D2376" s="709" t="s">
        <v>234</v>
      </c>
      <c r="E2376" s="716">
        <v>1.1499999999999999</v>
      </c>
      <c r="F2376" s="717">
        <v>0</v>
      </c>
      <c r="G2376">
        <f>VLOOKUP(B2376,'SINAPI-%MO'!B:E,4,0)</f>
        <v>0</v>
      </c>
      <c r="H2376" s="225">
        <f t="shared" si="36"/>
        <v>1.1499999999999999</v>
      </c>
    </row>
    <row r="2377" spans="1:8" x14ac:dyDescent="0.3">
      <c r="A2377" s="400"/>
      <c r="B2377" s="709">
        <v>5658</v>
      </c>
      <c r="C2377" s="710" t="s">
        <v>2425</v>
      </c>
      <c r="D2377" s="709" t="s">
        <v>234</v>
      </c>
      <c r="E2377" s="716">
        <v>2.91</v>
      </c>
      <c r="F2377" s="717">
        <v>0</v>
      </c>
      <c r="G2377">
        <f>VLOOKUP(B2377,'SINAPI-%MO'!B:E,4,0)</f>
        <v>0</v>
      </c>
      <c r="H2377" s="225">
        <f t="shared" si="36"/>
        <v>2.91</v>
      </c>
    </row>
    <row r="2378" spans="1:8" x14ac:dyDescent="0.3">
      <c r="A2378" s="400"/>
      <c r="B2378" s="709">
        <v>53840</v>
      </c>
      <c r="C2378" s="710" t="s">
        <v>2426</v>
      </c>
      <c r="D2378" s="709" t="s">
        <v>234</v>
      </c>
      <c r="E2378" s="716">
        <v>3.29</v>
      </c>
      <c r="F2378" s="717">
        <v>0</v>
      </c>
      <c r="G2378">
        <f>VLOOKUP(B2378,'SINAPI-%MO'!B:E,4,0)</f>
        <v>0</v>
      </c>
      <c r="H2378" s="225">
        <f t="shared" si="36"/>
        <v>3.29</v>
      </c>
    </row>
    <row r="2379" spans="1:8" x14ac:dyDescent="0.3">
      <c r="A2379" s="400"/>
      <c r="B2379" s="709">
        <v>87026</v>
      </c>
      <c r="C2379" s="710" t="s">
        <v>2427</v>
      </c>
      <c r="D2379" s="709" t="s">
        <v>234</v>
      </c>
      <c r="E2379" s="716">
        <v>0.9</v>
      </c>
      <c r="F2379" s="717">
        <v>0</v>
      </c>
      <c r="G2379">
        <f>VLOOKUP(B2379,'SINAPI-%MO'!B:E,4,0)</f>
        <v>0</v>
      </c>
      <c r="H2379" s="225">
        <f t="shared" ref="H2379:H2442" si="37">IF(E2379&gt;0,TRUNC(E2379*(1-G2379),2),"")</f>
        <v>0.9</v>
      </c>
    </row>
    <row r="2380" spans="1:8" x14ac:dyDescent="0.3">
      <c r="A2380" s="400"/>
      <c r="B2380" s="709">
        <v>53841</v>
      </c>
      <c r="C2380" s="710" t="s">
        <v>2428</v>
      </c>
      <c r="D2380" s="709" t="s">
        <v>234</v>
      </c>
      <c r="E2380" s="716">
        <v>2.2799999999999998</v>
      </c>
      <c r="F2380" s="717">
        <v>0</v>
      </c>
      <c r="G2380">
        <f>VLOOKUP(B2380,'SINAPI-%MO'!B:E,4,0)</f>
        <v>0</v>
      </c>
      <c r="H2380" s="225">
        <f t="shared" si="37"/>
        <v>2.2799999999999998</v>
      </c>
    </row>
    <row r="2381" spans="1:8" x14ac:dyDescent="0.3">
      <c r="A2381" s="400"/>
      <c r="B2381" s="709">
        <v>95209</v>
      </c>
      <c r="C2381" s="710" t="s">
        <v>2429</v>
      </c>
      <c r="D2381" s="709" t="s">
        <v>234</v>
      </c>
      <c r="E2381" s="716">
        <v>12.18</v>
      </c>
      <c r="F2381" s="717">
        <v>0</v>
      </c>
      <c r="G2381">
        <f>VLOOKUP(B2381,'SINAPI-%MO'!B:E,4,0)</f>
        <v>0</v>
      </c>
      <c r="H2381" s="225">
        <f t="shared" si="37"/>
        <v>12.18</v>
      </c>
    </row>
    <row r="2382" spans="1:8" x14ac:dyDescent="0.3">
      <c r="A2382" s="400"/>
      <c r="B2382" s="709">
        <v>95210</v>
      </c>
      <c r="C2382" s="710" t="s">
        <v>2430</v>
      </c>
      <c r="D2382" s="709" t="s">
        <v>234</v>
      </c>
      <c r="E2382" s="716">
        <v>57.62</v>
      </c>
      <c r="F2382" s="717">
        <v>0</v>
      </c>
      <c r="G2382">
        <f>VLOOKUP(B2382,'SINAPI-%MO'!B:E,4,0)</f>
        <v>0</v>
      </c>
      <c r="H2382" s="225">
        <f t="shared" si="37"/>
        <v>57.62</v>
      </c>
    </row>
    <row r="2383" spans="1:8" x14ac:dyDescent="0.3">
      <c r="A2383" s="400"/>
      <c r="B2383" s="709">
        <v>95211</v>
      </c>
      <c r="C2383" s="710" t="s">
        <v>2431</v>
      </c>
      <c r="D2383" s="709" t="s">
        <v>234</v>
      </c>
      <c r="E2383" s="716">
        <v>9.81</v>
      </c>
      <c r="F2383" s="717">
        <v>0</v>
      </c>
      <c r="G2383">
        <f>VLOOKUP(B2383,'SINAPI-%MO'!B:E,4,0)</f>
        <v>0</v>
      </c>
      <c r="H2383" s="225">
        <f t="shared" si="37"/>
        <v>9.81</v>
      </c>
    </row>
    <row r="2384" spans="1:8" x14ac:dyDescent="0.3">
      <c r="A2384" s="400"/>
      <c r="B2384" s="709">
        <v>93267</v>
      </c>
      <c r="C2384" s="710" t="s">
        <v>2432</v>
      </c>
      <c r="D2384" s="709" t="s">
        <v>234</v>
      </c>
      <c r="E2384" s="716">
        <v>26.15</v>
      </c>
      <c r="F2384" s="717">
        <v>0</v>
      </c>
      <c r="G2384">
        <f>VLOOKUP(B2384,'SINAPI-%MO'!B:E,4,0)</f>
        <v>0</v>
      </c>
      <c r="H2384" s="225">
        <f t="shared" si="37"/>
        <v>26.15</v>
      </c>
    </row>
    <row r="2385" spans="1:8" x14ac:dyDescent="0.3">
      <c r="A2385" s="400"/>
      <c r="B2385" s="709">
        <v>93269</v>
      </c>
      <c r="C2385" s="710" t="s">
        <v>2433</v>
      </c>
      <c r="D2385" s="709" t="s">
        <v>234</v>
      </c>
      <c r="E2385" s="716">
        <v>9.8000000000000007</v>
      </c>
      <c r="F2385" s="717">
        <v>0</v>
      </c>
      <c r="G2385">
        <f>VLOOKUP(B2385,'SINAPI-%MO'!B:E,4,0)</f>
        <v>0</v>
      </c>
      <c r="H2385" s="225">
        <f t="shared" si="37"/>
        <v>9.8000000000000007</v>
      </c>
    </row>
    <row r="2386" spans="1:8" x14ac:dyDescent="0.3">
      <c r="A2386" s="400"/>
      <c r="B2386" s="709">
        <v>93270</v>
      </c>
      <c r="C2386" s="710" t="s">
        <v>2434</v>
      </c>
      <c r="D2386" s="709" t="s">
        <v>234</v>
      </c>
      <c r="E2386" s="716">
        <v>25.43</v>
      </c>
      <c r="F2386" s="717">
        <v>0</v>
      </c>
      <c r="G2386">
        <f>VLOOKUP(B2386,'SINAPI-%MO'!B:E,4,0)</f>
        <v>0</v>
      </c>
      <c r="H2386" s="225">
        <f t="shared" si="37"/>
        <v>25.43</v>
      </c>
    </row>
    <row r="2387" spans="1:8" x14ac:dyDescent="0.3">
      <c r="A2387" s="400"/>
      <c r="B2387" s="709">
        <v>93271</v>
      </c>
      <c r="C2387" s="710" t="s">
        <v>2435</v>
      </c>
      <c r="D2387" s="709" t="s">
        <v>234</v>
      </c>
      <c r="E2387" s="716">
        <v>9.81</v>
      </c>
      <c r="F2387" s="717">
        <v>0</v>
      </c>
      <c r="G2387">
        <f>VLOOKUP(B2387,'SINAPI-%MO'!B:E,4,0)</f>
        <v>0</v>
      </c>
      <c r="H2387" s="225">
        <f t="shared" si="37"/>
        <v>9.81</v>
      </c>
    </row>
    <row r="2388" spans="1:8" x14ac:dyDescent="0.3">
      <c r="A2388" s="400"/>
      <c r="B2388" s="709">
        <v>95208</v>
      </c>
      <c r="C2388" s="710" t="s">
        <v>2436</v>
      </c>
      <c r="D2388" s="709" t="s">
        <v>234</v>
      </c>
      <c r="E2388" s="716">
        <v>52.68</v>
      </c>
      <c r="F2388" s="717">
        <v>0</v>
      </c>
      <c r="G2388">
        <f>VLOOKUP(B2388,'SINAPI-%MO'!B:E,4,0)</f>
        <v>0</v>
      </c>
      <c r="H2388" s="225">
        <f t="shared" si="37"/>
        <v>52.68</v>
      </c>
    </row>
    <row r="2389" spans="1:8" x14ac:dyDescent="0.3">
      <c r="A2389" s="400"/>
      <c r="B2389" s="709">
        <v>83761</v>
      </c>
      <c r="C2389" s="710" t="s">
        <v>2437</v>
      </c>
      <c r="D2389" s="709" t="s">
        <v>234</v>
      </c>
      <c r="E2389" s="716">
        <v>9.89</v>
      </c>
      <c r="F2389" s="717">
        <v>0</v>
      </c>
      <c r="G2389">
        <f>VLOOKUP(B2389,'SINAPI-%MO'!B:E,4,0)</f>
        <v>0</v>
      </c>
      <c r="H2389" s="225">
        <f t="shared" si="37"/>
        <v>9.89</v>
      </c>
    </row>
    <row r="2390" spans="1:8" x14ac:dyDescent="0.3">
      <c r="A2390" s="400"/>
      <c r="B2390" s="709">
        <v>83764</v>
      </c>
      <c r="C2390" s="710" t="s">
        <v>2438</v>
      </c>
      <c r="D2390" s="709" t="s">
        <v>234</v>
      </c>
      <c r="E2390" s="716">
        <v>3.48</v>
      </c>
      <c r="F2390" s="717">
        <v>0</v>
      </c>
      <c r="G2390">
        <f>VLOOKUP(B2390,'SINAPI-%MO'!B:E,4,0)</f>
        <v>0</v>
      </c>
      <c r="H2390" s="225">
        <f t="shared" si="37"/>
        <v>3.48</v>
      </c>
    </row>
    <row r="2391" spans="1:8" x14ac:dyDescent="0.3">
      <c r="A2391" s="400"/>
      <c r="B2391" s="709">
        <v>83762</v>
      </c>
      <c r="C2391" s="710" t="s">
        <v>2439</v>
      </c>
      <c r="D2391" s="709" t="s">
        <v>234</v>
      </c>
      <c r="E2391" s="716">
        <v>8.82</v>
      </c>
      <c r="F2391" s="717">
        <v>0</v>
      </c>
      <c r="G2391">
        <f>VLOOKUP(B2391,'SINAPI-%MO'!B:E,4,0)</f>
        <v>0</v>
      </c>
      <c r="H2391" s="225">
        <f t="shared" si="37"/>
        <v>8.82</v>
      </c>
    </row>
    <row r="2392" spans="1:8" x14ac:dyDescent="0.3">
      <c r="A2392" s="400"/>
      <c r="B2392" s="709">
        <v>83763</v>
      </c>
      <c r="C2392" s="710" t="s">
        <v>2440</v>
      </c>
      <c r="D2392" s="709" t="s">
        <v>234</v>
      </c>
      <c r="E2392" s="716">
        <v>54.11</v>
      </c>
      <c r="F2392" s="717">
        <v>0</v>
      </c>
      <c r="G2392">
        <f>VLOOKUP(B2392,'SINAPI-%MO'!B:E,4,0)</f>
        <v>0</v>
      </c>
      <c r="H2392" s="225">
        <f t="shared" si="37"/>
        <v>54.11</v>
      </c>
    </row>
    <row r="2393" spans="1:8" x14ac:dyDescent="0.3">
      <c r="A2393" s="400"/>
      <c r="B2393" s="709">
        <v>95874</v>
      </c>
      <c r="C2393" s="710" t="s">
        <v>2441</v>
      </c>
      <c r="D2393" s="709" t="s">
        <v>234</v>
      </c>
      <c r="E2393" s="716">
        <v>10.56</v>
      </c>
      <c r="F2393" s="717">
        <v>0</v>
      </c>
      <c r="G2393">
        <f>VLOOKUP(B2393,'SINAPI-%MO'!B:E,4,0)</f>
        <v>0</v>
      </c>
      <c r="H2393" s="225">
        <f t="shared" si="37"/>
        <v>10.56</v>
      </c>
    </row>
    <row r="2394" spans="1:8" x14ac:dyDescent="0.3">
      <c r="A2394" s="400"/>
      <c r="B2394" s="709">
        <v>95869</v>
      </c>
      <c r="C2394" s="710" t="s">
        <v>2442</v>
      </c>
      <c r="D2394" s="709" t="s">
        <v>234</v>
      </c>
      <c r="E2394" s="716">
        <v>3.72</v>
      </c>
      <c r="F2394" s="717">
        <v>0</v>
      </c>
      <c r="G2394">
        <f>VLOOKUP(B2394,'SINAPI-%MO'!B:E,4,0)</f>
        <v>0</v>
      </c>
      <c r="H2394" s="225">
        <f t="shared" si="37"/>
        <v>3.72</v>
      </c>
    </row>
    <row r="2395" spans="1:8" x14ac:dyDescent="0.3">
      <c r="A2395" s="400"/>
      <c r="B2395" s="709">
        <v>95870</v>
      </c>
      <c r="C2395" s="710" t="s">
        <v>2443</v>
      </c>
      <c r="D2395" s="709" t="s">
        <v>234</v>
      </c>
      <c r="E2395" s="716">
        <v>9.42</v>
      </c>
      <c r="F2395" s="717">
        <v>0</v>
      </c>
      <c r="G2395">
        <f>VLOOKUP(B2395,'SINAPI-%MO'!B:E,4,0)</f>
        <v>0</v>
      </c>
      <c r="H2395" s="225">
        <f t="shared" si="37"/>
        <v>9.42</v>
      </c>
    </row>
    <row r="2396" spans="1:8" x14ac:dyDescent="0.3">
      <c r="A2396" s="400"/>
      <c r="B2396" s="709">
        <v>95871</v>
      </c>
      <c r="C2396" s="710" t="s">
        <v>2444</v>
      </c>
      <c r="D2396" s="709" t="s">
        <v>234</v>
      </c>
      <c r="E2396" s="716">
        <v>294.37</v>
      </c>
      <c r="F2396" s="717">
        <v>0</v>
      </c>
      <c r="G2396">
        <f>VLOOKUP(B2396,'SINAPI-%MO'!B:E,4,0)</f>
        <v>0</v>
      </c>
      <c r="H2396" s="225">
        <f t="shared" si="37"/>
        <v>294.37</v>
      </c>
    </row>
    <row r="2397" spans="1:8" x14ac:dyDescent="0.3">
      <c r="A2397" s="400"/>
      <c r="B2397" s="709">
        <v>104684</v>
      </c>
      <c r="C2397" s="710" t="s">
        <v>2445</v>
      </c>
      <c r="D2397" s="709" t="s">
        <v>234</v>
      </c>
      <c r="E2397" s="716">
        <v>0</v>
      </c>
      <c r="F2397" s="717"/>
      <c r="G2397" t="e">
        <f>VLOOKUP(B2397,'SINAPI-%MO'!B:E,4,0)</f>
        <v>#N/A</v>
      </c>
      <c r="H2397" s="225" t="str">
        <f t="shared" si="37"/>
        <v/>
      </c>
    </row>
    <row r="2398" spans="1:8" x14ac:dyDescent="0.3">
      <c r="A2398" s="400"/>
      <c r="B2398" s="709">
        <v>104685</v>
      </c>
      <c r="C2398" s="710" t="s">
        <v>2446</v>
      </c>
      <c r="D2398" s="709" t="s">
        <v>234</v>
      </c>
      <c r="E2398" s="716">
        <v>0</v>
      </c>
      <c r="F2398" s="717"/>
      <c r="G2398" t="e">
        <f>VLOOKUP(B2398,'SINAPI-%MO'!B:E,4,0)</f>
        <v>#N/A</v>
      </c>
      <c r="H2398" s="225" t="str">
        <f t="shared" si="37"/>
        <v/>
      </c>
    </row>
    <row r="2399" spans="1:8" x14ac:dyDescent="0.3">
      <c r="A2399" s="400"/>
      <c r="B2399" s="709">
        <v>104686</v>
      </c>
      <c r="C2399" s="710" t="s">
        <v>2447</v>
      </c>
      <c r="D2399" s="709" t="s">
        <v>234</v>
      </c>
      <c r="E2399" s="716">
        <v>0</v>
      </c>
      <c r="F2399" s="717"/>
      <c r="G2399" t="e">
        <f>VLOOKUP(B2399,'SINAPI-%MO'!B:E,4,0)</f>
        <v>#N/A</v>
      </c>
      <c r="H2399" s="225" t="str">
        <f t="shared" si="37"/>
        <v/>
      </c>
    </row>
    <row r="2400" spans="1:8" x14ac:dyDescent="0.3">
      <c r="A2400" s="400"/>
      <c r="B2400" s="709">
        <v>104687</v>
      </c>
      <c r="C2400" s="710" t="s">
        <v>2448</v>
      </c>
      <c r="D2400" s="709" t="s">
        <v>234</v>
      </c>
      <c r="E2400" s="716">
        <v>484.52</v>
      </c>
      <c r="F2400" s="717">
        <v>0</v>
      </c>
      <c r="G2400">
        <f>VLOOKUP(B2400,'SINAPI-%MO'!B:E,4,0)</f>
        <v>0</v>
      </c>
      <c r="H2400" s="225">
        <f t="shared" si="37"/>
        <v>484.52</v>
      </c>
    </row>
    <row r="2401" spans="1:8" x14ac:dyDescent="0.3">
      <c r="A2401" s="400"/>
      <c r="B2401" s="709">
        <v>73303</v>
      </c>
      <c r="C2401" s="710" t="s">
        <v>2449</v>
      </c>
      <c r="D2401" s="709" t="s">
        <v>234</v>
      </c>
      <c r="E2401" s="716">
        <v>7.42</v>
      </c>
      <c r="F2401" s="717">
        <v>0</v>
      </c>
      <c r="G2401">
        <f>VLOOKUP(B2401,'SINAPI-%MO'!B:E,4,0)</f>
        <v>0</v>
      </c>
      <c r="H2401" s="225">
        <f t="shared" si="37"/>
        <v>7.42</v>
      </c>
    </row>
    <row r="2402" spans="1:8" x14ac:dyDescent="0.3">
      <c r="A2402" s="400"/>
      <c r="B2402" s="709">
        <v>93235</v>
      </c>
      <c r="C2402" s="710" t="s">
        <v>2450</v>
      </c>
      <c r="D2402" s="709" t="s">
        <v>234</v>
      </c>
      <c r="E2402" s="716">
        <v>2.61</v>
      </c>
      <c r="F2402" s="717">
        <v>0</v>
      </c>
      <c r="G2402">
        <f>VLOOKUP(B2402,'SINAPI-%MO'!B:E,4,0)</f>
        <v>0</v>
      </c>
      <c r="H2402" s="225">
        <f t="shared" si="37"/>
        <v>2.61</v>
      </c>
    </row>
    <row r="2403" spans="1:8" x14ac:dyDescent="0.3">
      <c r="A2403" s="400"/>
      <c r="B2403" s="709">
        <v>73307</v>
      </c>
      <c r="C2403" s="710" t="s">
        <v>2451</v>
      </c>
      <c r="D2403" s="709" t="s">
        <v>234</v>
      </c>
      <c r="E2403" s="716">
        <v>6.62</v>
      </c>
      <c r="F2403" s="717">
        <v>0</v>
      </c>
      <c r="G2403">
        <f>VLOOKUP(B2403,'SINAPI-%MO'!B:E,4,0)</f>
        <v>0</v>
      </c>
      <c r="H2403" s="225">
        <f t="shared" si="37"/>
        <v>6.62</v>
      </c>
    </row>
    <row r="2404" spans="1:8" x14ac:dyDescent="0.3">
      <c r="A2404" s="400"/>
      <c r="B2404" s="709">
        <v>73311</v>
      </c>
      <c r="C2404" s="710" t="s">
        <v>2452</v>
      </c>
      <c r="D2404" s="709" t="s">
        <v>234</v>
      </c>
      <c r="E2404" s="716">
        <v>192.01</v>
      </c>
      <c r="F2404" s="717">
        <v>0</v>
      </c>
      <c r="G2404">
        <f>VLOOKUP(B2404,'SINAPI-%MO'!B:E,4,0)</f>
        <v>0</v>
      </c>
      <c r="H2404" s="225">
        <f t="shared" si="37"/>
        <v>192.01</v>
      </c>
    </row>
    <row r="2405" spans="1:8" x14ac:dyDescent="0.3">
      <c r="A2405" s="400"/>
      <c r="B2405" s="709">
        <v>93423</v>
      </c>
      <c r="C2405" s="710" t="s">
        <v>2453</v>
      </c>
      <c r="D2405" s="709" t="s">
        <v>234</v>
      </c>
      <c r="E2405" s="716">
        <v>6.6</v>
      </c>
      <c r="F2405" s="717">
        <v>0</v>
      </c>
      <c r="G2405">
        <f>VLOOKUP(B2405,'SINAPI-%MO'!B:E,4,0)</f>
        <v>0</v>
      </c>
      <c r="H2405" s="225">
        <f t="shared" si="37"/>
        <v>6.6</v>
      </c>
    </row>
    <row r="2406" spans="1:8" x14ac:dyDescent="0.3">
      <c r="A2406" s="400"/>
      <c r="B2406" s="709">
        <v>93424</v>
      </c>
      <c r="C2406" s="710" t="s">
        <v>2454</v>
      </c>
      <c r="D2406" s="709" t="s">
        <v>234</v>
      </c>
      <c r="E2406" s="716">
        <v>2.3199999999999998</v>
      </c>
      <c r="F2406" s="717">
        <v>0</v>
      </c>
      <c r="G2406">
        <f>VLOOKUP(B2406,'SINAPI-%MO'!B:E,4,0)</f>
        <v>0</v>
      </c>
      <c r="H2406" s="225">
        <f t="shared" si="37"/>
        <v>2.3199999999999998</v>
      </c>
    </row>
    <row r="2407" spans="1:8" x14ac:dyDescent="0.3">
      <c r="A2407" s="400"/>
      <c r="B2407" s="709">
        <v>93425</v>
      </c>
      <c r="C2407" s="710" t="s">
        <v>2455</v>
      </c>
      <c r="D2407" s="709" t="s">
        <v>234</v>
      </c>
      <c r="E2407" s="716">
        <v>5.89</v>
      </c>
      <c r="F2407" s="717">
        <v>0</v>
      </c>
      <c r="G2407">
        <f>VLOOKUP(B2407,'SINAPI-%MO'!B:E,4,0)</f>
        <v>0</v>
      </c>
      <c r="H2407" s="225">
        <f t="shared" si="37"/>
        <v>5.89</v>
      </c>
    </row>
    <row r="2408" spans="1:8" x14ac:dyDescent="0.3">
      <c r="A2408" s="400"/>
      <c r="B2408" s="709">
        <v>93426</v>
      </c>
      <c r="C2408" s="710" t="s">
        <v>2456</v>
      </c>
      <c r="D2408" s="709" t="s">
        <v>234</v>
      </c>
      <c r="E2408" s="716">
        <v>172.79</v>
      </c>
      <c r="F2408" s="717">
        <v>0</v>
      </c>
      <c r="G2408">
        <f>VLOOKUP(B2408,'SINAPI-%MO'!B:E,4,0)</f>
        <v>0</v>
      </c>
      <c r="H2408" s="225">
        <f t="shared" si="37"/>
        <v>172.79</v>
      </c>
    </row>
    <row r="2409" spans="1:8" x14ac:dyDescent="0.3">
      <c r="A2409" s="400"/>
      <c r="B2409" s="709">
        <v>93417</v>
      </c>
      <c r="C2409" s="710" t="s">
        <v>2457</v>
      </c>
      <c r="D2409" s="709" t="s">
        <v>234</v>
      </c>
      <c r="E2409" s="716">
        <v>4.67</v>
      </c>
      <c r="F2409" s="717">
        <v>0</v>
      </c>
      <c r="G2409">
        <f>VLOOKUP(B2409,'SINAPI-%MO'!B:E,4,0)</f>
        <v>0</v>
      </c>
      <c r="H2409" s="225">
        <f t="shared" si="37"/>
        <v>4.67</v>
      </c>
    </row>
    <row r="2410" spans="1:8" x14ac:dyDescent="0.3">
      <c r="A2410" s="400"/>
      <c r="B2410" s="709">
        <v>93418</v>
      </c>
      <c r="C2410" s="710" t="s">
        <v>2458</v>
      </c>
      <c r="D2410" s="709" t="s">
        <v>234</v>
      </c>
      <c r="E2410" s="716">
        <v>1.64</v>
      </c>
      <c r="F2410" s="717">
        <v>0</v>
      </c>
      <c r="G2410">
        <f>VLOOKUP(B2410,'SINAPI-%MO'!B:E,4,0)</f>
        <v>0</v>
      </c>
      <c r="H2410" s="225">
        <f t="shared" si="37"/>
        <v>1.64</v>
      </c>
    </row>
    <row r="2411" spans="1:8" x14ac:dyDescent="0.3">
      <c r="A2411" s="400"/>
      <c r="B2411" s="709">
        <v>93419</v>
      </c>
      <c r="C2411" s="710" t="s">
        <v>2459</v>
      </c>
      <c r="D2411" s="709" t="s">
        <v>234</v>
      </c>
      <c r="E2411" s="716">
        <v>4.16</v>
      </c>
      <c r="F2411" s="717">
        <v>0</v>
      </c>
      <c r="G2411">
        <f>VLOOKUP(B2411,'SINAPI-%MO'!B:E,4,0)</f>
        <v>0</v>
      </c>
      <c r="H2411" s="225">
        <f t="shared" si="37"/>
        <v>4.16</v>
      </c>
    </row>
    <row r="2412" spans="1:8" x14ac:dyDescent="0.3">
      <c r="A2412" s="400"/>
      <c r="B2412" s="709">
        <v>93420</v>
      </c>
      <c r="C2412" s="710" t="s">
        <v>2460</v>
      </c>
      <c r="D2412" s="709" t="s">
        <v>234</v>
      </c>
      <c r="E2412" s="716">
        <v>72.3</v>
      </c>
      <c r="F2412" s="717">
        <v>0</v>
      </c>
      <c r="G2412">
        <f>VLOOKUP(B2412,'SINAPI-%MO'!B:E,4,0)</f>
        <v>0</v>
      </c>
      <c r="H2412" s="225">
        <f t="shared" si="37"/>
        <v>72.3</v>
      </c>
    </row>
    <row r="2413" spans="1:8" x14ac:dyDescent="0.3">
      <c r="A2413" s="400"/>
      <c r="B2413" s="709">
        <v>93277</v>
      </c>
      <c r="C2413" s="710" t="s">
        <v>2461</v>
      </c>
      <c r="D2413" s="709" t="s">
        <v>234</v>
      </c>
      <c r="E2413" s="716">
        <v>0.23</v>
      </c>
      <c r="F2413" s="717">
        <v>0</v>
      </c>
      <c r="G2413">
        <f>VLOOKUP(B2413,'SINAPI-%MO'!B:E,4,0)</f>
        <v>0</v>
      </c>
      <c r="H2413" s="225">
        <f t="shared" si="37"/>
        <v>0.23</v>
      </c>
    </row>
    <row r="2414" spans="1:8" x14ac:dyDescent="0.3">
      <c r="A2414" s="400"/>
      <c r="B2414" s="709">
        <v>93278</v>
      </c>
      <c r="C2414" s="710" t="s">
        <v>2462</v>
      </c>
      <c r="D2414" s="709" t="s">
        <v>234</v>
      </c>
      <c r="E2414" s="716">
        <v>0.05</v>
      </c>
      <c r="F2414" s="717">
        <v>0</v>
      </c>
      <c r="G2414">
        <f>VLOOKUP(B2414,'SINAPI-%MO'!B:E,4,0)</f>
        <v>0</v>
      </c>
      <c r="H2414" s="225">
        <f t="shared" si="37"/>
        <v>0.05</v>
      </c>
    </row>
    <row r="2415" spans="1:8" x14ac:dyDescent="0.3">
      <c r="A2415" s="400"/>
      <c r="B2415" s="709">
        <v>93279</v>
      </c>
      <c r="C2415" s="710" t="s">
        <v>2463</v>
      </c>
      <c r="D2415" s="709" t="s">
        <v>234</v>
      </c>
      <c r="E2415" s="716">
        <v>0.22</v>
      </c>
      <c r="F2415" s="717">
        <v>0</v>
      </c>
      <c r="G2415">
        <f>VLOOKUP(B2415,'SINAPI-%MO'!B:E,4,0)</f>
        <v>0</v>
      </c>
      <c r="H2415" s="225">
        <f t="shared" si="37"/>
        <v>0.22</v>
      </c>
    </row>
    <row r="2416" spans="1:8" x14ac:dyDescent="0.3">
      <c r="A2416" s="400"/>
      <c r="B2416" s="709">
        <v>93280</v>
      </c>
      <c r="C2416" s="710" t="s">
        <v>2464</v>
      </c>
      <c r="D2416" s="709" t="s">
        <v>234</v>
      </c>
      <c r="E2416" s="716">
        <v>0.81</v>
      </c>
      <c r="F2416" s="717">
        <v>0</v>
      </c>
      <c r="G2416">
        <f>VLOOKUP(B2416,'SINAPI-%MO'!B:E,4,0)</f>
        <v>0</v>
      </c>
      <c r="H2416" s="225">
        <f t="shared" si="37"/>
        <v>0.81</v>
      </c>
    </row>
    <row r="2417" spans="1:8" x14ac:dyDescent="0.3">
      <c r="A2417" s="400"/>
      <c r="B2417" s="709">
        <v>104909</v>
      </c>
      <c r="C2417" s="710" t="s">
        <v>2465</v>
      </c>
      <c r="D2417" s="709" t="s">
        <v>234</v>
      </c>
      <c r="E2417" s="716">
        <v>0</v>
      </c>
      <c r="F2417" s="717"/>
      <c r="G2417" t="e">
        <f>VLOOKUP(B2417,'SINAPI-%MO'!B:E,4,0)</f>
        <v>#N/A</v>
      </c>
      <c r="H2417" s="225" t="str">
        <f t="shared" si="37"/>
        <v/>
      </c>
    </row>
    <row r="2418" spans="1:8" x14ac:dyDescent="0.3">
      <c r="A2418" s="400"/>
      <c r="B2418" s="709">
        <v>104910</v>
      </c>
      <c r="C2418" s="710" t="s">
        <v>2466</v>
      </c>
      <c r="D2418" s="709" t="s">
        <v>234</v>
      </c>
      <c r="E2418" s="716">
        <v>0</v>
      </c>
      <c r="F2418" s="717"/>
      <c r="G2418" t="e">
        <f>VLOOKUP(B2418,'SINAPI-%MO'!B:E,4,0)</f>
        <v>#N/A</v>
      </c>
      <c r="H2418" s="225" t="str">
        <f t="shared" si="37"/>
        <v/>
      </c>
    </row>
    <row r="2419" spans="1:8" x14ac:dyDescent="0.3">
      <c r="A2419" s="400"/>
      <c r="B2419" s="709">
        <v>104911</v>
      </c>
      <c r="C2419" s="710" t="s">
        <v>2467</v>
      </c>
      <c r="D2419" s="709" t="s">
        <v>234</v>
      </c>
      <c r="E2419" s="716">
        <v>0</v>
      </c>
      <c r="F2419" s="717"/>
      <c r="G2419" t="e">
        <f>VLOOKUP(B2419,'SINAPI-%MO'!B:E,4,0)</f>
        <v>#N/A</v>
      </c>
      <c r="H2419" s="225" t="str">
        <f t="shared" si="37"/>
        <v/>
      </c>
    </row>
    <row r="2420" spans="1:8" x14ac:dyDescent="0.3">
      <c r="A2420" s="400"/>
      <c r="B2420" s="709">
        <v>104912</v>
      </c>
      <c r="C2420" s="710" t="s">
        <v>2468</v>
      </c>
      <c r="D2420" s="709" t="s">
        <v>234</v>
      </c>
      <c r="E2420" s="716">
        <v>40.159999999999997</v>
      </c>
      <c r="F2420" s="717">
        <v>0</v>
      </c>
      <c r="G2420">
        <f>VLOOKUP(B2420,'SINAPI-%MO'!B:E,4,0)</f>
        <v>0</v>
      </c>
      <c r="H2420" s="225">
        <f t="shared" si="37"/>
        <v>40.159999999999997</v>
      </c>
    </row>
    <row r="2421" spans="1:8" x14ac:dyDescent="0.3">
      <c r="A2421" s="400"/>
      <c r="B2421" s="709">
        <v>102840</v>
      </c>
      <c r="C2421" s="710" t="s">
        <v>2469</v>
      </c>
      <c r="D2421" s="709" t="s">
        <v>234</v>
      </c>
      <c r="E2421" s="716">
        <v>0</v>
      </c>
      <c r="F2421" s="717"/>
      <c r="G2421" t="e">
        <f>VLOOKUP(B2421,'SINAPI-%MO'!B:E,4,0)</f>
        <v>#N/A</v>
      </c>
      <c r="H2421" s="225" t="str">
        <f t="shared" si="37"/>
        <v/>
      </c>
    </row>
    <row r="2422" spans="1:8" x14ac:dyDescent="0.3">
      <c r="A2422" s="400"/>
      <c r="B2422" s="709">
        <v>102841</v>
      </c>
      <c r="C2422" s="710" t="s">
        <v>2470</v>
      </c>
      <c r="D2422" s="709" t="s">
        <v>234</v>
      </c>
      <c r="E2422" s="716">
        <v>0</v>
      </c>
      <c r="F2422" s="717"/>
      <c r="G2422" t="e">
        <f>VLOOKUP(B2422,'SINAPI-%MO'!B:E,4,0)</f>
        <v>#N/A</v>
      </c>
      <c r="H2422" s="225" t="str">
        <f t="shared" si="37"/>
        <v/>
      </c>
    </row>
    <row r="2423" spans="1:8" x14ac:dyDescent="0.3">
      <c r="A2423" s="400"/>
      <c r="B2423" s="709">
        <v>102842</v>
      </c>
      <c r="C2423" s="710" t="s">
        <v>2471</v>
      </c>
      <c r="D2423" s="709" t="s">
        <v>234</v>
      </c>
      <c r="E2423" s="716">
        <v>0</v>
      </c>
      <c r="F2423" s="717"/>
      <c r="G2423" t="e">
        <f>VLOOKUP(B2423,'SINAPI-%MO'!B:E,4,0)</f>
        <v>#N/A</v>
      </c>
      <c r="H2423" s="225" t="str">
        <f t="shared" si="37"/>
        <v/>
      </c>
    </row>
    <row r="2424" spans="1:8" x14ac:dyDescent="0.3">
      <c r="A2424" s="400"/>
      <c r="B2424" s="709">
        <v>102843</v>
      </c>
      <c r="C2424" s="710" t="s">
        <v>2472</v>
      </c>
      <c r="D2424" s="709" t="s">
        <v>234</v>
      </c>
      <c r="E2424" s="716">
        <v>145.12</v>
      </c>
      <c r="F2424" s="717">
        <v>0</v>
      </c>
      <c r="G2424">
        <f>VLOOKUP(B2424,'SINAPI-%MO'!B:E,4,0)</f>
        <v>0</v>
      </c>
      <c r="H2424" s="225">
        <f t="shared" si="37"/>
        <v>145.12</v>
      </c>
    </row>
    <row r="2425" spans="1:8" x14ac:dyDescent="0.3">
      <c r="A2425" s="400"/>
      <c r="B2425" s="709">
        <v>89267</v>
      </c>
      <c r="C2425" s="710" t="s">
        <v>2473</v>
      </c>
      <c r="D2425" s="709" t="s">
        <v>234</v>
      </c>
      <c r="E2425" s="716">
        <v>50.82</v>
      </c>
      <c r="F2425" s="717">
        <v>0</v>
      </c>
      <c r="G2425">
        <f>VLOOKUP(B2425,'SINAPI-%MO'!B:E,4,0)</f>
        <v>0</v>
      </c>
      <c r="H2425" s="225">
        <f t="shared" si="37"/>
        <v>50.82</v>
      </c>
    </row>
    <row r="2426" spans="1:8" x14ac:dyDescent="0.3">
      <c r="A2426" s="400"/>
      <c r="B2426" s="709">
        <v>89269</v>
      </c>
      <c r="C2426" s="710" t="s">
        <v>2474</v>
      </c>
      <c r="D2426" s="709" t="s">
        <v>234</v>
      </c>
      <c r="E2426" s="716">
        <v>7.24</v>
      </c>
      <c r="F2426" s="717">
        <v>0</v>
      </c>
      <c r="G2426">
        <f>VLOOKUP(B2426,'SINAPI-%MO'!B:E,4,0)</f>
        <v>0</v>
      </c>
      <c r="H2426" s="225">
        <f t="shared" si="37"/>
        <v>7.24</v>
      </c>
    </row>
    <row r="2427" spans="1:8" x14ac:dyDescent="0.3">
      <c r="A2427" s="400"/>
      <c r="B2427" s="709">
        <v>89268</v>
      </c>
      <c r="C2427" s="710" t="s">
        <v>2475</v>
      </c>
      <c r="D2427" s="709" t="s">
        <v>234</v>
      </c>
      <c r="E2427" s="716">
        <v>17.91</v>
      </c>
      <c r="F2427" s="717">
        <v>0</v>
      </c>
      <c r="G2427">
        <f>VLOOKUP(B2427,'SINAPI-%MO'!B:E,4,0)</f>
        <v>0</v>
      </c>
      <c r="H2427" s="225">
        <f t="shared" si="37"/>
        <v>17.91</v>
      </c>
    </row>
    <row r="2428" spans="1:8" x14ac:dyDescent="0.3">
      <c r="A2428" s="400"/>
      <c r="B2428" s="709">
        <v>89270</v>
      </c>
      <c r="C2428" s="710" t="s">
        <v>2476</v>
      </c>
      <c r="D2428" s="709" t="s">
        <v>234</v>
      </c>
      <c r="E2428" s="716">
        <v>81.69</v>
      </c>
      <c r="F2428" s="717">
        <v>0</v>
      </c>
      <c r="G2428">
        <f>VLOOKUP(B2428,'SINAPI-%MO'!B:E,4,0)</f>
        <v>0</v>
      </c>
      <c r="H2428" s="225">
        <f t="shared" si="37"/>
        <v>81.69</v>
      </c>
    </row>
    <row r="2429" spans="1:8" x14ac:dyDescent="0.3">
      <c r="A2429" s="400"/>
      <c r="B2429" s="709">
        <v>89271</v>
      </c>
      <c r="C2429" s="710" t="s">
        <v>2477</v>
      </c>
      <c r="D2429" s="709" t="s">
        <v>234</v>
      </c>
      <c r="E2429" s="716">
        <v>31.28</v>
      </c>
      <c r="F2429" s="717">
        <v>0</v>
      </c>
      <c r="G2429">
        <f>VLOOKUP(B2429,'SINAPI-%MO'!B:E,4,0)</f>
        <v>0</v>
      </c>
      <c r="H2429" s="225">
        <f t="shared" si="37"/>
        <v>31.28</v>
      </c>
    </row>
    <row r="2430" spans="1:8" x14ac:dyDescent="0.3">
      <c r="A2430" s="400"/>
      <c r="B2430" s="709">
        <v>93283</v>
      </c>
      <c r="C2430" s="710" t="s">
        <v>2478</v>
      </c>
      <c r="D2430" s="709" t="s">
        <v>234</v>
      </c>
      <c r="E2430" s="716">
        <v>97.73</v>
      </c>
      <c r="F2430" s="717">
        <v>0</v>
      </c>
      <c r="G2430">
        <f>VLOOKUP(B2430,'SINAPI-%MO'!B:E,4,0)</f>
        <v>0</v>
      </c>
      <c r="H2430" s="225">
        <f t="shared" si="37"/>
        <v>97.73</v>
      </c>
    </row>
    <row r="2431" spans="1:8" x14ac:dyDescent="0.3">
      <c r="A2431" s="400"/>
      <c r="B2431" s="709">
        <v>93296</v>
      </c>
      <c r="C2431" s="710" t="s">
        <v>2479</v>
      </c>
      <c r="D2431" s="709" t="s">
        <v>234</v>
      </c>
      <c r="E2431" s="716">
        <v>13.92</v>
      </c>
      <c r="F2431" s="717">
        <v>0</v>
      </c>
      <c r="G2431">
        <f>VLOOKUP(B2431,'SINAPI-%MO'!B:E,4,0)</f>
        <v>0</v>
      </c>
      <c r="H2431" s="225">
        <f t="shared" si="37"/>
        <v>13.92</v>
      </c>
    </row>
    <row r="2432" spans="1:8" x14ac:dyDescent="0.3">
      <c r="A2432" s="400"/>
      <c r="B2432" s="709">
        <v>93284</v>
      </c>
      <c r="C2432" s="710" t="s">
        <v>2480</v>
      </c>
      <c r="D2432" s="709" t="s">
        <v>234</v>
      </c>
      <c r="E2432" s="716">
        <v>34.450000000000003</v>
      </c>
      <c r="F2432" s="717">
        <v>0</v>
      </c>
      <c r="G2432">
        <f>VLOOKUP(B2432,'SINAPI-%MO'!B:E,4,0)</f>
        <v>0</v>
      </c>
      <c r="H2432" s="225">
        <f t="shared" si="37"/>
        <v>34.450000000000003</v>
      </c>
    </row>
    <row r="2433" spans="1:8" x14ac:dyDescent="0.3">
      <c r="A2433" s="400"/>
      <c r="B2433" s="709">
        <v>93285</v>
      </c>
      <c r="C2433" s="710" t="s">
        <v>2481</v>
      </c>
      <c r="D2433" s="709" t="s">
        <v>234</v>
      </c>
      <c r="E2433" s="716">
        <v>157.1</v>
      </c>
      <c r="F2433" s="717">
        <v>0</v>
      </c>
      <c r="G2433">
        <f>VLOOKUP(B2433,'SINAPI-%MO'!B:E,4,0)</f>
        <v>0</v>
      </c>
      <c r="H2433" s="225">
        <f t="shared" si="37"/>
        <v>157.1</v>
      </c>
    </row>
    <row r="2434" spans="1:8" x14ac:dyDescent="0.3">
      <c r="A2434" s="400"/>
      <c r="B2434" s="709">
        <v>93286</v>
      </c>
      <c r="C2434" s="710" t="s">
        <v>2482</v>
      </c>
      <c r="D2434" s="709" t="s">
        <v>234</v>
      </c>
      <c r="E2434" s="716">
        <v>13.65</v>
      </c>
      <c r="F2434" s="717">
        <v>0</v>
      </c>
      <c r="G2434">
        <f>VLOOKUP(B2434,'SINAPI-%MO'!B:E,4,0)</f>
        <v>0</v>
      </c>
      <c r="H2434" s="225">
        <f t="shared" si="37"/>
        <v>13.65</v>
      </c>
    </row>
    <row r="2435" spans="1:8" x14ac:dyDescent="0.3">
      <c r="A2435" s="400"/>
      <c r="B2435" s="709">
        <v>104706</v>
      </c>
      <c r="C2435" s="710" t="s">
        <v>2483</v>
      </c>
      <c r="D2435" s="709" t="s">
        <v>234</v>
      </c>
      <c r="E2435" s="716">
        <v>0</v>
      </c>
      <c r="F2435" s="717"/>
      <c r="G2435" t="e">
        <f>VLOOKUP(B2435,'SINAPI-%MO'!B:E,4,0)</f>
        <v>#N/A</v>
      </c>
      <c r="H2435" s="225" t="str">
        <f t="shared" si="37"/>
        <v/>
      </c>
    </row>
    <row r="2436" spans="1:8" x14ac:dyDescent="0.3">
      <c r="A2436" s="400"/>
      <c r="B2436" s="709">
        <v>104707</v>
      </c>
      <c r="C2436" s="710" t="s">
        <v>2484</v>
      </c>
      <c r="D2436" s="709" t="s">
        <v>234</v>
      </c>
      <c r="E2436" s="716">
        <v>0</v>
      </c>
      <c r="F2436" s="717"/>
      <c r="G2436" t="e">
        <f>VLOOKUP(B2436,'SINAPI-%MO'!B:E,4,0)</f>
        <v>#N/A</v>
      </c>
      <c r="H2436" s="225" t="str">
        <f t="shared" si="37"/>
        <v/>
      </c>
    </row>
    <row r="2437" spans="1:8" x14ac:dyDescent="0.3">
      <c r="A2437" s="400"/>
      <c r="B2437" s="709">
        <v>104708</v>
      </c>
      <c r="C2437" s="710" t="s">
        <v>2485</v>
      </c>
      <c r="D2437" s="709" t="s">
        <v>234</v>
      </c>
      <c r="E2437" s="716">
        <v>0</v>
      </c>
      <c r="F2437" s="717"/>
      <c r="G2437" t="e">
        <f>VLOOKUP(B2437,'SINAPI-%MO'!B:E,4,0)</f>
        <v>#N/A</v>
      </c>
      <c r="H2437" s="225" t="str">
        <f t="shared" si="37"/>
        <v/>
      </c>
    </row>
    <row r="2438" spans="1:8" x14ac:dyDescent="0.3">
      <c r="A2438" s="400"/>
      <c r="B2438" s="709">
        <v>104709</v>
      </c>
      <c r="C2438" s="710" t="s">
        <v>2486</v>
      </c>
      <c r="D2438" s="709" t="s">
        <v>234</v>
      </c>
      <c r="E2438" s="716">
        <v>1260.97</v>
      </c>
      <c r="F2438" s="717">
        <v>0</v>
      </c>
      <c r="G2438">
        <f>VLOOKUP(B2438,'SINAPI-%MO'!B:E,4,0)</f>
        <v>0</v>
      </c>
      <c r="H2438" s="225">
        <f t="shared" si="37"/>
        <v>1260.97</v>
      </c>
    </row>
    <row r="2439" spans="1:8" x14ac:dyDescent="0.3">
      <c r="A2439" s="400"/>
      <c r="B2439" s="709">
        <v>104903</v>
      </c>
      <c r="C2439" s="710" t="s">
        <v>2487</v>
      </c>
      <c r="D2439" s="709" t="s">
        <v>234</v>
      </c>
      <c r="E2439" s="716">
        <v>0</v>
      </c>
      <c r="F2439" s="717"/>
      <c r="G2439" t="e">
        <f>VLOOKUP(B2439,'SINAPI-%MO'!B:E,4,0)</f>
        <v>#N/A</v>
      </c>
      <c r="H2439" s="225" t="str">
        <f t="shared" si="37"/>
        <v/>
      </c>
    </row>
    <row r="2440" spans="1:8" x14ac:dyDescent="0.3">
      <c r="A2440" s="400"/>
      <c r="B2440" s="709">
        <v>104904</v>
      </c>
      <c r="C2440" s="710" t="s">
        <v>2488</v>
      </c>
      <c r="D2440" s="709" t="s">
        <v>234</v>
      </c>
      <c r="E2440" s="716">
        <v>0</v>
      </c>
      <c r="F2440" s="717"/>
      <c r="G2440" t="e">
        <f>VLOOKUP(B2440,'SINAPI-%MO'!B:E,4,0)</f>
        <v>#N/A</v>
      </c>
      <c r="H2440" s="225" t="str">
        <f t="shared" si="37"/>
        <v/>
      </c>
    </row>
    <row r="2441" spans="1:8" x14ac:dyDescent="0.3">
      <c r="A2441" s="400"/>
      <c r="B2441" s="709">
        <v>104905</v>
      </c>
      <c r="C2441" s="710" t="s">
        <v>2489</v>
      </c>
      <c r="D2441" s="709" t="s">
        <v>234</v>
      </c>
      <c r="E2441" s="716">
        <v>0</v>
      </c>
      <c r="F2441" s="717"/>
      <c r="G2441" t="e">
        <f>VLOOKUP(B2441,'SINAPI-%MO'!B:E,4,0)</f>
        <v>#N/A</v>
      </c>
      <c r="H2441" s="225" t="str">
        <f t="shared" si="37"/>
        <v/>
      </c>
    </row>
    <row r="2442" spans="1:8" x14ac:dyDescent="0.3">
      <c r="A2442" s="400"/>
      <c r="B2442" s="709">
        <v>104906</v>
      </c>
      <c r="C2442" s="710" t="s">
        <v>2490</v>
      </c>
      <c r="D2442" s="709" t="s">
        <v>234</v>
      </c>
      <c r="E2442" s="716">
        <v>106.42</v>
      </c>
      <c r="F2442" s="717">
        <v>0</v>
      </c>
      <c r="G2442">
        <f>VLOOKUP(B2442,'SINAPI-%MO'!B:E,4,0)</f>
        <v>0</v>
      </c>
      <c r="H2442" s="225">
        <f t="shared" si="37"/>
        <v>106.42</v>
      </c>
    </row>
    <row r="2443" spans="1:8" x14ac:dyDescent="0.3">
      <c r="A2443" s="400"/>
      <c r="B2443" s="709">
        <v>102846</v>
      </c>
      <c r="C2443" s="710" t="s">
        <v>2491</v>
      </c>
      <c r="D2443" s="709" t="s">
        <v>234</v>
      </c>
      <c r="E2443" s="716">
        <v>0</v>
      </c>
      <c r="F2443" s="717"/>
      <c r="G2443" t="e">
        <f>VLOOKUP(B2443,'SINAPI-%MO'!B:E,4,0)</f>
        <v>#N/A</v>
      </c>
      <c r="H2443" s="225" t="str">
        <f t="shared" ref="H2443:H2506" si="38">IF(E2443&gt;0,TRUNC(E2443*(1-G2443),2),"")</f>
        <v/>
      </c>
    </row>
    <row r="2444" spans="1:8" x14ac:dyDescent="0.3">
      <c r="A2444" s="400"/>
      <c r="B2444" s="709">
        <v>102847</v>
      </c>
      <c r="C2444" s="710" t="s">
        <v>2492</v>
      </c>
      <c r="D2444" s="709" t="s">
        <v>234</v>
      </c>
      <c r="E2444" s="716">
        <v>0</v>
      </c>
      <c r="F2444" s="717"/>
      <c r="G2444" t="e">
        <f>VLOOKUP(B2444,'SINAPI-%MO'!B:E,4,0)</f>
        <v>#N/A</v>
      </c>
      <c r="H2444" s="225" t="str">
        <f t="shared" si="38"/>
        <v/>
      </c>
    </row>
    <row r="2445" spans="1:8" x14ac:dyDescent="0.3">
      <c r="A2445" s="400"/>
      <c r="B2445" s="709">
        <v>102848</v>
      </c>
      <c r="C2445" s="710" t="s">
        <v>2493</v>
      </c>
      <c r="D2445" s="709" t="s">
        <v>234</v>
      </c>
      <c r="E2445" s="716">
        <v>0</v>
      </c>
      <c r="F2445" s="717"/>
      <c r="G2445" t="e">
        <f>VLOOKUP(B2445,'SINAPI-%MO'!B:E,4,0)</f>
        <v>#N/A</v>
      </c>
      <c r="H2445" s="225" t="str">
        <f t="shared" si="38"/>
        <v/>
      </c>
    </row>
    <row r="2446" spans="1:8" x14ac:dyDescent="0.3">
      <c r="A2446" s="400"/>
      <c r="B2446" s="709">
        <v>102849</v>
      </c>
      <c r="C2446" s="710" t="s">
        <v>2494</v>
      </c>
      <c r="D2446" s="709" t="s">
        <v>234</v>
      </c>
      <c r="E2446" s="716">
        <v>70.95</v>
      </c>
      <c r="F2446" s="717">
        <v>0</v>
      </c>
      <c r="G2446">
        <f>VLOOKUP(B2446,'SINAPI-%MO'!B:E,4,0)</f>
        <v>0</v>
      </c>
      <c r="H2446" s="225">
        <f t="shared" si="38"/>
        <v>70.95</v>
      </c>
    </row>
    <row r="2447" spans="1:8" x14ac:dyDescent="0.3">
      <c r="A2447" s="400"/>
      <c r="B2447" s="709">
        <v>102852</v>
      </c>
      <c r="C2447" s="710" t="s">
        <v>2495</v>
      </c>
      <c r="D2447" s="709" t="s">
        <v>234</v>
      </c>
      <c r="E2447" s="716">
        <v>0</v>
      </c>
      <c r="F2447" s="717"/>
      <c r="G2447" t="e">
        <f>VLOOKUP(B2447,'SINAPI-%MO'!B:E,4,0)</f>
        <v>#N/A</v>
      </c>
      <c r="H2447" s="225" t="str">
        <f t="shared" si="38"/>
        <v/>
      </c>
    </row>
    <row r="2448" spans="1:8" x14ac:dyDescent="0.3">
      <c r="A2448" s="400"/>
      <c r="B2448" s="709">
        <v>102853</v>
      </c>
      <c r="C2448" s="710" t="s">
        <v>2496</v>
      </c>
      <c r="D2448" s="709" t="s">
        <v>234</v>
      </c>
      <c r="E2448" s="716">
        <v>0</v>
      </c>
      <c r="F2448" s="717"/>
      <c r="G2448" t="e">
        <f>VLOOKUP(B2448,'SINAPI-%MO'!B:E,4,0)</f>
        <v>#N/A</v>
      </c>
      <c r="H2448" s="225" t="str">
        <f t="shared" si="38"/>
        <v/>
      </c>
    </row>
    <row r="2449" spans="1:8" x14ac:dyDescent="0.3">
      <c r="A2449" s="400"/>
      <c r="B2449" s="709">
        <v>102854</v>
      </c>
      <c r="C2449" s="710" t="s">
        <v>2497</v>
      </c>
      <c r="D2449" s="709" t="s">
        <v>234</v>
      </c>
      <c r="E2449" s="716">
        <v>0</v>
      </c>
      <c r="F2449" s="717"/>
      <c r="G2449" t="e">
        <f>VLOOKUP(B2449,'SINAPI-%MO'!B:E,4,0)</f>
        <v>#N/A</v>
      </c>
      <c r="H2449" s="225" t="str">
        <f t="shared" si="38"/>
        <v/>
      </c>
    </row>
    <row r="2450" spans="1:8" x14ac:dyDescent="0.3">
      <c r="A2450" s="400"/>
      <c r="B2450" s="709">
        <v>102855</v>
      </c>
      <c r="C2450" s="710" t="s">
        <v>2498</v>
      </c>
      <c r="D2450" s="709" t="s">
        <v>234</v>
      </c>
      <c r="E2450" s="716">
        <v>70.95</v>
      </c>
      <c r="F2450" s="717">
        <v>0</v>
      </c>
      <c r="G2450">
        <f>VLOOKUP(B2450,'SINAPI-%MO'!B:E,4,0)</f>
        <v>0</v>
      </c>
      <c r="H2450" s="225">
        <f t="shared" si="38"/>
        <v>70.95</v>
      </c>
    </row>
    <row r="2451" spans="1:8" x14ac:dyDescent="0.3">
      <c r="A2451" s="400"/>
      <c r="B2451" s="709">
        <v>106242</v>
      </c>
      <c r="C2451" s="710" t="s">
        <v>13373</v>
      </c>
      <c r="D2451" s="709" t="s">
        <v>234</v>
      </c>
      <c r="E2451" s="716">
        <v>48.92</v>
      </c>
      <c r="F2451" s="717">
        <v>0</v>
      </c>
      <c r="G2451">
        <f>VLOOKUP(B2451,'SINAPI-%MO'!B:E,4,0)</f>
        <v>0</v>
      </c>
      <c r="H2451" s="225">
        <f t="shared" si="38"/>
        <v>48.92</v>
      </c>
    </row>
    <row r="2452" spans="1:8" x14ac:dyDescent="0.3">
      <c r="A2452" s="400"/>
      <c r="B2452" s="709">
        <v>106245</v>
      </c>
      <c r="C2452" s="710" t="s">
        <v>13374</v>
      </c>
      <c r="D2452" s="709" t="s">
        <v>234</v>
      </c>
      <c r="E2452" s="716">
        <v>6.81</v>
      </c>
      <c r="F2452" s="717">
        <v>0</v>
      </c>
      <c r="G2452">
        <f>VLOOKUP(B2452,'SINAPI-%MO'!B:E,4,0)</f>
        <v>0</v>
      </c>
      <c r="H2452" s="225">
        <f t="shared" si="38"/>
        <v>6.81</v>
      </c>
    </row>
    <row r="2453" spans="1:8" x14ac:dyDescent="0.3">
      <c r="A2453" s="400"/>
      <c r="B2453" s="709">
        <v>106243</v>
      </c>
      <c r="C2453" s="710" t="s">
        <v>13375</v>
      </c>
      <c r="D2453" s="709" t="s">
        <v>234</v>
      </c>
      <c r="E2453" s="716">
        <v>16.82</v>
      </c>
      <c r="F2453" s="717">
        <v>0</v>
      </c>
      <c r="G2453">
        <f>VLOOKUP(B2453,'SINAPI-%MO'!B:E,4,0)</f>
        <v>0</v>
      </c>
      <c r="H2453" s="225">
        <f t="shared" si="38"/>
        <v>16.82</v>
      </c>
    </row>
    <row r="2454" spans="1:8" x14ac:dyDescent="0.3">
      <c r="A2454" s="400"/>
      <c r="B2454" s="709">
        <v>106244</v>
      </c>
      <c r="C2454" s="710" t="s">
        <v>13376</v>
      </c>
      <c r="D2454" s="709" t="s">
        <v>234</v>
      </c>
      <c r="E2454" s="716">
        <v>77.88</v>
      </c>
      <c r="F2454" s="717">
        <v>0</v>
      </c>
      <c r="G2454">
        <f>VLOOKUP(B2454,'SINAPI-%MO'!B:E,4,0)</f>
        <v>0</v>
      </c>
      <c r="H2454" s="225">
        <f t="shared" si="38"/>
        <v>77.88</v>
      </c>
    </row>
    <row r="2455" spans="1:8" x14ac:dyDescent="0.3">
      <c r="A2455" s="400"/>
      <c r="B2455" s="709">
        <v>106246</v>
      </c>
      <c r="C2455" s="710" t="s">
        <v>13377</v>
      </c>
      <c r="D2455" s="709" t="s">
        <v>234</v>
      </c>
      <c r="E2455" s="716">
        <v>170.15</v>
      </c>
      <c r="F2455" s="717">
        <v>0</v>
      </c>
      <c r="G2455">
        <f>VLOOKUP(B2455,'SINAPI-%MO'!B:E,4,0)</f>
        <v>0</v>
      </c>
      <c r="H2455" s="225">
        <f t="shared" si="38"/>
        <v>170.15</v>
      </c>
    </row>
    <row r="2456" spans="1:8" x14ac:dyDescent="0.3">
      <c r="A2456" s="400"/>
      <c r="B2456" s="709">
        <v>93397</v>
      </c>
      <c r="C2456" s="710" t="s">
        <v>2499</v>
      </c>
      <c r="D2456" s="709" t="s">
        <v>234</v>
      </c>
      <c r="E2456" s="716">
        <v>27.93</v>
      </c>
      <c r="F2456" s="717">
        <v>0</v>
      </c>
      <c r="G2456">
        <f>VLOOKUP(B2456,'SINAPI-%MO'!B:E,4,0)</f>
        <v>0</v>
      </c>
      <c r="H2456" s="225">
        <f t="shared" si="38"/>
        <v>27.93</v>
      </c>
    </row>
    <row r="2457" spans="1:8" x14ac:dyDescent="0.3">
      <c r="A2457" s="400"/>
      <c r="B2457" s="709">
        <v>93399</v>
      </c>
      <c r="C2457" s="710" t="s">
        <v>2500</v>
      </c>
      <c r="D2457" s="709" t="s">
        <v>234</v>
      </c>
      <c r="E2457" s="716">
        <v>4.3</v>
      </c>
      <c r="F2457" s="717">
        <v>0</v>
      </c>
      <c r="G2457">
        <f>VLOOKUP(B2457,'SINAPI-%MO'!B:E,4,0)</f>
        <v>0</v>
      </c>
      <c r="H2457" s="225">
        <f t="shared" si="38"/>
        <v>4.3</v>
      </c>
    </row>
    <row r="2458" spans="1:8" x14ac:dyDescent="0.3">
      <c r="A2458" s="400"/>
      <c r="B2458" s="709">
        <v>93398</v>
      </c>
      <c r="C2458" s="710" t="s">
        <v>2501</v>
      </c>
      <c r="D2458" s="709" t="s">
        <v>234</v>
      </c>
      <c r="E2458" s="716">
        <v>10.65</v>
      </c>
      <c r="F2458" s="717">
        <v>0</v>
      </c>
      <c r="G2458">
        <f>VLOOKUP(B2458,'SINAPI-%MO'!B:E,4,0)</f>
        <v>0</v>
      </c>
      <c r="H2458" s="225">
        <f t="shared" si="38"/>
        <v>10.65</v>
      </c>
    </row>
    <row r="2459" spans="1:8" x14ac:dyDescent="0.3">
      <c r="A2459" s="400"/>
      <c r="B2459" s="709">
        <v>93400</v>
      </c>
      <c r="C2459" s="710" t="s">
        <v>2502</v>
      </c>
      <c r="D2459" s="709" t="s">
        <v>234</v>
      </c>
      <c r="E2459" s="716">
        <v>48.91</v>
      </c>
      <c r="F2459" s="717">
        <v>0</v>
      </c>
      <c r="G2459">
        <f>VLOOKUP(B2459,'SINAPI-%MO'!B:E,4,0)</f>
        <v>0</v>
      </c>
      <c r="H2459" s="225">
        <f t="shared" si="38"/>
        <v>48.91</v>
      </c>
    </row>
    <row r="2460" spans="1:8" x14ac:dyDescent="0.3">
      <c r="A2460" s="400"/>
      <c r="B2460" s="709">
        <v>93401</v>
      </c>
      <c r="C2460" s="710" t="s">
        <v>2503</v>
      </c>
      <c r="D2460" s="709" t="s">
        <v>234</v>
      </c>
      <c r="E2460" s="716">
        <v>170.47</v>
      </c>
      <c r="F2460" s="717">
        <v>0</v>
      </c>
      <c r="G2460">
        <f>VLOOKUP(B2460,'SINAPI-%MO'!B:E,4,0)</f>
        <v>0</v>
      </c>
      <c r="H2460" s="225">
        <f t="shared" si="38"/>
        <v>170.47</v>
      </c>
    </row>
    <row r="2461" spans="1:8" x14ac:dyDescent="0.3">
      <c r="A2461" s="400"/>
      <c r="B2461" s="709">
        <v>89259</v>
      </c>
      <c r="C2461" s="710" t="s">
        <v>2504</v>
      </c>
      <c r="D2461" s="709" t="s">
        <v>234</v>
      </c>
      <c r="E2461" s="716">
        <v>30.17</v>
      </c>
      <c r="F2461" s="717">
        <v>0</v>
      </c>
      <c r="G2461">
        <f>VLOOKUP(B2461,'SINAPI-%MO'!B:E,4,0)</f>
        <v>0</v>
      </c>
      <c r="H2461" s="225">
        <f t="shared" si="38"/>
        <v>30.17</v>
      </c>
    </row>
    <row r="2462" spans="1:8" x14ac:dyDescent="0.3">
      <c r="A2462" s="400"/>
      <c r="B2462" s="709">
        <v>91466</v>
      </c>
      <c r="C2462" s="710" t="s">
        <v>2505</v>
      </c>
      <c r="D2462" s="709" t="s">
        <v>234</v>
      </c>
      <c r="E2462" s="716">
        <v>4.53</v>
      </c>
      <c r="F2462" s="717">
        <v>0</v>
      </c>
      <c r="G2462">
        <f>VLOOKUP(B2462,'SINAPI-%MO'!B:E,4,0)</f>
        <v>0</v>
      </c>
      <c r="H2462" s="225">
        <f t="shared" si="38"/>
        <v>4.53</v>
      </c>
    </row>
    <row r="2463" spans="1:8" x14ac:dyDescent="0.3">
      <c r="A2463" s="400"/>
      <c r="B2463" s="709">
        <v>89260</v>
      </c>
      <c r="C2463" s="710" t="s">
        <v>2506</v>
      </c>
      <c r="D2463" s="709" t="s">
        <v>234</v>
      </c>
      <c r="E2463" s="716">
        <v>11.24</v>
      </c>
      <c r="F2463" s="717">
        <v>0</v>
      </c>
      <c r="G2463">
        <f>VLOOKUP(B2463,'SINAPI-%MO'!B:E,4,0)</f>
        <v>0</v>
      </c>
      <c r="H2463" s="225">
        <f t="shared" si="38"/>
        <v>11.24</v>
      </c>
    </row>
    <row r="2464" spans="1:8" x14ac:dyDescent="0.3">
      <c r="A2464" s="400"/>
      <c r="B2464" s="709">
        <v>89262</v>
      </c>
      <c r="C2464" s="710" t="s">
        <v>2507</v>
      </c>
      <c r="D2464" s="709" t="s">
        <v>234</v>
      </c>
      <c r="E2464" s="716">
        <v>51.72</v>
      </c>
      <c r="F2464" s="717">
        <v>0</v>
      </c>
      <c r="G2464">
        <f>VLOOKUP(B2464,'SINAPI-%MO'!B:E,4,0)</f>
        <v>0</v>
      </c>
      <c r="H2464" s="225">
        <f t="shared" si="38"/>
        <v>51.72</v>
      </c>
    </row>
    <row r="2465" spans="1:8" x14ac:dyDescent="0.3">
      <c r="A2465" s="400"/>
      <c r="B2465" s="709">
        <v>91467</v>
      </c>
      <c r="C2465" s="710" t="s">
        <v>2508</v>
      </c>
      <c r="D2465" s="709" t="s">
        <v>234</v>
      </c>
      <c r="E2465" s="716">
        <v>170.47</v>
      </c>
      <c r="F2465" s="717">
        <v>0</v>
      </c>
      <c r="G2465">
        <f>VLOOKUP(B2465,'SINAPI-%MO'!B:E,4,0)</f>
        <v>0</v>
      </c>
      <c r="H2465" s="225">
        <f t="shared" si="38"/>
        <v>170.47</v>
      </c>
    </row>
    <row r="2466" spans="1:8" x14ac:dyDescent="0.3">
      <c r="A2466" s="400"/>
      <c r="B2466" s="709">
        <v>105839</v>
      </c>
      <c r="C2466" s="710" t="s">
        <v>2509</v>
      </c>
      <c r="D2466" s="709" t="s">
        <v>234</v>
      </c>
      <c r="E2466" s="716">
        <v>0</v>
      </c>
      <c r="F2466" s="717"/>
      <c r="G2466" t="e">
        <f>VLOOKUP(B2466,'SINAPI-%MO'!B:E,4,0)</f>
        <v>#N/A</v>
      </c>
      <c r="H2466" s="225" t="str">
        <f t="shared" si="38"/>
        <v/>
      </c>
    </row>
    <row r="2467" spans="1:8" x14ac:dyDescent="0.3">
      <c r="A2467" s="400"/>
      <c r="B2467" s="709">
        <v>105842</v>
      </c>
      <c r="C2467" s="710" t="s">
        <v>2510</v>
      </c>
      <c r="D2467" s="709" t="s">
        <v>234</v>
      </c>
      <c r="E2467" s="716">
        <v>0</v>
      </c>
      <c r="F2467" s="717"/>
      <c r="G2467" t="e">
        <f>VLOOKUP(B2467,'SINAPI-%MO'!B:E,4,0)</f>
        <v>#N/A</v>
      </c>
      <c r="H2467" s="225" t="str">
        <f t="shared" si="38"/>
        <v/>
      </c>
    </row>
    <row r="2468" spans="1:8" x14ac:dyDescent="0.3">
      <c r="A2468" s="400"/>
      <c r="B2468" s="709">
        <v>105840</v>
      </c>
      <c r="C2468" s="710" t="s">
        <v>2511</v>
      </c>
      <c r="D2468" s="709" t="s">
        <v>234</v>
      </c>
      <c r="E2468" s="716">
        <v>0</v>
      </c>
      <c r="F2468" s="717"/>
      <c r="G2468" t="e">
        <f>VLOOKUP(B2468,'SINAPI-%MO'!B:E,4,0)</f>
        <v>#N/A</v>
      </c>
      <c r="H2468" s="225" t="str">
        <f t="shared" si="38"/>
        <v/>
      </c>
    </row>
    <row r="2469" spans="1:8" x14ac:dyDescent="0.3">
      <c r="A2469" s="400"/>
      <c r="B2469" s="709">
        <v>105841</v>
      </c>
      <c r="C2469" s="710" t="s">
        <v>2512</v>
      </c>
      <c r="D2469" s="709" t="s">
        <v>234</v>
      </c>
      <c r="E2469" s="716">
        <v>0</v>
      </c>
      <c r="F2469" s="717"/>
      <c r="G2469" t="e">
        <f>VLOOKUP(B2469,'SINAPI-%MO'!B:E,4,0)</f>
        <v>#N/A</v>
      </c>
      <c r="H2469" s="225" t="str">
        <f t="shared" si="38"/>
        <v/>
      </c>
    </row>
    <row r="2470" spans="1:8" x14ac:dyDescent="0.3">
      <c r="A2470" s="400"/>
      <c r="B2470" s="709">
        <v>105843</v>
      </c>
      <c r="C2470" s="710" t="s">
        <v>2513</v>
      </c>
      <c r="D2470" s="709" t="s">
        <v>234</v>
      </c>
      <c r="E2470" s="716">
        <v>89.71</v>
      </c>
      <c r="F2470" s="717">
        <v>0</v>
      </c>
      <c r="G2470">
        <f>VLOOKUP(B2470,'SINAPI-%MO'!B:E,4,0)</f>
        <v>0</v>
      </c>
      <c r="H2470" s="225">
        <f t="shared" si="38"/>
        <v>89.71</v>
      </c>
    </row>
    <row r="2471" spans="1:8" x14ac:dyDescent="0.3">
      <c r="A2471" s="400"/>
      <c r="B2471" s="709">
        <v>91629</v>
      </c>
      <c r="C2471" s="710" t="s">
        <v>2514</v>
      </c>
      <c r="D2471" s="709" t="s">
        <v>234</v>
      </c>
      <c r="E2471" s="716">
        <v>24.02</v>
      </c>
      <c r="F2471" s="717">
        <v>0</v>
      </c>
      <c r="G2471">
        <f>VLOOKUP(B2471,'SINAPI-%MO'!B:E,4,0)</f>
        <v>0</v>
      </c>
      <c r="H2471" s="225">
        <f t="shared" si="38"/>
        <v>24.02</v>
      </c>
    </row>
    <row r="2472" spans="1:8" x14ac:dyDescent="0.3">
      <c r="A2472" s="400"/>
      <c r="B2472" s="709">
        <v>91631</v>
      </c>
      <c r="C2472" s="710" t="s">
        <v>2515</v>
      </c>
      <c r="D2472" s="709" t="s">
        <v>234</v>
      </c>
      <c r="E2472" s="716">
        <v>3.65</v>
      </c>
      <c r="F2472" s="717">
        <v>0</v>
      </c>
      <c r="G2472">
        <f>VLOOKUP(B2472,'SINAPI-%MO'!B:E,4,0)</f>
        <v>0</v>
      </c>
      <c r="H2472" s="225">
        <f t="shared" si="38"/>
        <v>3.65</v>
      </c>
    </row>
    <row r="2473" spans="1:8" x14ac:dyDescent="0.3">
      <c r="A2473" s="400"/>
      <c r="B2473" s="709">
        <v>91630</v>
      </c>
      <c r="C2473" s="710" t="s">
        <v>2516</v>
      </c>
      <c r="D2473" s="709" t="s">
        <v>234</v>
      </c>
      <c r="E2473" s="716">
        <v>9.0399999999999991</v>
      </c>
      <c r="F2473" s="717">
        <v>0</v>
      </c>
      <c r="G2473">
        <f>VLOOKUP(B2473,'SINAPI-%MO'!B:E,4,0)</f>
        <v>0</v>
      </c>
      <c r="H2473" s="225">
        <f t="shared" si="38"/>
        <v>9.0399999999999991</v>
      </c>
    </row>
    <row r="2474" spans="1:8" x14ac:dyDescent="0.3">
      <c r="A2474" s="400"/>
      <c r="B2474" s="709">
        <v>91632</v>
      </c>
      <c r="C2474" s="710" t="s">
        <v>2517</v>
      </c>
      <c r="D2474" s="709" t="s">
        <v>234</v>
      </c>
      <c r="E2474" s="716">
        <v>41.58</v>
      </c>
      <c r="F2474" s="717">
        <v>0</v>
      </c>
      <c r="G2474">
        <f>VLOOKUP(B2474,'SINAPI-%MO'!B:E,4,0)</f>
        <v>0</v>
      </c>
      <c r="H2474" s="225">
        <f t="shared" si="38"/>
        <v>41.58</v>
      </c>
    </row>
    <row r="2475" spans="1:8" x14ac:dyDescent="0.3">
      <c r="A2475" s="400"/>
      <c r="B2475" s="709">
        <v>91633</v>
      </c>
      <c r="C2475" s="710" t="s">
        <v>2518</v>
      </c>
      <c r="D2475" s="709" t="s">
        <v>234</v>
      </c>
      <c r="E2475" s="716">
        <v>144.28</v>
      </c>
      <c r="F2475" s="717">
        <v>0</v>
      </c>
      <c r="G2475">
        <f>VLOOKUP(B2475,'SINAPI-%MO'!B:E,4,0)</f>
        <v>0</v>
      </c>
      <c r="H2475" s="225">
        <f t="shared" si="38"/>
        <v>144.28</v>
      </c>
    </row>
    <row r="2476" spans="1:8" x14ac:dyDescent="0.3">
      <c r="A2476" s="400"/>
      <c r="B2476" s="709">
        <v>105979</v>
      </c>
      <c r="C2476" s="710" t="s">
        <v>2519</v>
      </c>
      <c r="D2476" s="709" t="s">
        <v>234</v>
      </c>
      <c r="E2476" s="716">
        <v>47.5</v>
      </c>
      <c r="F2476" s="717">
        <v>0</v>
      </c>
      <c r="G2476">
        <f>VLOOKUP(B2476,'SINAPI-%MO'!B:E,4,0)</f>
        <v>0</v>
      </c>
      <c r="H2476" s="225">
        <f t="shared" si="38"/>
        <v>47.5</v>
      </c>
    </row>
    <row r="2477" spans="1:8" x14ac:dyDescent="0.3">
      <c r="A2477" s="400"/>
      <c r="B2477" s="709">
        <v>105982</v>
      </c>
      <c r="C2477" s="710" t="s">
        <v>2520</v>
      </c>
      <c r="D2477" s="709" t="s">
        <v>234</v>
      </c>
      <c r="E2477" s="716">
        <v>6.65</v>
      </c>
      <c r="F2477" s="717">
        <v>0</v>
      </c>
      <c r="G2477">
        <f>VLOOKUP(B2477,'SINAPI-%MO'!B:E,4,0)</f>
        <v>0</v>
      </c>
      <c r="H2477" s="225">
        <f t="shared" si="38"/>
        <v>6.65</v>
      </c>
    </row>
    <row r="2478" spans="1:8" x14ac:dyDescent="0.3">
      <c r="A2478" s="400"/>
      <c r="B2478" s="709">
        <v>105980</v>
      </c>
      <c r="C2478" s="710" t="s">
        <v>2521</v>
      </c>
      <c r="D2478" s="709" t="s">
        <v>234</v>
      </c>
      <c r="E2478" s="716">
        <v>16.440000000000001</v>
      </c>
      <c r="F2478" s="717">
        <v>0</v>
      </c>
      <c r="G2478">
        <f>VLOOKUP(B2478,'SINAPI-%MO'!B:E,4,0)</f>
        <v>0</v>
      </c>
      <c r="H2478" s="225">
        <f t="shared" si="38"/>
        <v>16.440000000000001</v>
      </c>
    </row>
    <row r="2479" spans="1:8" x14ac:dyDescent="0.3">
      <c r="A2479" s="400"/>
      <c r="B2479" s="709">
        <v>105981</v>
      </c>
      <c r="C2479" s="710" t="s">
        <v>2522</v>
      </c>
      <c r="D2479" s="709" t="s">
        <v>234</v>
      </c>
      <c r="E2479" s="716">
        <v>76.11</v>
      </c>
      <c r="F2479" s="717">
        <v>0</v>
      </c>
      <c r="G2479">
        <f>VLOOKUP(B2479,'SINAPI-%MO'!B:E,4,0)</f>
        <v>0</v>
      </c>
      <c r="H2479" s="225">
        <f t="shared" si="38"/>
        <v>76.11</v>
      </c>
    </row>
    <row r="2480" spans="1:8" x14ac:dyDescent="0.3">
      <c r="A2480" s="400"/>
      <c r="B2480" s="709">
        <v>105983</v>
      </c>
      <c r="C2480" s="710" t="s">
        <v>2523</v>
      </c>
      <c r="D2480" s="709" t="s">
        <v>234</v>
      </c>
      <c r="E2480" s="716">
        <v>170.15</v>
      </c>
      <c r="F2480" s="717">
        <v>0</v>
      </c>
      <c r="G2480">
        <f>VLOOKUP(B2480,'SINAPI-%MO'!B:E,4,0)</f>
        <v>0</v>
      </c>
      <c r="H2480" s="225">
        <f t="shared" si="38"/>
        <v>170.15</v>
      </c>
    </row>
    <row r="2481" spans="1:8" x14ac:dyDescent="0.3">
      <c r="A2481" s="400"/>
      <c r="B2481" s="709">
        <v>98760</v>
      </c>
      <c r="C2481" s="710" t="s">
        <v>2524</v>
      </c>
      <c r="D2481" s="709" t="s">
        <v>234</v>
      </c>
      <c r="E2481" s="716">
        <v>7.0000000000000007E-2</v>
      </c>
      <c r="F2481" s="717">
        <v>0</v>
      </c>
      <c r="G2481">
        <f>VLOOKUP(B2481,'SINAPI-%MO'!B:E,4,0)</f>
        <v>0</v>
      </c>
      <c r="H2481" s="225">
        <f t="shared" si="38"/>
        <v>7.0000000000000007E-2</v>
      </c>
    </row>
    <row r="2482" spans="1:8" x14ac:dyDescent="0.3">
      <c r="A2482" s="400"/>
      <c r="B2482" s="709">
        <v>98761</v>
      </c>
      <c r="C2482" s="710" t="s">
        <v>2525</v>
      </c>
      <c r="D2482" s="709" t="s">
        <v>234</v>
      </c>
      <c r="E2482" s="716">
        <v>0.01</v>
      </c>
      <c r="F2482" s="717">
        <v>0</v>
      </c>
      <c r="G2482">
        <f>VLOOKUP(B2482,'SINAPI-%MO'!B:E,4,0)</f>
        <v>0</v>
      </c>
      <c r="H2482" s="225">
        <f t="shared" si="38"/>
        <v>0.01</v>
      </c>
    </row>
    <row r="2483" spans="1:8" x14ac:dyDescent="0.3">
      <c r="A2483" s="400"/>
      <c r="B2483" s="709">
        <v>98762</v>
      </c>
      <c r="C2483" s="710" t="s">
        <v>2526</v>
      </c>
      <c r="D2483" s="709" t="s">
        <v>234</v>
      </c>
      <c r="E2483" s="716">
        <v>0.09</v>
      </c>
      <c r="F2483" s="717">
        <v>0</v>
      </c>
      <c r="G2483">
        <f>VLOOKUP(B2483,'SINAPI-%MO'!B:E,4,0)</f>
        <v>0</v>
      </c>
      <c r="H2483" s="225">
        <f t="shared" si="38"/>
        <v>0.09</v>
      </c>
    </row>
    <row r="2484" spans="1:8" x14ac:dyDescent="0.3">
      <c r="A2484" s="400"/>
      <c r="B2484" s="709">
        <v>98763</v>
      </c>
      <c r="C2484" s="710" t="s">
        <v>2527</v>
      </c>
      <c r="D2484" s="709" t="s">
        <v>234</v>
      </c>
      <c r="E2484" s="716">
        <v>6.24</v>
      </c>
      <c r="F2484" s="717">
        <v>0</v>
      </c>
      <c r="G2484">
        <f>VLOOKUP(B2484,'SINAPI-%MO'!B:E,4,0)</f>
        <v>0</v>
      </c>
      <c r="H2484" s="225">
        <f t="shared" si="38"/>
        <v>6.24</v>
      </c>
    </row>
    <row r="2485" spans="1:8" x14ac:dyDescent="0.3">
      <c r="A2485" s="400"/>
      <c r="B2485" s="709">
        <v>99829</v>
      </c>
      <c r="C2485" s="710" t="s">
        <v>2528</v>
      </c>
      <c r="D2485" s="709" t="s">
        <v>234</v>
      </c>
      <c r="E2485" s="716">
        <v>0.2</v>
      </c>
      <c r="F2485" s="717">
        <v>0</v>
      </c>
      <c r="G2485">
        <f>VLOOKUP(B2485,'SINAPI-%MO'!B:E,4,0)</f>
        <v>0</v>
      </c>
      <c r="H2485" s="225">
        <f t="shared" si="38"/>
        <v>0.2</v>
      </c>
    </row>
    <row r="2486" spans="1:8" x14ac:dyDescent="0.3">
      <c r="A2486" s="400"/>
      <c r="B2486" s="709">
        <v>99830</v>
      </c>
      <c r="C2486" s="710" t="s">
        <v>2529</v>
      </c>
      <c r="D2486" s="709" t="s">
        <v>234</v>
      </c>
      <c r="E2486" s="716">
        <v>0.04</v>
      </c>
      <c r="F2486" s="717">
        <v>0</v>
      </c>
      <c r="G2486">
        <f>VLOOKUP(B2486,'SINAPI-%MO'!B:E,4,0)</f>
        <v>0</v>
      </c>
      <c r="H2486" s="225">
        <f t="shared" si="38"/>
        <v>0.04</v>
      </c>
    </row>
    <row r="2487" spans="1:8" x14ac:dyDescent="0.3">
      <c r="A2487" s="400"/>
      <c r="B2487" s="709">
        <v>99831</v>
      </c>
      <c r="C2487" s="710" t="s">
        <v>2530</v>
      </c>
      <c r="D2487" s="709" t="s">
        <v>234</v>
      </c>
      <c r="E2487" s="716">
        <v>0.13</v>
      </c>
      <c r="F2487" s="717">
        <v>0</v>
      </c>
      <c r="G2487">
        <f>VLOOKUP(B2487,'SINAPI-%MO'!B:E,4,0)</f>
        <v>0</v>
      </c>
      <c r="H2487" s="225">
        <f t="shared" si="38"/>
        <v>0.13</v>
      </c>
    </row>
    <row r="2488" spans="1:8" x14ac:dyDescent="0.3">
      <c r="A2488" s="400"/>
      <c r="B2488" s="709">
        <v>99832</v>
      </c>
      <c r="C2488" s="710" t="s">
        <v>2531</v>
      </c>
      <c r="D2488" s="709" t="s">
        <v>234</v>
      </c>
      <c r="E2488" s="716">
        <v>4.6399999999999997</v>
      </c>
      <c r="F2488" s="717">
        <v>0</v>
      </c>
      <c r="G2488">
        <f>VLOOKUP(B2488,'SINAPI-%MO'!B:E,4,0)</f>
        <v>0</v>
      </c>
      <c r="H2488" s="225">
        <f t="shared" si="38"/>
        <v>4.6399999999999997</v>
      </c>
    </row>
    <row r="2489" spans="1:8" x14ac:dyDescent="0.3">
      <c r="A2489" s="400"/>
      <c r="B2489" s="709">
        <v>104516</v>
      </c>
      <c r="C2489" s="710" t="s">
        <v>2532</v>
      </c>
      <c r="D2489" s="709" t="s">
        <v>234</v>
      </c>
      <c r="E2489" s="716">
        <v>0</v>
      </c>
      <c r="F2489" s="717"/>
      <c r="G2489" t="e">
        <f>VLOOKUP(B2489,'SINAPI-%MO'!B:E,4,0)</f>
        <v>#N/A</v>
      </c>
      <c r="H2489" s="225" t="str">
        <f t="shared" si="38"/>
        <v/>
      </c>
    </row>
    <row r="2490" spans="1:8" x14ac:dyDescent="0.3">
      <c r="A2490" s="400"/>
      <c r="B2490" s="709">
        <v>104517</v>
      </c>
      <c r="C2490" s="710" t="s">
        <v>2533</v>
      </c>
      <c r="D2490" s="709" t="s">
        <v>234</v>
      </c>
      <c r="E2490" s="716">
        <v>0</v>
      </c>
      <c r="F2490" s="717"/>
      <c r="G2490" t="e">
        <f>VLOOKUP(B2490,'SINAPI-%MO'!B:E,4,0)</f>
        <v>#N/A</v>
      </c>
      <c r="H2490" s="225" t="str">
        <f t="shared" si="38"/>
        <v/>
      </c>
    </row>
    <row r="2491" spans="1:8" x14ac:dyDescent="0.3">
      <c r="A2491" s="400"/>
      <c r="B2491" s="709">
        <v>104518</v>
      </c>
      <c r="C2491" s="710" t="s">
        <v>2534</v>
      </c>
      <c r="D2491" s="709" t="s">
        <v>234</v>
      </c>
      <c r="E2491" s="716">
        <v>0</v>
      </c>
      <c r="F2491" s="717"/>
      <c r="G2491" t="e">
        <f>VLOOKUP(B2491,'SINAPI-%MO'!B:E,4,0)</f>
        <v>#N/A</v>
      </c>
      <c r="H2491" s="225" t="str">
        <f t="shared" si="38"/>
        <v/>
      </c>
    </row>
    <row r="2492" spans="1:8" x14ac:dyDescent="0.3">
      <c r="A2492" s="400"/>
      <c r="B2492" s="709">
        <v>104519</v>
      </c>
      <c r="C2492" s="710" t="s">
        <v>2535</v>
      </c>
      <c r="D2492" s="709" t="s">
        <v>234</v>
      </c>
      <c r="E2492" s="716">
        <v>0.67</v>
      </c>
      <c r="F2492" s="717">
        <v>0</v>
      </c>
      <c r="G2492">
        <f>VLOOKUP(B2492,'SINAPI-%MO'!B:E,4,0)</f>
        <v>0</v>
      </c>
      <c r="H2492" s="225">
        <f t="shared" si="38"/>
        <v>0.67</v>
      </c>
    </row>
    <row r="2493" spans="1:8" x14ac:dyDescent="0.3">
      <c r="A2493" s="400"/>
      <c r="B2493" s="709">
        <v>90682</v>
      </c>
      <c r="C2493" s="710" t="s">
        <v>2536</v>
      </c>
      <c r="D2493" s="709" t="s">
        <v>234</v>
      </c>
      <c r="E2493" s="716">
        <v>37.200000000000003</v>
      </c>
      <c r="F2493" s="717">
        <v>1</v>
      </c>
      <c r="G2493">
        <f>VLOOKUP(B2493,'SINAPI-%MO'!B:E,4,0)</f>
        <v>0</v>
      </c>
      <c r="H2493" s="225">
        <f t="shared" si="38"/>
        <v>37.200000000000003</v>
      </c>
    </row>
    <row r="2494" spans="1:8" x14ac:dyDescent="0.3">
      <c r="A2494" s="400"/>
      <c r="B2494" s="709">
        <v>90683</v>
      </c>
      <c r="C2494" s="710" t="s">
        <v>2537</v>
      </c>
      <c r="D2494" s="709" t="s">
        <v>234</v>
      </c>
      <c r="E2494" s="716">
        <v>8.6</v>
      </c>
      <c r="F2494" s="717">
        <v>1</v>
      </c>
      <c r="G2494">
        <f>VLOOKUP(B2494,'SINAPI-%MO'!B:E,4,0)</f>
        <v>0</v>
      </c>
      <c r="H2494" s="225">
        <f t="shared" si="38"/>
        <v>8.6</v>
      </c>
    </row>
    <row r="2495" spans="1:8" x14ac:dyDescent="0.3">
      <c r="A2495" s="400"/>
      <c r="B2495" s="709">
        <v>90684</v>
      </c>
      <c r="C2495" s="710" t="s">
        <v>2538</v>
      </c>
      <c r="D2495" s="709" t="s">
        <v>234</v>
      </c>
      <c r="E2495" s="716">
        <v>40.69</v>
      </c>
      <c r="F2495" s="717">
        <v>1</v>
      </c>
      <c r="G2495">
        <f>VLOOKUP(B2495,'SINAPI-%MO'!B:E,4,0)</f>
        <v>0</v>
      </c>
      <c r="H2495" s="225">
        <f t="shared" si="38"/>
        <v>40.69</v>
      </c>
    </row>
    <row r="2496" spans="1:8" x14ac:dyDescent="0.3">
      <c r="A2496" s="400"/>
      <c r="B2496" s="709">
        <v>90685</v>
      </c>
      <c r="C2496" s="710" t="s">
        <v>2539</v>
      </c>
      <c r="D2496" s="709" t="s">
        <v>234</v>
      </c>
      <c r="E2496" s="716">
        <v>61.33</v>
      </c>
      <c r="F2496" s="717">
        <v>0</v>
      </c>
      <c r="G2496">
        <f>VLOOKUP(B2496,'SINAPI-%MO'!B:E,4,0)</f>
        <v>0</v>
      </c>
      <c r="H2496" s="225">
        <f t="shared" si="38"/>
        <v>61.33</v>
      </c>
    </row>
    <row r="2497" spans="1:8" x14ac:dyDescent="0.3">
      <c r="A2497" s="400"/>
      <c r="B2497" s="709">
        <v>95114</v>
      </c>
      <c r="C2497" s="710" t="s">
        <v>2540</v>
      </c>
      <c r="D2497" s="709" t="s">
        <v>234</v>
      </c>
      <c r="E2497" s="716">
        <v>0.46</v>
      </c>
      <c r="F2497" s="717">
        <v>0</v>
      </c>
      <c r="G2497">
        <f>VLOOKUP(B2497,'SINAPI-%MO'!B:E,4,0)</f>
        <v>0</v>
      </c>
      <c r="H2497" s="225">
        <f t="shared" si="38"/>
        <v>0.46</v>
      </c>
    </row>
    <row r="2498" spans="1:8" x14ac:dyDescent="0.3">
      <c r="A2498" s="400"/>
      <c r="B2498" s="709">
        <v>95115</v>
      </c>
      <c r="C2498" s="710" t="s">
        <v>2541</v>
      </c>
      <c r="D2498" s="709" t="s">
        <v>234</v>
      </c>
      <c r="E2498" s="716">
        <v>0.1</v>
      </c>
      <c r="F2498" s="717">
        <v>0</v>
      </c>
      <c r="G2498">
        <f>VLOOKUP(B2498,'SINAPI-%MO'!B:E,4,0)</f>
        <v>0</v>
      </c>
      <c r="H2498" s="225">
        <f t="shared" si="38"/>
        <v>0.1</v>
      </c>
    </row>
    <row r="2499" spans="1:8" x14ac:dyDescent="0.3">
      <c r="A2499" s="400"/>
      <c r="B2499" s="709">
        <v>53863</v>
      </c>
      <c r="C2499" s="710" t="s">
        <v>2542</v>
      </c>
      <c r="D2499" s="709" t="s">
        <v>234</v>
      </c>
      <c r="E2499" s="716">
        <v>0.57999999999999996</v>
      </c>
      <c r="F2499" s="717">
        <v>0</v>
      </c>
      <c r="G2499">
        <f>VLOOKUP(B2499,'SINAPI-%MO'!B:E,4,0)</f>
        <v>0</v>
      </c>
      <c r="H2499" s="225">
        <f t="shared" si="38"/>
        <v>0.57999999999999996</v>
      </c>
    </row>
    <row r="2500" spans="1:8" x14ac:dyDescent="0.3">
      <c r="A2500" s="400"/>
      <c r="B2500" s="709">
        <v>104652</v>
      </c>
      <c r="C2500" s="710" t="s">
        <v>2543</v>
      </c>
      <c r="D2500" s="709" t="s">
        <v>234</v>
      </c>
      <c r="E2500" s="716">
        <v>0</v>
      </c>
      <c r="F2500" s="717"/>
      <c r="G2500" t="e">
        <f>VLOOKUP(B2500,'SINAPI-%MO'!B:E,4,0)</f>
        <v>#N/A</v>
      </c>
      <c r="H2500" s="225" t="str">
        <f t="shared" si="38"/>
        <v/>
      </c>
    </row>
    <row r="2501" spans="1:8" x14ac:dyDescent="0.3">
      <c r="A2501" s="400"/>
      <c r="B2501" s="709">
        <v>104653</v>
      </c>
      <c r="C2501" s="710" t="s">
        <v>2544</v>
      </c>
      <c r="D2501" s="709" t="s">
        <v>234</v>
      </c>
      <c r="E2501" s="716">
        <v>0</v>
      </c>
      <c r="F2501" s="717"/>
      <c r="G2501" t="e">
        <f>VLOOKUP(B2501,'SINAPI-%MO'!B:E,4,0)</f>
        <v>#N/A</v>
      </c>
      <c r="H2501" s="225" t="str">
        <f t="shared" si="38"/>
        <v/>
      </c>
    </row>
    <row r="2502" spans="1:8" x14ac:dyDescent="0.3">
      <c r="A2502" s="400"/>
      <c r="B2502" s="709">
        <v>104654</v>
      </c>
      <c r="C2502" s="710" t="s">
        <v>2545</v>
      </c>
      <c r="D2502" s="709" t="s">
        <v>234</v>
      </c>
      <c r="E2502" s="716">
        <v>0</v>
      </c>
      <c r="F2502" s="717"/>
      <c r="G2502" t="e">
        <f>VLOOKUP(B2502,'SINAPI-%MO'!B:E,4,0)</f>
        <v>#N/A</v>
      </c>
      <c r="H2502" s="225" t="str">
        <f t="shared" si="38"/>
        <v/>
      </c>
    </row>
    <row r="2503" spans="1:8" x14ac:dyDescent="0.3">
      <c r="A2503" s="400"/>
      <c r="B2503" s="709">
        <v>104655</v>
      </c>
      <c r="C2503" s="710" t="s">
        <v>2546</v>
      </c>
      <c r="D2503" s="709" t="s">
        <v>234</v>
      </c>
      <c r="E2503" s="716">
        <v>0.71</v>
      </c>
      <c r="F2503" s="717">
        <v>0</v>
      </c>
      <c r="G2503">
        <f>VLOOKUP(B2503,'SINAPI-%MO'!B:E,4,0)</f>
        <v>0</v>
      </c>
      <c r="H2503" s="225">
        <f t="shared" si="38"/>
        <v>0.71</v>
      </c>
    </row>
    <row r="2504" spans="1:8" x14ac:dyDescent="0.3">
      <c r="A2504" s="400"/>
      <c r="B2504" s="709">
        <v>102270</v>
      </c>
      <c r="C2504" s="710" t="s">
        <v>2547</v>
      </c>
      <c r="D2504" s="709" t="s">
        <v>234</v>
      </c>
      <c r="E2504" s="716">
        <v>0.79</v>
      </c>
      <c r="F2504" s="717">
        <v>0</v>
      </c>
      <c r="G2504">
        <f>VLOOKUP(B2504,'SINAPI-%MO'!B:E,4,0)</f>
        <v>0</v>
      </c>
      <c r="H2504" s="225">
        <f t="shared" si="38"/>
        <v>0.79</v>
      </c>
    </row>
    <row r="2505" spans="1:8" x14ac:dyDescent="0.3">
      <c r="A2505" s="400"/>
      <c r="B2505" s="709">
        <v>102271</v>
      </c>
      <c r="C2505" s="710" t="s">
        <v>2548</v>
      </c>
      <c r="D2505" s="709" t="s">
        <v>234</v>
      </c>
      <c r="E2505" s="716">
        <v>0.18</v>
      </c>
      <c r="F2505" s="717">
        <v>0</v>
      </c>
      <c r="G2505">
        <f>VLOOKUP(B2505,'SINAPI-%MO'!B:E,4,0)</f>
        <v>0</v>
      </c>
      <c r="H2505" s="225">
        <f t="shared" si="38"/>
        <v>0.18</v>
      </c>
    </row>
    <row r="2506" spans="1:8" x14ac:dyDescent="0.3">
      <c r="A2506" s="400"/>
      <c r="B2506" s="709">
        <v>102272</v>
      </c>
      <c r="C2506" s="710" t="s">
        <v>2549</v>
      </c>
      <c r="D2506" s="709" t="s">
        <v>234</v>
      </c>
      <c r="E2506" s="716">
        <v>0.99</v>
      </c>
      <c r="F2506" s="717">
        <v>0</v>
      </c>
      <c r="G2506">
        <f>VLOOKUP(B2506,'SINAPI-%MO'!B:E,4,0)</f>
        <v>0</v>
      </c>
      <c r="H2506" s="225">
        <f t="shared" si="38"/>
        <v>0.99</v>
      </c>
    </row>
    <row r="2507" spans="1:8" x14ac:dyDescent="0.3">
      <c r="A2507" s="400"/>
      <c r="B2507" s="709">
        <v>102273</v>
      </c>
      <c r="C2507" s="710" t="s">
        <v>2550</v>
      </c>
      <c r="D2507" s="709" t="s">
        <v>234</v>
      </c>
      <c r="E2507" s="716">
        <v>1.78</v>
      </c>
      <c r="F2507" s="717">
        <v>0</v>
      </c>
      <c r="G2507">
        <f>VLOOKUP(B2507,'SINAPI-%MO'!B:E,4,0)</f>
        <v>0</v>
      </c>
      <c r="H2507" s="225">
        <f t="shared" ref="H2507:H2570" si="39">IF(E2507&gt;0,TRUNC(E2507*(1-G2507),2),"")</f>
        <v>1.78</v>
      </c>
    </row>
    <row r="2508" spans="1:8" x14ac:dyDescent="0.3">
      <c r="A2508" s="400"/>
      <c r="B2508" s="709">
        <v>95255</v>
      </c>
      <c r="C2508" s="710" t="s">
        <v>2551</v>
      </c>
      <c r="D2508" s="709" t="s">
        <v>234</v>
      </c>
      <c r="E2508" s="716">
        <v>0.94</v>
      </c>
      <c r="F2508" s="717">
        <v>0</v>
      </c>
      <c r="G2508">
        <f>VLOOKUP(B2508,'SINAPI-%MO'!B:E,4,0)</f>
        <v>0</v>
      </c>
      <c r="H2508" s="225">
        <f t="shared" si="39"/>
        <v>0.94</v>
      </c>
    </row>
    <row r="2509" spans="1:8" x14ac:dyDescent="0.3">
      <c r="A2509" s="400"/>
      <c r="B2509" s="709">
        <v>95256</v>
      </c>
      <c r="C2509" s="710" t="s">
        <v>2552</v>
      </c>
      <c r="D2509" s="709" t="s">
        <v>234</v>
      </c>
      <c r="E2509" s="716">
        <v>0.21</v>
      </c>
      <c r="F2509" s="717">
        <v>0</v>
      </c>
      <c r="G2509">
        <f>VLOOKUP(B2509,'SINAPI-%MO'!B:E,4,0)</f>
        <v>0</v>
      </c>
      <c r="H2509" s="225">
        <f t="shared" si="39"/>
        <v>0.21</v>
      </c>
    </row>
    <row r="2510" spans="1:8" x14ac:dyDescent="0.3">
      <c r="A2510" s="400"/>
      <c r="B2510" s="709">
        <v>95257</v>
      </c>
      <c r="C2510" s="710" t="s">
        <v>2553</v>
      </c>
      <c r="D2510" s="709" t="s">
        <v>234</v>
      </c>
      <c r="E2510" s="716">
        <v>1.18</v>
      </c>
      <c r="F2510" s="717">
        <v>0</v>
      </c>
      <c r="G2510">
        <f>VLOOKUP(B2510,'SINAPI-%MO'!B:E,4,0)</f>
        <v>0</v>
      </c>
      <c r="H2510" s="225">
        <f t="shared" si="39"/>
        <v>1.18</v>
      </c>
    </row>
    <row r="2511" spans="1:8" x14ac:dyDescent="0.3">
      <c r="A2511" s="400"/>
      <c r="B2511" s="709">
        <v>105913</v>
      </c>
      <c r="C2511" s="710" t="s">
        <v>2554</v>
      </c>
      <c r="D2511" s="709" t="s">
        <v>234</v>
      </c>
      <c r="E2511" s="716">
        <v>0.8</v>
      </c>
      <c r="F2511" s="717">
        <v>0</v>
      </c>
      <c r="G2511">
        <f>VLOOKUP(B2511,'SINAPI-%MO'!B:E,4,0)</f>
        <v>0</v>
      </c>
      <c r="H2511" s="225">
        <f t="shared" si="39"/>
        <v>0.8</v>
      </c>
    </row>
    <row r="2512" spans="1:8" x14ac:dyDescent="0.3">
      <c r="A2512" s="400"/>
      <c r="B2512" s="709">
        <v>105914</v>
      </c>
      <c r="C2512" s="710" t="s">
        <v>2555</v>
      </c>
      <c r="D2512" s="709" t="s">
        <v>234</v>
      </c>
      <c r="E2512" s="716">
        <v>0.18</v>
      </c>
      <c r="F2512" s="717">
        <v>0</v>
      </c>
      <c r="G2512">
        <f>VLOOKUP(B2512,'SINAPI-%MO'!B:E,4,0)</f>
        <v>0</v>
      </c>
      <c r="H2512" s="225">
        <f t="shared" si="39"/>
        <v>0.18</v>
      </c>
    </row>
    <row r="2513" spans="1:8" x14ac:dyDescent="0.3">
      <c r="A2513" s="400"/>
      <c r="B2513" s="709">
        <v>105915</v>
      </c>
      <c r="C2513" s="710" t="s">
        <v>2556</v>
      </c>
      <c r="D2513" s="709" t="s">
        <v>234</v>
      </c>
      <c r="E2513" s="716">
        <v>1</v>
      </c>
      <c r="F2513" s="717">
        <v>0</v>
      </c>
      <c r="G2513">
        <f>VLOOKUP(B2513,'SINAPI-%MO'!B:E,4,0)</f>
        <v>0</v>
      </c>
      <c r="H2513" s="225">
        <f t="shared" si="39"/>
        <v>1</v>
      </c>
    </row>
    <row r="2514" spans="1:8" x14ac:dyDescent="0.3">
      <c r="A2514" s="400"/>
      <c r="B2514" s="709">
        <v>103792</v>
      </c>
      <c r="C2514" s="710" t="s">
        <v>2557</v>
      </c>
      <c r="D2514" s="709" t="s">
        <v>234</v>
      </c>
      <c r="E2514" s="716">
        <v>4.91</v>
      </c>
      <c r="F2514" s="717">
        <v>0</v>
      </c>
      <c r="G2514">
        <f>VLOOKUP(B2514,'SINAPI-%MO'!B:E,4,0)</f>
        <v>0</v>
      </c>
      <c r="H2514" s="225">
        <f t="shared" si="39"/>
        <v>4.91</v>
      </c>
    </row>
    <row r="2515" spans="1:8" x14ac:dyDescent="0.3">
      <c r="A2515" s="400"/>
      <c r="B2515" s="709">
        <v>103789</v>
      </c>
      <c r="C2515" s="710" t="s">
        <v>2558</v>
      </c>
      <c r="D2515" s="709" t="s">
        <v>234</v>
      </c>
      <c r="E2515" s="716">
        <v>0</v>
      </c>
      <c r="F2515" s="717"/>
      <c r="G2515" t="e">
        <f>VLOOKUP(B2515,'SINAPI-%MO'!B:E,4,0)</f>
        <v>#N/A</v>
      </c>
      <c r="H2515" s="225" t="str">
        <f t="shared" si="39"/>
        <v/>
      </c>
    </row>
    <row r="2516" spans="1:8" x14ac:dyDescent="0.3">
      <c r="A2516" s="400"/>
      <c r="B2516" s="709">
        <v>103790</v>
      </c>
      <c r="C2516" s="710" t="s">
        <v>2559</v>
      </c>
      <c r="D2516" s="709" t="s">
        <v>234</v>
      </c>
      <c r="E2516" s="716">
        <v>0</v>
      </c>
      <c r="F2516" s="717"/>
      <c r="G2516" t="e">
        <f>VLOOKUP(B2516,'SINAPI-%MO'!B:E,4,0)</f>
        <v>#N/A</v>
      </c>
      <c r="H2516" s="225" t="str">
        <f t="shared" si="39"/>
        <v/>
      </c>
    </row>
    <row r="2517" spans="1:8" x14ac:dyDescent="0.3">
      <c r="A2517" s="400"/>
      <c r="B2517" s="709">
        <v>103791</v>
      </c>
      <c r="C2517" s="710" t="s">
        <v>2560</v>
      </c>
      <c r="D2517" s="709" t="s">
        <v>234</v>
      </c>
      <c r="E2517" s="716">
        <v>0</v>
      </c>
      <c r="F2517" s="717"/>
      <c r="G2517" t="e">
        <f>VLOOKUP(B2517,'SINAPI-%MO'!B:E,4,0)</f>
        <v>#N/A</v>
      </c>
      <c r="H2517" s="225" t="str">
        <f t="shared" si="39"/>
        <v/>
      </c>
    </row>
    <row r="2518" spans="1:8" x14ac:dyDescent="0.3">
      <c r="A2518" s="400"/>
      <c r="B2518" s="709">
        <v>96054</v>
      </c>
      <c r="C2518" s="710" t="s">
        <v>2561</v>
      </c>
      <c r="D2518" s="709" t="s">
        <v>234</v>
      </c>
      <c r="E2518" s="716">
        <v>30.52</v>
      </c>
      <c r="F2518" s="717">
        <v>0</v>
      </c>
      <c r="G2518">
        <f>VLOOKUP(B2518,'SINAPI-%MO'!B:E,4,0)</f>
        <v>0</v>
      </c>
      <c r="H2518" s="225">
        <f t="shared" si="39"/>
        <v>30.52</v>
      </c>
    </row>
    <row r="2519" spans="1:8" x14ac:dyDescent="0.3">
      <c r="A2519" s="400"/>
      <c r="B2519" s="709">
        <v>96060</v>
      </c>
      <c r="C2519" s="710" t="s">
        <v>2562</v>
      </c>
      <c r="D2519" s="709" t="s">
        <v>234</v>
      </c>
      <c r="E2519" s="716">
        <v>6.35</v>
      </c>
      <c r="F2519" s="717">
        <v>0</v>
      </c>
      <c r="G2519">
        <f>VLOOKUP(B2519,'SINAPI-%MO'!B:E,4,0)</f>
        <v>0</v>
      </c>
      <c r="H2519" s="225">
        <f t="shared" si="39"/>
        <v>6.35</v>
      </c>
    </row>
    <row r="2520" spans="1:8" x14ac:dyDescent="0.3">
      <c r="A2520" s="400"/>
      <c r="B2520" s="709">
        <v>96061</v>
      </c>
      <c r="C2520" s="710" t="s">
        <v>2563</v>
      </c>
      <c r="D2520" s="709" t="s">
        <v>234</v>
      </c>
      <c r="E2520" s="716">
        <v>38.159999999999997</v>
      </c>
      <c r="F2520" s="717">
        <v>0</v>
      </c>
      <c r="G2520">
        <f>VLOOKUP(B2520,'SINAPI-%MO'!B:E,4,0)</f>
        <v>0</v>
      </c>
      <c r="H2520" s="225">
        <f t="shared" si="39"/>
        <v>38.159999999999997</v>
      </c>
    </row>
    <row r="2521" spans="1:8" x14ac:dyDescent="0.3">
      <c r="A2521" s="400"/>
      <c r="B2521" s="709">
        <v>96062</v>
      </c>
      <c r="C2521" s="710" t="s">
        <v>2564</v>
      </c>
      <c r="D2521" s="709" t="s">
        <v>234</v>
      </c>
      <c r="E2521" s="716">
        <v>42.95</v>
      </c>
      <c r="F2521" s="717">
        <v>0</v>
      </c>
      <c r="G2521">
        <f>VLOOKUP(B2521,'SINAPI-%MO'!B:E,4,0)</f>
        <v>0</v>
      </c>
      <c r="H2521" s="225">
        <f t="shared" si="39"/>
        <v>42.95</v>
      </c>
    </row>
    <row r="2522" spans="1:8" x14ac:dyDescent="0.3">
      <c r="A2522" s="400"/>
      <c r="B2522" s="709">
        <v>90688</v>
      </c>
      <c r="C2522" s="710" t="s">
        <v>2565</v>
      </c>
      <c r="D2522" s="709" t="s">
        <v>234</v>
      </c>
      <c r="E2522" s="716">
        <v>25.68</v>
      </c>
      <c r="F2522" s="717">
        <v>0</v>
      </c>
      <c r="G2522">
        <f>VLOOKUP(B2522,'SINAPI-%MO'!B:E,4,0)</f>
        <v>0</v>
      </c>
      <c r="H2522" s="225">
        <f t="shared" si="39"/>
        <v>25.68</v>
      </c>
    </row>
    <row r="2523" spans="1:8" x14ac:dyDescent="0.3">
      <c r="A2523" s="400"/>
      <c r="B2523" s="709">
        <v>90689</v>
      </c>
      <c r="C2523" s="710" t="s">
        <v>2566</v>
      </c>
      <c r="D2523" s="709" t="s">
        <v>234</v>
      </c>
      <c r="E2523" s="716">
        <v>5.07</v>
      </c>
      <c r="F2523" s="717">
        <v>0</v>
      </c>
      <c r="G2523">
        <f>VLOOKUP(B2523,'SINAPI-%MO'!B:E,4,0)</f>
        <v>0</v>
      </c>
      <c r="H2523" s="225">
        <f t="shared" si="39"/>
        <v>5.07</v>
      </c>
    </row>
    <row r="2524" spans="1:8" x14ac:dyDescent="0.3">
      <c r="A2524" s="400"/>
      <c r="B2524" s="709">
        <v>90690</v>
      </c>
      <c r="C2524" s="710" t="s">
        <v>2567</v>
      </c>
      <c r="D2524" s="709" t="s">
        <v>234</v>
      </c>
      <c r="E2524" s="716">
        <v>32.1</v>
      </c>
      <c r="F2524" s="717">
        <v>0</v>
      </c>
      <c r="G2524">
        <f>VLOOKUP(B2524,'SINAPI-%MO'!B:E,4,0)</f>
        <v>0</v>
      </c>
      <c r="H2524" s="225">
        <f t="shared" si="39"/>
        <v>32.1</v>
      </c>
    </row>
    <row r="2525" spans="1:8" x14ac:dyDescent="0.3">
      <c r="A2525" s="400"/>
      <c r="B2525" s="709">
        <v>90691</v>
      </c>
      <c r="C2525" s="710" t="s">
        <v>2568</v>
      </c>
      <c r="D2525" s="709" t="s">
        <v>234</v>
      </c>
      <c r="E2525" s="716">
        <v>42.95</v>
      </c>
      <c r="F2525" s="717">
        <v>0</v>
      </c>
      <c r="G2525">
        <f>VLOOKUP(B2525,'SINAPI-%MO'!B:E,4,0)</f>
        <v>0</v>
      </c>
      <c r="H2525" s="225">
        <f t="shared" si="39"/>
        <v>42.95</v>
      </c>
    </row>
    <row r="2526" spans="1:8" x14ac:dyDescent="0.3">
      <c r="A2526" s="400"/>
      <c r="B2526" s="709">
        <v>96241</v>
      </c>
      <c r="C2526" s="710" t="s">
        <v>2569</v>
      </c>
      <c r="D2526" s="709" t="s">
        <v>234</v>
      </c>
      <c r="E2526" s="716">
        <v>27.28</v>
      </c>
      <c r="F2526" s="717">
        <v>0</v>
      </c>
      <c r="G2526">
        <f>VLOOKUP(B2526,'SINAPI-%MO'!B:E,4,0)</f>
        <v>0</v>
      </c>
      <c r="H2526" s="225">
        <f t="shared" si="39"/>
        <v>27.28</v>
      </c>
    </row>
    <row r="2527" spans="1:8" x14ac:dyDescent="0.3">
      <c r="A2527" s="400"/>
      <c r="B2527" s="709">
        <v>96242</v>
      </c>
      <c r="C2527" s="710" t="s">
        <v>2570</v>
      </c>
      <c r="D2527" s="709" t="s">
        <v>234</v>
      </c>
      <c r="E2527" s="716">
        <v>7.21</v>
      </c>
      <c r="F2527" s="717">
        <v>0</v>
      </c>
      <c r="G2527">
        <f>VLOOKUP(B2527,'SINAPI-%MO'!B:E,4,0)</f>
        <v>0</v>
      </c>
      <c r="H2527" s="225">
        <f t="shared" si="39"/>
        <v>7.21</v>
      </c>
    </row>
    <row r="2528" spans="1:8" x14ac:dyDescent="0.3">
      <c r="A2528" s="400"/>
      <c r="B2528" s="709">
        <v>96243</v>
      </c>
      <c r="C2528" s="710" t="s">
        <v>2571</v>
      </c>
      <c r="D2528" s="709" t="s">
        <v>234</v>
      </c>
      <c r="E2528" s="716">
        <v>34.1</v>
      </c>
      <c r="F2528" s="717">
        <v>0</v>
      </c>
      <c r="G2528">
        <f>VLOOKUP(B2528,'SINAPI-%MO'!B:E,4,0)</f>
        <v>0</v>
      </c>
      <c r="H2528" s="225">
        <f t="shared" si="39"/>
        <v>34.1</v>
      </c>
    </row>
    <row r="2529" spans="1:8" x14ac:dyDescent="0.3">
      <c r="A2529" s="400"/>
      <c r="B2529" s="709">
        <v>96244</v>
      </c>
      <c r="C2529" s="710" t="s">
        <v>2572</v>
      </c>
      <c r="D2529" s="709" t="s">
        <v>234</v>
      </c>
      <c r="E2529" s="716">
        <v>18.760000000000002</v>
      </c>
      <c r="F2529" s="717">
        <v>0</v>
      </c>
      <c r="G2529">
        <f>VLOOKUP(B2529,'SINAPI-%MO'!B:E,4,0)</f>
        <v>0</v>
      </c>
      <c r="H2529" s="225">
        <f t="shared" si="39"/>
        <v>18.760000000000002</v>
      </c>
    </row>
    <row r="2530" spans="1:8" x14ac:dyDescent="0.3">
      <c r="A2530" s="400"/>
      <c r="B2530" s="709">
        <v>88400</v>
      </c>
      <c r="C2530" s="710" t="s">
        <v>2573</v>
      </c>
      <c r="D2530" s="709" t="s">
        <v>234</v>
      </c>
      <c r="E2530" s="716">
        <v>0.78</v>
      </c>
      <c r="F2530" s="717">
        <v>0</v>
      </c>
      <c r="G2530">
        <f>VLOOKUP(B2530,'SINAPI-%MO'!B:E,4,0)</f>
        <v>0</v>
      </c>
      <c r="H2530" s="225">
        <f t="shared" si="39"/>
        <v>0.78</v>
      </c>
    </row>
    <row r="2531" spans="1:8" x14ac:dyDescent="0.3">
      <c r="A2531" s="400"/>
      <c r="B2531" s="709">
        <v>88401</v>
      </c>
      <c r="C2531" s="710" t="s">
        <v>2574</v>
      </c>
      <c r="D2531" s="709" t="s">
        <v>234</v>
      </c>
      <c r="E2531" s="716">
        <v>0.18</v>
      </c>
      <c r="F2531" s="717">
        <v>0</v>
      </c>
      <c r="G2531">
        <f>VLOOKUP(B2531,'SINAPI-%MO'!B:E,4,0)</f>
        <v>0</v>
      </c>
      <c r="H2531" s="225">
        <f t="shared" si="39"/>
        <v>0.18</v>
      </c>
    </row>
    <row r="2532" spans="1:8" x14ac:dyDescent="0.3">
      <c r="A2532" s="400"/>
      <c r="B2532" s="709">
        <v>88402</v>
      </c>
      <c r="C2532" s="710" t="s">
        <v>2575</v>
      </c>
      <c r="D2532" s="709" t="s">
        <v>234</v>
      </c>
      <c r="E2532" s="716">
        <v>0.85</v>
      </c>
      <c r="F2532" s="717">
        <v>0</v>
      </c>
      <c r="G2532">
        <f>VLOOKUP(B2532,'SINAPI-%MO'!B:E,4,0)</f>
        <v>0</v>
      </c>
      <c r="H2532" s="225">
        <f t="shared" si="39"/>
        <v>0.85</v>
      </c>
    </row>
    <row r="2533" spans="1:8" x14ac:dyDescent="0.3">
      <c r="A2533" s="400"/>
      <c r="B2533" s="709">
        <v>88403</v>
      </c>
      <c r="C2533" s="710" t="s">
        <v>2576</v>
      </c>
      <c r="D2533" s="709" t="s">
        <v>234</v>
      </c>
      <c r="E2533" s="716">
        <v>1.97</v>
      </c>
      <c r="F2533" s="717">
        <v>0</v>
      </c>
      <c r="G2533">
        <f>VLOOKUP(B2533,'SINAPI-%MO'!B:E,4,0)</f>
        <v>0</v>
      </c>
      <c r="H2533" s="225">
        <f t="shared" si="39"/>
        <v>1.97</v>
      </c>
    </row>
    <row r="2534" spans="1:8" x14ac:dyDescent="0.3">
      <c r="A2534" s="400"/>
      <c r="B2534" s="709">
        <v>88387</v>
      </c>
      <c r="C2534" s="710" t="s">
        <v>2577</v>
      </c>
      <c r="D2534" s="709" t="s">
        <v>234</v>
      </c>
      <c r="E2534" s="716">
        <v>0.82</v>
      </c>
      <c r="F2534" s="717">
        <v>0</v>
      </c>
      <c r="G2534">
        <f>VLOOKUP(B2534,'SINAPI-%MO'!B:E,4,0)</f>
        <v>0</v>
      </c>
      <c r="H2534" s="225">
        <f t="shared" si="39"/>
        <v>0.82</v>
      </c>
    </row>
    <row r="2535" spans="1:8" x14ac:dyDescent="0.3">
      <c r="A2535" s="400"/>
      <c r="B2535" s="709">
        <v>88389</v>
      </c>
      <c r="C2535" s="710" t="s">
        <v>2578</v>
      </c>
      <c r="D2535" s="709" t="s">
        <v>234</v>
      </c>
      <c r="E2535" s="716">
        <v>0.19</v>
      </c>
      <c r="F2535" s="717">
        <v>0</v>
      </c>
      <c r="G2535">
        <f>VLOOKUP(B2535,'SINAPI-%MO'!B:E,4,0)</f>
        <v>0</v>
      </c>
      <c r="H2535" s="225">
        <f t="shared" si="39"/>
        <v>0.19</v>
      </c>
    </row>
    <row r="2536" spans="1:8" x14ac:dyDescent="0.3">
      <c r="A2536" s="400"/>
      <c r="B2536" s="709">
        <v>88390</v>
      </c>
      <c r="C2536" s="710" t="s">
        <v>2579</v>
      </c>
      <c r="D2536" s="709" t="s">
        <v>234</v>
      </c>
      <c r="E2536" s="716">
        <v>0.9</v>
      </c>
      <c r="F2536" s="717">
        <v>0</v>
      </c>
      <c r="G2536">
        <f>VLOOKUP(B2536,'SINAPI-%MO'!B:E,4,0)</f>
        <v>0</v>
      </c>
      <c r="H2536" s="225">
        <f t="shared" si="39"/>
        <v>0.9</v>
      </c>
    </row>
    <row r="2537" spans="1:8" x14ac:dyDescent="0.3">
      <c r="A2537" s="400"/>
      <c r="B2537" s="709">
        <v>88391</v>
      </c>
      <c r="C2537" s="710" t="s">
        <v>2580</v>
      </c>
      <c r="D2537" s="709" t="s">
        <v>234</v>
      </c>
      <c r="E2537" s="716">
        <v>3.28</v>
      </c>
      <c r="F2537" s="717">
        <v>0</v>
      </c>
      <c r="G2537">
        <f>VLOOKUP(B2537,'SINAPI-%MO'!B:E,4,0)</f>
        <v>0</v>
      </c>
      <c r="H2537" s="225">
        <f t="shared" si="39"/>
        <v>3.28</v>
      </c>
    </row>
    <row r="2538" spans="1:8" x14ac:dyDescent="0.3">
      <c r="A2538" s="400"/>
      <c r="B2538" s="709">
        <v>88394</v>
      </c>
      <c r="C2538" s="710" t="s">
        <v>2581</v>
      </c>
      <c r="D2538" s="709" t="s">
        <v>234</v>
      </c>
      <c r="E2538" s="716">
        <v>0.98</v>
      </c>
      <c r="F2538" s="717">
        <v>0</v>
      </c>
      <c r="G2538">
        <f>VLOOKUP(B2538,'SINAPI-%MO'!B:E,4,0)</f>
        <v>0</v>
      </c>
      <c r="H2538" s="225">
        <f t="shared" si="39"/>
        <v>0.98</v>
      </c>
    </row>
    <row r="2539" spans="1:8" x14ac:dyDescent="0.3">
      <c r="A2539" s="400"/>
      <c r="B2539" s="709">
        <v>88395</v>
      </c>
      <c r="C2539" s="710" t="s">
        <v>2582</v>
      </c>
      <c r="D2539" s="709" t="s">
        <v>234</v>
      </c>
      <c r="E2539" s="716">
        <v>0.22</v>
      </c>
      <c r="F2539" s="717">
        <v>0</v>
      </c>
      <c r="G2539">
        <f>VLOOKUP(B2539,'SINAPI-%MO'!B:E,4,0)</f>
        <v>0</v>
      </c>
      <c r="H2539" s="225">
        <f t="shared" si="39"/>
        <v>0.22</v>
      </c>
    </row>
    <row r="2540" spans="1:8" x14ac:dyDescent="0.3">
      <c r="A2540" s="400"/>
      <c r="B2540" s="709">
        <v>88396</v>
      </c>
      <c r="C2540" s="710" t="s">
        <v>2583</v>
      </c>
      <c r="D2540" s="709" t="s">
        <v>234</v>
      </c>
      <c r="E2540" s="716">
        <v>1.07</v>
      </c>
      <c r="F2540" s="717">
        <v>0</v>
      </c>
      <c r="G2540">
        <f>VLOOKUP(B2540,'SINAPI-%MO'!B:E,4,0)</f>
        <v>0</v>
      </c>
      <c r="H2540" s="225">
        <f t="shared" si="39"/>
        <v>1.07</v>
      </c>
    </row>
    <row r="2541" spans="1:8" x14ac:dyDescent="0.3">
      <c r="A2541" s="400"/>
      <c r="B2541" s="709">
        <v>88397</v>
      </c>
      <c r="C2541" s="710" t="s">
        <v>2584</v>
      </c>
      <c r="D2541" s="709" t="s">
        <v>234</v>
      </c>
      <c r="E2541" s="716">
        <v>4.92</v>
      </c>
      <c r="F2541" s="717">
        <v>0</v>
      </c>
      <c r="G2541">
        <f>VLOOKUP(B2541,'SINAPI-%MO'!B:E,4,0)</f>
        <v>0</v>
      </c>
      <c r="H2541" s="225">
        <f t="shared" si="39"/>
        <v>4.92</v>
      </c>
    </row>
    <row r="2542" spans="1:8" x14ac:dyDescent="0.3">
      <c r="A2542" s="400"/>
      <c r="B2542" s="709">
        <v>90633</v>
      </c>
      <c r="C2542" s="710" t="s">
        <v>2585</v>
      </c>
      <c r="D2542" s="709" t="s">
        <v>234</v>
      </c>
      <c r="E2542" s="716">
        <v>3.92</v>
      </c>
      <c r="F2542" s="717">
        <v>0</v>
      </c>
      <c r="G2542">
        <f>VLOOKUP(B2542,'SINAPI-%MO'!B:E,4,0)</f>
        <v>0</v>
      </c>
      <c r="H2542" s="225">
        <f t="shared" si="39"/>
        <v>3.92</v>
      </c>
    </row>
    <row r="2543" spans="1:8" x14ac:dyDescent="0.3">
      <c r="A2543" s="400"/>
      <c r="B2543" s="709">
        <v>90634</v>
      </c>
      <c r="C2543" s="710" t="s">
        <v>2586</v>
      </c>
      <c r="D2543" s="709" t="s">
        <v>234</v>
      </c>
      <c r="E2543" s="716">
        <v>0.9</v>
      </c>
      <c r="F2543" s="717">
        <v>0</v>
      </c>
      <c r="G2543">
        <f>VLOOKUP(B2543,'SINAPI-%MO'!B:E,4,0)</f>
        <v>0</v>
      </c>
      <c r="H2543" s="225">
        <f t="shared" si="39"/>
        <v>0.9</v>
      </c>
    </row>
    <row r="2544" spans="1:8" x14ac:dyDescent="0.3">
      <c r="A2544" s="400"/>
      <c r="B2544" s="709">
        <v>90635</v>
      </c>
      <c r="C2544" s="710" t="s">
        <v>2587</v>
      </c>
      <c r="D2544" s="709" t="s">
        <v>234</v>
      </c>
      <c r="E2544" s="716">
        <v>4.29</v>
      </c>
      <c r="F2544" s="717">
        <v>0</v>
      </c>
      <c r="G2544">
        <f>VLOOKUP(B2544,'SINAPI-%MO'!B:E,4,0)</f>
        <v>0</v>
      </c>
      <c r="H2544" s="225">
        <f t="shared" si="39"/>
        <v>4.29</v>
      </c>
    </row>
    <row r="2545" spans="1:8" x14ac:dyDescent="0.3">
      <c r="A2545" s="400"/>
      <c r="B2545" s="709">
        <v>90636</v>
      </c>
      <c r="C2545" s="710" t="s">
        <v>2588</v>
      </c>
      <c r="D2545" s="709" t="s">
        <v>234</v>
      </c>
      <c r="E2545" s="716">
        <v>6.57</v>
      </c>
      <c r="F2545" s="717">
        <v>0</v>
      </c>
      <c r="G2545">
        <f>VLOOKUP(B2545,'SINAPI-%MO'!B:E,4,0)</f>
        <v>0</v>
      </c>
      <c r="H2545" s="225">
        <f t="shared" si="39"/>
        <v>6.57</v>
      </c>
    </row>
    <row r="2546" spans="1:8" x14ac:dyDescent="0.3">
      <c r="A2546" s="400"/>
      <c r="B2546" s="709">
        <v>103238</v>
      </c>
      <c r="C2546" s="710" t="s">
        <v>2589</v>
      </c>
      <c r="D2546" s="709" t="s">
        <v>234</v>
      </c>
      <c r="E2546" s="716">
        <v>0</v>
      </c>
      <c r="F2546" s="717"/>
      <c r="G2546" t="e">
        <f>VLOOKUP(B2546,'SINAPI-%MO'!B:E,4,0)</f>
        <v>#N/A</v>
      </c>
      <c r="H2546" s="225" t="str">
        <f t="shared" si="39"/>
        <v/>
      </c>
    </row>
    <row r="2547" spans="1:8" x14ac:dyDescent="0.3">
      <c r="A2547" s="400"/>
      <c r="B2547" s="709">
        <v>103239</v>
      </c>
      <c r="C2547" s="710" t="s">
        <v>2590</v>
      </c>
      <c r="D2547" s="709" t="s">
        <v>234</v>
      </c>
      <c r="E2547" s="716">
        <v>0</v>
      </c>
      <c r="F2547" s="717"/>
      <c r="G2547" t="e">
        <f>VLOOKUP(B2547,'SINAPI-%MO'!B:E,4,0)</f>
        <v>#N/A</v>
      </c>
      <c r="H2547" s="225" t="str">
        <f t="shared" si="39"/>
        <v/>
      </c>
    </row>
    <row r="2548" spans="1:8" x14ac:dyDescent="0.3">
      <c r="A2548" s="400"/>
      <c r="B2548" s="709">
        <v>103240</v>
      </c>
      <c r="C2548" s="710" t="s">
        <v>2591</v>
      </c>
      <c r="D2548" s="709" t="s">
        <v>234</v>
      </c>
      <c r="E2548" s="716">
        <v>0</v>
      </c>
      <c r="F2548" s="717"/>
      <c r="G2548" t="e">
        <f>VLOOKUP(B2548,'SINAPI-%MO'!B:E,4,0)</f>
        <v>#N/A</v>
      </c>
      <c r="H2548" s="225" t="str">
        <f t="shared" si="39"/>
        <v/>
      </c>
    </row>
    <row r="2549" spans="1:8" x14ac:dyDescent="0.3">
      <c r="A2549" s="400"/>
      <c r="B2549" s="709">
        <v>103241</v>
      </c>
      <c r="C2549" s="710" t="s">
        <v>2592</v>
      </c>
      <c r="D2549" s="709" t="s">
        <v>234</v>
      </c>
      <c r="E2549" s="716">
        <v>12.31</v>
      </c>
      <c r="F2549" s="717">
        <v>0</v>
      </c>
      <c r="G2549">
        <f>VLOOKUP(B2549,'SINAPI-%MO'!B:E,4,0)</f>
        <v>0</v>
      </c>
      <c r="H2549" s="225">
        <f t="shared" si="39"/>
        <v>12.31</v>
      </c>
    </row>
    <row r="2550" spans="1:8" x14ac:dyDescent="0.3">
      <c r="A2550" s="400"/>
      <c r="B2550" s="709">
        <v>88853</v>
      </c>
      <c r="C2550" s="710" t="s">
        <v>2593</v>
      </c>
      <c r="D2550" s="709" t="s">
        <v>234</v>
      </c>
      <c r="E2550" s="716">
        <v>0.28000000000000003</v>
      </c>
      <c r="F2550" s="717">
        <v>0</v>
      </c>
      <c r="G2550">
        <f>VLOOKUP(B2550,'SINAPI-%MO'!B:E,4,0)</f>
        <v>0</v>
      </c>
      <c r="H2550" s="225">
        <f t="shared" si="39"/>
        <v>0.28000000000000003</v>
      </c>
    </row>
    <row r="2551" spans="1:8" x14ac:dyDescent="0.3">
      <c r="A2551" s="400"/>
      <c r="B2551" s="709">
        <v>88854</v>
      </c>
      <c r="C2551" s="710" t="s">
        <v>2594</v>
      </c>
      <c r="D2551" s="709" t="s">
        <v>234</v>
      </c>
      <c r="E2551" s="716">
        <v>0.06</v>
      </c>
      <c r="F2551" s="717">
        <v>0</v>
      </c>
      <c r="G2551">
        <f>VLOOKUP(B2551,'SINAPI-%MO'!B:E,4,0)</f>
        <v>0</v>
      </c>
      <c r="H2551" s="225">
        <f t="shared" si="39"/>
        <v>0.06</v>
      </c>
    </row>
    <row r="2552" spans="1:8" x14ac:dyDescent="0.3">
      <c r="A2552" s="400"/>
      <c r="B2552" s="709">
        <v>5692</v>
      </c>
      <c r="C2552" s="710" t="s">
        <v>2595</v>
      </c>
      <c r="D2552" s="709" t="s">
        <v>234</v>
      </c>
      <c r="E2552" s="716">
        <v>0.31</v>
      </c>
      <c r="F2552" s="717">
        <v>0</v>
      </c>
      <c r="G2552">
        <f>VLOOKUP(B2552,'SINAPI-%MO'!B:E,4,0)</f>
        <v>0</v>
      </c>
      <c r="H2552" s="225">
        <f t="shared" si="39"/>
        <v>0.31</v>
      </c>
    </row>
    <row r="2553" spans="1:8" x14ac:dyDescent="0.3">
      <c r="A2553" s="400"/>
      <c r="B2553" s="709">
        <v>5693</v>
      </c>
      <c r="C2553" s="710" t="s">
        <v>2596</v>
      </c>
      <c r="D2553" s="709" t="s">
        <v>234</v>
      </c>
      <c r="E2553" s="716">
        <v>21.43</v>
      </c>
      <c r="F2553" s="717">
        <v>0</v>
      </c>
      <c r="G2553">
        <f>VLOOKUP(B2553,'SINAPI-%MO'!B:E,4,0)</f>
        <v>0</v>
      </c>
      <c r="H2553" s="225">
        <f t="shared" si="39"/>
        <v>21.43</v>
      </c>
    </row>
    <row r="2554" spans="1:8" x14ac:dyDescent="0.3">
      <c r="A2554" s="400"/>
      <c r="B2554" s="709">
        <v>7044</v>
      </c>
      <c r="C2554" s="710" t="s">
        <v>2597</v>
      </c>
      <c r="D2554" s="709" t="s">
        <v>234</v>
      </c>
      <c r="E2554" s="716">
        <v>0.35</v>
      </c>
      <c r="F2554" s="717">
        <v>0</v>
      </c>
      <c r="G2554">
        <f>VLOOKUP(B2554,'SINAPI-%MO'!B:E,4,0)</f>
        <v>0</v>
      </c>
      <c r="H2554" s="225">
        <f t="shared" si="39"/>
        <v>0.35</v>
      </c>
    </row>
    <row r="2555" spans="1:8" x14ac:dyDescent="0.3">
      <c r="A2555" s="400"/>
      <c r="B2555" s="709">
        <v>7045</v>
      </c>
      <c r="C2555" s="710" t="s">
        <v>2598</v>
      </c>
      <c r="D2555" s="709" t="s">
        <v>234</v>
      </c>
      <c r="E2555" s="716">
        <v>0.08</v>
      </c>
      <c r="F2555" s="717">
        <v>0</v>
      </c>
      <c r="G2555">
        <f>VLOOKUP(B2555,'SINAPI-%MO'!B:E,4,0)</f>
        <v>0</v>
      </c>
      <c r="H2555" s="225">
        <f t="shared" si="39"/>
        <v>0.08</v>
      </c>
    </row>
    <row r="2556" spans="1:8" x14ac:dyDescent="0.3">
      <c r="A2556" s="400"/>
      <c r="B2556" s="709">
        <v>7046</v>
      </c>
      <c r="C2556" s="710" t="s">
        <v>2599</v>
      </c>
      <c r="D2556" s="709" t="s">
        <v>234</v>
      </c>
      <c r="E2556" s="716">
        <v>0.38</v>
      </c>
      <c r="F2556" s="717">
        <v>0</v>
      </c>
      <c r="G2556">
        <f>VLOOKUP(B2556,'SINAPI-%MO'!B:E,4,0)</f>
        <v>0</v>
      </c>
      <c r="H2556" s="225">
        <f t="shared" si="39"/>
        <v>0.38</v>
      </c>
    </row>
    <row r="2557" spans="1:8" x14ac:dyDescent="0.3">
      <c r="A2557" s="400"/>
      <c r="B2557" s="709">
        <v>7047</v>
      </c>
      <c r="C2557" s="710" t="s">
        <v>2600</v>
      </c>
      <c r="D2557" s="709" t="s">
        <v>234</v>
      </c>
      <c r="E2557" s="716">
        <v>25.29</v>
      </c>
      <c r="F2557" s="717">
        <v>0</v>
      </c>
      <c r="G2557">
        <f>VLOOKUP(B2557,'SINAPI-%MO'!B:E,4,0)</f>
        <v>0</v>
      </c>
      <c r="H2557" s="225">
        <f t="shared" si="39"/>
        <v>25.29</v>
      </c>
    </row>
    <row r="2558" spans="1:8" x14ac:dyDescent="0.3">
      <c r="A2558" s="400"/>
      <c r="B2558" s="709">
        <v>89228</v>
      </c>
      <c r="C2558" s="710" t="s">
        <v>2601</v>
      </c>
      <c r="D2558" s="709" t="s">
        <v>234</v>
      </c>
      <c r="E2558" s="716">
        <v>45.04</v>
      </c>
      <c r="F2558" s="717">
        <v>0</v>
      </c>
      <c r="G2558">
        <f>VLOOKUP(B2558,'SINAPI-%MO'!B:E,4,0)</f>
        <v>0</v>
      </c>
      <c r="H2558" s="225">
        <f t="shared" si="39"/>
        <v>45.04</v>
      </c>
    </row>
    <row r="2559" spans="1:8" x14ac:dyDescent="0.3">
      <c r="A2559" s="400"/>
      <c r="B2559" s="709">
        <v>89229</v>
      </c>
      <c r="C2559" s="710" t="s">
        <v>2602</v>
      </c>
      <c r="D2559" s="709" t="s">
        <v>234</v>
      </c>
      <c r="E2559" s="716">
        <v>15.87</v>
      </c>
      <c r="F2559" s="717">
        <v>0</v>
      </c>
      <c r="G2559">
        <f>VLOOKUP(B2559,'SINAPI-%MO'!B:E,4,0)</f>
        <v>0</v>
      </c>
      <c r="H2559" s="225">
        <f t="shared" si="39"/>
        <v>15.87</v>
      </c>
    </row>
    <row r="2560" spans="1:8" x14ac:dyDescent="0.3">
      <c r="A2560" s="400"/>
      <c r="B2560" s="709">
        <v>5779</v>
      </c>
      <c r="C2560" s="710" t="s">
        <v>2603</v>
      </c>
      <c r="D2560" s="709" t="s">
        <v>234</v>
      </c>
      <c r="E2560" s="716">
        <v>72.400000000000006</v>
      </c>
      <c r="F2560" s="717">
        <v>0</v>
      </c>
      <c r="G2560">
        <f>VLOOKUP(B2560,'SINAPI-%MO'!B:E,4,0)</f>
        <v>0</v>
      </c>
      <c r="H2560" s="225">
        <f t="shared" si="39"/>
        <v>72.400000000000006</v>
      </c>
    </row>
    <row r="2561" spans="1:8" x14ac:dyDescent="0.3">
      <c r="A2561" s="400"/>
      <c r="B2561" s="709">
        <v>53849</v>
      </c>
      <c r="C2561" s="710" t="s">
        <v>2604</v>
      </c>
      <c r="D2561" s="709" t="s">
        <v>234</v>
      </c>
      <c r="E2561" s="716">
        <v>90.23</v>
      </c>
      <c r="F2561" s="717">
        <v>0</v>
      </c>
      <c r="G2561">
        <f>VLOOKUP(B2561,'SINAPI-%MO'!B:E,4,0)</f>
        <v>0</v>
      </c>
      <c r="H2561" s="225">
        <f t="shared" si="39"/>
        <v>90.23</v>
      </c>
    </row>
    <row r="2562" spans="1:8" x14ac:dyDescent="0.3">
      <c r="A2562" s="400"/>
      <c r="B2562" s="709">
        <v>95129</v>
      </c>
      <c r="C2562" s="710" t="s">
        <v>2605</v>
      </c>
      <c r="D2562" s="709" t="s">
        <v>234</v>
      </c>
      <c r="E2562" s="716">
        <v>54.52</v>
      </c>
      <c r="F2562" s="717">
        <v>1</v>
      </c>
      <c r="G2562">
        <f>VLOOKUP(B2562,'SINAPI-%MO'!B:E,4,0)</f>
        <v>0</v>
      </c>
      <c r="H2562" s="225">
        <f t="shared" si="39"/>
        <v>54.52</v>
      </c>
    </row>
    <row r="2563" spans="1:8" x14ac:dyDescent="0.3">
      <c r="A2563" s="400"/>
      <c r="B2563" s="709">
        <v>95130</v>
      </c>
      <c r="C2563" s="710" t="s">
        <v>2606</v>
      </c>
      <c r="D2563" s="709" t="s">
        <v>234</v>
      </c>
      <c r="E2563" s="716">
        <v>19.760000000000002</v>
      </c>
      <c r="F2563" s="717">
        <v>1</v>
      </c>
      <c r="G2563">
        <f>VLOOKUP(B2563,'SINAPI-%MO'!B:E,4,0)</f>
        <v>0</v>
      </c>
      <c r="H2563" s="225">
        <f t="shared" si="39"/>
        <v>19.760000000000002</v>
      </c>
    </row>
    <row r="2564" spans="1:8" x14ac:dyDescent="0.3">
      <c r="A2564" s="400"/>
      <c r="B2564" s="709">
        <v>95131</v>
      </c>
      <c r="C2564" s="710" t="s">
        <v>2607</v>
      </c>
      <c r="D2564" s="709" t="s">
        <v>234</v>
      </c>
      <c r="E2564" s="716">
        <v>64.17</v>
      </c>
      <c r="F2564" s="717">
        <v>1</v>
      </c>
      <c r="G2564">
        <f>VLOOKUP(B2564,'SINAPI-%MO'!B:E,4,0)</f>
        <v>0</v>
      </c>
      <c r="H2564" s="225">
        <f t="shared" si="39"/>
        <v>64.17</v>
      </c>
    </row>
    <row r="2565" spans="1:8" x14ac:dyDescent="0.3">
      <c r="A2565" s="400"/>
      <c r="B2565" s="709">
        <v>95132</v>
      </c>
      <c r="C2565" s="710" t="s">
        <v>2608</v>
      </c>
      <c r="D2565" s="709" t="s">
        <v>234</v>
      </c>
      <c r="E2565" s="716">
        <v>34.76</v>
      </c>
      <c r="F2565" s="717">
        <v>0</v>
      </c>
      <c r="G2565">
        <f>VLOOKUP(B2565,'SINAPI-%MO'!B:E,4,0)</f>
        <v>0</v>
      </c>
      <c r="H2565" s="225">
        <f t="shared" si="39"/>
        <v>34.76</v>
      </c>
    </row>
    <row r="2566" spans="1:8" x14ac:dyDescent="0.3">
      <c r="A2566" s="400"/>
      <c r="B2566" s="709">
        <v>102982</v>
      </c>
      <c r="C2566" s="710" t="s">
        <v>2609</v>
      </c>
      <c r="D2566" s="709" t="s">
        <v>234</v>
      </c>
      <c r="E2566" s="716">
        <v>0</v>
      </c>
      <c r="F2566" s="717"/>
      <c r="G2566" t="e">
        <f>VLOOKUP(B2566,'SINAPI-%MO'!B:E,4,0)</f>
        <v>#N/A</v>
      </c>
      <c r="H2566" s="225" t="str">
        <f t="shared" si="39"/>
        <v/>
      </c>
    </row>
    <row r="2567" spans="1:8" x14ac:dyDescent="0.3">
      <c r="A2567" s="400"/>
      <c r="B2567" s="709">
        <v>102983</v>
      </c>
      <c r="C2567" s="710" t="s">
        <v>2610</v>
      </c>
      <c r="D2567" s="709" t="s">
        <v>234</v>
      </c>
      <c r="E2567" s="716">
        <v>0</v>
      </c>
      <c r="F2567" s="717"/>
      <c r="G2567" t="e">
        <f>VLOOKUP(B2567,'SINAPI-%MO'!B:E,4,0)</f>
        <v>#N/A</v>
      </c>
      <c r="H2567" s="225" t="str">
        <f t="shared" si="39"/>
        <v/>
      </c>
    </row>
    <row r="2568" spans="1:8" x14ac:dyDescent="0.3">
      <c r="A2568" s="400"/>
      <c r="B2568" s="709">
        <v>102984</v>
      </c>
      <c r="C2568" s="710" t="s">
        <v>2611</v>
      </c>
      <c r="D2568" s="709" t="s">
        <v>234</v>
      </c>
      <c r="E2568" s="716">
        <v>0</v>
      </c>
      <c r="F2568" s="717"/>
      <c r="G2568" t="e">
        <f>VLOOKUP(B2568,'SINAPI-%MO'!B:E,4,0)</f>
        <v>#N/A</v>
      </c>
      <c r="H2568" s="225" t="str">
        <f t="shared" si="39"/>
        <v/>
      </c>
    </row>
    <row r="2569" spans="1:8" x14ac:dyDescent="0.3">
      <c r="A2569" s="400"/>
      <c r="B2569" s="709">
        <v>102985</v>
      </c>
      <c r="C2569" s="710" t="s">
        <v>2612</v>
      </c>
      <c r="D2569" s="709" t="s">
        <v>234</v>
      </c>
      <c r="E2569" s="716">
        <v>16.12</v>
      </c>
      <c r="F2569" s="717">
        <v>0</v>
      </c>
      <c r="G2569">
        <f>VLOOKUP(B2569,'SINAPI-%MO'!B:E,4,0)</f>
        <v>0</v>
      </c>
      <c r="H2569" s="225">
        <f t="shared" si="39"/>
        <v>16.12</v>
      </c>
    </row>
    <row r="2570" spans="1:8" x14ac:dyDescent="0.3">
      <c r="A2570" s="400"/>
      <c r="B2570" s="709">
        <v>92956</v>
      </c>
      <c r="C2570" s="710" t="s">
        <v>2613</v>
      </c>
      <c r="D2570" s="709" t="s">
        <v>234</v>
      </c>
      <c r="E2570" s="716">
        <v>4.97</v>
      </c>
      <c r="F2570" s="717">
        <v>1</v>
      </c>
      <c r="G2570">
        <f>VLOOKUP(B2570,'SINAPI-%MO'!B:E,4,0)</f>
        <v>0</v>
      </c>
      <c r="H2570" s="225">
        <f t="shared" si="39"/>
        <v>4.97</v>
      </c>
    </row>
    <row r="2571" spans="1:8" x14ac:dyDescent="0.3">
      <c r="A2571" s="400"/>
      <c r="B2571" s="709">
        <v>92957</v>
      </c>
      <c r="C2571" s="710" t="s">
        <v>2614</v>
      </c>
      <c r="D2571" s="709" t="s">
        <v>234</v>
      </c>
      <c r="E2571" s="716">
        <v>1.1399999999999999</v>
      </c>
      <c r="F2571" s="717">
        <v>1</v>
      </c>
      <c r="G2571">
        <f>VLOOKUP(B2571,'SINAPI-%MO'!B:E,4,0)</f>
        <v>0</v>
      </c>
      <c r="H2571" s="225">
        <f t="shared" ref="H2571:H2634" si="40">IF(E2571&gt;0,TRUNC(E2571*(1-G2571),2),"")</f>
        <v>1.1399999999999999</v>
      </c>
    </row>
    <row r="2572" spans="1:8" x14ac:dyDescent="0.3">
      <c r="A2572" s="400"/>
      <c r="B2572" s="709">
        <v>92958</v>
      </c>
      <c r="C2572" s="710" t="s">
        <v>2615</v>
      </c>
      <c r="D2572" s="709" t="s">
        <v>234</v>
      </c>
      <c r="E2572" s="716">
        <v>5.43</v>
      </c>
      <c r="F2572" s="717">
        <v>1</v>
      </c>
      <c r="G2572">
        <f>VLOOKUP(B2572,'SINAPI-%MO'!B:E,4,0)</f>
        <v>0</v>
      </c>
      <c r="H2572" s="225">
        <f t="shared" si="40"/>
        <v>5.43</v>
      </c>
    </row>
    <row r="2573" spans="1:8" x14ac:dyDescent="0.3">
      <c r="A2573" s="400"/>
      <c r="B2573" s="709">
        <v>92959</v>
      </c>
      <c r="C2573" s="710" t="s">
        <v>2616</v>
      </c>
      <c r="D2573" s="709" t="s">
        <v>234</v>
      </c>
      <c r="E2573" s="716">
        <v>9.99</v>
      </c>
      <c r="F2573" s="717">
        <v>0</v>
      </c>
      <c r="G2573">
        <f>VLOOKUP(B2573,'SINAPI-%MO'!B:E,4,0)</f>
        <v>0</v>
      </c>
      <c r="H2573" s="225">
        <f t="shared" si="40"/>
        <v>9.99</v>
      </c>
    </row>
    <row r="2574" spans="1:8" x14ac:dyDescent="0.3">
      <c r="A2574" s="400"/>
      <c r="B2574" s="709">
        <v>102858</v>
      </c>
      <c r="C2574" s="710" t="s">
        <v>2617</v>
      </c>
      <c r="D2574" s="709" t="s">
        <v>234</v>
      </c>
      <c r="E2574" s="716">
        <v>0</v>
      </c>
      <c r="F2574" s="717"/>
      <c r="G2574" t="e">
        <f>VLOOKUP(B2574,'SINAPI-%MO'!B:E,4,0)</f>
        <v>#N/A</v>
      </c>
      <c r="H2574" s="225" t="str">
        <f t="shared" si="40"/>
        <v/>
      </c>
    </row>
    <row r="2575" spans="1:8" x14ac:dyDescent="0.3">
      <c r="A2575" s="400"/>
      <c r="B2575" s="709">
        <v>102859</v>
      </c>
      <c r="C2575" s="710" t="s">
        <v>2618</v>
      </c>
      <c r="D2575" s="709" t="s">
        <v>234</v>
      </c>
      <c r="E2575" s="716">
        <v>0</v>
      </c>
      <c r="F2575" s="717"/>
      <c r="G2575" t="e">
        <f>VLOOKUP(B2575,'SINAPI-%MO'!B:E,4,0)</f>
        <v>#N/A</v>
      </c>
      <c r="H2575" s="225" t="str">
        <f t="shared" si="40"/>
        <v/>
      </c>
    </row>
    <row r="2576" spans="1:8" x14ac:dyDescent="0.3">
      <c r="A2576" s="400"/>
      <c r="B2576" s="709">
        <v>102860</v>
      </c>
      <c r="C2576" s="710" t="s">
        <v>2619</v>
      </c>
      <c r="D2576" s="709" t="s">
        <v>234</v>
      </c>
      <c r="E2576" s="716">
        <v>0</v>
      </c>
      <c r="F2576" s="717"/>
      <c r="G2576" t="e">
        <f>VLOOKUP(B2576,'SINAPI-%MO'!B:E,4,0)</f>
        <v>#N/A</v>
      </c>
      <c r="H2576" s="225" t="str">
        <f t="shared" si="40"/>
        <v/>
      </c>
    </row>
    <row r="2577" spans="1:8" x14ac:dyDescent="0.3">
      <c r="A2577" s="400"/>
      <c r="B2577" s="709">
        <v>102861</v>
      </c>
      <c r="C2577" s="710" t="s">
        <v>2620</v>
      </c>
      <c r="D2577" s="709" t="s">
        <v>234</v>
      </c>
      <c r="E2577" s="716">
        <v>1.31</v>
      </c>
      <c r="F2577" s="717">
        <v>0</v>
      </c>
      <c r="G2577">
        <f>VLOOKUP(B2577,'SINAPI-%MO'!B:E,4,0)</f>
        <v>0</v>
      </c>
      <c r="H2577" s="225">
        <f t="shared" si="40"/>
        <v>1.31</v>
      </c>
    </row>
    <row r="2578" spans="1:8" x14ac:dyDescent="0.3">
      <c r="A2578" s="400"/>
      <c r="B2578" s="709">
        <v>93404</v>
      </c>
      <c r="C2578" s="710" t="s">
        <v>2621</v>
      </c>
      <c r="D2578" s="709" t="s">
        <v>234</v>
      </c>
      <c r="E2578" s="716">
        <v>7.75</v>
      </c>
      <c r="F2578" s="717">
        <v>1</v>
      </c>
      <c r="G2578">
        <f>VLOOKUP(B2578,'SINAPI-%MO'!B:E,4,0)</f>
        <v>0</v>
      </c>
      <c r="H2578" s="225">
        <f t="shared" si="40"/>
        <v>7.75</v>
      </c>
    </row>
    <row r="2579" spans="1:8" x14ac:dyDescent="0.3">
      <c r="A2579" s="400"/>
      <c r="B2579" s="709">
        <v>93405</v>
      </c>
      <c r="C2579" s="710" t="s">
        <v>2622</v>
      </c>
      <c r="D2579" s="709" t="s">
        <v>234</v>
      </c>
      <c r="E2579" s="716">
        <v>1.98</v>
      </c>
      <c r="F2579" s="717">
        <v>1</v>
      </c>
      <c r="G2579">
        <f>VLOOKUP(B2579,'SINAPI-%MO'!B:E,4,0)</f>
        <v>0</v>
      </c>
      <c r="H2579" s="225">
        <f t="shared" si="40"/>
        <v>1.98</v>
      </c>
    </row>
    <row r="2580" spans="1:8" x14ac:dyDescent="0.3">
      <c r="A2580" s="400"/>
      <c r="B2580" s="709">
        <v>93406</v>
      </c>
      <c r="C2580" s="710" t="s">
        <v>2623</v>
      </c>
      <c r="D2580" s="709" t="s">
        <v>234</v>
      </c>
      <c r="E2580" s="716">
        <v>9.3000000000000007</v>
      </c>
      <c r="F2580" s="717">
        <v>1</v>
      </c>
      <c r="G2580">
        <f>VLOOKUP(B2580,'SINAPI-%MO'!B:E,4,0)</f>
        <v>0</v>
      </c>
      <c r="H2580" s="225">
        <f t="shared" si="40"/>
        <v>9.3000000000000007</v>
      </c>
    </row>
    <row r="2581" spans="1:8" x14ac:dyDescent="0.3">
      <c r="A2581" s="400"/>
      <c r="B2581" s="709">
        <v>93407</v>
      </c>
      <c r="C2581" s="710" t="s">
        <v>2624</v>
      </c>
      <c r="D2581" s="709" t="s">
        <v>234</v>
      </c>
      <c r="E2581" s="716">
        <v>50.82</v>
      </c>
      <c r="F2581" s="717">
        <v>0</v>
      </c>
      <c r="G2581">
        <f>VLOOKUP(B2581,'SINAPI-%MO'!B:E,4,0)</f>
        <v>0</v>
      </c>
      <c r="H2581" s="225">
        <f t="shared" si="40"/>
        <v>50.82</v>
      </c>
    </row>
    <row r="2582" spans="1:8" x14ac:dyDescent="0.3">
      <c r="A2582" s="400"/>
      <c r="B2582" s="709">
        <v>102936</v>
      </c>
      <c r="C2582" s="710" t="s">
        <v>2625</v>
      </c>
      <c r="D2582" s="709" t="s">
        <v>234</v>
      </c>
      <c r="E2582" s="716">
        <v>0</v>
      </c>
      <c r="F2582" s="717"/>
      <c r="G2582" t="e">
        <f>VLOOKUP(B2582,'SINAPI-%MO'!B:E,4,0)</f>
        <v>#N/A</v>
      </c>
      <c r="H2582" s="225" t="str">
        <f t="shared" si="40"/>
        <v/>
      </c>
    </row>
    <row r="2583" spans="1:8" x14ac:dyDescent="0.3">
      <c r="A2583" s="400"/>
      <c r="B2583" s="709">
        <v>102937</v>
      </c>
      <c r="C2583" s="710" t="s">
        <v>2626</v>
      </c>
      <c r="D2583" s="709" t="s">
        <v>234</v>
      </c>
      <c r="E2583" s="716">
        <v>0</v>
      </c>
      <c r="F2583" s="717"/>
      <c r="G2583" t="e">
        <f>VLOOKUP(B2583,'SINAPI-%MO'!B:E,4,0)</f>
        <v>#N/A</v>
      </c>
      <c r="H2583" s="225" t="str">
        <f t="shared" si="40"/>
        <v/>
      </c>
    </row>
    <row r="2584" spans="1:8" x14ac:dyDescent="0.3">
      <c r="A2584" s="400"/>
      <c r="B2584" s="709">
        <v>102938</v>
      </c>
      <c r="C2584" s="710" t="s">
        <v>2627</v>
      </c>
      <c r="D2584" s="709" t="s">
        <v>234</v>
      </c>
      <c r="E2584" s="716">
        <v>0</v>
      </c>
      <c r="F2584" s="717"/>
      <c r="G2584" t="e">
        <f>VLOOKUP(B2584,'SINAPI-%MO'!B:E,4,0)</f>
        <v>#N/A</v>
      </c>
      <c r="H2584" s="225" t="str">
        <f t="shared" si="40"/>
        <v/>
      </c>
    </row>
    <row r="2585" spans="1:8" x14ac:dyDescent="0.3">
      <c r="A2585" s="400"/>
      <c r="B2585" s="709">
        <v>102939</v>
      </c>
      <c r="C2585" s="710" t="s">
        <v>2628</v>
      </c>
      <c r="D2585" s="709" t="s">
        <v>234</v>
      </c>
      <c r="E2585" s="716">
        <v>9.81</v>
      </c>
      <c r="F2585" s="717">
        <v>0</v>
      </c>
      <c r="G2585">
        <f>VLOOKUP(B2585,'SINAPI-%MO'!B:E,4,0)</f>
        <v>0</v>
      </c>
      <c r="H2585" s="225">
        <f t="shared" si="40"/>
        <v>9.81</v>
      </c>
    </row>
    <row r="2586" spans="1:8" x14ac:dyDescent="0.3">
      <c r="A2586" s="400"/>
      <c r="B2586" s="709">
        <v>103159</v>
      </c>
      <c r="C2586" s="710" t="s">
        <v>2629</v>
      </c>
      <c r="D2586" s="709" t="s">
        <v>234</v>
      </c>
      <c r="E2586" s="716">
        <v>0</v>
      </c>
      <c r="F2586" s="717"/>
      <c r="G2586" t="e">
        <f>VLOOKUP(B2586,'SINAPI-%MO'!B:E,4,0)</f>
        <v>#N/A</v>
      </c>
      <c r="H2586" s="225" t="str">
        <f t="shared" si="40"/>
        <v/>
      </c>
    </row>
    <row r="2587" spans="1:8" x14ac:dyDescent="0.3">
      <c r="A2587" s="400"/>
      <c r="B2587" s="709">
        <v>103160</v>
      </c>
      <c r="C2587" s="710" t="s">
        <v>2630</v>
      </c>
      <c r="D2587" s="709" t="s">
        <v>234</v>
      </c>
      <c r="E2587" s="716">
        <v>0</v>
      </c>
      <c r="F2587" s="717"/>
      <c r="G2587" t="e">
        <f>VLOOKUP(B2587,'SINAPI-%MO'!B:E,4,0)</f>
        <v>#N/A</v>
      </c>
      <c r="H2587" s="225" t="str">
        <f t="shared" si="40"/>
        <v/>
      </c>
    </row>
    <row r="2588" spans="1:8" x14ac:dyDescent="0.3">
      <c r="A2588" s="400"/>
      <c r="B2588" s="709">
        <v>103161</v>
      </c>
      <c r="C2588" s="710" t="s">
        <v>2631</v>
      </c>
      <c r="D2588" s="709" t="s">
        <v>234</v>
      </c>
      <c r="E2588" s="716">
        <v>0</v>
      </c>
      <c r="F2588" s="717"/>
      <c r="G2588" t="e">
        <f>VLOOKUP(B2588,'SINAPI-%MO'!B:E,4,0)</f>
        <v>#N/A</v>
      </c>
      <c r="H2588" s="225" t="str">
        <f t="shared" si="40"/>
        <v/>
      </c>
    </row>
    <row r="2589" spans="1:8" x14ac:dyDescent="0.3">
      <c r="A2589" s="400"/>
      <c r="B2589" s="709">
        <v>103162</v>
      </c>
      <c r="C2589" s="710" t="s">
        <v>2632</v>
      </c>
      <c r="D2589" s="709" t="s">
        <v>234</v>
      </c>
      <c r="E2589" s="716">
        <v>0.7</v>
      </c>
      <c r="F2589" s="717">
        <v>0</v>
      </c>
      <c r="G2589">
        <f>VLOOKUP(B2589,'SINAPI-%MO'!B:E,4,0)</f>
        <v>0</v>
      </c>
      <c r="H2589" s="225">
        <f t="shared" si="40"/>
        <v>0.7</v>
      </c>
    </row>
    <row r="2590" spans="1:8" x14ac:dyDescent="0.3">
      <c r="A2590" s="400"/>
      <c r="B2590" s="709">
        <v>103153</v>
      </c>
      <c r="C2590" s="710" t="s">
        <v>2633</v>
      </c>
      <c r="D2590" s="709" t="s">
        <v>234</v>
      </c>
      <c r="E2590" s="716">
        <v>0</v>
      </c>
      <c r="F2590" s="717"/>
      <c r="G2590" t="e">
        <f>VLOOKUP(B2590,'SINAPI-%MO'!B:E,4,0)</f>
        <v>#N/A</v>
      </c>
      <c r="H2590" s="225" t="str">
        <f t="shared" si="40"/>
        <v/>
      </c>
    </row>
    <row r="2591" spans="1:8" x14ac:dyDescent="0.3">
      <c r="A2591" s="400"/>
      <c r="B2591" s="709">
        <v>103154</v>
      </c>
      <c r="C2591" s="710" t="s">
        <v>2634</v>
      </c>
      <c r="D2591" s="709" t="s">
        <v>234</v>
      </c>
      <c r="E2591" s="716">
        <v>0</v>
      </c>
      <c r="F2591" s="717"/>
      <c r="G2591" t="e">
        <f>VLOOKUP(B2591,'SINAPI-%MO'!B:E,4,0)</f>
        <v>#N/A</v>
      </c>
      <c r="H2591" s="225" t="str">
        <f t="shared" si="40"/>
        <v/>
      </c>
    </row>
    <row r="2592" spans="1:8" x14ac:dyDescent="0.3">
      <c r="A2592" s="400"/>
      <c r="B2592" s="709">
        <v>103155</v>
      </c>
      <c r="C2592" s="710" t="s">
        <v>2635</v>
      </c>
      <c r="D2592" s="709" t="s">
        <v>234</v>
      </c>
      <c r="E2592" s="716">
        <v>0</v>
      </c>
      <c r="F2592" s="717"/>
      <c r="G2592" t="e">
        <f>VLOOKUP(B2592,'SINAPI-%MO'!B:E,4,0)</f>
        <v>#N/A</v>
      </c>
      <c r="H2592" s="225" t="str">
        <f t="shared" si="40"/>
        <v/>
      </c>
    </row>
    <row r="2593" spans="1:8" x14ac:dyDescent="0.3">
      <c r="A2593" s="400"/>
      <c r="B2593" s="709">
        <v>103156</v>
      </c>
      <c r="C2593" s="710" t="s">
        <v>2636</v>
      </c>
      <c r="D2593" s="709" t="s">
        <v>234</v>
      </c>
      <c r="E2593" s="716">
        <v>2.4900000000000002</v>
      </c>
      <c r="F2593" s="717">
        <v>0</v>
      </c>
      <c r="G2593">
        <f>VLOOKUP(B2593,'SINAPI-%MO'!B:E,4,0)</f>
        <v>0</v>
      </c>
      <c r="H2593" s="225">
        <f t="shared" si="40"/>
        <v>2.4900000000000002</v>
      </c>
    </row>
    <row r="2594" spans="1:8" x14ac:dyDescent="0.3">
      <c r="A2594" s="400"/>
      <c r="B2594" s="709">
        <v>103171</v>
      </c>
      <c r="C2594" s="710" t="s">
        <v>2637</v>
      </c>
      <c r="D2594" s="709" t="s">
        <v>234</v>
      </c>
      <c r="E2594" s="716">
        <v>0</v>
      </c>
      <c r="F2594" s="717"/>
      <c r="G2594" t="e">
        <f>VLOOKUP(B2594,'SINAPI-%MO'!B:E,4,0)</f>
        <v>#N/A</v>
      </c>
      <c r="H2594" s="225" t="str">
        <f t="shared" si="40"/>
        <v/>
      </c>
    </row>
    <row r="2595" spans="1:8" x14ac:dyDescent="0.3">
      <c r="A2595" s="400"/>
      <c r="B2595" s="709">
        <v>103172</v>
      </c>
      <c r="C2595" s="710" t="s">
        <v>2638</v>
      </c>
      <c r="D2595" s="709" t="s">
        <v>234</v>
      </c>
      <c r="E2595" s="716">
        <v>0</v>
      </c>
      <c r="F2595" s="717"/>
      <c r="G2595" t="e">
        <f>VLOOKUP(B2595,'SINAPI-%MO'!B:E,4,0)</f>
        <v>#N/A</v>
      </c>
      <c r="H2595" s="225" t="str">
        <f t="shared" si="40"/>
        <v/>
      </c>
    </row>
    <row r="2596" spans="1:8" x14ac:dyDescent="0.3">
      <c r="A2596" s="400"/>
      <c r="B2596" s="709">
        <v>103173</v>
      </c>
      <c r="C2596" s="710" t="s">
        <v>2639</v>
      </c>
      <c r="D2596" s="709" t="s">
        <v>234</v>
      </c>
      <c r="E2596" s="716">
        <v>0</v>
      </c>
      <c r="F2596" s="717"/>
      <c r="G2596" t="e">
        <f>VLOOKUP(B2596,'SINAPI-%MO'!B:E,4,0)</f>
        <v>#N/A</v>
      </c>
      <c r="H2596" s="225" t="str">
        <f t="shared" si="40"/>
        <v/>
      </c>
    </row>
    <row r="2597" spans="1:8" x14ac:dyDescent="0.3">
      <c r="A2597" s="400"/>
      <c r="B2597" s="709">
        <v>103174</v>
      </c>
      <c r="C2597" s="710" t="s">
        <v>2640</v>
      </c>
      <c r="D2597" s="709" t="s">
        <v>234</v>
      </c>
      <c r="E2597" s="716">
        <v>1.99</v>
      </c>
      <c r="F2597" s="717">
        <v>0</v>
      </c>
      <c r="G2597">
        <f>VLOOKUP(B2597,'SINAPI-%MO'!B:E,4,0)</f>
        <v>0</v>
      </c>
      <c r="H2597" s="225">
        <f t="shared" si="40"/>
        <v>1.99</v>
      </c>
    </row>
    <row r="2598" spans="1:8" x14ac:dyDescent="0.3">
      <c r="A2598" s="400"/>
      <c r="B2598" s="709">
        <v>103177</v>
      </c>
      <c r="C2598" s="710" t="s">
        <v>2641</v>
      </c>
      <c r="D2598" s="709" t="s">
        <v>234</v>
      </c>
      <c r="E2598" s="716">
        <v>0</v>
      </c>
      <c r="F2598" s="717"/>
      <c r="G2598" t="e">
        <f>VLOOKUP(B2598,'SINAPI-%MO'!B:E,4,0)</f>
        <v>#N/A</v>
      </c>
      <c r="H2598" s="225" t="str">
        <f t="shared" si="40"/>
        <v/>
      </c>
    </row>
    <row r="2599" spans="1:8" x14ac:dyDescent="0.3">
      <c r="A2599" s="400"/>
      <c r="B2599" s="709">
        <v>103178</v>
      </c>
      <c r="C2599" s="710" t="s">
        <v>2642</v>
      </c>
      <c r="D2599" s="709" t="s">
        <v>234</v>
      </c>
      <c r="E2599" s="716">
        <v>0</v>
      </c>
      <c r="F2599" s="717"/>
      <c r="G2599" t="e">
        <f>VLOOKUP(B2599,'SINAPI-%MO'!B:E,4,0)</f>
        <v>#N/A</v>
      </c>
      <c r="H2599" s="225" t="str">
        <f t="shared" si="40"/>
        <v/>
      </c>
    </row>
    <row r="2600" spans="1:8" x14ac:dyDescent="0.3">
      <c r="A2600" s="400"/>
      <c r="B2600" s="709">
        <v>103179</v>
      </c>
      <c r="C2600" s="710" t="s">
        <v>2643</v>
      </c>
      <c r="D2600" s="709" t="s">
        <v>234</v>
      </c>
      <c r="E2600" s="716">
        <v>0</v>
      </c>
      <c r="F2600" s="717"/>
      <c r="G2600" t="e">
        <f>VLOOKUP(B2600,'SINAPI-%MO'!B:E,4,0)</f>
        <v>#N/A</v>
      </c>
      <c r="H2600" s="225" t="str">
        <f t="shared" si="40"/>
        <v/>
      </c>
    </row>
    <row r="2601" spans="1:8" x14ac:dyDescent="0.3">
      <c r="A2601" s="400"/>
      <c r="B2601" s="709">
        <v>103180</v>
      </c>
      <c r="C2601" s="710" t="s">
        <v>2644</v>
      </c>
      <c r="D2601" s="709" t="s">
        <v>234</v>
      </c>
      <c r="E2601" s="716">
        <v>4.58</v>
      </c>
      <c r="F2601" s="717">
        <v>0</v>
      </c>
      <c r="G2601">
        <f>VLOOKUP(B2601,'SINAPI-%MO'!B:E,4,0)</f>
        <v>0</v>
      </c>
      <c r="H2601" s="225">
        <f t="shared" si="40"/>
        <v>4.58</v>
      </c>
    </row>
    <row r="2602" spans="1:8" x14ac:dyDescent="0.3">
      <c r="A2602" s="400"/>
      <c r="B2602" s="709">
        <v>103165</v>
      </c>
      <c r="C2602" s="710" t="s">
        <v>2645</v>
      </c>
      <c r="D2602" s="709" t="s">
        <v>234</v>
      </c>
      <c r="E2602" s="716">
        <v>0</v>
      </c>
      <c r="F2602" s="717"/>
      <c r="G2602" t="e">
        <f>VLOOKUP(B2602,'SINAPI-%MO'!B:E,4,0)</f>
        <v>#N/A</v>
      </c>
      <c r="H2602" s="225" t="str">
        <f t="shared" si="40"/>
        <v/>
      </c>
    </row>
    <row r="2603" spans="1:8" x14ac:dyDescent="0.3">
      <c r="A2603" s="400"/>
      <c r="B2603" s="709">
        <v>103166</v>
      </c>
      <c r="C2603" s="710" t="s">
        <v>2646</v>
      </c>
      <c r="D2603" s="709" t="s">
        <v>234</v>
      </c>
      <c r="E2603" s="716">
        <v>0</v>
      </c>
      <c r="F2603" s="717"/>
      <c r="G2603" t="e">
        <f>VLOOKUP(B2603,'SINAPI-%MO'!B:E,4,0)</f>
        <v>#N/A</v>
      </c>
      <c r="H2603" s="225" t="str">
        <f t="shared" si="40"/>
        <v/>
      </c>
    </row>
    <row r="2604" spans="1:8" x14ac:dyDescent="0.3">
      <c r="A2604" s="400"/>
      <c r="B2604" s="709">
        <v>103167</v>
      </c>
      <c r="C2604" s="710" t="s">
        <v>2647</v>
      </c>
      <c r="D2604" s="709" t="s">
        <v>234</v>
      </c>
      <c r="E2604" s="716">
        <v>0</v>
      </c>
      <c r="F2604" s="717"/>
      <c r="G2604" t="e">
        <f>VLOOKUP(B2604,'SINAPI-%MO'!B:E,4,0)</f>
        <v>#N/A</v>
      </c>
      <c r="H2604" s="225" t="str">
        <f t="shared" si="40"/>
        <v/>
      </c>
    </row>
    <row r="2605" spans="1:8" x14ac:dyDescent="0.3">
      <c r="A2605" s="400"/>
      <c r="B2605" s="709">
        <v>103168</v>
      </c>
      <c r="C2605" s="710" t="s">
        <v>2648</v>
      </c>
      <c r="D2605" s="709" t="s">
        <v>234</v>
      </c>
      <c r="E2605" s="716">
        <v>0.79</v>
      </c>
      <c r="F2605" s="717">
        <v>0</v>
      </c>
      <c r="G2605">
        <f>VLOOKUP(B2605,'SINAPI-%MO'!B:E,4,0)</f>
        <v>0</v>
      </c>
      <c r="H2605" s="225">
        <f t="shared" si="40"/>
        <v>0.79</v>
      </c>
    </row>
    <row r="2606" spans="1:8" x14ac:dyDescent="0.3">
      <c r="A2606" s="400"/>
      <c r="B2606" s="709">
        <v>102864</v>
      </c>
      <c r="C2606" s="710" t="s">
        <v>2649</v>
      </c>
      <c r="D2606" s="709" t="s">
        <v>234</v>
      </c>
      <c r="E2606" s="716">
        <v>0</v>
      </c>
      <c r="F2606" s="717"/>
      <c r="G2606" t="e">
        <f>VLOOKUP(B2606,'SINAPI-%MO'!B:E,4,0)</f>
        <v>#N/A</v>
      </c>
      <c r="H2606" s="225" t="str">
        <f t="shared" si="40"/>
        <v/>
      </c>
    </row>
    <row r="2607" spans="1:8" x14ac:dyDescent="0.3">
      <c r="A2607" s="400"/>
      <c r="B2607" s="709">
        <v>102865</v>
      </c>
      <c r="C2607" s="710" t="s">
        <v>2650</v>
      </c>
      <c r="D2607" s="709" t="s">
        <v>234</v>
      </c>
      <c r="E2607" s="716">
        <v>0</v>
      </c>
      <c r="F2607" s="717"/>
      <c r="G2607" t="e">
        <f>VLOOKUP(B2607,'SINAPI-%MO'!B:E,4,0)</f>
        <v>#N/A</v>
      </c>
      <c r="H2607" s="225" t="str">
        <f t="shared" si="40"/>
        <v/>
      </c>
    </row>
    <row r="2608" spans="1:8" x14ac:dyDescent="0.3">
      <c r="A2608" s="400"/>
      <c r="B2608" s="709">
        <v>102866</v>
      </c>
      <c r="C2608" s="710" t="s">
        <v>2651</v>
      </c>
      <c r="D2608" s="709" t="s">
        <v>234</v>
      </c>
      <c r="E2608" s="716">
        <v>0</v>
      </c>
      <c r="F2608" s="717"/>
      <c r="G2608" t="e">
        <f>VLOOKUP(B2608,'SINAPI-%MO'!B:E,4,0)</f>
        <v>#N/A</v>
      </c>
      <c r="H2608" s="225" t="str">
        <f t="shared" si="40"/>
        <v/>
      </c>
    </row>
    <row r="2609" spans="1:8" x14ac:dyDescent="0.3">
      <c r="A2609" s="400"/>
      <c r="B2609" s="709">
        <v>102867</v>
      </c>
      <c r="C2609" s="710" t="s">
        <v>2652</v>
      </c>
      <c r="D2609" s="709" t="s">
        <v>234</v>
      </c>
      <c r="E2609" s="716">
        <v>0.71</v>
      </c>
      <c r="F2609" s="717">
        <v>0</v>
      </c>
      <c r="G2609">
        <f>VLOOKUP(B2609,'SINAPI-%MO'!B:E,4,0)</f>
        <v>0</v>
      </c>
      <c r="H2609" s="225">
        <f t="shared" si="40"/>
        <v>0.71</v>
      </c>
    </row>
    <row r="2610" spans="1:8" x14ac:dyDescent="0.3">
      <c r="A2610" s="400"/>
      <c r="B2610" s="709">
        <v>106321</v>
      </c>
      <c r="C2610" s="710" t="s">
        <v>14953</v>
      </c>
      <c r="D2610" s="709" t="s">
        <v>234</v>
      </c>
      <c r="E2610" s="716">
        <v>0</v>
      </c>
      <c r="F2610" s="717"/>
      <c r="G2610" t="e">
        <f>VLOOKUP(B2610,'SINAPI-%MO'!B:E,4,0)</f>
        <v>#N/A</v>
      </c>
      <c r="H2610" s="225" t="str">
        <f t="shared" si="40"/>
        <v/>
      </c>
    </row>
    <row r="2611" spans="1:8" x14ac:dyDescent="0.3">
      <c r="A2611" s="400"/>
      <c r="B2611" s="709">
        <v>106322</v>
      </c>
      <c r="C2611" s="710" t="s">
        <v>14954</v>
      </c>
      <c r="D2611" s="709" t="s">
        <v>234</v>
      </c>
      <c r="E2611" s="716">
        <v>0</v>
      </c>
      <c r="F2611" s="717"/>
      <c r="G2611" t="e">
        <f>VLOOKUP(B2611,'SINAPI-%MO'!B:E,4,0)</f>
        <v>#N/A</v>
      </c>
      <c r="H2611" s="225" t="str">
        <f t="shared" si="40"/>
        <v/>
      </c>
    </row>
    <row r="2612" spans="1:8" x14ac:dyDescent="0.3">
      <c r="A2612" s="400"/>
      <c r="B2612" s="709">
        <v>106323</v>
      </c>
      <c r="C2612" s="710" t="s">
        <v>14955</v>
      </c>
      <c r="D2612" s="709" t="s">
        <v>234</v>
      </c>
      <c r="E2612" s="716">
        <v>0</v>
      </c>
      <c r="F2612" s="717"/>
      <c r="G2612" t="e">
        <f>VLOOKUP(B2612,'SINAPI-%MO'!B:E,4,0)</f>
        <v>#N/A</v>
      </c>
      <c r="H2612" s="225" t="str">
        <f t="shared" si="40"/>
        <v/>
      </c>
    </row>
    <row r="2613" spans="1:8" x14ac:dyDescent="0.3">
      <c r="A2613" s="400"/>
      <c r="B2613" s="709">
        <v>106324</v>
      </c>
      <c r="C2613" s="710" t="s">
        <v>13378</v>
      </c>
      <c r="D2613" s="709" t="s">
        <v>234</v>
      </c>
      <c r="E2613" s="716">
        <v>0.66</v>
      </c>
      <c r="F2613" s="717">
        <v>0</v>
      </c>
      <c r="G2613">
        <f>VLOOKUP(B2613,'SINAPI-%MO'!B:E,4,0)</f>
        <v>0</v>
      </c>
      <c r="H2613" s="225">
        <f t="shared" si="40"/>
        <v>0.66</v>
      </c>
    </row>
    <row r="2614" spans="1:8" x14ac:dyDescent="0.3">
      <c r="A2614" s="400"/>
      <c r="B2614" s="709">
        <v>92108</v>
      </c>
      <c r="C2614" s="710" t="s">
        <v>2653</v>
      </c>
      <c r="D2614" s="709" t="s">
        <v>234</v>
      </c>
      <c r="E2614" s="716">
        <v>0.91</v>
      </c>
      <c r="F2614" s="717">
        <v>0</v>
      </c>
      <c r="G2614">
        <f>VLOOKUP(B2614,'SINAPI-%MO'!B:E,4,0)</f>
        <v>0</v>
      </c>
      <c r="H2614" s="225">
        <f t="shared" si="40"/>
        <v>0.91</v>
      </c>
    </row>
    <row r="2615" spans="1:8" x14ac:dyDescent="0.3">
      <c r="A2615" s="400"/>
      <c r="B2615" s="709">
        <v>92109</v>
      </c>
      <c r="C2615" s="710" t="s">
        <v>2654</v>
      </c>
      <c r="D2615" s="709" t="s">
        <v>234</v>
      </c>
      <c r="E2615" s="716">
        <v>0.21</v>
      </c>
      <c r="F2615" s="717">
        <v>0</v>
      </c>
      <c r="G2615">
        <f>VLOOKUP(B2615,'SINAPI-%MO'!B:E,4,0)</f>
        <v>0</v>
      </c>
      <c r="H2615" s="225">
        <f t="shared" si="40"/>
        <v>0.21</v>
      </c>
    </row>
    <row r="2616" spans="1:8" x14ac:dyDescent="0.3">
      <c r="A2616" s="400"/>
      <c r="B2616" s="709">
        <v>92110</v>
      </c>
      <c r="C2616" s="710" t="s">
        <v>2655</v>
      </c>
      <c r="D2616" s="709" t="s">
        <v>234</v>
      </c>
      <c r="E2616" s="716">
        <v>1.1399999999999999</v>
      </c>
      <c r="F2616" s="717">
        <v>0</v>
      </c>
      <c r="G2616">
        <f>VLOOKUP(B2616,'SINAPI-%MO'!B:E,4,0)</f>
        <v>0</v>
      </c>
      <c r="H2616" s="225">
        <f t="shared" si="40"/>
        <v>1.1399999999999999</v>
      </c>
    </row>
    <row r="2617" spans="1:8" x14ac:dyDescent="0.3">
      <c r="A2617" s="400"/>
      <c r="B2617" s="709">
        <v>92111</v>
      </c>
      <c r="C2617" s="710" t="s">
        <v>2656</v>
      </c>
      <c r="D2617" s="709" t="s">
        <v>234</v>
      </c>
      <c r="E2617" s="716">
        <v>1.31</v>
      </c>
      <c r="F2617" s="717">
        <v>0</v>
      </c>
      <c r="G2617">
        <f>VLOOKUP(B2617,'SINAPI-%MO'!B:E,4,0)</f>
        <v>0</v>
      </c>
      <c r="H2617" s="225">
        <f t="shared" si="40"/>
        <v>1.31</v>
      </c>
    </row>
    <row r="2618" spans="1:8" x14ac:dyDescent="0.3">
      <c r="A2618" s="400"/>
      <c r="B2618" s="709">
        <v>90670</v>
      </c>
      <c r="C2618" s="710" t="s">
        <v>2657</v>
      </c>
      <c r="D2618" s="709" t="s">
        <v>234</v>
      </c>
      <c r="E2618" s="716">
        <v>234.8</v>
      </c>
      <c r="F2618" s="717">
        <v>0</v>
      </c>
      <c r="G2618">
        <f>VLOOKUP(B2618,'SINAPI-%MO'!B:E,4,0)</f>
        <v>0</v>
      </c>
      <c r="H2618" s="225">
        <f t="shared" si="40"/>
        <v>234.8</v>
      </c>
    </row>
    <row r="2619" spans="1:8" x14ac:dyDescent="0.3">
      <c r="A2619" s="400"/>
      <c r="B2619" s="709">
        <v>90671</v>
      </c>
      <c r="C2619" s="710" t="s">
        <v>2658</v>
      </c>
      <c r="D2619" s="709" t="s">
        <v>234</v>
      </c>
      <c r="E2619" s="716">
        <v>62.99</v>
      </c>
      <c r="F2619" s="717">
        <v>0</v>
      </c>
      <c r="G2619">
        <f>VLOOKUP(B2619,'SINAPI-%MO'!B:E,4,0)</f>
        <v>0</v>
      </c>
      <c r="H2619" s="225">
        <f t="shared" si="40"/>
        <v>62.99</v>
      </c>
    </row>
    <row r="2620" spans="1:8" x14ac:dyDescent="0.3">
      <c r="A2620" s="400"/>
      <c r="B2620" s="709">
        <v>90672</v>
      </c>
      <c r="C2620" s="710" t="s">
        <v>2659</v>
      </c>
      <c r="D2620" s="709" t="s">
        <v>234</v>
      </c>
      <c r="E2620" s="716">
        <v>293.83999999999997</v>
      </c>
      <c r="F2620" s="717">
        <v>0</v>
      </c>
      <c r="G2620">
        <f>VLOOKUP(B2620,'SINAPI-%MO'!B:E,4,0)</f>
        <v>0</v>
      </c>
      <c r="H2620" s="225">
        <f t="shared" si="40"/>
        <v>293.83999999999997</v>
      </c>
    </row>
    <row r="2621" spans="1:8" x14ac:dyDescent="0.3">
      <c r="A2621" s="400"/>
      <c r="B2621" s="709">
        <v>90673</v>
      </c>
      <c r="C2621" s="710" t="s">
        <v>2660</v>
      </c>
      <c r="D2621" s="709" t="s">
        <v>234</v>
      </c>
      <c r="E2621" s="716">
        <v>128.93</v>
      </c>
      <c r="F2621" s="717">
        <v>0</v>
      </c>
      <c r="G2621">
        <f>VLOOKUP(B2621,'SINAPI-%MO'!B:E,4,0)</f>
        <v>0</v>
      </c>
      <c r="H2621" s="225">
        <f t="shared" si="40"/>
        <v>128.93</v>
      </c>
    </row>
    <row r="2622" spans="1:8" x14ac:dyDescent="0.3">
      <c r="A2622" s="400"/>
      <c r="B2622" s="709">
        <v>93220</v>
      </c>
      <c r="C2622" s="710" t="s">
        <v>2661</v>
      </c>
      <c r="D2622" s="709" t="s">
        <v>234</v>
      </c>
      <c r="E2622" s="716">
        <v>360.03</v>
      </c>
      <c r="F2622" s="717">
        <v>0</v>
      </c>
      <c r="G2622">
        <f>VLOOKUP(B2622,'SINAPI-%MO'!B:E,4,0)</f>
        <v>0</v>
      </c>
      <c r="H2622" s="225">
        <f t="shared" si="40"/>
        <v>360.03</v>
      </c>
    </row>
    <row r="2623" spans="1:8" x14ac:dyDescent="0.3">
      <c r="A2623" s="400"/>
      <c r="B2623" s="709">
        <v>93221</v>
      </c>
      <c r="C2623" s="710" t="s">
        <v>2662</v>
      </c>
      <c r="D2623" s="709" t="s">
        <v>234</v>
      </c>
      <c r="E2623" s="716">
        <v>96.59</v>
      </c>
      <c r="F2623" s="717">
        <v>0</v>
      </c>
      <c r="G2623">
        <f>VLOOKUP(B2623,'SINAPI-%MO'!B:E,4,0)</f>
        <v>0</v>
      </c>
      <c r="H2623" s="225">
        <f t="shared" si="40"/>
        <v>96.59</v>
      </c>
    </row>
    <row r="2624" spans="1:8" x14ac:dyDescent="0.3">
      <c r="A2624" s="400"/>
      <c r="B2624" s="709">
        <v>93222</v>
      </c>
      <c r="C2624" s="710" t="s">
        <v>2663</v>
      </c>
      <c r="D2624" s="709" t="s">
        <v>234</v>
      </c>
      <c r="E2624" s="716">
        <v>450.55</v>
      </c>
      <c r="F2624" s="717">
        <v>0</v>
      </c>
      <c r="G2624">
        <f>VLOOKUP(B2624,'SINAPI-%MO'!B:E,4,0)</f>
        <v>0</v>
      </c>
      <c r="H2624" s="225">
        <f t="shared" si="40"/>
        <v>450.55</v>
      </c>
    </row>
    <row r="2625" spans="1:8" x14ac:dyDescent="0.3">
      <c r="A2625" s="400"/>
      <c r="B2625" s="709">
        <v>93223</v>
      </c>
      <c r="C2625" s="710" t="s">
        <v>2664</v>
      </c>
      <c r="D2625" s="709" t="s">
        <v>234</v>
      </c>
      <c r="E2625" s="716">
        <v>168.4</v>
      </c>
      <c r="F2625" s="717">
        <v>0</v>
      </c>
      <c r="G2625">
        <f>VLOOKUP(B2625,'SINAPI-%MO'!B:E,4,0)</f>
        <v>0</v>
      </c>
      <c r="H2625" s="225">
        <f t="shared" si="40"/>
        <v>168.4</v>
      </c>
    </row>
    <row r="2626" spans="1:8" x14ac:dyDescent="0.3">
      <c r="A2626" s="400"/>
      <c r="B2626" s="709">
        <v>104691</v>
      </c>
      <c r="C2626" s="710" t="s">
        <v>2665</v>
      </c>
      <c r="D2626" s="709" t="s">
        <v>234</v>
      </c>
      <c r="E2626" s="716">
        <v>0.93</v>
      </c>
      <c r="F2626" s="717">
        <v>0</v>
      </c>
      <c r="G2626">
        <f>VLOOKUP(B2626,'SINAPI-%MO'!B:E,4,0)</f>
        <v>0</v>
      </c>
      <c r="H2626" s="225">
        <f t="shared" si="40"/>
        <v>0.93</v>
      </c>
    </row>
    <row r="2627" spans="1:8" x14ac:dyDescent="0.3">
      <c r="A2627" s="400"/>
      <c r="B2627" s="709">
        <v>104692</v>
      </c>
      <c r="C2627" s="710" t="s">
        <v>2666</v>
      </c>
      <c r="D2627" s="709" t="s">
        <v>234</v>
      </c>
      <c r="E2627" s="716">
        <v>0.21</v>
      </c>
      <c r="F2627" s="717">
        <v>0</v>
      </c>
      <c r="G2627">
        <f>VLOOKUP(B2627,'SINAPI-%MO'!B:E,4,0)</f>
        <v>0</v>
      </c>
      <c r="H2627" s="225">
        <f t="shared" si="40"/>
        <v>0.21</v>
      </c>
    </row>
    <row r="2628" spans="1:8" x14ac:dyDescent="0.3">
      <c r="A2628" s="400"/>
      <c r="B2628" s="709">
        <v>104693</v>
      </c>
      <c r="C2628" s="710" t="s">
        <v>2667</v>
      </c>
      <c r="D2628" s="709" t="s">
        <v>234</v>
      </c>
      <c r="E2628" s="716">
        <v>1.17</v>
      </c>
      <c r="F2628" s="717">
        <v>0</v>
      </c>
      <c r="G2628">
        <f>VLOOKUP(B2628,'SINAPI-%MO'!B:E,4,0)</f>
        <v>0</v>
      </c>
      <c r="H2628" s="225">
        <f t="shared" si="40"/>
        <v>1.17</v>
      </c>
    </row>
    <row r="2629" spans="1:8" x14ac:dyDescent="0.3">
      <c r="A2629" s="400"/>
      <c r="B2629" s="709">
        <v>104694</v>
      </c>
      <c r="C2629" s="710" t="s">
        <v>2668</v>
      </c>
      <c r="D2629" s="709" t="s">
        <v>234</v>
      </c>
      <c r="E2629" s="716">
        <v>2.23</v>
      </c>
      <c r="F2629" s="717">
        <v>0</v>
      </c>
      <c r="G2629">
        <f>VLOOKUP(B2629,'SINAPI-%MO'!B:E,4,0)</f>
        <v>0</v>
      </c>
      <c r="H2629" s="225">
        <f t="shared" si="40"/>
        <v>2.23</v>
      </c>
    </row>
    <row r="2630" spans="1:8" x14ac:dyDescent="0.3">
      <c r="A2630" s="400"/>
      <c r="B2630" s="709">
        <v>90676</v>
      </c>
      <c r="C2630" s="710" t="s">
        <v>2669</v>
      </c>
      <c r="D2630" s="709" t="s">
        <v>234</v>
      </c>
      <c r="E2630" s="716">
        <v>100.02</v>
      </c>
      <c r="F2630" s="717">
        <v>0</v>
      </c>
      <c r="G2630">
        <f>VLOOKUP(B2630,'SINAPI-%MO'!B:E,4,0)</f>
        <v>0</v>
      </c>
      <c r="H2630" s="225">
        <f t="shared" si="40"/>
        <v>100.02</v>
      </c>
    </row>
    <row r="2631" spans="1:8" x14ac:dyDescent="0.3">
      <c r="A2631" s="400"/>
      <c r="B2631" s="709">
        <v>91021</v>
      </c>
      <c r="C2631" s="710" t="s">
        <v>2670</v>
      </c>
      <c r="D2631" s="709" t="s">
        <v>234</v>
      </c>
      <c r="E2631" s="716">
        <v>12.42</v>
      </c>
      <c r="F2631" s="717">
        <v>0</v>
      </c>
      <c r="G2631">
        <f>VLOOKUP(B2631,'SINAPI-%MO'!B:E,4,0)</f>
        <v>0</v>
      </c>
      <c r="H2631" s="225">
        <f t="shared" si="40"/>
        <v>12.42</v>
      </c>
    </row>
    <row r="2632" spans="1:8" x14ac:dyDescent="0.3">
      <c r="A2632" s="400"/>
      <c r="B2632" s="709">
        <v>90677</v>
      </c>
      <c r="C2632" s="710" t="s">
        <v>2671</v>
      </c>
      <c r="D2632" s="709" t="s">
        <v>234</v>
      </c>
      <c r="E2632" s="716">
        <v>30.67</v>
      </c>
      <c r="F2632" s="717">
        <v>0</v>
      </c>
      <c r="G2632">
        <f>VLOOKUP(B2632,'SINAPI-%MO'!B:E,4,0)</f>
        <v>0</v>
      </c>
      <c r="H2632" s="225">
        <f t="shared" si="40"/>
        <v>30.67</v>
      </c>
    </row>
    <row r="2633" spans="1:8" x14ac:dyDescent="0.3">
      <c r="A2633" s="400"/>
      <c r="B2633" s="709">
        <v>90678</v>
      </c>
      <c r="C2633" s="710" t="s">
        <v>2672</v>
      </c>
      <c r="D2633" s="709" t="s">
        <v>234</v>
      </c>
      <c r="E2633" s="716">
        <v>141.88</v>
      </c>
      <c r="F2633" s="717">
        <v>0</v>
      </c>
      <c r="G2633">
        <f>VLOOKUP(B2633,'SINAPI-%MO'!B:E,4,0)</f>
        <v>0</v>
      </c>
      <c r="H2633" s="225">
        <f t="shared" si="40"/>
        <v>141.88</v>
      </c>
    </row>
    <row r="2634" spans="1:8" x14ac:dyDescent="0.3">
      <c r="A2634" s="400"/>
      <c r="B2634" s="709">
        <v>90679</v>
      </c>
      <c r="C2634" s="710" t="s">
        <v>2673</v>
      </c>
      <c r="D2634" s="709" t="s">
        <v>234</v>
      </c>
      <c r="E2634" s="716">
        <v>98.87</v>
      </c>
      <c r="F2634" s="717">
        <v>0</v>
      </c>
      <c r="G2634">
        <f>VLOOKUP(B2634,'SINAPI-%MO'!B:E,4,0)</f>
        <v>0</v>
      </c>
      <c r="H2634" s="225">
        <f t="shared" si="40"/>
        <v>98.87</v>
      </c>
    </row>
    <row r="2635" spans="1:8" x14ac:dyDescent="0.3">
      <c r="A2635" s="400"/>
      <c r="B2635" s="709">
        <v>102870</v>
      </c>
      <c r="C2635" s="710" t="s">
        <v>2674</v>
      </c>
      <c r="D2635" s="709" t="s">
        <v>234</v>
      </c>
      <c r="E2635" s="716">
        <v>342.43</v>
      </c>
      <c r="F2635" s="717">
        <v>0</v>
      </c>
      <c r="G2635">
        <f>VLOOKUP(B2635,'SINAPI-%MO'!B:E,4,0)</f>
        <v>0</v>
      </c>
      <c r="H2635" s="225">
        <f t="shared" ref="H2635:H2698" si="41">IF(E2635&gt;0,TRUNC(E2635*(1-G2635),2),"")</f>
        <v>342.43</v>
      </c>
    </row>
    <row r="2636" spans="1:8" x14ac:dyDescent="0.3">
      <c r="A2636" s="400"/>
      <c r="B2636" s="709">
        <v>102871</v>
      </c>
      <c r="C2636" s="710" t="s">
        <v>2675</v>
      </c>
      <c r="D2636" s="709" t="s">
        <v>234</v>
      </c>
      <c r="E2636" s="716">
        <v>92.51</v>
      </c>
      <c r="F2636" s="717">
        <v>0</v>
      </c>
      <c r="G2636">
        <f>VLOOKUP(B2636,'SINAPI-%MO'!B:E,4,0)</f>
        <v>0</v>
      </c>
      <c r="H2636" s="225">
        <f t="shared" si="41"/>
        <v>92.51</v>
      </c>
    </row>
    <row r="2637" spans="1:8" x14ac:dyDescent="0.3">
      <c r="A2637" s="400"/>
      <c r="B2637" s="709">
        <v>102872</v>
      </c>
      <c r="C2637" s="710" t="s">
        <v>2676</v>
      </c>
      <c r="D2637" s="709" t="s">
        <v>234</v>
      </c>
      <c r="E2637" s="716">
        <v>428.53</v>
      </c>
      <c r="F2637" s="717">
        <v>0</v>
      </c>
      <c r="G2637">
        <f>VLOOKUP(B2637,'SINAPI-%MO'!B:E,4,0)</f>
        <v>0</v>
      </c>
      <c r="H2637" s="225">
        <f t="shared" si="41"/>
        <v>428.53</v>
      </c>
    </row>
    <row r="2638" spans="1:8" x14ac:dyDescent="0.3">
      <c r="A2638" s="400"/>
      <c r="B2638" s="709">
        <v>102873</v>
      </c>
      <c r="C2638" s="710" t="s">
        <v>2677</v>
      </c>
      <c r="D2638" s="709" t="s">
        <v>234</v>
      </c>
      <c r="E2638" s="716">
        <v>128.93</v>
      </c>
      <c r="F2638" s="717">
        <v>0</v>
      </c>
      <c r="G2638">
        <f>VLOOKUP(B2638,'SINAPI-%MO'!B:E,4,0)</f>
        <v>0</v>
      </c>
      <c r="H2638" s="225">
        <f t="shared" si="41"/>
        <v>128.93</v>
      </c>
    </row>
    <row r="2639" spans="1:8" x14ac:dyDescent="0.3">
      <c r="A2639" s="400"/>
      <c r="B2639" s="709">
        <v>102960</v>
      </c>
      <c r="C2639" s="710" t="s">
        <v>2678</v>
      </c>
      <c r="D2639" s="709" t="s">
        <v>234</v>
      </c>
      <c r="E2639" s="716">
        <v>166.19</v>
      </c>
      <c r="F2639" s="717">
        <v>0</v>
      </c>
      <c r="G2639">
        <f>VLOOKUP(B2639,'SINAPI-%MO'!B:E,4,0)</f>
        <v>0</v>
      </c>
      <c r="H2639" s="225">
        <f t="shared" si="41"/>
        <v>166.19</v>
      </c>
    </row>
    <row r="2640" spans="1:8" x14ac:dyDescent="0.3">
      <c r="A2640" s="400"/>
      <c r="B2640" s="709">
        <v>102961</v>
      </c>
      <c r="C2640" s="710" t="s">
        <v>2679</v>
      </c>
      <c r="D2640" s="709" t="s">
        <v>234</v>
      </c>
      <c r="E2640" s="716">
        <v>44.89</v>
      </c>
      <c r="F2640" s="717">
        <v>0</v>
      </c>
      <c r="G2640">
        <f>VLOOKUP(B2640,'SINAPI-%MO'!B:E,4,0)</f>
        <v>0</v>
      </c>
      <c r="H2640" s="225">
        <f t="shared" si="41"/>
        <v>44.89</v>
      </c>
    </row>
    <row r="2641" spans="1:8" x14ac:dyDescent="0.3">
      <c r="A2641" s="400"/>
      <c r="B2641" s="709">
        <v>102962</v>
      </c>
      <c r="C2641" s="710" t="s">
        <v>2680</v>
      </c>
      <c r="D2641" s="709" t="s">
        <v>234</v>
      </c>
      <c r="E2641" s="716">
        <v>155.9</v>
      </c>
      <c r="F2641" s="717">
        <v>0</v>
      </c>
      <c r="G2641">
        <f>VLOOKUP(B2641,'SINAPI-%MO'!B:E,4,0)</f>
        <v>0</v>
      </c>
      <c r="H2641" s="225">
        <f t="shared" si="41"/>
        <v>155.9</v>
      </c>
    </row>
    <row r="2642" spans="1:8" x14ac:dyDescent="0.3">
      <c r="A2642" s="400"/>
      <c r="B2642" s="709">
        <v>102963</v>
      </c>
      <c r="C2642" s="710" t="s">
        <v>2681</v>
      </c>
      <c r="D2642" s="709" t="s">
        <v>234</v>
      </c>
      <c r="E2642" s="716">
        <v>91.39</v>
      </c>
      <c r="F2642" s="717">
        <v>0</v>
      </c>
      <c r="G2642">
        <f>VLOOKUP(B2642,'SINAPI-%MO'!B:E,4,0)</f>
        <v>0</v>
      </c>
      <c r="H2642" s="225">
        <f t="shared" si="41"/>
        <v>91.39</v>
      </c>
    </row>
    <row r="2643" spans="1:8" x14ac:dyDescent="0.3">
      <c r="A2643" s="400"/>
      <c r="B2643" s="709">
        <v>90621</v>
      </c>
      <c r="C2643" s="710" t="s">
        <v>2682</v>
      </c>
      <c r="D2643" s="709" t="s">
        <v>234</v>
      </c>
      <c r="E2643" s="716">
        <v>2.95</v>
      </c>
      <c r="F2643" s="717">
        <v>0</v>
      </c>
      <c r="G2643">
        <f>VLOOKUP(B2643,'SINAPI-%MO'!B:E,4,0)</f>
        <v>0</v>
      </c>
      <c r="H2643" s="225">
        <f t="shared" si="41"/>
        <v>2.95</v>
      </c>
    </row>
    <row r="2644" spans="1:8" x14ac:dyDescent="0.3">
      <c r="A2644" s="400"/>
      <c r="B2644" s="709">
        <v>90622</v>
      </c>
      <c r="C2644" s="710" t="s">
        <v>2683</v>
      </c>
      <c r="D2644" s="709" t="s">
        <v>234</v>
      </c>
      <c r="E2644" s="716">
        <v>0.68</v>
      </c>
      <c r="F2644" s="717">
        <v>0</v>
      </c>
      <c r="G2644">
        <f>VLOOKUP(B2644,'SINAPI-%MO'!B:E,4,0)</f>
        <v>0</v>
      </c>
      <c r="H2644" s="225">
        <f t="shared" si="41"/>
        <v>0.68</v>
      </c>
    </row>
    <row r="2645" spans="1:8" x14ac:dyDescent="0.3">
      <c r="A2645" s="400"/>
      <c r="B2645" s="709">
        <v>90623</v>
      </c>
      <c r="C2645" s="710" t="s">
        <v>2684</v>
      </c>
      <c r="D2645" s="709" t="s">
        <v>234</v>
      </c>
      <c r="E2645" s="716">
        <v>3.69</v>
      </c>
      <c r="F2645" s="717">
        <v>0</v>
      </c>
      <c r="G2645">
        <f>VLOOKUP(B2645,'SINAPI-%MO'!B:E,4,0)</f>
        <v>0</v>
      </c>
      <c r="H2645" s="225">
        <f t="shared" si="41"/>
        <v>3.69</v>
      </c>
    </row>
    <row r="2646" spans="1:8" x14ac:dyDescent="0.3">
      <c r="A2646" s="400"/>
      <c r="B2646" s="709">
        <v>90624</v>
      </c>
      <c r="C2646" s="710" t="s">
        <v>2685</v>
      </c>
      <c r="D2646" s="709" t="s">
        <v>234</v>
      </c>
      <c r="E2646" s="716">
        <v>3.28</v>
      </c>
      <c r="F2646" s="717">
        <v>0</v>
      </c>
      <c r="G2646">
        <f>VLOOKUP(B2646,'SINAPI-%MO'!B:E,4,0)</f>
        <v>0</v>
      </c>
      <c r="H2646" s="225">
        <f t="shared" si="41"/>
        <v>3.28</v>
      </c>
    </row>
    <row r="2647" spans="1:8" x14ac:dyDescent="0.3">
      <c r="A2647" s="400"/>
      <c r="B2647" s="709">
        <v>102876</v>
      </c>
      <c r="C2647" s="710" t="s">
        <v>2686</v>
      </c>
      <c r="D2647" s="709" t="s">
        <v>234</v>
      </c>
      <c r="E2647" s="716">
        <v>475.87</v>
      </c>
      <c r="F2647" s="717">
        <v>0</v>
      </c>
      <c r="G2647">
        <f>VLOOKUP(B2647,'SINAPI-%MO'!B:E,4,0)</f>
        <v>0</v>
      </c>
      <c r="H2647" s="225">
        <f t="shared" si="41"/>
        <v>475.87</v>
      </c>
    </row>
    <row r="2648" spans="1:8" x14ac:dyDescent="0.3">
      <c r="A2648" s="400"/>
      <c r="B2648" s="709">
        <v>102877</v>
      </c>
      <c r="C2648" s="710" t="s">
        <v>2687</v>
      </c>
      <c r="D2648" s="709" t="s">
        <v>234</v>
      </c>
      <c r="E2648" s="716">
        <v>128.56</v>
      </c>
      <c r="F2648" s="717">
        <v>0</v>
      </c>
      <c r="G2648">
        <f>VLOOKUP(B2648,'SINAPI-%MO'!B:E,4,0)</f>
        <v>0</v>
      </c>
      <c r="H2648" s="225">
        <f t="shared" si="41"/>
        <v>128.56</v>
      </c>
    </row>
    <row r="2649" spans="1:8" x14ac:dyDescent="0.3">
      <c r="A2649" s="400"/>
      <c r="B2649" s="709">
        <v>102878</v>
      </c>
      <c r="C2649" s="710" t="s">
        <v>2688</v>
      </c>
      <c r="D2649" s="709" t="s">
        <v>234</v>
      </c>
      <c r="E2649" s="716">
        <v>595.51</v>
      </c>
      <c r="F2649" s="717">
        <v>0</v>
      </c>
      <c r="G2649">
        <f>VLOOKUP(B2649,'SINAPI-%MO'!B:E,4,0)</f>
        <v>0</v>
      </c>
      <c r="H2649" s="225">
        <f t="shared" si="41"/>
        <v>595.51</v>
      </c>
    </row>
    <row r="2650" spans="1:8" x14ac:dyDescent="0.3">
      <c r="A2650" s="400"/>
      <c r="B2650" s="709">
        <v>102879</v>
      </c>
      <c r="C2650" s="710" t="s">
        <v>2689</v>
      </c>
      <c r="D2650" s="709" t="s">
        <v>234</v>
      </c>
      <c r="E2650" s="716">
        <v>193.5</v>
      </c>
      <c r="F2650" s="717">
        <v>0</v>
      </c>
      <c r="G2650">
        <f>VLOOKUP(B2650,'SINAPI-%MO'!B:E,4,0)</f>
        <v>0</v>
      </c>
      <c r="H2650" s="225">
        <f t="shared" si="41"/>
        <v>193.5</v>
      </c>
    </row>
    <row r="2651" spans="1:8" x14ac:dyDescent="0.3">
      <c r="A2651" s="400"/>
      <c r="B2651" s="709">
        <v>103220</v>
      </c>
      <c r="C2651" s="710" t="s">
        <v>2690</v>
      </c>
      <c r="D2651" s="709" t="s">
        <v>234</v>
      </c>
      <c r="E2651" s="716">
        <v>145.53</v>
      </c>
      <c r="F2651" s="717">
        <v>0</v>
      </c>
      <c r="G2651">
        <f>VLOOKUP(B2651,'SINAPI-%MO'!B:E,4,0)</f>
        <v>0</v>
      </c>
      <c r="H2651" s="225">
        <f t="shared" si="41"/>
        <v>145.53</v>
      </c>
    </row>
    <row r="2652" spans="1:8" x14ac:dyDescent="0.3">
      <c r="A2652" s="400"/>
      <c r="B2652" s="709">
        <v>103221</v>
      </c>
      <c r="C2652" s="710" t="s">
        <v>2691</v>
      </c>
      <c r="D2652" s="709" t="s">
        <v>234</v>
      </c>
      <c r="E2652" s="716">
        <v>39.31</v>
      </c>
      <c r="F2652" s="717">
        <v>0</v>
      </c>
      <c r="G2652">
        <f>VLOOKUP(B2652,'SINAPI-%MO'!B:E,4,0)</f>
        <v>0</v>
      </c>
      <c r="H2652" s="225">
        <f t="shared" si="41"/>
        <v>39.31</v>
      </c>
    </row>
    <row r="2653" spans="1:8" x14ac:dyDescent="0.3">
      <c r="A2653" s="400"/>
      <c r="B2653" s="709">
        <v>103222</v>
      </c>
      <c r="C2653" s="710" t="s">
        <v>2692</v>
      </c>
      <c r="D2653" s="709" t="s">
        <v>234</v>
      </c>
      <c r="E2653" s="716">
        <v>182.12</v>
      </c>
      <c r="F2653" s="717">
        <v>0</v>
      </c>
      <c r="G2653">
        <f>VLOOKUP(B2653,'SINAPI-%MO'!B:E,4,0)</f>
        <v>0</v>
      </c>
      <c r="H2653" s="225">
        <f t="shared" si="41"/>
        <v>182.12</v>
      </c>
    </row>
    <row r="2654" spans="1:8" x14ac:dyDescent="0.3">
      <c r="A2654" s="400"/>
      <c r="B2654" s="709">
        <v>103223</v>
      </c>
      <c r="C2654" s="710" t="s">
        <v>2693</v>
      </c>
      <c r="D2654" s="709" t="s">
        <v>234</v>
      </c>
      <c r="E2654" s="716">
        <v>37.79</v>
      </c>
      <c r="F2654" s="717">
        <v>0</v>
      </c>
      <c r="G2654">
        <f>VLOOKUP(B2654,'SINAPI-%MO'!B:E,4,0)</f>
        <v>0</v>
      </c>
      <c r="H2654" s="225">
        <f t="shared" si="41"/>
        <v>37.79</v>
      </c>
    </row>
    <row r="2655" spans="1:8" x14ac:dyDescent="0.3">
      <c r="A2655" s="400"/>
      <c r="B2655" s="709">
        <v>103232</v>
      </c>
      <c r="C2655" s="710" t="s">
        <v>2694</v>
      </c>
      <c r="D2655" s="709" t="s">
        <v>234</v>
      </c>
      <c r="E2655" s="716">
        <v>456.59</v>
      </c>
      <c r="F2655" s="717">
        <v>0</v>
      </c>
      <c r="G2655">
        <f>VLOOKUP(B2655,'SINAPI-%MO'!B:E,4,0)</f>
        <v>0</v>
      </c>
      <c r="H2655" s="225">
        <f t="shared" si="41"/>
        <v>456.59</v>
      </c>
    </row>
    <row r="2656" spans="1:8" x14ac:dyDescent="0.3">
      <c r="A2656" s="400"/>
      <c r="B2656" s="709">
        <v>103233</v>
      </c>
      <c r="C2656" s="710" t="s">
        <v>2695</v>
      </c>
      <c r="D2656" s="709" t="s">
        <v>234</v>
      </c>
      <c r="E2656" s="716">
        <v>123.35</v>
      </c>
      <c r="F2656" s="717">
        <v>0</v>
      </c>
      <c r="G2656">
        <f>VLOOKUP(B2656,'SINAPI-%MO'!B:E,4,0)</f>
        <v>0</v>
      </c>
      <c r="H2656" s="225">
        <f t="shared" si="41"/>
        <v>123.35</v>
      </c>
    </row>
    <row r="2657" spans="1:8" x14ac:dyDescent="0.3">
      <c r="A2657" s="400"/>
      <c r="B2657" s="709">
        <v>103234</v>
      </c>
      <c r="C2657" s="710" t="s">
        <v>2696</v>
      </c>
      <c r="D2657" s="709" t="s">
        <v>234</v>
      </c>
      <c r="E2657" s="716">
        <v>599.65</v>
      </c>
      <c r="F2657" s="717">
        <v>0</v>
      </c>
      <c r="G2657">
        <f>VLOOKUP(B2657,'SINAPI-%MO'!B:E,4,0)</f>
        <v>0</v>
      </c>
      <c r="H2657" s="225">
        <f t="shared" si="41"/>
        <v>599.65</v>
      </c>
    </row>
    <row r="2658" spans="1:8" x14ac:dyDescent="0.3">
      <c r="A2658" s="400"/>
      <c r="B2658" s="709">
        <v>103235</v>
      </c>
      <c r="C2658" s="710" t="s">
        <v>2697</v>
      </c>
      <c r="D2658" s="709" t="s">
        <v>234</v>
      </c>
      <c r="E2658" s="716">
        <v>110.67</v>
      </c>
      <c r="F2658" s="717">
        <v>0</v>
      </c>
      <c r="G2658">
        <f>VLOOKUP(B2658,'SINAPI-%MO'!B:E,4,0)</f>
        <v>0</v>
      </c>
      <c r="H2658" s="225">
        <f t="shared" si="41"/>
        <v>110.67</v>
      </c>
    </row>
    <row r="2659" spans="1:8" x14ac:dyDescent="0.3">
      <c r="A2659" s="400"/>
      <c r="B2659" s="709">
        <v>103228</v>
      </c>
      <c r="C2659" s="710" t="s">
        <v>2698</v>
      </c>
      <c r="D2659" s="709" t="s">
        <v>234</v>
      </c>
      <c r="E2659" s="716">
        <v>417.82</v>
      </c>
      <c r="F2659" s="717">
        <v>0</v>
      </c>
      <c r="G2659">
        <f>VLOOKUP(B2659,'SINAPI-%MO'!B:E,4,0)</f>
        <v>0</v>
      </c>
      <c r="H2659" s="225">
        <f t="shared" si="41"/>
        <v>417.82</v>
      </c>
    </row>
    <row r="2660" spans="1:8" x14ac:dyDescent="0.3">
      <c r="A2660" s="400"/>
      <c r="B2660" s="709">
        <v>103226</v>
      </c>
      <c r="C2660" s="710" t="s">
        <v>2699</v>
      </c>
      <c r="D2660" s="709" t="s">
        <v>234</v>
      </c>
      <c r="E2660" s="716">
        <v>333.88</v>
      </c>
      <c r="F2660" s="717">
        <v>0</v>
      </c>
      <c r="G2660">
        <f>VLOOKUP(B2660,'SINAPI-%MO'!B:E,4,0)</f>
        <v>0</v>
      </c>
      <c r="H2660" s="225">
        <f t="shared" si="41"/>
        <v>333.88</v>
      </c>
    </row>
    <row r="2661" spans="1:8" x14ac:dyDescent="0.3">
      <c r="A2661" s="400"/>
      <c r="B2661" s="709">
        <v>103227</v>
      </c>
      <c r="C2661" s="710" t="s">
        <v>2700</v>
      </c>
      <c r="D2661" s="709" t="s">
        <v>234</v>
      </c>
      <c r="E2661" s="716">
        <v>90.2</v>
      </c>
      <c r="F2661" s="717">
        <v>0</v>
      </c>
      <c r="G2661">
        <f>VLOOKUP(B2661,'SINAPI-%MO'!B:E,4,0)</f>
        <v>0</v>
      </c>
      <c r="H2661" s="225">
        <f t="shared" si="41"/>
        <v>90.2</v>
      </c>
    </row>
    <row r="2662" spans="1:8" x14ac:dyDescent="0.3">
      <c r="A2662" s="400"/>
      <c r="B2662" s="709">
        <v>103229</v>
      </c>
      <c r="C2662" s="710" t="s">
        <v>2701</v>
      </c>
      <c r="D2662" s="709" t="s">
        <v>234</v>
      </c>
      <c r="E2662" s="716">
        <v>93.84</v>
      </c>
      <c r="F2662" s="717">
        <v>0</v>
      </c>
      <c r="G2662">
        <f>VLOOKUP(B2662,'SINAPI-%MO'!B:E,4,0)</f>
        <v>0</v>
      </c>
      <c r="H2662" s="225">
        <f t="shared" si="41"/>
        <v>93.84</v>
      </c>
    </row>
    <row r="2663" spans="1:8" x14ac:dyDescent="0.3">
      <c r="A2663" s="400"/>
      <c r="B2663" s="709">
        <v>102972</v>
      </c>
      <c r="C2663" s="710" t="s">
        <v>2702</v>
      </c>
      <c r="D2663" s="709" t="s">
        <v>234</v>
      </c>
      <c r="E2663" s="716">
        <v>88.7</v>
      </c>
      <c r="F2663" s="717">
        <v>0</v>
      </c>
      <c r="G2663">
        <f>VLOOKUP(B2663,'SINAPI-%MO'!B:E,4,0)</f>
        <v>0</v>
      </c>
      <c r="H2663" s="225">
        <f t="shared" si="41"/>
        <v>88.7</v>
      </c>
    </row>
    <row r="2664" spans="1:8" x14ac:dyDescent="0.3">
      <c r="A2664" s="400"/>
      <c r="B2664" s="709">
        <v>102973</v>
      </c>
      <c r="C2664" s="710" t="s">
        <v>2703</v>
      </c>
      <c r="D2664" s="709" t="s">
        <v>234</v>
      </c>
      <c r="E2664" s="716">
        <v>24.63</v>
      </c>
      <c r="F2664" s="717">
        <v>0</v>
      </c>
      <c r="G2664">
        <f>VLOOKUP(B2664,'SINAPI-%MO'!B:E,4,0)</f>
        <v>0</v>
      </c>
      <c r="H2664" s="225">
        <f t="shared" si="41"/>
        <v>24.63</v>
      </c>
    </row>
    <row r="2665" spans="1:8" x14ac:dyDescent="0.3">
      <c r="A2665" s="400"/>
      <c r="B2665" s="709">
        <v>102974</v>
      </c>
      <c r="C2665" s="710" t="s">
        <v>2704</v>
      </c>
      <c r="D2665" s="709" t="s">
        <v>234</v>
      </c>
      <c r="E2665" s="716">
        <v>83.21</v>
      </c>
      <c r="F2665" s="717">
        <v>0</v>
      </c>
      <c r="G2665">
        <f>VLOOKUP(B2665,'SINAPI-%MO'!B:E,4,0)</f>
        <v>0</v>
      </c>
      <c r="H2665" s="225">
        <f t="shared" si="41"/>
        <v>83.21</v>
      </c>
    </row>
    <row r="2666" spans="1:8" x14ac:dyDescent="0.3">
      <c r="A2666" s="400"/>
      <c r="B2666" s="709">
        <v>96301</v>
      </c>
      <c r="C2666" s="710" t="s">
        <v>2705</v>
      </c>
      <c r="D2666" s="709" t="s">
        <v>234</v>
      </c>
      <c r="E2666" s="716">
        <v>52.95</v>
      </c>
      <c r="F2666" s="717">
        <v>0</v>
      </c>
      <c r="G2666">
        <f>VLOOKUP(B2666,'SINAPI-%MO'!B:E,4,0)</f>
        <v>0</v>
      </c>
      <c r="H2666" s="225">
        <f t="shared" si="41"/>
        <v>52.95</v>
      </c>
    </row>
    <row r="2667" spans="1:8" x14ac:dyDescent="0.3">
      <c r="A2667" s="400"/>
      <c r="B2667" s="709">
        <v>90627</v>
      </c>
      <c r="C2667" s="710" t="s">
        <v>2706</v>
      </c>
      <c r="D2667" s="709" t="s">
        <v>234</v>
      </c>
      <c r="E2667" s="716">
        <v>52.04</v>
      </c>
      <c r="F2667" s="717">
        <v>0</v>
      </c>
      <c r="G2667">
        <f>VLOOKUP(B2667,'SINAPI-%MO'!B:E,4,0)</f>
        <v>0</v>
      </c>
      <c r="H2667" s="225">
        <f t="shared" si="41"/>
        <v>52.04</v>
      </c>
    </row>
    <row r="2668" spans="1:8" x14ac:dyDescent="0.3">
      <c r="A2668" s="400"/>
      <c r="B2668" s="709">
        <v>90628</v>
      </c>
      <c r="C2668" s="710" t="s">
        <v>2707</v>
      </c>
      <c r="D2668" s="709" t="s">
        <v>234</v>
      </c>
      <c r="E2668" s="716">
        <v>13.96</v>
      </c>
      <c r="F2668" s="717">
        <v>0</v>
      </c>
      <c r="G2668">
        <f>VLOOKUP(B2668,'SINAPI-%MO'!B:E,4,0)</f>
        <v>0</v>
      </c>
      <c r="H2668" s="225">
        <f t="shared" si="41"/>
        <v>13.96</v>
      </c>
    </row>
    <row r="2669" spans="1:8" x14ac:dyDescent="0.3">
      <c r="A2669" s="400"/>
      <c r="B2669" s="709">
        <v>90629</v>
      </c>
      <c r="C2669" s="710" t="s">
        <v>2708</v>
      </c>
      <c r="D2669" s="709" t="s">
        <v>234</v>
      </c>
      <c r="E2669" s="716">
        <v>65.13</v>
      </c>
      <c r="F2669" s="717">
        <v>0</v>
      </c>
      <c r="G2669">
        <f>VLOOKUP(B2669,'SINAPI-%MO'!B:E,4,0)</f>
        <v>0</v>
      </c>
      <c r="H2669" s="225">
        <f t="shared" si="41"/>
        <v>65.13</v>
      </c>
    </row>
    <row r="2670" spans="1:8" x14ac:dyDescent="0.3">
      <c r="A2670" s="400"/>
      <c r="B2670" s="709">
        <v>90630</v>
      </c>
      <c r="C2670" s="710" t="s">
        <v>2709</v>
      </c>
      <c r="D2670" s="709" t="s">
        <v>234</v>
      </c>
      <c r="E2670" s="716">
        <v>1.56</v>
      </c>
      <c r="F2670" s="717">
        <v>0</v>
      </c>
      <c r="G2670">
        <f>VLOOKUP(B2670,'SINAPI-%MO'!B:E,4,0)</f>
        <v>0</v>
      </c>
      <c r="H2670" s="225">
        <f t="shared" si="41"/>
        <v>1.56</v>
      </c>
    </row>
    <row r="2671" spans="1:8" x14ac:dyDescent="0.3">
      <c r="A2671" s="400"/>
      <c r="B2671" s="709">
        <v>95704</v>
      </c>
      <c r="C2671" s="710" t="s">
        <v>2710</v>
      </c>
      <c r="D2671" s="709" t="s">
        <v>234</v>
      </c>
      <c r="E2671" s="716">
        <v>52.55</v>
      </c>
      <c r="F2671" s="717">
        <v>0</v>
      </c>
      <c r="G2671">
        <f>VLOOKUP(B2671,'SINAPI-%MO'!B:E,4,0)</f>
        <v>0</v>
      </c>
      <c r="H2671" s="225">
        <f t="shared" si="41"/>
        <v>52.55</v>
      </c>
    </row>
    <row r="2672" spans="1:8" x14ac:dyDescent="0.3">
      <c r="A2672" s="400"/>
      <c r="B2672" s="709">
        <v>95705</v>
      </c>
      <c r="C2672" s="710" t="s">
        <v>2711</v>
      </c>
      <c r="D2672" s="709" t="s">
        <v>234</v>
      </c>
      <c r="E2672" s="716">
        <v>14.1</v>
      </c>
      <c r="F2672" s="717">
        <v>0</v>
      </c>
      <c r="G2672">
        <f>VLOOKUP(B2672,'SINAPI-%MO'!B:E,4,0)</f>
        <v>0</v>
      </c>
      <c r="H2672" s="225">
        <f t="shared" si="41"/>
        <v>14.1</v>
      </c>
    </row>
    <row r="2673" spans="1:8" x14ac:dyDescent="0.3">
      <c r="A2673" s="400"/>
      <c r="B2673" s="709">
        <v>95706</v>
      </c>
      <c r="C2673" s="710" t="s">
        <v>2712</v>
      </c>
      <c r="D2673" s="709" t="s">
        <v>234</v>
      </c>
      <c r="E2673" s="716">
        <v>65.77</v>
      </c>
      <c r="F2673" s="717">
        <v>0</v>
      </c>
      <c r="G2673">
        <f>VLOOKUP(B2673,'SINAPI-%MO'!B:E,4,0)</f>
        <v>0</v>
      </c>
      <c r="H2673" s="225">
        <f t="shared" si="41"/>
        <v>65.77</v>
      </c>
    </row>
    <row r="2674" spans="1:8" x14ac:dyDescent="0.3">
      <c r="A2674" s="400"/>
      <c r="B2674" s="709">
        <v>95707</v>
      </c>
      <c r="C2674" s="710" t="s">
        <v>2713</v>
      </c>
      <c r="D2674" s="709" t="s">
        <v>234</v>
      </c>
      <c r="E2674" s="716">
        <v>4.3</v>
      </c>
      <c r="F2674" s="717">
        <v>0</v>
      </c>
      <c r="G2674">
        <f>VLOOKUP(B2674,'SINAPI-%MO'!B:E,4,0)</f>
        <v>0</v>
      </c>
      <c r="H2674" s="225">
        <f t="shared" si="41"/>
        <v>4.3</v>
      </c>
    </row>
    <row r="2675" spans="1:8" x14ac:dyDescent="0.3">
      <c r="A2675" s="400"/>
      <c r="B2675" s="709">
        <v>91273</v>
      </c>
      <c r="C2675" s="710" t="s">
        <v>2714</v>
      </c>
      <c r="D2675" s="709" t="s">
        <v>234</v>
      </c>
      <c r="E2675" s="716">
        <v>0.68</v>
      </c>
      <c r="F2675" s="717">
        <v>0</v>
      </c>
      <c r="G2675">
        <f>VLOOKUP(B2675,'SINAPI-%MO'!B:E,4,0)</f>
        <v>0</v>
      </c>
      <c r="H2675" s="225">
        <f t="shared" si="41"/>
        <v>0.68</v>
      </c>
    </row>
    <row r="2676" spans="1:8" x14ac:dyDescent="0.3">
      <c r="A2676" s="400"/>
      <c r="B2676" s="709">
        <v>91274</v>
      </c>
      <c r="C2676" s="710" t="s">
        <v>2715</v>
      </c>
      <c r="D2676" s="709" t="s">
        <v>234</v>
      </c>
      <c r="E2676" s="716">
        <v>0.18</v>
      </c>
      <c r="F2676" s="717">
        <v>0</v>
      </c>
      <c r="G2676">
        <f>VLOOKUP(B2676,'SINAPI-%MO'!B:E,4,0)</f>
        <v>0</v>
      </c>
      <c r="H2676" s="225">
        <f t="shared" si="41"/>
        <v>0.18</v>
      </c>
    </row>
    <row r="2677" spans="1:8" x14ac:dyDescent="0.3">
      <c r="A2677" s="400"/>
      <c r="B2677" s="709">
        <v>91275</v>
      </c>
      <c r="C2677" s="710" t="s">
        <v>2716</v>
      </c>
      <c r="D2677" s="709" t="s">
        <v>234</v>
      </c>
      <c r="E2677" s="716">
        <v>0.86</v>
      </c>
      <c r="F2677" s="717">
        <v>0</v>
      </c>
      <c r="G2677">
        <f>VLOOKUP(B2677,'SINAPI-%MO'!B:E,4,0)</f>
        <v>0</v>
      </c>
      <c r="H2677" s="225">
        <f t="shared" si="41"/>
        <v>0.86</v>
      </c>
    </row>
    <row r="2678" spans="1:8" x14ac:dyDescent="0.3">
      <c r="A2678" s="400"/>
      <c r="B2678" s="709">
        <v>91276</v>
      </c>
      <c r="C2678" s="710" t="s">
        <v>2717</v>
      </c>
      <c r="D2678" s="709" t="s">
        <v>234</v>
      </c>
      <c r="E2678" s="716">
        <v>8.9700000000000006</v>
      </c>
      <c r="F2678" s="717">
        <v>0</v>
      </c>
      <c r="G2678">
        <f>VLOOKUP(B2678,'SINAPI-%MO'!B:E,4,0)</f>
        <v>0</v>
      </c>
      <c r="H2678" s="225">
        <f t="shared" si="41"/>
        <v>8.9700000000000006</v>
      </c>
    </row>
    <row r="2679" spans="1:8" x14ac:dyDescent="0.3">
      <c r="A2679" s="400"/>
      <c r="B2679" s="709">
        <v>102882</v>
      </c>
      <c r="C2679" s="710" t="s">
        <v>2718</v>
      </c>
      <c r="D2679" s="709" t="s">
        <v>234</v>
      </c>
      <c r="E2679" s="716">
        <v>0</v>
      </c>
      <c r="F2679" s="717"/>
      <c r="G2679" t="e">
        <f>VLOOKUP(B2679,'SINAPI-%MO'!B:E,4,0)</f>
        <v>#N/A</v>
      </c>
      <c r="H2679" s="225" t="str">
        <f t="shared" si="41"/>
        <v/>
      </c>
    </row>
    <row r="2680" spans="1:8" x14ac:dyDescent="0.3">
      <c r="A2680" s="400"/>
      <c r="B2680" s="709">
        <v>102883</v>
      </c>
      <c r="C2680" s="710" t="s">
        <v>2719</v>
      </c>
      <c r="D2680" s="709" t="s">
        <v>234</v>
      </c>
      <c r="E2680" s="716">
        <v>0</v>
      </c>
      <c r="F2680" s="717"/>
      <c r="G2680" t="e">
        <f>VLOOKUP(B2680,'SINAPI-%MO'!B:E,4,0)</f>
        <v>#N/A</v>
      </c>
      <c r="H2680" s="225" t="str">
        <f t="shared" si="41"/>
        <v/>
      </c>
    </row>
    <row r="2681" spans="1:8" x14ac:dyDescent="0.3">
      <c r="A2681" s="400"/>
      <c r="B2681" s="709">
        <v>102884</v>
      </c>
      <c r="C2681" s="710" t="s">
        <v>2720</v>
      </c>
      <c r="D2681" s="709" t="s">
        <v>234</v>
      </c>
      <c r="E2681" s="716">
        <v>0</v>
      </c>
      <c r="F2681" s="717"/>
      <c r="G2681" t="e">
        <f>VLOOKUP(B2681,'SINAPI-%MO'!B:E,4,0)</f>
        <v>#N/A</v>
      </c>
      <c r="H2681" s="225" t="str">
        <f t="shared" si="41"/>
        <v/>
      </c>
    </row>
    <row r="2682" spans="1:8" x14ac:dyDescent="0.3">
      <c r="A2682" s="400"/>
      <c r="B2682" s="709">
        <v>102885</v>
      </c>
      <c r="C2682" s="710" t="s">
        <v>2721</v>
      </c>
      <c r="D2682" s="709" t="s">
        <v>234</v>
      </c>
      <c r="E2682" s="716">
        <v>1.34</v>
      </c>
      <c r="F2682" s="717">
        <v>0</v>
      </c>
      <c r="G2682">
        <f>VLOOKUP(B2682,'SINAPI-%MO'!B:E,4,0)</f>
        <v>0</v>
      </c>
      <c r="H2682" s="225">
        <f t="shared" si="41"/>
        <v>1.34</v>
      </c>
    </row>
    <row r="2683" spans="1:8" x14ac:dyDescent="0.3">
      <c r="A2683" s="400"/>
      <c r="B2683" s="709">
        <v>95272</v>
      </c>
      <c r="C2683" s="710" t="s">
        <v>2722</v>
      </c>
      <c r="D2683" s="709" t="s">
        <v>234</v>
      </c>
      <c r="E2683" s="716">
        <v>0.54</v>
      </c>
      <c r="F2683" s="717">
        <v>1</v>
      </c>
      <c r="G2683">
        <f>VLOOKUP(B2683,'SINAPI-%MO'!B:E,4,0)</f>
        <v>0</v>
      </c>
      <c r="H2683" s="225">
        <f t="shared" si="41"/>
        <v>0.54</v>
      </c>
    </row>
    <row r="2684" spans="1:8" x14ac:dyDescent="0.3">
      <c r="A2684" s="400"/>
      <c r="B2684" s="709">
        <v>95273</v>
      </c>
      <c r="C2684" s="710" t="s">
        <v>2723</v>
      </c>
      <c r="D2684" s="709" t="s">
        <v>234</v>
      </c>
      <c r="E2684" s="716">
        <v>0.12</v>
      </c>
      <c r="F2684" s="717">
        <v>1</v>
      </c>
      <c r="G2684">
        <f>VLOOKUP(B2684,'SINAPI-%MO'!B:E,4,0)</f>
        <v>0</v>
      </c>
      <c r="H2684" s="225">
        <f t="shared" si="41"/>
        <v>0.12</v>
      </c>
    </row>
    <row r="2685" spans="1:8" x14ac:dyDescent="0.3">
      <c r="A2685" s="400"/>
      <c r="B2685" s="709">
        <v>95274</v>
      </c>
      <c r="C2685" s="710" t="s">
        <v>2724</v>
      </c>
      <c r="D2685" s="709" t="s">
        <v>234</v>
      </c>
      <c r="E2685" s="716">
        <v>0.42</v>
      </c>
      <c r="F2685" s="717">
        <v>1</v>
      </c>
      <c r="G2685">
        <f>VLOOKUP(B2685,'SINAPI-%MO'!B:E,4,0)</f>
        <v>0</v>
      </c>
      <c r="H2685" s="225">
        <f t="shared" si="41"/>
        <v>0.42</v>
      </c>
    </row>
    <row r="2686" spans="1:8" x14ac:dyDescent="0.3">
      <c r="A2686" s="400"/>
      <c r="B2686" s="709">
        <v>95275</v>
      </c>
      <c r="C2686" s="710" t="s">
        <v>2725</v>
      </c>
      <c r="D2686" s="709" t="s">
        <v>234</v>
      </c>
      <c r="E2686" s="716">
        <v>2.66</v>
      </c>
      <c r="F2686" s="717">
        <v>0</v>
      </c>
      <c r="G2686">
        <f>VLOOKUP(B2686,'SINAPI-%MO'!B:E,4,0)</f>
        <v>0</v>
      </c>
      <c r="H2686" s="225">
        <f t="shared" si="41"/>
        <v>2.66</v>
      </c>
    </row>
    <row r="2687" spans="1:8" x14ac:dyDescent="0.3">
      <c r="A2687" s="400"/>
      <c r="B2687" s="709">
        <v>106232</v>
      </c>
      <c r="C2687" s="710" t="s">
        <v>14956</v>
      </c>
      <c r="D2687" s="709" t="s">
        <v>234</v>
      </c>
      <c r="E2687" s="716">
        <v>0</v>
      </c>
      <c r="F2687" s="717"/>
      <c r="G2687" t="e">
        <f>VLOOKUP(B2687,'SINAPI-%MO'!B:E,4,0)</f>
        <v>#N/A</v>
      </c>
      <c r="H2687" s="225" t="str">
        <f t="shared" si="41"/>
        <v/>
      </c>
    </row>
    <row r="2688" spans="1:8" x14ac:dyDescent="0.3">
      <c r="A2688" s="400"/>
      <c r="B2688" s="709">
        <v>106235</v>
      </c>
      <c r="C2688" s="710" t="s">
        <v>14957</v>
      </c>
      <c r="D2688" s="709" t="s">
        <v>234</v>
      </c>
      <c r="E2688" s="716">
        <v>0</v>
      </c>
      <c r="F2688" s="717"/>
      <c r="G2688" t="e">
        <f>VLOOKUP(B2688,'SINAPI-%MO'!B:E,4,0)</f>
        <v>#N/A</v>
      </c>
      <c r="H2688" s="225" t="str">
        <f t="shared" si="41"/>
        <v/>
      </c>
    </row>
    <row r="2689" spans="1:8" x14ac:dyDescent="0.3">
      <c r="A2689" s="400"/>
      <c r="B2689" s="709">
        <v>106233</v>
      </c>
      <c r="C2689" s="710" t="s">
        <v>14958</v>
      </c>
      <c r="D2689" s="709" t="s">
        <v>234</v>
      </c>
      <c r="E2689" s="716">
        <v>0</v>
      </c>
      <c r="F2689" s="717"/>
      <c r="G2689" t="e">
        <f>VLOOKUP(B2689,'SINAPI-%MO'!B:E,4,0)</f>
        <v>#N/A</v>
      </c>
      <c r="H2689" s="225" t="str">
        <f t="shared" si="41"/>
        <v/>
      </c>
    </row>
    <row r="2690" spans="1:8" x14ac:dyDescent="0.3">
      <c r="A2690" s="400"/>
      <c r="B2690" s="709">
        <v>106234</v>
      </c>
      <c r="C2690" s="710" t="s">
        <v>14959</v>
      </c>
      <c r="D2690" s="709" t="s">
        <v>234</v>
      </c>
      <c r="E2690" s="716">
        <v>0</v>
      </c>
      <c r="F2690" s="717"/>
      <c r="G2690" t="e">
        <f>VLOOKUP(B2690,'SINAPI-%MO'!B:E,4,0)</f>
        <v>#N/A</v>
      </c>
      <c r="H2690" s="225" t="str">
        <f t="shared" si="41"/>
        <v/>
      </c>
    </row>
    <row r="2691" spans="1:8" x14ac:dyDescent="0.3">
      <c r="A2691" s="400"/>
      <c r="B2691" s="709">
        <v>106236</v>
      </c>
      <c r="C2691" s="710" t="s">
        <v>13379</v>
      </c>
      <c r="D2691" s="709" t="s">
        <v>234</v>
      </c>
      <c r="E2691" s="716">
        <v>166.86</v>
      </c>
      <c r="F2691" s="717">
        <v>0</v>
      </c>
      <c r="G2691">
        <f>VLOOKUP(B2691,'SINAPI-%MO'!B:E,4,0)</f>
        <v>0</v>
      </c>
      <c r="H2691" s="225">
        <f t="shared" si="41"/>
        <v>166.86</v>
      </c>
    </row>
    <row r="2692" spans="1:8" x14ac:dyDescent="0.3">
      <c r="A2692" s="400"/>
      <c r="B2692" s="709">
        <v>88419</v>
      </c>
      <c r="C2692" s="710" t="s">
        <v>2726</v>
      </c>
      <c r="D2692" s="709" t="s">
        <v>234</v>
      </c>
      <c r="E2692" s="716">
        <v>5.0999999999999996</v>
      </c>
      <c r="F2692" s="717">
        <v>0</v>
      </c>
      <c r="G2692">
        <f>VLOOKUP(B2692,'SINAPI-%MO'!B:E,4,0)</f>
        <v>0</v>
      </c>
      <c r="H2692" s="225">
        <f t="shared" si="41"/>
        <v>5.0999999999999996</v>
      </c>
    </row>
    <row r="2693" spans="1:8" x14ac:dyDescent="0.3">
      <c r="A2693" s="400"/>
      <c r="B2693" s="709">
        <v>88422</v>
      </c>
      <c r="C2693" s="710" t="s">
        <v>2727</v>
      </c>
      <c r="D2693" s="709" t="s">
        <v>234</v>
      </c>
      <c r="E2693" s="716">
        <v>1.18</v>
      </c>
      <c r="F2693" s="717">
        <v>0</v>
      </c>
      <c r="G2693">
        <f>VLOOKUP(B2693,'SINAPI-%MO'!B:E,4,0)</f>
        <v>0</v>
      </c>
      <c r="H2693" s="225">
        <f t="shared" si="41"/>
        <v>1.18</v>
      </c>
    </row>
    <row r="2694" spans="1:8" x14ac:dyDescent="0.3">
      <c r="A2694" s="400"/>
      <c r="B2694" s="709">
        <v>88425</v>
      </c>
      <c r="C2694" s="710" t="s">
        <v>2728</v>
      </c>
      <c r="D2694" s="709" t="s">
        <v>234</v>
      </c>
      <c r="E2694" s="716">
        <v>6.37</v>
      </c>
      <c r="F2694" s="717">
        <v>0</v>
      </c>
      <c r="G2694">
        <f>VLOOKUP(B2694,'SINAPI-%MO'!B:E,4,0)</f>
        <v>0</v>
      </c>
      <c r="H2694" s="225">
        <f t="shared" si="41"/>
        <v>6.37</v>
      </c>
    </row>
    <row r="2695" spans="1:8" x14ac:dyDescent="0.3">
      <c r="A2695" s="400"/>
      <c r="B2695" s="709">
        <v>88427</v>
      </c>
      <c r="C2695" s="710" t="s">
        <v>2729</v>
      </c>
      <c r="D2695" s="709" t="s">
        <v>234</v>
      </c>
      <c r="E2695" s="716">
        <v>1.1100000000000001</v>
      </c>
      <c r="F2695" s="717">
        <v>0</v>
      </c>
      <c r="G2695">
        <f>VLOOKUP(B2695,'SINAPI-%MO'!B:E,4,0)</f>
        <v>0</v>
      </c>
      <c r="H2695" s="225">
        <f t="shared" si="41"/>
        <v>1.1100000000000001</v>
      </c>
    </row>
    <row r="2696" spans="1:8" x14ac:dyDescent="0.3">
      <c r="A2696" s="400"/>
      <c r="B2696" s="709">
        <v>88434</v>
      </c>
      <c r="C2696" s="710" t="s">
        <v>2730</v>
      </c>
      <c r="D2696" s="709" t="s">
        <v>234</v>
      </c>
      <c r="E2696" s="716">
        <v>6.76</v>
      </c>
      <c r="F2696" s="717">
        <v>0</v>
      </c>
      <c r="G2696">
        <f>VLOOKUP(B2696,'SINAPI-%MO'!B:E,4,0)</f>
        <v>0</v>
      </c>
      <c r="H2696" s="225">
        <f t="shared" si="41"/>
        <v>6.76</v>
      </c>
    </row>
    <row r="2697" spans="1:8" x14ac:dyDescent="0.3">
      <c r="A2697" s="400"/>
      <c r="B2697" s="709">
        <v>88435</v>
      </c>
      <c r="C2697" s="710" t="s">
        <v>2731</v>
      </c>
      <c r="D2697" s="709" t="s">
        <v>234</v>
      </c>
      <c r="E2697" s="716">
        <v>1.56</v>
      </c>
      <c r="F2697" s="717">
        <v>0</v>
      </c>
      <c r="G2697">
        <f>VLOOKUP(B2697,'SINAPI-%MO'!B:E,4,0)</f>
        <v>0</v>
      </c>
      <c r="H2697" s="225">
        <f t="shared" si="41"/>
        <v>1.56</v>
      </c>
    </row>
    <row r="2698" spans="1:8" x14ac:dyDescent="0.3">
      <c r="A2698" s="400"/>
      <c r="B2698" s="709">
        <v>88436</v>
      </c>
      <c r="C2698" s="710" t="s">
        <v>2732</v>
      </c>
      <c r="D2698" s="709" t="s">
        <v>234</v>
      </c>
      <c r="E2698" s="716">
        <v>8.4499999999999993</v>
      </c>
      <c r="F2698" s="717">
        <v>0</v>
      </c>
      <c r="G2698">
        <f>VLOOKUP(B2698,'SINAPI-%MO'!B:E,4,0)</f>
        <v>0</v>
      </c>
      <c r="H2698" s="225">
        <f t="shared" si="41"/>
        <v>8.4499999999999993</v>
      </c>
    </row>
    <row r="2699" spans="1:8" x14ac:dyDescent="0.3">
      <c r="A2699" s="400"/>
      <c r="B2699" s="709">
        <v>88437</v>
      </c>
      <c r="C2699" s="710" t="s">
        <v>2733</v>
      </c>
      <c r="D2699" s="709" t="s">
        <v>234</v>
      </c>
      <c r="E2699" s="716">
        <v>1.1100000000000001</v>
      </c>
      <c r="F2699" s="717">
        <v>0</v>
      </c>
      <c r="G2699">
        <f>VLOOKUP(B2699,'SINAPI-%MO'!B:E,4,0)</f>
        <v>0</v>
      </c>
      <c r="H2699" s="225">
        <f t="shared" ref="H2699:H2762" si="42">IF(E2699&gt;0,TRUNC(E2699*(1-G2699),2),"")</f>
        <v>1.1100000000000001</v>
      </c>
    </row>
    <row r="2700" spans="1:8" x14ac:dyDescent="0.3">
      <c r="A2700" s="400"/>
      <c r="B2700" s="709">
        <v>90664</v>
      </c>
      <c r="C2700" s="710" t="s">
        <v>2734</v>
      </c>
      <c r="D2700" s="709" t="s">
        <v>234</v>
      </c>
      <c r="E2700" s="716">
        <v>7.06</v>
      </c>
      <c r="F2700" s="717">
        <v>0.99429999999999996</v>
      </c>
      <c r="G2700">
        <f>VLOOKUP(B2700,'SINAPI-%MO'!B:E,4,0)</f>
        <v>0</v>
      </c>
      <c r="H2700" s="225">
        <f t="shared" si="42"/>
        <v>7.06</v>
      </c>
    </row>
    <row r="2701" spans="1:8" x14ac:dyDescent="0.3">
      <c r="A2701" s="400"/>
      <c r="B2701" s="709">
        <v>90665</v>
      </c>
      <c r="C2701" s="710" t="s">
        <v>2735</v>
      </c>
      <c r="D2701" s="709" t="s">
        <v>234</v>
      </c>
      <c r="E2701" s="716">
        <v>1.88</v>
      </c>
      <c r="F2701" s="717">
        <v>1</v>
      </c>
      <c r="G2701">
        <f>VLOOKUP(B2701,'SINAPI-%MO'!B:E,4,0)</f>
        <v>0</v>
      </c>
      <c r="H2701" s="225">
        <f t="shared" si="42"/>
        <v>1.88</v>
      </c>
    </row>
    <row r="2702" spans="1:8" x14ac:dyDescent="0.3">
      <c r="A2702" s="400"/>
      <c r="B2702" s="709">
        <v>90666</v>
      </c>
      <c r="C2702" s="710" t="s">
        <v>2736</v>
      </c>
      <c r="D2702" s="709" t="s">
        <v>234</v>
      </c>
      <c r="E2702" s="716">
        <v>8.84</v>
      </c>
      <c r="F2702" s="717">
        <v>0.99429999999999996</v>
      </c>
      <c r="G2702">
        <f>VLOOKUP(B2702,'SINAPI-%MO'!B:E,4,0)</f>
        <v>0</v>
      </c>
      <c r="H2702" s="225">
        <f t="shared" si="42"/>
        <v>8.84</v>
      </c>
    </row>
    <row r="2703" spans="1:8" x14ac:dyDescent="0.3">
      <c r="A2703" s="400"/>
      <c r="B2703" s="709">
        <v>90667</v>
      </c>
      <c r="C2703" s="710" t="s">
        <v>2737</v>
      </c>
      <c r="D2703" s="709" t="s">
        <v>234</v>
      </c>
      <c r="E2703" s="716">
        <v>16.12</v>
      </c>
      <c r="F2703" s="717">
        <v>0</v>
      </c>
      <c r="G2703">
        <f>VLOOKUP(B2703,'SINAPI-%MO'!B:E,4,0)</f>
        <v>0</v>
      </c>
      <c r="H2703" s="225">
        <f t="shared" si="42"/>
        <v>16.12</v>
      </c>
    </row>
    <row r="2704" spans="1:8" x14ac:dyDescent="0.3">
      <c r="A2704" s="400"/>
      <c r="B2704" s="709">
        <v>102977</v>
      </c>
      <c r="C2704" s="710" t="s">
        <v>2738</v>
      </c>
      <c r="D2704" s="709" t="s">
        <v>234</v>
      </c>
      <c r="E2704" s="716">
        <v>0</v>
      </c>
      <c r="F2704" s="717"/>
      <c r="G2704" t="e">
        <f>VLOOKUP(B2704,'SINAPI-%MO'!B:E,4,0)</f>
        <v>#N/A</v>
      </c>
      <c r="H2704" s="225" t="str">
        <f t="shared" si="42"/>
        <v/>
      </c>
    </row>
    <row r="2705" spans="1:8" x14ac:dyDescent="0.3">
      <c r="A2705" s="400"/>
      <c r="B2705" s="709">
        <v>102978</v>
      </c>
      <c r="C2705" s="710" t="s">
        <v>2739</v>
      </c>
      <c r="D2705" s="709" t="s">
        <v>234</v>
      </c>
      <c r="E2705" s="716">
        <v>0</v>
      </c>
      <c r="F2705" s="717"/>
      <c r="G2705" t="e">
        <f>VLOOKUP(B2705,'SINAPI-%MO'!B:E,4,0)</f>
        <v>#N/A</v>
      </c>
      <c r="H2705" s="225" t="str">
        <f t="shared" si="42"/>
        <v/>
      </c>
    </row>
    <row r="2706" spans="1:8" x14ac:dyDescent="0.3">
      <c r="A2706" s="400"/>
      <c r="B2706" s="709">
        <v>102979</v>
      </c>
      <c r="C2706" s="710" t="s">
        <v>2740</v>
      </c>
      <c r="D2706" s="709" t="s">
        <v>234</v>
      </c>
      <c r="E2706" s="716">
        <v>0</v>
      </c>
      <c r="F2706" s="717"/>
      <c r="G2706" t="e">
        <f>VLOOKUP(B2706,'SINAPI-%MO'!B:E,4,0)</f>
        <v>#N/A</v>
      </c>
      <c r="H2706" s="225" t="str">
        <f t="shared" si="42"/>
        <v/>
      </c>
    </row>
    <row r="2707" spans="1:8" x14ac:dyDescent="0.3">
      <c r="A2707" s="400"/>
      <c r="B2707" s="709">
        <v>95217</v>
      </c>
      <c r="C2707" s="710" t="s">
        <v>2741</v>
      </c>
      <c r="D2707" s="709" t="s">
        <v>234</v>
      </c>
      <c r="E2707" s="716">
        <v>0.66</v>
      </c>
      <c r="F2707" s="717">
        <v>0</v>
      </c>
      <c r="G2707">
        <f>VLOOKUP(B2707,'SINAPI-%MO'!B:E,4,0)</f>
        <v>0</v>
      </c>
      <c r="H2707" s="225">
        <f t="shared" si="42"/>
        <v>0.66</v>
      </c>
    </row>
    <row r="2708" spans="1:8" x14ac:dyDescent="0.3">
      <c r="A2708" s="400"/>
      <c r="B2708" s="709">
        <v>89130</v>
      </c>
      <c r="C2708" s="710" t="s">
        <v>2742</v>
      </c>
      <c r="D2708" s="709" t="s">
        <v>234</v>
      </c>
      <c r="E2708" s="716">
        <v>54.35</v>
      </c>
      <c r="F2708" s="717">
        <v>0</v>
      </c>
      <c r="G2708">
        <f>VLOOKUP(B2708,'SINAPI-%MO'!B:E,4,0)</f>
        <v>0</v>
      </c>
      <c r="H2708" s="225">
        <f t="shared" si="42"/>
        <v>54.35</v>
      </c>
    </row>
    <row r="2709" spans="1:8" x14ac:dyDescent="0.3">
      <c r="A2709" s="400"/>
      <c r="B2709" s="709">
        <v>89131</v>
      </c>
      <c r="C2709" s="710" t="s">
        <v>2743</v>
      </c>
      <c r="D2709" s="709" t="s">
        <v>234</v>
      </c>
      <c r="E2709" s="716">
        <v>14.36</v>
      </c>
      <c r="F2709" s="717">
        <v>0</v>
      </c>
      <c r="G2709">
        <f>VLOOKUP(B2709,'SINAPI-%MO'!B:E,4,0)</f>
        <v>0</v>
      </c>
      <c r="H2709" s="225">
        <f t="shared" si="42"/>
        <v>14.36</v>
      </c>
    </row>
    <row r="2710" spans="1:8" x14ac:dyDescent="0.3">
      <c r="A2710" s="400"/>
      <c r="B2710" s="709">
        <v>53861</v>
      </c>
      <c r="C2710" s="710" t="s">
        <v>2744</v>
      </c>
      <c r="D2710" s="709" t="s">
        <v>234</v>
      </c>
      <c r="E2710" s="716">
        <v>67.94</v>
      </c>
      <c r="F2710" s="717">
        <v>0</v>
      </c>
      <c r="G2710">
        <f>VLOOKUP(B2710,'SINAPI-%MO'!B:E,4,0)</f>
        <v>0</v>
      </c>
      <c r="H2710" s="225">
        <f t="shared" si="42"/>
        <v>67.94</v>
      </c>
    </row>
    <row r="2711" spans="1:8" x14ac:dyDescent="0.3">
      <c r="A2711" s="400"/>
      <c r="B2711" s="709">
        <v>5787</v>
      </c>
      <c r="C2711" s="710" t="s">
        <v>2745</v>
      </c>
      <c r="D2711" s="709" t="s">
        <v>234</v>
      </c>
      <c r="E2711" s="716">
        <v>75.849999999999994</v>
      </c>
      <c r="F2711" s="717">
        <v>0</v>
      </c>
      <c r="G2711">
        <f>VLOOKUP(B2711,'SINAPI-%MO'!B:E,4,0)</f>
        <v>0</v>
      </c>
      <c r="H2711" s="225">
        <f t="shared" si="42"/>
        <v>75.849999999999994</v>
      </c>
    </row>
    <row r="2712" spans="1:8" x14ac:dyDescent="0.3">
      <c r="A2712" s="400"/>
      <c r="B2712" s="709">
        <v>89128</v>
      </c>
      <c r="C2712" s="710" t="s">
        <v>2746</v>
      </c>
      <c r="D2712" s="709" t="s">
        <v>234</v>
      </c>
      <c r="E2712" s="716">
        <v>39.200000000000003</v>
      </c>
      <c r="F2712" s="717">
        <v>0</v>
      </c>
      <c r="G2712">
        <f>VLOOKUP(B2712,'SINAPI-%MO'!B:E,4,0)</f>
        <v>0</v>
      </c>
      <c r="H2712" s="225">
        <f t="shared" si="42"/>
        <v>39.200000000000003</v>
      </c>
    </row>
    <row r="2713" spans="1:8" x14ac:dyDescent="0.3">
      <c r="A2713" s="400"/>
      <c r="B2713" s="709">
        <v>89129</v>
      </c>
      <c r="C2713" s="710" t="s">
        <v>2747</v>
      </c>
      <c r="D2713" s="709" t="s">
        <v>234</v>
      </c>
      <c r="E2713" s="716">
        <v>10.36</v>
      </c>
      <c r="F2713" s="717">
        <v>0</v>
      </c>
      <c r="G2713">
        <f>VLOOKUP(B2713,'SINAPI-%MO'!B:E,4,0)</f>
        <v>0</v>
      </c>
      <c r="H2713" s="225">
        <f t="shared" si="42"/>
        <v>10.36</v>
      </c>
    </row>
    <row r="2714" spans="1:8" x14ac:dyDescent="0.3">
      <c r="A2714" s="400"/>
      <c r="B2714" s="709">
        <v>53857</v>
      </c>
      <c r="C2714" s="710" t="s">
        <v>2748</v>
      </c>
      <c r="D2714" s="709" t="s">
        <v>234</v>
      </c>
      <c r="E2714" s="716">
        <v>49</v>
      </c>
      <c r="F2714" s="717">
        <v>0</v>
      </c>
      <c r="G2714">
        <f>VLOOKUP(B2714,'SINAPI-%MO'!B:E,4,0)</f>
        <v>0</v>
      </c>
      <c r="H2714" s="225">
        <f t="shared" si="42"/>
        <v>49</v>
      </c>
    </row>
    <row r="2715" spans="1:8" x14ac:dyDescent="0.3">
      <c r="A2715" s="400"/>
      <c r="B2715" s="709">
        <v>53858</v>
      </c>
      <c r="C2715" s="710" t="s">
        <v>2749</v>
      </c>
      <c r="D2715" s="709" t="s">
        <v>234</v>
      </c>
      <c r="E2715" s="716">
        <v>49.27</v>
      </c>
      <c r="F2715" s="717">
        <v>0</v>
      </c>
      <c r="G2715">
        <f>VLOOKUP(B2715,'SINAPI-%MO'!B:E,4,0)</f>
        <v>0</v>
      </c>
      <c r="H2715" s="225">
        <f t="shared" si="42"/>
        <v>49.27</v>
      </c>
    </row>
    <row r="2716" spans="1:8" x14ac:dyDescent="0.3">
      <c r="A2716" s="400"/>
      <c r="B2716" s="709">
        <v>102888</v>
      </c>
      <c r="C2716" s="710" t="s">
        <v>2750</v>
      </c>
      <c r="D2716" s="709" t="s">
        <v>234</v>
      </c>
      <c r="E2716" s="716">
        <v>0</v>
      </c>
      <c r="F2716" s="717"/>
      <c r="G2716" t="e">
        <f>VLOOKUP(B2716,'SINAPI-%MO'!B:E,4,0)</f>
        <v>#N/A</v>
      </c>
      <c r="H2716" s="225" t="str">
        <f t="shared" si="42"/>
        <v/>
      </c>
    </row>
    <row r="2717" spans="1:8" x14ac:dyDescent="0.3">
      <c r="A2717" s="400"/>
      <c r="B2717" s="709">
        <v>102889</v>
      </c>
      <c r="C2717" s="710" t="s">
        <v>2751</v>
      </c>
      <c r="D2717" s="709" t="s">
        <v>234</v>
      </c>
      <c r="E2717" s="716">
        <v>0</v>
      </c>
      <c r="F2717" s="717"/>
      <c r="G2717" t="e">
        <f>VLOOKUP(B2717,'SINAPI-%MO'!B:E,4,0)</f>
        <v>#N/A</v>
      </c>
      <c r="H2717" s="225" t="str">
        <f t="shared" si="42"/>
        <v/>
      </c>
    </row>
    <row r="2718" spans="1:8" x14ac:dyDescent="0.3">
      <c r="A2718" s="400"/>
      <c r="B2718" s="709">
        <v>102890</v>
      </c>
      <c r="C2718" s="710" t="s">
        <v>2752</v>
      </c>
      <c r="D2718" s="709" t="s">
        <v>234</v>
      </c>
      <c r="E2718" s="716">
        <v>0</v>
      </c>
      <c r="F2718" s="717"/>
      <c r="G2718" t="e">
        <f>VLOOKUP(B2718,'SINAPI-%MO'!B:E,4,0)</f>
        <v>#N/A</v>
      </c>
      <c r="H2718" s="225" t="str">
        <f t="shared" si="42"/>
        <v/>
      </c>
    </row>
    <row r="2719" spans="1:8" x14ac:dyDescent="0.3">
      <c r="A2719" s="400"/>
      <c r="B2719" s="709">
        <v>102891</v>
      </c>
      <c r="C2719" s="710" t="s">
        <v>2753</v>
      </c>
      <c r="D2719" s="709" t="s">
        <v>234</v>
      </c>
      <c r="E2719" s="716">
        <v>1.34</v>
      </c>
      <c r="F2719" s="717">
        <v>0</v>
      </c>
      <c r="G2719">
        <f>VLOOKUP(B2719,'SINAPI-%MO'!B:E,4,0)</f>
        <v>0</v>
      </c>
      <c r="H2719" s="225">
        <f t="shared" si="42"/>
        <v>1.34</v>
      </c>
    </row>
    <row r="2720" spans="1:8" x14ac:dyDescent="0.3">
      <c r="A2720" s="400"/>
      <c r="B2720" s="709">
        <v>89246</v>
      </c>
      <c r="C2720" s="710" t="s">
        <v>2754</v>
      </c>
      <c r="D2720" s="709" t="s">
        <v>234</v>
      </c>
      <c r="E2720" s="716">
        <v>250.24</v>
      </c>
      <c r="F2720" s="717">
        <v>1</v>
      </c>
      <c r="G2720">
        <f>VLOOKUP(B2720,'SINAPI-%MO'!B:E,4,0)</f>
        <v>0</v>
      </c>
      <c r="H2720" s="225">
        <f t="shared" si="42"/>
        <v>250.24</v>
      </c>
    </row>
    <row r="2721" spans="1:8" x14ac:dyDescent="0.3">
      <c r="A2721" s="400"/>
      <c r="B2721" s="709">
        <v>89247</v>
      </c>
      <c r="C2721" s="710" t="s">
        <v>2755</v>
      </c>
      <c r="D2721" s="709" t="s">
        <v>234</v>
      </c>
      <c r="E2721" s="716">
        <v>76.62</v>
      </c>
      <c r="F2721" s="717">
        <v>1</v>
      </c>
      <c r="G2721">
        <f>VLOOKUP(B2721,'SINAPI-%MO'!B:E,4,0)</f>
        <v>0</v>
      </c>
      <c r="H2721" s="225">
        <f t="shared" si="42"/>
        <v>76.62</v>
      </c>
    </row>
    <row r="2722" spans="1:8" x14ac:dyDescent="0.3">
      <c r="A2722" s="400"/>
      <c r="B2722" s="709">
        <v>89248</v>
      </c>
      <c r="C2722" s="710" t="s">
        <v>2756</v>
      </c>
      <c r="D2722" s="709" t="s">
        <v>234</v>
      </c>
      <c r="E2722" s="716">
        <v>446.36</v>
      </c>
      <c r="F2722" s="717">
        <v>1</v>
      </c>
      <c r="G2722">
        <f>VLOOKUP(B2722,'SINAPI-%MO'!B:E,4,0)</f>
        <v>0</v>
      </c>
      <c r="H2722" s="225">
        <f t="shared" si="42"/>
        <v>446.36</v>
      </c>
    </row>
    <row r="2723" spans="1:8" x14ac:dyDescent="0.3">
      <c r="A2723" s="400"/>
      <c r="B2723" s="709">
        <v>89249</v>
      </c>
      <c r="C2723" s="710" t="s">
        <v>2757</v>
      </c>
      <c r="D2723" s="709" t="s">
        <v>234</v>
      </c>
      <c r="E2723" s="716">
        <v>406.09</v>
      </c>
      <c r="F2723" s="717">
        <v>0</v>
      </c>
      <c r="G2723">
        <f>VLOOKUP(B2723,'SINAPI-%MO'!B:E,4,0)</f>
        <v>0</v>
      </c>
      <c r="H2723" s="225">
        <f t="shared" si="42"/>
        <v>406.09</v>
      </c>
    </row>
    <row r="2724" spans="1:8" x14ac:dyDescent="0.3">
      <c r="A2724" s="400"/>
      <c r="B2724" s="709">
        <v>102954</v>
      </c>
      <c r="C2724" s="710" t="s">
        <v>2758</v>
      </c>
      <c r="D2724" s="709" t="s">
        <v>234</v>
      </c>
      <c r="E2724" s="716">
        <v>0</v>
      </c>
      <c r="F2724" s="717"/>
      <c r="G2724" t="e">
        <f>VLOOKUP(B2724,'SINAPI-%MO'!B:E,4,0)</f>
        <v>#N/A</v>
      </c>
      <c r="H2724" s="225" t="str">
        <f t="shared" si="42"/>
        <v/>
      </c>
    </row>
    <row r="2725" spans="1:8" x14ac:dyDescent="0.3">
      <c r="A2725" s="400"/>
      <c r="B2725" s="709">
        <v>104727</v>
      </c>
      <c r="C2725" s="710" t="s">
        <v>2759</v>
      </c>
      <c r="D2725" s="709" t="s">
        <v>234</v>
      </c>
      <c r="E2725" s="716">
        <v>0</v>
      </c>
      <c r="F2725" s="717"/>
      <c r="G2725" t="e">
        <f>VLOOKUP(B2725,'SINAPI-%MO'!B:E,4,0)</f>
        <v>#N/A</v>
      </c>
      <c r="H2725" s="225" t="str">
        <f t="shared" si="42"/>
        <v/>
      </c>
    </row>
    <row r="2726" spans="1:8" x14ac:dyDescent="0.3">
      <c r="A2726" s="400"/>
      <c r="B2726" s="709">
        <v>102956</v>
      </c>
      <c r="C2726" s="710" t="s">
        <v>2760</v>
      </c>
      <c r="D2726" s="709" t="s">
        <v>234</v>
      </c>
      <c r="E2726" s="716">
        <v>0</v>
      </c>
      <c r="F2726" s="717"/>
      <c r="G2726" t="e">
        <f>VLOOKUP(B2726,'SINAPI-%MO'!B:E,4,0)</f>
        <v>#N/A</v>
      </c>
      <c r="H2726" s="225" t="str">
        <f t="shared" si="42"/>
        <v/>
      </c>
    </row>
    <row r="2727" spans="1:8" x14ac:dyDescent="0.3">
      <c r="A2727" s="400"/>
      <c r="B2727" s="709">
        <v>102957</v>
      </c>
      <c r="C2727" s="710" t="s">
        <v>2761</v>
      </c>
      <c r="D2727" s="709" t="s">
        <v>234</v>
      </c>
      <c r="E2727" s="716">
        <v>42.37</v>
      </c>
      <c r="F2727" s="717">
        <v>0</v>
      </c>
      <c r="G2727">
        <f>VLOOKUP(B2727,'SINAPI-%MO'!B:E,4,0)</f>
        <v>0</v>
      </c>
      <c r="H2727" s="225">
        <f t="shared" si="42"/>
        <v>42.37</v>
      </c>
    </row>
    <row r="2728" spans="1:8" x14ac:dyDescent="0.3">
      <c r="A2728" s="400"/>
      <c r="B2728" s="709">
        <v>88859</v>
      </c>
      <c r="C2728" s="710" t="s">
        <v>2762</v>
      </c>
      <c r="D2728" s="709" t="s">
        <v>234</v>
      </c>
      <c r="E2728" s="716">
        <v>22.97</v>
      </c>
      <c r="F2728" s="717">
        <v>0</v>
      </c>
      <c r="G2728">
        <f>VLOOKUP(B2728,'SINAPI-%MO'!B:E,4,0)</f>
        <v>0</v>
      </c>
      <c r="H2728" s="225">
        <f t="shared" si="42"/>
        <v>22.97</v>
      </c>
    </row>
    <row r="2729" spans="1:8" x14ac:dyDescent="0.3">
      <c r="A2729" s="400"/>
      <c r="B2729" s="709">
        <v>88860</v>
      </c>
      <c r="C2729" s="710" t="s">
        <v>2763</v>
      </c>
      <c r="D2729" s="709" t="s">
        <v>234</v>
      </c>
      <c r="E2729" s="716">
        <v>6.07</v>
      </c>
      <c r="F2729" s="717">
        <v>0</v>
      </c>
      <c r="G2729">
        <f>VLOOKUP(B2729,'SINAPI-%MO'!B:E,4,0)</f>
        <v>0</v>
      </c>
      <c r="H2729" s="225">
        <f t="shared" si="42"/>
        <v>6.07</v>
      </c>
    </row>
    <row r="2730" spans="1:8" x14ac:dyDescent="0.3">
      <c r="A2730" s="400"/>
      <c r="B2730" s="709">
        <v>5667</v>
      </c>
      <c r="C2730" s="710" t="s">
        <v>2764</v>
      </c>
      <c r="D2730" s="709" t="s">
        <v>234</v>
      </c>
      <c r="E2730" s="716">
        <v>28.71</v>
      </c>
      <c r="F2730" s="717">
        <v>0</v>
      </c>
      <c r="G2730">
        <f>VLOOKUP(B2730,'SINAPI-%MO'!B:E,4,0)</f>
        <v>0</v>
      </c>
      <c r="H2730" s="225">
        <f t="shared" si="42"/>
        <v>28.71</v>
      </c>
    </row>
    <row r="2731" spans="1:8" x14ac:dyDescent="0.3">
      <c r="A2731" s="400"/>
      <c r="B2731" s="709">
        <v>5668</v>
      </c>
      <c r="C2731" s="710" t="s">
        <v>2765</v>
      </c>
      <c r="D2731" s="709" t="s">
        <v>234</v>
      </c>
      <c r="E2731" s="716">
        <v>49.4</v>
      </c>
      <c r="F2731" s="717">
        <v>0</v>
      </c>
      <c r="G2731">
        <f>VLOOKUP(B2731,'SINAPI-%MO'!B:E,4,0)</f>
        <v>0</v>
      </c>
      <c r="H2731" s="225">
        <f t="shared" si="42"/>
        <v>49.4</v>
      </c>
    </row>
    <row r="2732" spans="1:8" x14ac:dyDescent="0.3">
      <c r="A2732" s="400"/>
      <c r="B2732" s="709">
        <v>89011</v>
      </c>
      <c r="C2732" s="710" t="s">
        <v>2766</v>
      </c>
      <c r="D2732" s="709" t="s">
        <v>234</v>
      </c>
      <c r="E2732" s="716">
        <v>24.92</v>
      </c>
      <c r="F2732" s="717">
        <v>0</v>
      </c>
      <c r="G2732">
        <f>VLOOKUP(B2732,'SINAPI-%MO'!B:E,4,0)</f>
        <v>0</v>
      </c>
      <c r="H2732" s="225">
        <f t="shared" si="42"/>
        <v>24.92</v>
      </c>
    </row>
    <row r="2733" spans="1:8" x14ac:dyDescent="0.3">
      <c r="A2733" s="400"/>
      <c r="B2733" s="709">
        <v>89012</v>
      </c>
      <c r="C2733" s="710" t="s">
        <v>2767</v>
      </c>
      <c r="D2733" s="709" t="s">
        <v>234</v>
      </c>
      <c r="E2733" s="716">
        <v>6.58</v>
      </c>
      <c r="F2733" s="717">
        <v>0</v>
      </c>
      <c r="G2733">
        <f>VLOOKUP(B2733,'SINAPI-%MO'!B:E,4,0)</f>
        <v>0</v>
      </c>
      <c r="H2733" s="225">
        <f t="shared" si="42"/>
        <v>6.58</v>
      </c>
    </row>
    <row r="2734" spans="1:8" x14ac:dyDescent="0.3">
      <c r="A2734" s="400"/>
      <c r="B2734" s="709">
        <v>5735</v>
      </c>
      <c r="C2734" s="710" t="s">
        <v>2768</v>
      </c>
      <c r="D2734" s="709" t="s">
        <v>234</v>
      </c>
      <c r="E2734" s="716">
        <v>31.15</v>
      </c>
      <c r="F2734" s="717">
        <v>0</v>
      </c>
      <c r="G2734">
        <f>VLOOKUP(B2734,'SINAPI-%MO'!B:E,4,0)</f>
        <v>0</v>
      </c>
      <c r="H2734" s="225">
        <f t="shared" si="42"/>
        <v>31.15</v>
      </c>
    </row>
    <row r="2735" spans="1:8" x14ac:dyDescent="0.3">
      <c r="A2735" s="400"/>
      <c r="B2735" s="709">
        <v>5736</v>
      </c>
      <c r="C2735" s="710" t="s">
        <v>2769</v>
      </c>
      <c r="D2735" s="709" t="s">
        <v>234</v>
      </c>
      <c r="E2735" s="716">
        <v>45.02</v>
      </c>
      <c r="F2735" s="717">
        <v>0</v>
      </c>
      <c r="G2735">
        <f>VLOOKUP(B2735,'SINAPI-%MO'!B:E,4,0)</f>
        <v>0</v>
      </c>
      <c r="H2735" s="225">
        <f t="shared" si="42"/>
        <v>45.02</v>
      </c>
    </row>
    <row r="2736" spans="1:8" x14ac:dyDescent="0.3">
      <c r="A2736" s="400"/>
      <c r="B2736" s="709">
        <v>88857</v>
      </c>
      <c r="C2736" s="710" t="s">
        <v>2770</v>
      </c>
      <c r="D2736" s="709" t="s">
        <v>234</v>
      </c>
      <c r="E2736" s="716">
        <v>25.83</v>
      </c>
      <c r="F2736" s="717">
        <v>0</v>
      </c>
      <c r="G2736">
        <f>VLOOKUP(B2736,'SINAPI-%MO'!B:E,4,0)</f>
        <v>0</v>
      </c>
      <c r="H2736" s="225">
        <f t="shared" si="42"/>
        <v>25.83</v>
      </c>
    </row>
    <row r="2737" spans="1:8" x14ac:dyDescent="0.3">
      <c r="A2737" s="400"/>
      <c r="B2737" s="709">
        <v>88858</v>
      </c>
      <c r="C2737" s="710" t="s">
        <v>2771</v>
      </c>
      <c r="D2737" s="709" t="s">
        <v>234</v>
      </c>
      <c r="E2737" s="716">
        <v>6.82</v>
      </c>
      <c r="F2737" s="717">
        <v>0</v>
      </c>
      <c r="G2737">
        <f>VLOOKUP(B2737,'SINAPI-%MO'!B:E,4,0)</f>
        <v>0</v>
      </c>
      <c r="H2737" s="225">
        <f t="shared" si="42"/>
        <v>6.82</v>
      </c>
    </row>
    <row r="2738" spans="1:8" x14ac:dyDescent="0.3">
      <c r="A2738" s="400"/>
      <c r="B2738" s="709">
        <v>5664</v>
      </c>
      <c r="C2738" s="710" t="s">
        <v>2772</v>
      </c>
      <c r="D2738" s="709" t="s">
        <v>234</v>
      </c>
      <c r="E2738" s="716">
        <v>32.28</v>
      </c>
      <c r="F2738" s="717">
        <v>0</v>
      </c>
      <c r="G2738">
        <f>VLOOKUP(B2738,'SINAPI-%MO'!B:E,4,0)</f>
        <v>0</v>
      </c>
      <c r="H2738" s="225">
        <f t="shared" si="42"/>
        <v>32.28</v>
      </c>
    </row>
    <row r="2739" spans="1:8" x14ac:dyDescent="0.3">
      <c r="A2739" s="400"/>
      <c r="B2739" s="709">
        <v>53786</v>
      </c>
      <c r="C2739" s="710" t="s">
        <v>2773</v>
      </c>
      <c r="D2739" s="709" t="s">
        <v>234</v>
      </c>
      <c r="E2739" s="716">
        <v>55.01</v>
      </c>
      <c r="F2739" s="717">
        <v>0</v>
      </c>
      <c r="G2739">
        <f>VLOOKUP(B2739,'SINAPI-%MO'!B:E,4,0)</f>
        <v>0</v>
      </c>
      <c r="H2739" s="225">
        <f t="shared" si="42"/>
        <v>55.01</v>
      </c>
    </row>
    <row r="2740" spans="1:8" x14ac:dyDescent="0.3">
      <c r="A2740" s="400"/>
      <c r="B2740" s="709">
        <v>7038</v>
      </c>
      <c r="C2740" s="710" t="s">
        <v>2774</v>
      </c>
      <c r="D2740" s="709" t="s">
        <v>234</v>
      </c>
      <c r="E2740" s="716">
        <v>47.39</v>
      </c>
      <c r="F2740" s="717">
        <v>1</v>
      </c>
      <c r="G2740">
        <f>VLOOKUP(B2740,'SINAPI-%MO'!B:E,4,0)</f>
        <v>0</v>
      </c>
      <c r="H2740" s="225">
        <f t="shared" si="42"/>
        <v>47.39</v>
      </c>
    </row>
    <row r="2741" spans="1:8" x14ac:dyDescent="0.3">
      <c r="A2741" s="400"/>
      <c r="B2741" s="709">
        <v>7039</v>
      </c>
      <c r="C2741" s="710" t="s">
        <v>2775</v>
      </c>
      <c r="D2741" s="709" t="s">
        <v>234</v>
      </c>
      <c r="E2741" s="716">
        <v>12.71</v>
      </c>
      <c r="F2741" s="717">
        <v>1</v>
      </c>
      <c r="G2741">
        <f>VLOOKUP(B2741,'SINAPI-%MO'!B:E,4,0)</f>
        <v>0</v>
      </c>
      <c r="H2741" s="225">
        <f t="shared" si="42"/>
        <v>12.71</v>
      </c>
    </row>
    <row r="2742" spans="1:8" x14ac:dyDescent="0.3">
      <c r="A2742" s="400"/>
      <c r="B2742" s="709">
        <v>7040</v>
      </c>
      <c r="C2742" s="710" t="s">
        <v>2776</v>
      </c>
      <c r="D2742" s="709" t="s">
        <v>234</v>
      </c>
      <c r="E2742" s="716">
        <v>59.3</v>
      </c>
      <c r="F2742" s="717">
        <v>1</v>
      </c>
      <c r="G2742">
        <f>VLOOKUP(B2742,'SINAPI-%MO'!B:E,4,0)</f>
        <v>0</v>
      </c>
      <c r="H2742" s="225">
        <f t="shared" si="42"/>
        <v>59.3</v>
      </c>
    </row>
    <row r="2743" spans="1:8" x14ac:dyDescent="0.3">
      <c r="A2743" s="400"/>
      <c r="B2743" s="709">
        <v>55263</v>
      </c>
      <c r="C2743" s="710" t="s">
        <v>2777</v>
      </c>
      <c r="D2743" s="709" t="s">
        <v>234</v>
      </c>
      <c r="E2743" s="716">
        <v>69.459999999999994</v>
      </c>
      <c r="F2743" s="717">
        <v>0</v>
      </c>
      <c r="G2743">
        <f>VLOOKUP(B2743,'SINAPI-%MO'!B:E,4,0)</f>
        <v>0</v>
      </c>
      <c r="H2743" s="225">
        <f t="shared" si="42"/>
        <v>69.459999999999994</v>
      </c>
    </row>
    <row r="2744" spans="1:8" x14ac:dyDescent="0.3">
      <c r="A2744" s="400"/>
      <c r="B2744" s="709">
        <v>96460</v>
      </c>
      <c r="C2744" s="710" t="s">
        <v>2778</v>
      </c>
      <c r="D2744" s="709" t="s">
        <v>234</v>
      </c>
      <c r="E2744" s="716">
        <v>50.3</v>
      </c>
      <c r="F2744" s="717">
        <v>1</v>
      </c>
      <c r="G2744">
        <f>VLOOKUP(B2744,'SINAPI-%MO'!B:E,4,0)</f>
        <v>0</v>
      </c>
      <c r="H2744" s="225">
        <f t="shared" si="42"/>
        <v>50.3</v>
      </c>
    </row>
    <row r="2745" spans="1:8" x14ac:dyDescent="0.3">
      <c r="A2745" s="400"/>
      <c r="B2745" s="709">
        <v>96459</v>
      </c>
      <c r="C2745" s="710" t="s">
        <v>2779</v>
      </c>
      <c r="D2745" s="709" t="s">
        <v>234</v>
      </c>
      <c r="E2745" s="716">
        <v>13.49</v>
      </c>
      <c r="F2745" s="717">
        <v>1</v>
      </c>
      <c r="G2745">
        <f>VLOOKUP(B2745,'SINAPI-%MO'!B:E,4,0)</f>
        <v>0</v>
      </c>
      <c r="H2745" s="225">
        <f t="shared" si="42"/>
        <v>13.49</v>
      </c>
    </row>
    <row r="2746" spans="1:8" x14ac:dyDescent="0.3">
      <c r="A2746" s="400"/>
      <c r="B2746" s="709">
        <v>96458</v>
      </c>
      <c r="C2746" s="710" t="s">
        <v>2780</v>
      </c>
      <c r="D2746" s="709" t="s">
        <v>234</v>
      </c>
      <c r="E2746" s="716">
        <v>62.95</v>
      </c>
      <c r="F2746" s="717">
        <v>1</v>
      </c>
      <c r="G2746">
        <f>VLOOKUP(B2746,'SINAPI-%MO'!B:E,4,0)</f>
        <v>0</v>
      </c>
      <c r="H2746" s="225">
        <f t="shared" si="42"/>
        <v>62.95</v>
      </c>
    </row>
    <row r="2747" spans="1:8" x14ac:dyDescent="0.3">
      <c r="A2747" s="400"/>
      <c r="B2747" s="709">
        <v>96457</v>
      </c>
      <c r="C2747" s="710" t="s">
        <v>2781</v>
      </c>
      <c r="D2747" s="709" t="s">
        <v>234</v>
      </c>
      <c r="E2747" s="716">
        <v>68.819999999999993</v>
      </c>
      <c r="F2747" s="717">
        <v>0</v>
      </c>
      <c r="G2747">
        <f>VLOOKUP(B2747,'SINAPI-%MO'!B:E,4,0)</f>
        <v>0</v>
      </c>
      <c r="H2747" s="225">
        <f t="shared" si="42"/>
        <v>68.819999999999993</v>
      </c>
    </row>
    <row r="2748" spans="1:8" x14ac:dyDescent="0.3">
      <c r="A2748" s="400"/>
      <c r="B2748" s="709">
        <v>7051</v>
      </c>
      <c r="C2748" s="710" t="s">
        <v>2782</v>
      </c>
      <c r="D2748" s="709" t="s">
        <v>234</v>
      </c>
      <c r="E2748" s="716">
        <v>42.03</v>
      </c>
      <c r="F2748" s="717">
        <v>1</v>
      </c>
      <c r="G2748">
        <f>VLOOKUP(B2748,'SINAPI-%MO'!B:E,4,0)</f>
        <v>0</v>
      </c>
      <c r="H2748" s="225">
        <f t="shared" si="42"/>
        <v>42.03</v>
      </c>
    </row>
    <row r="2749" spans="1:8" x14ac:dyDescent="0.3">
      <c r="A2749" s="400"/>
      <c r="B2749" s="709">
        <v>7052</v>
      </c>
      <c r="C2749" s="710" t="s">
        <v>2783</v>
      </c>
      <c r="D2749" s="709" t="s">
        <v>234</v>
      </c>
      <c r="E2749" s="716">
        <v>11.35</v>
      </c>
      <c r="F2749" s="717">
        <v>1</v>
      </c>
      <c r="G2749">
        <f>VLOOKUP(B2749,'SINAPI-%MO'!B:E,4,0)</f>
        <v>0</v>
      </c>
      <c r="H2749" s="225">
        <f t="shared" si="42"/>
        <v>11.35</v>
      </c>
    </row>
    <row r="2750" spans="1:8" x14ac:dyDescent="0.3">
      <c r="A2750" s="400"/>
      <c r="B2750" s="709">
        <v>7053</v>
      </c>
      <c r="C2750" s="710" t="s">
        <v>2784</v>
      </c>
      <c r="D2750" s="709" t="s">
        <v>234</v>
      </c>
      <c r="E2750" s="716">
        <v>52.6</v>
      </c>
      <c r="F2750" s="717">
        <v>1</v>
      </c>
      <c r="G2750">
        <f>VLOOKUP(B2750,'SINAPI-%MO'!B:E,4,0)</f>
        <v>0</v>
      </c>
      <c r="H2750" s="225">
        <f t="shared" si="42"/>
        <v>52.6</v>
      </c>
    </row>
    <row r="2751" spans="1:8" x14ac:dyDescent="0.3">
      <c r="A2751" s="400"/>
      <c r="B2751" s="709">
        <v>7054</v>
      </c>
      <c r="C2751" s="710" t="s">
        <v>2785</v>
      </c>
      <c r="D2751" s="709" t="s">
        <v>234</v>
      </c>
      <c r="E2751" s="716">
        <v>96.23</v>
      </c>
      <c r="F2751" s="717">
        <v>0</v>
      </c>
      <c r="G2751">
        <f>VLOOKUP(B2751,'SINAPI-%MO'!B:E,4,0)</f>
        <v>0</v>
      </c>
      <c r="H2751" s="225">
        <f t="shared" si="42"/>
        <v>96.23</v>
      </c>
    </row>
    <row r="2752" spans="1:8" x14ac:dyDescent="0.3">
      <c r="A2752" s="400"/>
      <c r="B2752" s="709">
        <v>95627</v>
      </c>
      <c r="C2752" s="710" t="s">
        <v>2786</v>
      </c>
      <c r="D2752" s="709" t="s">
        <v>234</v>
      </c>
      <c r="E2752" s="716">
        <v>45.36</v>
      </c>
      <c r="F2752" s="717">
        <v>1</v>
      </c>
      <c r="G2752">
        <f>VLOOKUP(B2752,'SINAPI-%MO'!B:E,4,0)</f>
        <v>0</v>
      </c>
      <c r="H2752" s="225">
        <f t="shared" si="42"/>
        <v>45.36</v>
      </c>
    </row>
    <row r="2753" spans="1:8" x14ac:dyDescent="0.3">
      <c r="A2753" s="400"/>
      <c r="B2753" s="709">
        <v>95628</v>
      </c>
      <c r="C2753" s="710" t="s">
        <v>2787</v>
      </c>
      <c r="D2753" s="709" t="s">
        <v>234</v>
      </c>
      <c r="E2753" s="716">
        <v>12.16</v>
      </c>
      <c r="F2753" s="717">
        <v>1</v>
      </c>
      <c r="G2753">
        <f>VLOOKUP(B2753,'SINAPI-%MO'!B:E,4,0)</f>
        <v>0</v>
      </c>
      <c r="H2753" s="225">
        <f t="shared" si="42"/>
        <v>12.16</v>
      </c>
    </row>
    <row r="2754" spans="1:8" x14ac:dyDescent="0.3">
      <c r="A2754" s="400"/>
      <c r="B2754" s="709">
        <v>95629</v>
      </c>
      <c r="C2754" s="710" t="s">
        <v>2788</v>
      </c>
      <c r="D2754" s="709" t="s">
        <v>234</v>
      </c>
      <c r="E2754" s="716">
        <v>56.76</v>
      </c>
      <c r="F2754" s="717">
        <v>1</v>
      </c>
      <c r="G2754">
        <f>VLOOKUP(B2754,'SINAPI-%MO'!B:E,4,0)</f>
        <v>0</v>
      </c>
      <c r="H2754" s="225">
        <f t="shared" si="42"/>
        <v>56.76</v>
      </c>
    </row>
    <row r="2755" spans="1:8" x14ac:dyDescent="0.3">
      <c r="A2755" s="400"/>
      <c r="B2755" s="709">
        <v>95630</v>
      </c>
      <c r="C2755" s="710" t="s">
        <v>2789</v>
      </c>
      <c r="D2755" s="709" t="s">
        <v>234</v>
      </c>
      <c r="E2755" s="716">
        <v>96.23</v>
      </c>
      <c r="F2755" s="717">
        <v>0</v>
      </c>
      <c r="G2755">
        <f>VLOOKUP(B2755,'SINAPI-%MO'!B:E,4,0)</f>
        <v>0</v>
      </c>
      <c r="H2755" s="225">
        <f t="shared" si="42"/>
        <v>96.23</v>
      </c>
    </row>
    <row r="2756" spans="1:8" x14ac:dyDescent="0.3">
      <c r="A2756" s="400"/>
      <c r="B2756" s="709">
        <v>89210</v>
      </c>
      <c r="C2756" s="710" t="s">
        <v>2790</v>
      </c>
      <c r="D2756" s="709" t="s">
        <v>234</v>
      </c>
      <c r="E2756" s="716">
        <v>30.32</v>
      </c>
      <c r="F2756" s="717">
        <v>1</v>
      </c>
      <c r="G2756">
        <f>VLOOKUP(B2756,'SINAPI-%MO'!B:E,4,0)</f>
        <v>0</v>
      </c>
      <c r="H2756" s="225">
        <f t="shared" si="42"/>
        <v>30.32</v>
      </c>
    </row>
    <row r="2757" spans="1:8" x14ac:dyDescent="0.3">
      <c r="A2757" s="400"/>
      <c r="B2757" s="709">
        <v>89211</v>
      </c>
      <c r="C2757" s="710" t="s">
        <v>2791</v>
      </c>
      <c r="D2757" s="709" t="s">
        <v>234</v>
      </c>
      <c r="E2757" s="716">
        <v>8.1300000000000008</v>
      </c>
      <c r="F2757" s="717">
        <v>1</v>
      </c>
      <c r="G2757">
        <f>VLOOKUP(B2757,'SINAPI-%MO'!B:E,4,0)</f>
        <v>0</v>
      </c>
      <c r="H2757" s="225">
        <f t="shared" si="42"/>
        <v>8.1300000000000008</v>
      </c>
    </row>
    <row r="2758" spans="1:8" x14ac:dyDescent="0.3">
      <c r="A2758" s="400"/>
      <c r="B2758" s="709">
        <v>5674</v>
      </c>
      <c r="C2758" s="710" t="s">
        <v>2792</v>
      </c>
      <c r="D2758" s="709" t="s">
        <v>234</v>
      </c>
      <c r="E2758" s="716">
        <v>37.94</v>
      </c>
      <c r="F2758" s="717">
        <v>1</v>
      </c>
      <c r="G2758">
        <f>VLOOKUP(B2758,'SINAPI-%MO'!B:E,4,0)</f>
        <v>0</v>
      </c>
      <c r="H2758" s="225">
        <f t="shared" si="42"/>
        <v>37.94</v>
      </c>
    </row>
    <row r="2759" spans="1:8" x14ac:dyDescent="0.3">
      <c r="A2759" s="400"/>
      <c r="B2759" s="709">
        <v>53788</v>
      </c>
      <c r="C2759" s="710" t="s">
        <v>2793</v>
      </c>
      <c r="D2759" s="709" t="s">
        <v>234</v>
      </c>
      <c r="E2759" s="716">
        <v>61.59</v>
      </c>
      <c r="F2759" s="717">
        <v>0</v>
      </c>
      <c r="G2759">
        <f>VLOOKUP(B2759,'SINAPI-%MO'!B:E,4,0)</f>
        <v>0</v>
      </c>
      <c r="H2759" s="225">
        <f t="shared" si="42"/>
        <v>61.59</v>
      </c>
    </row>
    <row r="2760" spans="1:8" x14ac:dyDescent="0.3">
      <c r="A2760" s="400"/>
      <c r="B2760" s="709">
        <v>73309</v>
      </c>
      <c r="C2760" s="710" t="s">
        <v>2794</v>
      </c>
      <c r="D2760" s="709" t="s">
        <v>234</v>
      </c>
      <c r="E2760" s="716">
        <v>31.52</v>
      </c>
      <c r="F2760" s="717">
        <v>1</v>
      </c>
      <c r="G2760">
        <f>VLOOKUP(B2760,'SINAPI-%MO'!B:E,4,0)</f>
        <v>0</v>
      </c>
      <c r="H2760" s="225">
        <f t="shared" si="42"/>
        <v>31.52</v>
      </c>
    </row>
    <row r="2761" spans="1:8" x14ac:dyDescent="0.3">
      <c r="A2761" s="400"/>
      <c r="B2761" s="709">
        <v>73313</v>
      </c>
      <c r="C2761" s="710" t="s">
        <v>2795</v>
      </c>
      <c r="D2761" s="709" t="s">
        <v>234</v>
      </c>
      <c r="E2761" s="716">
        <v>8.51</v>
      </c>
      <c r="F2761" s="717">
        <v>1</v>
      </c>
      <c r="G2761">
        <f>VLOOKUP(B2761,'SINAPI-%MO'!B:E,4,0)</f>
        <v>0</v>
      </c>
      <c r="H2761" s="225">
        <f t="shared" si="42"/>
        <v>8.51</v>
      </c>
    </row>
    <row r="2762" spans="1:8" x14ac:dyDescent="0.3">
      <c r="A2762" s="400"/>
      <c r="B2762" s="709">
        <v>5089</v>
      </c>
      <c r="C2762" s="710" t="s">
        <v>2796</v>
      </c>
      <c r="D2762" s="709" t="s">
        <v>234</v>
      </c>
      <c r="E2762" s="716">
        <v>39.450000000000003</v>
      </c>
      <c r="F2762" s="717">
        <v>1</v>
      </c>
      <c r="G2762">
        <f>VLOOKUP(B2762,'SINAPI-%MO'!B:E,4,0)</f>
        <v>0</v>
      </c>
      <c r="H2762" s="225">
        <f t="shared" si="42"/>
        <v>39.450000000000003</v>
      </c>
    </row>
    <row r="2763" spans="1:8" x14ac:dyDescent="0.3">
      <c r="A2763" s="400"/>
      <c r="B2763" s="709">
        <v>73315</v>
      </c>
      <c r="C2763" s="710" t="s">
        <v>2797</v>
      </c>
      <c r="D2763" s="709" t="s">
        <v>234</v>
      </c>
      <c r="E2763" s="716">
        <v>61.59</v>
      </c>
      <c r="F2763" s="717">
        <v>0</v>
      </c>
      <c r="G2763">
        <f>VLOOKUP(B2763,'SINAPI-%MO'!B:E,4,0)</f>
        <v>0</v>
      </c>
      <c r="H2763" s="225">
        <f t="shared" ref="H2763:H2826" si="43">IF(E2763&gt;0,TRUNC(E2763*(1-G2763),2),"")</f>
        <v>61.59</v>
      </c>
    </row>
    <row r="2764" spans="1:8" x14ac:dyDescent="0.3">
      <c r="A2764" s="400"/>
      <c r="B2764" s="709">
        <v>5738</v>
      </c>
      <c r="C2764" s="710" t="s">
        <v>2798</v>
      </c>
      <c r="D2764" s="709" t="s">
        <v>234</v>
      </c>
      <c r="E2764" s="716">
        <v>41.43</v>
      </c>
      <c r="F2764" s="717">
        <v>1</v>
      </c>
      <c r="G2764">
        <f>VLOOKUP(B2764,'SINAPI-%MO'!B:E,4,0)</f>
        <v>0</v>
      </c>
      <c r="H2764" s="225">
        <f t="shared" si="43"/>
        <v>41.43</v>
      </c>
    </row>
    <row r="2765" spans="1:8" x14ac:dyDescent="0.3">
      <c r="A2765" s="400"/>
      <c r="B2765" s="709">
        <v>93239</v>
      </c>
      <c r="C2765" s="710" t="s">
        <v>2799</v>
      </c>
      <c r="D2765" s="709" t="s">
        <v>234</v>
      </c>
      <c r="E2765" s="716">
        <v>11.11</v>
      </c>
      <c r="F2765" s="717">
        <v>1</v>
      </c>
      <c r="G2765">
        <f>VLOOKUP(B2765,'SINAPI-%MO'!B:E,4,0)</f>
        <v>0</v>
      </c>
      <c r="H2765" s="225">
        <f t="shared" si="43"/>
        <v>11.11</v>
      </c>
    </row>
    <row r="2766" spans="1:8" x14ac:dyDescent="0.3">
      <c r="A2766" s="400"/>
      <c r="B2766" s="709">
        <v>5739</v>
      </c>
      <c r="C2766" s="710" t="s">
        <v>2800</v>
      </c>
      <c r="D2766" s="709" t="s">
        <v>234</v>
      </c>
      <c r="E2766" s="716">
        <v>51.85</v>
      </c>
      <c r="F2766" s="717">
        <v>1</v>
      </c>
      <c r="G2766">
        <f>VLOOKUP(B2766,'SINAPI-%MO'!B:E,4,0)</f>
        <v>0</v>
      </c>
      <c r="H2766" s="225">
        <f t="shared" si="43"/>
        <v>51.85</v>
      </c>
    </row>
    <row r="2767" spans="1:8" x14ac:dyDescent="0.3">
      <c r="A2767" s="400"/>
      <c r="B2767" s="709">
        <v>93240</v>
      </c>
      <c r="C2767" s="710" t="s">
        <v>2801</v>
      </c>
      <c r="D2767" s="709" t="s">
        <v>234</v>
      </c>
      <c r="E2767" s="716">
        <v>12.9</v>
      </c>
      <c r="F2767" s="717">
        <v>0</v>
      </c>
      <c r="G2767">
        <f>VLOOKUP(B2767,'SINAPI-%MO'!B:E,4,0)</f>
        <v>0</v>
      </c>
      <c r="H2767" s="225">
        <f t="shared" si="43"/>
        <v>12.9</v>
      </c>
    </row>
    <row r="2768" spans="1:8" x14ac:dyDescent="0.3">
      <c r="A2768" s="400"/>
      <c r="B2768" s="709">
        <v>53818</v>
      </c>
      <c r="C2768" s="710" t="s">
        <v>2802</v>
      </c>
      <c r="D2768" s="709" t="s">
        <v>234</v>
      </c>
      <c r="E2768" s="716">
        <v>9.15</v>
      </c>
      <c r="F2768" s="717">
        <v>1</v>
      </c>
      <c r="G2768">
        <f>VLOOKUP(B2768,'SINAPI-%MO'!B:E,4,0)</f>
        <v>0</v>
      </c>
      <c r="H2768" s="225">
        <f t="shared" si="43"/>
        <v>9.15</v>
      </c>
    </row>
    <row r="2769" spans="1:8" x14ac:dyDescent="0.3">
      <c r="A2769" s="400"/>
      <c r="B2769" s="709">
        <v>93238</v>
      </c>
      <c r="C2769" s="710" t="s">
        <v>2803</v>
      </c>
      <c r="D2769" s="709" t="s">
        <v>234</v>
      </c>
      <c r="E2769" s="716">
        <v>2.4500000000000002</v>
      </c>
      <c r="F2769" s="717">
        <v>1</v>
      </c>
      <c r="G2769">
        <f>VLOOKUP(B2769,'SINAPI-%MO'!B:E,4,0)</f>
        <v>0</v>
      </c>
      <c r="H2769" s="225">
        <f t="shared" si="43"/>
        <v>2.4500000000000002</v>
      </c>
    </row>
    <row r="2770" spans="1:8" x14ac:dyDescent="0.3">
      <c r="A2770" s="400"/>
      <c r="B2770" s="709">
        <v>5727</v>
      </c>
      <c r="C2770" s="710" t="s">
        <v>2804</v>
      </c>
      <c r="D2770" s="709" t="s">
        <v>234</v>
      </c>
      <c r="E2770" s="716">
        <v>11.45</v>
      </c>
      <c r="F2770" s="717">
        <v>1</v>
      </c>
      <c r="G2770">
        <f>VLOOKUP(B2770,'SINAPI-%MO'!B:E,4,0)</f>
        <v>0</v>
      </c>
      <c r="H2770" s="225">
        <f t="shared" si="43"/>
        <v>11.45</v>
      </c>
    </row>
    <row r="2771" spans="1:8" x14ac:dyDescent="0.3">
      <c r="A2771" s="400"/>
      <c r="B2771" s="709">
        <v>89280</v>
      </c>
      <c r="C2771" s="710" t="s">
        <v>2805</v>
      </c>
      <c r="D2771" s="709" t="s">
        <v>234</v>
      </c>
      <c r="E2771" s="716">
        <v>37.229999999999997</v>
      </c>
      <c r="F2771" s="717">
        <v>1</v>
      </c>
      <c r="G2771">
        <f>VLOOKUP(B2771,'SINAPI-%MO'!B:E,4,0)</f>
        <v>0</v>
      </c>
      <c r="H2771" s="225">
        <f t="shared" si="43"/>
        <v>37.229999999999997</v>
      </c>
    </row>
    <row r="2772" spans="1:8" x14ac:dyDescent="0.3">
      <c r="A2772" s="400"/>
      <c r="B2772" s="709">
        <v>89281</v>
      </c>
      <c r="C2772" s="710" t="s">
        <v>2806</v>
      </c>
      <c r="D2772" s="709" t="s">
        <v>234</v>
      </c>
      <c r="E2772" s="716">
        <v>9.99</v>
      </c>
      <c r="F2772" s="717">
        <v>1</v>
      </c>
      <c r="G2772">
        <f>VLOOKUP(B2772,'SINAPI-%MO'!B:E,4,0)</f>
        <v>0</v>
      </c>
      <c r="H2772" s="225">
        <f t="shared" si="43"/>
        <v>9.99</v>
      </c>
    </row>
    <row r="2773" spans="1:8" x14ac:dyDescent="0.3">
      <c r="A2773" s="400"/>
      <c r="B2773" s="709">
        <v>5729</v>
      </c>
      <c r="C2773" s="710" t="s">
        <v>2807</v>
      </c>
      <c r="D2773" s="709" t="s">
        <v>234</v>
      </c>
      <c r="E2773" s="716">
        <v>46.59</v>
      </c>
      <c r="F2773" s="717">
        <v>1</v>
      </c>
      <c r="G2773">
        <f>VLOOKUP(B2773,'SINAPI-%MO'!B:E,4,0)</f>
        <v>0</v>
      </c>
      <c r="H2773" s="225">
        <f t="shared" si="43"/>
        <v>46.59</v>
      </c>
    </row>
    <row r="2774" spans="1:8" x14ac:dyDescent="0.3">
      <c r="A2774" s="400"/>
      <c r="B2774" s="709">
        <v>5730</v>
      </c>
      <c r="C2774" s="710" t="s">
        <v>2808</v>
      </c>
      <c r="D2774" s="709" t="s">
        <v>234</v>
      </c>
      <c r="E2774" s="716">
        <v>44.05</v>
      </c>
      <c r="F2774" s="717">
        <v>0</v>
      </c>
      <c r="G2774">
        <f>VLOOKUP(B2774,'SINAPI-%MO'!B:E,4,0)</f>
        <v>0</v>
      </c>
      <c r="H2774" s="225">
        <f t="shared" si="43"/>
        <v>44.05</v>
      </c>
    </row>
    <row r="2775" spans="1:8" x14ac:dyDescent="0.3">
      <c r="A2775" s="400"/>
      <c r="B2775" s="709">
        <v>95266</v>
      </c>
      <c r="C2775" s="710" t="s">
        <v>2809</v>
      </c>
      <c r="D2775" s="709" t="s">
        <v>234</v>
      </c>
      <c r="E2775" s="716">
        <v>0.55000000000000004</v>
      </c>
      <c r="F2775" s="717">
        <v>1</v>
      </c>
      <c r="G2775">
        <f>VLOOKUP(B2775,'SINAPI-%MO'!B:E,4,0)</f>
        <v>0</v>
      </c>
      <c r="H2775" s="225">
        <f t="shared" si="43"/>
        <v>0.55000000000000004</v>
      </c>
    </row>
    <row r="2776" spans="1:8" x14ac:dyDescent="0.3">
      <c r="A2776" s="400"/>
      <c r="B2776" s="709">
        <v>95267</v>
      </c>
      <c r="C2776" s="710" t="s">
        <v>2810</v>
      </c>
      <c r="D2776" s="709" t="s">
        <v>234</v>
      </c>
      <c r="E2776" s="716">
        <v>0.11</v>
      </c>
      <c r="F2776" s="717">
        <v>1</v>
      </c>
      <c r="G2776">
        <f>VLOOKUP(B2776,'SINAPI-%MO'!B:E,4,0)</f>
        <v>0</v>
      </c>
      <c r="H2776" s="225">
        <f t="shared" si="43"/>
        <v>0.11</v>
      </c>
    </row>
    <row r="2777" spans="1:8" x14ac:dyDescent="0.3">
      <c r="A2777" s="400"/>
      <c r="B2777" s="709">
        <v>95268</v>
      </c>
      <c r="C2777" s="710" t="s">
        <v>2811</v>
      </c>
      <c r="D2777" s="709" t="s">
        <v>234</v>
      </c>
      <c r="E2777" s="716">
        <v>0.54</v>
      </c>
      <c r="F2777" s="717">
        <v>1</v>
      </c>
      <c r="G2777">
        <f>VLOOKUP(B2777,'SINAPI-%MO'!B:E,4,0)</f>
        <v>0</v>
      </c>
      <c r="H2777" s="225">
        <f t="shared" si="43"/>
        <v>0.54</v>
      </c>
    </row>
    <row r="2778" spans="1:8" x14ac:dyDescent="0.3">
      <c r="A2778" s="400"/>
      <c r="B2778" s="709">
        <v>95269</v>
      </c>
      <c r="C2778" s="710" t="s">
        <v>2812</v>
      </c>
      <c r="D2778" s="709" t="s">
        <v>234</v>
      </c>
      <c r="E2778" s="716">
        <v>8.9700000000000006</v>
      </c>
      <c r="F2778" s="717">
        <v>0</v>
      </c>
      <c r="G2778">
        <f>VLOOKUP(B2778,'SINAPI-%MO'!B:E,4,0)</f>
        <v>0</v>
      </c>
      <c r="H2778" s="225">
        <f t="shared" si="43"/>
        <v>8.9700000000000006</v>
      </c>
    </row>
    <row r="2779" spans="1:8" x14ac:dyDescent="0.3">
      <c r="A2779" s="400"/>
      <c r="B2779" s="709">
        <v>91688</v>
      </c>
      <c r="C2779" s="710" t="s">
        <v>2813</v>
      </c>
      <c r="D2779" s="709" t="s">
        <v>234</v>
      </c>
      <c r="E2779" s="716">
        <v>0.1</v>
      </c>
      <c r="F2779" s="717">
        <v>0</v>
      </c>
      <c r="G2779">
        <f>VLOOKUP(B2779,'SINAPI-%MO'!B:E,4,0)</f>
        <v>0</v>
      </c>
      <c r="H2779" s="225">
        <f t="shared" si="43"/>
        <v>0.1</v>
      </c>
    </row>
    <row r="2780" spans="1:8" x14ac:dyDescent="0.3">
      <c r="A2780" s="400"/>
      <c r="B2780" s="709">
        <v>91689</v>
      </c>
      <c r="C2780" s="710" t="s">
        <v>2814</v>
      </c>
      <c r="D2780" s="709" t="s">
        <v>234</v>
      </c>
      <c r="E2780" s="716">
        <v>0.02</v>
      </c>
      <c r="F2780" s="717">
        <v>0</v>
      </c>
      <c r="G2780">
        <f>VLOOKUP(B2780,'SINAPI-%MO'!B:E,4,0)</f>
        <v>0</v>
      </c>
      <c r="H2780" s="225">
        <f t="shared" si="43"/>
        <v>0.02</v>
      </c>
    </row>
    <row r="2781" spans="1:8" x14ac:dyDescent="0.3">
      <c r="A2781" s="400"/>
      <c r="B2781" s="709">
        <v>91690</v>
      </c>
      <c r="C2781" s="710" t="s">
        <v>2815</v>
      </c>
      <c r="D2781" s="709" t="s">
        <v>234</v>
      </c>
      <c r="E2781" s="716">
        <v>7.0000000000000007E-2</v>
      </c>
      <c r="F2781" s="717">
        <v>0</v>
      </c>
      <c r="G2781">
        <f>VLOOKUP(B2781,'SINAPI-%MO'!B:E,4,0)</f>
        <v>0</v>
      </c>
      <c r="H2781" s="225">
        <f t="shared" si="43"/>
        <v>7.0000000000000007E-2</v>
      </c>
    </row>
    <row r="2782" spans="1:8" x14ac:dyDescent="0.3">
      <c r="A2782" s="400"/>
      <c r="B2782" s="709">
        <v>91691</v>
      </c>
      <c r="C2782" s="710" t="s">
        <v>2816</v>
      </c>
      <c r="D2782" s="709" t="s">
        <v>234</v>
      </c>
      <c r="E2782" s="716">
        <v>1.42</v>
      </c>
      <c r="F2782" s="717">
        <v>0</v>
      </c>
      <c r="G2782">
        <f>VLOOKUP(B2782,'SINAPI-%MO'!B:E,4,0)</f>
        <v>0</v>
      </c>
      <c r="H2782" s="225">
        <f t="shared" si="43"/>
        <v>1.42</v>
      </c>
    </row>
    <row r="2783" spans="1:8" x14ac:dyDescent="0.3">
      <c r="A2783" s="400"/>
      <c r="B2783" s="709">
        <v>102924</v>
      </c>
      <c r="C2783" s="710" t="s">
        <v>2817</v>
      </c>
      <c r="D2783" s="709" t="s">
        <v>234</v>
      </c>
      <c r="E2783" s="716">
        <v>0</v>
      </c>
      <c r="F2783" s="717"/>
      <c r="G2783" t="e">
        <f>VLOOKUP(B2783,'SINAPI-%MO'!B:E,4,0)</f>
        <v>#N/A</v>
      </c>
      <c r="H2783" s="225" t="str">
        <f t="shared" si="43"/>
        <v/>
      </c>
    </row>
    <row r="2784" spans="1:8" x14ac:dyDescent="0.3">
      <c r="A2784" s="400"/>
      <c r="B2784" s="709">
        <v>102925</v>
      </c>
      <c r="C2784" s="710" t="s">
        <v>2818</v>
      </c>
      <c r="D2784" s="709" t="s">
        <v>234</v>
      </c>
      <c r="E2784" s="716">
        <v>0</v>
      </c>
      <c r="F2784" s="717"/>
      <c r="G2784" t="e">
        <f>VLOOKUP(B2784,'SINAPI-%MO'!B:E,4,0)</f>
        <v>#N/A</v>
      </c>
      <c r="H2784" s="225" t="str">
        <f t="shared" si="43"/>
        <v/>
      </c>
    </row>
    <row r="2785" spans="1:8" x14ac:dyDescent="0.3">
      <c r="A2785" s="400"/>
      <c r="B2785" s="709">
        <v>102926</v>
      </c>
      <c r="C2785" s="710" t="s">
        <v>2819</v>
      </c>
      <c r="D2785" s="709" t="s">
        <v>234</v>
      </c>
      <c r="E2785" s="716">
        <v>0</v>
      </c>
      <c r="F2785" s="717"/>
      <c r="G2785" t="e">
        <f>VLOOKUP(B2785,'SINAPI-%MO'!B:E,4,0)</f>
        <v>#N/A</v>
      </c>
      <c r="H2785" s="225" t="str">
        <f t="shared" si="43"/>
        <v/>
      </c>
    </row>
    <row r="2786" spans="1:8" x14ac:dyDescent="0.3">
      <c r="A2786" s="400"/>
      <c r="B2786" s="709">
        <v>102927</v>
      </c>
      <c r="C2786" s="710" t="s">
        <v>2820</v>
      </c>
      <c r="D2786" s="709" t="s">
        <v>234</v>
      </c>
      <c r="E2786" s="716">
        <v>0.98</v>
      </c>
      <c r="F2786" s="717">
        <v>0</v>
      </c>
      <c r="G2786">
        <f>VLOOKUP(B2786,'SINAPI-%MO'!B:E,4,0)</f>
        <v>0</v>
      </c>
      <c r="H2786" s="225">
        <f t="shared" si="43"/>
        <v>0.98</v>
      </c>
    </row>
    <row r="2787" spans="1:8" x14ac:dyDescent="0.3">
      <c r="A2787" s="400"/>
      <c r="B2787" s="709">
        <v>95136</v>
      </c>
      <c r="C2787" s="710" t="s">
        <v>2821</v>
      </c>
      <c r="D2787" s="709" t="s">
        <v>234</v>
      </c>
      <c r="E2787" s="716">
        <v>0.02</v>
      </c>
      <c r="F2787" s="717">
        <v>0</v>
      </c>
      <c r="G2787">
        <f>VLOOKUP(B2787,'SINAPI-%MO'!B:E,4,0)</f>
        <v>0</v>
      </c>
      <c r="H2787" s="225">
        <f t="shared" si="43"/>
        <v>0.02</v>
      </c>
    </row>
    <row r="2788" spans="1:8" x14ac:dyDescent="0.3">
      <c r="A2788" s="400"/>
      <c r="B2788" s="709">
        <v>95137</v>
      </c>
      <c r="C2788" s="710" t="s">
        <v>2822</v>
      </c>
      <c r="D2788" s="709" t="s">
        <v>234</v>
      </c>
      <c r="E2788" s="716">
        <v>0.01</v>
      </c>
      <c r="F2788" s="717">
        <v>0</v>
      </c>
      <c r="G2788">
        <f>VLOOKUP(B2788,'SINAPI-%MO'!B:E,4,0)</f>
        <v>0</v>
      </c>
      <c r="H2788" s="225">
        <f t="shared" si="43"/>
        <v>0.01</v>
      </c>
    </row>
    <row r="2789" spans="1:8" x14ac:dyDescent="0.3">
      <c r="A2789" s="400"/>
      <c r="B2789" s="709">
        <v>95138</v>
      </c>
      <c r="C2789" s="710" t="s">
        <v>2823</v>
      </c>
      <c r="D2789" s="709" t="s">
        <v>234</v>
      </c>
      <c r="E2789" s="716">
        <v>0.02</v>
      </c>
      <c r="F2789" s="717">
        <v>0</v>
      </c>
      <c r="G2789">
        <f>VLOOKUP(B2789,'SINAPI-%MO'!B:E,4,0)</f>
        <v>0</v>
      </c>
      <c r="H2789" s="225">
        <f t="shared" si="43"/>
        <v>0.02</v>
      </c>
    </row>
    <row r="2790" spans="1:8" x14ac:dyDescent="0.3">
      <c r="A2790" s="400"/>
      <c r="B2790" s="709">
        <v>89023</v>
      </c>
      <c r="C2790" s="710" t="s">
        <v>2824</v>
      </c>
      <c r="D2790" s="709" t="s">
        <v>234</v>
      </c>
      <c r="E2790" s="716">
        <v>4.08</v>
      </c>
      <c r="F2790" s="717">
        <v>1</v>
      </c>
      <c r="G2790">
        <f>VLOOKUP(B2790,'SINAPI-%MO'!B:E,4,0)</f>
        <v>0</v>
      </c>
      <c r="H2790" s="225">
        <f t="shared" si="43"/>
        <v>4.08</v>
      </c>
    </row>
    <row r="2791" spans="1:8" x14ac:dyDescent="0.3">
      <c r="A2791" s="400"/>
      <c r="B2791" s="709">
        <v>89024</v>
      </c>
      <c r="C2791" s="710" t="s">
        <v>2825</v>
      </c>
      <c r="D2791" s="709" t="s">
        <v>234</v>
      </c>
      <c r="E2791" s="716">
        <v>1.41</v>
      </c>
      <c r="F2791" s="717">
        <v>1</v>
      </c>
      <c r="G2791">
        <f>VLOOKUP(B2791,'SINAPI-%MO'!B:E,4,0)</f>
        <v>0</v>
      </c>
      <c r="H2791" s="225">
        <f t="shared" si="43"/>
        <v>1.41</v>
      </c>
    </row>
    <row r="2792" spans="1:8" x14ac:dyDescent="0.3">
      <c r="A2792" s="400"/>
      <c r="B2792" s="709">
        <v>89025</v>
      </c>
      <c r="C2792" s="710" t="s">
        <v>2826</v>
      </c>
      <c r="D2792" s="709" t="s">
        <v>234</v>
      </c>
      <c r="E2792" s="716">
        <v>5.0999999999999996</v>
      </c>
      <c r="F2792" s="717">
        <v>1</v>
      </c>
      <c r="G2792">
        <f>VLOOKUP(B2792,'SINAPI-%MO'!B:E,4,0)</f>
        <v>0</v>
      </c>
      <c r="H2792" s="225">
        <f t="shared" si="43"/>
        <v>5.0999999999999996</v>
      </c>
    </row>
    <row r="2793" spans="1:8" x14ac:dyDescent="0.3">
      <c r="A2793" s="400"/>
      <c r="B2793" s="709">
        <v>89026</v>
      </c>
      <c r="C2793" s="710" t="s">
        <v>2827</v>
      </c>
      <c r="D2793" s="709" t="s">
        <v>234</v>
      </c>
      <c r="E2793" s="716">
        <v>184.3</v>
      </c>
      <c r="F2793" s="717">
        <v>0</v>
      </c>
      <c r="G2793">
        <f>VLOOKUP(B2793,'SINAPI-%MO'!B:E,4,0)</f>
        <v>0</v>
      </c>
      <c r="H2793" s="225">
        <f t="shared" si="43"/>
        <v>184.3</v>
      </c>
    </row>
    <row r="2794" spans="1:8" x14ac:dyDescent="0.3">
      <c r="A2794" s="400"/>
      <c r="B2794" s="709">
        <v>7032</v>
      </c>
      <c r="C2794" s="710" t="s">
        <v>2828</v>
      </c>
      <c r="D2794" s="709" t="s">
        <v>234</v>
      </c>
      <c r="E2794" s="716">
        <v>5.0199999999999996</v>
      </c>
      <c r="F2794" s="717">
        <v>1</v>
      </c>
      <c r="G2794">
        <f>VLOOKUP(B2794,'SINAPI-%MO'!B:E,4,0)</f>
        <v>0</v>
      </c>
      <c r="H2794" s="225">
        <f t="shared" si="43"/>
        <v>5.0199999999999996</v>
      </c>
    </row>
    <row r="2795" spans="1:8" x14ac:dyDescent="0.3">
      <c r="A2795" s="400"/>
      <c r="B2795" s="709">
        <v>7033</v>
      </c>
      <c r="C2795" s="710" t="s">
        <v>2829</v>
      </c>
      <c r="D2795" s="709" t="s">
        <v>234</v>
      </c>
      <c r="E2795" s="716">
        <v>1.74</v>
      </c>
      <c r="F2795" s="717">
        <v>1</v>
      </c>
      <c r="G2795">
        <f>VLOOKUP(B2795,'SINAPI-%MO'!B:E,4,0)</f>
        <v>0</v>
      </c>
      <c r="H2795" s="225">
        <f t="shared" si="43"/>
        <v>1.74</v>
      </c>
    </row>
    <row r="2796" spans="1:8" x14ac:dyDescent="0.3">
      <c r="A2796" s="400"/>
      <c r="B2796" s="709">
        <v>7034</v>
      </c>
      <c r="C2796" s="710" t="s">
        <v>2830</v>
      </c>
      <c r="D2796" s="709" t="s">
        <v>234</v>
      </c>
      <c r="E2796" s="716">
        <v>6.27</v>
      </c>
      <c r="F2796" s="717">
        <v>1</v>
      </c>
      <c r="G2796">
        <f>VLOOKUP(B2796,'SINAPI-%MO'!B:E,4,0)</f>
        <v>0</v>
      </c>
      <c r="H2796" s="225">
        <f t="shared" si="43"/>
        <v>6.27</v>
      </c>
    </row>
    <row r="2797" spans="1:8" x14ac:dyDescent="0.3">
      <c r="A2797" s="400"/>
      <c r="B2797" s="709">
        <v>7035</v>
      </c>
      <c r="C2797" s="710" t="s">
        <v>2831</v>
      </c>
      <c r="D2797" s="709" t="s">
        <v>234</v>
      </c>
      <c r="E2797" s="716">
        <v>276.45999999999998</v>
      </c>
      <c r="F2797" s="717">
        <v>0</v>
      </c>
      <c r="G2797">
        <f>VLOOKUP(B2797,'SINAPI-%MO'!B:E,4,0)</f>
        <v>0</v>
      </c>
      <c r="H2797" s="225">
        <f t="shared" si="43"/>
        <v>276.45999999999998</v>
      </c>
    </row>
    <row r="2798" spans="1:8" x14ac:dyDescent="0.3">
      <c r="A2798" s="400"/>
      <c r="B2798" s="709">
        <v>102942</v>
      </c>
      <c r="C2798" s="710" t="s">
        <v>2832</v>
      </c>
      <c r="D2798" s="709" t="s">
        <v>234</v>
      </c>
      <c r="E2798" s="716">
        <v>0</v>
      </c>
      <c r="F2798" s="717"/>
      <c r="G2798" t="e">
        <f>VLOOKUP(B2798,'SINAPI-%MO'!B:E,4,0)</f>
        <v>#N/A</v>
      </c>
      <c r="H2798" s="225" t="str">
        <f t="shared" si="43"/>
        <v/>
      </c>
    </row>
    <row r="2799" spans="1:8" x14ac:dyDescent="0.3">
      <c r="A2799" s="400"/>
      <c r="B2799" s="709">
        <v>102943</v>
      </c>
      <c r="C2799" s="710" t="s">
        <v>2833</v>
      </c>
      <c r="D2799" s="709" t="s">
        <v>234</v>
      </c>
      <c r="E2799" s="716">
        <v>0</v>
      </c>
      <c r="F2799" s="717"/>
      <c r="G2799" t="e">
        <f>VLOOKUP(B2799,'SINAPI-%MO'!B:E,4,0)</f>
        <v>#N/A</v>
      </c>
      <c r="H2799" s="225" t="str">
        <f t="shared" si="43"/>
        <v/>
      </c>
    </row>
    <row r="2800" spans="1:8" x14ac:dyDescent="0.3">
      <c r="A2800" s="400"/>
      <c r="B2800" s="709">
        <v>102944</v>
      </c>
      <c r="C2800" s="710" t="s">
        <v>2834</v>
      </c>
      <c r="D2800" s="709" t="s">
        <v>234</v>
      </c>
      <c r="E2800" s="716">
        <v>0</v>
      </c>
      <c r="F2800" s="717"/>
      <c r="G2800" t="e">
        <f>VLOOKUP(B2800,'SINAPI-%MO'!B:E,4,0)</f>
        <v>#N/A</v>
      </c>
      <c r="H2800" s="225" t="str">
        <f t="shared" si="43"/>
        <v/>
      </c>
    </row>
    <row r="2801" spans="1:8" x14ac:dyDescent="0.3">
      <c r="A2801" s="400"/>
      <c r="B2801" s="709">
        <v>102945</v>
      </c>
      <c r="C2801" s="710" t="s">
        <v>2835</v>
      </c>
      <c r="D2801" s="709" t="s">
        <v>234</v>
      </c>
      <c r="E2801" s="716">
        <v>0.02</v>
      </c>
      <c r="F2801" s="717">
        <v>0</v>
      </c>
      <c r="G2801">
        <f>VLOOKUP(B2801,'SINAPI-%MO'!B:E,4,0)</f>
        <v>0</v>
      </c>
      <c r="H2801" s="225">
        <f t="shared" si="43"/>
        <v>0.02</v>
      </c>
    </row>
    <row r="2802" spans="1:8" x14ac:dyDescent="0.3">
      <c r="A2802" s="400"/>
      <c r="B2802" s="709">
        <v>104087</v>
      </c>
      <c r="C2802" s="710" t="s">
        <v>2836</v>
      </c>
      <c r="D2802" s="709" t="s">
        <v>234</v>
      </c>
      <c r="E2802" s="716">
        <v>0.04</v>
      </c>
      <c r="F2802" s="717">
        <v>0</v>
      </c>
      <c r="G2802">
        <f>VLOOKUP(B2802,'SINAPI-%MO'!B:E,4,0)</f>
        <v>0</v>
      </c>
      <c r="H2802" s="225">
        <f t="shared" si="43"/>
        <v>0.04</v>
      </c>
    </row>
    <row r="2803" spans="1:8" x14ac:dyDescent="0.3">
      <c r="A2803" s="400"/>
      <c r="B2803" s="709">
        <v>104088</v>
      </c>
      <c r="C2803" s="710" t="s">
        <v>2837</v>
      </c>
      <c r="D2803" s="709" t="s">
        <v>234</v>
      </c>
      <c r="E2803" s="716">
        <v>0</v>
      </c>
      <c r="F2803" s="717"/>
      <c r="G2803">
        <f>VLOOKUP(B2803,'SINAPI-%MO'!B:E,4,0)</f>
        <v>0</v>
      </c>
      <c r="H2803" s="225" t="str">
        <f t="shared" si="43"/>
        <v/>
      </c>
    </row>
    <row r="2804" spans="1:8" x14ac:dyDescent="0.3">
      <c r="A2804" s="400"/>
      <c r="B2804" s="709">
        <v>104089</v>
      </c>
      <c r="C2804" s="710" t="s">
        <v>2838</v>
      </c>
      <c r="D2804" s="709" t="s">
        <v>234</v>
      </c>
      <c r="E2804" s="716">
        <v>0.05</v>
      </c>
      <c r="F2804" s="717">
        <v>0</v>
      </c>
      <c r="G2804">
        <f>VLOOKUP(B2804,'SINAPI-%MO'!B:E,4,0)</f>
        <v>0</v>
      </c>
      <c r="H2804" s="225">
        <f t="shared" si="43"/>
        <v>0.05</v>
      </c>
    </row>
    <row r="2805" spans="1:8" x14ac:dyDescent="0.3">
      <c r="A2805" s="400"/>
      <c r="B2805" s="709">
        <v>104090</v>
      </c>
      <c r="C2805" s="710" t="s">
        <v>2839</v>
      </c>
      <c r="D2805" s="709" t="s">
        <v>234</v>
      </c>
      <c r="E2805" s="716">
        <v>0.71</v>
      </c>
      <c r="F2805" s="717">
        <v>0</v>
      </c>
      <c r="G2805">
        <f>VLOOKUP(B2805,'SINAPI-%MO'!B:E,4,0)</f>
        <v>0</v>
      </c>
      <c r="H2805" s="225">
        <f t="shared" si="43"/>
        <v>0.71</v>
      </c>
    </row>
    <row r="2806" spans="1:8" x14ac:dyDescent="0.3">
      <c r="A2806" s="400"/>
      <c r="B2806" s="709">
        <v>104093</v>
      </c>
      <c r="C2806" s="710" t="s">
        <v>2840</v>
      </c>
      <c r="D2806" s="709" t="s">
        <v>234</v>
      </c>
      <c r="E2806" s="716">
        <v>0.05</v>
      </c>
      <c r="F2806" s="717">
        <v>0</v>
      </c>
      <c r="G2806">
        <f>VLOOKUP(B2806,'SINAPI-%MO'!B:E,4,0)</f>
        <v>0</v>
      </c>
      <c r="H2806" s="225">
        <f t="shared" si="43"/>
        <v>0.05</v>
      </c>
    </row>
    <row r="2807" spans="1:8" x14ac:dyDescent="0.3">
      <c r="A2807" s="400"/>
      <c r="B2807" s="709">
        <v>104094</v>
      </c>
      <c r="C2807" s="710" t="s">
        <v>2841</v>
      </c>
      <c r="D2807" s="709" t="s">
        <v>234</v>
      </c>
      <c r="E2807" s="716">
        <v>0.01</v>
      </c>
      <c r="F2807" s="717">
        <v>0</v>
      </c>
      <c r="G2807">
        <f>VLOOKUP(B2807,'SINAPI-%MO'!B:E,4,0)</f>
        <v>0</v>
      </c>
      <c r="H2807" s="225">
        <f t="shared" si="43"/>
        <v>0.01</v>
      </c>
    </row>
    <row r="2808" spans="1:8" x14ac:dyDescent="0.3">
      <c r="A2808" s="400"/>
      <c r="B2808" s="709">
        <v>104095</v>
      </c>
      <c r="C2808" s="710" t="s">
        <v>2842</v>
      </c>
      <c r="D2808" s="709" t="s">
        <v>234</v>
      </c>
      <c r="E2808" s="716">
        <v>0.06</v>
      </c>
      <c r="F2808" s="717">
        <v>0</v>
      </c>
      <c r="G2808">
        <f>VLOOKUP(B2808,'SINAPI-%MO'!B:E,4,0)</f>
        <v>0</v>
      </c>
      <c r="H2808" s="225">
        <f t="shared" si="43"/>
        <v>0.06</v>
      </c>
    </row>
    <row r="2809" spans="1:8" x14ac:dyDescent="0.3">
      <c r="A2809" s="400"/>
      <c r="B2809" s="709">
        <v>104096</v>
      </c>
      <c r="C2809" s="710" t="s">
        <v>2843</v>
      </c>
      <c r="D2809" s="709" t="s">
        <v>234</v>
      </c>
      <c r="E2809" s="716">
        <v>0.98</v>
      </c>
      <c r="F2809" s="717">
        <v>0</v>
      </c>
      <c r="G2809">
        <f>VLOOKUP(B2809,'SINAPI-%MO'!B:E,4,0)</f>
        <v>0</v>
      </c>
      <c r="H2809" s="225">
        <f t="shared" si="43"/>
        <v>0.98</v>
      </c>
    </row>
    <row r="2810" spans="1:8" x14ac:dyDescent="0.3">
      <c r="A2810" s="400"/>
      <c r="B2810" s="709">
        <v>102900</v>
      </c>
      <c r="C2810" s="710" t="s">
        <v>2844</v>
      </c>
      <c r="D2810" s="709" t="s">
        <v>234</v>
      </c>
      <c r="E2810" s="716">
        <v>0</v>
      </c>
      <c r="F2810" s="717"/>
      <c r="G2810" t="e">
        <f>VLOOKUP(B2810,'SINAPI-%MO'!B:E,4,0)</f>
        <v>#N/A</v>
      </c>
      <c r="H2810" s="225" t="str">
        <f t="shared" si="43"/>
        <v/>
      </c>
    </row>
    <row r="2811" spans="1:8" x14ac:dyDescent="0.3">
      <c r="A2811" s="400"/>
      <c r="B2811" s="709">
        <v>102901</v>
      </c>
      <c r="C2811" s="710" t="s">
        <v>2845</v>
      </c>
      <c r="D2811" s="709" t="s">
        <v>234</v>
      </c>
      <c r="E2811" s="716">
        <v>0</v>
      </c>
      <c r="F2811" s="717"/>
      <c r="G2811" t="e">
        <f>VLOOKUP(B2811,'SINAPI-%MO'!B:E,4,0)</f>
        <v>#N/A</v>
      </c>
      <c r="H2811" s="225" t="str">
        <f t="shared" si="43"/>
        <v/>
      </c>
    </row>
    <row r="2812" spans="1:8" x14ac:dyDescent="0.3">
      <c r="A2812" s="400"/>
      <c r="B2812" s="709">
        <v>102902</v>
      </c>
      <c r="C2812" s="710" t="s">
        <v>2846</v>
      </c>
      <c r="D2812" s="709" t="s">
        <v>234</v>
      </c>
      <c r="E2812" s="716">
        <v>0</v>
      </c>
      <c r="F2812" s="717"/>
      <c r="G2812" t="e">
        <f>VLOOKUP(B2812,'SINAPI-%MO'!B:E,4,0)</f>
        <v>#N/A</v>
      </c>
      <c r="H2812" s="225" t="str">
        <f t="shared" si="43"/>
        <v/>
      </c>
    </row>
    <row r="2813" spans="1:8" x14ac:dyDescent="0.3">
      <c r="A2813" s="400"/>
      <c r="B2813" s="709">
        <v>102903</v>
      </c>
      <c r="C2813" s="710" t="s">
        <v>2847</v>
      </c>
      <c r="D2813" s="709" t="s">
        <v>234</v>
      </c>
      <c r="E2813" s="716">
        <v>12.57</v>
      </c>
      <c r="F2813" s="717">
        <v>0</v>
      </c>
      <c r="G2813">
        <f>VLOOKUP(B2813,'SINAPI-%MO'!B:E,4,0)</f>
        <v>0</v>
      </c>
      <c r="H2813" s="225">
        <f t="shared" si="43"/>
        <v>12.57</v>
      </c>
    </row>
    <row r="2814" spans="1:8" x14ac:dyDescent="0.3">
      <c r="A2814" s="400"/>
      <c r="B2814" s="709">
        <v>89029</v>
      </c>
      <c r="C2814" s="710" t="s">
        <v>2848</v>
      </c>
      <c r="D2814" s="709" t="s">
        <v>234</v>
      </c>
      <c r="E2814" s="716">
        <v>31.95</v>
      </c>
      <c r="F2814" s="717">
        <v>0</v>
      </c>
      <c r="G2814">
        <f>VLOOKUP(B2814,'SINAPI-%MO'!B:E,4,0)</f>
        <v>0</v>
      </c>
      <c r="H2814" s="225">
        <f t="shared" si="43"/>
        <v>31.95</v>
      </c>
    </row>
    <row r="2815" spans="1:8" x14ac:dyDescent="0.3">
      <c r="A2815" s="400"/>
      <c r="B2815" s="709">
        <v>89030</v>
      </c>
      <c r="C2815" s="710" t="s">
        <v>2849</v>
      </c>
      <c r="D2815" s="709" t="s">
        <v>234</v>
      </c>
      <c r="E2815" s="716">
        <v>14.07</v>
      </c>
      <c r="F2815" s="717">
        <v>0</v>
      </c>
      <c r="G2815">
        <f>VLOOKUP(B2815,'SINAPI-%MO'!B:E,4,0)</f>
        <v>0</v>
      </c>
      <c r="H2815" s="225">
        <f t="shared" si="43"/>
        <v>14.07</v>
      </c>
    </row>
    <row r="2816" spans="1:8" x14ac:dyDescent="0.3">
      <c r="A2816" s="400"/>
      <c r="B2816" s="709">
        <v>5724</v>
      </c>
      <c r="C2816" s="710" t="s">
        <v>2850</v>
      </c>
      <c r="D2816" s="709" t="s">
        <v>234</v>
      </c>
      <c r="E2816" s="716">
        <v>57.12</v>
      </c>
      <c r="F2816" s="717">
        <v>0</v>
      </c>
      <c r="G2816">
        <f>VLOOKUP(B2816,'SINAPI-%MO'!B:E,4,0)</f>
        <v>0</v>
      </c>
      <c r="H2816" s="225">
        <f t="shared" si="43"/>
        <v>57.12</v>
      </c>
    </row>
    <row r="2817" spans="1:8" x14ac:dyDescent="0.3">
      <c r="A2817" s="400"/>
      <c r="B2817" s="709">
        <v>53817</v>
      </c>
      <c r="C2817" s="710" t="s">
        <v>2851</v>
      </c>
      <c r="D2817" s="709" t="s">
        <v>234</v>
      </c>
      <c r="E2817" s="716">
        <v>67.33</v>
      </c>
      <c r="F2817" s="717">
        <v>0</v>
      </c>
      <c r="G2817">
        <f>VLOOKUP(B2817,'SINAPI-%MO'!B:E,4,0)</f>
        <v>0</v>
      </c>
      <c r="H2817" s="225">
        <f t="shared" si="43"/>
        <v>67.33</v>
      </c>
    </row>
    <row r="2818" spans="1:8" x14ac:dyDescent="0.3">
      <c r="A2818" s="400"/>
      <c r="B2818" s="709">
        <v>88839</v>
      </c>
      <c r="C2818" s="710" t="s">
        <v>2852</v>
      </c>
      <c r="D2818" s="709" t="s">
        <v>234</v>
      </c>
      <c r="E2818" s="716">
        <v>33.44</v>
      </c>
      <c r="F2818" s="717">
        <v>0</v>
      </c>
      <c r="G2818">
        <f>VLOOKUP(B2818,'SINAPI-%MO'!B:E,4,0)</f>
        <v>0</v>
      </c>
      <c r="H2818" s="225">
        <f t="shared" si="43"/>
        <v>33.44</v>
      </c>
    </row>
    <row r="2819" spans="1:8" x14ac:dyDescent="0.3">
      <c r="A2819" s="400"/>
      <c r="B2819" s="709">
        <v>88840</v>
      </c>
      <c r="C2819" s="710" t="s">
        <v>2853</v>
      </c>
      <c r="D2819" s="709" t="s">
        <v>234</v>
      </c>
      <c r="E2819" s="716">
        <v>14.73</v>
      </c>
      <c r="F2819" s="717">
        <v>0</v>
      </c>
      <c r="G2819">
        <f>VLOOKUP(B2819,'SINAPI-%MO'!B:E,4,0)</f>
        <v>0</v>
      </c>
      <c r="H2819" s="225">
        <f t="shared" si="43"/>
        <v>14.73</v>
      </c>
    </row>
    <row r="2820" spans="1:8" x14ac:dyDescent="0.3">
      <c r="A2820" s="400"/>
      <c r="B2820" s="709">
        <v>88841</v>
      </c>
      <c r="C2820" s="710" t="s">
        <v>2854</v>
      </c>
      <c r="D2820" s="709" t="s">
        <v>234</v>
      </c>
      <c r="E2820" s="716">
        <v>59.79</v>
      </c>
      <c r="F2820" s="717">
        <v>0</v>
      </c>
      <c r="G2820">
        <f>VLOOKUP(B2820,'SINAPI-%MO'!B:E,4,0)</f>
        <v>0</v>
      </c>
      <c r="H2820" s="225">
        <f t="shared" si="43"/>
        <v>59.79</v>
      </c>
    </row>
    <row r="2821" spans="1:8" x14ac:dyDescent="0.3">
      <c r="A2821" s="400"/>
      <c r="B2821" s="709">
        <v>88842</v>
      </c>
      <c r="C2821" s="710" t="s">
        <v>2855</v>
      </c>
      <c r="D2821" s="709" t="s">
        <v>234</v>
      </c>
      <c r="E2821" s="716">
        <v>84.23</v>
      </c>
      <c r="F2821" s="717">
        <v>0</v>
      </c>
      <c r="G2821">
        <f>VLOOKUP(B2821,'SINAPI-%MO'!B:E,4,0)</f>
        <v>0</v>
      </c>
      <c r="H2821" s="225">
        <f t="shared" si="43"/>
        <v>84.23</v>
      </c>
    </row>
    <row r="2822" spans="1:8" x14ac:dyDescent="0.3">
      <c r="A2822" s="400"/>
      <c r="B2822" s="709">
        <v>89009</v>
      </c>
      <c r="C2822" s="710" t="s">
        <v>2856</v>
      </c>
      <c r="D2822" s="709" t="s">
        <v>234</v>
      </c>
      <c r="E2822" s="716">
        <v>41.42</v>
      </c>
      <c r="F2822" s="717">
        <v>0</v>
      </c>
      <c r="G2822">
        <f>VLOOKUP(B2822,'SINAPI-%MO'!B:E,4,0)</f>
        <v>0</v>
      </c>
      <c r="H2822" s="225">
        <f t="shared" si="43"/>
        <v>41.42</v>
      </c>
    </row>
    <row r="2823" spans="1:8" x14ac:dyDescent="0.3">
      <c r="A2823" s="400"/>
      <c r="B2823" s="709">
        <v>89010</v>
      </c>
      <c r="C2823" s="710" t="s">
        <v>2857</v>
      </c>
      <c r="D2823" s="709" t="s">
        <v>234</v>
      </c>
      <c r="E2823" s="716">
        <v>18.239999999999998</v>
      </c>
      <c r="F2823" s="717">
        <v>0</v>
      </c>
      <c r="G2823">
        <f>VLOOKUP(B2823,'SINAPI-%MO'!B:E,4,0)</f>
        <v>0</v>
      </c>
      <c r="H2823" s="225">
        <f t="shared" si="43"/>
        <v>18.239999999999998</v>
      </c>
    </row>
    <row r="2824" spans="1:8" x14ac:dyDescent="0.3">
      <c r="A2824" s="400"/>
      <c r="B2824" s="709">
        <v>53810</v>
      </c>
      <c r="C2824" s="710" t="s">
        <v>2858</v>
      </c>
      <c r="D2824" s="709" t="s">
        <v>234</v>
      </c>
      <c r="E2824" s="716">
        <v>74.05</v>
      </c>
      <c r="F2824" s="717">
        <v>0</v>
      </c>
      <c r="G2824">
        <f>VLOOKUP(B2824,'SINAPI-%MO'!B:E,4,0)</f>
        <v>0</v>
      </c>
      <c r="H2824" s="225">
        <f t="shared" si="43"/>
        <v>74.05</v>
      </c>
    </row>
    <row r="2825" spans="1:8" x14ac:dyDescent="0.3">
      <c r="A2825" s="400"/>
      <c r="B2825" s="709">
        <v>5721</v>
      </c>
      <c r="C2825" s="710" t="s">
        <v>2859</v>
      </c>
      <c r="D2825" s="709" t="s">
        <v>234</v>
      </c>
      <c r="E2825" s="716">
        <v>101.07</v>
      </c>
      <c r="F2825" s="717">
        <v>0</v>
      </c>
      <c r="G2825">
        <f>VLOOKUP(B2825,'SINAPI-%MO'!B:E,4,0)</f>
        <v>0</v>
      </c>
      <c r="H2825" s="225">
        <f t="shared" si="43"/>
        <v>101.07</v>
      </c>
    </row>
    <row r="2826" spans="1:8" x14ac:dyDescent="0.3">
      <c r="A2826" s="400"/>
      <c r="B2826" s="709">
        <v>89017</v>
      </c>
      <c r="C2826" s="710" t="s">
        <v>2860</v>
      </c>
      <c r="D2826" s="709" t="s">
        <v>234</v>
      </c>
      <c r="E2826" s="716">
        <v>41.17</v>
      </c>
      <c r="F2826" s="717">
        <v>0</v>
      </c>
      <c r="G2826">
        <f>VLOOKUP(B2826,'SINAPI-%MO'!B:E,4,0)</f>
        <v>0</v>
      </c>
      <c r="H2826" s="225">
        <f t="shared" si="43"/>
        <v>41.17</v>
      </c>
    </row>
    <row r="2827" spans="1:8" x14ac:dyDescent="0.3">
      <c r="A2827" s="400"/>
      <c r="B2827" s="709">
        <v>89018</v>
      </c>
      <c r="C2827" s="710" t="s">
        <v>2861</v>
      </c>
      <c r="D2827" s="709" t="s">
        <v>234</v>
      </c>
      <c r="E2827" s="716">
        <v>18.13</v>
      </c>
      <c r="F2827" s="717">
        <v>0</v>
      </c>
      <c r="G2827">
        <f>VLOOKUP(B2827,'SINAPI-%MO'!B:E,4,0)</f>
        <v>0</v>
      </c>
      <c r="H2827" s="225">
        <f t="shared" ref="H2827:H2890" si="44">IF(E2827&gt;0,TRUNC(E2827*(1-G2827),2),"")</f>
        <v>18.13</v>
      </c>
    </row>
    <row r="2828" spans="1:8" x14ac:dyDescent="0.3">
      <c r="A2828" s="400"/>
      <c r="B2828" s="709">
        <v>53806</v>
      </c>
      <c r="C2828" s="710" t="s">
        <v>2862</v>
      </c>
      <c r="D2828" s="709" t="s">
        <v>234</v>
      </c>
      <c r="E2828" s="716">
        <v>73.599999999999994</v>
      </c>
      <c r="F2828" s="717">
        <v>0</v>
      </c>
      <c r="G2828">
        <f>VLOOKUP(B2828,'SINAPI-%MO'!B:E,4,0)</f>
        <v>0</v>
      </c>
      <c r="H2828" s="225">
        <f t="shared" si="44"/>
        <v>73.599999999999994</v>
      </c>
    </row>
    <row r="2829" spans="1:8" x14ac:dyDescent="0.3">
      <c r="A2829" s="400"/>
      <c r="B2829" s="709">
        <v>5718</v>
      </c>
      <c r="C2829" s="710" t="s">
        <v>2863</v>
      </c>
      <c r="D2829" s="709" t="s">
        <v>234</v>
      </c>
      <c r="E2829" s="716">
        <v>114.55</v>
      </c>
      <c r="F2829" s="717">
        <v>0</v>
      </c>
      <c r="G2829">
        <f>VLOOKUP(B2829,'SINAPI-%MO'!B:E,4,0)</f>
        <v>0</v>
      </c>
      <c r="H2829" s="225">
        <f t="shared" si="44"/>
        <v>114.55</v>
      </c>
    </row>
    <row r="2830" spans="1:8" x14ac:dyDescent="0.3">
      <c r="A2830" s="400"/>
      <c r="B2830" s="709">
        <v>89013</v>
      </c>
      <c r="C2830" s="710" t="s">
        <v>2864</v>
      </c>
      <c r="D2830" s="709" t="s">
        <v>234</v>
      </c>
      <c r="E2830" s="716">
        <v>135.69</v>
      </c>
      <c r="F2830" s="717">
        <v>0</v>
      </c>
      <c r="G2830">
        <f>VLOOKUP(B2830,'SINAPI-%MO'!B:E,4,0)</f>
        <v>0</v>
      </c>
      <c r="H2830" s="225">
        <f t="shared" si="44"/>
        <v>135.69</v>
      </c>
    </row>
    <row r="2831" spans="1:8" x14ac:dyDescent="0.3">
      <c r="A2831" s="400"/>
      <c r="B2831" s="709">
        <v>89014</v>
      </c>
      <c r="C2831" s="710" t="s">
        <v>2865</v>
      </c>
      <c r="D2831" s="709" t="s">
        <v>234</v>
      </c>
      <c r="E2831" s="716">
        <v>59.77</v>
      </c>
      <c r="F2831" s="717">
        <v>0</v>
      </c>
      <c r="G2831">
        <f>VLOOKUP(B2831,'SINAPI-%MO'!B:E,4,0)</f>
        <v>0</v>
      </c>
      <c r="H2831" s="225">
        <f t="shared" si="44"/>
        <v>59.77</v>
      </c>
    </row>
    <row r="2832" spans="1:8" x14ac:dyDescent="0.3">
      <c r="A2832" s="400"/>
      <c r="B2832" s="709">
        <v>53814</v>
      </c>
      <c r="C2832" s="710" t="s">
        <v>2866</v>
      </c>
      <c r="D2832" s="709" t="s">
        <v>234</v>
      </c>
      <c r="E2832" s="716">
        <v>242.58</v>
      </c>
      <c r="F2832" s="717">
        <v>0</v>
      </c>
      <c r="G2832">
        <f>VLOOKUP(B2832,'SINAPI-%MO'!B:E,4,0)</f>
        <v>0</v>
      </c>
      <c r="H2832" s="225">
        <f t="shared" si="44"/>
        <v>242.58</v>
      </c>
    </row>
    <row r="2833" spans="1:8" x14ac:dyDescent="0.3">
      <c r="A2833" s="400"/>
      <c r="B2833" s="709">
        <v>5722</v>
      </c>
      <c r="C2833" s="710" t="s">
        <v>2867</v>
      </c>
      <c r="D2833" s="709" t="s">
        <v>234</v>
      </c>
      <c r="E2833" s="716">
        <v>233.74</v>
      </c>
      <c r="F2833" s="717">
        <v>0</v>
      </c>
      <c r="G2833">
        <f>VLOOKUP(B2833,'SINAPI-%MO'!B:E,4,0)</f>
        <v>0</v>
      </c>
      <c r="H2833" s="225">
        <f t="shared" si="44"/>
        <v>233.74</v>
      </c>
    </row>
    <row r="2834" spans="1:8" x14ac:dyDescent="0.3">
      <c r="A2834" s="400"/>
      <c r="B2834" s="709">
        <v>96015</v>
      </c>
      <c r="C2834" s="710" t="s">
        <v>2868</v>
      </c>
      <c r="D2834" s="709" t="s">
        <v>234</v>
      </c>
      <c r="E2834" s="716">
        <v>23.25</v>
      </c>
      <c r="F2834" s="717">
        <v>0</v>
      </c>
      <c r="G2834">
        <f>VLOOKUP(B2834,'SINAPI-%MO'!B:E,4,0)</f>
        <v>0</v>
      </c>
      <c r="H2834" s="225">
        <f t="shared" si="44"/>
        <v>23.25</v>
      </c>
    </row>
    <row r="2835" spans="1:8" x14ac:dyDescent="0.3">
      <c r="A2835" s="400"/>
      <c r="B2835" s="709">
        <v>96016</v>
      </c>
      <c r="C2835" s="710" t="s">
        <v>2869</v>
      </c>
      <c r="D2835" s="709" t="s">
        <v>234</v>
      </c>
      <c r="E2835" s="716">
        <v>6.23</v>
      </c>
      <c r="F2835" s="717">
        <v>0</v>
      </c>
      <c r="G2835">
        <f>VLOOKUP(B2835,'SINAPI-%MO'!B:E,4,0)</f>
        <v>0</v>
      </c>
      <c r="H2835" s="225">
        <f t="shared" si="44"/>
        <v>6.23</v>
      </c>
    </row>
    <row r="2836" spans="1:8" x14ac:dyDescent="0.3">
      <c r="A2836" s="400"/>
      <c r="B2836" s="709">
        <v>96018</v>
      </c>
      <c r="C2836" s="710" t="s">
        <v>2870</v>
      </c>
      <c r="D2836" s="709" t="s">
        <v>234</v>
      </c>
      <c r="E2836" s="716">
        <v>25.44</v>
      </c>
      <c r="F2836" s="717">
        <v>0</v>
      </c>
      <c r="G2836">
        <f>VLOOKUP(B2836,'SINAPI-%MO'!B:E,4,0)</f>
        <v>0</v>
      </c>
      <c r="H2836" s="225">
        <f t="shared" si="44"/>
        <v>25.44</v>
      </c>
    </row>
    <row r="2837" spans="1:8" x14ac:dyDescent="0.3">
      <c r="A2837" s="400"/>
      <c r="B2837" s="709">
        <v>96019</v>
      </c>
      <c r="C2837" s="710" t="s">
        <v>2871</v>
      </c>
      <c r="D2837" s="709" t="s">
        <v>234</v>
      </c>
      <c r="E2837" s="716">
        <v>104.23</v>
      </c>
      <c r="F2837" s="717">
        <v>0</v>
      </c>
      <c r="G2837">
        <f>VLOOKUP(B2837,'SINAPI-%MO'!B:E,4,0)</f>
        <v>0</v>
      </c>
      <c r="H2837" s="225">
        <f t="shared" si="44"/>
        <v>104.23</v>
      </c>
    </row>
    <row r="2838" spans="1:8" x14ac:dyDescent="0.3">
      <c r="A2838" s="400"/>
      <c r="B2838" s="709">
        <v>96008</v>
      </c>
      <c r="C2838" s="710" t="s">
        <v>2872</v>
      </c>
      <c r="D2838" s="709" t="s">
        <v>234</v>
      </c>
      <c r="E2838" s="716">
        <v>23.51</v>
      </c>
      <c r="F2838" s="717">
        <v>0</v>
      </c>
      <c r="G2838">
        <f>VLOOKUP(B2838,'SINAPI-%MO'!B:E,4,0)</f>
        <v>0</v>
      </c>
      <c r="H2838" s="225">
        <f t="shared" si="44"/>
        <v>23.51</v>
      </c>
    </row>
    <row r="2839" spans="1:8" x14ac:dyDescent="0.3">
      <c r="A2839" s="400"/>
      <c r="B2839" s="709">
        <v>96009</v>
      </c>
      <c r="C2839" s="710" t="s">
        <v>2873</v>
      </c>
      <c r="D2839" s="709" t="s">
        <v>234</v>
      </c>
      <c r="E2839" s="716">
        <v>6.3</v>
      </c>
      <c r="F2839" s="717">
        <v>0</v>
      </c>
      <c r="G2839">
        <f>VLOOKUP(B2839,'SINAPI-%MO'!B:E,4,0)</f>
        <v>0</v>
      </c>
      <c r="H2839" s="225">
        <f t="shared" si="44"/>
        <v>6.3</v>
      </c>
    </row>
    <row r="2840" spans="1:8" x14ac:dyDescent="0.3">
      <c r="A2840" s="400"/>
      <c r="B2840" s="709">
        <v>96011</v>
      </c>
      <c r="C2840" s="710" t="s">
        <v>2874</v>
      </c>
      <c r="D2840" s="709" t="s">
        <v>234</v>
      </c>
      <c r="E2840" s="716">
        <v>25.72</v>
      </c>
      <c r="F2840" s="717">
        <v>0</v>
      </c>
      <c r="G2840">
        <f>VLOOKUP(B2840,'SINAPI-%MO'!B:E,4,0)</f>
        <v>0</v>
      </c>
      <c r="H2840" s="225">
        <f t="shared" si="44"/>
        <v>25.72</v>
      </c>
    </row>
    <row r="2841" spans="1:8" x14ac:dyDescent="0.3">
      <c r="A2841" s="400"/>
      <c r="B2841" s="709">
        <v>96012</v>
      </c>
      <c r="C2841" s="710" t="s">
        <v>2875</v>
      </c>
      <c r="D2841" s="709" t="s">
        <v>234</v>
      </c>
      <c r="E2841" s="716">
        <v>104.23</v>
      </c>
      <c r="F2841" s="717">
        <v>0</v>
      </c>
      <c r="G2841">
        <f>VLOOKUP(B2841,'SINAPI-%MO'!B:E,4,0)</f>
        <v>0</v>
      </c>
      <c r="H2841" s="225">
        <f t="shared" si="44"/>
        <v>104.23</v>
      </c>
    </row>
    <row r="2842" spans="1:8" x14ac:dyDescent="0.3">
      <c r="A2842" s="400"/>
      <c r="B2842" s="709">
        <v>96023</v>
      </c>
      <c r="C2842" s="710" t="s">
        <v>2876</v>
      </c>
      <c r="D2842" s="709" t="s">
        <v>234</v>
      </c>
      <c r="E2842" s="716">
        <v>18.2</v>
      </c>
      <c r="F2842" s="717">
        <v>0</v>
      </c>
      <c r="G2842">
        <f>VLOOKUP(B2842,'SINAPI-%MO'!B:E,4,0)</f>
        <v>0</v>
      </c>
      <c r="H2842" s="225">
        <f t="shared" si="44"/>
        <v>18.2</v>
      </c>
    </row>
    <row r="2843" spans="1:8" x14ac:dyDescent="0.3">
      <c r="A2843" s="400"/>
      <c r="B2843" s="709">
        <v>96024</v>
      </c>
      <c r="C2843" s="710" t="s">
        <v>2877</v>
      </c>
      <c r="D2843" s="709" t="s">
        <v>234</v>
      </c>
      <c r="E2843" s="716">
        <v>4.87</v>
      </c>
      <c r="F2843" s="717">
        <v>0</v>
      </c>
      <c r="G2843">
        <f>VLOOKUP(B2843,'SINAPI-%MO'!B:E,4,0)</f>
        <v>0</v>
      </c>
      <c r="H2843" s="225">
        <f t="shared" si="44"/>
        <v>4.87</v>
      </c>
    </row>
    <row r="2844" spans="1:8" x14ac:dyDescent="0.3">
      <c r="A2844" s="400"/>
      <c r="B2844" s="709">
        <v>96026</v>
      </c>
      <c r="C2844" s="710" t="s">
        <v>2878</v>
      </c>
      <c r="D2844" s="709" t="s">
        <v>234</v>
      </c>
      <c r="E2844" s="716">
        <v>19.91</v>
      </c>
      <c r="F2844" s="717">
        <v>0</v>
      </c>
      <c r="G2844">
        <f>VLOOKUP(B2844,'SINAPI-%MO'!B:E,4,0)</f>
        <v>0</v>
      </c>
      <c r="H2844" s="225">
        <f t="shared" si="44"/>
        <v>19.91</v>
      </c>
    </row>
    <row r="2845" spans="1:8" x14ac:dyDescent="0.3">
      <c r="A2845" s="400"/>
      <c r="B2845" s="709">
        <v>96027</v>
      </c>
      <c r="C2845" s="710" t="s">
        <v>2879</v>
      </c>
      <c r="D2845" s="709" t="s">
        <v>234</v>
      </c>
      <c r="E2845" s="716">
        <v>72.62</v>
      </c>
      <c r="F2845" s="717">
        <v>0</v>
      </c>
      <c r="G2845">
        <f>VLOOKUP(B2845,'SINAPI-%MO'!B:E,4,0)</f>
        <v>0</v>
      </c>
      <c r="H2845" s="225">
        <f t="shared" si="44"/>
        <v>72.62</v>
      </c>
    </row>
    <row r="2846" spans="1:8" x14ac:dyDescent="0.3">
      <c r="A2846" s="400"/>
      <c r="B2846" s="709">
        <v>96053</v>
      </c>
      <c r="C2846" s="710" t="s">
        <v>2880</v>
      </c>
      <c r="D2846" s="709" t="s">
        <v>234</v>
      </c>
      <c r="E2846" s="716">
        <v>18.46</v>
      </c>
      <c r="F2846" s="717">
        <v>0</v>
      </c>
      <c r="G2846">
        <f>VLOOKUP(B2846,'SINAPI-%MO'!B:E,4,0)</f>
        <v>0</v>
      </c>
      <c r="H2846" s="225">
        <f t="shared" si="44"/>
        <v>18.46</v>
      </c>
    </row>
    <row r="2847" spans="1:8" x14ac:dyDescent="0.3">
      <c r="A2847" s="400"/>
      <c r="B2847" s="709">
        <v>96055</v>
      </c>
      <c r="C2847" s="710" t="s">
        <v>2881</v>
      </c>
      <c r="D2847" s="709" t="s">
        <v>234</v>
      </c>
      <c r="E2847" s="716">
        <v>4.9400000000000004</v>
      </c>
      <c r="F2847" s="717">
        <v>0</v>
      </c>
      <c r="G2847">
        <f>VLOOKUP(B2847,'SINAPI-%MO'!B:E,4,0)</f>
        <v>0</v>
      </c>
      <c r="H2847" s="225">
        <f t="shared" si="44"/>
        <v>4.9400000000000004</v>
      </c>
    </row>
    <row r="2848" spans="1:8" x14ac:dyDescent="0.3">
      <c r="A2848" s="400"/>
      <c r="B2848" s="709">
        <v>96056</v>
      </c>
      <c r="C2848" s="710" t="s">
        <v>2882</v>
      </c>
      <c r="D2848" s="709" t="s">
        <v>234</v>
      </c>
      <c r="E2848" s="716">
        <v>20.190000000000001</v>
      </c>
      <c r="F2848" s="717">
        <v>0</v>
      </c>
      <c r="G2848">
        <f>VLOOKUP(B2848,'SINAPI-%MO'!B:E,4,0)</f>
        <v>0</v>
      </c>
      <c r="H2848" s="225">
        <f t="shared" si="44"/>
        <v>20.190000000000001</v>
      </c>
    </row>
    <row r="2849" spans="1:8" x14ac:dyDescent="0.3">
      <c r="A2849" s="400"/>
      <c r="B2849" s="709">
        <v>96057</v>
      </c>
      <c r="C2849" s="710" t="s">
        <v>2883</v>
      </c>
      <c r="D2849" s="709" t="s">
        <v>234</v>
      </c>
      <c r="E2849" s="716">
        <v>72.62</v>
      </c>
      <c r="F2849" s="717">
        <v>0</v>
      </c>
      <c r="G2849">
        <f>VLOOKUP(B2849,'SINAPI-%MO'!B:E,4,0)</f>
        <v>0</v>
      </c>
      <c r="H2849" s="225">
        <f t="shared" si="44"/>
        <v>72.62</v>
      </c>
    </row>
    <row r="2850" spans="1:8" x14ac:dyDescent="0.3">
      <c r="A2850" s="400"/>
      <c r="B2850" s="709">
        <v>7063</v>
      </c>
      <c r="C2850" s="710" t="s">
        <v>2884</v>
      </c>
      <c r="D2850" s="709" t="s">
        <v>234</v>
      </c>
      <c r="E2850" s="716">
        <v>18.899999999999999</v>
      </c>
      <c r="F2850" s="717">
        <v>0</v>
      </c>
      <c r="G2850">
        <f>VLOOKUP(B2850,'SINAPI-%MO'!B:E,4,0)</f>
        <v>0</v>
      </c>
      <c r="H2850" s="225">
        <f t="shared" si="44"/>
        <v>18.899999999999999</v>
      </c>
    </row>
    <row r="2851" spans="1:8" x14ac:dyDescent="0.3">
      <c r="A2851" s="400"/>
      <c r="B2851" s="709">
        <v>7064</v>
      </c>
      <c r="C2851" s="710" t="s">
        <v>2885</v>
      </c>
      <c r="D2851" s="709" t="s">
        <v>234</v>
      </c>
      <c r="E2851" s="716">
        <v>5.0999999999999996</v>
      </c>
      <c r="F2851" s="717">
        <v>0</v>
      </c>
      <c r="G2851">
        <f>VLOOKUP(B2851,'SINAPI-%MO'!B:E,4,0)</f>
        <v>0</v>
      </c>
      <c r="H2851" s="225">
        <f t="shared" si="44"/>
        <v>5.0999999999999996</v>
      </c>
    </row>
    <row r="2852" spans="1:8" x14ac:dyDescent="0.3">
      <c r="A2852" s="400"/>
      <c r="B2852" s="709">
        <v>7065</v>
      </c>
      <c r="C2852" s="710" t="s">
        <v>2886</v>
      </c>
      <c r="D2852" s="709" t="s">
        <v>234</v>
      </c>
      <c r="E2852" s="716">
        <v>20.68</v>
      </c>
      <c r="F2852" s="717">
        <v>0</v>
      </c>
      <c r="G2852">
        <f>VLOOKUP(B2852,'SINAPI-%MO'!B:E,4,0)</f>
        <v>0</v>
      </c>
      <c r="H2852" s="225">
        <f t="shared" si="44"/>
        <v>20.68</v>
      </c>
    </row>
    <row r="2853" spans="1:8" x14ac:dyDescent="0.3">
      <c r="A2853" s="400"/>
      <c r="B2853" s="709">
        <v>7066</v>
      </c>
      <c r="C2853" s="710" t="s">
        <v>2887</v>
      </c>
      <c r="D2853" s="709" t="s">
        <v>234</v>
      </c>
      <c r="E2853" s="716">
        <v>104.23</v>
      </c>
      <c r="F2853" s="717">
        <v>0</v>
      </c>
      <c r="G2853">
        <f>VLOOKUP(B2853,'SINAPI-%MO'!B:E,4,0)</f>
        <v>0</v>
      </c>
      <c r="H2853" s="225">
        <f t="shared" si="44"/>
        <v>104.23</v>
      </c>
    </row>
    <row r="2854" spans="1:8" x14ac:dyDescent="0.3">
      <c r="A2854" s="400"/>
      <c r="B2854" s="709">
        <v>89033</v>
      </c>
      <c r="C2854" s="710" t="s">
        <v>2888</v>
      </c>
      <c r="D2854" s="709" t="s">
        <v>234</v>
      </c>
      <c r="E2854" s="716">
        <v>13.85</v>
      </c>
      <c r="F2854" s="717">
        <v>0</v>
      </c>
      <c r="G2854">
        <f>VLOOKUP(B2854,'SINAPI-%MO'!B:E,4,0)</f>
        <v>0</v>
      </c>
      <c r="H2854" s="225">
        <f t="shared" si="44"/>
        <v>13.85</v>
      </c>
    </row>
    <row r="2855" spans="1:8" x14ac:dyDescent="0.3">
      <c r="A2855" s="400"/>
      <c r="B2855" s="709">
        <v>89034</v>
      </c>
      <c r="C2855" s="710" t="s">
        <v>2889</v>
      </c>
      <c r="D2855" s="709" t="s">
        <v>234</v>
      </c>
      <c r="E2855" s="716">
        <v>3.71</v>
      </c>
      <c r="F2855" s="717">
        <v>0</v>
      </c>
      <c r="G2855">
        <f>VLOOKUP(B2855,'SINAPI-%MO'!B:E,4,0)</f>
        <v>0</v>
      </c>
      <c r="H2855" s="225">
        <f t="shared" si="44"/>
        <v>3.71</v>
      </c>
    </row>
    <row r="2856" spans="1:8" x14ac:dyDescent="0.3">
      <c r="A2856" s="400"/>
      <c r="B2856" s="709">
        <v>5714</v>
      </c>
      <c r="C2856" s="710" t="s">
        <v>2890</v>
      </c>
      <c r="D2856" s="709" t="s">
        <v>234</v>
      </c>
      <c r="E2856" s="716">
        <v>15.15</v>
      </c>
      <c r="F2856" s="717">
        <v>0</v>
      </c>
      <c r="G2856">
        <f>VLOOKUP(B2856,'SINAPI-%MO'!B:E,4,0)</f>
        <v>0</v>
      </c>
      <c r="H2856" s="225">
        <f t="shared" si="44"/>
        <v>15.15</v>
      </c>
    </row>
    <row r="2857" spans="1:8" x14ac:dyDescent="0.3">
      <c r="A2857" s="400"/>
      <c r="B2857" s="709">
        <v>5715</v>
      </c>
      <c r="C2857" s="710" t="s">
        <v>2891</v>
      </c>
      <c r="D2857" s="709" t="s">
        <v>234</v>
      </c>
      <c r="E2857" s="716">
        <v>72.62</v>
      </c>
      <c r="F2857" s="717">
        <v>0</v>
      </c>
      <c r="G2857">
        <f>VLOOKUP(B2857,'SINAPI-%MO'!B:E,4,0)</f>
        <v>0</v>
      </c>
      <c r="H2857" s="225">
        <f t="shared" si="44"/>
        <v>72.62</v>
      </c>
    </row>
    <row r="2858" spans="1:8" x14ac:dyDescent="0.3">
      <c r="A2858" s="400"/>
      <c r="B2858" s="709">
        <v>102906</v>
      </c>
      <c r="C2858" s="710" t="s">
        <v>2892</v>
      </c>
      <c r="D2858" s="709" t="s">
        <v>234</v>
      </c>
      <c r="E2858" s="716">
        <v>0</v>
      </c>
      <c r="F2858" s="717"/>
      <c r="G2858" t="e">
        <f>VLOOKUP(B2858,'SINAPI-%MO'!B:E,4,0)</f>
        <v>#N/A</v>
      </c>
      <c r="H2858" s="225" t="str">
        <f t="shared" si="44"/>
        <v/>
      </c>
    </row>
    <row r="2859" spans="1:8" x14ac:dyDescent="0.3">
      <c r="A2859" s="400"/>
      <c r="B2859" s="709">
        <v>102907</v>
      </c>
      <c r="C2859" s="710" t="s">
        <v>2893</v>
      </c>
      <c r="D2859" s="709" t="s">
        <v>234</v>
      </c>
      <c r="E2859" s="716">
        <v>0</v>
      </c>
      <c r="F2859" s="717"/>
      <c r="G2859" t="e">
        <f>VLOOKUP(B2859,'SINAPI-%MO'!B:E,4,0)</f>
        <v>#N/A</v>
      </c>
      <c r="H2859" s="225" t="str">
        <f t="shared" si="44"/>
        <v/>
      </c>
    </row>
    <row r="2860" spans="1:8" x14ac:dyDescent="0.3">
      <c r="A2860" s="400"/>
      <c r="B2860" s="709">
        <v>102908</v>
      </c>
      <c r="C2860" s="710" t="s">
        <v>2894</v>
      </c>
      <c r="D2860" s="709" t="s">
        <v>234</v>
      </c>
      <c r="E2860" s="716">
        <v>0</v>
      </c>
      <c r="F2860" s="717"/>
      <c r="G2860" t="e">
        <f>VLOOKUP(B2860,'SINAPI-%MO'!B:E,4,0)</f>
        <v>#N/A</v>
      </c>
      <c r="H2860" s="225" t="str">
        <f t="shared" si="44"/>
        <v/>
      </c>
    </row>
    <row r="2861" spans="1:8" x14ac:dyDescent="0.3">
      <c r="A2861" s="400"/>
      <c r="B2861" s="709">
        <v>102909</v>
      </c>
      <c r="C2861" s="710" t="s">
        <v>2895</v>
      </c>
      <c r="D2861" s="709" t="s">
        <v>234</v>
      </c>
      <c r="E2861" s="716">
        <v>4.28</v>
      </c>
      <c r="F2861" s="717">
        <v>0</v>
      </c>
      <c r="G2861">
        <f>VLOOKUP(B2861,'SINAPI-%MO'!B:E,4,0)</f>
        <v>0</v>
      </c>
      <c r="H2861" s="225">
        <f t="shared" si="44"/>
        <v>4.28</v>
      </c>
    </row>
    <row r="2862" spans="1:8" x14ac:dyDescent="0.3">
      <c r="A2862" s="400"/>
      <c r="B2862" s="709">
        <v>93435</v>
      </c>
      <c r="C2862" s="710" t="s">
        <v>2896</v>
      </c>
      <c r="D2862" s="709" t="s">
        <v>234</v>
      </c>
      <c r="E2862" s="716">
        <v>9.81</v>
      </c>
      <c r="F2862" s="717">
        <v>1</v>
      </c>
      <c r="G2862">
        <f>VLOOKUP(B2862,'SINAPI-%MO'!B:E,4,0)</f>
        <v>0</v>
      </c>
      <c r="H2862" s="225">
        <f t="shared" si="44"/>
        <v>9.81</v>
      </c>
    </row>
    <row r="2863" spans="1:8" x14ac:dyDescent="0.3">
      <c r="A2863" s="400"/>
      <c r="B2863" s="709">
        <v>93436</v>
      </c>
      <c r="C2863" s="710" t="s">
        <v>2897</v>
      </c>
      <c r="D2863" s="709" t="s">
        <v>234</v>
      </c>
      <c r="E2863" s="716">
        <v>3.02</v>
      </c>
      <c r="F2863" s="717">
        <v>1</v>
      </c>
      <c r="G2863">
        <f>VLOOKUP(B2863,'SINAPI-%MO'!B:E,4,0)</f>
        <v>0</v>
      </c>
      <c r="H2863" s="225">
        <f t="shared" si="44"/>
        <v>3.02</v>
      </c>
    </row>
    <row r="2864" spans="1:8" x14ac:dyDescent="0.3">
      <c r="A2864" s="400"/>
      <c r="B2864" s="709">
        <v>93437</v>
      </c>
      <c r="C2864" s="710" t="s">
        <v>2898</v>
      </c>
      <c r="D2864" s="709" t="s">
        <v>234</v>
      </c>
      <c r="E2864" s="716">
        <v>10.73</v>
      </c>
      <c r="F2864" s="717">
        <v>1</v>
      </c>
      <c r="G2864">
        <f>VLOOKUP(B2864,'SINAPI-%MO'!B:E,4,0)</f>
        <v>0</v>
      </c>
      <c r="H2864" s="225">
        <f t="shared" si="44"/>
        <v>10.73</v>
      </c>
    </row>
    <row r="2865" spans="1:8" x14ac:dyDescent="0.3">
      <c r="A2865" s="400"/>
      <c r="B2865" s="709">
        <v>93438</v>
      </c>
      <c r="C2865" s="710" t="s">
        <v>2899</v>
      </c>
      <c r="D2865" s="709" t="s">
        <v>234</v>
      </c>
      <c r="E2865" s="716">
        <v>121.06</v>
      </c>
      <c r="F2865" s="717">
        <v>0</v>
      </c>
      <c r="G2865">
        <f>VLOOKUP(B2865,'SINAPI-%MO'!B:E,4,0)</f>
        <v>0</v>
      </c>
      <c r="H2865" s="225">
        <f t="shared" si="44"/>
        <v>121.06</v>
      </c>
    </row>
    <row r="2866" spans="1:8" x14ac:dyDescent="0.3">
      <c r="A2866" s="400"/>
      <c r="B2866" s="709">
        <v>100643</v>
      </c>
      <c r="C2866" s="710" t="s">
        <v>2900</v>
      </c>
      <c r="D2866" s="709" t="s">
        <v>234</v>
      </c>
      <c r="E2866" s="716">
        <v>439.84</v>
      </c>
      <c r="F2866" s="717">
        <v>1</v>
      </c>
      <c r="G2866">
        <f>VLOOKUP(B2866,'SINAPI-%MO'!B:E,4,0)</f>
        <v>0</v>
      </c>
      <c r="H2866" s="225">
        <f t="shared" si="44"/>
        <v>439.84</v>
      </c>
    </row>
    <row r="2867" spans="1:8" x14ac:dyDescent="0.3">
      <c r="A2867" s="400"/>
      <c r="B2867" s="709">
        <v>100644</v>
      </c>
      <c r="C2867" s="710" t="s">
        <v>2901</v>
      </c>
      <c r="D2867" s="709" t="s">
        <v>234</v>
      </c>
      <c r="E2867" s="716">
        <v>155.04</v>
      </c>
      <c r="F2867" s="717">
        <v>1</v>
      </c>
      <c r="G2867">
        <f>VLOOKUP(B2867,'SINAPI-%MO'!B:E,4,0)</f>
        <v>0</v>
      </c>
      <c r="H2867" s="225">
        <f t="shared" si="44"/>
        <v>155.04</v>
      </c>
    </row>
    <row r="2868" spans="1:8" x14ac:dyDescent="0.3">
      <c r="A2868" s="400"/>
      <c r="B2868" s="709">
        <v>100645</v>
      </c>
      <c r="C2868" s="710" t="s">
        <v>2902</v>
      </c>
      <c r="D2868" s="709" t="s">
        <v>234</v>
      </c>
      <c r="E2868" s="716">
        <v>707.05</v>
      </c>
      <c r="F2868" s="717">
        <v>1</v>
      </c>
      <c r="G2868">
        <f>VLOOKUP(B2868,'SINAPI-%MO'!B:E,4,0)</f>
        <v>0</v>
      </c>
      <c r="H2868" s="225">
        <f t="shared" si="44"/>
        <v>707.05</v>
      </c>
    </row>
    <row r="2869" spans="1:8" x14ac:dyDescent="0.3">
      <c r="A2869" s="400"/>
      <c r="B2869" s="709">
        <v>100646</v>
      </c>
      <c r="C2869" s="710" t="s">
        <v>2903</v>
      </c>
      <c r="D2869" s="709" t="s">
        <v>234</v>
      </c>
      <c r="E2869" s="716">
        <v>5805</v>
      </c>
      <c r="F2869" s="717">
        <v>0</v>
      </c>
      <c r="G2869">
        <f>VLOOKUP(B2869,'SINAPI-%MO'!B:E,4,0)</f>
        <v>0</v>
      </c>
      <c r="H2869" s="225">
        <f t="shared" si="44"/>
        <v>5805</v>
      </c>
    </row>
    <row r="2870" spans="1:8" x14ac:dyDescent="0.3">
      <c r="A2870" s="400"/>
      <c r="B2870" s="709">
        <v>95116</v>
      </c>
      <c r="C2870" s="710" t="s">
        <v>2904</v>
      </c>
      <c r="D2870" s="709" t="s">
        <v>234</v>
      </c>
      <c r="E2870" s="716">
        <v>33.31</v>
      </c>
      <c r="F2870" s="717">
        <v>1</v>
      </c>
      <c r="G2870">
        <f>VLOOKUP(B2870,'SINAPI-%MO'!B:E,4,0)</f>
        <v>0</v>
      </c>
      <c r="H2870" s="225">
        <f t="shared" si="44"/>
        <v>33.31</v>
      </c>
    </row>
    <row r="2871" spans="1:8" x14ac:dyDescent="0.3">
      <c r="A2871" s="400"/>
      <c r="B2871" s="709">
        <v>95117</v>
      </c>
      <c r="C2871" s="710" t="s">
        <v>2905</v>
      </c>
      <c r="D2871" s="709" t="s">
        <v>234</v>
      </c>
      <c r="E2871" s="716">
        <v>10.27</v>
      </c>
      <c r="F2871" s="717">
        <v>1</v>
      </c>
      <c r="G2871">
        <f>VLOOKUP(B2871,'SINAPI-%MO'!B:E,4,0)</f>
        <v>0</v>
      </c>
      <c r="H2871" s="225">
        <f t="shared" si="44"/>
        <v>10.27</v>
      </c>
    </row>
    <row r="2872" spans="1:8" x14ac:dyDescent="0.3">
      <c r="A2872" s="400"/>
      <c r="B2872" s="709">
        <v>53794</v>
      </c>
      <c r="C2872" s="710" t="s">
        <v>2906</v>
      </c>
      <c r="D2872" s="709" t="s">
        <v>234</v>
      </c>
      <c r="E2872" s="716">
        <v>36.44</v>
      </c>
      <c r="F2872" s="717">
        <v>1</v>
      </c>
      <c r="G2872">
        <f>VLOOKUP(B2872,'SINAPI-%MO'!B:E,4,0)</f>
        <v>0</v>
      </c>
      <c r="H2872" s="225">
        <f t="shared" si="44"/>
        <v>36.44</v>
      </c>
    </row>
    <row r="2873" spans="1:8" x14ac:dyDescent="0.3">
      <c r="A2873" s="400"/>
      <c r="B2873" s="709">
        <v>5703</v>
      </c>
      <c r="C2873" s="710" t="s">
        <v>2907</v>
      </c>
      <c r="D2873" s="709" t="s">
        <v>234</v>
      </c>
      <c r="E2873" s="716">
        <v>24.99</v>
      </c>
      <c r="F2873" s="717">
        <v>0</v>
      </c>
      <c r="G2873">
        <f>VLOOKUP(B2873,'SINAPI-%MO'!B:E,4,0)</f>
        <v>0</v>
      </c>
      <c r="H2873" s="225">
        <f t="shared" si="44"/>
        <v>24.99</v>
      </c>
    </row>
    <row r="2874" spans="1:8" x14ac:dyDescent="0.3">
      <c r="A2874" s="400"/>
      <c r="B2874" s="709">
        <v>106089</v>
      </c>
      <c r="C2874" s="710" t="s">
        <v>2908</v>
      </c>
      <c r="D2874" s="709" t="s">
        <v>234</v>
      </c>
      <c r="E2874" s="716">
        <v>53.41</v>
      </c>
      <c r="F2874" s="717">
        <v>0.48620000000000002</v>
      </c>
      <c r="G2874">
        <f>VLOOKUP(B2874,'SINAPI-%MO'!B:E,4,0)</f>
        <v>0</v>
      </c>
      <c r="H2874" s="225">
        <f t="shared" si="44"/>
        <v>53.41</v>
      </c>
    </row>
    <row r="2875" spans="1:8" x14ac:dyDescent="0.3">
      <c r="A2875" s="400"/>
      <c r="B2875" s="709">
        <v>106092</v>
      </c>
      <c r="C2875" s="710" t="s">
        <v>2909</v>
      </c>
      <c r="D2875" s="709" t="s">
        <v>234</v>
      </c>
      <c r="E2875" s="716">
        <v>8.8699999999999992</v>
      </c>
      <c r="F2875" s="717">
        <v>0.4859</v>
      </c>
      <c r="G2875">
        <f>VLOOKUP(B2875,'SINAPI-%MO'!B:E,4,0)</f>
        <v>0</v>
      </c>
      <c r="H2875" s="225">
        <f t="shared" si="44"/>
        <v>8.8699999999999992</v>
      </c>
    </row>
    <row r="2876" spans="1:8" x14ac:dyDescent="0.3">
      <c r="A2876" s="400"/>
      <c r="B2876" s="709">
        <v>106090</v>
      </c>
      <c r="C2876" s="710" t="s">
        <v>2910</v>
      </c>
      <c r="D2876" s="709" t="s">
        <v>234</v>
      </c>
      <c r="E2876" s="716">
        <v>21.95</v>
      </c>
      <c r="F2876" s="717">
        <v>0.48609999999999998</v>
      </c>
      <c r="G2876">
        <f>VLOOKUP(B2876,'SINAPI-%MO'!B:E,4,0)</f>
        <v>0</v>
      </c>
      <c r="H2876" s="225">
        <f t="shared" si="44"/>
        <v>21.95</v>
      </c>
    </row>
    <row r="2877" spans="1:8" x14ac:dyDescent="0.3">
      <c r="A2877" s="400"/>
      <c r="B2877" s="709">
        <v>106091</v>
      </c>
      <c r="C2877" s="710" t="s">
        <v>2911</v>
      </c>
      <c r="D2877" s="709" t="s">
        <v>234</v>
      </c>
      <c r="E2877" s="716">
        <v>100.14</v>
      </c>
      <c r="F2877" s="717">
        <v>0.48620000000000002</v>
      </c>
      <c r="G2877">
        <f>VLOOKUP(B2877,'SINAPI-%MO'!B:E,4,0)</f>
        <v>0</v>
      </c>
      <c r="H2877" s="225">
        <f t="shared" si="44"/>
        <v>100.14</v>
      </c>
    </row>
    <row r="2878" spans="1:8" x14ac:dyDescent="0.3">
      <c r="A2878" s="400"/>
      <c r="B2878" s="709">
        <v>106093</v>
      </c>
      <c r="C2878" s="710" t="s">
        <v>2912</v>
      </c>
      <c r="D2878" s="709" t="s">
        <v>234</v>
      </c>
      <c r="E2878" s="716">
        <v>135.77000000000001</v>
      </c>
      <c r="F2878" s="717">
        <v>0</v>
      </c>
      <c r="G2878">
        <f>VLOOKUP(B2878,'SINAPI-%MO'!B:E,4,0)</f>
        <v>0</v>
      </c>
      <c r="H2878" s="225">
        <f t="shared" si="44"/>
        <v>135.77000000000001</v>
      </c>
    </row>
    <row r="2879" spans="1:8" x14ac:dyDescent="0.3">
      <c r="A2879" s="400"/>
      <c r="B2879" s="709">
        <v>100637</v>
      </c>
      <c r="C2879" s="710" t="s">
        <v>2913</v>
      </c>
      <c r="D2879" s="709" t="s">
        <v>234</v>
      </c>
      <c r="E2879" s="716">
        <v>214.66</v>
      </c>
      <c r="F2879" s="717">
        <v>1</v>
      </c>
      <c r="G2879">
        <f>VLOOKUP(B2879,'SINAPI-%MO'!B:E,4,0)</f>
        <v>0</v>
      </c>
      <c r="H2879" s="225">
        <f t="shared" si="44"/>
        <v>214.66</v>
      </c>
    </row>
    <row r="2880" spans="1:8" x14ac:dyDescent="0.3">
      <c r="A2880" s="400"/>
      <c r="B2880" s="709">
        <v>100638</v>
      </c>
      <c r="C2880" s="710" t="s">
        <v>2914</v>
      </c>
      <c r="D2880" s="709" t="s">
        <v>234</v>
      </c>
      <c r="E2880" s="716">
        <v>65.98</v>
      </c>
      <c r="F2880" s="717">
        <v>1</v>
      </c>
      <c r="G2880">
        <f>VLOOKUP(B2880,'SINAPI-%MO'!B:E,4,0)</f>
        <v>0</v>
      </c>
      <c r="H2880" s="225">
        <f t="shared" si="44"/>
        <v>65.98</v>
      </c>
    </row>
    <row r="2881" spans="1:8" x14ac:dyDescent="0.3">
      <c r="A2881" s="400"/>
      <c r="B2881" s="709">
        <v>100639</v>
      </c>
      <c r="C2881" s="710" t="s">
        <v>2915</v>
      </c>
      <c r="D2881" s="709" t="s">
        <v>234</v>
      </c>
      <c r="E2881" s="716">
        <v>268.52999999999997</v>
      </c>
      <c r="F2881" s="717">
        <v>1</v>
      </c>
      <c r="G2881">
        <f>VLOOKUP(B2881,'SINAPI-%MO'!B:E,4,0)</f>
        <v>0</v>
      </c>
      <c r="H2881" s="225">
        <f t="shared" si="44"/>
        <v>268.52999999999997</v>
      </c>
    </row>
    <row r="2882" spans="1:8" x14ac:dyDescent="0.3">
      <c r="A2882" s="400"/>
      <c r="B2882" s="709">
        <v>100640</v>
      </c>
      <c r="C2882" s="710" t="s">
        <v>2916</v>
      </c>
      <c r="D2882" s="709" t="s">
        <v>234</v>
      </c>
      <c r="E2882" s="716">
        <v>4644</v>
      </c>
      <c r="F2882" s="717">
        <v>0</v>
      </c>
      <c r="G2882">
        <f>VLOOKUP(B2882,'SINAPI-%MO'!B:E,4,0)</f>
        <v>0</v>
      </c>
      <c r="H2882" s="225">
        <f t="shared" si="44"/>
        <v>4644</v>
      </c>
    </row>
    <row r="2883" spans="1:8" x14ac:dyDescent="0.3">
      <c r="A2883" s="400"/>
      <c r="B2883" s="709">
        <v>93429</v>
      </c>
      <c r="C2883" s="710" t="s">
        <v>2917</v>
      </c>
      <c r="D2883" s="709" t="s">
        <v>234</v>
      </c>
      <c r="E2883" s="716">
        <v>174.76</v>
      </c>
      <c r="F2883" s="717">
        <v>1</v>
      </c>
      <c r="G2883">
        <f>VLOOKUP(B2883,'SINAPI-%MO'!B:E,4,0)</f>
        <v>0</v>
      </c>
      <c r="H2883" s="225">
        <f t="shared" si="44"/>
        <v>174.76</v>
      </c>
    </row>
    <row r="2884" spans="1:8" x14ac:dyDescent="0.3">
      <c r="A2884" s="400"/>
      <c r="B2884" s="709">
        <v>93430</v>
      </c>
      <c r="C2884" s="710" t="s">
        <v>2918</v>
      </c>
      <c r="D2884" s="709" t="s">
        <v>234</v>
      </c>
      <c r="E2884" s="716">
        <v>53.72</v>
      </c>
      <c r="F2884" s="717">
        <v>1</v>
      </c>
      <c r="G2884">
        <f>VLOOKUP(B2884,'SINAPI-%MO'!B:E,4,0)</f>
        <v>0</v>
      </c>
      <c r="H2884" s="225">
        <f t="shared" si="44"/>
        <v>53.72</v>
      </c>
    </row>
    <row r="2885" spans="1:8" x14ac:dyDescent="0.3">
      <c r="A2885" s="400"/>
      <c r="B2885" s="709">
        <v>93431</v>
      </c>
      <c r="C2885" s="710" t="s">
        <v>2919</v>
      </c>
      <c r="D2885" s="709" t="s">
        <v>234</v>
      </c>
      <c r="E2885" s="716">
        <v>218.62</v>
      </c>
      <c r="F2885" s="717">
        <v>1</v>
      </c>
      <c r="G2885">
        <f>VLOOKUP(B2885,'SINAPI-%MO'!B:E,4,0)</f>
        <v>0</v>
      </c>
      <c r="H2885" s="225">
        <f t="shared" si="44"/>
        <v>218.62</v>
      </c>
    </row>
    <row r="2886" spans="1:8" x14ac:dyDescent="0.3">
      <c r="A2886" s="400"/>
      <c r="B2886" s="709">
        <v>93432</v>
      </c>
      <c r="C2886" s="710" t="s">
        <v>2920</v>
      </c>
      <c r="D2886" s="709" t="s">
        <v>234</v>
      </c>
      <c r="E2886" s="716">
        <v>2322</v>
      </c>
      <c r="F2886" s="717">
        <v>0</v>
      </c>
      <c r="G2886">
        <f>VLOOKUP(B2886,'SINAPI-%MO'!B:E,4,0)</f>
        <v>0</v>
      </c>
      <c r="H2886" s="225">
        <f t="shared" si="44"/>
        <v>2322</v>
      </c>
    </row>
    <row r="2887" spans="1:8" x14ac:dyDescent="0.3">
      <c r="A2887" s="400"/>
      <c r="B2887" s="709">
        <v>95118</v>
      </c>
      <c r="C2887" s="710" t="s">
        <v>2921</v>
      </c>
      <c r="D2887" s="709" t="s">
        <v>234</v>
      </c>
      <c r="E2887" s="716">
        <v>80.150000000000006</v>
      </c>
      <c r="F2887" s="717">
        <v>1</v>
      </c>
      <c r="G2887">
        <f>VLOOKUP(B2887,'SINAPI-%MO'!B:E,4,0)</f>
        <v>0</v>
      </c>
      <c r="H2887" s="225">
        <f t="shared" si="44"/>
        <v>80.150000000000006</v>
      </c>
    </row>
    <row r="2888" spans="1:8" x14ac:dyDescent="0.3">
      <c r="A2888" s="400"/>
      <c r="B2888" s="709">
        <v>95119</v>
      </c>
      <c r="C2888" s="710" t="s">
        <v>2922</v>
      </c>
      <c r="D2888" s="709" t="s">
        <v>234</v>
      </c>
      <c r="E2888" s="716">
        <v>24.72</v>
      </c>
      <c r="F2888" s="717">
        <v>1</v>
      </c>
      <c r="G2888">
        <f>VLOOKUP(B2888,'SINAPI-%MO'!B:E,4,0)</f>
        <v>0</v>
      </c>
      <c r="H2888" s="225">
        <f t="shared" si="44"/>
        <v>24.72</v>
      </c>
    </row>
    <row r="2889" spans="1:8" x14ac:dyDescent="0.3">
      <c r="A2889" s="400"/>
      <c r="B2889" s="709">
        <v>5707</v>
      </c>
      <c r="C2889" s="710" t="s">
        <v>2923</v>
      </c>
      <c r="D2889" s="709" t="s">
        <v>234</v>
      </c>
      <c r="E2889" s="716">
        <v>87.69</v>
      </c>
      <c r="F2889" s="717">
        <v>1</v>
      </c>
      <c r="G2889">
        <f>VLOOKUP(B2889,'SINAPI-%MO'!B:E,4,0)</f>
        <v>0</v>
      </c>
      <c r="H2889" s="225">
        <f t="shared" si="44"/>
        <v>87.69</v>
      </c>
    </row>
    <row r="2890" spans="1:8" x14ac:dyDescent="0.3">
      <c r="A2890" s="400"/>
      <c r="B2890" s="709">
        <v>95120</v>
      </c>
      <c r="C2890" s="710" t="s">
        <v>2924</v>
      </c>
      <c r="D2890" s="709" t="s">
        <v>234</v>
      </c>
      <c r="E2890" s="716">
        <v>66.930000000000007</v>
      </c>
      <c r="F2890" s="717">
        <v>0</v>
      </c>
      <c r="G2890">
        <f>VLOOKUP(B2890,'SINAPI-%MO'!B:E,4,0)</f>
        <v>0</v>
      </c>
      <c r="H2890" s="225">
        <f t="shared" si="44"/>
        <v>66.930000000000007</v>
      </c>
    </row>
    <row r="2891" spans="1:8" x14ac:dyDescent="0.3">
      <c r="A2891" s="400"/>
      <c r="B2891" s="709">
        <v>103657</v>
      </c>
      <c r="C2891" s="710" t="s">
        <v>2925</v>
      </c>
      <c r="D2891" s="709" t="s">
        <v>234</v>
      </c>
      <c r="E2891" s="716">
        <v>0</v>
      </c>
      <c r="F2891" s="717"/>
      <c r="G2891" t="e">
        <f>VLOOKUP(B2891,'SINAPI-%MO'!B:E,4,0)</f>
        <v>#N/A</v>
      </c>
      <c r="H2891" s="225" t="str">
        <f t="shared" ref="H2891:H2954" si="45">IF(E2891&gt;0,TRUNC(E2891*(1-G2891),2),"")</f>
        <v/>
      </c>
    </row>
    <row r="2892" spans="1:8" x14ac:dyDescent="0.3">
      <c r="A2892" s="400"/>
      <c r="B2892" s="709">
        <v>103658</v>
      </c>
      <c r="C2892" s="710" t="s">
        <v>2926</v>
      </c>
      <c r="D2892" s="709" t="s">
        <v>234</v>
      </c>
      <c r="E2892" s="716">
        <v>0</v>
      </c>
      <c r="F2892" s="717"/>
      <c r="G2892" t="e">
        <f>VLOOKUP(B2892,'SINAPI-%MO'!B:E,4,0)</f>
        <v>#N/A</v>
      </c>
      <c r="H2892" s="225" t="str">
        <f t="shared" si="45"/>
        <v/>
      </c>
    </row>
    <row r="2893" spans="1:8" x14ac:dyDescent="0.3">
      <c r="A2893" s="400"/>
      <c r="B2893" s="709">
        <v>103659</v>
      </c>
      <c r="C2893" s="710" t="s">
        <v>2927</v>
      </c>
      <c r="D2893" s="709" t="s">
        <v>234</v>
      </c>
      <c r="E2893" s="716">
        <v>0</v>
      </c>
      <c r="F2893" s="717"/>
      <c r="G2893" t="e">
        <f>VLOOKUP(B2893,'SINAPI-%MO'!B:E,4,0)</f>
        <v>#N/A</v>
      </c>
      <c r="H2893" s="225" t="str">
        <f t="shared" si="45"/>
        <v/>
      </c>
    </row>
    <row r="2894" spans="1:8" x14ac:dyDescent="0.3">
      <c r="A2894" s="400"/>
      <c r="B2894" s="709">
        <v>103660</v>
      </c>
      <c r="C2894" s="710" t="s">
        <v>2928</v>
      </c>
      <c r="D2894" s="709" t="s">
        <v>234</v>
      </c>
      <c r="E2894" s="716">
        <v>12.08</v>
      </c>
      <c r="F2894" s="717">
        <v>0</v>
      </c>
      <c r="G2894">
        <f>VLOOKUP(B2894,'SINAPI-%MO'!B:E,4,0)</f>
        <v>0</v>
      </c>
      <c r="H2894" s="225">
        <f t="shared" si="45"/>
        <v>12.08</v>
      </c>
    </row>
    <row r="2895" spans="1:8" x14ac:dyDescent="0.3">
      <c r="A2895" s="400"/>
      <c r="B2895" s="709">
        <v>89015</v>
      </c>
      <c r="C2895" s="710" t="s">
        <v>2929</v>
      </c>
      <c r="D2895" s="709" t="s">
        <v>234</v>
      </c>
      <c r="E2895" s="716">
        <v>4.84</v>
      </c>
      <c r="F2895" s="717">
        <v>0</v>
      </c>
      <c r="G2895">
        <f>VLOOKUP(B2895,'SINAPI-%MO'!B:E,4,0)</f>
        <v>0</v>
      </c>
      <c r="H2895" s="225">
        <f t="shared" si="45"/>
        <v>4.84</v>
      </c>
    </row>
    <row r="2896" spans="1:8" x14ac:dyDescent="0.3">
      <c r="A2896" s="400"/>
      <c r="B2896" s="709">
        <v>89016</v>
      </c>
      <c r="C2896" s="710" t="s">
        <v>2930</v>
      </c>
      <c r="D2896" s="709" t="s">
        <v>234</v>
      </c>
      <c r="E2896" s="716">
        <v>1.28</v>
      </c>
      <c r="F2896" s="717">
        <v>0</v>
      </c>
      <c r="G2896">
        <f>VLOOKUP(B2896,'SINAPI-%MO'!B:E,4,0)</f>
        <v>0</v>
      </c>
      <c r="H2896" s="225">
        <f t="shared" si="45"/>
        <v>1.28</v>
      </c>
    </row>
    <row r="2897" spans="1:8" x14ac:dyDescent="0.3">
      <c r="A2897" s="400"/>
      <c r="B2897" s="709">
        <v>53804</v>
      </c>
      <c r="C2897" s="710" t="s">
        <v>2931</v>
      </c>
      <c r="D2897" s="709" t="s">
        <v>234</v>
      </c>
      <c r="E2897" s="716">
        <v>6.06</v>
      </c>
      <c r="F2897" s="717">
        <v>0</v>
      </c>
      <c r="G2897">
        <f>VLOOKUP(B2897,'SINAPI-%MO'!B:E,4,0)</f>
        <v>0</v>
      </c>
      <c r="H2897" s="225">
        <f t="shared" si="45"/>
        <v>6.06</v>
      </c>
    </row>
    <row r="2898" spans="1:8" x14ac:dyDescent="0.3">
      <c r="A2898" s="400"/>
      <c r="B2898" s="709">
        <v>90582</v>
      </c>
      <c r="C2898" s="710" t="s">
        <v>2932</v>
      </c>
      <c r="D2898" s="709" t="s">
        <v>234</v>
      </c>
      <c r="E2898" s="716">
        <v>0.45</v>
      </c>
      <c r="F2898" s="717">
        <v>0</v>
      </c>
      <c r="G2898">
        <f>VLOOKUP(B2898,'SINAPI-%MO'!B:E,4,0)</f>
        <v>0</v>
      </c>
      <c r="H2898" s="225">
        <f t="shared" si="45"/>
        <v>0.45</v>
      </c>
    </row>
    <row r="2899" spans="1:8" x14ac:dyDescent="0.3">
      <c r="A2899" s="400"/>
      <c r="B2899" s="709">
        <v>90583</v>
      </c>
      <c r="C2899" s="710" t="s">
        <v>2933</v>
      </c>
      <c r="D2899" s="709" t="s">
        <v>234</v>
      </c>
      <c r="E2899" s="716">
        <v>0.1</v>
      </c>
      <c r="F2899" s="717">
        <v>0</v>
      </c>
      <c r="G2899">
        <f>VLOOKUP(B2899,'SINAPI-%MO'!B:E,4,0)</f>
        <v>0</v>
      </c>
      <c r="H2899" s="225">
        <f t="shared" si="45"/>
        <v>0.1</v>
      </c>
    </row>
    <row r="2900" spans="1:8" x14ac:dyDescent="0.3">
      <c r="A2900" s="400"/>
      <c r="B2900" s="709">
        <v>90584</v>
      </c>
      <c r="C2900" s="710" t="s">
        <v>2934</v>
      </c>
      <c r="D2900" s="709" t="s">
        <v>234</v>
      </c>
      <c r="E2900" s="716">
        <v>0.35</v>
      </c>
      <c r="F2900" s="717">
        <v>0</v>
      </c>
      <c r="G2900">
        <f>VLOOKUP(B2900,'SINAPI-%MO'!B:E,4,0)</f>
        <v>0</v>
      </c>
      <c r="H2900" s="225">
        <f t="shared" si="45"/>
        <v>0.35</v>
      </c>
    </row>
    <row r="2901" spans="1:8" x14ac:dyDescent="0.3">
      <c r="A2901" s="400"/>
      <c r="B2901" s="709">
        <v>90585</v>
      </c>
      <c r="C2901" s="710" t="s">
        <v>2935</v>
      </c>
      <c r="D2901" s="709" t="s">
        <v>234</v>
      </c>
      <c r="E2901" s="716">
        <v>0.54</v>
      </c>
      <c r="F2901" s="717">
        <v>0</v>
      </c>
      <c r="G2901">
        <f>VLOOKUP(B2901,'SINAPI-%MO'!B:E,4,0)</f>
        <v>0</v>
      </c>
      <c r="H2901" s="225">
        <f t="shared" si="45"/>
        <v>0.54</v>
      </c>
    </row>
    <row r="2902" spans="1:8" x14ac:dyDescent="0.3">
      <c r="A2902" s="400"/>
      <c r="B2902" s="709">
        <v>106380</v>
      </c>
      <c r="C2902" s="710" t="s">
        <v>13380</v>
      </c>
      <c r="D2902" s="709" t="s">
        <v>234</v>
      </c>
      <c r="E2902" s="716">
        <v>72.95</v>
      </c>
      <c r="F2902" s="717">
        <v>1</v>
      </c>
      <c r="G2902">
        <f>VLOOKUP(B2902,'SINAPI-%MO'!B:E,4,0)</f>
        <v>0</v>
      </c>
      <c r="H2902" s="225">
        <f t="shared" si="45"/>
        <v>72.95</v>
      </c>
    </row>
    <row r="2903" spans="1:8" x14ac:dyDescent="0.3">
      <c r="A2903" s="400"/>
      <c r="B2903" s="709">
        <v>106381</v>
      </c>
      <c r="C2903" s="710" t="s">
        <v>13381</v>
      </c>
      <c r="D2903" s="709" t="s">
        <v>234</v>
      </c>
      <c r="E2903" s="716">
        <v>25.71</v>
      </c>
      <c r="F2903" s="717">
        <v>1</v>
      </c>
      <c r="G2903">
        <f>VLOOKUP(B2903,'SINAPI-%MO'!B:E,4,0)</f>
        <v>0</v>
      </c>
      <c r="H2903" s="225">
        <f t="shared" si="45"/>
        <v>25.71</v>
      </c>
    </row>
    <row r="2904" spans="1:8" x14ac:dyDescent="0.3">
      <c r="A2904" s="400"/>
      <c r="B2904" s="709">
        <v>106382</v>
      </c>
      <c r="C2904" s="710" t="s">
        <v>13382</v>
      </c>
      <c r="D2904" s="709" t="s">
        <v>234</v>
      </c>
      <c r="E2904" s="716">
        <v>117.26</v>
      </c>
      <c r="F2904" s="717">
        <v>1</v>
      </c>
      <c r="G2904">
        <f>VLOOKUP(B2904,'SINAPI-%MO'!B:E,4,0)</f>
        <v>0</v>
      </c>
      <c r="H2904" s="225">
        <f t="shared" si="45"/>
        <v>117.26</v>
      </c>
    </row>
    <row r="2905" spans="1:8" x14ac:dyDescent="0.3">
      <c r="A2905" s="400"/>
      <c r="B2905" s="709">
        <v>106383</v>
      </c>
      <c r="C2905" s="710" t="s">
        <v>13383</v>
      </c>
      <c r="D2905" s="709" t="s">
        <v>234</v>
      </c>
      <c r="E2905" s="716">
        <v>100.55</v>
      </c>
      <c r="F2905" s="717">
        <v>0</v>
      </c>
      <c r="G2905">
        <f>VLOOKUP(B2905,'SINAPI-%MO'!B:E,4,0)</f>
        <v>0</v>
      </c>
      <c r="H2905" s="225">
        <f t="shared" si="45"/>
        <v>100.55</v>
      </c>
    </row>
    <row r="2906" spans="1:8" x14ac:dyDescent="0.3">
      <c r="A2906" s="400"/>
      <c r="B2906" s="709">
        <v>106376</v>
      </c>
      <c r="C2906" s="710" t="s">
        <v>13384</v>
      </c>
      <c r="D2906" s="709" t="s">
        <v>234</v>
      </c>
      <c r="E2906" s="716">
        <v>172.03</v>
      </c>
      <c r="F2906" s="717">
        <v>1</v>
      </c>
      <c r="G2906">
        <f>VLOOKUP(B2906,'SINAPI-%MO'!B:E,4,0)</f>
        <v>0</v>
      </c>
      <c r="H2906" s="225">
        <f t="shared" si="45"/>
        <v>172.03</v>
      </c>
    </row>
    <row r="2907" spans="1:8" x14ac:dyDescent="0.3">
      <c r="A2907" s="400"/>
      <c r="B2907" s="709">
        <v>106377</v>
      </c>
      <c r="C2907" s="710" t="s">
        <v>13385</v>
      </c>
      <c r="D2907" s="709" t="s">
        <v>234</v>
      </c>
      <c r="E2907" s="716">
        <v>60.64</v>
      </c>
      <c r="F2907" s="717">
        <v>1</v>
      </c>
      <c r="G2907">
        <f>VLOOKUP(B2907,'SINAPI-%MO'!B:E,4,0)</f>
        <v>0</v>
      </c>
      <c r="H2907" s="225">
        <f t="shared" si="45"/>
        <v>60.64</v>
      </c>
    </row>
    <row r="2908" spans="1:8" x14ac:dyDescent="0.3">
      <c r="A2908" s="400"/>
      <c r="B2908" s="709">
        <v>106378</v>
      </c>
      <c r="C2908" s="710" t="s">
        <v>13386</v>
      </c>
      <c r="D2908" s="709" t="s">
        <v>234</v>
      </c>
      <c r="E2908" s="716">
        <v>276.55</v>
      </c>
      <c r="F2908" s="717">
        <v>1</v>
      </c>
      <c r="G2908">
        <f>VLOOKUP(B2908,'SINAPI-%MO'!B:E,4,0)</f>
        <v>0</v>
      </c>
      <c r="H2908" s="225">
        <f t="shared" si="45"/>
        <v>276.55</v>
      </c>
    </row>
    <row r="2909" spans="1:8" x14ac:dyDescent="0.3">
      <c r="A2909" s="400"/>
      <c r="B2909" s="709">
        <v>106379</v>
      </c>
      <c r="C2909" s="710" t="s">
        <v>13387</v>
      </c>
      <c r="D2909" s="709" t="s">
        <v>234</v>
      </c>
      <c r="E2909" s="716">
        <v>122.48</v>
      </c>
      <c r="F2909" s="717">
        <v>0</v>
      </c>
      <c r="G2909">
        <f>VLOOKUP(B2909,'SINAPI-%MO'!B:E,4,0)</f>
        <v>0</v>
      </c>
      <c r="H2909" s="225">
        <f t="shared" si="45"/>
        <v>122.48</v>
      </c>
    </row>
    <row r="2910" spans="1:8" x14ac:dyDescent="0.3">
      <c r="A2910" s="400"/>
      <c r="B2910" s="709">
        <v>89240</v>
      </c>
      <c r="C2910" s="710" t="s">
        <v>2936</v>
      </c>
      <c r="D2910" s="709" t="s">
        <v>234</v>
      </c>
      <c r="E2910" s="716">
        <v>88.38</v>
      </c>
      <c r="F2910" s="717">
        <v>1</v>
      </c>
      <c r="G2910">
        <f>VLOOKUP(B2910,'SINAPI-%MO'!B:E,4,0)</f>
        <v>0</v>
      </c>
      <c r="H2910" s="225">
        <f t="shared" si="45"/>
        <v>88.38</v>
      </c>
    </row>
    <row r="2911" spans="1:8" x14ac:dyDescent="0.3">
      <c r="A2911" s="400"/>
      <c r="B2911" s="709">
        <v>89241</v>
      </c>
      <c r="C2911" s="710" t="s">
        <v>2937</v>
      </c>
      <c r="D2911" s="709" t="s">
        <v>234</v>
      </c>
      <c r="E2911" s="716">
        <v>31.15</v>
      </c>
      <c r="F2911" s="717">
        <v>1</v>
      </c>
      <c r="G2911">
        <f>VLOOKUP(B2911,'SINAPI-%MO'!B:E,4,0)</f>
        <v>0</v>
      </c>
      <c r="H2911" s="225">
        <f t="shared" si="45"/>
        <v>31.15</v>
      </c>
    </row>
    <row r="2912" spans="1:8" x14ac:dyDescent="0.3">
      <c r="A2912" s="400"/>
      <c r="B2912" s="709">
        <v>5710</v>
      </c>
      <c r="C2912" s="710" t="s">
        <v>2938</v>
      </c>
      <c r="D2912" s="709" t="s">
        <v>234</v>
      </c>
      <c r="E2912" s="716">
        <v>142.07</v>
      </c>
      <c r="F2912" s="717">
        <v>1</v>
      </c>
      <c r="G2912">
        <f>VLOOKUP(B2912,'SINAPI-%MO'!B:E,4,0)</f>
        <v>0</v>
      </c>
      <c r="H2912" s="225">
        <f t="shared" si="45"/>
        <v>142.07</v>
      </c>
    </row>
    <row r="2913" spans="1:8" x14ac:dyDescent="0.3">
      <c r="A2913" s="400"/>
      <c r="B2913" s="709">
        <v>5711</v>
      </c>
      <c r="C2913" s="710" t="s">
        <v>2939</v>
      </c>
      <c r="D2913" s="709" t="s">
        <v>234</v>
      </c>
      <c r="E2913" s="716">
        <v>95.97</v>
      </c>
      <c r="F2913" s="717">
        <v>0</v>
      </c>
      <c r="G2913">
        <f>VLOOKUP(B2913,'SINAPI-%MO'!B:E,4,0)</f>
        <v>0</v>
      </c>
      <c r="H2913" s="225">
        <f t="shared" si="45"/>
        <v>95.97</v>
      </c>
    </row>
    <row r="2914" spans="1:8" x14ac:dyDescent="0.3">
      <c r="A2914" s="400"/>
      <c r="B2914" s="709">
        <v>89253</v>
      </c>
      <c r="C2914" s="710" t="s">
        <v>2940</v>
      </c>
      <c r="D2914" s="709" t="s">
        <v>234</v>
      </c>
      <c r="E2914" s="716">
        <v>72.42</v>
      </c>
      <c r="F2914" s="717">
        <v>1</v>
      </c>
      <c r="G2914">
        <f>VLOOKUP(B2914,'SINAPI-%MO'!B:E,4,0)</f>
        <v>0</v>
      </c>
      <c r="H2914" s="225">
        <f t="shared" si="45"/>
        <v>72.42</v>
      </c>
    </row>
    <row r="2915" spans="1:8" x14ac:dyDescent="0.3">
      <c r="A2915" s="400"/>
      <c r="B2915" s="709">
        <v>89254</v>
      </c>
      <c r="C2915" s="710" t="s">
        <v>2941</v>
      </c>
      <c r="D2915" s="709" t="s">
        <v>234</v>
      </c>
      <c r="E2915" s="716">
        <v>25.53</v>
      </c>
      <c r="F2915" s="717">
        <v>1</v>
      </c>
      <c r="G2915">
        <f>VLOOKUP(B2915,'SINAPI-%MO'!B:E,4,0)</f>
        <v>0</v>
      </c>
      <c r="H2915" s="225">
        <f t="shared" si="45"/>
        <v>25.53</v>
      </c>
    </row>
    <row r="2916" spans="1:8" x14ac:dyDescent="0.3">
      <c r="A2916" s="400"/>
      <c r="B2916" s="709">
        <v>89255</v>
      </c>
      <c r="C2916" s="710" t="s">
        <v>2942</v>
      </c>
      <c r="D2916" s="709" t="s">
        <v>234</v>
      </c>
      <c r="E2916" s="716">
        <v>116.42</v>
      </c>
      <c r="F2916" s="717">
        <v>1</v>
      </c>
      <c r="G2916">
        <f>VLOOKUP(B2916,'SINAPI-%MO'!B:E,4,0)</f>
        <v>0</v>
      </c>
      <c r="H2916" s="225">
        <f t="shared" si="45"/>
        <v>116.42</v>
      </c>
    </row>
    <row r="2917" spans="1:8" x14ac:dyDescent="0.3">
      <c r="A2917" s="400"/>
      <c r="B2917" s="709">
        <v>89256</v>
      </c>
      <c r="C2917" s="710" t="s">
        <v>2943</v>
      </c>
      <c r="D2917" s="709" t="s">
        <v>234</v>
      </c>
      <c r="E2917" s="716">
        <v>91.39</v>
      </c>
      <c r="F2917" s="717">
        <v>0</v>
      </c>
      <c r="G2917">
        <f>VLOOKUP(B2917,'SINAPI-%MO'!B:E,4,0)</f>
        <v>0</v>
      </c>
      <c r="H2917" s="225">
        <f t="shared" si="45"/>
        <v>91.39</v>
      </c>
    </row>
    <row r="2918" spans="1:8" x14ac:dyDescent="0.3">
      <c r="A2918" s="400"/>
      <c r="B2918" s="709">
        <v>106384</v>
      </c>
      <c r="C2918" s="710" t="s">
        <v>13388</v>
      </c>
      <c r="D2918" s="709" t="s">
        <v>234</v>
      </c>
      <c r="E2918" s="716">
        <v>89.46</v>
      </c>
      <c r="F2918" s="717">
        <v>1</v>
      </c>
      <c r="G2918">
        <f>VLOOKUP(B2918,'SINAPI-%MO'!B:E,4,0)</f>
        <v>0</v>
      </c>
      <c r="H2918" s="225">
        <f t="shared" si="45"/>
        <v>89.46</v>
      </c>
    </row>
    <row r="2919" spans="1:8" x14ac:dyDescent="0.3">
      <c r="A2919" s="400"/>
      <c r="B2919" s="709">
        <v>106385</v>
      </c>
      <c r="C2919" s="710" t="s">
        <v>13389</v>
      </c>
      <c r="D2919" s="709" t="s">
        <v>234</v>
      </c>
      <c r="E2919" s="716">
        <v>27.6</v>
      </c>
      <c r="F2919" s="717">
        <v>1</v>
      </c>
      <c r="G2919">
        <f>VLOOKUP(B2919,'SINAPI-%MO'!B:E,4,0)</f>
        <v>0</v>
      </c>
      <c r="H2919" s="225">
        <f t="shared" si="45"/>
        <v>27.6</v>
      </c>
    </row>
    <row r="2920" spans="1:8" x14ac:dyDescent="0.3">
      <c r="A2920" s="400"/>
      <c r="B2920" s="709">
        <v>106386</v>
      </c>
      <c r="C2920" s="710" t="s">
        <v>13390</v>
      </c>
      <c r="D2920" s="709" t="s">
        <v>234</v>
      </c>
      <c r="E2920" s="716">
        <v>125.87</v>
      </c>
      <c r="F2920" s="717">
        <v>1</v>
      </c>
      <c r="G2920">
        <f>VLOOKUP(B2920,'SINAPI-%MO'!B:E,4,0)</f>
        <v>0</v>
      </c>
      <c r="H2920" s="225">
        <f t="shared" si="45"/>
        <v>125.87</v>
      </c>
    </row>
    <row r="2921" spans="1:8" x14ac:dyDescent="0.3">
      <c r="A2921" s="400"/>
      <c r="B2921" s="709">
        <v>106387</v>
      </c>
      <c r="C2921" s="710" t="s">
        <v>13391</v>
      </c>
      <c r="D2921" s="709" t="s">
        <v>234</v>
      </c>
      <c r="E2921" s="716">
        <v>95.97</v>
      </c>
      <c r="F2921" s="717">
        <v>0</v>
      </c>
      <c r="G2921">
        <f>VLOOKUP(B2921,'SINAPI-%MO'!B:E,4,0)</f>
        <v>0</v>
      </c>
      <c r="H2921" s="225">
        <f t="shared" si="45"/>
        <v>95.97</v>
      </c>
    </row>
    <row r="2922" spans="1:8" x14ac:dyDescent="0.3">
      <c r="A2922" s="400"/>
      <c r="B2922" s="709">
        <v>106489</v>
      </c>
      <c r="C2922" s="710" t="s">
        <v>14960</v>
      </c>
      <c r="D2922" s="709" t="s">
        <v>136</v>
      </c>
      <c r="E2922" s="716">
        <v>0</v>
      </c>
      <c r="F2922" s="717"/>
      <c r="G2922" t="e">
        <f>VLOOKUP(B2922,'SINAPI-%MO'!B:E,4,0)</f>
        <v>#N/A</v>
      </c>
      <c r="H2922" s="225" t="str">
        <f t="shared" si="45"/>
        <v/>
      </c>
    </row>
    <row r="2923" spans="1:8" x14ac:dyDescent="0.3">
      <c r="A2923" s="400"/>
      <c r="B2923" s="709">
        <v>106491</v>
      </c>
      <c r="C2923" s="710" t="s">
        <v>14961</v>
      </c>
      <c r="D2923" s="709" t="s">
        <v>136</v>
      </c>
      <c r="E2923" s="716">
        <v>0</v>
      </c>
      <c r="F2923" s="717"/>
      <c r="G2923" t="e">
        <f>VLOOKUP(B2923,'SINAPI-%MO'!B:E,4,0)</f>
        <v>#N/A</v>
      </c>
      <c r="H2923" s="225" t="str">
        <f t="shared" si="45"/>
        <v/>
      </c>
    </row>
    <row r="2924" spans="1:8" x14ac:dyDescent="0.3">
      <c r="A2924" s="400"/>
      <c r="B2924" s="709">
        <v>106493</v>
      </c>
      <c r="C2924" s="710" t="s">
        <v>14962</v>
      </c>
      <c r="D2924" s="709" t="s">
        <v>136</v>
      </c>
      <c r="E2924" s="716">
        <v>0</v>
      </c>
      <c r="F2924" s="717"/>
      <c r="G2924" t="e">
        <f>VLOOKUP(B2924,'SINAPI-%MO'!B:E,4,0)</f>
        <v>#N/A</v>
      </c>
      <c r="H2924" s="225" t="str">
        <f t="shared" si="45"/>
        <v/>
      </c>
    </row>
    <row r="2925" spans="1:8" x14ac:dyDescent="0.3">
      <c r="A2925" s="400"/>
      <c r="B2925" s="709">
        <v>106490</v>
      </c>
      <c r="C2925" s="710" t="s">
        <v>14963</v>
      </c>
      <c r="D2925" s="709" t="s">
        <v>136</v>
      </c>
      <c r="E2925" s="716">
        <v>0</v>
      </c>
      <c r="F2925" s="717"/>
      <c r="G2925" t="e">
        <f>VLOOKUP(B2925,'SINAPI-%MO'!B:E,4,0)</f>
        <v>#N/A</v>
      </c>
      <c r="H2925" s="225" t="str">
        <f t="shared" si="45"/>
        <v/>
      </c>
    </row>
    <row r="2926" spans="1:8" x14ac:dyDescent="0.3">
      <c r="A2926" s="400"/>
      <c r="B2926" s="709">
        <v>106492</v>
      </c>
      <c r="C2926" s="710" t="s">
        <v>14964</v>
      </c>
      <c r="D2926" s="709" t="s">
        <v>136</v>
      </c>
      <c r="E2926" s="716">
        <v>0</v>
      </c>
      <c r="F2926" s="717"/>
      <c r="G2926" t="e">
        <f>VLOOKUP(B2926,'SINAPI-%MO'!B:E,4,0)</f>
        <v>#N/A</v>
      </c>
      <c r="H2926" s="225" t="str">
        <f t="shared" si="45"/>
        <v/>
      </c>
    </row>
    <row r="2927" spans="1:8" x14ac:dyDescent="0.3">
      <c r="A2927" s="400"/>
      <c r="B2927" s="709">
        <v>106496</v>
      </c>
      <c r="C2927" s="710" t="s">
        <v>14965</v>
      </c>
      <c r="D2927" s="709" t="s">
        <v>136</v>
      </c>
      <c r="E2927" s="716">
        <v>0</v>
      </c>
      <c r="F2927" s="717"/>
      <c r="G2927" t="e">
        <f>VLOOKUP(B2927,'SINAPI-%MO'!B:E,4,0)</f>
        <v>#N/A</v>
      </c>
      <c r="H2927" s="225" t="str">
        <f t="shared" si="45"/>
        <v/>
      </c>
    </row>
    <row r="2928" spans="1:8" x14ac:dyDescent="0.3">
      <c r="A2928" s="400"/>
      <c r="B2928" s="709">
        <v>106497</v>
      </c>
      <c r="C2928" s="710" t="s">
        <v>14966</v>
      </c>
      <c r="D2928" s="709" t="s">
        <v>136</v>
      </c>
      <c r="E2928" s="716">
        <v>0</v>
      </c>
      <c r="F2928" s="717"/>
      <c r="G2928" t="e">
        <f>VLOOKUP(B2928,'SINAPI-%MO'!B:E,4,0)</f>
        <v>#N/A</v>
      </c>
      <c r="H2928" s="225" t="str">
        <f t="shared" si="45"/>
        <v/>
      </c>
    </row>
    <row r="2929" spans="1:8" x14ac:dyDescent="0.3">
      <c r="A2929" s="400"/>
      <c r="B2929" s="709">
        <v>106495</v>
      </c>
      <c r="C2929" s="710" t="s">
        <v>14967</v>
      </c>
      <c r="D2929" s="709" t="s">
        <v>136</v>
      </c>
      <c r="E2929" s="716">
        <v>0</v>
      </c>
      <c r="F2929" s="717"/>
      <c r="G2929" t="e">
        <f>VLOOKUP(B2929,'SINAPI-%MO'!B:E,4,0)</f>
        <v>#N/A</v>
      </c>
      <c r="H2929" s="225" t="str">
        <f t="shared" si="45"/>
        <v/>
      </c>
    </row>
    <row r="2930" spans="1:8" x14ac:dyDescent="0.3">
      <c r="A2930" s="400"/>
      <c r="B2930" s="709">
        <v>106498</v>
      </c>
      <c r="C2930" s="710" t="s">
        <v>14968</v>
      </c>
      <c r="D2930" s="709" t="s">
        <v>136</v>
      </c>
      <c r="E2930" s="716">
        <v>0</v>
      </c>
      <c r="F2930" s="717"/>
      <c r="G2930" t="e">
        <f>VLOOKUP(B2930,'SINAPI-%MO'!B:E,4,0)</f>
        <v>#N/A</v>
      </c>
      <c r="H2930" s="225" t="str">
        <f t="shared" si="45"/>
        <v/>
      </c>
    </row>
    <row r="2931" spans="1:8" x14ac:dyDescent="0.3">
      <c r="A2931" s="400"/>
      <c r="B2931" s="709">
        <v>106494</v>
      </c>
      <c r="C2931" s="710" t="s">
        <v>14969</v>
      </c>
      <c r="D2931" s="709" t="s">
        <v>136</v>
      </c>
      <c r="E2931" s="716">
        <v>0</v>
      </c>
      <c r="F2931" s="717"/>
      <c r="G2931" t="e">
        <f>VLOOKUP(B2931,'SINAPI-%MO'!B:E,4,0)</f>
        <v>#N/A</v>
      </c>
      <c r="H2931" s="225" t="str">
        <f t="shared" si="45"/>
        <v/>
      </c>
    </row>
    <row r="2932" spans="1:8" x14ac:dyDescent="0.3">
      <c r="A2932" s="400"/>
      <c r="B2932" s="709">
        <v>106485</v>
      </c>
      <c r="C2932" s="710" t="s">
        <v>14970</v>
      </c>
      <c r="D2932" s="709" t="s">
        <v>136</v>
      </c>
      <c r="E2932" s="716">
        <v>0</v>
      </c>
      <c r="F2932" s="717"/>
      <c r="G2932" t="e">
        <f>VLOOKUP(B2932,'SINAPI-%MO'!B:E,4,0)</f>
        <v>#N/A</v>
      </c>
      <c r="H2932" s="225" t="str">
        <f t="shared" si="45"/>
        <v/>
      </c>
    </row>
    <row r="2933" spans="1:8" x14ac:dyDescent="0.3">
      <c r="A2933" s="400"/>
      <c r="B2933" s="709">
        <v>106486</v>
      </c>
      <c r="C2933" s="710" t="s">
        <v>14971</v>
      </c>
      <c r="D2933" s="709" t="s">
        <v>136</v>
      </c>
      <c r="E2933" s="716">
        <v>0</v>
      </c>
      <c r="F2933" s="717"/>
      <c r="G2933" t="e">
        <f>VLOOKUP(B2933,'SINAPI-%MO'!B:E,4,0)</f>
        <v>#N/A</v>
      </c>
      <c r="H2933" s="225" t="str">
        <f t="shared" si="45"/>
        <v/>
      </c>
    </row>
    <row r="2934" spans="1:8" x14ac:dyDescent="0.3">
      <c r="A2934" s="400"/>
      <c r="B2934" s="709">
        <v>106487</v>
      </c>
      <c r="C2934" s="710" t="s">
        <v>14972</v>
      </c>
      <c r="D2934" s="709" t="s">
        <v>136</v>
      </c>
      <c r="E2934" s="716">
        <v>0</v>
      </c>
      <c r="F2934" s="717"/>
      <c r="G2934" t="e">
        <f>VLOOKUP(B2934,'SINAPI-%MO'!B:E,4,0)</f>
        <v>#N/A</v>
      </c>
      <c r="H2934" s="225" t="str">
        <f t="shared" si="45"/>
        <v/>
      </c>
    </row>
    <row r="2935" spans="1:8" x14ac:dyDescent="0.3">
      <c r="A2935" s="400"/>
      <c r="B2935" s="709">
        <v>106488</v>
      </c>
      <c r="C2935" s="710" t="s">
        <v>14973</v>
      </c>
      <c r="D2935" s="709" t="s">
        <v>136</v>
      </c>
      <c r="E2935" s="716">
        <v>0</v>
      </c>
      <c r="F2935" s="717"/>
      <c r="G2935" t="e">
        <f>VLOOKUP(B2935,'SINAPI-%MO'!B:E,4,0)</f>
        <v>#N/A</v>
      </c>
      <c r="H2935" s="225" t="str">
        <f t="shared" si="45"/>
        <v/>
      </c>
    </row>
    <row r="2936" spans="1:8" x14ac:dyDescent="0.3">
      <c r="A2936" s="400"/>
      <c r="B2936" s="709">
        <v>103741</v>
      </c>
      <c r="C2936" s="710" t="s">
        <v>7818</v>
      </c>
      <c r="D2936" s="709" t="s">
        <v>136</v>
      </c>
      <c r="E2936" s="716">
        <v>0</v>
      </c>
      <c r="F2936" s="717"/>
      <c r="G2936" t="e">
        <f>VLOOKUP(B2936,'SINAPI-%MO'!B:E,4,0)</f>
        <v>#N/A</v>
      </c>
      <c r="H2936" s="225" t="str">
        <f t="shared" si="45"/>
        <v/>
      </c>
    </row>
    <row r="2937" spans="1:8" x14ac:dyDescent="0.3">
      <c r="A2937" s="400"/>
      <c r="B2937" s="709">
        <v>103755</v>
      </c>
      <c r="C2937" s="710" t="s">
        <v>7819</v>
      </c>
      <c r="D2937" s="709" t="s">
        <v>159</v>
      </c>
      <c r="E2937" s="716">
        <v>0</v>
      </c>
      <c r="F2937" s="717"/>
      <c r="G2937" t="e">
        <f>VLOOKUP(B2937,'SINAPI-%MO'!B:E,4,0)</f>
        <v>#N/A</v>
      </c>
      <c r="H2937" s="225" t="str">
        <f t="shared" si="45"/>
        <v/>
      </c>
    </row>
    <row r="2938" spans="1:8" x14ac:dyDescent="0.3">
      <c r="A2938" s="400"/>
      <c r="B2938" s="709">
        <v>103753</v>
      </c>
      <c r="C2938" s="710" t="s">
        <v>7820</v>
      </c>
      <c r="D2938" s="709" t="s">
        <v>159</v>
      </c>
      <c r="E2938" s="716">
        <v>0</v>
      </c>
      <c r="F2938" s="717"/>
      <c r="G2938" t="e">
        <f>VLOOKUP(B2938,'SINAPI-%MO'!B:E,4,0)</f>
        <v>#N/A</v>
      </c>
      <c r="H2938" s="225" t="str">
        <f t="shared" si="45"/>
        <v/>
      </c>
    </row>
    <row r="2939" spans="1:8" x14ac:dyDescent="0.3">
      <c r="A2939" s="400"/>
      <c r="B2939" s="709">
        <v>103754</v>
      </c>
      <c r="C2939" s="710" t="s">
        <v>7821</v>
      </c>
      <c r="D2939" s="709" t="s">
        <v>159</v>
      </c>
      <c r="E2939" s="716">
        <v>0</v>
      </c>
      <c r="F2939" s="717"/>
      <c r="G2939" t="e">
        <f>VLOOKUP(B2939,'SINAPI-%MO'!B:E,4,0)</f>
        <v>#N/A</v>
      </c>
      <c r="H2939" s="225" t="str">
        <f t="shared" si="45"/>
        <v/>
      </c>
    </row>
    <row r="2940" spans="1:8" x14ac:dyDescent="0.3">
      <c r="A2940" s="400"/>
      <c r="B2940" s="709">
        <v>103752</v>
      </c>
      <c r="C2940" s="710" t="s">
        <v>7822</v>
      </c>
      <c r="D2940" s="709" t="s">
        <v>159</v>
      </c>
      <c r="E2940" s="716">
        <v>0</v>
      </c>
      <c r="F2940" s="717"/>
      <c r="G2940" t="e">
        <f>VLOOKUP(B2940,'SINAPI-%MO'!B:E,4,0)</f>
        <v>#N/A</v>
      </c>
      <c r="H2940" s="225" t="str">
        <f t="shared" si="45"/>
        <v/>
      </c>
    </row>
    <row r="2941" spans="1:8" x14ac:dyDescent="0.3">
      <c r="A2941" s="400"/>
      <c r="B2941" s="709">
        <v>103759</v>
      </c>
      <c r="C2941" s="710" t="s">
        <v>7823</v>
      </c>
      <c r="D2941" s="709" t="s">
        <v>159</v>
      </c>
      <c r="E2941" s="716">
        <v>0</v>
      </c>
      <c r="F2941" s="717"/>
      <c r="G2941" t="e">
        <f>VLOOKUP(B2941,'SINAPI-%MO'!B:E,4,0)</f>
        <v>#N/A</v>
      </c>
      <c r="H2941" s="225" t="str">
        <f t="shared" si="45"/>
        <v/>
      </c>
    </row>
    <row r="2942" spans="1:8" x14ac:dyDescent="0.3">
      <c r="A2942" s="400"/>
      <c r="B2942" s="709">
        <v>103757</v>
      </c>
      <c r="C2942" s="710" t="s">
        <v>7824</v>
      </c>
      <c r="D2942" s="709" t="s">
        <v>159</v>
      </c>
      <c r="E2942" s="716">
        <v>0</v>
      </c>
      <c r="F2942" s="717"/>
      <c r="G2942" t="e">
        <f>VLOOKUP(B2942,'SINAPI-%MO'!B:E,4,0)</f>
        <v>#N/A</v>
      </c>
      <c r="H2942" s="225" t="str">
        <f t="shared" si="45"/>
        <v/>
      </c>
    </row>
    <row r="2943" spans="1:8" x14ac:dyDescent="0.3">
      <c r="A2943" s="400"/>
      <c r="B2943" s="709">
        <v>103758</v>
      </c>
      <c r="C2943" s="710" t="s">
        <v>7825</v>
      </c>
      <c r="D2943" s="709" t="s">
        <v>159</v>
      </c>
      <c r="E2943" s="716">
        <v>0</v>
      </c>
      <c r="F2943" s="717"/>
      <c r="G2943" t="e">
        <f>VLOOKUP(B2943,'SINAPI-%MO'!B:E,4,0)</f>
        <v>#N/A</v>
      </c>
      <c r="H2943" s="225" t="str">
        <f t="shared" si="45"/>
        <v/>
      </c>
    </row>
    <row r="2944" spans="1:8" x14ac:dyDescent="0.3">
      <c r="A2944" s="400"/>
      <c r="B2944" s="709">
        <v>103756</v>
      </c>
      <c r="C2944" s="710" t="s">
        <v>7826</v>
      </c>
      <c r="D2944" s="709" t="s">
        <v>159</v>
      </c>
      <c r="E2944" s="716">
        <v>0</v>
      </c>
      <c r="F2944" s="717"/>
      <c r="G2944" t="e">
        <f>VLOOKUP(B2944,'SINAPI-%MO'!B:E,4,0)</f>
        <v>#N/A</v>
      </c>
      <c r="H2944" s="225" t="str">
        <f t="shared" si="45"/>
        <v/>
      </c>
    </row>
    <row r="2945" spans="1:8" x14ac:dyDescent="0.3">
      <c r="A2945" s="400"/>
      <c r="B2945" s="709">
        <v>103734</v>
      </c>
      <c r="C2945" s="710" t="s">
        <v>7827</v>
      </c>
      <c r="D2945" s="709" t="s">
        <v>136</v>
      </c>
      <c r="E2945" s="716">
        <v>0</v>
      </c>
      <c r="F2945" s="717"/>
      <c r="G2945" t="e">
        <f>VLOOKUP(B2945,'SINAPI-%MO'!B:E,4,0)</f>
        <v>#N/A</v>
      </c>
      <c r="H2945" s="225" t="str">
        <f t="shared" si="45"/>
        <v/>
      </c>
    </row>
    <row r="2946" spans="1:8" x14ac:dyDescent="0.3">
      <c r="A2946" s="400"/>
      <c r="B2946" s="709">
        <v>103740</v>
      </c>
      <c r="C2946" s="710" t="s">
        <v>7828</v>
      </c>
      <c r="D2946" s="709" t="s">
        <v>136</v>
      </c>
      <c r="E2946" s="716">
        <v>0</v>
      </c>
      <c r="F2946" s="717"/>
      <c r="G2946" t="e">
        <f>VLOOKUP(B2946,'SINAPI-%MO'!B:E,4,0)</f>
        <v>#N/A</v>
      </c>
      <c r="H2946" s="225" t="str">
        <f t="shared" si="45"/>
        <v/>
      </c>
    </row>
    <row r="2947" spans="1:8" x14ac:dyDescent="0.3">
      <c r="A2947" s="400"/>
      <c r="B2947" s="709">
        <v>103747</v>
      </c>
      <c r="C2947" s="710" t="s">
        <v>7829</v>
      </c>
      <c r="D2947" s="709" t="s">
        <v>159</v>
      </c>
      <c r="E2947" s="716">
        <v>0</v>
      </c>
      <c r="F2947" s="717"/>
      <c r="G2947" t="e">
        <f>VLOOKUP(B2947,'SINAPI-%MO'!B:E,4,0)</f>
        <v>#N/A</v>
      </c>
      <c r="H2947" s="225" t="str">
        <f t="shared" si="45"/>
        <v/>
      </c>
    </row>
    <row r="2948" spans="1:8" x14ac:dyDescent="0.3">
      <c r="A2948" s="400"/>
      <c r="B2948" s="709">
        <v>103746</v>
      </c>
      <c r="C2948" s="710" t="s">
        <v>7830</v>
      </c>
      <c r="D2948" s="709" t="s">
        <v>159</v>
      </c>
      <c r="E2948" s="716">
        <v>0</v>
      </c>
      <c r="F2948" s="717"/>
      <c r="G2948" t="e">
        <f>VLOOKUP(B2948,'SINAPI-%MO'!B:E,4,0)</f>
        <v>#N/A</v>
      </c>
      <c r="H2948" s="225" t="str">
        <f t="shared" si="45"/>
        <v/>
      </c>
    </row>
    <row r="2949" spans="1:8" x14ac:dyDescent="0.3">
      <c r="A2949" s="400"/>
      <c r="B2949" s="709">
        <v>103749</v>
      </c>
      <c r="C2949" s="710" t="s">
        <v>7831</v>
      </c>
      <c r="D2949" s="709" t="s">
        <v>159</v>
      </c>
      <c r="E2949" s="716">
        <v>0</v>
      </c>
      <c r="F2949" s="717"/>
      <c r="G2949" t="e">
        <f>VLOOKUP(B2949,'SINAPI-%MO'!B:E,4,0)</f>
        <v>#N/A</v>
      </c>
      <c r="H2949" s="225" t="str">
        <f t="shared" si="45"/>
        <v/>
      </c>
    </row>
    <row r="2950" spans="1:8" x14ac:dyDescent="0.3">
      <c r="A2950" s="400"/>
      <c r="B2950" s="709">
        <v>103744</v>
      </c>
      <c r="C2950" s="710" t="s">
        <v>7832</v>
      </c>
      <c r="D2950" s="709" t="s">
        <v>159</v>
      </c>
      <c r="E2950" s="716">
        <v>0</v>
      </c>
      <c r="F2950" s="717"/>
      <c r="G2950" t="e">
        <f>VLOOKUP(B2950,'SINAPI-%MO'!B:E,4,0)</f>
        <v>#N/A</v>
      </c>
      <c r="H2950" s="225" t="str">
        <f t="shared" si="45"/>
        <v/>
      </c>
    </row>
    <row r="2951" spans="1:8" x14ac:dyDescent="0.3">
      <c r="A2951" s="400"/>
      <c r="B2951" s="709">
        <v>103748</v>
      </c>
      <c r="C2951" s="710" t="s">
        <v>7833</v>
      </c>
      <c r="D2951" s="709" t="s">
        <v>159</v>
      </c>
      <c r="E2951" s="716">
        <v>0</v>
      </c>
      <c r="F2951" s="717"/>
      <c r="G2951" t="e">
        <f>VLOOKUP(B2951,'SINAPI-%MO'!B:E,4,0)</f>
        <v>#N/A</v>
      </c>
      <c r="H2951" s="225" t="str">
        <f t="shared" si="45"/>
        <v/>
      </c>
    </row>
    <row r="2952" spans="1:8" x14ac:dyDescent="0.3">
      <c r="A2952" s="400"/>
      <c r="B2952" s="709">
        <v>103745</v>
      </c>
      <c r="C2952" s="710" t="s">
        <v>7834</v>
      </c>
      <c r="D2952" s="709" t="s">
        <v>159</v>
      </c>
      <c r="E2952" s="716">
        <v>0</v>
      </c>
      <c r="F2952" s="717"/>
      <c r="G2952" t="e">
        <f>VLOOKUP(B2952,'SINAPI-%MO'!B:E,4,0)</f>
        <v>#N/A</v>
      </c>
      <c r="H2952" s="225" t="str">
        <f t="shared" si="45"/>
        <v/>
      </c>
    </row>
    <row r="2953" spans="1:8" x14ac:dyDescent="0.3">
      <c r="A2953" s="400"/>
      <c r="B2953" s="709">
        <v>103751</v>
      </c>
      <c r="C2953" s="710" t="s">
        <v>7835</v>
      </c>
      <c r="D2953" s="709" t="s">
        <v>159</v>
      </c>
      <c r="E2953" s="716">
        <v>0</v>
      </c>
      <c r="F2953" s="717"/>
      <c r="G2953" t="e">
        <f>VLOOKUP(B2953,'SINAPI-%MO'!B:E,4,0)</f>
        <v>#N/A</v>
      </c>
      <c r="H2953" s="225" t="str">
        <f t="shared" si="45"/>
        <v/>
      </c>
    </row>
    <row r="2954" spans="1:8" x14ac:dyDescent="0.3">
      <c r="A2954" s="400"/>
      <c r="B2954" s="709">
        <v>103750</v>
      </c>
      <c r="C2954" s="710" t="s">
        <v>7836</v>
      </c>
      <c r="D2954" s="709" t="s">
        <v>159</v>
      </c>
      <c r="E2954" s="716">
        <v>0</v>
      </c>
      <c r="F2954" s="717"/>
      <c r="G2954" t="e">
        <f>VLOOKUP(B2954,'SINAPI-%MO'!B:E,4,0)</f>
        <v>#N/A</v>
      </c>
      <c r="H2954" s="225" t="str">
        <f t="shared" si="45"/>
        <v/>
      </c>
    </row>
    <row r="2955" spans="1:8" x14ac:dyDescent="0.3">
      <c r="A2955" s="400"/>
      <c r="B2955" s="709">
        <v>103738</v>
      </c>
      <c r="C2955" s="710" t="s">
        <v>7838</v>
      </c>
      <c r="D2955" s="709" t="s">
        <v>136</v>
      </c>
      <c r="E2955" s="716">
        <v>0</v>
      </c>
      <c r="F2955" s="717"/>
      <c r="G2955" t="e">
        <f>VLOOKUP(B2955,'SINAPI-%MO'!B:E,4,0)</f>
        <v>#N/A</v>
      </c>
      <c r="H2955" s="225" t="str">
        <f t="shared" ref="H2955:H3018" si="46">IF(E2955&gt;0,TRUNC(E2955*(1-G2955),2),"")</f>
        <v/>
      </c>
    </row>
    <row r="2956" spans="1:8" x14ac:dyDescent="0.3">
      <c r="A2956" s="400"/>
      <c r="B2956" s="709">
        <v>103736</v>
      </c>
      <c r="C2956" s="710" t="s">
        <v>7839</v>
      </c>
      <c r="D2956" s="709" t="s">
        <v>136</v>
      </c>
      <c r="E2956" s="716">
        <v>0</v>
      </c>
      <c r="F2956" s="717"/>
      <c r="G2956" t="e">
        <f>VLOOKUP(B2956,'SINAPI-%MO'!B:E,4,0)</f>
        <v>#N/A</v>
      </c>
      <c r="H2956" s="225" t="str">
        <f t="shared" si="46"/>
        <v/>
      </c>
    </row>
    <row r="2957" spans="1:8" x14ac:dyDescent="0.3">
      <c r="A2957" s="400"/>
      <c r="B2957" s="709">
        <v>103739</v>
      </c>
      <c r="C2957" s="710" t="s">
        <v>7840</v>
      </c>
      <c r="D2957" s="709" t="s">
        <v>136</v>
      </c>
      <c r="E2957" s="716">
        <v>0</v>
      </c>
      <c r="F2957" s="717"/>
      <c r="G2957" t="e">
        <f>VLOOKUP(B2957,'SINAPI-%MO'!B:E,4,0)</f>
        <v>#N/A</v>
      </c>
      <c r="H2957" s="225" t="str">
        <f t="shared" si="46"/>
        <v/>
      </c>
    </row>
    <row r="2958" spans="1:8" x14ac:dyDescent="0.3">
      <c r="A2958" s="400"/>
      <c r="B2958" s="709">
        <v>103737</v>
      </c>
      <c r="C2958" s="710" t="s">
        <v>7841</v>
      </c>
      <c r="D2958" s="709" t="s">
        <v>136</v>
      </c>
      <c r="E2958" s="716">
        <v>0</v>
      </c>
      <c r="F2958" s="717"/>
      <c r="G2958" t="e">
        <f>VLOOKUP(B2958,'SINAPI-%MO'!B:E,4,0)</f>
        <v>#N/A</v>
      </c>
      <c r="H2958" s="225" t="str">
        <f t="shared" si="46"/>
        <v/>
      </c>
    </row>
    <row r="2959" spans="1:8" x14ac:dyDescent="0.3">
      <c r="A2959" s="400"/>
      <c r="B2959" s="709">
        <v>103742</v>
      </c>
      <c r="C2959" s="710" t="s">
        <v>7842</v>
      </c>
      <c r="D2959" s="709" t="s">
        <v>136</v>
      </c>
      <c r="E2959" s="716">
        <v>0</v>
      </c>
      <c r="F2959" s="717"/>
      <c r="G2959" t="e">
        <f>VLOOKUP(B2959,'SINAPI-%MO'!B:E,4,0)</f>
        <v>#N/A</v>
      </c>
      <c r="H2959" s="225" t="str">
        <f t="shared" si="46"/>
        <v/>
      </c>
    </row>
    <row r="2960" spans="1:8" x14ac:dyDescent="0.3">
      <c r="A2960" s="400"/>
      <c r="B2960" s="709">
        <v>103797</v>
      </c>
      <c r="C2960" s="710" t="s">
        <v>2944</v>
      </c>
      <c r="D2960" s="709" t="s">
        <v>175</v>
      </c>
      <c r="E2960" s="716">
        <v>16.29</v>
      </c>
      <c r="F2960" s="717">
        <v>0</v>
      </c>
      <c r="G2960">
        <f>VLOOKUP(B2960,'SINAPI-%MO'!B:E,4,0)</f>
        <v>0.52359999999999995</v>
      </c>
      <c r="H2960" s="225">
        <f t="shared" si="46"/>
        <v>7.76</v>
      </c>
    </row>
    <row r="2961" spans="1:8" x14ac:dyDescent="0.3">
      <c r="A2961" s="400"/>
      <c r="B2961" s="709">
        <v>103930</v>
      </c>
      <c r="C2961" s="710" t="s">
        <v>2945</v>
      </c>
      <c r="D2961" s="709" t="s">
        <v>170</v>
      </c>
      <c r="E2961" s="716">
        <v>828.65</v>
      </c>
      <c r="F2961" s="717">
        <v>0</v>
      </c>
      <c r="G2961">
        <f>VLOOKUP(B2961,'SINAPI-%MO'!B:E,4,0)</f>
        <v>0.35780000000000001</v>
      </c>
      <c r="H2961" s="225">
        <f t="shared" si="46"/>
        <v>532.15</v>
      </c>
    </row>
    <row r="2962" spans="1:8" x14ac:dyDescent="0.3">
      <c r="A2962" s="400"/>
      <c r="B2962" s="709">
        <v>103931</v>
      </c>
      <c r="C2962" s="710" t="s">
        <v>2946</v>
      </c>
      <c r="D2962" s="709" t="s">
        <v>170</v>
      </c>
      <c r="E2962" s="716">
        <v>633.58000000000004</v>
      </c>
      <c r="F2962" s="717">
        <v>0</v>
      </c>
      <c r="G2962">
        <f>VLOOKUP(B2962,'SINAPI-%MO'!B:E,4,0)</f>
        <v>0.36859999999999998</v>
      </c>
      <c r="H2962" s="225">
        <f t="shared" si="46"/>
        <v>400.04</v>
      </c>
    </row>
    <row r="2963" spans="1:8" x14ac:dyDescent="0.3">
      <c r="A2963" s="400"/>
      <c r="B2963" s="709">
        <v>103932</v>
      </c>
      <c r="C2963" s="710" t="s">
        <v>2947</v>
      </c>
      <c r="D2963" s="709" t="s">
        <v>170</v>
      </c>
      <c r="E2963" s="716">
        <v>604.98</v>
      </c>
      <c r="F2963" s="717">
        <v>0</v>
      </c>
      <c r="G2963">
        <f>VLOOKUP(B2963,'SINAPI-%MO'!B:E,4,0)</f>
        <v>0.37080000000000002</v>
      </c>
      <c r="H2963" s="225">
        <f t="shared" si="46"/>
        <v>380.65</v>
      </c>
    </row>
    <row r="2964" spans="1:8" x14ac:dyDescent="0.3">
      <c r="A2964" s="400"/>
      <c r="B2964" s="709">
        <v>103929</v>
      </c>
      <c r="C2964" s="710" t="s">
        <v>2948</v>
      </c>
      <c r="D2964" s="709" t="s">
        <v>170</v>
      </c>
      <c r="E2964" s="716">
        <v>1299.42</v>
      </c>
      <c r="F2964" s="717">
        <v>0</v>
      </c>
      <c r="G2964">
        <f>VLOOKUP(B2964,'SINAPI-%MO'!B:E,4,0)</f>
        <v>0.33960000000000001</v>
      </c>
      <c r="H2964" s="225">
        <f t="shared" si="46"/>
        <v>858.13</v>
      </c>
    </row>
    <row r="2965" spans="1:8" x14ac:dyDescent="0.3">
      <c r="A2965" s="400"/>
      <c r="B2965" s="709">
        <v>103928</v>
      </c>
      <c r="C2965" s="710" t="s">
        <v>2949</v>
      </c>
      <c r="D2965" s="709" t="s">
        <v>170</v>
      </c>
      <c r="E2965" s="716">
        <v>620.24</v>
      </c>
      <c r="F2965" s="717">
        <v>0</v>
      </c>
      <c r="G2965">
        <f>VLOOKUP(B2965,'SINAPI-%MO'!B:E,4,0)</f>
        <v>0.46629999999999999</v>
      </c>
      <c r="H2965" s="225">
        <f t="shared" si="46"/>
        <v>331.02</v>
      </c>
    </row>
    <row r="2966" spans="1:8" x14ac:dyDescent="0.3">
      <c r="A2966" s="400"/>
      <c r="B2966" s="709">
        <v>103798</v>
      </c>
      <c r="C2966" s="710" t="s">
        <v>2950</v>
      </c>
      <c r="D2966" s="709" t="s">
        <v>170</v>
      </c>
      <c r="E2966" s="716">
        <v>824.29</v>
      </c>
      <c r="F2966" s="717">
        <v>0</v>
      </c>
      <c r="G2966">
        <f>VLOOKUP(B2966,'SINAPI-%MO'!B:E,4,0)</f>
        <v>8.9599999999999999E-2</v>
      </c>
      <c r="H2966" s="225">
        <f t="shared" si="46"/>
        <v>750.43</v>
      </c>
    </row>
    <row r="2967" spans="1:8" x14ac:dyDescent="0.3">
      <c r="A2967" s="400"/>
      <c r="B2967" s="709">
        <v>103801</v>
      </c>
      <c r="C2967" s="710" t="s">
        <v>2951</v>
      </c>
      <c r="D2967" s="709" t="s">
        <v>170</v>
      </c>
      <c r="E2967" s="716">
        <v>751.36</v>
      </c>
      <c r="F2967" s="717">
        <v>0</v>
      </c>
      <c r="G2967">
        <f>VLOOKUP(B2967,'SINAPI-%MO'!B:E,4,0)</f>
        <v>0.33800000000000002</v>
      </c>
      <c r="H2967" s="225">
        <f t="shared" si="46"/>
        <v>497.4</v>
      </c>
    </row>
    <row r="2968" spans="1:8" x14ac:dyDescent="0.3">
      <c r="A2968" s="400"/>
      <c r="B2968" s="709">
        <v>103933</v>
      </c>
      <c r="C2968" s="710" t="s">
        <v>2952</v>
      </c>
      <c r="D2968" s="709" t="s">
        <v>170</v>
      </c>
      <c r="E2968" s="716">
        <v>1679.68</v>
      </c>
      <c r="F2968" s="717">
        <v>0</v>
      </c>
      <c r="G2968">
        <f>VLOOKUP(B2968,'SINAPI-%MO'!B:E,4,0)</f>
        <v>0.26050000000000001</v>
      </c>
      <c r="H2968" s="225">
        <f t="shared" si="46"/>
        <v>1242.1199999999999</v>
      </c>
    </row>
    <row r="2969" spans="1:8" x14ac:dyDescent="0.3">
      <c r="A2969" s="400"/>
      <c r="B2969" s="709">
        <v>103925</v>
      </c>
      <c r="C2969" s="710" t="s">
        <v>2953</v>
      </c>
      <c r="D2969" s="709" t="s">
        <v>170</v>
      </c>
      <c r="E2969" s="716">
        <v>1923.84</v>
      </c>
      <c r="F2969" s="717">
        <v>0</v>
      </c>
      <c r="G2969">
        <f>VLOOKUP(B2969,'SINAPI-%MO'!B:E,4,0)</f>
        <v>0.3422</v>
      </c>
      <c r="H2969" s="225">
        <f t="shared" si="46"/>
        <v>1265.5</v>
      </c>
    </row>
    <row r="2970" spans="1:8" x14ac:dyDescent="0.3">
      <c r="A2970" s="400"/>
      <c r="B2970" s="709">
        <v>103926</v>
      </c>
      <c r="C2970" s="710" t="s">
        <v>2954</v>
      </c>
      <c r="D2970" s="709" t="s">
        <v>170</v>
      </c>
      <c r="E2970" s="716">
        <v>1582.09</v>
      </c>
      <c r="F2970" s="717">
        <v>0</v>
      </c>
      <c r="G2970">
        <f>VLOOKUP(B2970,'SINAPI-%MO'!B:E,4,0)</f>
        <v>0.30030000000000001</v>
      </c>
      <c r="H2970" s="225">
        <f t="shared" si="46"/>
        <v>1106.98</v>
      </c>
    </row>
    <row r="2971" spans="1:8" x14ac:dyDescent="0.3">
      <c r="A2971" s="400"/>
      <c r="B2971" s="709">
        <v>103796</v>
      </c>
      <c r="C2971" s="710" t="s">
        <v>2955</v>
      </c>
      <c r="D2971" s="709" t="s">
        <v>168</v>
      </c>
      <c r="E2971" s="716">
        <v>54.8</v>
      </c>
      <c r="F2971" s="717">
        <v>0</v>
      </c>
      <c r="G2971">
        <f>VLOOKUP(B2971,'SINAPI-%MO'!B:E,4,0)</f>
        <v>0.34179999999999999</v>
      </c>
      <c r="H2971" s="225">
        <f t="shared" si="46"/>
        <v>36.06</v>
      </c>
    </row>
    <row r="2972" spans="1:8" x14ac:dyDescent="0.3">
      <c r="A2972" s="400"/>
      <c r="B2972" s="709">
        <v>103795</v>
      </c>
      <c r="C2972" s="710" t="s">
        <v>2956</v>
      </c>
      <c r="D2972" s="709" t="s">
        <v>168</v>
      </c>
      <c r="E2972" s="716">
        <v>92.4</v>
      </c>
      <c r="F2972" s="717">
        <v>0</v>
      </c>
      <c r="G2972">
        <f>VLOOKUP(B2972,'SINAPI-%MO'!B:E,4,0)</f>
        <v>0.54420000000000002</v>
      </c>
      <c r="H2972" s="225">
        <f t="shared" si="46"/>
        <v>42.11</v>
      </c>
    </row>
    <row r="2973" spans="1:8" x14ac:dyDescent="0.3">
      <c r="A2973" s="400"/>
      <c r="B2973" s="709">
        <v>103800</v>
      </c>
      <c r="C2973" s="710" t="s">
        <v>2957</v>
      </c>
      <c r="D2973" s="709" t="s">
        <v>170</v>
      </c>
      <c r="E2973" s="716">
        <v>620.24</v>
      </c>
      <c r="F2973" s="717">
        <v>0</v>
      </c>
      <c r="G2973">
        <f>VLOOKUP(B2973,'SINAPI-%MO'!B:E,4,0)</f>
        <v>0.46629999999999999</v>
      </c>
      <c r="H2973" s="225">
        <f t="shared" si="46"/>
        <v>331.02</v>
      </c>
    </row>
    <row r="2974" spans="1:8" x14ac:dyDescent="0.3">
      <c r="A2974" s="400"/>
      <c r="B2974" s="709">
        <v>103799</v>
      </c>
      <c r="C2974" s="710" t="s">
        <v>2958</v>
      </c>
      <c r="D2974" s="709" t="s">
        <v>170</v>
      </c>
      <c r="E2974" s="716">
        <v>475.39</v>
      </c>
      <c r="F2974" s="717">
        <v>0</v>
      </c>
      <c r="G2974">
        <f>VLOOKUP(B2974,'SINAPI-%MO'!B:E,4,0)</f>
        <v>0.39889999999999998</v>
      </c>
      <c r="H2974" s="225">
        <f t="shared" si="46"/>
        <v>285.75</v>
      </c>
    </row>
    <row r="2975" spans="1:8" x14ac:dyDescent="0.3">
      <c r="A2975" s="400"/>
      <c r="B2975" s="709">
        <v>104950</v>
      </c>
      <c r="C2975" s="710" t="s">
        <v>2959</v>
      </c>
      <c r="D2975" s="709" t="s">
        <v>170</v>
      </c>
      <c r="E2975" s="716">
        <v>0</v>
      </c>
      <c r="F2975" s="717"/>
      <c r="G2975" t="e">
        <f>VLOOKUP(B2975,'SINAPI-%MO'!B:E,4,0)</f>
        <v>#N/A</v>
      </c>
      <c r="H2975" s="225" t="str">
        <f t="shared" si="46"/>
        <v/>
      </c>
    </row>
    <row r="2976" spans="1:8" x14ac:dyDescent="0.3">
      <c r="A2976" s="400"/>
      <c r="B2976" s="709">
        <v>104948</v>
      </c>
      <c r="C2976" s="710" t="s">
        <v>2960</v>
      </c>
      <c r="D2976" s="709" t="s">
        <v>170</v>
      </c>
      <c r="E2976" s="716">
        <v>5.39</v>
      </c>
      <c r="F2976" s="717">
        <v>0</v>
      </c>
      <c r="G2976">
        <f>VLOOKUP(B2976,'SINAPI-%MO'!B:E,4,0)</f>
        <v>0.35809999999999997</v>
      </c>
      <c r="H2976" s="225">
        <f t="shared" si="46"/>
        <v>3.45</v>
      </c>
    </row>
    <row r="2977" spans="1:8" x14ac:dyDescent="0.3">
      <c r="A2977" s="400"/>
      <c r="B2977" s="709">
        <v>104949</v>
      </c>
      <c r="C2977" s="710" t="s">
        <v>2961</v>
      </c>
      <c r="D2977" s="709" t="s">
        <v>170</v>
      </c>
      <c r="E2977" s="716">
        <v>10.039999999999999</v>
      </c>
      <c r="F2977" s="717">
        <v>0</v>
      </c>
      <c r="G2977">
        <f>VLOOKUP(B2977,'SINAPI-%MO'!B:E,4,0)</f>
        <v>0.29480000000000001</v>
      </c>
      <c r="H2977" s="225">
        <f t="shared" si="46"/>
        <v>7.08</v>
      </c>
    </row>
    <row r="2978" spans="1:8" x14ac:dyDescent="0.3">
      <c r="A2978" s="400"/>
      <c r="B2978" s="709">
        <v>104947</v>
      </c>
      <c r="C2978" s="710" t="s">
        <v>2962</v>
      </c>
      <c r="D2978" s="709" t="s">
        <v>170</v>
      </c>
      <c r="E2978" s="716">
        <v>12.58</v>
      </c>
      <c r="F2978" s="717">
        <v>0</v>
      </c>
      <c r="G2978">
        <f>VLOOKUP(B2978,'SINAPI-%MO'!B:E,4,0)</f>
        <v>0.47220000000000001</v>
      </c>
      <c r="H2978" s="225">
        <f t="shared" si="46"/>
        <v>6.63</v>
      </c>
    </row>
    <row r="2979" spans="1:8" x14ac:dyDescent="0.3">
      <c r="A2979" s="400"/>
      <c r="B2979" s="709">
        <v>106545</v>
      </c>
      <c r="C2979" s="710" t="s">
        <v>13392</v>
      </c>
      <c r="D2979" s="709" t="s">
        <v>159</v>
      </c>
      <c r="E2979" s="716">
        <v>10.79</v>
      </c>
      <c r="F2979" s="717">
        <v>0.99170000000000003</v>
      </c>
      <c r="G2979">
        <f>VLOOKUP(B2979,'SINAPI-%MO'!B:E,4,0)</f>
        <v>8.3000000000000001E-3</v>
      </c>
      <c r="H2979" s="225">
        <f t="shared" si="46"/>
        <v>10.7</v>
      </c>
    </row>
    <row r="2980" spans="1:8" x14ac:dyDescent="0.3">
      <c r="A2980" s="400"/>
      <c r="B2980" s="709">
        <v>106543</v>
      </c>
      <c r="C2980" s="710" t="s">
        <v>13393</v>
      </c>
      <c r="D2980" s="709" t="s">
        <v>159</v>
      </c>
      <c r="E2980" s="716">
        <v>22.19</v>
      </c>
      <c r="F2980" s="717">
        <v>0.99590000000000001</v>
      </c>
      <c r="G2980">
        <f>VLOOKUP(B2980,'SINAPI-%MO'!B:E,4,0)</f>
        <v>4.1000000000000003E-3</v>
      </c>
      <c r="H2980" s="225">
        <f t="shared" si="46"/>
        <v>22.09</v>
      </c>
    </row>
    <row r="2981" spans="1:8" x14ac:dyDescent="0.3">
      <c r="A2981" s="400"/>
      <c r="B2981" s="709">
        <v>106544</v>
      </c>
      <c r="C2981" s="710" t="s">
        <v>13394</v>
      </c>
      <c r="D2981" s="709" t="s">
        <v>159</v>
      </c>
      <c r="E2981" s="716">
        <v>38.08</v>
      </c>
      <c r="F2981" s="717">
        <v>0.99760000000000004</v>
      </c>
      <c r="G2981">
        <f>VLOOKUP(B2981,'SINAPI-%MO'!B:E,4,0)</f>
        <v>2.3999999999999998E-3</v>
      </c>
      <c r="H2981" s="225">
        <f t="shared" si="46"/>
        <v>37.979999999999997</v>
      </c>
    </row>
    <row r="2982" spans="1:8" x14ac:dyDescent="0.3">
      <c r="A2982" s="400"/>
      <c r="B2982" s="709">
        <v>106546</v>
      </c>
      <c r="C2982" s="710" t="s">
        <v>13395</v>
      </c>
      <c r="D2982" s="709" t="s">
        <v>159</v>
      </c>
      <c r="E2982" s="716">
        <v>6.76</v>
      </c>
      <c r="F2982" s="717">
        <v>0.98670000000000002</v>
      </c>
      <c r="G2982">
        <f>VLOOKUP(B2982,'SINAPI-%MO'!B:E,4,0)</f>
        <v>1.3299999999999999E-2</v>
      </c>
      <c r="H2982" s="225">
        <f t="shared" si="46"/>
        <v>6.67</v>
      </c>
    </row>
    <row r="2983" spans="1:8" x14ac:dyDescent="0.3">
      <c r="A2983" s="400"/>
      <c r="B2983" s="709">
        <v>106547</v>
      </c>
      <c r="C2983" s="710" t="s">
        <v>13396</v>
      </c>
      <c r="D2983" s="709" t="s">
        <v>136</v>
      </c>
      <c r="E2983" s="716">
        <v>7.24</v>
      </c>
      <c r="F2983" s="717">
        <v>0</v>
      </c>
      <c r="G2983">
        <f>VLOOKUP(B2983,'SINAPI-%MO'!B:E,4,0)</f>
        <v>1</v>
      </c>
      <c r="H2983" s="225">
        <f t="shared" si="46"/>
        <v>0</v>
      </c>
    </row>
    <row r="2984" spans="1:8" x14ac:dyDescent="0.3">
      <c r="A2984" s="400"/>
      <c r="B2984" s="709">
        <v>106542</v>
      </c>
      <c r="C2984" s="710" t="s">
        <v>14974</v>
      </c>
      <c r="D2984" s="709" t="s">
        <v>168</v>
      </c>
      <c r="E2984" s="716">
        <v>0</v>
      </c>
      <c r="F2984" s="717"/>
      <c r="G2984" t="e">
        <f>VLOOKUP(B2984,'SINAPI-%MO'!B:E,4,0)</f>
        <v>#N/A</v>
      </c>
      <c r="H2984" s="225" t="str">
        <f t="shared" si="46"/>
        <v/>
      </c>
    </row>
    <row r="2985" spans="1:8" x14ac:dyDescent="0.3">
      <c r="A2985" s="400"/>
      <c r="B2985" s="709">
        <v>106534</v>
      </c>
      <c r="C2985" s="710" t="s">
        <v>14975</v>
      </c>
      <c r="D2985" s="709" t="s">
        <v>168</v>
      </c>
      <c r="E2985" s="716">
        <v>0</v>
      </c>
      <c r="F2985" s="717"/>
      <c r="G2985" t="e">
        <f>VLOOKUP(B2985,'SINAPI-%MO'!B:E,4,0)</f>
        <v>#N/A</v>
      </c>
      <c r="H2985" s="225" t="str">
        <f t="shared" si="46"/>
        <v/>
      </c>
    </row>
    <row r="2986" spans="1:8" x14ac:dyDescent="0.3">
      <c r="A2986" s="400"/>
      <c r="B2986" s="709">
        <v>106535</v>
      </c>
      <c r="C2986" s="710" t="s">
        <v>14976</v>
      </c>
      <c r="D2986" s="709" t="s">
        <v>168</v>
      </c>
      <c r="E2986" s="716">
        <v>0</v>
      </c>
      <c r="F2986" s="717"/>
      <c r="G2986" t="e">
        <f>VLOOKUP(B2986,'SINAPI-%MO'!B:E,4,0)</f>
        <v>#N/A</v>
      </c>
      <c r="H2986" s="225" t="str">
        <f t="shared" si="46"/>
        <v/>
      </c>
    </row>
    <row r="2987" spans="1:8" x14ac:dyDescent="0.3">
      <c r="A2987" s="400"/>
      <c r="B2987" s="709">
        <v>106537</v>
      </c>
      <c r="C2987" s="710" t="s">
        <v>14977</v>
      </c>
      <c r="D2987" s="709" t="s">
        <v>168</v>
      </c>
      <c r="E2987" s="716">
        <v>0</v>
      </c>
      <c r="F2987" s="717"/>
      <c r="G2987" t="e">
        <f>VLOOKUP(B2987,'SINAPI-%MO'!B:E,4,0)</f>
        <v>#N/A</v>
      </c>
      <c r="H2987" s="225" t="str">
        <f t="shared" si="46"/>
        <v/>
      </c>
    </row>
    <row r="2988" spans="1:8" x14ac:dyDescent="0.3">
      <c r="A2988" s="400"/>
      <c r="B2988" s="709">
        <v>106536</v>
      </c>
      <c r="C2988" s="710" t="s">
        <v>14978</v>
      </c>
      <c r="D2988" s="709" t="s">
        <v>168</v>
      </c>
      <c r="E2988" s="716">
        <v>0</v>
      </c>
      <c r="F2988" s="717"/>
      <c r="G2988" t="e">
        <f>VLOOKUP(B2988,'SINAPI-%MO'!B:E,4,0)</f>
        <v>#N/A</v>
      </c>
      <c r="H2988" s="225" t="str">
        <f t="shared" si="46"/>
        <v/>
      </c>
    </row>
    <row r="2989" spans="1:8" x14ac:dyDescent="0.3">
      <c r="A2989" s="400"/>
      <c r="B2989" s="709">
        <v>106530</v>
      </c>
      <c r="C2989" s="710" t="s">
        <v>14979</v>
      </c>
      <c r="D2989" s="709" t="s">
        <v>168</v>
      </c>
      <c r="E2989" s="716">
        <v>0</v>
      </c>
      <c r="F2989" s="717"/>
      <c r="G2989" t="e">
        <f>VLOOKUP(B2989,'SINAPI-%MO'!B:E,4,0)</f>
        <v>#N/A</v>
      </c>
      <c r="H2989" s="225" t="str">
        <f t="shared" si="46"/>
        <v/>
      </c>
    </row>
    <row r="2990" spans="1:8" x14ac:dyDescent="0.3">
      <c r="A2990" s="400"/>
      <c r="B2990" s="709">
        <v>106531</v>
      </c>
      <c r="C2990" s="710" t="s">
        <v>14980</v>
      </c>
      <c r="D2990" s="709" t="s">
        <v>168</v>
      </c>
      <c r="E2990" s="716">
        <v>0</v>
      </c>
      <c r="F2990" s="717"/>
      <c r="G2990" t="e">
        <f>VLOOKUP(B2990,'SINAPI-%MO'!B:E,4,0)</f>
        <v>#N/A</v>
      </c>
      <c r="H2990" s="225" t="str">
        <f t="shared" si="46"/>
        <v/>
      </c>
    </row>
    <row r="2991" spans="1:8" x14ac:dyDescent="0.3">
      <c r="A2991" s="400"/>
      <c r="B2991" s="709">
        <v>106533</v>
      </c>
      <c r="C2991" s="710" t="s">
        <v>14981</v>
      </c>
      <c r="D2991" s="709" t="s">
        <v>168</v>
      </c>
      <c r="E2991" s="716">
        <v>0</v>
      </c>
      <c r="F2991" s="717"/>
      <c r="G2991" t="e">
        <f>VLOOKUP(B2991,'SINAPI-%MO'!B:E,4,0)</f>
        <v>#N/A</v>
      </c>
      <c r="H2991" s="225" t="str">
        <f t="shared" si="46"/>
        <v/>
      </c>
    </row>
    <row r="2992" spans="1:8" x14ac:dyDescent="0.3">
      <c r="A2992" s="400"/>
      <c r="B2992" s="709">
        <v>106532</v>
      </c>
      <c r="C2992" s="710" t="s">
        <v>14982</v>
      </c>
      <c r="D2992" s="709" t="s">
        <v>168</v>
      </c>
      <c r="E2992" s="716">
        <v>0</v>
      </c>
      <c r="F2992" s="717"/>
      <c r="G2992" t="e">
        <f>VLOOKUP(B2992,'SINAPI-%MO'!B:E,4,0)</f>
        <v>#N/A</v>
      </c>
      <c r="H2992" s="225" t="str">
        <f t="shared" si="46"/>
        <v/>
      </c>
    </row>
    <row r="2993" spans="1:8" x14ac:dyDescent="0.3">
      <c r="A2993" s="400"/>
      <c r="B2993" s="709">
        <v>106538</v>
      </c>
      <c r="C2993" s="710" t="s">
        <v>14983</v>
      </c>
      <c r="D2993" s="709" t="s">
        <v>168</v>
      </c>
      <c r="E2993" s="716">
        <v>0</v>
      </c>
      <c r="F2993" s="717"/>
      <c r="G2993" t="e">
        <f>VLOOKUP(B2993,'SINAPI-%MO'!B:E,4,0)</f>
        <v>#N/A</v>
      </c>
      <c r="H2993" s="225" t="str">
        <f t="shared" si="46"/>
        <v/>
      </c>
    </row>
    <row r="2994" spans="1:8" x14ac:dyDescent="0.3">
      <c r="A2994" s="400"/>
      <c r="B2994" s="709">
        <v>106539</v>
      </c>
      <c r="C2994" s="710" t="s">
        <v>14984</v>
      </c>
      <c r="D2994" s="709" t="s">
        <v>168</v>
      </c>
      <c r="E2994" s="716">
        <v>0</v>
      </c>
      <c r="F2994" s="717"/>
      <c r="G2994" t="e">
        <f>VLOOKUP(B2994,'SINAPI-%MO'!B:E,4,0)</f>
        <v>#N/A</v>
      </c>
      <c r="H2994" s="225" t="str">
        <f t="shared" si="46"/>
        <v/>
      </c>
    </row>
    <row r="2995" spans="1:8" x14ac:dyDescent="0.3">
      <c r="A2995" s="400"/>
      <c r="B2995" s="709">
        <v>106541</v>
      </c>
      <c r="C2995" s="710" t="s">
        <v>14985</v>
      </c>
      <c r="D2995" s="709" t="s">
        <v>168</v>
      </c>
      <c r="E2995" s="716">
        <v>0</v>
      </c>
      <c r="F2995" s="717"/>
      <c r="G2995" t="e">
        <f>VLOOKUP(B2995,'SINAPI-%MO'!B:E,4,0)</f>
        <v>#N/A</v>
      </c>
      <c r="H2995" s="225" t="str">
        <f t="shared" si="46"/>
        <v/>
      </c>
    </row>
    <row r="2996" spans="1:8" x14ac:dyDescent="0.3">
      <c r="A2996" s="400"/>
      <c r="B2996" s="709">
        <v>106540</v>
      </c>
      <c r="C2996" s="710" t="s">
        <v>14986</v>
      </c>
      <c r="D2996" s="709" t="s">
        <v>168</v>
      </c>
      <c r="E2996" s="716">
        <v>0</v>
      </c>
      <c r="F2996" s="717"/>
      <c r="G2996" t="e">
        <f>VLOOKUP(B2996,'SINAPI-%MO'!B:E,4,0)</f>
        <v>#N/A</v>
      </c>
      <c r="H2996" s="225" t="str">
        <f t="shared" si="46"/>
        <v/>
      </c>
    </row>
    <row r="2997" spans="1:8" x14ac:dyDescent="0.3">
      <c r="A2997" s="400"/>
      <c r="B2997" s="709">
        <v>104325</v>
      </c>
      <c r="C2997" s="710" t="s">
        <v>2963</v>
      </c>
      <c r="D2997" s="709" t="s">
        <v>136</v>
      </c>
      <c r="E2997" s="716">
        <v>0</v>
      </c>
      <c r="F2997" s="717"/>
      <c r="G2997" t="e">
        <f>VLOOKUP(B2997,'SINAPI-%MO'!B:E,4,0)</f>
        <v>#N/A</v>
      </c>
      <c r="H2997" s="225" t="str">
        <f t="shared" si="46"/>
        <v/>
      </c>
    </row>
    <row r="2998" spans="1:8" x14ac:dyDescent="0.3">
      <c r="A2998" s="400"/>
      <c r="B2998" s="709">
        <v>104318</v>
      </c>
      <c r="C2998" s="710" t="s">
        <v>2964</v>
      </c>
      <c r="D2998" s="709" t="s">
        <v>136</v>
      </c>
      <c r="E2998" s="716">
        <v>8.5399999999999991</v>
      </c>
      <c r="F2998" s="717">
        <v>0</v>
      </c>
      <c r="G2998">
        <f>VLOOKUP(B2998,'SINAPI-%MO'!B:E,4,0)</f>
        <v>0.70609999999999995</v>
      </c>
      <c r="H2998" s="225">
        <f t="shared" si="46"/>
        <v>2.5</v>
      </c>
    </row>
    <row r="2999" spans="1:8" x14ac:dyDescent="0.3">
      <c r="A2999" s="400"/>
      <c r="B2999" s="709">
        <v>89867</v>
      </c>
      <c r="C2999" s="710" t="s">
        <v>2965</v>
      </c>
      <c r="D2999" s="709" t="s">
        <v>136</v>
      </c>
      <c r="E2999" s="716">
        <v>9.61</v>
      </c>
      <c r="F2999" s="717">
        <v>0</v>
      </c>
      <c r="G2999">
        <f>VLOOKUP(B2999,'SINAPI-%MO'!B:E,4,0)</f>
        <v>0.65969999999999995</v>
      </c>
      <c r="H2999" s="225">
        <f t="shared" si="46"/>
        <v>3.27</v>
      </c>
    </row>
    <row r="3000" spans="1:8" x14ac:dyDescent="0.3">
      <c r="A3000" s="400"/>
      <c r="B3000" s="709">
        <v>104320</v>
      </c>
      <c r="C3000" s="710" t="s">
        <v>2966</v>
      </c>
      <c r="D3000" s="709" t="s">
        <v>136</v>
      </c>
      <c r="E3000" s="716">
        <v>13.82</v>
      </c>
      <c r="F3000" s="717">
        <v>0</v>
      </c>
      <c r="G3000">
        <f>VLOOKUP(B3000,'SINAPI-%MO'!B:E,4,0)</f>
        <v>0.49130000000000001</v>
      </c>
      <c r="H3000" s="225">
        <f t="shared" si="46"/>
        <v>7.03</v>
      </c>
    </row>
    <row r="3001" spans="1:8" x14ac:dyDescent="0.3">
      <c r="A3001" s="400"/>
      <c r="B3001" s="709">
        <v>104317</v>
      </c>
      <c r="C3001" s="710" t="s">
        <v>2967</v>
      </c>
      <c r="D3001" s="709" t="s">
        <v>136</v>
      </c>
      <c r="E3001" s="716">
        <v>7.87</v>
      </c>
      <c r="F3001" s="717">
        <v>0</v>
      </c>
      <c r="G3001">
        <f>VLOOKUP(B3001,'SINAPI-%MO'!B:E,4,0)</f>
        <v>0.76619999999999999</v>
      </c>
      <c r="H3001" s="225">
        <f t="shared" si="46"/>
        <v>1.84</v>
      </c>
    </row>
    <row r="3002" spans="1:8" x14ac:dyDescent="0.3">
      <c r="A3002" s="400"/>
      <c r="B3002" s="709">
        <v>89866</v>
      </c>
      <c r="C3002" s="710" t="s">
        <v>2968</v>
      </c>
      <c r="D3002" s="709" t="s">
        <v>136</v>
      </c>
      <c r="E3002" s="716">
        <v>8.66</v>
      </c>
      <c r="F3002" s="717">
        <v>0</v>
      </c>
      <c r="G3002">
        <f>VLOOKUP(B3002,'SINAPI-%MO'!B:E,4,0)</f>
        <v>0.73209999999999997</v>
      </c>
      <c r="H3002" s="225">
        <f t="shared" si="46"/>
        <v>2.3199999999999998</v>
      </c>
    </row>
    <row r="3003" spans="1:8" x14ac:dyDescent="0.3">
      <c r="A3003" s="400"/>
      <c r="B3003" s="709">
        <v>104319</v>
      </c>
      <c r="C3003" s="710" t="s">
        <v>2969</v>
      </c>
      <c r="D3003" s="709" t="s">
        <v>136</v>
      </c>
      <c r="E3003" s="716">
        <v>11.7</v>
      </c>
      <c r="F3003" s="717">
        <v>0</v>
      </c>
      <c r="G3003">
        <f>VLOOKUP(B3003,'SINAPI-%MO'!B:E,4,0)</f>
        <v>0.58030000000000004</v>
      </c>
      <c r="H3003" s="225">
        <f t="shared" si="46"/>
        <v>4.91</v>
      </c>
    </row>
    <row r="3004" spans="1:8" x14ac:dyDescent="0.3">
      <c r="A3004" s="400"/>
      <c r="B3004" s="709">
        <v>104321</v>
      </c>
      <c r="C3004" s="710" t="s">
        <v>2970</v>
      </c>
      <c r="D3004" s="709" t="s">
        <v>136</v>
      </c>
      <c r="E3004" s="716">
        <v>6.08</v>
      </c>
      <c r="F3004" s="717">
        <v>0</v>
      </c>
      <c r="G3004">
        <f>VLOOKUP(B3004,'SINAPI-%MO'!B:E,4,0)</f>
        <v>0.66120000000000001</v>
      </c>
      <c r="H3004" s="225">
        <f t="shared" si="46"/>
        <v>2.0499999999999998</v>
      </c>
    </row>
    <row r="3005" spans="1:8" x14ac:dyDescent="0.3">
      <c r="A3005" s="400"/>
      <c r="B3005" s="709">
        <v>89868</v>
      </c>
      <c r="C3005" s="710" t="s">
        <v>2971</v>
      </c>
      <c r="D3005" s="709" t="s">
        <v>136</v>
      </c>
      <c r="E3005" s="716">
        <v>6.66</v>
      </c>
      <c r="F3005" s="717">
        <v>0</v>
      </c>
      <c r="G3005">
        <f>VLOOKUP(B3005,'SINAPI-%MO'!B:E,4,0)</f>
        <v>0.6351</v>
      </c>
      <c r="H3005" s="225">
        <f t="shared" si="46"/>
        <v>2.4300000000000002</v>
      </c>
    </row>
    <row r="3006" spans="1:8" x14ac:dyDescent="0.3">
      <c r="A3006" s="400"/>
      <c r="B3006" s="709">
        <v>104322</v>
      </c>
      <c r="C3006" s="710" t="s">
        <v>2972</v>
      </c>
      <c r="D3006" s="709" t="s">
        <v>136</v>
      </c>
      <c r="E3006" s="716">
        <v>8.9</v>
      </c>
      <c r="F3006" s="717">
        <v>0</v>
      </c>
      <c r="G3006">
        <f>VLOOKUP(B3006,'SINAPI-%MO'!B:E,4,0)</f>
        <v>0.50790000000000002</v>
      </c>
      <c r="H3006" s="225">
        <f t="shared" si="46"/>
        <v>4.37</v>
      </c>
    </row>
    <row r="3007" spans="1:8" x14ac:dyDescent="0.3">
      <c r="A3007" s="400"/>
      <c r="B3007" s="709">
        <v>104323</v>
      </c>
      <c r="C3007" s="710" t="s">
        <v>2973</v>
      </c>
      <c r="D3007" s="709" t="s">
        <v>136</v>
      </c>
      <c r="E3007" s="716">
        <v>11.03</v>
      </c>
      <c r="F3007" s="717">
        <v>0</v>
      </c>
      <c r="G3007">
        <f>VLOOKUP(B3007,'SINAPI-%MO'!B:E,4,0)</f>
        <v>0.72889999999999999</v>
      </c>
      <c r="H3007" s="225">
        <f t="shared" si="46"/>
        <v>2.99</v>
      </c>
    </row>
    <row r="3008" spans="1:8" x14ac:dyDescent="0.3">
      <c r="A3008" s="400"/>
      <c r="B3008" s="709">
        <v>89869</v>
      </c>
      <c r="C3008" s="710" t="s">
        <v>2974</v>
      </c>
      <c r="D3008" s="709" t="s">
        <v>136</v>
      </c>
      <c r="E3008" s="716">
        <v>12.07</v>
      </c>
      <c r="F3008" s="717">
        <v>0</v>
      </c>
      <c r="G3008">
        <f>VLOOKUP(B3008,'SINAPI-%MO'!B:E,4,0)</f>
        <v>0.70089999999999997</v>
      </c>
      <c r="H3008" s="225">
        <f t="shared" si="46"/>
        <v>3.61</v>
      </c>
    </row>
    <row r="3009" spans="1:8" x14ac:dyDescent="0.3">
      <c r="A3009" s="400"/>
      <c r="B3009" s="709">
        <v>104324</v>
      </c>
      <c r="C3009" s="710" t="s">
        <v>2975</v>
      </c>
      <c r="D3009" s="709" t="s">
        <v>136</v>
      </c>
      <c r="E3009" s="716">
        <v>16.579999999999998</v>
      </c>
      <c r="F3009" s="717">
        <v>0</v>
      </c>
      <c r="G3009">
        <f>VLOOKUP(B3009,'SINAPI-%MO'!B:E,4,0)</f>
        <v>0.54579999999999995</v>
      </c>
      <c r="H3009" s="225">
        <f t="shared" si="46"/>
        <v>7.53</v>
      </c>
    </row>
    <row r="3010" spans="1:8" x14ac:dyDescent="0.3">
      <c r="A3010" s="400"/>
      <c r="B3010" s="709">
        <v>104315</v>
      </c>
      <c r="C3010" s="710" t="s">
        <v>2976</v>
      </c>
      <c r="D3010" s="709" t="s">
        <v>159</v>
      </c>
      <c r="E3010" s="716">
        <v>18.739999999999998</v>
      </c>
      <c r="F3010" s="717">
        <v>0</v>
      </c>
      <c r="G3010">
        <f>VLOOKUP(B3010,'SINAPI-%MO'!B:E,4,0)</f>
        <v>0.74329999999999996</v>
      </c>
      <c r="H3010" s="225">
        <f t="shared" si="46"/>
        <v>4.8099999999999996</v>
      </c>
    </row>
    <row r="3011" spans="1:8" x14ac:dyDescent="0.3">
      <c r="A3011" s="400"/>
      <c r="B3011" s="709">
        <v>89865</v>
      </c>
      <c r="C3011" s="710" t="s">
        <v>2977</v>
      </c>
      <c r="D3011" s="709" t="s">
        <v>159</v>
      </c>
      <c r="E3011" s="716">
        <v>20.09</v>
      </c>
      <c r="F3011" s="717">
        <v>0</v>
      </c>
      <c r="G3011">
        <f>VLOOKUP(B3011,'SINAPI-%MO'!B:E,4,0)</f>
        <v>0.72970000000000002</v>
      </c>
      <c r="H3011" s="225">
        <f t="shared" si="46"/>
        <v>5.43</v>
      </c>
    </row>
    <row r="3012" spans="1:8" x14ac:dyDescent="0.3">
      <c r="A3012" s="400"/>
      <c r="B3012" s="709">
        <v>104316</v>
      </c>
      <c r="C3012" s="710" t="s">
        <v>2978</v>
      </c>
      <c r="D3012" s="709" t="s">
        <v>159</v>
      </c>
      <c r="E3012" s="716">
        <v>27.36</v>
      </c>
      <c r="F3012" s="717">
        <v>0</v>
      </c>
      <c r="G3012">
        <f>VLOOKUP(B3012,'SINAPI-%MO'!B:E,4,0)</f>
        <v>0.57310000000000005</v>
      </c>
      <c r="H3012" s="225">
        <f t="shared" si="46"/>
        <v>11.67</v>
      </c>
    </row>
    <row r="3013" spans="1:8" x14ac:dyDescent="0.3">
      <c r="A3013" s="400"/>
      <c r="B3013" s="709">
        <v>102724</v>
      </c>
      <c r="C3013" s="710" t="s">
        <v>2979</v>
      </c>
      <c r="D3013" s="709" t="s">
        <v>136</v>
      </c>
      <c r="E3013" s="716">
        <v>34.64</v>
      </c>
      <c r="F3013" s="717">
        <v>0</v>
      </c>
      <c r="G3013">
        <f>VLOOKUP(B3013,'SINAPI-%MO'!B:E,4,0)</f>
        <v>0.38109999999999999</v>
      </c>
      <c r="H3013" s="225">
        <f t="shared" si="46"/>
        <v>21.43</v>
      </c>
    </row>
    <row r="3014" spans="1:8" x14ac:dyDescent="0.3">
      <c r="A3014" s="400"/>
      <c r="B3014" s="709">
        <v>102726</v>
      </c>
      <c r="C3014" s="710" t="s">
        <v>2980</v>
      </c>
      <c r="D3014" s="709" t="s">
        <v>136</v>
      </c>
      <c r="E3014" s="716">
        <v>31.43</v>
      </c>
      <c r="F3014" s="717">
        <v>0</v>
      </c>
      <c r="G3014">
        <f>VLOOKUP(B3014,'SINAPI-%MO'!B:E,4,0)</f>
        <v>0.42</v>
      </c>
      <c r="H3014" s="225">
        <f t="shared" si="46"/>
        <v>18.22</v>
      </c>
    </row>
    <row r="3015" spans="1:8" x14ac:dyDescent="0.3">
      <c r="A3015" s="400"/>
      <c r="B3015" s="709">
        <v>102725</v>
      </c>
      <c r="C3015" s="710" t="s">
        <v>2981</v>
      </c>
      <c r="D3015" s="709" t="s">
        <v>136</v>
      </c>
      <c r="E3015" s="716">
        <v>33.89</v>
      </c>
      <c r="F3015" s="717">
        <v>0</v>
      </c>
      <c r="G3015">
        <f>VLOOKUP(B3015,'SINAPI-%MO'!B:E,4,0)</f>
        <v>0.38950000000000001</v>
      </c>
      <c r="H3015" s="225">
        <f t="shared" si="46"/>
        <v>20.68</v>
      </c>
    </row>
    <row r="3016" spans="1:8" x14ac:dyDescent="0.3">
      <c r="A3016" s="400"/>
      <c r="B3016" s="709">
        <v>102722</v>
      </c>
      <c r="C3016" s="710" t="s">
        <v>2982</v>
      </c>
      <c r="D3016" s="709" t="s">
        <v>159</v>
      </c>
      <c r="E3016" s="716">
        <v>57.34</v>
      </c>
      <c r="F3016" s="717">
        <v>0.18709999999999999</v>
      </c>
      <c r="G3016">
        <f>VLOOKUP(B3016,'SINAPI-%MO'!B:E,4,0)</f>
        <v>0.23630000000000001</v>
      </c>
      <c r="H3016" s="225">
        <f t="shared" si="46"/>
        <v>43.79</v>
      </c>
    </row>
    <row r="3017" spans="1:8" x14ac:dyDescent="0.3">
      <c r="A3017" s="400"/>
      <c r="B3017" s="709">
        <v>102721</v>
      </c>
      <c r="C3017" s="710" t="s">
        <v>2983</v>
      </c>
      <c r="D3017" s="709" t="s">
        <v>159</v>
      </c>
      <c r="E3017" s="716">
        <v>0</v>
      </c>
      <c r="F3017" s="717"/>
      <c r="G3017" t="e">
        <f>VLOOKUP(B3017,'SINAPI-%MO'!B:E,4,0)</f>
        <v>#N/A</v>
      </c>
      <c r="H3017" s="225" t="str">
        <f t="shared" si="46"/>
        <v/>
      </c>
    </row>
    <row r="3018" spans="1:8" x14ac:dyDescent="0.3">
      <c r="A3018" s="400"/>
      <c r="B3018" s="709">
        <v>102723</v>
      </c>
      <c r="C3018" s="710" t="s">
        <v>2984</v>
      </c>
      <c r="D3018" s="709" t="s">
        <v>159</v>
      </c>
      <c r="E3018" s="716">
        <v>127.3</v>
      </c>
      <c r="F3018" s="717">
        <v>0</v>
      </c>
      <c r="G3018">
        <f>VLOOKUP(B3018,'SINAPI-%MO'!B:E,4,0)</f>
        <v>0.10639999999999999</v>
      </c>
      <c r="H3018" s="225">
        <f t="shared" si="46"/>
        <v>113.75</v>
      </c>
    </row>
    <row r="3019" spans="1:8" x14ac:dyDescent="0.3">
      <c r="A3019" s="400"/>
      <c r="B3019" s="709">
        <v>102690</v>
      </c>
      <c r="C3019" s="710" t="s">
        <v>2985</v>
      </c>
      <c r="D3019" s="709" t="s">
        <v>159</v>
      </c>
      <c r="E3019" s="716">
        <v>68.94</v>
      </c>
      <c r="F3019" s="717">
        <v>0.15559999999999999</v>
      </c>
      <c r="G3019">
        <f>VLOOKUP(B3019,'SINAPI-%MO'!B:E,4,0)</f>
        <v>0.17749999999999999</v>
      </c>
      <c r="H3019" s="225">
        <f t="shared" ref="H3019:H3082" si="47">IF(E3019&gt;0,TRUNC(E3019*(1-G3019),2),"")</f>
        <v>56.7</v>
      </c>
    </row>
    <row r="3020" spans="1:8" x14ac:dyDescent="0.3">
      <c r="A3020" s="400"/>
      <c r="B3020" s="709">
        <v>102688</v>
      </c>
      <c r="C3020" s="710" t="s">
        <v>2986</v>
      </c>
      <c r="D3020" s="709" t="s">
        <v>159</v>
      </c>
      <c r="E3020" s="716">
        <v>43.54</v>
      </c>
      <c r="F3020" s="717">
        <v>0.24640000000000001</v>
      </c>
      <c r="G3020">
        <f>VLOOKUP(B3020,'SINAPI-%MO'!B:E,4,0)</f>
        <v>0.26889999999999997</v>
      </c>
      <c r="H3020" s="225">
        <f t="shared" si="47"/>
        <v>31.83</v>
      </c>
    </row>
    <row r="3021" spans="1:8" x14ac:dyDescent="0.3">
      <c r="A3021" s="400"/>
      <c r="B3021" s="709">
        <v>102689</v>
      </c>
      <c r="C3021" s="710" t="s">
        <v>2987</v>
      </c>
      <c r="D3021" s="709" t="s">
        <v>159</v>
      </c>
      <c r="E3021" s="716">
        <v>114.9</v>
      </c>
      <c r="F3021" s="717">
        <v>0</v>
      </c>
      <c r="G3021">
        <f>VLOOKUP(B3021,'SINAPI-%MO'!B:E,4,0)</f>
        <v>0.1105</v>
      </c>
      <c r="H3021" s="225">
        <f t="shared" si="47"/>
        <v>102.2</v>
      </c>
    </row>
    <row r="3022" spans="1:8" x14ac:dyDescent="0.3">
      <c r="A3022" s="400"/>
      <c r="B3022" s="709">
        <v>102693</v>
      </c>
      <c r="C3022" s="710" t="s">
        <v>2988</v>
      </c>
      <c r="D3022" s="709" t="s">
        <v>159</v>
      </c>
      <c r="E3022" s="716">
        <v>140.31</v>
      </c>
      <c r="F3022" s="717">
        <v>0</v>
      </c>
      <c r="G3022">
        <f>VLOOKUP(B3022,'SINAPI-%MO'!B:E,4,0)</f>
        <v>9.4399999999999998E-2</v>
      </c>
      <c r="H3022" s="225">
        <f t="shared" si="47"/>
        <v>127.06</v>
      </c>
    </row>
    <row r="3023" spans="1:8" x14ac:dyDescent="0.3">
      <c r="A3023" s="400"/>
      <c r="B3023" s="709">
        <v>102694</v>
      </c>
      <c r="C3023" s="710" t="s">
        <v>2989</v>
      </c>
      <c r="D3023" s="709" t="s">
        <v>159</v>
      </c>
      <c r="E3023" s="716">
        <v>80.319999999999993</v>
      </c>
      <c r="F3023" s="717">
        <v>0.1336</v>
      </c>
      <c r="G3023">
        <f>VLOOKUP(B3023,'SINAPI-%MO'!B:E,4,0)</f>
        <v>0.17829999999999999</v>
      </c>
      <c r="H3023" s="225">
        <f t="shared" si="47"/>
        <v>65.989999999999995</v>
      </c>
    </row>
    <row r="3024" spans="1:8" x14ac:dyDescent="0.3">
      <c r="A3024" s="400"/>
      <c r="B3024" s="709">
        <v>102697</v>
      </c>
      <c r="C3024" s="710" t="s">
        <v>2990</v>
      </c>
      <c r="D3024" s="709" t="s">
        <v>159</v>
      </c>
      <c r="E3024" s="716">
        <v>115.41</v>
      </c>
      <c r="F3024" s="717">
        <v>9.2999999999999999E-2</v>
      </c>
      <c r="G3024">
        <f>VLOOKUP(B3024,'SINAPI-%MO'!B:E,4,0)</f>
        <v>0.13150000000000001</v>
      </c>
      <c r="H3024" s="225">
        <f t="shared" si="47"/>
        <v>100.23</v>
      </c>
    </row>
    <row r="3025" spans="1:8" x14ac:dyDescent="0.3">
      <c r="A3025" s="400"/>
      <c r="B3025" s="709">
        <v>102696</v>
      </c>
      <c r="C3025" s="710" t="s">
        <v>2991</v>
      </c>
      <c r="D3025" s="709" t="s">
        <v>159</v>
      </c>
      <c r="E3025" s="716">
        <v>151.35</v>
      </c>
      <c r="F3025" s="717">
        <v>0</v>
      </c>
      <c r="G3025">
        <f>VLOOKUP(B3025,'SINAPI-%MO'!B:E,4,0)</f>
        <v>0.1052</v>
      </c>
      <c r="H3025" s="225">
        <f t="shared" si="47"/>
        <v>135.41999999999999</v>
      </c>
    </row>
    <row r="3026" spans="1:8" x14ac:dyDescent="0.3">
      <c r="A3026" s="400"/>
      <c r="B3026" s="709">
        <v>102703</v>
      </c>
      <c r="C3026" s="710" t="s">
        <v>2992</v>
      </c>
      <c r="D3026" s="709" t="s">
        <v>159</v>
      </c>
      <c r="E3026" s="716">
        <v>186.45</v>
      </c>
      <c r="F3026" s="717">
        <v>0</v>
      </c>
      <c r="G3026">
        <f>VLOOKUP(B3026,'SINAPI-%MO'!B:E,4,0)</f>
        <v>9.01E-2</v>
      </c>
      <c r="H3026" s="225">
        <f t="shared" si="47"/>
        <v>169.65</v>
      </c>
    </row>
    <row r="3027" spans="1:8" x14ac:dyDescent="0.3">
      <c r="A3027" s="400"/>
      <c r="B3027" s="709">
        <v>102678</v>
      </c>
      <c r="C3027" s="710" t="s">
        <v>2993</v>
      </c>
      <c r="D3027" s="709" t="s">
        <v>159</v>
      </c>
      <c r="E3027" s="716">
        <v>144.13</v>
      </c>
      <c r="F3027" s="717">
        <v>0</v>
      </c>
      <c r="G3027">
        <f>VLOOKUP(B3027,'SINAPI-%MO'!B:E,4,0)</f>
        <v>0.1021</v>
      </c>
      <c r="H3027" s="225">
        <f t="shared" si="47"/>
        <v>129.41</v>
      </c>
    </row>
    <row r="3028" spans="1:8" x14ac:dyDescent="0.3">
      <c r="A3028" s="400"/>
      <c r="B3028" s="709">
        <v>102679</v>
      </c>
      <c r="C3028" s="710" t="s">
        <v>2994</v>
      </c>
      <c r="D3028" s="709" t="s">
        <v>159</v>
      </c>
      <c r="E3028" s="716">
        <v>156.93</v>
      </c>
      <c r="F3028" s="717">
        <v>0</v>
      </c>
      <c r="G3028">
        <f>VLOOKUP(B3028,'SINAPI-%MO'!B:E,4,0)</f>
        <v>8.1600000000000006E-2</v>
      </c>
      <c r="H3028" s="225">
        <f t="shared" si="47"/>
        <v>144.12</v>
      </c>
    </row>
    <row r="3029" spans="1:8" x14ac:dyDescent="0.3">
      <c r="A3029" s="400"/>
      <c r="B3029" s="709">
        <v>102673</v>
      </c>
      <c r="C3029" s="710" t="s">
        <v>2995</v>
      </c>
      <c r="D3029" s="709" t="s">
        <v>159</v>
      </c>
      <c r="E3029" s="716">
        <v>169.8</v>
      </c>
      <c r="F3029" s="717">
        <v>0</v>
      </c>
      <c r="G3029">
        <f>VLOOKUP(B3029,'SINAPI-%MO'!B:E,4,0)</f>
        <v>0.21379999999999999</v>
      </c>
      <c r="H3029" s="225">
        <f t="shared" si="47"/>
        <v>133.49</v>
      </c>
    </row>
    <row r="3030" spans="1:8" x14ac:dyDescent="0.3">
      <c r="A3030" s="400"/>
      <c r="B3030" s="709">
        <v>102677</v>
      </c>
      <c r="C3030" s="710" t="s">
        <v>2996</v>
      </c>
      <c r="D3030" s="709" t="s">
        <v>159</v>
      </c>
      <c r="E3030" s="716">
        <v>157.18</v>
      </c>
      <c r="F3030" s="717">
        <v>0</v>
      </c>
      <c r="G3030">
        <f>VLOOKUP(B3030,'SINAPI-%MO'!B:E,4,0)</f>
        <v>0.1356</v>
      </c>
      <c r="H3030" s="225">
        <f t="shared" si="47"/>
        <v>135.86000000000001</v>
      </c>
    </row>
    <row r="3031" spans="1:8" x14ac:dyDescent="0.3">
      <c r="A3031" s="400"/>
      <c r="B3031" s="709">
        <v>102683</v>
      </c>
      <c r="C3031" s="710" t="s">
        <v>2997</v>
      </c>
      <c r="D3031" s="709" t="s">
        <v>159</v>
      </c>
      <c r="E3031" s="716">
        <v>202.23</v>
      </c>
      <c r="F3031" s="717">
        <v>0</v>
      </c>
      <c r="G3031">
        <f>VLOOKUP(B3031,'SINAPI-%MO'!B:E,4,0)</f>
        <v>0.13059999999999999</v>
      </c>
      <c r="H3031" s="225">
        <f t="shared" si="47"/>
        <v>175.81</v>
      </c>
    </row>
    <row r="3032" spans="1:8" x14ac:dyDescent="0.3">
      <c r="A3032" s="400"/>
      <c r="B3032" s="709">
        <v>102687</v>
      </c>
      <c r="C3032" s="710" t="s">
        <v>2998</v>
      </c>
      <c r="D3032" s="709" t="s">
        <v>159</v>
      </c>
      <c r="E3032" s="716">
        <v>208.74</v>
      </c>
      <c r="F3032" s="717">
        <v>0</v>
      </c>
      <c r="G3032">
        <f>VLOOKUP(B3032,'SINAPI-%MO'!B:E,4,0)</f>
        <v>0.10630000000000001</v>
      </c>
      <c r="H3032" s="225">
        <f t="shared" si="47"/>
        <v>186.55</v>
      </c>
    </row>
    <row r="3033" spans="1:8" x14ac:dyDescent="0.3">
      <c r="A3033" s="400"/>
      <c r="B3033" s="709">
        <v>102670</v>
      </c>
      <c r="C3033" s="710" t="s">
        <v>2999</v>
      </c>
      <c r="D3033" s="709" t="s">
        <v>159</v>
      </c>
      <c r="E3033" s="716">
        <v>107.06</v>
      </c>
      <c r="F3033" s="717">
        <v>0.1002</v>
      </c>
      <c r="G3033">
        <f>VLOOKUP(B3033,'SINAPI-%MO'!B:E,4,0)</f>
        <v>0.13930000000000001</v>
      </c>
      <c r="H3033" s="225">
        <f t="shared" si="47"/>
        <v>92.14</v>
      </c>
    </row>
    <row r="3034" spans="1:8" x14ac:dyDescent="0.3">
      <c r="A3034" s="400"/>
      <c r="B3034" s="709">
        <v>102674</v>
      </c>
      <c r="C3034" s="710" t="s">
        <v>3000</v>
      </c>
      <c r="D3034" s="709" t="s">
        <v>159</v>
      </c>
      <c r="E3034" s="716">
        <v>117.15</v>
      </c>
      <c r="F3034" s="717">
        <v>9.1600000000000001E-2</v>
      </c>
      <c r="G3034">
        <f>VLOOKUP(B3034,'SINAPI-%MO'!B:E,4,0)</f>
        <v>0.1142</v>
      </c>
      <c r="H3034" s="225">
        <f t="shared" si="47"/>
        <v>103.77</v>
      </c>
    </row>
    <row r="3035" spans="1:8" x14ac:dyDescent="0.3">
      <c r="A3035" s="400"/>
      <c r="B3035" s="709">
        <v>102680</v>
      </c>
      <c r="C3035" s="710" t="s">
        <v>3001</v>
      </c>
      <c r="D3035" s="709" t="s">
        <v>159</v>
      </c>
      <c r="E3035" s="716">
        <v>155.94999999999999</v>
      </c>
      <c r="F3035" s="717">
        <v>6.88E-2</v>
      </c>
      <c r="G3035">
        <f>VLOOKUP(B3035,'SINAPI-%MO'!B:E,4,0)</f>
        <v>0.1037</v>
      </c>
      <c r="H3035" s="225">
        <f t="shared" si="47"/>
        <v>139.77000000000001</v>
      </c>
    </row>
    <row r="3036" spans="1:8" x14ac:dyDescent="0.3">
      <c r="A3036" s="400"/>
      <c r="B3036" s="709">
        <v>102684</v>
      </c>
      <c r="C3036" s="710" t="s">
        <v>3002</v>
      </c>
      <c r="D3036" s="709" t="s">
        <v>159</v>
      </c>
      <c r="E3036" s="716">
        <v>168.74</v>
      </c>
      <c r="F3036" s="717">
        <v>6.3600000000000004E-2</v>
      </c>
      <c r="G3036">
        <f>VLOOKUP(B3036,'SINAPI-%MO'!B:E,4,0)</f>
        <v>8.4400000000000003E-2</v>
      </c>
      <c r="H3036" s="225">
        <f t="shared" si="47"/>
        <v>154.49</v>
      </c>
    </row>
    <row r="3037" spans="1:8" x14ac:dyDescent="0.3">
      <c r="A3037" s="400"/>
      <c r="B3037" s="709">
        <v>102672</v>
      </c>
      <c r="C3037" s="710" t="s">
        <v>3003</v>
      </c>
      <c r="D3037" s="709" t="s">
        <v>159</v>
      </c>
      <c r="E3037" s="716">
        <v>196.55</v>
      </c>
      <c r="F3037" s="717">
        <v>0</v>
      </c>
      <c r="G3037">
        <f>VLOOKUP(B3037,'SINAPI-%MO'!B:E,4,0)</f>
        <v>0.13969999999999999</v>
      </c>
      <c r="H3037" s="225">
        <f t="shared" si="47"/>
        <v>169.09</v>
      </c>
    </row>
    <row r="3038" spans="1:8" x14ac:dyDescent="0.3">
      <c r="A3038" s="400"/>
      <c r="B3038" s="709">
        <v>102676</v>
      </c>
      <c r="C3038" s="710" t="s">
        <v>3004</v>
      </c>
      <c r="D3038" s="709" t="s">
        <v>159</v>
      </c>
      <c r="E3038" s="716">
        <v>195.31</v>
      </c>
      <c r="F3038" s="717">
        <v>0</v>
      </c>
      <c r="G3038">
        <f>VLOOKUP(B3038,'SINAPI-%MO'!B:E,4,0)</f>
        <v>9.3700000000000006E-2</v>
      </c>
      <c r="H3038" s="225">
        <f t="shared" si="47"/>
        <v>177</v>
      </c>
    </row>
    <row r="3039" spans="1:8" x14ac:dyDescent="0.3">
      <c r="A3039" s="400"/>
      <c r="B3039" s="709">
        <v>102681</v>
      </c>
      <c r="C3039" s="710" t="s">
        <v>3005</v>
      </c>
      <c r="D3039" s="709" t="s">
        <v>159</v>
      </c>
      <c r="E3039" s="716">
        <v>234.1</v>
      </c>
      <c r="F3039" s="717">
        <v>0</v>
      </c>
      <c r="G3039">
        <f>VLOOKUP(B3039,'SINAPI-%MO'!B:E,4,0)</f>
        <v>9.01E-2</v>
      </c>
      <c r="H3039" s="225">
        <f t="shared" si="47"/>
        <v>213</v>
      </c>
    </row>
    <row r="3040" spans="1:8" x14ac:dyDescent="0.3">
      <c r="A3040" s="400"/>
      <c r="B3040" s="709">
        <v>102685</v>
      </c>
      <c r="C3040" s="710" t="s">
        <v>3006</v>
      </c>
      <c r="D3040" s="709" t="s">
        <v>159</v>
      </c>
      <c r="E3040" s="716">
        <v>246.91</v>
      </c>
      <c r="F3040" s="717">
        <v>0</v>
      </c>
      <c r="G3040">
        <f>VLOOKUP(B3040,'SINAPI-%MO'!B:E,4,0)</f>
        <v>7.7700000000000005E-2</v>
      </c>
      <c r="H3040" s="225">
        <f t="shared" si="47"/>
        <v>227.72</v>
      </c>
    </row>
    <row r="3041" spans="1:8" x14ac:dyDescent="0.3">
      <c r="A3041" s="400"/>
      <c r="B3041" s="709">
        <v>102664</v>
      </c>
      <c r="C3041" s="710" t="s">
        <v>3007</v>
      </c>
      <c r="D3041" s="709" t="s">
        <v>159</v>
      </c>
      <c r="E3041" s="716">
        <v>51.06</v>
      </c>
      <c r="F3041" s="717">
        <v>0</v>
      </c>
      <c r="G3041">
        <f>VLOOKUP(B3041,'SINAPI-%MO'!B:E,4,0)</f>
        <v>0.14860000000000001</v>
      </c>
      <c r="H3041" s="225">
        <f t="shared" si="47"/>
        <v>43.47</v>
      </c>
    </row>
    <row r="3042" spans="1:8" x14ac:dyDescent="0.3">
      <c r="A3042" s="400"/>
      <c r="B3042" s="709">
        <v>102665</v>
      </c>
      <c r="C3042" s="710" t="s">
        <v>3008</v>
      </c>
      <c r="D3042" s="709" t="s">
        <v>159</v>
      </c>
      <c r="E3042" s="716">
        <v>25.88</v>
      </c>
      <c r="F3042" s="717">
        <v>0</v>
      </c>
      <c r="G3042">
        <f>VLOOKUP(B3042,'SINAPI-%MO'!B:E,4,0)</f>
        <v>0.27200000000000002</v>
      </c>
      <c r="H3042" s="225">
        <f t="shared" si="47"/>
        <v>18.84</v>
      </c>
    </row>
    <row r="3043" spans="1:8" x14ac:dyDescent="0.3">
      <c r="A3043" s="400"/>
      <c r="B3043" s="709">
        <v>102663</v>
      </c>
      <c r="C3043" s="710" t="s">
        <v>3009</v>
      </c>
      <c r="D3043" s="709" t="s">
        <v>159</v>
      </c>
      <c r="E3043" s="716">
        <v>69.69</v>
      </c>
      <c r="F3043" s="717">
        <v>0</v>
      </c>
      <c r="G3043">
        <f>VLOOKUP(B3043,'SINAPI-%MO'!B:E,4,0)</f>
        <v>0.1709</v>
      </c>
      <c r="H3043" s="225">
        <f t="shared" si="47"/>
        <v>57.77</v>
      </c>
    </row>
    <row r="3044" spans="1:8" x14ac:dyDescent="0.3">
      <c r="A3044" s="400"/>
      <c r="B3044" s="709">
        <v>102669</v>
      </c>
      <c r="C3044" s="710" t="s">
        <v>3010</v>
      </c>
      <c r="D3044" s="709" t="s">
        <v>159</v>
      </c>
      <c r="E3044" s="716">
        <v>95.06</v>
      </c>
      <c r="F3044" s="717">
        <v>0</v>
      </c>
      <c r="G3044">
        <f>VLOOKUP(B3044,'SINAPI-%MO'!B:E,4,0)</f>
        <v>0.13100000000000001</v>
      </c>
      <c r="H3044" s="225">
        <f t="shared" si="47"/>
        <v>82.6</v>
      </c>
    </row>
    <row r="3045" spans="1:8" x14ac:dyDescent="0.3">
      <c r="A3045" s="400"/>
      <c r="B3045" s="709">
        <v>102661</v>
      </c>
      <c r="C3045" s="710" t="s">
        <v>3011</v>
      </c>
      <c r="D3045" s="709" t="s">
        <v>159</v>
      </c>
      <c r="E3045" s="716">
        <v>36.130000000000003</v>
      </c>
      <c r="F3045" s="717">
        <v>0.29699999999999999</v>
      </c>
      <c r="G3045">
        <f>VLOOKUP(B3045,'SINAPI-%MO'!B:E,4,0)</f>
        <v>0.21260000000000001</v>
      </c>
      <c r="H3045" s="225">
        <f t="shared" si="47"/>
        <v>28.44</v>
      </c>
    </row>
    <row r="3046" spans="1:8" x14ac:dyDescent="0.3">
      <c r="A3046" s="400"/>
      <c r="B3046" s="709">
        <v>102666</v>
      </c>
      <c r="C3046" s="710" t="s">
        <v>3012</v>
      </c>
      <c r="D3046" s="709" t="s">
        <v>159</v>
      </c>
      <c r="E3046" s="716">
        <v>61.54</v>
      </c>
      <c r="F3046" s="717">
        <v>0.1744</v>
      </c>
      <c r="G3046">
        <f>VLOOKUP(B3046,'SINAPI-%MO'!B:E,4,0)</f>
        <v>0.1336</v>
      </c>
      <c r="H3046" s="225">
        <f t="shared" si="47"/>
        <v>53.31</v>
      </c>
    </row>
    <row r="3047" spans="1:8" x14ac:dyDescent="0.3">
      <c r="A3047" s="400"/>
      <c r="B3047" s="709">
        <v>102662</v>
      </c>
      <c r="C3047" s="710" t="s">
        <v>3013</v>
      </c>
      <c r="D3047" s="709" t="s">
        <v>159</v>
      </c>
      <c r="E3047" s="716">
        <v>110.58</v>
      </c>
      <c r="F3047" s="717">
        <v>0</v>
      </c>
      <c r="G3047">
        <f>VLOOKUP(B3047,'SINAPI-%MO'!B:E,4,0)</f>
        <v>9.7000000000000003E-2</v>
      </c>
      <c r="H3047" s="225">
        <f t="shared" si="47"/>
        <v>99.85</v>
      </c>
    </row>
    <row r="3048" spans="1:8" x14ac:dyDescent="0.3">
      <c r="A3048" s="400"/>
      <c r="B3048" s="709">
        <v>102668</v>
      </c>
      <c r="C3048" s="710" t="s">
        <v>282</v>
      </c>
      <c r="D3048" s="709" t="s">
        <v>159</v>
      </c>
      <c r="E3048" s="716">
        <v>135.97999999999999</v>
      </c>
      <c r="F3048" s="717">
        <v>0</v>
      </c>
      <c r="G3048">
        <f>VLOOKUP(B3048,'SINAPI-%MO'!B:E,4,0)</f>
        <v>8.2799999999999999E-2</v>
      </c>
      <c r="H3048" s="225">
        <f t="shared" si="47"/>
        <v>124.72</v>
      </c>
    </row>
    <row r="3049" spans="1:8" x14ac:dyDescent="0.3">
      <c r="A3049" s="400"/>
      <c r="B3049" s="709">
        <v>102718</v>
      </c>
      <c r="C3049" s="710" t="s">
        <v>3014</v>
      </c>
      <c r="D3049" s="709" t="s">
        <v>170</v>
      </c>
      <c r="E3049" s="716">
        <v>151.69999999999999</v>
      </c>
      <c r="F3049" s="717">
        <v>0</v>
      </c>
      <c r="G3049">
        <f>VLOOKUP(B3049,'SINAPI-%MO'!B:E,4,0)</f>
        <v>0.26550000000000001</v>
      </c>
      <c r="H3049" s="225">
        <f t="shared" si="47"/>
        <v>111.42</v>
      </c>
    </row>
    <row r="3050" spans="1:8" x14ac:dyDescent="0.3">
      <c r="A3050" s="400"/>
      <c r="B3050" s="709">
        <v>102716</v>
      </c>
      <c r="C3050" s="710" t="s">
        <v>3015</v>
      </c>
      <c r="D3050" s="709" t="s">
        <v>170</v>
      </c>
      <c r="E3050" s="716">
        <v>138.19</v>
      </c>
      <c r="F3050" s="717">
        <v>0</v>
      </c>
      <c r="G3050">
        <f>VLOOKUP(B3050,'SINAPI-%MO'!B:E,4,0)</f>
        <v>0.1106</v>
      </c>
      <c r="H3050" s="225">
        <f t="shared" si="47"/>
        <v>122.9</v>
      </c>
    </row>
    <row r="3051" spans="1:8" x14ac:dyDescent="0.3">
      <c r="A3051" s="400"/>
      <c r="B3051" s="709">
        <v>102719</v>
      </c>
      <c r="C3051" s="710" t="s">
        <v>3016</v>
      </c>
      <c r="D3051" s="709" t="s">
        <v>170</v>
      </c>
      <c r="E3051" s="716">
        <v>153.24</v>
      </c>
      <c r="F3051" s="717">
        <v>0</v>
      </c>
      <c r="G3051">
        <f>VLOOKUP(B3051,'SINAPI-%MO'!B:E,4,0)</f>
        <v>0.26279999999999998</v>
      </c>
      <c r="H3051" s="225">
        <f t="shared" si="47"/>
        <v>112.96</v>
      </c>
    </row>
    <row r="3052" spans="1:8" x14ac:dyDescent="0.3">
      <c r="A3052" s="400"/>
      <c r="B3052" s="709">
        <v>102717</v>
      </c>
      <c r="C3052" s="710" t="s">
        <v>3017</v>
      </c>
      <c r="D3052" s="709" t="s">
        <v>170</v>
      </c>
      <c r="E3052" s="716">
        <v>139.72999999999999</v>
      </c>
      <c r="F3052" s="717">
        <v>0</v>
      </c>
      <c r="G3052">
        <f>VLOOKUP(B3052,'SINAPI-%MO'!B:E,4,0)</f>
        <v>0.1094</v>
      </c>
      <c r="H3052" s="225">
        <f t="shared" si="47"/>
        <v>124.44</v>
      </c>
    </row>
    <row r="3053" spans="1:8" x14ac:dyDescent="0.3">
      <c r="A3053" s="400"/>
      <c r="B3053" s="709">
        <v>102720</v>
      </c>
      <c r="C3053" s="710" t="s">
        <v>3018</v>
      </c>
      <c r="D3053" s="709" t="s">
        <v>168</v>
      </c>
      <c r="E3053" s="716">
        <v>0</v>
      </c>
      <c r="F3053" s="717"/>
      <c r="G3053" t="e">
        <f>VLOOKUP(B3053,'SINAPI-%MO'!B:E,4,0)</f>
        <v>#N/A</v>
      </c>
      <c r="H3053" s="225" t="str">
        <f t="shared" si="47"/>
        <v/>
      </c>
    </row>
    <row r="3054" spans="1:8" x14ac:dyDescent="0.3">
      <c r="A3054" s="400"/>
      <c r="B3054" s="709">
        <v>102713</v>
      </c>
      <c r="C3054" s="710" t="s">
        <v>3019</v>
      </c>
      <c r="D3054" s="709" t="s">
        <v>168</v>
      </c>
      <c r="E3054" s="716">
        <v>13.49</v>
      </c>
      <c r="F3054" s="717">
        <v>0</v>
      </c>
      <c r="G3054">
        <f>VLOOKUP(B3054,'SINAPI-%MO'!B:E,4,0)</f>
        <v>3.9300000000000002E-2</v>
      </c>
      <c r="H3054" s="225">
        <f t="shared" si="47"/>
        <v>12.95</v>
      </c>
    </row>
    <row r="3055" spans="1:8" x14ac:dyDescent="0.3">
      <c r="A3055" s="400"/>
      <c r="B3055" s="709">
        <v>102715</v>
      </c>
      <c r="C3055" s="710" t="s">
        <v>3020</v>
      </c>
      <c r="D3055" s="709" t="s">
        <v>168</v>
      </c>
      <c r="E3055" s="716">
        <v>26.64</v>
      </c>
      <c r="F3055" s="717">
        <v>0</v>
      </c>
      <c r="G3055">
        <f>VLOOKUP(B3055,'SINAPI-%MO'!B:E,4,0)</f>
        <v>1.9900000000000001E-2</v>
      </c>
      <c r="H3055" s="225">
        <f t="shared" si="47"/>
        <v>26.1</v>
      </c>
    </row>
    <row r="3056" spans="1:8" x14ac:dyDescent="0.3">
      <c r="A3056" s="400"/>
      <c r="B3056" s="709">
        <v>103653</v>
      </c>
      <c r="C3056" s="710" t="s">
        <v>3021</v>
      </c>
      <c r="D3056" s="709" t="s">
        <v>168</v>
      </c>
      <c r="E3056" s="716">
        <v>31.8</v>
      </c>
      <c r="F3056" s="717">
        <v>0</v>
      </c>
      <c r="G3056">
        <f>VLOOKUP(B3056,'SINAPI-%MO'!B:E,4,0)</f>
        <v>1.67E-2</v>
      </c>
      <c r="H3056" s="225">
        <f t="shared" si="47"/>
        <v>31.26</v>
      </c>
    </row>
    <row r="3057" spans="1:8" x14ac:dyDescent="0.3">
      <c r="A3057" s="400"/>
      <c r="B3057" s="709">
        <v>102712</v>
      </c>
      <c r="C3057" s="710" t="s">
        <v>3022</v>
      </c>
      <c r="D3057" s="709" t="s">
        <v>168</v>
      </c>
      <c r="E3057" s="716">
        <v>9.82</v>
      </c>
      <c r="F3057" s="717">
        <v>0</v>
      </c>
      <c r="G3057">
        <f>VLOOKUP(B3057,'SINAPI-%MO'!B:E,4,0)</f>
        <v>5.3999999999999999E-2</v>
      </c>
      <c r="H3057" s="225">
        <f t="shared" si="47"/>
        <v>9.2799999999999994</v>
      </c>
    </row>
    <row r="3058" spans="1:8" x14ac:dyDescent="0.3">
      <c r="A3058" s="400"/>
      <c r="B3058" s="709">
        <v>102711</v>
      </c>
      <c r="C3058" s="710" t="s">
        <v>3023</v>
      </c>
      <c r="D3058" s="709" t="s">
        <v>136</v>
      </c>
      <c r="E3058" s="716">
        <v>96.65</v>
      </c>
      <c r="F3058" s="717">
        <v>0</v>
      </c>
      <c r="G3058">
        <f>VLOOKUP(B3058,'SINAPI-%MO'!B:E,4,0)</f>
        <v>0.42920000000000003</v>
      </c>
      <c r="H3058" s="225">
        <f t="shared" si="47"/>
        <v>55.16</v>
      </c>
    </row>
    <row r="3059" spans="1:8" x14ac:dyDescent="0.3">
      <c r="A3059" s="400"/>
      <c r="B3059" s="709">
        <v>102710</v>
      </c>
      <c r="C3059" s="710" t="s">
        <v>3024</v>
      </c>
      <c r="D3059" s="709" t="s">
        <v>136</v>
      </c>
      <c r="E3059" s="716">
        <v>73.12</v>
      </c>
      <c r="F3059" s="717">
        <v>0</v>
      </c>
      <c r="G3059">
        <f>VLOOKUP(B3059,'SINAPI-%MO'!B:E,4,0)</f>
        <v>0.56730000000000003</v>
      </c>
      <c r="H3059" s="225">
        <f t="shared" si="47"/>
        <v>31.63</v>
      </c>
    </row>
    <row r="3060" spans="1:8" x14ac:dyDescent="0.3">
      <c r="A3060" s="400"/>
      <c r="B3060" s="709">
        <v>102709</v>
      </c>
      <c r="C3060" s="710" t="s">
        <v>3025</v>
      </c>
      <c r="D3060" s="709" t="s">
        <v>136</v>
      </c>
      <c r="E3060" s="716">
        <v>0</v>
      </c>
      <c r="F3060" s="717"/>
      <c r="G3060" t="e">
        <f>VLOOKUP(B3060,'SINAPI-%MO'!B:E,4,0)</f>
        <v>#N/A</v>
      </c>
      <c r="H3060" s="225" t="str">
        <f t="shared" si="47"/>
        <v/>
      </c>
    </row>
    <row r="3061" spans="1:8" x14ac:dyDescent="0.3">
      <c r="A3061" s="400"/>
      <c r="B3061" s="709">
        <v>102708</v>
      </c>
      <c r="C3061" s="710" t="s">
        <v>3026</v>
      </c>
      <c r="D3061" s="709" t="s">
        <v>136</v>
      </c>
      <c r="E3061" s="716">
        <v>29.37</v>
      </c>
      <c r="F3061" s="717">
        <v>0</v>
      </c>
      <c r="G3061">
        <f>VLOOKUP(B3061,'SINAPI-%MO'!B:E,4,0)</f>
        <v>0.70579999999999998</v>
      </c>
      <c r="H3061" s="225">
        <f t="shared" si="47"/>
        <v>8.64</v>
      </c>
    </row>
    <row r="3062" spans="1:8" x14ac:dyDescent="0.3">
      <c r="A3062" s="400"/>
      <c r="B3062" s="709">
        <v>102707</v>
      </c>
      <c r="C3062" s="710" t="s">
        <v>3027</v>
      </c>
      <c r="D3062" s="709" t="s">
        <v>159</v>
      </c>
      <c r="E3062" s="716">
        <v>48.81</v>
      </c>
      <c r="F3062" s="717">
        <v>0</v>
      </c>
      <c r="G3062">
        <f>VLOOKUP(B3062,'SINAPI-%MO'!B:E,4,0)</f>
        <v>0.12540000000000001</v>
      </c>
      <c r="H3062" s="225">
        <f t="shared" si="47"/>
        <v>42.68</v>
      </c>
    </row>
    <row r="3063" spans="1:8" x14ac:dyDescent="0.3">
      <c r="A3063" s="400"/>
      <c r="B3063" s="709">
        <v>102704</v>
      </c>
      <c r="C3063" s="710" t="s">
        <v>3028</v>
      </c>
      <c r="D3063" s="709" t="s">
        <v>159</v>
      </c>
      <c r="E3063" s="716">
        <v>11.26</v>
      </c>
      <c r="F3063" s="717">
        <v>0.95289999999999997</v>
      </c>
      <c r="G3063">
        <f>VLOOKUP(B3063,'SINAPI-%MO'!B:E,4,0)</f>
        <v>4.7100000000000003E-2</v>
      </c>
      <c r="H3063" s="225">
        <f t="shared" si="47"/>
        <v>10.72</v>
      </c>
    </row>
    <row r="3064" spans="1:8" x14ac:dyDescent="0.3">
      <c r="A3064" s="400"/>
      <c r="B3064" s="709">
        <v>102705</v>
      </c>
      <c r="C3064" s="710" t="s">
        <v>3029</v>
      </c>
      <c r="D3064" s="709" t="s">
        <v>159</v>
      </c>
      <c r="E3064" s="716">
        <v>81.22</v>
      </c>
      <c r="F3064" s="717">
        <v>0</v>
      </c>
      <c r="G3064">
        <f>VLOOKUP(B3064,'SINAPI-%MO'!B:E,4,0)</f>
        <v>6.4999999999999997E-3</v>
      </c>
      <c r="H3064" s="225">
        <f t="shared" si="47"/>
        <v>80.69</v>
      </c>
    </row>
    <row r="3065" spans="1:8" x14ac:dyDescent="0.3">
      <c r="A3065" s="400"/>
      <c r="B3065" s="709">
        <v>98333</v>
      </c>
      <c r="C3065" s="710" t="s">
        <v>3030</v>
      </c>
      <c r="D3065" s="709" t="s">
        <v>168</v>
      </c>
      <c r="E3065" s="716">
        <v>0</v>
      </c>
      <c r="F3065" s="717"/>
      <c r="G3065" t="e">
        <f>VLOOKUP(B3065,'SINAPI-%MO'!B:E,4,0)</f>
        <v>#N/A</v>
      </c>
      <c r="H3065" s="225" t="str">
        <f t="shared" si="47"/>
        <v/>
      </c>
    </row>
    <row r="3066" spans="1:8" x14ac:dyDescent="0.3">
      <c r="A3066" s="400"/>
      <c r="B3066" s="709">
        <v>98332</v>
      </c>
      <c r="C3066" s="710" t="s">
        <v>3031</v>
      </c>
      <c r="D3066" s="709" t="s">
        <v>168</v>
      </c>
      <c r="E3066" s="716">
        <v>0</v>
      </c>
      <c r="F3066" s="717"/>
      <c r="G3066" t="e">
        <f>VLOOKUP(B3066,'SINAPI-%MO'!B:E,4,0)</f>
        <v>#N/A</v>
      </c>
      <c r="H3066" s="225" t="str">
        <f t="shared" si="47"/>
        <v/>
      </c>
    </row>
    <row r="3067" spans="1:8" x14ac:dyDescent="0.3">
      <c r="A3067" s="400"/>
      <c r="B3067" s="709">
        <v>98331</v>
      </c>
      <c r="C3067" s="710" t="s">
        <v>3032</v>
      </c>
      <c r="D3067" s="709" t="s">
        <v>168</v>
      </c>
      <c r="E3067" s="716">
        <v>0</v>
      </c>
      <c r="F3067" s="717"/>
      <c r="G3067" t="e">
        <f>VLOOKUP(B3067,'SINAPI-%MO'!B:E,4,0)</f>
        <v>#N/A</v>
      </c>
      <c r="H3067" s="225" t="str">
        <f t="shared" si="47"/>
        <v/>
      </c>
    </row>
    <row r="3068" spans="1:8" x14ac:dyDescent="0.3">
      <c r="A3068" s="400"/>
      <c r="B3068" s="709">
        <v>98327</v>
      </c>
      <c r="C3068" s="710" t="s">
        <v>3033</v>
      </c>
      <c r="D3068" s="709" t="s">
        <v>168</v>
      </c>
      <c r="E3068" s="716">
        <v>0</v>
      </c>
      <c r="F3068" s="717"/>
      <c r="G3068" t="e">
        <f>VLOOKUP(B3068,'SINAPI-%MO'!B:E,4,0)</f>
        <v>#N/A</v>
      </c>
      <c r="H3068" s="225" t="str">
        <f t="shared" si="47"/>
        <v/>
      </c>
    </row>
    <row r="3069" spans="1:8" x14ac:dyDescent="0.3">
      <c r="A3069" s="400"/>
      <c r="B3069" s="709">
        <v>98326</v>
      </c>
      <c r="C3069" s="710" t="s">
        <v>3034</v>
      </c>
      <c r="D3069" s="709" t="s">
        <v>168</v>
      </c>
      <c r="E3069" s="716">
        <v>0</v>
      </c>
      <c r="F3069" s="717"/>
      <c r="G3069" t="e">
        <f>VLOOKUP(B3069,'SINAPI-%MO'!B:E,4,0)</f>
        <v>#N/A</v>
      </c>
      <c r="H3069" s="225" t="str">
        <f t="shared" si="47"/>
        <v/>
      </c>
    </row>
    <row r="3070" spans="1:8" x14ac:dyDescent="0.3">
      <c r="A3070" s="400"/>
      <c r="B3070" s="709">
        <v>98325</v>
      </c>
      <c r="C3070" s="710" t="s">
        <v>3035</v>
      </c>
      <c r="D3070" s="709" t="s">
        <v>168</v>
      </c>
      <c r="E3070" s="716">
        <v>0</v>
      </c>
      <c r="F3070" s="717"/>
      <c r="G3070" t="e">
        <f>VLOOKUP(B3070,'SINAPI-%MO'!B:E,4,0)</f>
        <v>#N/A</v>
      </c>
      <c r="H3070" s="225" t="str">
        <f t="shared" si="47"/>
        <v/>
      </c>
    </row>
    <row r="3071" spans="1:8" x14ac:dyDescent="0.3">
      <c r="A3071" s="400"/>
      <c r="B3071" s="709">
        <v>98370</v>
      </c>
      <c r="C3071" s="710" t="s">
        <v>3036</v>
      </c>
      <c r="D3071" s="709" t="s">
        <v>168</v>
      </c>
      <c r="E3071" s="716">
        <v>0</v>
      </c>
      <c r="F3071" s="717"/>
      <c r="G3071" t="e">
        <f>VLOOKUP(B3071,'SINAPI-%MO'!B:E,4,0)</f>
        <v>#N/A</v>
      </c>
      <c r="H3071" s="225" t="str">
        <f t="shared" si="47"/>
        <v/>
      </c>
    </row>
    <row r="3072" spans="1:8" x14ac:dyDescent="0.3">
      <c r="A3072" s="400"/>
      <c r="B3072" s="709">
        <v>98389</v>
      </c>
      <c r="C3072" s="710" t="s">
        <v>3037</v>
      </c>
      <c r="D3072" s="709" t="s">
        <v>136</v>
      </c>
      <c r="E3072" s="716">
        <v>0</v>
      </c>
      <c r="F3072" s="717"/>
      <c r="G3072" t="e">
        <f>VLOOKUP(B3072,'SINAPI-%MO'!B:E,4,0)</f>
        <v>#N/A</v>
      </c>
      <c r="H3072" s="225" t="str">
        <f t="shared" si="47"/>
        <v/>
      </c>
    </row>
    <row r="3073" spans="1:8" x14ac:dyDescent="0.3">
      <c r="A3073" s="400"/>
      <c r="B3073" s="709">
        <v>98390</v>
      </c>
      <c r="C3073" s="710" t="s">
        <v>3038</v>
      </c>
      <c r="D3073" s="709" t="s">
        <v>136</v>
      </c>
      <c r="E3073" s="716">
        <v>0</v>
      </c>
      <c r="F3073" s="717"/>
      <c r="G3073" t="e">
        <f>VLOOKUP(B3073,'SINAPI-%MO'!B:E,4,0)</f>
        <v>#N/A</v>
      </c>
      <c r="H3073" s="225" t="str">
        <f t="shared" si="47"/>
        <v/>
      </c>
    </row>
    <row r="3074" spans="1:8" x14ac:dyDescent="0.3">
      <c r="A3074" s="400"/>
      <c r="B3074" s="709">
        <v>98391</v>
      </c>
      <c r="C3074" s="710" t="s">
        <v>3039</v>
      </c>
      <c r="D3074" s="709" t="s">
        <v>136</v>
      </c>
      <c r="E3074" s="716">
        <v>0</v>
      </c>
      <c r="F3074" s="717"/>
      <c r="G3074" t="e">
        <f>VLOOKUP(B3074,'SINAPI-%MO'!B:E,4,0)</f>
        <v>#N/A</v>
      </c>
      <c r="H3074" s="225" t="str">
        <f t="shared" si="47"/>
        <v/>
      </c>
    </row>
    <row r="3075" spans="1:8" x14ac:dyDescent="0.3">
      <c r="A3075" s="400"/>
      <c r="B3075" s="709">
        <v>98392</v>
      </c>
      <c r="C3075" s="710" t="s">
        <v>3040</v>
      </c>
      <c r="D3075" s="709" t="s">
        <v>136</v>
      </c>
      <c r="E3075" s="716">
        <v>0</v>
      </c>
      <c r="F3075" s="717"/>
      <c r="G3075" t="e">
        <f>VLOOKUP(B3075,'SINAPI-%MO'!B:E,4,0)</f>
        <v>#N/A</v>
      </c>
      <c r="H3075" s="225" t="str">
        <f t="shared" si="47"/>
        <v/>
      </c>
    </row>
    <row r="3076" spans="1:8" x14ac:dyDescent="0.3">
      <c r="A3076" s="400"/>
      <c r="B3076" s="709">
        <v>98393</v>
      </c>
      <c r="C3076" s="710" t="s">
        <v>3041</v>
      </c>
      <c r="D3076" s="709" t="s">
        <v>136</v>
      </c>
      <c r="E3076" s="716">
        <v>0</v>
      </c>
      <c r="F3076" s="717"/>
      <c r="G3076" t="e">
        <f>VLOOKUP(B3076,'SINAPI-%MO'!B:E,4,0)</f>
        <v>#N/A</v>
      </c>
      <c r="H3076" s="225" t="str">
        <f t="shared" si="47"/>
        <v/>
      </c>
    </row>
    <row r="3077" spans="1:8" x14ac:dyDescent="0.3">
      <c r="A3077" s="400"/>
      <c r="B3077" s="709">
        <v>98394</v>
      </c>
      <c r="C3077" s="710" t="s">
        <v>3042</v>
      </c>
      <c r="D3077" s="709" t="s">
        <v>136</v>
      </c>
      <c r="E3077" s="716">
        <v>0</v>
      </c>
      <c r="F3077" s="717"/>
      <c r="G3077" t="e">
        <f>VLOOKUP(B3077,'SINAPI-%MO'!B:E,4,0)</f>
        <v>#N/A</v>
      </c>
      <c r="H3077" s="225" t="str">
        <f t="shared" si="47"/>
        <v/>
      </c>
    </row>
    <row r="3078" spans="1:8" x14ac:dyDescent="0.3">
      <c r="A3078" s="400"/>
      <c r="B3078" s="709">
        <v>98395</v>
      </c>
      <c r="C3078" s="710" t="s">
        <v>3043</v>
      </c>
      <c r="D3078" s="709" t="s">
        <v>136</v>
      </c>
      <c r="E3078" s="716">
        <v>0</v>
      </c>
      <c r="F3078" s="717"/>
      <c r="G3078" t="e">
        <f>VLOOKUP(B3078,'SINAPI-%MO'!B:E,4,0)</f>
        <v>#N/A</v>
      </c>
      <c r="H3078" s="225" t="str">
        <f t="shared" si="47"/>
        <v/>
      </c>
    </row>
    <row r="3079" spans="1:8" x14ac:dyDescent="0.3">
      <c r="A3079" s="400"/>
      <c r="B3079" s="709">
        <v>98396</v>
      </c>
      <c r="C3079" s="710" t="s">
        <v>3044</v>
      </c>
      <c r="D3079" s="709" t="s">
        <v>136</v>
      </c>
      <c r="E3079" s="716">
        <v>0</v>
      </c>
      <c r="F3079" s="717"/>
      <c r="G3079" t="e">
        <f>VLOOKUP(B3079,'SINAPI-%MO'!B:E,4,0)</f>
        <v>#N/A</v>
      </c>
      <c r="H3079" s="225" t="str">
        <f t="shared" si="47"/>
        <v/>
      </c>
    </row>
    <row r="3080" spans="1:8" x14ac:dyDescent="0.3">
      <c r="A3080" s="400"/>
      <c r="B3080" s="709">
        <v>98369</v>
      </c>
      <c r="C3080" s="710" t="s">
        <v>3045</v>
      </c>
      <c r="D3080" s="709" t="s">
        <v>168</v>
      </c>
      <c r="E3080" s="716">
        <v>0</v>
      </c>
      <c r="F3080" s="717"/>
      <c r="G3080" t="e">
        <f>VLOOKUP(B3080,'SINAPI-%MO'!B:E,4,0)</f>
        <v>#N/A</v>
      </c>
      <c r="H3080" s="225" t="str">
        <f t="shared" si="47"/>
        <v/>
      </c>
    </row>
    <row r="3081" spans="1:8" x14ac:dyDescent="0.3">
      <c r="A3081" s="400"/>
      <c r="B3081" s="709">
        <v>98360</v>
      </c>
      <c r="C3081" s="710" t="s">
        <v>3046</v>
      </c>
      <c r="D3081" s="709" t="s">
        <v>168</v>
      </c>
      <c r="E3081" s="716">
        <v>0</v>
      </c>
      <c r="F3081" s="717"/>
      <c r="G3081" t="e">
        <f>VLOOKUP(B3081,'SINAPI-%MO'!B:E,4,0)</f>
        <v>#N/A</v>
      </c>
      <c r="H3081" s="225" t="str">
        <f t="shared" si="47"/>
        <v/>
      </c>
    </row>
    <row r="3082" spans="1:8" x14ac:dyDescent="0.3">
      <c r="A3082" s="400"/>
      <c r="B3082" s="709">
        <v>98368</v>
      </c>
      <c r="C3082" s="710" t="s">
        <v>3047</v>
      </c>
      <c r="D3082" s="709" t="s">
        <v>168</v>
      </c>
      <c r="E3082" s="716">
        <v>0</v>
      </c>
      <c r="F3082" s="717"/>
      <c r="G3082" t="e">
        <f>VLOOKUP(B3082,'SINAPI-%MO'!B:E,4,0)</f>
        <v>#N/A</v>
      </c>
      <c r="H3082" s="225" t="str">
        <f t="shared" si="47"/>
        <v/>
      </c>
    </row>
    <row r="3083" spans="1:8" x14ac:dyDescent="0.3">
      <c r="A3083" s="400"/>
      <c r="B3083" s="709">
        <v>98359</v>
      </c>
      <c r="C3083" s="710" t="s">
        <v>3048</v>
      </c>
      <c r="D3083" s="709" t="s">
        <v>168</v>
      </c>
      <c r="E3083" s="716">
        <v>0</v>
      </c>
      <c r="F3083" s="717"/>
      <c r="G3083" t="e">
        <f>VLOOKUP(B3083,'SINAPI-%MO'!B:E,4,0)</f>
        <v>#N/A</v>
      </c>
      <c r="H3083" s="225" t="str">
        <f t="shared" ref="H3083:H3146" si="48">IF(E3083&gt;0,TRUNC(E3083*(1-G3083),2),"")</f>
        <v/>
      </c>
    </row>
    <row r="3084" spans="1:8" x14ac:dyDescent="0.3">
      <c r="A3084" s="400"/>
      <c r="B3084" s="709">
        <v>98367</v>
      </c>
      <c r="C3084" s="710" t="s">
        <v>3049</v>
      </c>
      <c r="D3084" s="709" t="s">
        <v>168</v>
      </c>
      <c r="E3084" s="716">
        <v>0</v>
      </c>
      <c r="F3084" s="717"/>
      <c r="G3084" t="e">
        <f>VLOOKUP(B3084,'SINAPI-%MO'!B:E,4,0)</f>
        <v>#N/A</v>
      </c>
      <c r="H3084" s="225" t="str">
        <f t="shared" si="48"/>
        <v/>
      </c>
    </row>
    <row r="3085" spans="1:8" x14ac:dyDescent="0.3">
      <c r="A3085" s="400"/>
      <c r="B3085" s="709">
        <v>98358</v>
      </c>
      <c r="C3085" s="710" t="s">
        <v>3050</v>
      </c>
      <c r="D3085" s="709" t="s">
        <v>168</v>
      </c>
      <c r="E3085" s="716">
        <v>0</v>
      </c>
      <c r="F3085" s="717"/>
      <c r="G3085" t="e">
        <f>VLOOKUP(B3085,'SINAPI-%MO'!B:E,4,0)</f>
        <v>#N/A</v>
      </c>
      <c r="H3085" s="225" t="str">
        <f t="shared" si="48"/>
        <v/>
      </c>
    </row>
    <row r="3086" spans="1:8" x14ac:dyDescent="0.3">
      <c r="A3086" s="400"/>
      <c r="B3086" s="709">
        <v>98352</v>
      </c>
      <c r="C3086" s="710" t="s">
        <v>3051</v>
      </c>
      <c r="D3086" s="709" t="s">
        <v>168</v>
      </c>
      <c r="E3086" s="716">
        <v>0</v>
      </c>
      <c r="F3086" s="717"/>
      <c r="G3086" t="e">
        <f>VLOOKUP(B3086,'SINAPI-%MO'!B:E,4,0)</f>
        <v>#N/A</v>
      </c>
      <c r="H3086" s="225" t="str">
        <f t="shared" si="48"/>
        <v/>
      </c>
    </row>
    <row r="3087" spans="1:8" x14ac:dyDescent="0.3">
      <c r="A3087" s="400"/>
      <c r="B3087" s="709">
        <v>98343</v>
      </c>
      <c r="C3087" s="710" t="s">
        <v>3052</v>
      </c>
      <c r="D3087" s="709" t="s">
        <v>168</v>
      </c>
      <c r="E3087" s="716">
        <v>0</v>
      </c>
      <c r="F3087" s="717"/>
      <c r="G3087" t="e">
        <f>VLOOKUP(B3087,'SINAPI-%MO'!B:E,4,0)</f>
        <v>#N/A</v>
      </c>
      <c r="H3087" s="225" t="str">
        <f t="shared" si="48"/>
        <v/>
      </c>
    </row>
    <row r="3088" spans="1:8" x14ac:dyDescent="0.3">
      <c r="A3088" s="400"/>
      <c r="B3088" s="709">
        <v>98351</v>
      </c>
      <c r="C3088" s="710" t="s">
        <v>3053</v>
      </c>
      <c r="D3088" s="709" t="s">
        <v>168</v>
      </c>
      <c r="E3088" s="716">
        <v>0</v>
      </c>
      <c r="F3088" s="717"/>
      <c r="G3088" t="e">
        <f>VLOOKUP(B3088,'SINAPI-%MO'!B:E,4,0)</f>
        <v>#N/A</v>
      </c>
      <c r="H3088" s="225" t="str">
        <f t="shared" si="48"/>
        <v/>
      </c>
    </row>
    <row r="3089" spans="1:8" x14ac:dyDescent="0.3">
      <c r="A3089" s="400"/>
      <c r="B3089" s="709">
        <v>98342</v>
      </c>
      <c r="C3089" s="710" t="s">
        <v>3054</v>
      </c>
      <c r="D3089" s="709" t="s">
        <v>168</v>
      </c>
      <c r="E3089" s="716">
        <v>0</v>
      </c>
      <c r="F3089" s="717"/>
      <c r="G3089" t="e">
        <f>VLOOKUP(B3089,'SINAPI-%MO'!B:E,4,0)</f>
        <v>#N/A</v>
      </c>
      <c r="H3089" s="225" t="str">
        <f t="shared" si="48"/>
        <v/>
      </c>
    </row>
    <row r="3090" spans="1:8" x14ac:dyDescent="0.3">
      <c r="A3090" s="400"/>
      <c r="B3090" s="709">
        <v>98350</v>
      </c>
      <c r="C3090" s="710" t="s">
        <v>3055</v>
      </c>
      <c r="D3090" s="709" t="s">
        <v>168</v>
      </c>
      <c r="E3090" s="716">
        <v>0</v>
      </c>
      <c r="F3090" s="717"/>
      <c r="G3090" t="e">
        <f>VLOOKUP(B3090,'SINAPI-%MO'!B:E,4,0)</f>
        <v>#N/A</v>
      </c>
      <c r="H3090" s="225" t="str">
        <f t="shared" si="48"/>
        <v/>
      </c>
    </row>
    <row r="3091" spans="1:8" x14ac:dyDescent="0.3">
      <c r="A3091" s="400"/>
      <c r="B3091" s="709">
        <v>98341</v>
      </c>
      <c r="C3091" s="710" t="s">
        <v>3056</v>
      </c>
      <c r="D3091" s="709" t="s">
        <v>168</v>
      </c>
      <c r="E3091" s="716">
        <v>0</v>
      </c>
      <c r="F3091" s="717"/>
      <c r="G3091" t="e">
        <f>VLOOKUP(B3091,'SINAPI-%MO'!B:E,4,0)</f>
        <v>#N/A</v>
      </c>
      <c r="H3091" s="225" t="str">
        <f t="shared" si="48"/>
        <v/>
      </c>
    </row>
    <row r="3092" spans="1:8" x14ac:dyDescent="0.3">
      <c r="A3092" s="400"/>
      <c r="B3092" s="709">
        <v>98381</v>
      </c>
      <c r="C3092" s="710" t="s">
        <v>3057</v>
      </c>
      <c r="D3092" s="709" t="s">
        <v>159</v>
      </c>
      <c r="E3092" s="716">
        <v>0</v>
      </c>
      <c r="F3092" s="717"/>
      <c r="G3092" t="e">
        <f>VLOOKUP(B3092,'SINAPI-%MO'!B:E,4,0)</f>
        <v>#N/A</v>
      </c>
      <c r="H3092" s="225" t="str">
        <f t="shared" si="48"/>
        <v/>
      </c>
    </row>
    <row r="3093" spans="1:8" x14ac:dyDescent="0.3">
      <c r="A3093" s="400"/>
      <c r="B3093" s="709">
        <v>98382</v>
      </c>
      <c r="C3093" s="710" t="s">
        <v>3058</v>
      </c>
      <c r="D3093" s="709" t="s">
        <v>159</v>
      </c>
      <c r="E3093" s="716">
        <v>0</v>
      </c>
      <c r="F3093" s="717"/>
      <c r="G3093" t="e">
        <f>VLOOKUP(B3093,'SINAPI-%MO'!B:E,4,0)</f>
        <v>#N/A</v>
      </c>
      <c r="H3093" s="225" t="str">
        <f t="shared" si="48"/>
        <v/>
      </c>
    </row>
    <row r="3094" spans="1:8" x14ac:dyDescent="0.3">
      <c r="A3094" s="400"/>
      <c r="B3094" s="709">
        <v>98383</v>
      </c>
      <c r="C3094" s="710" t="s">
        <v>3059</v>
      </c>
      <c r="D3094" s="709" t="s">
        <v>159</v>
      </c>
      <c r="E3094" s="716">
        <v>0</v>
      </c>
      <c r="F3094" s="717"/>
      <c r="G3094" t="e">
        <f>VLOOKUP(B3094,'SINAPI-%MO'!B:E,4,0)</f>
        <v>#N/A</v>
      </c>
      <c r="H3094" s="225" t="str">
        <f t="shared" si="48"/>
        <v/>
      </c>
    </row>
    <row r="3095" spans="1:8" x14ac:dyDescent="0.3">
      <c r="A3095" s="400"/>
      <c r="B3095" s="709">
        <v>98384</v>
      </c>
      <c r="C3095" s="710" t="s">
        <v>3060</v>
      </c>
      <c r="D3095" s="709" t="s">
        <v>159</v>
      </c>
      <c r="E3095" s="716">
        <v>0</v>
      </c>
      <c r="F3095" s="717"/>
      <c r="G3095" t="e">
        <f>VLOOKUP(B3095,'SINAPI-%MO'!B:E,4,0)</f>
        <v>#N/A</v>
      </c>
      <c r="H3095" s="225" t="str">
        <f t="shared" si="48"/>
        <v/>
      </c>
    </row>
    <row r="3096" spans="1:8" x14ac:dyDescent="0.3">
      <c r="A3096" s="400"/>
      <c r="B3096" s="709">
        <v>98385</v>
      </c>
      <c r="C3096" s="710" t="s">
        <v>3061</v>
      </c>
      <c r="D3096" s="709" t="s">
        <v>159</v>
      </c>
      <c r="E3096" s="716">
        <v>0</v>
      </c>
      <c r="F3096" s="717"/>
      <c r="G3096" t="e">
        <f>VLOOKUP(B3096,'SINAPI-%MO'!B:E,4,0)</f>
        <v>#N/A</v>
      </c>
      <c r="H3096" s="225" t="str">
        <f t="shared" si="48"/>
        <v/>
      </c>
    </row>
    <row r="3097" spans="1:8" x14ac:dyDescent="0.3">
      <c r="A3097" s="400"/>
      <c r="B3097" s="709">
        <v>98386</v>
      </c>
      <c r="C3097" s="710" t="s">
        <v>3062</v>
      </c>
      <c r="D3097" s="709" t="s">
        <v>159</v>
      </c>
      <c r="E3097" s="716">
        <v>0</v>
      </c>
      <c r="F3097" s="717"/>
      <c r="G3097" t="e">
        <f>VLOOKUP(B3097,'SINAPI-%MO'!B:E,4,0)</f>
        <v>#N/A</v>
      </c>
      <c r="H3097" s="225" t="str">
        <f t="shared" si="48"/>
        <v/>
      </c>
    </row>
    <row r="3098" spans="1:8" x14ac:dyDescent="0.3">
      <c r="A3098" s="400"/>
      <c r="B3098" s="709">
        <v>98387</v>
      </c>
      <c r="C3098" s="710" t="s">
        <v>3063</v>
      </c>
      <c r="D3098" s="709" t="s">
        <v>159</v>
      </c>
      <c r="E3098" s="716">
        <v>0</v>
      </c>
      <c r="F3098" s="717"/>
      <c r="G3098" t="e">
        <f>VLOOKUP(B3098,'SINAPI-%MO'!B:E,4,0)</f>
        <v>#N/A</v>
      </c>
      <c r="H3098" s="225" t="str">
        <f t="shared" si="48"/>
        <v/>
      </c>
    </row>
    <row r="3099" spans="1:8" x14ac:dyDescent="0.3">
      <c r="A3099" s="400"/>
      <c r="B3099" s="709">
        <v>98388</v>
      </c>
      <c r="C3099" s="710" t="s">
        <v>3064</v>
      </c>
      <c r="D3099" s="709" t="s">
        <v>159</v>
      </c>
      <c r="E3099" s="716">
        <v>0</v>
      </c>
      <c r="F3099" s="717"/>
      <c r="G3099" t="e">
        <f>VLOOKUP(B3099,'SINAPI-%MO'!B:E,4,0)</f>
        <v>#N/A</v>
      </c>
      <c r="H3099" s="225" t="str">
        <f t="shared" si="48"/>
        <v/>
      </c>
    </row>
    <row r="3100" spans="1:8" x14ac:dyDescent="0.3">
      <c r="A3100" s="400"/>
      <c r="B3100" s="709">
        <v>98346</v>
      </c>
      <c r="C3100" s="710" t="s">
        <v>3065</v>
      </c>
      <c r="D3100" s="709" t="s">
        <v>168</v>
      </c>
      <c r="E3100" s="716">
        <v>0</v>
      </c>
      <c r="F3100" s="717"/>
      <c r="G3100" t="e">
        <f>VLOOKUP(B3100,'SINAPI-%MO'!B:E,4,0)</f>
        <v>#N/A</v>
      </c>
      <c r="H3100" s="225" t="str">
        <f t="shared" si="48"/>
        <v/>
      </c>
    </row>
    <row r="3101" spans="1:8" x14ac:dyDescent="0.3">
      <c r="A3101" s="400"/>
      <c r="B3101" s="709">
        <v>98363</v>
      </c>
      <c r="C3101" s="710" t="s">
        <v>3066</v>
      </c>
      <c r="D3101" s="709" t="s">
        <v>168</v>
      </c>
      <c r="E3101" s="716">
        <v>0</v>
      </c>
      <c r="F3101" s="717"/>
      <c r="G3101" t="e">
        <f>VLOOKUP(B3101,'SINAPI-%MO'!B:E,4,0)</f>
        <v>#N/A</v>
      </c>
      <c r="H3101" s="225" t="str">
        <f t="shared" si="48"/>
        <v/>
      </c>
    </row>
    <row r="3102" spans="1:8" x14ac:dyDescent="0.3">
      <c r="A3102" s="400"/>
      <c r="B3102" s="709">
        <v>98354</v>
      </c>
      <c r="C3102" s="710" t="s">
        <v>3067</v>
      </c>
      <c r="D3102" s="709" t="s">
        <v>168</v>
      </c>
      <c r="E3102" s="716">
        <v>0</v>
      </c>
      <c r="F3102" s="717"/>
      <c r="G3102" t="e">
        <f>VLOOKUP(B3102,'SINAPI-%MO'!B:E,4,0)</f>
        <v>#N/A</v>
      </c>
      <c r="H3102" s="225" t="str">
        <f t="shared" si="48"/>
        <v/>
      </c>
    </row>
    <row r="3103" spans="1:8" x14ac:dyDescent="0.3">
      <c r="A3103" s="400"/>
      <c r="B3103" s="709">
        <v>98337</v>
      </c>
      <c r="C3103" s="710" t="s">
        <v>3068</v>
      </c>
      <c r="D3103" s="709" t="s">
        <v>168</v>
      </c>
      <c r="E3103" s="716">
        <v>0</v>
      </c>
      <c r="F3103" s="717"/>
      <c r="G3103" t="e">
        <f>VLOOKUP(B3103,'SINAPI-%MO'!B:E,4,0)</f>
        <v>#N/A</v>
      </c>
      <c r="H3103" s="225" t="str">
        <f t="shared" si="48"/>
        <v/>
      </c>
    </row>
    <row r="3104" spans="1:8" x14ac:dyDescent="0.3">
      <c r="A3104" s="400"/>
      <c r="B3104" s="709">
        <v>98345</v>
      </c>
      <c r="C3104" s="710" t="s">
        <v>3069</v>
      </c>
      <c r="D3104" s="709" t="s">
        <v>168</v>
      </c>
      <c r="E3104" s="716">
        <v>0</v>
      </c>
      <c r="F3104" s="717"/>
      <c r="G3104" t="e">
        <f>VLOOKUP(B3104,'SINAPI-%MO'!B:E,4,0)</f>
        <v>#N/A</v>
      </c>
      <c r="H3104" s="225" t="str">
        <f t="shared" si="48"/>
        <v/>
      </c>
    </row>
    <row r="3105" spans="1:8" x14ac:dyDescent="0.3">
      <c r="A3105" s="400"/>
      <c r="B3105" s="709">
        <v>98362</v>
      </c>
      <c r="C3105" s="710" t="s">
        <v>3070</v>
      </c>
      <c r="D3105" s="709" t="s">
        <v>168</v>
      </c>
      <c r="E3105" s="716">
        <v>0</v>
      </c>
      <c r="F3105" s="717"/>
      <c r="G3105" t="e">
        <f>VLOOKUP(B3105,'SINAPI-%MO'!B:E,4,0)</f>
        <v>#N/A</v>
      </c>
      <c r="H3105" s="225" t="str">
        <f t="shared" si="48"/>
        <v/>
      </c>
    </row>
    <row r="3106" spans="1:8" x14ac:dyDescent="0.3">
      <c r="A3106" s="400"/>
      <c r="B3106" s="709">
        <v>98403</v>
      </c>
      <c r="C3106" s="710" t="s">
        <v>3071</v>
      </c>
      <c r="D3106" s="709" t="s">
        <v>168</v>
      </c>
      <c r="E3106" s="716">
        <v>0</v>
      </c>
      <c r="F3106" s="717"/>
      <c r="G3106" t="e">
        <f>VLOOKUP(B3106,'SINAPI-%MO'!B:E,4,0)</f>
        <v>#N/A</v>
      </c>
      <c r="H3106" s="225" t="str">
        <f t="shared" si="48"/>
        <v/>
      </c>
    </row>
    <row r="3107" spans="1:8" x14ac:dyDescent="0.3">
      <c r="A3107" s="400"/>
      <c r="B3107" s="709">
        <v>98335</v>
      </c>
      <c r="C3107" s="710" t="s">
        <v>3072</v>
      </c>
      <c r="D3107" s="709" t="s">
        <v>168</v>
      </c>
      <c r="E3107" s="716">
        <v>0</v>
      </c>
      <c r="F3107" s="717"/>
      <c r="G3107" t="e">
        <f>VLOOKUP(B3107,'SINAPI-%MO'!B:E,4,0)</f>
        <v>#N/A</v>
      </c>
      <c r="H3107" s="225" t="str">
        <f t="shared" si="48"/>
        <v/>
      </c>
    </row>
    <row r="3108" spans="1:8" x14ac:dyDescent="0.3">
      <c r="A3108" s="400"/>
      <c r="B3108" s="709">
        <v>98344</v>
      </c>
      <c r="C3108" s="710" t="s">
        <v>3073</v>
      </c>
      <c r="D3108" s="709" t="s">
        <v>168</v>
      </c>
      <c r="E3108" s="716">
        <v>0</v>
      </c>
      <c r="F3108" s="717"/>
      <c r="G3108" t="e">
        <f>VLOOKUP(B3108,'SINAPI-%MO'!B:E,4,0)</f>
        <v>#N/A</v>
      </c>
      <c r="H3108" s="225" t="str">
        <f t="shared" si="48"/>
        <v/>
      </c>
    </row>
    <row r="3109" spans="1:8" x14ac:dyDescent="0.3">
      <c r="A3109" s="400"/>
      <c r="B3109" s="709">
        <v>98361</v>
      </c>
      <c r="C3109" s="710" t="s">
        <v>3074</v>
      </c>
      <c r="D3109" s="709" t="s">
        <v>168</v>
      </c>
      <c r="E3109" s="716">
        <v>0</v>
      </c>
      <c r="F3109" s="717"/>
      <c r="G3109" t="e">
        <f>VLOOKUP(B3109,'SINAPI-%MO'!B:E,4,0)</f>
        <v>#N/A</v>
      </c>
      <c r="H3109" s="225" t="str">
        <f t="shared" si="48"/>
        <v/>
      </c>
    </row>
    <row r="3110" spans="1:8" x14ac:dyDescent="0.3">
      <c r="A3110" s="400"/>
      <c r="B3110" s="709">
        <v>98353</v>
      </c>
      <c r="C3110" s="710" t="s">
        <v>3075</v>
      </c>
      <c r="D3110" s="709" t="s">
        <v>168</v>
      </c>
      <c r="E3110" s="716">
        <v>0</v>
      </c>
      <c r="F3110" s="717"/>
      <c r="G3110" t="e">
        <f>VLOOKUP(B3110,'SINAPI-%MO'!B:E,4,0)</f>
        <v>#N/A</v>
      </c>
      <c r="H3110" s="225" t="str">
        <f t="shared" si="48"/>
        <v/>
      </c>
    </row>
    <row r="3111" spans="1:8" x14ac:dyDescent="0.3">
      <c r="A3111" s="400"/>
      <c r="B3111" s="709">
        <v>98334</v>
      </c>
      <c r="C3111" s="710" t="s">
        <v>3076</v>
      </c>
      <c r="D3111" s="709" t="s">
        <v>168</v>
      </c>
      <c r="E3111" s="716">
        <v>0</v>
      </c>
      <c r="F3111" s="717"/>
      <c r="G3111" t="e">
        <f>VLOOKUP(B3111,'SINAPI-%MO'!B:E,4,0)</f>
        <v>#N/A</v>
      </c>
      <c r="H3111" s="225" t="str">
        <f t="shared" si="48"/>
        <v/>
      </c>
    </row>
    <row r="3112" spans="1:8" x14ac:dyDescent="0.3">
      <c r="A3112" s="400"/>
      <c r="B3112" s="709">
        <v>98371</v>
      </c>
      <c r="C3112" s="710" t="s">
        <v>3077</v>
      </c>
      <c r="D3112" s="709" t="s">
        <v>168</v>
      </c>
      <c r="E3112" s="716">
        <v>0</v>
      </c>
      <c r="F3112" s="717"/>
      <c r="G3112" t="e">
        <f>VLOOKUP(B3112,'SINAPI-%MO'!B:E,4,0)</f>
        <v>#N/A</v>
      </c>
      <c r="H3112" s="225" t="str">
        <f t="shared" si="48"/>
        <v/>
      </c>
    </row>
    <row r="3113" spans="1:8" x14ac:dyDescent="0.3">
      <c r="A3113" s="400"/>
      <c r="B3113" s="709">
        <v>98397</v>
      </c>
      <c r="C3113" s="710" t="s">
        <v>3078</v>
      </c>
      <c r="D3113" s="709" t="s">
        <v>168</v>
      </c>
      <c r="E3113" s="716">
        <v>14.33</v>
      </c>
      <c r="F3113" s="717">
        <v>0</v>
      </c>
      <c r="G3113">
        <f>VLOOKUP(B3113,'SINAPI-%MO'!B:E,4,0)</f>
        <v>0.63149999999999995</v>
      </c>
      <c r="H3113" s="225">
        <f t="shared" si="48"/>
        <v>5.28</v>
      </c>
    </row>
    <row r="3114" spans="1:8" x14ac:dyDescent="0.3">
      <c r="A3114" s="400"/>
      <c r="B3114" s="709">
        <v>97280</v>
      </c>
      <c r="C3114" s="710" t="s">
        <v>3079</v>
      </c>
      <c r="D3114" s="709" t="s">
        <v>136</v>
      </c>
      <c r="E3114" s="716">
        <v>51.95</v>
      </c>
      <c r="F3114" s="717">
        <v>0.20669999999999999</v>
      </c>
      <c r="G3114">
        <f>VLOOKUP(B3114,'SINAPI-%MO'!B:E,4,0)</f>
        <v>0.44080000000000003</v>
      </c>
      <c r="H3114" s="225">
        <f t="shared" si="48"/>
        <v>29.05</v>
      </c>
    </row>
    <row r="3115" spans="1:8" x14ac:dyDescent="0.3">
      <c r="A3115" s="400"/>
      <c r="B3115" s="709">
        <v>97275</v>
      </c>
      <c r="C3115" s="710" t="s">
        <v>3080</v>
      </c>
      <c r="D3115" s="709" t="s">
        <v>136</v>
      </c>
      <c r="E3115" s="716">
        <v>40.520000000000003</v>
      </c>
      <c r="F3115" s="717">
        <v>0.2651</v>
      </c>
      <c r="G3115">
        <f>VLOOKUP(B3115,'SINAPI-%MO'!B:E,4,0)</f>
        <v>0.41510000000000002</v>
      </c>
      <c r="H3115" s="225">
        <f t="shared" si="48"/>
        <v>23.7</v>
      </c>
    </row>
    <row r="3116" spans="1:8" x14ac:dyDescent="0.3">
      <c r="A3116" s="400"/>
      <c r="B3116" s="709">
        <v>97279</v>
      </c>
      <c r="C3116" s="710" t="s">
        <v>3081</v>
      </c>
      <c r="D3116" s="709" t="s">
        <v>136</v>
      </c>
      <c r="E3116" s="716">
        <v>45.4</v>
      </c>
      <c r="F3116" s="717">
        <v>0.2366</v>
      </c>
      <c r="G3116">
        <f>VLOOKUP(B3116,'SINAPI-%MO'!B:E,4,0)</f>
        <v>0.43769999999999998</v>
      </c>
      <c r="H3116" s="225">
        <f t="shared" si="48"/>
        <v>25.52</v>
      </c>
    </row>
    <row r="3117" spans="1:8" x14ac:dyDescent="0.3">
      <c r="A3117" s="400"/>
      <c r="B3117" s="709">
        <v>97285</v>
      </c>
      <c r="C3117" s="710" t="s">
        <v>3082</v>
      </c>
      <c r="D3117" s="709" t="s">
        <v>136</v>
      </c>
      <c r="E3117" s="716">
        <v>55.94</v>
      </c>
      <c r="F3117" s="717">
        <v>0.192</v>
      </c>
      <c r="G3117">
        <f>VLOOKUP(B3117,'SINAPI-%MO'!B:E,4,0)</f>
        <v>0.4637</v>
      </c>
      <c r="H3117" s="225">
        <f t="shared" si="48"/>
        <v>30</v>
      </c>
    </row>
    <row r="3118" spans="1:8" x14ac:dyDescent="0.3">
      <c r="A3118" s="400"/>
      <c r="B3118" s="709">
        <v>97286</v>
      </c>
      <c r="C3118" s="710" t="s">
        <v>3083</v>
      </c>
      <c r="D3118" s="709" t="s">
        <v>136</v>
      </c>
      <c r="E3118" s="716">
        <v>61.23</v>
      </c>
      <c r="F3118" s="717">
        <v>0.1754</v>
      </c>
      <c r="G3118">
        <f>VLOOKUP(B3118,'SINAPI-%MO'!B:E,4,0)</f>
        <v>0.4733</v>
      </c>
      <c r="H3118" s="225">
        <f t="shared" si="48"/>
        <v>32.24</v>
      </c>
    </row>
    <row r="3119" spans="1:8" x14ac:dyDescent="0.3">
      <c r="A3119" s="400"/>
      <c r="B3119" s="709">
        <v>97291</v>
      </c>
      <c r="C3119" s="710" t="s">
        <v>3084</v>
      </c>
      <c r="D3119" s="709" t="s">
        <v>136</v>
      </c>
      <c r="E3119" s="716">
        <v>74.92</v>
      </c>
      <c r="F3119" s="717">
        <v>0.1434</v>
      </c>
      <c r="G3119">
        <f>VLOOKUP(B3119,'SINAPI-%MO'!B:E,4,0)</f>
        <v>0.46779999999999999</v>
      </c>
      <c r="H3119" s="225">
        <f t="shared" si="48"/>
        <v>39.869999999999997</v>
      </c>
    </row>
    <row r="3120" spans="1:8" x14ac:dyDescent="0.3">
      <c r="A3120" s="400"/>
      <c r="B3120" s="709">
        <v>97292</v>
      </c>
      <c r="C3120" s="710" t="s">
        <v>3085</v>
      </c>
      <c r="D3120" s="709" t="s">
        <v>136</v>
      </c>
      <c r="E3120" s="716">
        <v>87.71</v>
      </c>
      <c r="F3120" s="717">
        <v>0.12239999999999999</v>
      </c>
      <c r="G3120">
        <f>VLOOKUP(B3120,'SINAPI-%MO'!B:E,4,0)</f>
        <v>0.46879999999999999</v>
      </c>
      <c r="H3120" s="225">
        <f t="shared" si="48"/>
        <v>46.59</v>
      </c>
    </row>
    <row r="3121" spans="1:8" x14ac:dyDescent="0.3">
      <c r="A3121" s="400"/>
      <c r="B3121" s="709">
        <v>97297</v>
      </c>
      <c r="C3121" s="710" t="s">
        <v>3086</v>
      </c>
      <c r="D3121" s="709" t="s">
        <v>136</v>
      </c>
      <c r="E3121" s="716">
        <v>112.54</v>
      </c>
      <c r="F3121" s="717">
        <v>9.5399999999999999E-2</v>
      </c>
      <c r="G3121">
        <f>VLOOKUP(B3121,'SINAPI-%MO'!B:E,4,0)</f>
        <v>0.41930000000000001</v>
      </c>
      <c r="H3121" s="225">
        <f t="shared" si="48"/>
        <v>65.349999999999994</v>
      </c>
    </row>
    <row r="3122" spans="1:8" x14ac:dyDescent="0.3">
      <c r="A3122" s="400"/>
      <c r="B3122" s="709">
        <v>97298</v>
      </c>
      <c r="C3122" s="710" t="s">
        <v>3087</v>
      </c>
      <c r="D3122" s="709" t="s">
        <v>136</v>
      </c>
      <c r="E3122" s="716">
        <v>147.97</v>
      </c>
      <c r="F3122" s="717">
        <v>7.2599999999999998E-2</v>
      </c>
      <c r="G3122">
        <f>VLOOKUP(B3122,'SINAPI-%MO'!B:E,4,0)</f>
        <v>0.40100000000000002</v>
      </c>
      <c r="H3122" s="225">
        <f t="shared" si="48"/>
        <v>88.63</v>
      </c>
    </row>
    <row r="3123" spans="1:8" x14ac:dyDescent="0.3">
      <c r="A3123" s="400"/>
      <c r="B3123" s="709">
        <v>97303</v>
      </c>
      <c r="C3123" s="710" t="s">
        <v>3088</v>
      </c>
      <c r="D3123" s="709" t="s">
        <v>136</v>
      </c>
      <c r="E3123" s="716">
        <v>196.57</v>
      </c>
      <c r="F3123" s="717">
        <v>5.4600000000000003E-2</v>
      </c>
      <c r="G3123">
        <f>VLOOKUP(B3123,'SINAPI-%MO'!B:E,4,0)</f>
        <v>0.36370000000000002</v>
      </c>
      <c r="H3123" s="225">
        <f t="shared" si="48"/>
        <v>125.07</v>
      </c>
    </row>
    <row r="3124" spans="1:8" x14ac:dyDescent="0.3">
      <c r="A3124" s="400"/>
      <c r="B3124" s="709">
        <v>97304</v>
      </c>
      <c r="C3124" s="710" t="s">
        <v>3089</v>
      </c>
      <c r="D3124" s="709" t="s">
        <v>136</v>
      </c>
      <c r="E3124" s="716">
        <v>253.7</v>
      </c>
      <c r="F3124" s="717">
        <v>4.2299999999999997E-2</v>
      </c>
      <c r="G3124">
        <f>VLOOKUP(B3124,'SINAPI-%MO'!B:E,4,0)</f>
        <v>0.3296</v>
      </c>
      <c r="H3124" s="225">
        <f t="shared" si="48"/>
        <v>170.08</v>
      </c>
    </row>
    <row r="3125" spans="1:8" x14ac:dyDescent="0.3">
      <c r="A3125" s="400"/>
      <c r="B3125" s="709">
        <v>97309</v>
      </c>
      <c r="C3125" s="710" t="s">
        <v>3090</v>
      </c>
      <c r="D3125" s="709" t="s">
        <v>136</v>
      </c>
      <c r="E3125" s="716">
        <v>388.84</v>
      </c>
      <c r="F3125" s="717">
        <v>2.76E-2</v>
      </c>
      <c r="G3125">
        <f>VLOOKUP(B3125,'SINAPI-%MO'!B:E,4,0)</f>
        <v>0.24629999999999999</v>
      </c>
      <c r="H3125" s="225">
        <f t="shared" si="48"/>
        <v>293.06</v>
      </c>
    </row>
    <row r="3126" spans="1:8" x14ac:dyDescent="0.3">
      <c r="A3126" s="400"/>
      <c r="B3126" s="709">
        <v>97310</v>
      </c>
      <c r="C3126" s="710" t="s">
        <v>3091</v>
      </c>
      <c r="D3126" s="709" t="s">
        <v>136</v>
      </c>
      <c r="E3126" s="716">
        <v>468.44</v>
      </c>
      <c r="F3126" s="717">
        <v>2.29E-2</v>
      </c>
      <c r="G3126">
        <f>VLOOKUP(B3126,'SINAPI-%MO'!B:E,4,0)</f>
        <v>0.23039999999999999</v>
      </c>
      <c r="H3126" s="225">
        <f t="shared" si="48"/>
        <v>360.51</v>
      </c>
    </row>
    <row r="3127" spans="1:8" x14ac:dyDescent="0.3">
      <c r="A3127" s="400"/>
      <c r="B3127" s="709">
        <v>97282</v>
      </c>
      <c r="C3127" s="710" t="s">
        <v>3092</v>
      </c>
      <c r="D3127" s="709" t="s">
        <v>136</v>
      </c>
      <c r="E3127" s="716">
        <v>51.95</v>
      </c>
      <c r="F3127" s="717">
        <v>0.20669999999999999</v>
      </c>
      <c r="G3127">
        <f>VLOOKUP(B3127,'SINAPI-%MO'!B:E,4,0)</f>
        <v>0.44080000000000003</v>
      </c>
      <c r="H3127" s="225">
        <f t="shared" si="48"/>
        <v>29.05</v>
      </c>
    </row>
    <row r="3128" spans="1:8" x14ac:dyDescent="0.3">
      <c r="A3128" s="400"/>
      <c r="B3128" s="709">
        <v>97276</v>
      </c>
      <c r="C3128" s="710" t="s">
        <v>3093</v>
      </c>
      <c r="D3128" s="709" t="s">
        <v>136</v>
      </c>
      <c r="E3128" s="716">
        <v>41.77</v>
      </c>
      <c r="F3128" s="717">
        <v>0.2571</v>
      </c>
      <c r="G3128">
        <f>VLOOKUP(B3128,'SINAPI-%MO'!B:E,4,0)</f>
        <v>0.4027</v>
      </c>
      <c r="H3128" s="225">
        <f t="shared" si="48"/>
        <v>24.94</v>
      </c>
    </row>
    <row r="3129" spans="1:8" x14ac:dyDescent="0.3">
      <c r="A3129" s="400"/>
      <c r="B3129" s="709">
        <v>97281</v>
      </c>
      <c r="C3129" s="710" t="s">
        <v>3094</v>
      </c>
      <c r="D3129" s="709" t="s">
        <v>136</v>
      </c>
      <c r="E3129" s="716">
        <v>45.91</v>
      </c>
      <c r="F3129" s="717">
        <v>0.2339</v>
      </c>
      <c r="G3129">
        <f>VLOOKUP(B3129,'SINAPI-%MO'!B:E,4,0)</f>
        <v>0.43280000000000002</v>
      </c>
      <c r="H3129" s="225">
        <f t="shared" si="48"/>
        <v>26.04</v>
      </c>
    </row>
    <row r="3130" spans="1:8" x14ac:dyDescent="0.3">
      <c r="A3130" s="400"/>
      <c r="B3130" s="709">
        <v>97287</v>
      </c>
      <c r="C3130" s="710" t="s">
        <v>3095</v>
      </c>
      <c r="D3130" s="709" t="s">
        <v>136</v>
      </c>
      <c r="E3130" s="716">
        <v>56.5</v>
      </c>
      <c r="F3130" s="717">
        <v>0.19009999999999999</v>
      </c>
      <c r="G3130">
        <f>VLOOKUP(B3130,'SINAPI-%MO'!B:E,4,0)</f>
        <v>0.45910000000000001</v>
      </c>
      <c r="H3130" s="225">
        <f t="shared" si="48"/>
        <v>30.56</v>
      </c>
    </row>
    <row r="3131" spans="1:8" x14ac:dyDescent="0.3">
      <c r="A3131" s="400"/>
      <c r="B3131" s="709">
        <v>97288</v>
      </c>
      <c r="C3131" s="710" t="s">
        <v>3096</v>
      </c>
      <c r="D3131" s="709" t="s">
        <v>136</v>
      </c>
      <c r="E3131" s="716">
        <v>65.069999999999993</v>
      </c>
      <c r="F3131" s="717">
        <v>0.1651</v>
      </c>
      <c r="G3131">
        <f>VLOOKUP(B3131,'SINAPI-%MO'!B:E,4,0)</f>
        <v>0.44540000000000002</v>
      </c>
      <c r="H3131" s="225">
        <f t="shared" si="48"/>
        <v>36.08</v>
      </c>
    </row>
    <row r="3132" spans="1:8" x14ac:dyDescent="0.3">
      <c r="A3132" s="400"/>
      <c r="B3132" s="709">
        <v>97293</v>
      </c>
      <c r="C3132" s="710" t="s">
        <v>3097</v>
      </c>
      <c r="D3132" s="709" t="s">
        <v>136</v>
      </c>
      <c r="E3132" s="716">
        <v>74.92</v>
      </c>
      <c r="F3132" s="717">
        <v>0.1434</v>
      </c>
      <c r="G3132">
        <f>VLOOKUP(B3132,'SINAPI-%MO'!B:E,4,0)</f>
        <v>0.46779999999999999</v>
      </c>
      <c r="H3132" s="225">
        <f t="shared" si="48"/>
        <v>39.869999999999997</v>
      </c>
    </row>
    <row r="3133" spans="1:8" x14ac:dyDescent="0.3">
      <c r="A3133" s="400"/>
      <c r="B3133" s="709">
        <v>97294</v>
      </c>
      <c r="C3133" s="710" t="s">
        <v>3098</v>
      </c>
      <c r="D3133" s="709" t="s">
        <v>136</v>
      </c>
      <c r="E3133" s="716">
        <v>87.71</v>
      </c>
      <c r="F3133" s="717">
        <v>0.12239999999999999</v>
      </c>
      <c r="G3133">
        <f>VLOOKUP(B3133,'SINAPI-%MO'!B:E,4,0)</f>
        <v>0.46879999999999999</v>
      </c>
      <c r="H3133" s="225">
        <f t="shared" si="48"/>
        <v>46.59</v>
      </c>
    </row>
    <row r="3134" spans="1:8" x14ac:dyDescent="0.3">
      <c r="A3134" s="400"/>
      <c r="B3134" s="709">
        <v>97299</v>
      </c>
      <c r="C3134" s="710" t="s">
        <v>3099</v>
      </c>
      <c r="D3134" s="709" t="s">
        <v>136</v>
      </c>
      <c r="E3134" s="716">
        <v>112.54</v>
      </c>
      <c r="F3134" s="717">
        <v>9.5399999999999999E-2</v>
      </c>
      <c r="G3134">
        <f>VLOOKUP(B3134,'SINAPI-%MO'!B:E,4,0)</f>
        <v>0.41930000000000001</v>
      </c>
      <c r="H3134" s="225">
        <f t="shared" si="48"/>
        <v>65.349999999999994</v>
      </c>
    </row>
    <row r="3135" spans="1:8" x14ac:dyDescent="0.3">
      <c r="A3135" s="400"/>
      <c r="B3135" s="709">
        <v>97300</v>
      </c>
      <c r="C3135" s="710" t="s">
        <v>3100</v>
      </c>
      <c r="D3135" s="709" t="s">
        <v>136</v>
      </c>
      <c r="E3135" s="716">
        <v>147.97</v>
      </c>
      <c r="F3135" s="717">
        <v>7.2599999999999998E-2</v>
      </c>
      <c r="G3135">
        <f>VLOOKUP(B3135,'SINAPI-%MO'!B:E,4,0)</f>
        <v>0.40100000000000002</v>
      </c>
      <c r="H3135" s="225">
        <f t="shared" si="48"/>
        <v>88.63</v>
      </c>
    </row>
    <row r="3136" spans="1:8" x14ac:dyDescent="0.3">
      <c r="A3136" s="400"/>
      <c r="B3136" s="709">
        <v>97305</v>
      </c>
      <c r="C3136" s="710" t="s">
        <v>3101</v>
      </c>
      <c r="D3136" s="709" t="s">
        <v>136</v>
      </c>
      <c r="E3136" s="716">
        <v>189.29</v>
      </c>
      <c r="F3136" s="717">
        <v>5.67E-2</v>
      </c>
      <c r="G3136">
        <f>VLOOKUP(B3136,'SINAPI-%MO'!B:E,4,0)</f>
        <v>0.37769999999999998</v>
      </c>
      <c r="H3136" s="225">
        <f t="shared" si="48"/>
        <v>117.79</v>
      </c>
    </row>
    <row r="3137" spans="1:8" x14ac:dyDescent="0.3">
      <c r="A3137" s="400"/>
      <c r="B3137" s="709">
        <v>97306</v>
      </c>
      <c r="C3137" s="710" t="s">
        <v>3102</v>
      </c>
      <c r="D3137" s="709" t="s">
        <v>136</v>
      </c>
      <c r="E3137" s="716">
        <v>269.48</v>
      </c>
      <c r="F3137" s="717">
        <v>3.9899999999999998E-2</v>
      </c>
      <c r="G3137">
        <f>VLOOKUP(B3137,'SINAPI-%MO'!B:E,4,0)</f>
        <v>0.31030000000000002</v>
      </c>
      <c r="H3137" s="225">
        <f t="shared" si="48"/>
        <v>185.86</v>
      </c>
    </row>
    <row r="3138" spans="1:8" x14ac:dyDescent="0.3">
      <c r="A3138" s="400"/>
      <c r="B3138" s="709">
        <v>97311</v>
      </c>
      <c r="C3138" s="710" t="s">
        <v>3103</v>
      </c>
      <c r="D3138" s="709" t="s">
        <v>136</v>
      </c>
      <c r="E3138" s="716">
        <v>340.77</v>
      </c>
      <c r="F3138" s="717">
        <v>3.15E-2</v>
      </c>
      <c r="G3138">
        <f>VLOOKUP(B3138,'SINAPI-%MO'!B:E,4,0)</f>
        <v>0.28110000000000002</v>
      </c>
      <c r="H3138" s="225">
        <f t="shared" si="48"/>
        <v>244.97</v>
      </c>
    </row>
    <row r="3139" spans="1:8" x14ac:dyDescent="0.3">
      <c r="A3139" s="400"/>
      <c r="B3139" s="709">
        <v>97312</v>
      </c>
      <c r="C3139" s="710" t="s">
        <v>3104</v>
      </c>
      <c r="D3139" s="709" t="s">
        <v>136</v>
      </c>
      <c r="E3139" s="716">
        <v>468.44</v>
      </c>
      <c r="F3139" s="717">
        <v>2.29E-2</v>
      </c>
      <c r="G3139">
        <f>VLOOKUP(B3139,'SINAPI-%MO'!B:E,4,0)</f>
        <v>0.23039999999999999</v>
      </c>
      <c r="H3139" s="225">
        <f t="shared" si="48"/>
        <v>360.51</v>
      </c>
    </row>
    <row r="3140" spans="1:8" x14ac:dyDescent="0.3">
      <c r="A3140" s="400"/>
      <c r="B3140" s="709">
        <v>97278</v>
      </c>
      <c r="C3140" s="710" t="s">
        <v>3105</v>
      </c>
      <c r="D3140" s="709" t="s">
        <v>136</v>
      </c>
      <c r="E3140" s="716">
        <v>56.65</v>
      </c>
      <c r="F3140" s="717">
        <v>0.18959999999999999</v>
      </c>
      <c r="G3140">
        <f>VLOOKUP(B3140,'SINAPI-%MO'!B:E,4,0)</f>
        <v>0.4042</v>
      </c>
      <c r="H3140" s="225">
        <f t="shared" si="48"/>
        <v>33.75</v>
      </c>
    </row>
    <row r="3141" spans="1:8" x14ac:dyDescent="0.3">
      <c r="A3141" s="400"/>
      <c r="B3141" s="709">
        <v>97274</v>
      </c>
      <c r="C3141" s="710" t="s">
        <v>3106</v>
      </c>
      <c r="D3141" s="709" t="s">
        <v>136</v>
      </c>
      <c r="E3141" s="716">
        <v>44.54</v>
      </c>
      <c r="F3141" s="717">
        <v>0.24110000000000001</v>
      </c>
      <c r="G3141">
        <f>VLOOKUP(B3141,'SINAPI-%MO'!B:E,4,0)</f>
        <v>0.37759999999999999</v>
      </c>
      <c r="H3141" s="225">
        <f t="shared" si="48"/>
        <v>27.72</v>
      </c>
    </row>
    <row r="3142" spans="1:8" x14ac:dyDescent="0.3">
      <c r="A3142" s="400"/>
      <c r="B3142" s="709">
        <v>97283</v>
      </c>
      <c r="C3142" s="710" t="s">
        <v>3107</v>
      </c>
      <c r="D3142" s="709" t="s">
        <v>136</v>
      </c>
      <c r="E3142" s="716">
        <v>59.09</v>
      </c>
      <c r="F3142" s="717">
        <v>0.18179999999999999</v>
      </c>
      <c r="G3142">
        <f>VLOOKUP(B3142,'SINAPI-%MO'!B:E,4,0)</f>
        <v>0.439</v>
      </c>
      <c r="H3142" s="225">
        <f t="shared" si="48"/>
        <v>33.14</v>
      </c>
    </row>
    <row r="3143" spans="1:8" x14ac:dyDescent="0.3">
      <c r="A3143" s="400"/>
      <c r="B3143" s="709">
        <v>97284</v>
      </c>
      <c r="C3143" s="710" t="s">
        <v>3108</v>
      </c>
      <c r="D3143" s="709" t="s">
        <v>136</v>
      </c>
      <c r="E3143" s="716">
        <v>74.010000000000005</v>
      </c>
      <c r="F3143" s="717">
        <v>0.14510000000000001</v>
      </c>
      <c r="G3143">
        <f>VLOOKUP(B3143,'SINAPI-%MO'!B:E,4,0)</f>
        <v>0.3916</v>
      </c>
      <c r="H3143" s="225">
        <f t="shared" si="48"/>
        <v>45.02</v>
      </c>
    </row>
    <row r="3144" spans="1:8" x14ac:dyDescent="0.3">
      <c r="A3144" s="400"/>
      <c r="B3144" s="709">
        <v>97289</v>
      </c>
      <c r="C3144" s="710" t="s">
        <v>3109</v>
      </c>
      <c r="D3144" s="709" t="s">
        <v>136</v>
      </c>
      <c r="E3144" s="716">
        <v>90.38</v>
      </c>
      <c r="F3144" s="717">
        <v>0.1188</v>
      </c>
      <c r="G3144">
        <f>VLOOKUP(B3144,'SINAPI-%MO'!B:E,4,0)</f>
        <v>0.38779999999999998</v>
      </c>
      <c r="H3144" s="225">
        <f t="shared" si="48"/>
        <v>55.33</v>
      </c>
    </row>
    <row r="3145" spans="1:8" x14ac:dyDescent="0.3">
      <c r="A3145" s="400"/>
      <c r="B3145" s="709">
        <v>97290</v>
      </c>
      <c r="C3145" s="710" t="s">
        <v>3110</v>
      </c>
      <c r="D3145" s="709" t="s">
        <v>136</v>
      </c>
      <c r="E3145" s="716">
        <v>93.46</v>
      </c>
      <c r="F3145" s="717">
        <v>0.1149</v>
      </c>
      <c r="G3145">
        <f>VLOOKUP(B3145,'SINAPI-%MO'!B:E,4,0)</f>
        <v>0.44</v>
      </c>
      <c r="H3145" s="225">
        <f t="shared" si="48"/>
        <v>52.33</v>
      </c>
    </row>
    <row r="3146" spans="1:8" x14ac:dyDescent="0.3">
      <c r="A3146" s="400"/>
      <c r="B3146" s="709">
        <v>97295</v>
      </c>
      <c r="C3146" s="710" t="s">
        <v>3111</v>
      </c>
      <c r="D3146" s="709" t="s">
        <v>136</v>
      </c>
      <c r="E3146" s="716">
        <v>128.84</v>
      </c>
      <c r="F3146" s="717">
        <v>8.3400000000000002E-2</v>
      </c>
      <c r="G3146">
        <f>VLOOKUP(B3146,'SINAPI-%MO'!B:E,4,0)</f>
        <v>0.36630000000000001</v>
      </c>
      <c r="H3146" s="225">
        <f t="shared" si="48"/>
        <v>81.64</v>
      </c>
    </row>
    <row r="3147" spans="1:8" x14ac:dyDescent="0.3">
      <c r="A3147" s="400"/>
      <c r="B3147" s="709">
        <v>97296</v>
      </c>
      <c r="C3147" s="710" t="s">
        <v>3112</v>
      </c>
      <c r="D3147" s="709" t="s">
        <v>136</v>
      </c>
      <c r="E3147" s="716">
        <v>168.42</v>
      </c>
      <c r="F3147" s="717">
        <v>6.3799999999999996E-2</v>
      </c>
      <c r="G3147">
        <f>VLOOKUP(B3147,'SINAPI-%MO'!B:E,4,0)</f>
        <v>0.3523</v>
      </c>
      <c r="H3147" s="225">
        <f t="shared" ref="H3147:H3210" si="49">IF(E3147&gt;0,TRUNC(E3147*(1-G3147),2),"")</f>
        <v>109.08</v>
      </c>
    </row>
    <row r="3148" spans="1:8" x14ac:dyDescent="0.3">
      <c r="A3148" s="400"/>
      <c r="B3148" s="709">
        <v>97301</v>
      </c>
      <c r="C3148" s="710" t="s">
        <v>3113</v>
      </c>
      <c r="D3148" s="709" t="s">
        <v>136</v>
      </c>
      <c r="E3148" s="716">
        <v>233.4</v>
      </c>
      <c r="F3148" s="717">
        <v>4.5999999999999999E-2</v>
      </c>
      <c r="G3148">
        <f>VLOOKUP(B3148,'SINAPI-%MO'!B:E,4,0)</f>
        <v>0.30630000000000002</v>
      </c>
      <c r="H3148" s="225">
        <f t="shared" si="49"/>
        <v>161.9</v>
      </c>
    </row>
    <row r="3149" spans="1:8" x14ac:dyDescent="0.3">
      <c r="A3149" s="400"/>
      <c r="B3149" s="709">
        <v>97302</v>
      </c>
      <c r="C3149" s="710" t="s">
        <v>3114</v>
      </c>
      <c r="D3149" s="709" t="s">
        <v>136</v>
      </c>
      <c r="E3149" s="716">
        <v>285.14999999999998</v>
      </c>
      <c r="F3149" s="717">
        <v>3.7699999999999997E-2</v>
      </c>
      <c r="G3149">
        <f>VLOOKUP(B3149,'SINAPI-%MO'!B:E,4,0)</f>
        <v>0.29330000000000001</v>
      </c>
      <c r="H3149" s="225">
        <f t="shared" si="49"/>
        <v>201.51</v>
      </c>
    </row>
    <row r="3150" spans="1:8" x14ac:dyDescent="0.3">
      <c r="A3150" s="400"/>
      <c r="B3150" s="709">
        <v>97307</v>
      </c>
      <c r="C3150" s="710" t="s">
        <v>3115</v>
      </c>
      <c r="D3150" s="709" t="s">
        <v>136</v>
      </c>
      <c r="E3150" s="716">
        <v>384.04</v>
      </c>
      <c r="F3150" s="717">
        <v>2.8000000000000001E-2</v>
      </c>
      <c r="G3150">
        <f>VLOOKUP(B3150,'SINAPI-%MO'!B:E,4,0)</f>
        <v>0.24940000000000001</v>
      </c>
      <c r="H3150" s="225">
        <f t="shared" si="49"/>
        <v>288.26</v>
      </c>
    </row>
    <row r="3151" spans="1:8" x14ac:dyDescent="0.3">
      <c r="A3151" s="400"/>
      <c r="B3151" s="709">
        <v>97277</v>
      </c>
      <c r="C3151" s="710" t="s">
        <v>3116</v>
      </c>
      <c r="D3151" s="709" t="s">
        <v>136</v>
      </c>
      <c r="E3151" s="716">
        <v>50.35</v>
      </c>
      <c r="F3151" s="717">
        <v>0.21329999999999999</v>
      </c>
      <c r="G3151">
        <f>VLOOKUP(B3151,'SINAPI-%MO'!B:E,4,0)</f>
        <v>0.39460000000000001</v>
      </c>
      <c r="H3151" s="225">
        <f t="shared" si="49"/>
        <v>30.48</v>
      </c>
    </row>
    <row r="3152" spans="1:8" x14ac:dyDescent="0.3">
      <c r="A3152" s="400"/>
      <c r="B3152" s="709">
        <v>97308</v>
      </c>
      <c r="C3152" s="710" t="s">
        <v>3117</v>
      </c>
      <c r="D3152" s="709" t="s">
        <v>136</v>
      </c>
      <c r="E3152" s="716">
        <v>444.59</v>
      </c>
      <c r="F3152" s="717">
        <v>2.4199999999999999E-2</v>
      </c>
      <c r="G3152">
        <f>VLOOKUP(B3152,'SINAPI-%MO'!B:E,4,0)</f>
        <v>0.2427</v>
      </c>
      <c r="H3152" s="225">
        <f t="shared" si="49"/>
        <v>336.68</v>
      </c>
    </row>
    <row r="3153" spans="1:8" x14ac:dyDescent="0.3">
      <c r="A3153" s="400"/>
      <c r="B3153" s="709">
        <v>97238</v>
      </c>
      <c r="C3153" s="710" t="s">
        <v>3118</v>
      </c>
      <c r="D3153" s="709" t="s">
        <v>159</v>
      </c>
      <c r="E3153" s="716">
        <v>90.81</v>
      </c>
      <c r="F3153" s="717">
        <v>0.1789</v>
      </c>
      <c r="G3153">
        <f>VLOOKUP(B3153,'SINAPI-%MO'!B:E,4,0)</f>
        <v>0.42920000000000003</v>
      </c>
      <c r="H3153" s="225">
        <f t="shared" si="49"/>
        <v>51.83</v>
      </c>
    </row>
    <row r="3154" spans="1:8" x14ac:dyDescent="0.3">
      <c r="A3154" s="400"/>
      <c r="B3154" s="709">
        <v>97239</v>
      </c>
      <c r="C3154" s="710" t="s">
        <v>3119</v>
      </c>
      <c r="D3154" s="709" t="s">
        <v>159</v>
      </c>
      <c r="E3154" s="716">
        <v>95.47</v>
      </c>
      <c r="F3154" s="717">
        <v>0.17019999999999999</v>
      </c>
      <c r="G3154">
        <f>VLOOKUP(B3154,'SINAPI-%MO'!B:E,4,0)</f>
        <v>0.42230000000000001</v>
      </c>
      <c r="H3154" s="225">
        <f t="shared" si="49"/>
        <v>55.15</v>
      </c>
    </row>
    <row r="3155" spans="1:8" x14ac:dyDescent="0.3">
      <c r="A3155" s="400"/>
      <c r="B3155" s="709">
        <v>97240</v>
      </c>
      <c r="C3155" s="710" t="s">
        <v>3120</v>
      </c>
      <c r="D3155" s="709" t="s">
        <v>159</v>
      </c>
      <c r="E3155" s="716">
        <v>98.66</v>
      </c>
      <c r="F3155" s="717">
        <v>0.16470000000000001</v>
      </c>
      <c r="G3155">
        <f>VLOOKUP(B3155,'SINAPI-%MO'!B:E,4,0)</f>
        <v>0.42249999999999999</v>
      </c>
      <c r="H3155" s="225">
        <f t="shared" si="49"/>
        <v>56.97</v>
      </c>
    </row>
    <row r="3156" spans="1:8" x14ac:dyDescent="0.3">
      <c r="A3156" s="400"/>
      <c r="B3156" s="709">
        <v>97241</v>
      </c>
      <c r="C3156" s="710" t="s">
        <v>3121</v>
      </c>
      <c r="D3156" s="709" t="s">
        <v>159</v>
      </c>
      <c r="E3156" s="716">
        <v>106</v>
      </c>
      <c r="F3156" s="717">
        <v>0.15329999999999999</v>
      </c>
      <c r="G3156">
        <f>VLOOKUP(B3156,'SINAPI-%MO'!B:E,4,0)</f>
        <v>0.41860000000000003</v>
      </c>
      <c r="H3156" s="225">
        <f t="shared" si="49"/>
        <v>61.62</v>
      </c>
    </row>
    <row r="3157" spans="1:8" x14ac:dyDescent="0.3">
      <c r="A3157" s="400"/>
      <c r="B3157" s="709">
        <v>97242</v>
      </c>
      <c r="C3157" s="710" t="s">
        <v>3122</v>
      </c>
      <c r="D3157" s="709" t="s">
        <v>159</v>
      </c>
      <c r="E3157" s="716">
        <v>114.05</v>
      </c>
      <c r="F3157" s="717">
        <v>0.14249999999999999</v>
      </c>
      <c r="G3157">
        <f>VLOOKUP(B3157,'SINAPI-%MO'!B:E,4,0)</f>
        <v>0.41270000000000001</v>
      </c>
      <c r="H3157" s="225">
        <f t="shared" si="49"/>
        <v>66.98</v>
      </c>
    </row>
    <row r="3158" spans="1:8" x14ac:dyDescent="0.3">
      <c r="A3158" s="400"/>
      <c r="B3158" s="709">
        <v>97243</v>
      </c>
      <c r="C3158" s="710" t="s">
        <v>3123</v>
      </c>
      <c r="D3158" s="709" t="s">
        <v>159</v>
      </c>
      <c r="E3158" s="716">
        <v>140.75</v>
      </c>
      <c r="F3158" s="717">
        <v>0.11550000000000001</v>
      </c>
      <c r="G3158">
        <f>VLOOKUP(B3158,'SINAPI-%MO'!B:E,4,0)</f>
        <v>0.35360000000000003</v>
      </c>
      <c r="H3158" s="225">
        <f t="shared" si="49"/>
        <v>90.98</v>
      </c>
    </row>
    <row r="3159" spans="1:8" x14ac:dyDescent="0.3">
      <c r="A3159" s="400"/>
      <c r="B3159" s="709">
        <v>97244</v>
      </c>
      <c r="C3159" s="710" t="s">
        <v>3124</v>
      </c>
      <c r="D3159" s="709" t="s">
        <v>159</v>
      </c>
      <c r="E3159" s="716">
        <v>160.80000000000001</v>
      </c>
      <c r="F3159" s="717">
        <v>0.1011</v>
      </c>
      <c r="G3159">
        <f>VLOOKUP(B3159,'SINAPI-%MO'!B:E,4,0)</f>
        <v>0.34310000000000002</v>
      </c>
      <c r="H3159" s="225">
        <f t="shared" si="49"/>
        <v>105.62</v>
      </c>
    </row>
    <row r="3160" spans="1:8" x14ac:dyDescent="0.3">
      <c r="A3160" s="400"/>
      <c r="B3160" s="709">
        <v>97245</v>
      </c>
      <c r="C3160" s="710" t="s">
        <v>3125</v>
      </c>
      <c r="D3160" s="709" t="s">
        <v>159</v>
      </c>
      <c r="E3160" s="716">
        <v>196.9</v>
      </c>
      <c r="F3160" s="717">
        <v>8.2500000000000004E-2</v>
      </c>
      <c r="G3160">
        <f>VLOOKUP(B3160,'SINAPI-%MO'!B:E,4,0)</f>
        <v>0.3075</v>
      </c>
      <c r="H3160" s="225">
        <f t="shared" si="49"/>
        <v>136.35</v>
      </c>
    </row>
    <row r="3161" spans="1:8" x14ac:dyDescent="0.3">
      <c r="A3161" s="400"/>
      <c r="B3161" s="709">
        <v>97236</v>
      </c>
      <c r="C3161" s="710" t="s">
        <v>3126</v>
      </c>
      <c r="D3161" s="709" t="s">
        <v>159</v>
      </c>
      <c r="E3161" s="716">
        <v>83.06</v>
      </c>
      <c r="F3161" s="717">
        <v>0.1956</v>
      </c>
      <c r="G3161">
        <f>VLOOKUP(B3161,'SINAPI-%MO'!B:E,4,0)</f>
        <v>0.43680000000000002</v>
      </c>
      <c r="H3161" s="225">
        <f t="shared" si="49"/>
        <v>46.77</v>
      </c>
    </row>
    <row r="3162" spans="1:8" x14ac:dyDescent="0.3">
      <c r="A3162" s="400"/>
      <c r="B3162" s="709">
        <v>97246</v>
      </c>
      <c r="C3162" s="710" t="s">
        <v>3127</v>
      </c>
      <c r="D3162" s="709" t="s">
        <v>159</v>
      </c>
      <c r="E3162" s="716">
        <v>218.58</v>
      </c>
      <c r="F3162" s="717">
        <v>7.4300000000000005E-2</v>
      </c>
      <c r="G3162">
        <f>VLOOKUP(B3162,'SINAPI-%MO'!B:E,4,0)</f>
        <v>0.30180000000000001</v>
      </c>
      <c r="H3162" s="225">
        <f t="shared" si="49"/>
        <v>152.61000000000001</v>
      </c>
    </row>
    <row r="3163" spans="1:8" x14ac:dyDescent="0.3">
      <c r="A3163" s="400"/>
      <c r="B3163" s="709">
        <v>97247</v>
      </c>
      <c r="C3163" s="710" t="s">
        <v>3128</v>
      </c>
      <c r="D3163" s="709" t="s">
        <v>159</v>
      </c>
      <c r="E3163" s="716">
        <v>262.05</v>
      </c>
      <c r="F3163" s="717">
        <v>6.2E-2</v>
      </c>
      <c r="G3163">
        <f>VLOOKUP(B3163,'SINAPI-%MO'!B:E,4,0)</f>
        <v>0.27229999999999999</v>
      </c>
      <c r="H3163" s="225">
        <f t="shared" si="49"/>
        <v>190.69</v>
      </c>
    </row>
    <row r="3164" spans="1:8" x14ac:dyDescent="0.3">
      <c r="A3164" s="400"/>
      <c r="B3164" s="709">
        <v>97237</v>
      </c>
      <c r="C3164" s="710" t="s">
        <v>3129</v>
      </c>
      <c r="D3164" s="709" t="s">
        <v>159</v>
      </c>
      <c r="E3164" s="716">
        <v>86.89</v>
      </c>
      <c r="F3164" s="717">
        <v>0.187</v>
      </c>
      <c r="G3164">
        <f>VLOOKUP(B3164,'SINAPI-%MO'!B:E,4,0)</f>
        <v>0.43309999999999998</v>
      </c>
      <c r="H3164" s="225">
        <f t="shared" si="49"/>
        <v>49.25</v>
      </c>
    </row>
    <row r="3165" spans="1:8" x14ac:dyDescent="0.3">
      <c r="A3165" s="400"/>
      <c r="B3165" s="709">
        <v>97248</v>
      </c>
      <c r="C3165" s="710" t="s">
        <v>3130</v>
      </c>
      <c r="D3165" s="709" t="s">
        <v>159</v>
      </c>
      <c r="E3165" s="716">
        <v>294.45999999999998</v>
      </c>
      <c r="F3165" s="717">
        <v>5.5199999999999999E-2</v>
      </c>
      <c r="G3165">
        <f>VLOOKUP(B3165,'SINAPI-%MO'!B:E,4,0)</f>
        <v>0.2606</v>
      </c>
      <c r="H3165" s="225">
        <f t="shared" si="49"/>
        <v>217.72</v>
      </c>
    </row>
    <row r="3166" spans="1:8" x14ac:dyDescent="0.3">
      <c r="A3166" s="400"/>
      <c r="B3166" s="709">
        <v>97251</v>
      </c>
      <c r="C3166" s="710" t="s">
        <v>3131</v>
      </c>
      <c r="D3166" s="709" t="s">
        <v>136</v>
      </c>
      <c r="E3166" s="716">
        <v>34.619999999999997</v>
      </c>
      <c r="F3166" s="717">
        <v>0.31019999999999998</v>
      </c>
      <c r="G3166">
        <f>VLOOKUP(B3166,'SINAPI-%MO'!B:E,4,0)</f>
        <v>0.44080000000000003</v>
      </c>
      <c r="H3166" s="225">
        <f t="shared" si="49"/>
        <v>19.350000000000001</v>
      </c>
    </row>
    <row r="3167" spans="1:8" x14ac:dyDescent="0.3">
      <c r="A3167" s="400"/>
      <c r="B3167" s="709">
        <v>97254</v>
      </c>
      <c r="C3167" s="710" t="s">
        <v>3132</v>
      </c>
      <c r="D3167" s="709" t="s">
        <v>136</v>
      </c>
      <c r="E3167" s="716">
        <v>37.54</v>
      </c>
      <c r="F3167" s="717">
        <v>0.28610000000000002</v>
      </c>
      <c r="G3167">
        <f>VLOOKUP(B3167,'SINAPI-%MO'!B:E,4,0)</f>
        <v>0.46060000000000001</v>
      </c>
      <c r="H3167" s="225">
        <f t="shared" si="49"/>
        <v>20.239999999999998</v>
      </c>
    </row>
    <row r="3168" spans="1:8" x14ac:dyDescent="0.3">
      <c r="A3168" s="400"/>
      <c r="B3168" s="709">
        <v>97255</v>
      </c>
      <c r="C3168" s="710" t="s">
        <v>3133</v>
      </c>
      <c r="D3168" s="709" t="s">
        <v>136</v>
      </c>
      <c r="E3168" s="716">
        <v>39.56</v>
      </c>
      <c r="F3168" s="717">
        <v>0.27150000000000002</v>
      </c>
      <c r="G3168">
        <f>VLOOKUP(B3168,'SINAPI-%MO'!B:E,4,0)</f>
        <v>0.48809999999999998</v>
      </c>
      <c r="H3168" s="225">
        <f t="shared" si="49"/>
        <v>20.25</v>
      </c>
    </row>
    <row r="3169" spans="1:8" x14ac:dyDescent="0.3">
      <c r="A3169" s="400"/>
      <c r="B3169" s="709">
        <v>97249</v>
      </c>
      <c r="C3169" s="710" t="s">
        <v>3134</v>
      </c>
      <c r="D3169" s="709" t="s">
        <v>136</v>
      </c>
      <c r="E3169" s="716">
        <v>30.23</v>
      </c>
      <c r="F3169" s="717">
        <v>0.3553</v>
      </c>
      <c r="G3169">
        <f>VLOOKUP(B3169,'SINAPI-%MO'!B:E,4,0)</f>
        <v>0.37119999999999997</v>
      </c>
      <c r="H3169" s="225">
        <f t="shared" si="49"/>
        <v>19</v>
      </c>
    </row>
    <row r="3170" spans="1:8" x14ac:dyDescent="0.3">
      <c r="A3170" s="400"/>
      <c r="B3170" s="709">
        <v>97250</v>
      </c>
      <c r="C3170" s="710" t="s">
        <v>3135</v>
      </c>
      <c r="D3170" s="709" t="s">
        <v>136</v>
      </c>
      <c r="E3170" s="716">
        <v>32.49</v>
      </c>
      <c r="F3170" s="717">
        <v>0.3306</v>
      </c>
      <c r="G3170">
        <f>VLOOKUP(B3170,'SINAPI-%MO'!B:E,4,0)</f>
        <v>0.40749999999999997</v>
      </c>
      <c r="H3170" s="225">
        <f t="shared" si="49"/>
        <v>19.25</v>
      </c>
    </row>
    <row r="3171" spans="1:8" x14ac:dyDescent="0.3">
      <c r="A3171" s="400"/>
      <c r="B3171" s="709">
        <v>97258</v>
      </c>
      <c r="C3171" s="710" t="s">
        <v>3136</v>
      </c>
      <c r="D3171" s="709" t="s">
        <v>136</v>
      </c>
      <c r="E3171" s="716">
        <v>43.84</v>
      </c>
      <c r="F3171" s="717">
        <v>0.245</v>
      </c>
      <c r="G3171">
        <f>VLOOKUP(B3171,'SINAPI-%MO'!B:E,4,0)</f>
        <v>0.53280000000000005</v>
      </c>
      <c r="H3171" s="225">
        <f t="shared" si="49"/>
        <v>20.48</v>
      </c>
    </row>
    <row r="3172" spans="1:8" x14ac:dyDescent="0.3">
      <c r="A3172" s="400"/>
      <c r="B3172" s="709">
        <v>97259</v>
      </c>
      <c r="C3172" s="710" t="s">
        <v>3137</v>
      </c>
      <c r="D3172" s="709" t="s">
        <v>136</v>
      </c>
      <c r="E3172" s="716">
        <v>49.09</v>
      </c>
      <c r="F3172" s="717">
        <v>0.21879999999999999</v>
      </c>
      <c r="G3172">
        <f>VLOOKUP(B3172,'SINAPI-%MO'!B:E,4,0)</f>
        <v>0.55840000000000001</v>
      </c>
      <c r="H3172" s="225">
        <f t="shared" si="49"/>
        <v>21.67</v>
      </c>
    </row>
    <row r="3173" spans="1:8" x14ac:dyDescent="0.3">
      <c r="A3173" s="400"/>
      <c r="B3173" s="709">
        <v>97262</v>
      </c>
      <c r="C3173" s="710" t="s">
        <v>3138</v>
      </c>
      <c r="D3173" s="709" t="s">
        <v>136</v>
      </c>
      <c r="E3173" s="716">
        <v>57.44</v>
      </c>
      <c r="F3173" s="717">
        <v>0.187</v>
      </c>
      <c r="G3173">
        <f>VLOOKUP(B3173,'SINAPI-%MO'!B:E,4,0)</f>
        <v>0.54769999999999996</v>
      </c>
      <c r="H3173" s="225">
        <f t="shared" si="49"/>
        <v>25.98</v>
      </c>
    </row>
    <row r="3174" spans="1:8" x14ac:dyDescent="0.3">
      <c r="A3174" s="400"/>
      <c r="B3174" s="709">
        <v>97263</v>
      </c>
      <c r="C3174" s="710" t="s">
        <v>3139</v>
      </c>
      <c r="D3174" s="709" t="s">
        <v>136</v>
      </c>
      <c r="E3174" s="716">
        <v>67.23</v>
      </c>
      <c r="F3174" s="717">
        <v>0.1598</v>
      </c>
      <c r="G3174">
        <f>VLOOKUP(B3174,'SINAPI-%MO'!B:E,4,0)</f>
        <v>0.58830000000000005</v>
      </c>
      <c r="H3174" s="225">
        <f t="shared" si="49"/>
        <v>27.67</v>
      </c>
    </row>
    <row r="3175" spans="1:8" x14ac:dyDescent="0.3">
      <c r="A3175" s="400"/>
      <c r="B3175" s="709">
        <v>97266</v>
      </c>
      <c r="C3175" s="710" t="s">
        <v>3140</v>
      </c>
      <c r="D3175" s="709" t="s">
        <v>136</v>
      </c>
      <c r="E3175" s="716">
        <v>81.13</v>
      </c>
      <c r="F3175" s="717">
        <v>0.13239999999999999</v>
      </c>
      <c r="G3175">
        <f>VLOOKUP(B3175,'SINAPI-%MO'!B:E,4,0)</f>
        <v>0.58730000000000004</v>
      </c>
      <c r="H3175" s="225">
        <f t="shared" si="49"/>
        <v>33.479999999999997</v>
      </c>
    </row>
    <row r="3176" spans="1:8" x14ac:dyDescent="0.3">
      <c r="A3176" s="400"/>
      <c r="B3176" s="709">
        <v>97267</v>
      </c>
      <c r="C3176" s="710" t="s">
        <v>3141</v>
      </c>
      <c r="D3176" s="709" t="s">
        <v>136</v>
      </c>
      <c r="E3176" s="716">
        <v>91.99</v>
      </c>
      <c r="F3176" s="717">
        <v>0.1168</v>
      </c>
      <c r="G3176">
        <f>VLOOKUP(B3176,'SINAPI-%MO'!B:E,4,0)</f>
        <v>0.60599999999999998</v>
      </c>
      <c r="H3176" s="225">
        <f t="shared" si="49"/>
        <v>36.24</v>
      </c>
    </row>
    <row r="3177" spans="1:8" x14ac:dyDescent="0.3">
      <c r="A3177" s="400"/>
      <c r="B3177" s="709">
        <v>97270</v>
      </c>
      <c r="C3177" s="710" t="s">
        <v>3142</v>
      </c>
      <c r="D3177" s="709" t="s">
        <v>136</v>
      </c>
      <c r="E3177" s="716">
        <v>104.61</v>
      </c>
      <c r="F3177" s="717">
        <v>0.1027</v>
      </c>
      <c r="G3177">
        <f>VLOOKUP(B3177,'SINAPI-%MO'!B:E,4,0)</f>
        <v>0.61040000000000005</v>
      </c>
      <c r="H3177" s="225">
        <f t="shared" si="49"/>
        <v>40.75</v>
      </c>
    </row>
    <row r="3178" spans="1:8" x14ac:dyDescent="0.3">
      <c r="A3178" s="400"/>
      <c r="B3178" s="709">
        <v>97271</v>
      </c>
      <c r="C3178" s="710" t="s">
        <v>3143</v>
      </c>
      <c r="D3178" s="709" t="s">
        <v>136</v>
      </c>
      <c r="E3178" s="716">
        <v>114.78</v>
      </c>
      <c r="F3178" s="717">
        <v>9.3600000000000003E-2</v>
      </c>
      <c r="G3178">
        <f>VLOOKUP(B3178,'SINAPI-%MO'!B:E,4,0)</f>
        <v>0.62690000000000001</v>
      </c>
      <c r="H3178" s="225">
        <f t="shared" si="49"/>
        <v>42.82</v>
      </c>
    </row>
    <row r="3179" spans="1:8" x14ac:dyDescent="0.3">
      <c r="A3179" s="400"/>
      <c r="B3179" s="709">
        <v>97252</v>
      </c>
      <c r="C3179" s="710" t="s">
        <v>3144</v>
      </c>
      <c r="D3179" s="709" t="s">
        <v>136</v>
      </c>
      <c r="E3179" s="716">
        <v>41</v>
      </c>
      <c r="F3179" s="717">
        <v>0.26200000000000001</v>
      </c>
      <c r="G3179">
        <f>VLOOKUP(B3179,'SINAPI-%MO'!B:E,4,0)</f>
        <v>0.34760000000000002</v>
      </c>
      <c r="H3179" s="225">
        <f t="shared" si="49"/>
        <v>26.74</v>
      </c>
    </row>
    <row r="3180" spans="1:8" x14ac:dyDescent="0.3">
      <c r="A3180" s="400"/>
      <c r="B3180" s="709">
        <v>97257</v>
      </c>
      <c r="C3180" s="710" t="s">
        <v>3145</v>
      </c>
      <c r="D3180" s="709" t="s">
        <v>136</v>
      </c>
      <c r="E3180" s="716">
        <v>44.79</v>
      </c>
      <c r="F3180" s="717">
        <v>0.23980000000000001</v>
      </c>
      <c r="G3180">
        <f>VLOOKUP(B3180,'SINAPI-%MO'!B:E,4,0)</f>
        <v>0.36349999999999999</v>
      </c>
      <c r="H3180" s="225">
        <f t="shared" si="49"/>
        <v>28.5</v>
      </c>
    </row>
    <row r="3181" spans="1:8" x14ac:dyDescent="0.3">
      <c r="A3181" s="400"/>
      <c r="B3181" s="709">
        <v>97256</v>
      </c>
      <c r="C3181" s="710" t="s">
        <v>3146</v>
      </c>
      <c r="D3181" s="709" t="s">
        <v>136</v>
      </c>
      <c r="E3181" s="716">
        <v>48.25</v>
      </c>
      <c r="F3181" s="717">
        <v>0.22259999999999999</v>
      </c>
      <c r="G3181">
        <f>VLOOKUP(B3181,'SINAPI-%MO'!B:E,4,0)</f>
        <v>0.37930000000000003</v>
      </c>
      <c r="H3181" s="225">
        <f t="shared" si="49"/>
        <v>29.94</v>
      </c>
    </row>
    <row r="3182" spans="1:8" x14ac:dyDescent="0.3">
      <c r="A3182" s="400"/>
      <c r="B3182" s="709">
        <v>97253</v>
      </c>
      <c r="C3182" s="710" t="s">
        <v>3147</v>
      </c>
      <c r="D3182" s="709" t="s">
        <v>136</v>
      </c>
      <c r="E3182" s="716">
        <v>37.76</v>
      </c>
      <c r="F3182" s="717">
        <v>0.28439999999999999</v>
      </c>
      <c r="G3182">
        <f>VLOOKUP(B3182,'SINAPI-%MO'!B:E,4,0)</f>
        <v>0.32390000000000002</v>
      </c>
      <c r="H3182" s="225">
        <f t="shared" si="49"/>
        <v>25.52</v>
      </c>
    </row>
    <row r="3183" spans="1:8" x14ac:dyDescent="0.3">
      <c r="A3183" s="400"/>
      <c r="B3183" s="709">
        <v>97261</v>
      </c>
      <c r="C3183" s="710" t="s">
        <v>3148</v>
      </c>
      <c r="D3183" s="709" t="s">
        <v>136</v>
      </c>
      <c r="E3183" s="716">
        <v>53.76</v>
      </c>
      <c r="F3183" s="717">
        <v>0.19980000000000001</v>
      </c>
      <c r="G3183">
        <f>VLOOKUP(B3183,'SINAPI-%MO'!B:E,4,0)</f>
        <v>0.39689999999999998</v>
      </c>
      <c r="H3183" s="225">
        <f t="shared" si="49"/>
        <v>32.42</v>
      </c>
    </row>
    <row r="3184" spans="1:8" x14ac:dyDescent="0.3">
      <c r="A3184" s="400"/>
      <c r="B3184" s="709">
        <v>97260</v>
      </c>
      <c r="C3184" s="710" t="s">
        <v>3149</v>
      </c>
      <c r="D3184" s="709" t="s">
        <v>136</v>
      </c>
      <c r="E3184" s="716">
        <v>60.22</v>
      </c>
      <c r="F3184" s="717">
        <v>0.17829999999999999</v>
      </c>
      <c r="G3184">
        <f>VLOOKUP(B3184,'SINAPI-%MO'!B:E,4,0)</f>
        <v>0.42149999999999999</v>
      </c>
      <c r="H3184" s="225">
        <f t="shared" si="49"/>
        <v>34.83</v>
      </c>
    </row>
    <row r="3185" spans="1:8" x14ac:dyDescent="0.3">
      <c r="A3185" s="400"/>
      <c r="B3185" s="709">
        <v>97265</v>
      </c>
      <c r="C3185" s="710" t="s">
        <v>3150</v>
      </c>
      <c r="D3185" s="709" t="s">
        <v>136</v>
      </c>
      <c r="E3185" s="716">
        <v>77.349999999999994</v>
      </c>
      <c r="F3185" s="717">
        <v>0.13880000000000001</v>
      </c>
      <c r="G3185">
        <f>VLOOKUP(B3185,'SINAPI-%MO'!B:E,4,0)</f>
        <v>0.3805</v>
      </c>
      <c r="H3185" s="225">
        <f t="shared" si="49"/>
        <v>47.91</v>
      </c>
    </row>
    <row r="3186" spans="1:8" x14ac:dyDescent="0.3">
      <c r="A3186" s="400"/>
      <c r="B3186" s="709">
        <v>97264</v>
      </c>
      <c r="C3186" s="710" t="s">
        <v>3151</v>
      </c>
      <c r="D3186" s="709" t="s">
        <v>136</v>
      </c>
      <c r="E3186" s="716">
        <v>94.74</v>
      </c>
      <c r="F3186" s="717">
        <v>0.1134</v>
      </c>
      <c r="G3186">
        <f>VLOOKUP(B3186,'SINAPI-%MO'!B:E,4,0)</f>
        <v>0.37469999999999998</v>
      </c>
      <c r="H3186" s="225">
        <f t="shared" si="49"/>
        <v>59.24</v>
      </c>
    </row>
    <row r="3187" spans="1:8" x14ac:dyDescent="0.3">
      <c r="A3187" s="400"/>
      <c r="B3187" s="709">
        <v>97269</v>
      </c>
      <c r="C3187" s="710" t="s">
        <v>3152</v>
      </c>
      <c r="D3187" s="709" t="s">
        <v>136</v>
      </c>
      <c r="E3187" s="716">
        <v>113.26</v>
      </c>
      <c r="F3187" s="717">
        <v>9.4799999999999995E-2</v>
      </c>
      <c r="G3187">
        <f>VLOOKUP(B3187,'SINAPI-%MO'!B:E,4,0)</f>
        <v>0.38500000000000001</v>
      </c>
      <c r="H3187" s="225">
        <f t="shared" si="49"/>
        <v>69.650000000000006</v>
      </c>
    </row>
    <row r="3188" spans="1:8" x14ac:dyDescent="0.3">
      <c r="A3188" s="400"/>
      <c r="B3188" s="709">
        <v>97268</v>
      </c>
      <c r="C3188" s="710" t="s">
        <v>3153</v>
      </c>
      <c r="D3188" s="709" t="s">
        <v>136</v>
      </c>
      <c r="E3188" s="716">
        <v>130.26</v>
      </c>
      <c r="F3188" s="717">
        <v>8.2500000000000004E-2</v>
      </c>
      <c r="G3188">
        <f>VLOOKUP(B3188,'SINAPI-%MO'!B:E,4,0)</f>
        <v>0.39700000000000002</v>
      </c>
      <c r="H3188" s="225">
        <f t="shared" si="49"/>
        <v>78.540000000000006</v>
      </c>
    </row>
    <row r="3189" spans="1:8" x14ac:dyDescent="0.3">
      <c r="A3189" s="400"/>
      <c r="B3189" s="709">
        <v>97273</v>
      </c>
      <c r="C3189" s="710" t="s">
        <v>3154</v>
      </c>
      <c r="D3189" s="709" t="s">
        <v>136</v>
      </c>
      <c r="E3189" s="716">
        <v>165.59</v>
      </c>
      <c r="F3189" s="717">
        <v>6.4899999999999999E-2</v>
      </c>
      <c r="G3189">
        <f>VLOOKUP(B3189,'SINAPI-%MO'!B:E,4,0)</f>
        <v>0.36109999999999998</v>
      </c>
      <c r="H3189" s="225">
        <f t="shared" si="49"/>
        <v>105.79</v>
      </c>
    </row>
    <row r="3190" spans="1:8" x14ac:dyDescent="0.3">
      <c r="A3190" s="400"/>
      <c r="B3190" s="709">
        <v>97272</v>
      </c>
      <c r="C3190" s="710" t="s">
        <v>3155</v>
      </c>
      <c r="D3190" s="709" t="s">
        <v>136</v>
      </c>
      <c r="E3190" s="716">
        <v>195.43</v>
      </c>
      <c r="F3190" s="717">
        <v>5.5E-2</v>
      </c>
      <c r="G3190">
        <f>VLOOKUP(B3190,'SINAPI-%MO'!B:E,4,0)</f>
        <v>0.34739999999999999</v>
      </c>
      <c r="H3190" s="225">
        <f t="shared" si="49"/>
        <v>127.53</v>
      </c>
    </row>
    <row r="3191" spans="1:8" x14ac:dyDescent="0.3">
      <c r="A3191" s="400"/>
      <c r="B3191" s="709">
        <v>97315</v>
      </c>
      <c r="C3191" s="710" t="s">
        <v>3156</v>
      </c>
      <c r="D3191" s="709" t="s">
        <v>136</v>
      </c>
      <c r="E3191" s="716">
        <v>79.08</v>
      </c>
      <c r="F3191" s="717">
        <v>0.20369999999999999</v>
      </c>
      <c r="G3191">
        <f>VLOOKUP(B3191,'SINAPI-%MO'!B:E,4,0)</f>
        <v>0.3861</v>
      </c>
      <c r="H3191" s="225">
        <f t="shared" si="49"/>
        <v>48.54</v>
      </c>
    </row>
    <row r="3192" spans="1:8" x14ac:dyDescent="0.3">
      <c r="A3192" s="400"/>
      <c r="B3192" s="709">
        <v>97316</v>
      </c>
      <c r="C3192" s="710" t="s">
        <v>3157</v>
      </c>
      <c r="D3192" s="709" t="s">
        <v>136</v>
      </c>
      <c r="E3192" s="716">
        <v>84.69</v>
      </c>
      <c r="F3192" s="717">
        <v>0.19020000000000001</v>
      </c>
      <c r="G3192">
        <f>VLOOKUP(B3192,'SINAPI-%MO'!B:E,4,0)</f>
        <v>0.40839999999999999</v>
      </c>
      <c r="H3192" s="225">
        <f t="shared" si="49"/>
        <v>50.1</v>
      </c>
    </row>
    <row r="3193" spans="1:8" x14ac:dyDescent="0.3">
      <c r="A3193" s="400"/>
      <c r="B3193" s="709">
        <v>97317</v>
      </c>
      <c r="C3193" s="710" t="s">
        <v>3158</v>
      </c>
      <c r="D3193" s="709" t="s">
        <v>136</v>
      </c>
      <c r="E3193" s="716">
        <v>94.02</v>
      </c>
      <c r="F3193" s="717">
        <v>0.17130000000000001</v>
      </c>
      <c r="G3193">
        <f>VLOOKUP(B3193,'SINAPI-%MO'!B:E,4,0)</f>
        <v>0.41099999999999998</v>
      </c>
      <c r="H3193" s="225">
        <f t="shared" si="49"/>
        <v>55.37</v>
      </c>
    </row>
    <row r="3194" spans="1:8" x14ac:dyDescent="0.3">
      <c r="A3194" s="400"/>
      <c r="B3194" s="709">
        <v>97318</v>
      </c>
      <c r="C3194" s="710" t="s">
        <v>3159</v>
      </c>
      <c r="D3194" s="709" t="s">
        <v>136</v>
      </c>
      <c r="E3194" s="716">
        <v>109.27</v>
      </c>
      <c r="F3194" s="717">
        <v>0.1474</v>
      </c>
      <c r="G3194">
        <f>VLOOKUP(B3194,'SINAPI-%MO'!B:E,4,0)</f>
        <v>0.42770000000000002</v>
      </c>
      <c r="H3194" s="225">
        <f t="shared" si="49"/>
        <v>62.53</v>
      </c>
    </row>
    <row r="3195" spans="1:8" x14ac:dyDescent="0.3">
      <c r="A3195" s="400"/>
      <c r="B3195" s="709">
        <v>97319</v>
      </c>
      <c r="C3195" s="710" t="s">
        <v>3160</v>
      </c>
      <c r="D3195" s="709" t="s">
        <v>136</v>
      </c>
      <c r="E3195" s="716">
        <v>122.58</v>
      </c>
      <c r="F3195" s="717">
        <v>0.13139999999999999</v>
      </c>
      <c r="G3195">
        <f>VLOOKUP(B3195,'SINAPI-%MO'!B:E,4,0)</f>
        <v>0.44729999999999998</v>
      </c>
      <c r="H3195" s="225">
        <f t="shared" si="49"/>
        <v>67.739999999999995</v>
      </c>
    </row>
    <row r="3196" spans="1:8" x14ac:dyDescent="0.3">
      <c r="A3196" s="400"/>
      <c r="B3196" s="709">
        <v>97320</v>
      </c>
      <c r="C3196" s="710" t="s">
        <v>3161</v>
      </c>
      <c r="D3196" s="709" t="s">
        <v>136</v>
      </c>
      <c r="E3196" s="716">
        <v>148.25</v>
      </c>
      <c r="F3196" s="717">
        <v>0.1087</v>
      </c>
      <c r="G3196">
        <f>VLOOKUP(B3196,'SINAPI-%MO'!B:E,4,0)</f>
        <v>0.42449999999999999</v>
      </c>
      <c r="H3196" s="225">
        <f t="shared" si="49"/>
        <v>85.31</v>
      </c>
    </row>
    <row r="3197" spans="1:8" x14ac:dyDescent="0.3">
      <c r="A3197" s="400"/>
      <c r="B3197" s="709">
        <v>97321</v>
      </c>
      <c r="C3197" s="710" t="s">
        <v>3162</v>
      </c>
      <c r="D3197" s="709" t="s">
        <v>136</v>
      </c>
      <c r="E3197" s="716">
        <v>187.44</v>
      </c>
      <c r="F3197" s="717">
        <v>8.5900000000000004E-2</v>
      </c>
      <c r="G3197">
        <f>VLOOKUP(B3197,'SINAPI-%MO'!B:E,4,0)</f>
        <v>0.42209999999999998</v>
      </c>
      <c r="H3197" s="225">
        <f t="shared" si="49"/>
        <v>108.32</v>
      </c>
    </row>
    <row r="3198" spans="1:8" x14ac:dyDescent="0.3">
      <c r="A3198" s="400"/>
      <c r="B3198" s="709">
        <v>97322</v>
      </c>
      <c r="C3198" s="710" t="s">
        <v>3163</v>
      </c>
      <c r="D3198" s="709" t="s">
        <v>136</v>
      </c>
      <c r="E3198" s="716">
        <v>274.49</v>
      </c>
      <c r="F3198" s="717">
        <v>5.8700000000000002E-2</v>
      </c>
      <c r="G3198">
        <f>VLOOKUP(B3198,'SINAPI-%MO'!B:E,4,0)</f>
        <v>0.3473</v>
      </c>
      <c r="H3198" s="225">
        <f t="shared" si="49"/>
        <v>179.15</v>
      </c>
    </row>
    <row r="3199" spans="1:8" x14ac:dyDescent="0.3">
      <c r="A3199" s="400"/>
      <c r="B3199" s="709">
        <v>97313</v>
      </c>
      <c r="C3199" s="710" t="s">
        <v>3164</v>
      </c>
      <c r="D3199" s="709" t="s">
        <v>136</v>
      </c>
      <c r="E3199" s="716">
        <v>64.45</v>
      </c>
      <c r="F3199" s="717">
        <v>0.25</v>
      </c>
      <c r="G3199">
        <f>VLOOKUP(B3199,'SINAPI-%MO'!B:E,4,0)</f>
        <v>0.34820000000000001</v>
      </c>
      <c r="H3199" s="225">
        <f t="shared" si="49"/>
        <v>42</v>
      </c>
    </row>
    <row r="3200" spans="1:8" x14ac:dyDescent="0.3">
      <c r="A3200" s="400"/>
      <c r="B3200" s="709">
        <v>97323</v>
      </c>
      <c r="C3200" s="710" t="s">
        <v>3165</v>
      </c>
      <c r="D3200" s="709" t="s">
        <v>136</v>
      </c>
      <c r="E3200" s="716">
        <v>332.97</v>
      </c>
      <c r="F3200" s="717">
        <v>4.8399999999999999E-2</v>
      </c>
      <c r="G3200">
        <f>VLOOKUP(B3200,'SINAPI-%MO'!B:E,4,0)</f>
        <v>0.33489999999999998</v>
      </c>
      <c r="H3200" s="225">
        <f t="shared" si="49"/>
        <v>221.45</v>
      </c>
    </row>
    <row r="3201" spans="1:8" x14ac:dyDescent="0.3">
      <c r="A3201" s="400"/>
      <c r="B3201" s="709">
        <v>97324</v>
      </c>
      <c r="C3201" s="710" t="s">
        <v>3166</v>
      </c>
      <c r="D3201" s="709" t="s">
        <v>136</v>
      </c>
      <c r="E3201" s="716">
        <v>412.57</v>
      </c>
      <c r="F3201" s="717">
        <v>3.9E-2</v>
      </c>
      <c r="G3201">
        <f>VLOOKUP(B3201,'SINAPI-%MO'!B:E,4,0)</f>
        <v>0.3095</v>
      </c>
      <c r="H3201" s="225">
        <f t="shared" si="49"/>
        <v>284.87</v>
      </c>
    </row>
    <row r="3202" spans="1:8" x14ac:dyDescent="0.3">
      <c r="A3202" s="400"/>
      <c r="B3202" s="709">
        <v>97314</v>
      </c>
      <c r="C3202" s="710" t="s">
        <v>3167</v>
      </c>
      <c r="D3202" s="709" t="s">
        <v>136</v>
      </c>
      <c r="E3202" s="716">
        <v>72.42</v>
      </c>
      <c r="F3202" s="717">
        <v>0.2225</v>
      </c>
      <c r="G3202">
        <f>VLOOKUP(B3202,'SINAPI-%MO'!B:E,4,0)</f>
        <v>0.36580000000000001</v>
      </c>
      <c r="H3202" s="225">
        <f t="shared" si="49"/>
        <v>45.92</v>
      </c>
    </row>
    <row r="3203" spans="1:8" x14ac:dyDescent="0.3">
      <c r="A3203" s="400"/>
      <c r="B3203" s="709">
        <v>97325</v>
      </c>
      <c r="C3203" s="710" t="s">
        <v>3168</v>
      </c>
      <c r="D3203" s="709" t="s">
        <v>136</v>
      </c>
      <c r="E3203" s="716">
        <v>500.77</v>
      </c>
      <c r="F3203" s="717">
        <v>3.2199999999999999E-2</v>
      </c>
      <c r="G3203">
        <f>VLOOKUP(B3203,'SINAPI-%MO'!B:E,4,0)</f>
        <v>0.28739999999999999</v>
      </c>
      <c r="H3203" s="225">
        <f t="shared" si="49"/>
        <v>356.84</v>
      </c>
    </row>
    <row r="3204" spans="1:8" x14ac:dyDescent="0.3">
      <c r="A3204" s="400"/>
      <c r="B3204" s="709">
        <v>103518</v>
      </c>
      <c r="C3204" s="710" t="s">
        <v>14987</v>
      </c>
      <c r="D3204" s="709" t="s">
        <v>136</v>
      </c>
      <c r="E3204" s="716">
        <v>0</v>
      </c>
      <c r="F3204" s="717"/>
      <c r="G3204" t="e">
        <f>VLOOKUP(B3204,'SINAPI-%MO'!B:E,4,0)</f>
        <v>#N/A</v>
      </c>
      <c r="H3204" s="225" t="str">
        <f t="shared" si="49"/>
        <v/>
      </c>
    </row>
    <row r="3205" spans="1:8" x14ac:dyDescent="0.3">
      <c r="A3205" s="400"/>
      <c r="B3205" s="709">
        <v>103517</v>
      </c>
      <c r="C3205" s="710" t="s">
        <v>13397</v>
      </c>
      <c r="D3205" s="709" t="s">
        <v>136</v>
      </c>
      <c r="E3205" s="716">
        <v>5343.43</v>
      </c>
      <c r="F3205" s="717">
        <v>0</v>
      </c>
      <c r="G3205">
        <f>VLOOKUP(B3205,'SINAPI-%MO'!B:E,4,0)</f>
        <v>1.7100000000000001E-2</v>
      </c>
      <c r="H3205" s="225">
        <f t="shared" si="49"/>
        <v>5252.05</v>
      </c>
    </row>
    <row r="3206" spans="1:8" x14ac:dyDescent="0.3">
      <c r="A3206" s="400"/>
      <c r="B3206" s="709">
        <v>103519</v>
      </c>
      <c r="C3206" s="710" t="s">
        <v>13398</v>
      </c>
      <c r="D3206" s="709" t="s">
        <v>136</v>
      </c>
      <c r="E3206" s="716">
        <v>12.57</v>
      </c>
      <c r="F3206" s="717">
        <v>0</v>
      </c>
      <c r="G3206">
        <f>VLOOKUP(B3206,'SINAPI-%MO'!B:E,4,0)</f>
        <v>0.44950000000000001</v>
      </c>
      <c r="H3206" s="225">
        <f t="shared" si="49"/>
        <v>6.91</v>
      </c>
    </row>
    <row r="3207" spans="1:8" x14ac:dyDescent="0.3">
      <c r="A3207" s="400"/>
      <c r="B3207" s="709">
        <v>103515</v>
      </c>
      <c r="C3207" s="710" t="s">
        <v>14988</v>
      </c>
      <c r="D3207" s="709" t="s">
        <v>136</v>
      </c>
      <c r="E3207" s="716">
        <v>0</v>
      </c>
      <c r="F3207" s="717"/>
      <c r="G3207" t="e">
        <f>VLOOKUP(B3207,'SINAPI-%MO'!B:E,4,0)</f>
        <v>#N/A</v>
      </c>
      <c r="H3207" s="225" t="str">
        <f t="shared" si="49"/>
        <v/>
      </c>
    </row>
    <row r="3208" spans="1:8" x14ac:dyDescent="0.3">
      <c r="A3208" s="400"/>
      <c r="B3208" s="709">
        <v>103502</v>
      </c>
      <c r="C3208" s="710" t="s">
        <v>14989</v>
      </c>
      <c r="D3208" s="709" t="s">
        <v>159</v>
      </c>
      <c r="E3208" s="716">
        <v>0</v>
      </c>
      <c r="F3208" s="717"/>
      <c r="G3208" t="e">
        <f>VLOOKUP(B3208,'SINAPI-%MO'!B:E,4,0)</f>
        <v>#N/A</v>
      </c>
      <c r="H3208" s="225" t="str">
        <f t="shared" si="49"/>
        <v/>
      </c>
    </row>
    <row r="3209" spans="1:8" x14ac:dyDescent="0.3">
      <c r="A3209" s="400"/>
      <c r="B3209" s="709">
        <v>103503</v>
      </c>
      <c r="C3209" s="710" t="s">
        <v>14990</v>
      </c>
      <c r="D3209" s="709" t="s">
        <v>159</v>
      </c>
      <c r="E3209" s="716">
        <v>0</v>
      </c>
      <c r="F3209" s="717"/>
      <c r="G3209" t="e">
        <f>VLOOKUP(B3209,'SINAPI-%MO'!B:E,4,0)</f>
        <v>#N/A</v>
      </c>
      <c r="H3209" s="225" t="str">
        <f t="shared" si="49"/>
        <v/>
      </c>
    </row>
    <row r="3210" spans="1:8" x14ac:dyDescent="0.3">
      <c r="A3210" s="400"/>
      <c r="B3210" s="709">
        <v>103499</v>
      </c>
      <c r="C3210" s="710" t="s">
        <v>14991</v>
      </c>
      <c r="D3210" s="709" t="s">
        <v>136</v>
      </c>
      <c r="E3210" s="716">
        <v>0</v>
      </c>
      <c r="F3210" s="717"/>
      <c r="G3210" t="e">
        <f>VLOOKUP(B3210,'SINAPI-%MO'!B:E,4,0)</f>
        <v>#N/A</v>
      </c>
      <c r="H3210" s="225" t="str">
        <f t="shared" si="49"/>
        <v/>
      </c>
    </row>
    <row r="3211" spans="1:8" x14ac:dyDescent="0.3">
      <c r="A3211" s="400"/>
      <c r="B3211" s="709">
        <v>103501</v>
      </c>
      <c r="C3211" s="710" t="s">
        <v>14992</v>
      </c>
      <c r="D3211" s="709" t="s">
        <v>136</v>
      </c>
      <c r="E3211" s="716">
        <v>0</v>
      </c>
      <c r="F3211" s="717"/>
      <c r="G3211" t="e">
        <f>VLOOKUP(B3211,'SINAPI-%MO'!B:E,4,0)</f>
        <v>#N/A</v>
      </c>
      <c r="H3211" s="225" t="str">
        <f t="shared" ref="H3211:H3274" si="50">IF(E3211&gt;0,TRUNC(E3211*(1-G3211),2),"")</f>
        <v/>
      </c>
    </row>
    <row r="3212" spans="1:8" x14ac:dyDescent="0.3">
      <c r="A3212" s="400"/>
      <c r="B3212" s="709">
        <v>103500</v>
      </c>
      <c r="C3212" s="710" t="s">
        <v>14993</v>
      </c>
      <c r="D3212" s="709" t="s">
        <v>136</v>
      </c>
      <c r="E3212" s="716">
        <v>0</v>
      </c>
      <c r="F3212" s="717"/>
      <c r="G3212" t="e">
        <f>VLOOKUP(B3212,'SINAPI-%MO'!B:E,4,0)</f>
        <v>#N/A</v>
      </c>
      <c r="H3212" s="225" t="str">
        <f t="shared" si="50"/>
        <v/>
      </c>
    </row>
    <row r="3213" spans="1:8" x14ac:dyDescent="0.3">
      <c r="A3213" s="400"/>
      <c r="B3213" s="709">
        <v>106678</v>
      </c>
      <c r="C3213" s="710" t="s">
        <v>14994</v>
      </c>
      <c r="D3213" s="709" t="s">
        <v>136</v>
      </c>
      <c r="E3213" s="716">
        <v>0</v>
      </c>
      <c r="F3213" s="717"/>
      <c r="G3213" t="e">
        <f>VLOOKUP(B3213,'SINAPI-%MO'!B:E,4,0)</f>
        <v>#N/A</v>
      </c>
      <c r="H3213" s="225" t="str">
        <f t="shared" si="50"/>
        <v/>
      </c>
    </row>
    <row r="3214" spans="1:8" x14ac:dyDescent="0.3">
      <c r="A3214" s="400"/>
      <c r="B3214" s="709">
        <v>106680</v>
      </c>
      <c r="C3214" s="710" t="s">
        <v>14995</v>
      </c>
      <c r="D3214" s="709" t="s">
        <v>136</v>
      </c>
      <c r="E3214" s="716">
        <v>0</v>
      </c>
      <c r="F3214" s="717"/>
      <c r="G3214" t="e">
        <f>VLOOKUP(B3214,'SINAPI-%MO'!B:E,4,0)</f>
        <v>#N/A</v>
      </c>
      <c r="H3214" s="225" t="str">
        <f t="shared" si="50"/>
        <v/>
      </c>
    </row>
    <row r="3215" spans="1:8" x14ac:dyDescent="0.3">
      <c r="A3215" s="400"/>
      <c r="B3215" s="709">
        <v>106679</v>
      </c>
      <c r="C3215" s="710" t="s">
        <v>14996</v>
      </c>
      <c r="D3215" s="709" t="s">
        <v>136</v>
      </c>
      <c r="E3215" s="716">
        <v>0</v>
      </c>
      <c r="F3215" s="717"/>
      <c r="G3215" t="e">
        <f>VLOOKUP(B3215,'SINAPI-%MO'!B:E,4,0)</f>
        <v>#N/A</v>
      </c>
      <c r="H3215" s="225" t="str">
        <f t="shared" si="50"/>
        <v/>
      </c>
    </row>
    <row r="3216" spans="1:8" x14ac:dyDescent="0.3">
      <c r="A3216" s="400"/>
      <c r="B3216" s="709">
        <v>103496</v>
      </c>
      <c r="C3216" s="710" t="s">
        <v>14997</v>
      </c>
      <c r="D3216" s="709" t="s">
        <v>136</v>
      </c>
      <c r="E3216" s="716">
        <v>0</v>
      </c>
      <c r="F3216" s="717"/>
      <c r="G3216" t="e">
        <f>VLOOKUP(B3216,'SINAPI-%MO'!B:E,4,0)</f>
        <v>#N/A</v>
      </c>
      <c r="H3216" s="225" t="str">
        <f t="shared" si="50"/>
        <v/>
      </c>
    </row>
    <row r="3217" spans="1:8" x14ac:dyDescent="0.3">
      <c r="A3217" s="400"/>
      <c r="B3217" s="709">
        <v>103498</v>
      </c>
      <c r="C3217" s="710" t="s">
        <v>14998</v>
      </c>
      <c r="D3217" s="709" t="s">
        <v>136</v>
      </c>
      <c r="E3217" s="716">
        <v>0</v>
      </c>
      <c r="F3217" s="717"/>
      <c r="G3217" t="e">
        <f>VLOOKUP(B3217,'SINAPI-%MO'!B:E,4,0)</f>
        <v>#N/A</v>
      </c>
      <c r="H3217" s="225" t="str">
        <f t="shared" si="50"/>
        <v/>
      </c>
    </row>
    <row r="3218" spans="1:8" x14ac:dyDescent="0.3">
      <c r="A3218" s="400"/>
      <c r="B3218" s="709">
        <v>103497</v>
      </c>
      <c r="C3218" s="710" t="s">
        <v>14999</v>
      </c>
      <c r="D3218" s="709" t="s">
        <v>136</v>
      </c>
      <c r="E3218" s="716">
        <v>0</v>
      </c>
      <c r="F3218" s="717"/>
      <c r="G3218" t="e">
        <f>VLOOKUP(B3218,'SINAPI-%MO'!B:E,4,0)</f>
        <v>#N/A</v>
      </c>
      <c r="H3218" s="225" t="str">
        <f t="shared" si="50"/>
        <v/>
      </c>
    </row>
    <row r="3219" spans="1:8" x14ac:dyDescent="0.3">
      <c r="A3219" s="400"/>
      <c r="B3219" s="709">
        <v>103516</v>
      </c>
      <c r="C3219" s="710" t="s">
        <v>15000</v>
      </c>
      <c r="D3219" s="709" t="s">
        <v>136</v>
      </c>
      <c r="E3219" s="716">
        <v>0</v>
      </c>
      <c r="F3219" s="717"/>
      <c r="G3219" t="e">
        <f>VLOOKUP(B3219,'SINAPI-%MO'!B:E,4,0)</f>
        <v>#N/A</v>
      </c>
      <c r="H3219" s="225" t="str">
        <f t="shared" si="50"/>
        <v/>
      </c>
    </row>
    <row r="3220" spans="1:8" x14ac:dyDescent="0.3">
      <c r="A3220" s="400"/>
      <c r="B3220" s="709">
        <v>103506</v>
      </c>
      <c r="C3220" s="710" t="s">
        <v>15001</v>
      </c>
      <c r="D3220" s="709" t="s">
        <v>136</v>
      </c>
      <c r="E3220" s="716">
        <v>0</v>
      </c>
      <c r="F3220" s="717"/>
      <c r="G3220" t="e">
        <f>VLOOKUP(B3220,'SINAPI-%MO'!B:E,4,0)</f>
        <v>#N/A</v>
      </c>
      <c r="H3220" s="225" t="str">
        <f t="shared" si="50"/>
        <v/>
      </c>
    </row>
    <row r="3221" spans="1:8" x14ac:dyDescent="0.3">
      <c r="A3221" s="400"/>
      <c r="B3221" s="709">
        <v>106681</v>
      </c>
      <c r="C3221" s="710" t="s">
        <v>15002</v>
      </c>
      <c r="D3221" s="709" t="s">
        <v>136</v>
      </c>
      <c r="E3221" s="716">
        <v>0</v>
      </c>
      <c r="F3221" s="717"/>
      <c r="G3221" t="e">
        <f>VLOOKUP(B3221,'SINAPI-%MO'!B:E,4,0)</f>
        <v>#N/A</v>
      </c>
      <c r="H3221" s="225" t="str">
        <f t="shared" si="50"/>
        <v/>
      </c>
    </row>
    <row r="3222" spans="1:8" x14ac:dyDescent="0.3">
      <c r="A3222" s="400"/>
      <c r="B3222" s="709">
        <v>103507</v>
      </c>
      <c r="C3222" s="710" t="s">
        <v>15003</v>
      </c>
      <c r="D3222" s="709" t="s">
        <v>136</v>
      </c>
      <c r="E3222" s="716">
        <v>0</v>
      </c>
      <c r="F3222" s="717"/>
      <c r="G3222" t="e">
        <f>VLOOKUP(B3222,'SINAPI-%MO'!B:E,4,0)</f>
        <v>#N/A</v>
      </c>
      <c r="H3222" s="225" t="str">
        <f t="shared" si="50"/>
        <v/>
      </c>
    </row>
    <row r="3223" spans="1:8" x14ac:dyDescent="0.3">
      <c r="A3223" s="400"/>
      <c r="B3223" s="709">
        <v>103493</v>
      </c>
      <c r="C3223" s="710" t="s">
        <v>15004</v>
      </c>
      <c r="D3223" s="709" t="s">
        <v>136</v>
      </c>
      <c r="E3223" s="716">
        <v>0</v>
      </c>
      <c r="F3223" s="717"/>
      <c r="G3223" t="e">
        <f>VLOOKUP(B3223,'SINAPI-%MO'!B:E,4,0)</f>
        <v>#N/A</v>
      </c>
      <c r="H3223" s="225" t="str">
        <f t="shared" si="50"/>
        <v/>
      </c>
    </row>
    <row r="3224" spans="1:8" x14ac:dyDescent="0.3">
      <c r="A3224" s="400"/>
      <c r="B3224" s="709">
        <v>103495</v>
      </c>
      <c r="C3224" s="710" t="s">
        <v>15005</v>
      </c>
      <c r="D3224" s="709" t="s">
        <v>136</v>
      </c>
      <c r="E3224" s="716">
        <v>0</v>
      </c>
      <c r="F3224" s="717"/>
      <c r="G3224" t="e">
        <f>VLOOKUP(B3224,'SINAPI-%MO'!B:E,4,0)</f>
        <v>#N/A</v>
      </c>
      <c r="H3224" s="225" t="str">
        <f t="shared" si="50"/>
        <v/>
      </c>
    </row>
    <row r="3225" spans="1:8" x14ac:dyDescent="0.3">
      <c r="A3225" s="400"/>
      <c r="B3225" s="709">
        <v>103494</v>
      </c>
      <c r="C3225" s="710" t="s">
        <v>15006</v>
      </c>
      <c r="D3225" s="709" t="s">
        <v>136</v>
      </c>
      <c r="E3225" s="716">
        <v>0</v>
      </c>
      <c r="F3225" s="717"/>
      <c r="G3225" t="e">
        <f>VLOOKUP(B3225,'SINAPI-%MO'!B:E,4,0)</f>
        <v>#N/A</v>
      </c>
      <c r="H3225" s="225" t="str">
        <f t="shared" si="50"/>
        <v/>
      </c>
    </row>
    <row r="3226" spans="1:8" x14ac:dyDescent="0.3">
      <c r="A3226" s="400"/>
      <c r="B3226" s="709">
        <v>103513</v>
      </c>
      <c r="C3226" s="710" t="s">
        <v>15007</v>
      </c>
      <c r="D3226" s="709" t="s">
        <v>136</v>
      </c>
      <c r="E3226" s="716">
        <v>0</v>
      </c>
      <c r="F3226" s="717"/>
      <c r="G3226" t="e">
        <f>VLOOKUP(B3226,'SINAPI-%MO'!B:E,4,0)</f>
        <v>#N/A</v>
      </c>
      <c r="H3226" s="225" t="str">
        <f t="shared" si="50"/>
        <v/>
      </c>
    </row>
    <row r="3227" spans="1:8" x14ac:dyDescent="0.3">
      <c r="A3227" s="400"/>
      <c r="B3227" s="709">
        <v>103523</v>
      </c>
      <c r="C3227" s="710" t="s">
        <v>13399</v>
      </c>
      <c r="D3227" s="709" t="s">
        <v>136</v>
      </c>
      <c r="E3227" s="716">
        <v>17728.310000000001</v>
      </c>
      <c r="F3227" s="717">
        <v>0</v>
      </c>
      <c r="G3227">
        <f>VLOOKUP(B3227,'SINAPI-%MO'!B:E,4,0)</f>
        <v>1.29E-2</v>
      </c>
      <c r="H3227" s="225">
        <f t="shared" si="50"/>
        <v>17499.61</v>
      </c>
    </row>
    <row r="3228" spans="1:8" x14ac:dyDescent="0.3">
      <c r="A3228" s="400"/>
      <c r="B3228" s="709">
        <v>103509</v>
      </c>
      <c r="C3228" s="710" t="s">
        <v>15008</v>
      </c>
      <c r="D3228" s="709" t="s">
        <v>136</v>
      </c>
      <c r="E3228" s="716">
        <v>0</v>
      </c>
      <c r="F3228" s="717"/>
      <c r="G3228" t="e">
        <f>VLOOKUP(B3228,'SINAPI-%MO'!B:E,4,0)</f>
        <v>#N/A</v>
      </c>
      <c r="H3228" s="225" t="str">
        <f t="shared" si="50"/>
        <v/>
      </c>
    </row>
    <row r="3229" spans="1:8" x14ac:dyDescent="0.3">
      <c r="A3229" s="400"/>
      <c r="B3229" s="709">
        <v>103514</v>
      </c>
      <c r="C3229" s="710" t="s">
        <v>15009</v>
      </c>
      <c r="D3229" s="709" t="s">
        <v>136</v>
      </c>
      <c r="E3229" s="716">
        <v>0</v>
      </c>
      <c r="F3229" s="717"/>
      <c r="G3229" t="e">
        <f>VLOOKUP(B3229,'SINAPI-%MO'!B:E,4,0)</f>
        <v>#N/A</v>
      </c>
      <c r="H3229" s="225" t="str">
        <f t="shared" si="50"/>
        <v/>
      </c>
    </row>
    <row r="3230" spans="1:8" x14ac:dyDescent="0.3">
      <c r="A3230" s="400"/>
      <c r="B3230" s="709">
        <v>103510</v>
      </c>
      <c r="C3230" s="710" t="s">
        <v>15010</v>
      </c>
      <c r="D3230" s="709" t="s">
        <v>136</v>
      </c>
      <c r="E3230" s="716">
        <v>0</v>
      </c>
      <c r="F3230" s="717"/>
      <c r="G3230" t="e">
        <f>VLOOKUP(B3230,'SINAPI-%MO'!B:E,4,0)</f>
        <v>#N/A</v>
      </c>
      <c r="H3230" s="225" t="str">
        <f t="shared" si="50"/>
        <v/>
      </c>
    </row>
    <row r="3231" spans="1:8" x14ac:dyDescent="0.3">
      <c r="A3231" s="400"/>
      <c r="B3231" s="709">
        <v>103520</v>
      </c>
      <c r="C3231" s="710" t="s">
        <v>13400</v>
      </c>
      <c r="D3231" s="709" t="s">
        <v>136</v>
      </c>
      <c r="E3231" s="716">
        <v>8926.7900000000009</v>
      </c>
      <c r="F3231" s="717">
        <v>0</v>
      </c>
      <c r="G3231">
        <f>VLOOKUP(B3231,'SINAPI-%MO'!B:E,4,0)</f>
        <v>2.7000000000000001E-3</v>
      </c>
      <c r="H3231" s="225">
        <f t="shared" si="50"/>
        <v>8902.68</v>
      </c>
    </row>
    <row r="3232" spans="1:8" x14ac:dyDescent="0.3">
      <c r="A3232" s="400"/>
      <c r="B3232" s="709">
        <v>103511</v>
      </c>
      <c r="C3232" s="710" t="s">
        <v>15011</v>
      </c>
      <c r="D3232" s="709" t="s">
        <v>136</v>
      </c>
      <c r="E3232" s="716">
        <v>0</v>
      </c>
      <c r="F3232" s="717"/>
      <c r="G3232" t="e">
        <f>VLOOKUP(B3232,'SINAPI-%MO'!B:E,4,0)</f>
        <v>#N/A</v>
      </c>
      <c r="H3232" s="225" t="str">
        <f t="shared" si="50"/>
        <v/>
      </c>
    </row>
    <row r="3233" spans="1:8" x14ac:dyDescent="0.3">
      <c r="A3233" s="400"/>
      <c r="B3233" s="709">
        <v>103521</v>
      </c>
      <c r="C3233" s="710" t="s">
        <v>13401</v>
      </c>
      <c r="D3233" s="709" t="s">
        <v>136</v>
      </c>
      <c r="E3233" s="716">
        <v>11849.54</v>
      </c>
      <c r="F3233" s="717">
        <v>0</v>
      </c>
      <c r="G3233">
        <f>VLOOKUP(B3233,'SINAPI-%MO'!B:E,4,0)</f>
        <v>2.8E-3</v>
      </c>
      <c r="H3233" s="225">
        <f t="shared" si="50"/>
        <v>11816.36</v>
      </c>
    </row>
    <row r="3234" spans="1:8" x14ac:dyDescent="0.3">
      <c r="A3234" s="400"/>
      <c r="B3234" s="709">
        <v>103512</v>
      </c>
      <c r="C3234" s="710" t="s">
        <v>15012</v>
      </c>
      <c r="D3234" s="709" t="s">
        <v>136</v>
      </c>
      <c r="E3234" s="716">
        <v>0</v>
      </c>
      <c r="F3234" s="717"/>
      <c r="G3234" t="e">
        <f>VLOOKUP(B3234,'SINAPI-%MO'!B:E,4,0)</f>
        <v>#N/A</v>
      </c>
      <c r="H3234" s="225" t="str">
        <f t="shared" si="50"/>
        <v/>
      </c>
    </row>
    <row r="3235" spans="1:8" x14ac:dyDescent="0.3">
      <c r="A3235" s="400"/>
      <c r="B3235" s="709">
        <v>103522</v>
      </c>
      <c r="C3235" s="710" t="s">
        <v>13402</v>
      </c>
      <c r="D3235" s="709" t="s">
        <v>136</v>
      </c>
      <c r="E3235" s="716">
        <v>11686.13</v>
      </c>
      <c r="F3235" s="717">
        <v>0</v>
      </c>
      <c r="G3235">
        <f>VLOOKUP(B3235,'SINAPI-%MO'!B:E,4,0)</f>
        <v>1.9E-2</v>
      </c>
      <c r="H3235" s="225">
        <f t="shared" si="50"/>
        <v>11464.09</v>
      </c>
    </row>
    <row r="3236" spans="1:8" x14ac:dyDescent="0.3">
      <c r="A3236" s="400"/>
      <c r="B3236" s="709">
        <v>103508</v>
      </c>
      <c r="C3236" s="710" t="s">
        <v>15013</v>
      </c>
      <c r="D3236" s="709" t="s">
        <v>136</v>
      </c>
      <c r="E3236" s="716">
        <v>0</v>
      </c>
      <c r="F3236" s="717"/>
      <c r="G3236" t="e">
        <f>VLOOKUP(B3236,'SINAPI-%MO'!B:E,4,0)</f>
        <v>#N/A</v>
      </c>
      <c r="H3236" s="225" t="str">
        <f t="shared" si="50"/>
        <v/>
      </c>
    </row>
    <row r="3237" spans="1:8" x14ac:dyDescent="0.3">
      <c r="A3237" s="400"/>
      <c r="B3237" s="709">
        <v>103524</v>
      </c>
      <c r="C3237" s="710" t="s">
        <v>15014</v>
      </c>
      <c r="D3237" s="709" t="s">
        <v>136</v>
      </c>
      <c r="E3237" s="716">
        <v>0</v>
      </c>
      <c r="F3237" s="717"/>
      <c r="G3237" t="e">
        <f>VLOOKUP(B3237,'SINAPI-%MO'!B:E,4,0)</f>
        <v>#N/A</v>
      </c>
      <c r="H3237" s="225" t="str">
        <f t="shared" si="50"/>
        <v/>
      </c>
    </row>
    <row r="3238" spans="1:8" x14ac:dyDescent="0.3">
      <c r="A3238" s="400"/>
      <c r="B3238" s="709">
        <v>103526</v>
      </c>
      <c r="C3238" s="710" t="s">
        <v>15015</v>
      </c>
      <c r="D3238" s="709" t="s">
        <v>136</v>
      </c>
      <c r="E3238" s="716">
        <v>0</v>
      </c>
      <c r="F3238" s="717"/>
      <c r="G3238" t="e">
        <f>VLOOKUP(B3238,'SINAPI-%MO'!B:E,4,0)</f>
        <v>#N/A</v>
      </c>
      <c r="H3238" s="225" t="str">
        <f t="shared" si="50"/>
        <v/>
      </c>
    </row>
    <row r="3239" spans="1:8" x14ac:dyDescent="0.3">
      <c r="A3239" s="400"/>
      <c r="B3239" s="709">
        <v>103525</v>
      </c>
      <c r="C3239" s="710" t="s">
        <v>15016</v>
      </c>
      <c r="D3239" s="709" t="s">
        <v>136</v>
      </c>
      <c r="E3239" s="716">
        <v>0</v>
      </c>
      <c r="F3239" s="717"/>
      <c r="G3239" t="e">
        <f>VLOOKUP(B3239,'SINAPI-%MO'!B:E,4,0)</f>
        <v>#N/A</v>
      </c>
      <c r="H3239" s="225" t="str">
        <f t="shared" si="50"/>
        <v/>
      </c>
    </row>
    <row r="3240" spans="1:8" x14ac:dyDescent="0.3">
      <c r="A3240" s="400"/>
      <c r="B3240" s="709">
        <v>97062</v>
      </c>
      <c r="C3240" s="710" t="s">
        <v>3169</v>
      </c>
      <c r="D3240" s="709" t="s">
        <v>168</v>
      </c>
      <c r="E3240" s="716">
        <v>8.24</v>
      </c>
      <c r="F3240" s="717">
        <v>0</v>
      </c>
      <c r="G3240">
        <f>VLOOKUP(B3240,'SINAPI-%MO'!B:E,4,0)</f>
        <v>0.46360000000000001</v>
      </c>
      <c r="H3240" s="225">
        <f t="shared" si="50"/>
        <v>4.41</v>
      </c>
    </row>
    <row r="3241" spans="1:8" x14ac:dyDescent="0.3">
      <c r="A3241" s="400"/>
      <c r="B3241" s="709">
        <v>97061</v>
      </c>
      <c r="C3241" s="710" t="s">
        <v>3170</v>
      </c>
      <c r="D3241" s="709" t="s">
        <v>168</v>
      </c>
      <c r="E3241" s="716">
        <v>0</v>
      </c>
      <c r="F3241" s="717"/>
      <c r="G3241" t="e">
        <f>VLOOKUP(B3241,'SINAPI-%MO'!B:E,4,0)</f>
        <v>#N/A</v>
      </c>
      <c r="H3241" s="225" t="str">
        <f t="shared" si="50"/>
        <v/>
      </c>
    </row>
    <row r="3242" spans="1:8" x14ac:dyDescent="0.3">
      <c r="A3242" s="400"/>
      <c r="B3242" s="709">
        <v>104988</v>
      </c>
      <c r="C3242" s="710" t="s">
        <v>3171</v>
      </c>
      <c r="D3242" s="709" t="s">
        <v>168</v>
      </c>
      <c r="E3242" s="716">
        <v>0</v>
      </c>
      <c r="F3242" s="717"/>
      <c r="G3242" t="e">
        <f>VLOOKUP(B3242,'SINAPI-%MO'!B:E,4,0)</f>
        <v>#N/A</v>
      </c>
      <c r="H3242" s="225" t="str">
        <f t="shared" si="50"/>
        <v/>
      </c>
    </row>
    <row r="3243" spans="1:8" x14ac:dyDescent="0.3">
      <c r="A3243" s="400"/>
      <c r="B3243" s="709">
        <v>104979</v>
      </c>
      <c r="C3243" s="710" t="s">
        <v>3172</v>
      </c>
      <c r="D3243" s="709" t="s">
        <v>168</v>
      </c>
      <c r="E3243" s="716">
        <v>0</v>
      </c>
      <c r="F3243" s="717"/>
      <c r="G3243" t="e">
        <f>VLOOKUP(B3243,'SINAPI-%MO'!B:E,4,0)</f>
        <v>#N/A</v>
      </c>
      <c r="H3243" s="225" t="str">
        <f t="shared" si="50"/>
        <v/>
      </c>
    </row>
    <row r="3244" spans="1:8" x14ac:dyDescent="0.3">
      <c r="A3244" s="400"/>
      <c r="B3244" s="709">
        <v>97040</v>
      </c>
      <c r="C3244" s="710" t="s">
        <v>3173</v>
      </c>
      <c r="D3244" s="709" t="s">
        <v>168</v>
      </c>
      <c r="E3244" s="716">
        <v>19.04</v>
      </c>
      <c r="F3244" s="717">
        <v>0</v>
      </c>
      <c r="G3244">
        <f>VLOOKUP(B3244,'SINAPI-%MO'!B:E,4,0)</f>
        <v>0.72689999999999999</v>
      </c>
      <c r="H3244" s="225">
        <f t="shared" si="50"/>
        <v>5.19</v>
      </c>
    </row>
    <row r="3245" spans="1:8" x14ac:dyDescent="0.3">
      <c r="A3245" s="400"/>
      <c r="B3245" s="709">
        <v>97041</v>
      </c>
      <c r="C3245" s="710" t="s">
        <v>3174</v>
      </c>
      <c r="D3245" s="709" t="s">
        <v>168</v>
      </c>
      <c r="E3245" s="716">
        <v>134.24</v>
      </c>
      <c r="F3245" s="717">
        <v>0</v>
      </c>
      <c r="G3245">
        <f>VLOOKUP(B3245,'SINAPI-%MO'!B:E,4,0)</f>
        <v>0.2757</v>
      </c>
      <c r="H3245" s="225">
        <f t="shared" si="50"/>
        <v>97.23</v>
      </c>
    </row>
    <row r="3246" spans="1:8" x14ac:dyDescent="0.3">
      <c r="A3246" s="400"/>
      <c r="B3246" s="709">
        <v>97039</v>
      </c>
      <c r="C3246" s="710" t="s">
        <v>3175</v>
      </c>
      <c r="D3246" s="709" t="s">
        <v>168</v>
      </c>
      <c r="E3246" s="716">
        <v>92.78</v>
      </c>
      <c r="F3246" s="717">
        <v>0</v>
      </c>
      <c r="G3246">
        <f>VLOOKUP(B3246,'SINAPI-%MO'!B:E,4,0)</f>
        <v>0.2873</v>
      </c>
      <c r="H3246" s="225">
        <f t="shared" si="50"/>
        <v>66.12</v>
      </c>
    </row>
    <row r="3247" spans="1:8" x14ac:dyDescent="0.3">
      <c r="A3247" s="400"/>
      <c r="B3247" s="709">
        <v>102655</v>
      </c>
      <c r="C3247" s="710" t="s">
        <v>3176</v>
      </c>
      <c r="D3247" s="709" t="s">
        <v>159</v>
      </c>
      <c r="E3247" s="716">
        <v>0.7</v>
      </c>
      <c r="F3247" s="717">
        <v>0</v>
      </c>
      <c r="G3247">
        <f>VLOOKUP(B3247,'SINAPI-%MO'!B:E,4,0)</f>
        <v>0.85709999999999997</v>
      </c>
      <c r="H3247" s="225">
        <f t="shared" si="50"/>
        <v>0.1</v>
      </c>
    </row>
    <row r="3248" spans="1:8" x14ac:dyDescent="0.3">
      <c r="A3248" s="400"/>
      <c r="B3248" s="709">
        <v>104987</v>
      </c>
      <c r="C3248" s="710" t="s">
        <v>3177</v>
      </c>
      <c r="D3248" s="709" t="s">
        <v>159</v>
      </c>
      <c r="E3248" s="716">
        <v>0</v>
      </c>
      <c r="F3248" s="717"/>
      <c r="G3248" t="e">
        <f>VLOOKUP(B3248,'SINAPI-%MO'!B:E,4,0)</f>
        <v>#N/A</v>
      </c>
      <c r="H3248" s="225" t="str">
        <f t="shared" si="50"/>
        <v/>
      </c>
    </row>
    <row r="3249" spans="1:8" x14ac:dyDescent="0.3">
      <c r="A3249" s="400"/>
      <c r="B3249" s="709">
        <v>104986</v>
      </c>
      <c r="C3249" s="710" t="s">
        <v>3178</v>
      </c>
      <c r="D3249" s="709" t="s">
        <v>159</v>
      </c>
      <c r="E3249" s="716">
        <v>0</v>
      </c>
      <c r="F3249" s="717"/>
      <c r="G3249" t="e">
        <f>VLOOKUP(B3249,'SINAPI-%MO'!B:E,4,0)</f>
        <v>#N/A</v>
      </c>
      <c r="H3249" s="225" t="str">
        <f t="shared" si="50"/>
        <v/>
      </c>
    </row>
    <row r="3250" spans="1:8" x14ac:dyDescent="0.3">
      <c r="A3250" s="400"/>
      <c r="B3250" s="709">
        <v>104984</v>
      </c>
      <c r="C3250" s="710" t="s">
        <v>3179</v>
      </c>
      <c r="D3250" s="709" t="s">
        <v>159</v>
      </c>
      <c r="E3250" s="716">
        <v>0</v>
      </c>
      <c r="F3250" s="717"/>
      <c r="G3250" t="e">
        <f>VLOOKUP(B3250,'SINAPI-%MO'!B:E,4,0)</f>
        <v>#N/A</v>
      </c>
      <c r="H3250" s="225" t="str">
        <f t="shared" si="50"/>
        <v/>
      </c>
    </row>
    <row r="3251" spans="1:8" x14ac:dyDescent="0.3">
      <c r="A3251" s="400"/>
      <c r="B3251" s="709">
        <v>104985</v>
      </c>
      <c r="C3251" s="710" t="s">
        <v>3180</v>
      </c>
      <c r="D3251" s="709" t="s">
        <v>159</v>
      </c>
      <c r="E3251" s="716">
        <v>0</v>
      </c>
      <c r="F3251" s="717"/>
      <c r="G3251" t="e">
        <f>VLOOKUP(B3251,'SINAPI-%MO'!B:E,4,0)</f>
        <v>#N/A</v>
      </c>
      <c r="H3251" s="225" t="str">
        <f t="shared" si="50"/>
        <v/>
      </c>
    </row>
    <row r="3252" spans="1:8" x14ac:dyDescent="0.3">
      <c r="A3252" s="400"/>
      <c r="B3252" s="709">
        <v>97026</v>
      </c>
      <c r="C3252" s="710" t="s">
        <v>3181</v>
      </c>
      <c r="D3252" s="709" t="s">
        <v>159</v>
      </c>
      <c r="E3252" s="716">
        <v>0</v>
      </c>
      <c r="F3252" s="717"/>
      <c r="G3252" t="e">
        <f>VLOOKUP(B3252,'SINAPI-%MO'!B:E,4,0)</f>
        <v>#N/A</v>
      </c>
      <c r="H3252" s="225" t="str">
        <f t="shared" si="50"/>
        <v/>
      </c>
    </row>
    <row r="3253" spans="1:8" x14ac:dyDescent="0.3">
      <c r="A3253" s="400"/>
      <c r="B3253" s="709">
        <v>97025</v>
      </c>
      <c r="C3253" s="710" t="s">
        <v>3182</v>
      </c>
      <c r="D3253" s="709" t="s">
        <v>159</v>
      </c>
      <c r="E3253" s="716">
        <v>0</v>
      </c>
      <c r="F3253" s="717"/>
      <c r="G3253" t="e">
        <f>VLOOKUP(B3253,'SINAPI-%MO'!B:E,4,0)</f>
        <v>#N/A</v>
      </c>
      <c r="H3253" s="225" t="str">
        <f t="shared" si="50"/>
        <v/>
      </c>
    </row>
    <row r="3254" spans="1:8" x14ac:dyDescent="0.3">
      <c r="A3254" s="400"/>
      <c r="B3254" s="709">
        <v>97032</v>
      </c>
      <c r="C3254" s="710" t="s">
        <v>3183</v>
      </c>
      <c r="D3254" s="709" t="s">
        <v>159</v>
      </c>
      <c r="E3254" s="716">
        <v>59.36</v>
      </c>
      <c r="F3254" s="717">
        <v>0</v>
      </c>
      <c r="G3254">
        <f>VLOOKUP(B3254,'SINAPI-%MO'!B:E,4,0)</f>
        <v>0.33019999999999999</v>
      </c>
      <c r="H3254" s="225">
        <f t="shared" si="50"/>
        <v>39.75</v>
      </c>
    </row>
    <row r="3255" spans="1:8" x14ac:dyDescent="0.3">
      <c r="A3255" s="400"/>
      <c r="B3255" s="709">
        <v>97031</v>
      </c>
      <c r="C3255" s="710" t="s">
        <v>3184</v>
      </c>
      <c r="D3255" s="709" t="s">
        <v>159</v>
      </c>
      <c r="E3255" s="716">
        <v>95.98</v>
      </c>
      <c r="F3255" s="717">
        <v>0</v>
      </c>
      <c r="G3255">
        <f>VLOOKUP(B3255,'SINAPI-%MO'!B:E,4,0)</f>
        <v>0.20419999999999999</v>
      </c>
      <c r="H3255" s="225">
        <f t="shared" si="50"/>
        <v>76.38</v>
      </c>
    </row>
    <row r="3256" spans="1:8" x14ac:dyDescent="0.3">
      <c r="A3256" s="400"/>
      <c r="B3256" s="709">
        <v>97036</v>
      </c>
      <c r="C3256" s="710" t="s">
        <v>3185</v>
      </c>
      <c r="D3256" s="709" t="s">
        <v>159</v>
      </c>
      <c r="E3256" s="716">
        <v>0</v>
      </c>
      <c r="F3256" s="717"/>
      <c r="G3256" t="e">
        <f>VLOOKUP(B3256,'SINAPI-%MO'!B:E,4,0)</f>
        <v>#N/A</v>
      </c>
      <c r="H3256" s="225" t="str">
        <f t="shared" si="50"/>
        <v/>
      </c>
    </row>
    <row r="3257" spans="1:8" x14ac:dyDescent="0.3">
      <c r="A3257" s="400"/>
      <c r="B3257" s="709">
        <v>97035</v>
      </c>
      <c r="C3257" s="710" t="s">
        <v>3186</v>
      </c>
      <c r="D3257" s="709" t="s">
        <v>159</v>
      </c>
      <c r="E3257" s="716">
        <v>0</v>
      </c>
      <c r="F3257" s="717"/>
      <c r="G3257" t="e">
        <f>VLOOKUP(B3257,'SINAPI-%MO'!B:E,4,0)</f>
        <v>#N/A</v>
      </c>
      <c r="H3257" s="225" t="str">
        <f t="shared" si="50"/>
        <v/>
      </c>
    </row>
    <row r="3258" spans="1:8" x14ac:dyDescent="0.3">
      <c r="A3258" s="400"/>
      <c r="B3258" s="709">
        <v>97034</v>
      </c>
      <c r="C3258" s="710" t="s">
        <v>3187</v>
      </c>
      <c r="D3258" s="709" t="s">
        <v>159</v>
      </c>
      <c r="E3258" s="716">
        <v>60.88</v>
      </c>
      <c r="F3258" s="717">
        <v>0</v>
      </c>
      <c r="G3258">
        <f>VLOOKUP(B3258,'SINAPI-%MO'!B:E,4,0)</f>
        <v>0.43630000000000002</v>
      </c>
      <c r="H3258" s="225">
        <f t="shared" si="50"/>
        <v>34.31</v>
      </c>
    </row>
    <row r="3259" spans="1:8" x14ac:dyDescent="0.3">
      <c r="A3259" s="400"/>
      <c r="B3259" s="709">
        <v>97033</v>
      </c>
      <c r="C3259" s="710" t="s">
        <v>3188</v>
      </c>
      <c r="D3259" s="709" t="s">
        <v>159</v>
      </c>
      <c r="E3259" s="716">
        <v>92.97</v>
      </c>
      <c r="F3259" s="717">
        <v>0</v>
      </c>
      <c r="G3259">
        <f>VLOOKUP(B3259,'SINAPI-%MO'!B:E,4,0)</f>
        <v>0.28570000000000001</v>
      </c>
      <c r="H3259" s="225">
        <f t="shared" si="50"/>
        <v>66.400000000000006</v>
      </c>
    </row>
    <row r="3260" spans="1:8" x14ac:dyDescent="0.3">
      <c r="A3260" s="400"/>
      <c r="B3260" s="709">
        <v>97030</v>
      </c>
      <c r="C3260" s="710" t="s">
        <v>3189</v>
      </c>
      <c r="D3260" s="709" t="s">
        <v>159</v>
      </c>
      <c r="E3260" s="716">
        <v>0</v>
      </c>
      <c r="F3260" s="717"/>
      <c r="G3260" t="e">
        <f>VLOOKUP(B3260,'SINAPI-%MO'!B:E,4,0)</f>
        <v>#N/A</v>
      </c>
      <c r="H3260" s="225" t="str">
        <f t="shared" si="50"/>
        <v/>
      </c>
    </row>
    <row r="3261" spans="1:8" x14ac:dyDescent="0.3">
      <c r="A3261" s="400"/>
      <c r="B3261" s="709">
        <v>97029</v>
      </c>
      <c r="C3261" s="710" t="s">
        <v>3190</v>
      </c>
      <c r="D3261" s="709" t="s">
        <v>159</v>
      </c>
      <c r="E3261" s="716">
        <v>0</v>
      </c>
      <c r="F3261" s="717"/>
      <c r="G3261" t="e">
        <f>VLOOKUP(B3261,'SINAPI-%MO'!B:E,4,0)</f>
        <v>#N/A</v>
      </c>
      <c r="H3261" s="225" t="str">
        <f t="shared" si="50"/>
        <v/>
      </c>
    </row>
    <row r="3262" spans="1:8" x14ac:dyDescent="0.3">
      <c r="A3262" s="400"/>
      <c r="B3262" s="709">
        <v>97028</v>
      </c>
      <c r="C3262" s="710" t="s">
        <v>3191</v>
      </c>
      <c r="D3262" s="709" t="s">
        <v>159</v>
      </c>
      <c r="E3262" s="716">
        <v>0</v>
      </c>
      <c r="F3262" s="717"/>
      <c r="G3262" t="e">
        <f>VLOOKUP(B3262,'SINAPI-%MO'!B:E,4,0)</f>
        <v>#N/A</v>
      </c>
      <c r="H3262" s="225" t="str">
        <f t="shared" si="50"/>
        <v/>
      </c>
    </row>
    <row r="3263" spans="1:8" x14ac:dyDescent="0.3">
      <c r="A3263" s="400"/>
      <c r="B3263" s="709">
        <v>97027</v>
      </c>
      <c r="C3263" s="710" t="s">
        <v>3192</v>
      </c>
      <c r="D3263" s="709" t="s">
        <v>159</v>
      </c>
      <c r="E3263" s="716">
        <v>0</v>
      </c>
      <c r="F3263" s="717"/>
      <c r="G3263" t="e">
        <f>VLOOKUP(B3263,'SINAPI-%MO'!B:E,4,0)</f>
        <v>#N/A</v>
      </c>
      <c r="H3263" s="225" t="str">
        <f t="shared" si="50"/>
        <v/>
      </c>
    </row>
    <row r="3264" spans="1:8" x14ac:dyDescent="0.3">
      <c r="A3264" s="400"/>
      <c r="B3264" s="709">
        <v>97038</v>
      </c>
      <c r="C3264" s="710" t="s">
        <v>3193</v>
      </c>
      <c r="D3264" s="709" t="s">
        <v>159</v>
      </c>
      <c r="E3264" s="716">
        <v>0</v>
      </c>
      <c r="F3264" s="717"/>
      <c r="G3264" t="e">
        <f>VLOOKUP(B3264,'SINAPI-%MO'!B:E,4,0)</f>
        <v>#N/A</v>
      </c>
      <c r="H3264" s="225" t="str">
        <f t="shared" si="50"/>
        <v/>
      </c>
    </row>
    <row r="3265" spans="1:8" x14ac:dyDescent="0.3">
      <c r="A3265" s="400"/>
      <c r="B3265" s="709">
        <v>97037</v>
      </c>
      <c r="C3265" s="710" t="s">
        <v>3194</v>
      </c>
      <c r="D3265" s="709" t="s">
        <v>159</v>
      </c>
      <c r="E3265" s="716">
        <v>0</v>
      </c>
      <c r="F3265" s="717"/>
      <c r="G3265" t="e">
        <f>VLOOKUP(B3265,'SINAPI-%MO'!B:E,4,0)</f>
        <v>#N/A</v>
      </c>
      <c r="H3265" s="225" t="str">
        <f t="shared" si="50"/>
        <v/>
      </c>
    </row>
    <row r="3266" spans="1:8" x14ac:dyDescent="0.3">
      <c r="A3266" s="400"/>
      <c r="B3266" s="709">
        <v>97014</v>
      </c>
      <c r="C3266" s="710" t="s">
        <v>3195</v>
      </c>
      <c r="D3266" s="709" t="s">
        <v>159</v>
      </c>
      <c r="E3266" s="716">
        <v>69.760000000000005</v>
      </c>
      <c r="F3266" s="717">
        <v>0</v>
      </c>
      <c r="G3266">
        <f>VLOOKUP(B3266,'SINAPI-%MO'!B:E,4,0)</f>
        <v>0.26829999999999998</v>
      </c>
      <c r="H3266" s="225">
        <f t="shared" si="50"/>
        <v>51.04</v>
      </c>
    </row>
    <row r="3267" spans="1:8" x14ac:dyDescent="0.3">
      <c r="A3267" s="400"/>
      <c r="B3267" s="709">
        <v>97015</v>
      </c>
      <c r="C3267" s="710" t="s">
        <v>3196</v>
      </c>
      <c r="D3267" s="709" t="s">
        <v>159</v>
      </c>
      <c r="E3267" s="716">
        <v>57.68</v>
      </c>
      <c r="F3267" s="717">
        <v>0</v>
      </c>
      <c r="G3267">
        <f>VLOOKUP(B3267,'SINAPI-%MO'!B:E,4,0)</f>
        <v>0.32450000000000001</v>
      </c>
      <c r="H3267" s="225">
        <f t="shared" si="50"/>
        <v>38.96</v>
      </c>
    </row>
    <row r="3268" spans="1:8" x14ac:dyDescent="0.3">
      <c r="A3268" s="400"/>
      <c r="B3268" s="709">
        <v>97013</v>
      </c>
      <c r="C3268" s="710" t="s">
        <v>3197</v>
      </c>
      <c r="D3268" s="709" t="s">
        <v>159</v>
      </c>
      <c r="E3268" s="716">
        <v>94</v>
      </c>
      <c r="F3268" s="717">
        <v>0</v>
      </c>
      <c r="G3268">
        <f>VLOOKUP(B3268,'SINAPI-%MO'!B:E,4,0)</f>
        <v>0.1991</v>
      </c>
      <c r="H3268" s="225">
        <f t="shared" si="50"/>
        <v>75.28</v>
      </c>
    </row>
    <row r="3269" spans="1:8" x14ac:dyDescent="0.3">
      <c r="A3269" s="400"/>
      <c r="B3269" s="709">
        <v>97017</v>
      </c>
      <c r="C3269" s="710" t="s">
        <v>3198</v>
      </c>
      <c r="D3269" s="709" t="s">
        <v>159</v>
      </c>
      <c r="E3269" s="716">
        <v>48.79</v>
      </c>
      <c r="F3269" s="717">
        <v>0</v>
      </c>
      <c r="G3269">
        <f>VLOOKUP(B3269,'SINAPI-%MO'!B:E,4,0)</f>
        <v>0.30170000000000002</v>
      </c>
      <c r="H3269" s="225">
        <f t="shared" si="50"/>
        <v>34.07</v>
      </c>
    </row>
    <row r="3270" spans="1:8" x14ac:dyDescent="0.3">
      <c r="A3270" s="400"/>
      <c r="B3270" s="709">
        <v>97018</v>
      </c>
      <c r="C3270" s="710" t="s">
        <v>3199</v>
      </c>
      <c r="D3270" s="709" t="s">
        <v>159</v>
      </c>
      <c r="E3270" s="716">
        <v>40.770000000000003</v>
      </c>
      <c r="F3270" s="717">
        <v>0</v>
      </c>
      <c r="G3270">
        <f>VLOOKUP(B3270,'SINAPI-%MO'!B:E,4,0)</f>
        <v>0.36099999999999999</v>
      </c>
      <c r="H3270" s="225">
        <f t="shared" si="50"/>
        <v>26.05</v>
      </c>
    </row>
    <row r="3271" spans="1:8" x14ac:dyDescent="0.3">
      <c r="A3271" s="400"/>
      <c r="B3271" s="709">
        <v>97016</v>
      </c>
      <c r="C3271" s="710" t="s">
        <v>3200</v>
      </c>
      <c r="D3271" s="709" t="s">
        <v>159</v>
      </c>
      <c r="E3271" s="716">
        <v>64.989999999999995</v>
      </c>
      <c r="F3271" s="717">
        <v>0</v>
      </c>
      <c r="G3271">
        <f>VLOOKUP(B3271,'SINAPI-%MO'!B:E,4,0)</f>
        <v>0.22650000000000001</v>
      </c>
      <c r="H3271" s="225">
        <f t="shared" si="50"/>
        <v>50.26</v>
      </c>
    </row>
    <row r="3272" spans="1:8" x14ac:dyDescent="0.3">
      <c r="A3272" s="400"/>
      <c r="B3272" s="709">
        <v>97024</v>
      </c>
      <c r="C3272" s="710" t="s">
        <v>3201</v>
      </c>
      <c r="D3272" s="709" t="s">
        <v>159</v>
      </c>
      <c r="E3272" s="716">
        <v>0</v>
      </c>
      <c r="F3272" s="717"/>
      <c r="G3272" t="e">
        <f>VLOOKUP(B3272,'SINAPI-%MO'!B:E,4,0)</f>
        <v>#N/A</v>
      </c>
      <c r="H3272" s="225" t="str">
        <f t="shared" si="50"/>
        <v/>
      </c>
    </row>
    <row r="3273" spans="1:8" x14ac:dyDescent="0.3">
      <c r="A3273" s="400"/>
      <c r="B3273" s="709">
        <v>97023</v>
      </c>
      <c r="C3273" s="710" t="s">
        <v>3202</v>
      </c>
      <c r="D3273" s="709" t="s">
        <v>159</v>
      </c>
      <c r="E3273" s="716">
        <v>0</v>
      </c>
      <c r="F3273" s="717"/>
      <c r="G3273" t="e">
        <f>VLOOKUP(B3273,'SINAPI-%MO'!B:E,4,0)</f>
        <v>#N/A</v>
      </c>
      <c r="H3273" s="225" t="str">
        <f t="shared" si="50"/>
        <v/>
      </c>
    </row>
    <row r="3274" spans="1:8" x14ac:dyDescent="0.3">
      <c r="A3274" s="400"/>
      <c r="B3274" s="709">
        <v>105804</v>
      </c>
      <c r="C3274" s="710" t="s">
        <v>3203</v>
      </c>
      <c r="D3274" s="709" t="s">
        <v>159</v>
      </c>
      <c r="E3274" s="716">
        <v>0</v>
      </c>
      <c r="F3274" s="717"/>
      <c r="G3274" t="e">
        <f>VLOOKUP(B3274,'SINAPI-%MO'!B:E,4,0)</f>
        <v>#N/A</v>
      </c>
      <c r="H3274" s="225" t="str">
        <f t="shared" si="50"/>
        <v/>
      </c>
    </row>
    <row r="3275" spans="1:8" x14ac:dyDescent="0.3">
      <c r="A3275" s="400"/>
      <c r="B3275" s="709">
        <v>104990</v>
      </c>
      <c r="C3275" s="710" t="s">
        <v>3204</v>
      </c>
      <c r="D3275" s="709" t="s">
        <v>159</v>
      </c>
      <c r="E3275" s="716">
        <v>11.04</v>
      </c>
      <c r="F3275" s="717">
        <v>0.43840000000000001</v>
      </c>
      <c r="G3275">
        <f>VLOOKUP(B3275,'SINAPI-%MO'!B:E,4,0)</f>
        <v>0.56159999999999999</v>
      </c>
      <c r="H3275" s="225">
        <f t="shared" ref="H3275:H3338" si="51">IF(E3275&gt;0,TRUNC(E3275*(1-G3275),2),"")</f>
        <v>4.83</v>
      </c>
    </row>
    <row r="3276" spans="1:8" x14ac:dyDescent="0.3">
      <c r="A3276" s="400"/>
      <c r="B3276" s="709">
        <v>97052</v>
      </c>
      <c r="C3276" s="710" t="s">
        <v>3205</v>
      </c>
      <c r="D3276" s="709" t="s">
        <v>136</v>
      </c>
      <c r="E3276" s="716">
        <v>0</v>
      </c>
      <c r="F3276" s="717"/>
      <c r="G3276" t="e">
        <f>VLOOKUP(B3276,'SINAPI-%MO'!B:E,4,0)</f>
        <v>#N/A</v>
      </c>
      <c r="H3276" s="225" t="str">
        <f t="shared" si="51"/>
        <v/>
      </c>
    </row>
    <row r="3277" spans="1:8" x14ac:dyDescent="0.3">
      <c r="A3277" s="400"/>
      <c r="B3277" s="709">
        <v>97054</v>
      </c>
      <c r="C3277" s="710" t="s">
        <v>3206</v>
      </c>
      <c r="D3277" s="709" t="s">
        <v>136</v>
      </c>
      <c r="E3277" s="716">
        <v>30.24</v>
      </c>
      <c r="F3277" s="717">
        <v>0</v>
      </c>
      <c r="G3277">
        <f>VLOOKUP(B3277,'SINAPI-%MO'!B:E,4,0)</f>
        <v>0.40179999999999999</v>
      </c>
      <c r="H3277" s="225">
        <f t="shared" si="51"/>
        <v>18.079999999999998</v>
      </c>
    </row>
    <row r="3278" spans="1:8" x14ac:dyDescent="0.3">
      <c r="A3278" s="400"/>
      <c r="B3278" s="709">
        <v>104981</v>
      </c>
      <c r="C3278" s="710" t="s">
        <v>3207</v>
      </c>
      <c r="D3278" s="709" t="s">
        <v>159</v>
      </c>
      <c r="E3278" s="716">
        <v>0</v>
      </c>
      <c r="F3278" s="717"/>
      <c r="G3278" t="e">
        <f>VLOOKUP(B3278,'SINAPI-%MO'!B:E,4,0)</f>
        <v>#N/A</v>
      </c>
      <c r="H3278" s="225" t="str">
        <f t="shared" si="51"/>
        <v/>
      </c>
    </row>
    <row r="3279" spans="1:8" x14ac:dyDescent="0.3">
      <c r="A3279" s="400"/>
      <c r="B3279" s="709">
        <v>104980</v>
      </c>
      <c r="C3279" s="710" t="s">
        <v>3208</v>
      </c>
      <c r="D3279" s="709" t="s">
        <v>159</v>
      </c>
      <c r="E3279" s="716">
        <v>0</v>
      </c>
      <c r="F3279" s="717"/>
      <c r="G3279" t="e">
        <f>VLOOKUP(B3279,'SINAPI-%MO'!B:E,4,0)</f>
        <v>#N/A</v>
      </c>
      <c r="H3279" s="225" t="str">
        <f t="shared" si="51"/>
        <v/>
      </c>
    </row>
    <row r="3280" spans="1:8" x14ac:dyDescent="0.3">
      <c r="A3280" s="400"/>
      <c r="B3280" s="709">
        <v>97042</v>
      </c>
      <c r="C3280" s="710" t="s">
        <v>3209</v>
      </c>
      <c r="D3280" s="709" t="s">
        <v>159</v>
      </c>
      <c r="E3280" s="716">
        <v>0</v>
      </c>
      <c r="F3280" s="717"/>
      <c r="G3280" t="e">
        <f>VLOOKUP(B3280,'SINAPI-%MO'!B:E,4,0)</f>
        <v>#N/A</v>
      </c>
      <c r="H3280" s="225" t="str">
        <f t="shared" si="51"/>
        <v/>
      </c>
    </row>
    <row r="3281" spans="1:8" x14ac:dyDescent="0.3">
      <c r="A3281" s="400"/>
      <c r="B3281" s="709">
        <v>97045</v>
      </c>
      <c r="C3281" s="710" t="s">
        <v>3210</v>
      </c>
      <c r="D3281" s="709" t="s">
        <v>159</v>
      </c>
      <c r="E3281" s="716">
        <v>0</v>
      </c>
      <c r="F3281" s="717"/>
      <c r="G3281" t="e">
        <f>VLOOKUP(B3281,'SINAPI-%MO'!B:E,4,0)</f>
        <v>#N/A</v>
      </c>
      <c r="H3281" s="225" t="str">
        <f t="shared" si="51"/>
        <v/>
      </c>
    </row>
    <row r="3282" spans="1:8" x14ac:dyDescent="0.3">
      <c r="A3282" s="400"/>
      <c r="B3282" s="709">
        <v>97044</v>
      </c>
      <c r="C3282" s="710" t="s">
        <v>3211</v>
      </c>
      <c r="D3282" s="709" t="s">
        <v>159</v>
      </c>
      <c r="E3282" s="716">
        <v>0</v>
      </c>
      <c r="F3282" s="717"/>
      <c r="G3282" t="e">
        <f>VLOOKUP(B3282,'SINAPI-%MO'!B:E,4,0)</f>
        <v>#N/A</v>
      </c>
      <c r="H3282" s="225" t="str">
        <f t="shared" si="51"/>
        <v/>
      </c>
    </row>
    <row r="3283" spans="1:8" x14ac:dyDescent="0.3">
      <c r="A3283" s="400"/>
      <c r="B3283" s="709">
        <v>97043</v>
      </c>
      <c r="C3283" s="710" t="s">
        <v>3212</v>
      </c>
      <c r="D3283" s="709" t="s">
        <v>159</v>
      </c>
      <c r="E3283" s="716">
        <v>0</v>
      </c>
      <c r="F3283" s="717"/>
      <c r="G3283" t="e">
        <f>VLOOKUP(B3283,'SINAPI-%MO'!B:E,4,0)</f>
        <v>#N/A</v>
      </c>
      <c r="H3283" s="225" t="str">
        <f t="shared" si="51"/>
        <v/>
      </c>
    </row>
    <row r="3284" spans="1:8" x14ac:dyDescent="0.3">
      <c r="A3284" s="400"/>
      <c r="B3284" s="709">
        <v>97063</v>
      </c>
      <c r="C3284" s="710" t="s">
        <v>3213</v>
      </c>
      <c r="D3284" s="709" t="s">
        <v>168</v>
      </c>
      <c r="E3284" s="716">
        <v>21.72</v>
      </c>
      <c r="F3284" s="717">
        <v>0</v>
      </c>
      <c r="G3284">
        <f>VLOOKUP(B3284,'SINAPI-%MO'!B:E,4,0)</f>
        <v>1</v>
      </c>
      <c r="H3284" s="225">
        <f t="shared" si="51"/>
        <v>0</v>
      </c>
    </row>
    <row r="3285" spans="1:8" x14ac:dyDescent="0.3">
      <c r="A3285" s="400"/>
      <c r="B3285" s="709">
        <v>97065</v>
      </c>
      <c r="C3285" s="710" t="s">
        <v>3214</v>
      </c>
      <c r="D3285" s="709" t="s">
        <v>170</v>
      </c>
      <c r="E3285" s="716">
        <v>14.71</v>
      </c>
      <c r="F3285" s="717">
        <v>0</v>
      </c>
      <c r="G3285">
        <f>VLOOKUP(B3285,'SINAPI-%MO'!B:E,4,0)</f>
        <v>1</v>
      </c>
      <c r="H3285" s="225">
        <f t="shared" si="51"/>
        <v>0</v>
      </c>
    </row>
    <row r="3286" spans="1:8" x14ac:dyDescent="0.3">
      <c r="A3286" s="400"/>
      <c r="B3286" s="709">
        <v>97064</v>
      </c>
      <c r="C3286" s="710" t="s">
        <v>3215</v>
      </c>
      <c r="D3286" s="709" t="s">
        <v>159</v>
      </c>
      <c r="E3286" s="716">
        <v>30.58</v>
      </c>
      <c r="F3286" s="717">
        <v>0</v>
      </c>
      <c r="G3286">
        <f>VLOOKUP(B3286,'SINAPI-%MO'!B:E,4,0)</f>
        <v>1</v>
      </c>
      <c r="H3286" s="225">
        <f t="shared" si="51"/>
        <v>0</v>
      </c>
    </row>
    <row r="3287" spans="1:8" x14ac:dyDescent="0.3">
      <c r="A3287" s="400"/>
      <c r="B3287" s="709">
        <v>97049</v>
      </c>
      <c r="C3287" s="710" t="s">
        <v>3216</v>
      </c>
      <c r="D3287" s="709" t="s">
        <v>168</v>
      </c>
      <c r="E3287" s="716">
        <v>0</v>
      </c>
      <c r="F3287" s="717"/>
      <c r="G3287" t="e">
        <f>VLOOKUP(B3287,'SINAPI-%MO'!B:E,4,0)</f>
        <v>#N/A</v>
      </c>
      <c r="H3287" s="225" t="str">
        <f t="shared" si="51"/>
        <v/>
      </c>
    </row>
    <row r="3288" spans="1:8" x14ac:dyDescent="0.3">
      <c r="A3288" s="400"/>
      <c r="B3288" s="709">
        <v>96997</v>
      </c>
      <c r="C3288" s="710" t="s">
        <v>3217</v>
      </c>
      <c r="D3288" s="709" t="s">
        <v>159</v>
      </c>
      <c r="E3288" s="716">
        <v>0</v>
      </c>
      <c r="F3288" s="717"/>
      <c r="G3288" t="e">
        <f>VLOOKUP(B3288,'SINAPI-%MO'!B:E,4,0)</f>
        <v>#N/A</v>
      </c>
      <c r="H3288" s="225" t="str">
        <f t="shared" si="51"/>
        <v/>
      </c>
    </row>
    <row r="3289" spans="1:8" x14ac:dyDescent="0.3">
      <c r="A3289" s="400"/>
      <c r="B3289" s="709">
        <v>96999</v>
      </c>
      <c r="C3289" s="710" t="s">
        <v>3218</v>
      </c>
      <c r="D3289" s="709" t="s">
        <v>159</v>
      </c>
      <c r="E3289" s="716">
        <v>0</v>
      </c>
      <c r="F3289" s="717"/>
      <c r="G3289" t="e">
        <f>VLOOKUP(B3289,'SINAPI-%MO'!B:E,4,0)</f>
        <v>#N/A</v>
      </c>
      <c r="H3289" s="225" t="str">
        <f t="shared" si="51"/>
        <v/>
      </c>
    </row>
    <row r="3290" spans="1:8" x14ac:dyDescent="0.3">
      <c r="A3290" s="400"/>
      <c r="B3290" s="709">
        <v>96996</v>
      </c>
      <c r="C3290" s="710" t="s">
        <v>3219</v>
      </c>
      <c r="D3290" s="709" t="s">
        <v>159</v>
      </c>
      <c r="E3290" s="716">
        <v>0</v>
      </c>
      <c r="F3290" s="717"/>
      <c r="G3290" t="e">
        <f>VLOOKUP(B3290,'SINAPI-%MO'!B:E,4,0)</f>
        <v>#N/A</v>
      </c>
      <c r="H3290" s="225" t="str">
        <f t="shared" si="51"/>
        <v/>
      </c>
    </row>
    <row r="3291" spans="1:8" x14ac:dyDescent="0.3">
      <c r="A3291" s="400"/>
      <c r="B3291" s="709">
        <v>96998</v>
      </c>
      <c r="C3291" s="710" t="s">
        <v>3220</v>
      </c>
      <c r="D3291" s="709" t="s">
        <v>159</v>
      </c>
      <c r="E3291" s="716">
        <v>0</v>
      </c>
      <c r="F3291" s="717"/>
      <c r="G3291" t="e">
        <f>VLOOKUP(B3291,'SINAPI-%MO'!B:E,4,0)</f>
        <v>#N/A</v>
      </c>
      <c r="H3291" s="225" t="str">
        <f t="shared" si="51"/>
        <v/>
      </c>
    </row>
    <row r="3292" spans="1:8" x14ac:dyDescent="0.3">
      <c r="A3292" s="400"/>
      <c r="B3292" s="709">
        <v>97067</v>
      </c>
      <c r="C3292" s="710" t="s">
        <v>3221</v>
      </c>
      <c r="D3292" s="709" t="s">
        <v>159</v>
      </c>
      <c r="E3292" s="716">
        <v>663.09</v>
      </c>
      <c r="F3292" s="717">
        <v>0</v>
      </c>
      <c r="G3292">
        <f>VLOOKUP(B3292,'SINAPI-%MO'!B:E,4,0)</f>
        <v>0.29210000000000003</v>
      </c>
      <c r="H3292" s="225">
        <f t="shared" si="51"/>
        <v>469.4</v>
      </c>
    </row>
    <row r="3293" spans="1:8" x14ac:dyDescent="0.3">
      <c r="A3293" s="400"/>
      <c r="B3293" s="709">
        <v>97001</v>
      </c>
      <c r="C3293" s="710" t="s">
        <v>3222</v>
      </c>
      <c r="D3293" s="709" t="s">
        <v>159</v>
      </c>
      <c r="E3293" s="716">
        <v>0</v>
      </c>
      <c r="F3293" s="717"/>
      <c r="G3293" t="e">
        <f>VLOOKUP(B3293,'SINAPI-%MO'!B:E,4,0)</f>
        <v>#N/A</v>
      </c>
      <c r="H3293" s="225" t="str">
        <f t="shared" si="51"/>
        <v/>
      </c>
    </row>
    <row r="3294" spans="1:8" x14ac:dyDescent="0.3">
      <c r="A3294" s="400"/>
      <c r="B3294" s="709">
        <v>97003</v>
      </c>
      <c r="C3294" s="710" t="s">
        <v>3223</v>
      </c>
      <c r="D3294" s="709" t="s">
        <v>159</v>
      </c>
      <c r="E3294" s="716">
        <v>0</v>
      </c>
      <c r="F3294" s="717"/>
      <c r="G3294" t="e">
        <f>VLOOKUP(B3294,'SINAPI-%MO'!B:E,4,0)</f>
        <v>#N/A</v>
      </c>
      <c r="H3294" s="225" t="str">
        <f t="shared" si="51"/>
        <v/>
      </c>
    </row>
    <row r="3295" spans="1:8" x14ac:dyDescent="0.3">
      <c r="A3295" s="400"/>
      <c r="B3295" s="709">
        <v>97005</v>
      </c>
      <c r="C3295" s="710" t="s">
        <v>3224</v>
      </c>
      <c r="D3295" s="709" t="s">
        <v>159</v>
      </c>
      <c r="E3295" s="716">
        <v>0</v>
      </c>
      <c r="F3295" s="717"/>
      <c r="G3295" t="e">
        <f>VLOOKUP(B3295,'SINAPI-%MO'!B:E,4,0)</f>
        <v>#N/A</v>
      </c>
      <c r="H3295" s="225" t="str">
        <f t="shared" si="51"/>
        <v/>
      </c>
    </row>
    <row r="3296" spans="1:8" x14ac:dyDescent="0.3">
      <c r="A3296" s="400"/>
      <c r="B3296" s="709">
        <v>97000</v>
      </c>
      <c r="C3296" s="710" t="s">
        <v>3225</v>
      </c>
      <c r="D3296" s="709" t="s">
        <v>159</v>
      </c>
      <c r="E3296" s="716">
        <v>0</v>
      </c>
      <c r="F3296" s="717"/>
      <c r="G3296" t="e">
        <f>VLOOKUP(B3296,'SINAPI-%MO'!B:E,4,0)</f>
        <v>#N/A</v>
      </c>
      <c r="H3296" s="225" t="str">
        <f t="shared" si="51"/>
        <v/>
      </c>
    </row>
    <row r="3297" spans="1:8" x14ac:dyDescent="0.3">
      <c r="A3297" s="400"/>
      <c r="B3297" s="709">
        <v>97002</v>
      </c>
      <c r="C3297" s="710" t="s">
        <v>3226</v>
      </c>
      <c r="D3297" s="709" t="s">
        <v>159</v>
      </c>
      <c r="E3297" s="716">
        <v>0</v>
      </c>
      <c r="F3297" s="717"/>
      <c r="G3297" t="e">
        <f>VLOOKUP(B3297,'SINAPI-%MO'!B:E,4,0)</f>
        <v>#N/A</v>
      </c>
      <c r="H3297" s="225" t="str">
        <f t="shared" si="51"/>
        <v/>
      </c>
    </row>
    <row r="3298" spans="1:8" x14ac:dyDescent="0.3">
      <c r="A3298" s="400"/>
      <c r="B3298" s="709">
        <v>97004</v>
      </c>
      <c r="C3298" s="710" t="s">
        <v>3227</v>
      </c>
      <c r="D3298" s="709" t="s">
        <v>159</v>
      </c>
      <c r="E3298" s="716">
        <v>0</v>
      </c>
      <c r="F3298" s="717"/>
      <c r="G3298" t="e">
        <f>VLOOKUP(B3298,'SINAPI-%MO'!B:E,4,0)</f>
        <v>#N/A</v>
      </c>
      <c r="H3298" s="225" t="str">
        <f t="shared" si="51"/>
        <v/>
      </c>
    </row>
    <row r="3299" spans="1:8" x14ac:dyDescent="0.3">
      <c r="A3299" s="400"/>
      <c r="B3299" s="709">
        <v>97007</v>
      </c>
      <c r="C3299" s="710" t="s">
        <v>3228</v>
      </c>
      <c r="D3299" s="709" t="s">
        <v>159</v>
      </c>
      <c r="E3299" s="716">
        <v>0</v>
      </c>
      <c r="F3299" s="717"/>
      <c r="G3299" t="e">
        <f>VLOOKUP(B3299,'SINAPI-%MO'!B:E,4,0)</f>
        <v>#N/A</v>
      </c>
      <c r="H3299" s="225" t="str">
        <f t="shared" si="51"/>
        <v/>
      </c>
    </row>
    <row r="3300" spans="1:8" x14ac:dyDescent="0.3">
      <c r="A3300" s="400"/>
      <c r="B3300" s="709">
        <v>97009</v>
      </c>
      <c r="C3300" s="710" t="s">
        <v>3229</v>
      </c>
      <c r="D3300" s="709" t="s">
        <v>159</v>
      </c>
      <c r="E3300" s="716">
        <v>0</v>
      </c>
      <c r="F3300" s="717"/>
      <c r="G3300" t="e">
        <f>VLOOKUP(B3300,'SINAPI-%MO'!B:E,4,0)</f>
        <v>#N/A</v>
      </c>
      <c r="H3300" s="225" t="str">
        <f t="shared" si="51"/>
        <v/>
      </c>
    </row>
    <row r="3301" spans="1:8" x14ac:dyDescent="0.3">
      <c r="A3301" s="400"/>
      <c r="B3301" s="709">
        <v>97006</v>
      </c>
      <c r="C3301" s="710" t="s">
        <v>3230</v>
      </c>
      <c r="D3301" s="709" t="s">
        <v>159</v>
      </c>
      <c r="E3301" s="716">
        <v>0</v>
      </c>
      <c r="F3301" s="717"/>
      <c r="G3301" t="e">
        <f>VLOOKUP(B3301,'SINAPI-%MO'!B:E,4,0)</f>
        <v>#N/A</v>
      </c>
      <c r="H3301" s="225" t="str">
        <f t="shared" si="51"/>
        <v/>
      </c>
    </row>
    <row r="3302" spans="1:8" x14ac:dyDescent="0.3">
      <c r="A3302" s="400"/>
      <c r="B3302" s="709">
        <v>97008</v>
      </c>
      <c r="C3302" s="710" t="s">
        <v>3231</v>
      </c>
      <c r="D3302" s="709" t="s">
        <v>159</v>
      </c>
      <c r="E3302" s="716">
        <v>0</v>
      </c>
      <c r="F3302" s="717"/>
      <c r="G3302" t="e">
        <f>VLOOKUP(B3302,'SINAPI-%MO'!B:E,4,0)</f>
        <v>#N/A</v>
      </c>
      <c r="H3302" s="225" t="str">
        <f t="shared" si="51"/>
        <v/>
      </c>
    </row>
    <row r="3303" spans="1:8" x14ac:dyDescent="0.3">
      <c r="A3303" s="400"/>
      <c r="B3303" s="709">
        <v>97048</v>
      </c>
      <c r="C3303" s="710" t="s">
        <v>3232</v>
      </c>
      <c r="D3303" s="709" t="s">
        <v>168</v>
      </c>
      <c r="E3303" s="716">
        <v>7.0000000000000007E-2</v>
      </c>
      <c r="F3303" s="717">
        <v>0</v>
      </c>
      <c r="G3303">
        <f>VLOOKUP(B3303,'SINAPI-%MO'!B:E,4,0)</f>
        <v>0.28570000000000001</v>
      </c>
      <c r="H3303" s="225">
        <f t="shared" si="51"/>
        <v>0.05</v>
      </c>
    </row>
    <row r="3304" spans="1:8" x14ac:dyDescent="0.3">
      <c r="A3304" s="400"/>
      <c r="B3304" s="709">
        <v>97047</v>
      </c>
      <c r="C3304" s="710" t="s">
        <v>3233</v>
      </c>
      <c r="D3304" s="709" t="s">
        <v>168</v>
      </c>
      <c r="E3304" s="716">
        <v>0.09</v>
      </c>
      <c r="F3304" s="717">
        <v>0</v>
      </c>
      <c r="G3304">
        <f>VLOOKUP(B3304,'SINAPI-%MO'!B:E,4,0)</f>
        <v>0.33329999999999999</v>
      </c>
      <c r="H3304" s="225">
        <f t="shared" si="51"/>
        <v>0.06</v>
      </c>
    </row>
    <row r="3305" spans="1:8" x14ac:dyDescent="0.3">
      <c r="A3305" s="400"/>
      <c r="B3305" s="709">
        <v>97046</v>
      </c>
      <c r="C3305" s="710" t="s">
        <v>3234</v>
      </c>
      <c r="D3305" s="709" t="s">
        <v>168</v>
      </c>
      <c r="E3305" s="716">
        <v>0.25</v>
      </c>
      <c r="F3305" s="717">
        <v>0</v>
      </c>
      <c r="G3305">
        <f>VLOOKUP(B3305,'SINAPI-%MO'!B:E,4,0)</f>
        <v>0.36</v>
      </c>
      <c r="H3305" s="225">
        <f t="shared" si="51"/>
        <v>0.16</v>
      </c>
    </row>
    <row r="3306" spans="1:8" x14ac:dyDescent="0.3">
      <c r="A3306" s="400"/>
      <c r="B3306" s="709">
        <v>104989</v>
      </c>
      <c r="C3306" s="710" t="s">
        <v>3235</v>
      </c>
      <c r="D3306" s="709" t="s">
        <v>136</v>
      </c>
      <c r="E3306" s="716">
        <v>41.11</v>
      </c>
      <c r="F3306" s="717">
        <v>0.23549999999999999</v>
      </c>
      <c r="G3306">
        <f>VLOOKUP(B3306,'SINAPI-%MO'!B:E,4,0)</f>
        <v>0.76449999999999996</v>
      </c>
      <c r="H3306" s="225">
        <f t="shared" si="51"/>
        <v>9.68</v>
      </c>
    </row>
    <row r="3307" spans="1:8" x14ac:dyDescent="0.3">
      <c r="A3307" s="400"/>
      <c r="B3307" s="709">
        <v>97066</v>
      </c>
      <c r="C3307" s="710" t="s">
        <v>3236</v>
      </c>
      <c r="D3307" s="709" t="s">
        <v>168</v>
      </c>
      <c r="E3307" s="716">
        <v>377.56</v>
      </c>
      <c r="F3307" s="717">
        <v>0</v>
      </c>
      <c r="G3307">
        <f>VLOOKUP(B3307,'SINAPI-%MO'!B:E,4,0)</f>
        <v>0.4128</v>
      </c>
      <c r="H3307" s="225">
        <f t="shared" si="51"/>
        <v>221.7</v>
      </c>
    </row>
    <row r="3308" spans="1:8" x14ac:dyDescent="0.3">
      <c r="A3308" s="400"/>
      <c r="B3308" s="709">
        <v>104982</v>
      </c>
      <c r="C3308" s="710" t="s">
        <v>3237</v>
      </c>
      <c r="D3308" s="709" t="s">
        <v>159</v>
      </c>
      <c r="E3308" s="716">
        <v>0</v>
      </c>
      <c r="F3308" s="717"/>
      <c r="G3308" t="e">
        <f>VLOOKUP(B3308,'SINAPI-%MO'!B:E,4,0)</f>
        <v>#N/A</v>
      </c>
      <c r="H3308" s="225" t="str">
        <f t="shared" si="51"/>
        <v/>
      </c>
    </row>
    <row r="3309" spans="1:8" x14ac:dyDescent="0.3">
      <c r="A3309" s="400"/>
      <c r="B3309" s="709">
        <v>97060</v>
      </c>
      <c r="C3309" s="710" t="s">
        <v>3238</v>
      </c>
      <c r="D3309" s="709" t="s">
        <v>159</v>
      </c>
      <c r="E3309" s="716">
        <v>0</v>
      </c>
      <c r="F3309" s="717"/>
      <c r="G3309" t="e">
        <f>VLOOKUP(B3309,'SINAPI-%MO'!B:E,4,0)</f>
        <v>#N/A</v>
      </c>
      <c r="H3309" s="225" t="str">
        <f t="shared" si="51"/>
        <v/>
      </c>
    </row>
    <row r="3310" spans="1:8" x14ac:dyDescent="0.3">
      <c r="A3310" s="400"/>
      <c r="B3310" s="709">
        <v>97059</v>
      </c>
      <c r="C3310" s="710" t="s">
        <v>3239</v>
      </c>
      <c r="D3310" s="709" t="s">
        <v>159</v>
      </c>
      <c r="E3310" s="716">
        <v>0</v>
      </c>
      <c r="F3310" s="717"/>
      <c r="G3310" t="e">
        <f>VLOOKUP(B3310,'SINAPI-%MO'!B:E,4,0)</f>
        <v>#N/A</v>
      </c>
      <c r="H3310" s="225" t="str">
        <f t="shared" si="51"/>
        <v/>
      </c>
    </row>
    <row r="3311" spans="1:8" x14ac:dyDescent="0.3">
      <c r="A3311" s="400"/>
      <c r="B3311" s="709">
        <v>97058</v>
      </c>
      <c r="C3311" s="710" t="s">
        <v>3240</v>
      </c>
      <c r="D3311" s="709" t="s">
        <v>159</v>
      </c>
      <c r="E3311" s="716">
        <v>0</v>
      </c>
      <c r="F3311" s="717"/>
      <c r="G3311" t="e">
        <f>VLOOKUP(B3311,'SINAPI-%MO'!B:E,4,0)</f>
        <v>#N/A</v>
      </c>
      <c r="H3311" s="225" t="str">
        <f t="shared" si="51"/>
        <v/>
      </c>
    </row>
    <row r="3312" spans="1:8" x14ac:dyDescent="0.3">
      <c r="A3312" s="400"/>
      <c r="B3312" s="709">
        <v>97056</v>
      </c>
      <c r="C3312" s="710" t="s">
        <v>3241</v>
      </c>
      <c r="D3312" s="709" t="s">
        <v>159</v>
      </c>
      <c r="E3312" s="716">
        <v>0</v>
      </c>
      <c r="F3312" s="717"/>
      <c r="G3312" t="e">
        <f>VLOOKUP(B3312,'SINAPI-%MO'!B:E,4,0)</f>
        <v>#N/A</v>
      </c>
      <c r="H3312" s="225" t="str">
        <f t="shared" si="51"/>
        <v/>
      </c>
    </row>
    <row r="3313" spans="1:8" x14ac:dyDescent="0.3">
      <c r="A3313" s="400"/>
      <c r="B3313" s="709">
        <v>97057</v>
      </c>
      <c r="C3313" s="710" t="s">
        <v>3242</v>
      </c>
      <c r="D3313" s="709" t="s">
        <v>159</v>
      </c>
      <c r="E3313" s="716">
        <v>0</v>
      </c>
      <c r="F3313" s="717"/>
      <c r="G3313" t="e">
        <f>VLOOKUP(B3313,'SINAPI-%MO'!B:E,4,0)</f>
        <v>#N/A</v>
      </c>
      <c r="H3313" s="225" t="str">
        <f t="shared" si="51"/>
        <v/>
      </c>
    </row>
    <row r="3314" spans="1:8" x14ac:dyDescent="0.3">
      <c r="A3314" s="400"/>
      <c r="B3314" s="709">
        <v>97055</v>
      </c>
      <c r="C3314" s="710" t="s">
        <v>3243</v>
      </c>
      <c r="D3314" s="709" t="s">
        <v>159</v>
      </c>
      <c r="E3314" s="716">
        <v>0</v>
      </c>
      <c r="F3314" s="717"/>
      <c r="G3314" t="e">
        <f>VLOOKUP(B3314,'SINAPI-%MO'!B:E,4,0)</f>
        <v>#N/A</v>
      </c>
      <c r="H3314" s="225" t="str">
        <f t="shared" si="51"/>
        <v/>
      </c>
    </row>
    <row r="3315" spans="1:8" x14ac:dyDescent="0.3">
      <c r="A3315" s="400"/>
      <c r="B3315" s="709">
        <v>102656</v>
      </c>
      <c r="C3315" s="710" t="s">
        <v>3244</v>
      </c>
      <c r="D3315" s="709" t="s">
        <v>159</v>
      </c>
      <c r="E3315" s="716">
        <v>6.41</v>
      </c>
      <c r="F3315" s="717">
        <v>0</v>
      </c>
      <c r="G3315">
        <f>VLOOKUP(B3315,'SINAPI-%MO'!B:E,4,0)</f>
        <v>0.56789999999999996</v>
      </c>
      <c r="H3315" s="225">
        <f t="shared" si="51"/>
        <v>2.76</v>
      </c>
    </row>
    <row r="3316" spans="1:8" x14ac:dyDescent="0.3">
      <c r="A3316" s="400"/>
      <c r="B3316" s="709">
        <v>104983</v>
      </c>
      <c r="C3316" s="710" t="s">
        <v>3245</v>
      </c>
      <c r="D3316" s="709" t="s">
        <v>136</v>
      </c>
      <c r="E3316" s="716">
        <v>0</v>
      </c>
      <c r="F3316" s="717"/>
      <c r="G3316" t="e">
        <f>VLOOKUP(B3316,'SINAPI-%MO'!B:E,4,0)</f>
        <v>#N/A</v>
      </c>
      <c r="H3316" s="225" t="str">
        <f t="shared" si="51"/>
        <v/>
      </c>
    </row>
    <row r="3317" spans="1:8" x14ac:dyDescent="0.3">
      <c r="A3317" s="400"/>
      <c r="B3317" s="709">
        <v>97050</v>
      </c>
      <c r="C3317" s="710" t="s">
        <v>3246</v>
      </c>
      <c r="D3317" s="709" t="s">
        <v>168</v>
      </c>
      <c r="E3317" s="716">
        <v>0</v>
      </c>
      <c r="F3317" s="717"/>
      <c r="G3317" t="e">
        <f>VLOOKUP(B3317,'SINAPI-%MO'!B:E,4,0)</f>
        <v>#N/A</v>
      </c>
      <c r="H3317" s="225" t="str">
        <f t="shared" si="51"/>
        <v/>
      </c>
    </row>
    <row r="3318" spans="1:8" x14ac:dyDescent="0.3">
      <c r="A3318" s="400"/>
      <c r="B3318" s="709">
        <v>95946</v>
      </c>
      <c r="C3318" s="710" t="s">
        <v>3247</v>
      </c>
      <c r="D3318" s="709" t="s">
        <v>175</v>
      </c>
      <c r="E3318" s="716">
        <v>12.12</v>
      </c>
      <c r="F3318" s="717">
        <v>0</v>
      </c>
      <c r="G3318">
        <f>VLOOKUP(B3318,'SINAPI-%MO'!B:E,4,0)</f>
        <v>0.29699999999999999</v>
      </c>
      <c r="H3318" s="225">
        <f t="shared" si="51"/>
        <v>8.52</v>
      </c>
    </row>
    <row r="3319" spans="1:8" x14ac:dyDescent="0.3">
      <c r="A3319" s="400"/>
      <c r="B3319" s="709">
        <v>95947</v>
      </c>
      <c r="C3319" s="710" t="s">
        <v>3248</v>
      </c>
      <c r="D3319" s="709" t="s">
        <v>175</v>
      </c>
      <c r="E3319" s="716">
        <v>9.06</v>
      </c>
      <c r="F3319" s="717">
        <v>0</v>
      </c>
      <c r="G3319">
        <f>VLOOKUP(B3319,'SINAPI-%MO'!B:E,4,0)</f>
        <v>0.1799</v>
      </c>
      <c r="H3319" s="225">
        <f t="shared" si="51"/>
        <v>7.43</v>
      </c>
    </row>
    <row r="3320" spans="1:8" x14ac:dyDescent="0.3">
      <c r="A3320" s="400"/>
      <c r="B3320" s="709">
        <v>95948</v>
      </c>
      <c r="C3320" s="710" t="s">
        <v>3249</v>
      </c>
      <c r="D3320" s="709" t="s">
        <v>175</v>
      </c>
      <c r="E3320" s="716">
        <v>7.72</v>
      </c>
      <c r="F3320" s="717">
        <v>0</v>
      </c>
      <c r="G3320">
        <f>VLOOKUP(B3320,'SINAPI-%MO'!B:E,4,0)</f>
        <v>3.8899999999999997E-2</v>
      </c>
      <c r="H3320" s="225">
        <f t="shared" si="51"/>
        <v>7.41</v>
      </c>
    </row>
    <row r="3321" spans="1:8" x14ac:dyDescent="0.3">
      <c r="A3321" s="400"/>
      <c r="B3321" s="709">
        <v>95944</v>
      </c>
      <c r="C3321" s="710" t="s">
        <v>3250</v>
      </c>
      <c r="D3321" s="709" t="s">
        <v>175</v>
      </c>
      <c r="E3321" s="716">
        <v>20.22</v>
      </c>
      <c r="F3321" s="717">
        <v>0</v>
      </c>
      <c r="G3321">
        <f>VLOOKUP(B3321,'SINAPI-%MO'!B:E,4,0)</f>
        <v>0.56969999999999998</v>
      </c>
      <c r="H3321" s="225">
        <f t="shared" si="51"/>
        <v>8.6999999999999993</v>
      </c>
    </row>
    <row r="3322" spans="1:8" x14ac:dyDescent="0.3">
      <c r="A3322" s="400"/>
      <c r="B3322" s="709">
        <v>95945</v>
      </c>
      <c r="C3322" s="710" t="s">
        <v>3251</v>
      </c>
      <c r="D3322" s="709" t="s">
        <v>175</v>
      </c>
      <c r="E3322" s="716">
        <v>15.74</v>
      </c>
      <c r="F3322" s="717">
        <v>0</v>
      </c>
      <c r="G3322">
        <f>VLOOKUP(B3322,'SINAPI-%MO'!B:E,4,0)</f>
        <v>0.4269</v>
      </c>
      <c r="H3322" s="225">
        <f t="shared" si="51"/>
        <v>9.02</v>
      </c>
    </row>
    <row r="3323" spans="1:8" x14ac:dyDescent="0.3">
      <c r="A3323" s="400"/>
      <c r="B3323" s="709">
        <v>95943</v>
      </c>
      <c r="C3323" s="710" t="s">
        <v>3252</v>
      </c>
      <c r="D3323" s="709" t="s">
        <v>175</v>
      </c>
      <c r="E3323" s="716">
        <v>22.81</v>
      </c>
      <c r="F3323" s="717">
        <v>0</v>
      </c>
      <c r="G3323">
        <f>VLOOKUP(B3323,'SINAPI-%MO'!B:E,4,0)</f>
        <v>0.65369999999999995</v>
      </c>
      <c r="H3323" s="225">
        <f t="shared" si="51"/>
        <v>7.89</v>
      </c>
    </row>
    <row r="3324" spans="1:8" x14ac:dyDescent="0.3">
      <c r="A3324" s="400"/>
      <c r="B3324" s="709">
        <v>102077</v>
      </c>
      <c r="C3324" s="710" t="s">
        <v>3253</v>
      </c>
      <c r="D3324" s="709" t="s">
        <v>170</v>
      </c>
      <c r="E3324" s="716">
        <v>5531.9</v>
      </c>
      <c r="F3324" s="717">
        <v>0</v>
      </c>
      <c r="G3324">
        <f>VLOOKUP(B3324,'SINAPI-%MO'!B:E,4,0)</f>
        <v>0.42030000000000001</v>
      </c>
      <c r="H3324" s="225">
        <f t="shared" si="51"/>
        <v>3206.84</v>
      </c>
    </row>
    <row r="3325" spans="1:8" x14ac:dyDescent="0.3">
      <c r="A3325" s="400"/>
      <c r="B3325" s="709">
        <v>102073</v>
      </c>
      <c r="C3325" s="710" t="s">
        <v>3254</v>
      </c>
      <c r="D3325" s="709" t="s">
        <v>170</v>
      </c>
      <c r="E3325" s="716">
        <v>4059.97</v>
      </c>
      <c r="F3325" s="717">
        <v>0</v>
      </c>
      <c r="G3325">
        <f>VLOOKUP(B3325,'SINAPI-%MO'!B:E,4,0)</f>
        <v>0.38090000000000002</v>
      </c>
      <c r="H3325" s="225">
        <f t="shared" si="51"/>
        <v>2513.52</v>
      </c>
    </row>
    <row r="3326" spans="1:8" x14ac:dyDescent="0.3">
      <c r="A3326" s="400"/>
      <c r="B3326" s="709">
        <v>102079</v>
      </c>
      <c r="C3326" s="710" t="s">
        <v>3255</v>
      </c>
      <c r="D3326" s="709" t="s">
        <v>170</v>
      </c>
      <c r="E3326" s="716">
        <v>5425.88</v>
      </c>
      <c r="F3326" s="717">
        <v>0</v>
      </c>
      <c r="G3326">
        <f>VLOOKUP(B3326,'SINAPI-%MO'!B:E,4,0)</f>
        <v>0.40389999999999998</v>
      </c>
      <c r="H3326" s="225">
        <f t="shared" si="51"/>
        <v>3234.36</v>
      </c>
    </row>
    <row r="3327" spans="1:8" x14ac:dyDescent="0.3">
      <c r="A3327" s="400"/>
      <c r="B3327" s="709">
        <v>102075</v>
      </c>
      <c r="C3327" s="710" t="s">
        <v>3256</v>
      </c>
      <c r="D3327" s="709" t="s">
        <v>170</v>
      </c>
      <c r="E3327" s="716">
        <v>4890.1499999999996</v>
      </c>
      <c r="F3327" s="717">
        <v>0</v>
      </c>
      <c r="G3327">
        <f>VLOOKUP(B3327,'SINAPI-%MO'!B:E,4,0)</f>
        <v>0.36799999999999999</v>
      </c>
      <c r="H3327" s="225">
        <f t="shared" si="51"/>
        <v>3090.57</v>
      </c>
    </row>
    <row r="3328" spans="1:8" x14ac:dyDescent="0.3">
      <c r="A3328" s="400"/>
      <c r="B3328" s="709">
        <v>102078</v>
      </c>
      <c r="C3328" s="710" t="s">
        <v>3257</v>
      </c>
      <c r="D3328" s="709" t="s">
        <v>170</v>
      </c>
      <c r="E3328" s="716">
        <v>5711.62</v>
      </c>
      <c r="F3328" s="717">
        <v>0</v>
      </c>
      <c r="G3328">
        <f>VLOOKUP(B3328,'SINAPI-%MO'!B:E,4,0)</f>
        <v>0.40079999999999999</v>
      </c>
      <c r="H3328" s="225">
        <f t="shared" si="51"/>
        <v>3422.4</v>
      </c>
    </row>
    <row r="3329" spans="1:8" x14ac:dyDescent="0.3">
      <c r="A3329" s="400"/>
      <c r="B3329" s="709">
        <v>102074</v>
      </c>
      <c r="C3329" s="710" t="s">
        <v>3258</v>
      </c>
      <c r="D3329" s="709" t="s">
        <v>170</v>
      </c>
      <c r="E3329" s="716">
        <v>4755.0600000000004</v>
      </c>
      <c r="F3329" s="717">
        <v>0</v>
      </c>
      <c r="G3329">
        <f>VLOOKUP(B3329,'SINAPI-%MO'!B:E,4,0)</f>
        <v>0.3644</v>
      </c>
      <c r="H3329" s="225">
        <f t="shared" si="51"/>
        <v>3022.31</v>
      </c>
    </row>
    <row r="3330" spans="1:8" x14ac:dyDescent="0.3">
      <c r="A3330" s="400"/>
      <c r="B3330" s="709">
        <v>102080</v>
      </c>
      <c r="C3330" s="710" t="s">
        <v>3259</v>
      </c>
      <c r="D3330" s="709" t="s">
        <v>170</v>
      </c>
      <c r="E3330" s="716">
        <v>4728.8900000000003</v>
      </c>
      <c r="F3330" s="717">
        <v>0</v>
      </c>
      <c r="G3330">
        <f>VLOOKUP(B3330,'SINAPI-%MO'!B:E,4,0)</f>
        <v>0.37080000000000002</v>
      </c>
      <c r="H3330" s="225">
        <f t="shared" si="51"/>
        <v>2975.41</v>
      </c>
    </row>
    <row r="3331" spans="1:8" x14ac:dyDescent="0.3">
      <c r="A3331" s="400"/>
      <c r="B3331" s="709">
        <v>102076</v>
      </c>
      <c r="C3331" s="710" t="s">
        <v>3260</v>
      </c>
      <c r="D3331" s="709" t="s">
        <v>170</v>
      </c>
      <c r="E3331" s="716">
        <v>5027.6000000000004</v>
      </c>
      <c r="F3331" s="717">
        <v>0</v>
      </c>
      <c r="G3331">
        <f>VLOOKUP(B3331,'SINAPI-%MO'!B:E,4,0)</f>
        <v>0.34960000000000002</v>
      </c>
      <c r="H3331" s="225">
        <f t="shared" si="51"/>
        <v>3269.95</v>
      </c>
    </row>
    <row r="3332" spans="1:8" x14ac:dyDescent="0.3">
      <c r="A3332" s="400"/>
      <c r="B3332" s="709">
        <v>102084</v>
      </c>
      <c r="C3332" s="710" t="s">
        <v>3261</v>
      </c>
      <c r="D3332" s="709" t="s">
        <v>159</v>
      </c>
      <c r="E3332" s="716">
        <v>0</v>
      </c>
      <c r="F3332" s="717"/>
      <c r="G3332" t="e">
        <f>VLOOKUP(B3332,'SINAPI-%MO'!B:E,4,0)</f>
        <v>#N/A</v>
      </c>
      <c r="H3332" s="225" t="str">
        <f t="shared" si="51"/>
        <v/>
      </c>
    </row>
    <row r="3333" spans="1:8" x14ac:dyDescent="0.3">
      <c r="A3333" s="400"/>
      <c r="B3333" s="709">
        <v>102082</v>
      </c>
      <c r="C3333" s="710" t="s">
        <v>3262</v>
      </c>
      <c r="D3333" s="709" t="s">
        <v>159</v>
      </c>
      <c r="E3333" s="716">
        <v>0</v>
      </c>
      <c r="F3333" s="717"/>
      <c r="G3333" t="e">
        <f>VLOOKUP(B3333,'SINAPI-%MO'!B:E,4,0)</f>
        <v>#N/A</v>
      </c>
      <c r="H3333" s="225" t="str">
        <f t="shared" si="51"/>
        <v/>
      </c>
    </row>
    <row r="3334" spans="1:8" x14ac:dyDescent="0.3">
      <c r="A3334" s="400"/>
      <c r="B3334" s="709">
        <v>102081</v>
      </c>
      <c r="C3334" s="710" t="s">
        <v>3263</v>
      </c>
      <c r="D3334" s="709" t="s">
        <v>159</v>
      </c>
      <c r="E3334" s="716">
        <v>0</v>
      </c>
      <c r="F3334" s="717"/>
      <c r="G3334" t="e">
        <f>VLOOKUP(B3334,'SINAPI-%MO'!B:E,4,0)</f>
        <v>#N/A</v>
      </c>
      <c r="H3334" s="225" t="str">
        <f t="shared" si="51"/>
        <v/>
      </c>
    </row>
    <row r="3335" spans="1:8" x14ac:dyDescent="0.3">
      <c r="A3335" s="400"/>
      <c r="B3335" s="709">
        <v>102092</v>
      </c>
      <c r="C3335" s="710" t="s">
        <v>3264</v>
      </c>
      <c r="D3335" s="709" t="s">
        <v>159</v>
      </c>
      <c r="E3335" s="716">
        <v>0</v>
      </c>
      <c r="F3335" s="717"/>
      <c r="G3335" t="e">
        <f>VLOOKUP(B3335,'SINAPI-%MO'!B:E,4,0)</f>
        <v>#N/A</v>
      </c>
      <c r="H3335" s="225" t="str">
        <f t="shared" si="51"/>
        <v/>
      </c>
    </row>
    <row r="3336" spans="1:8" x14ac:dyDescent="0.3">
      <c r="A3336" s="400"/>
      <c r="B3336" s="709">
        <v>102089</v>
      </c>
      <c r="C3336" s="710" t="s">
        <v>3265</v>
      </c>
      <c r="D3336" s="709" t="s">
        <v>168</v>
      </c>
      <c r="E3336" s="716">
        <v>220.53</v>
      </c>
      <c r="F3336" s="717">
        <v>0</v>
      </c>
      <c r="G3336">
        <f>VLOOKUP(B3336,'SINAPI-%MO'!B:E,4,0)</f>
        <v>0.18410000000000001</v>
      </c>
      <c r="H3336" s="225">
        <f t="shared" si="51"/>
        <v>179.93</v>
      </c>
    </row>
    <row r="3337" spans="1:8" x14ac:dyDescent="0.3">
      <c r="A3337" s="400"/>
      <c r="B3337" s="709">
        <v>102090</v>
      </c>
      <c r="C3337" s="710" t="s">
        <v>3266</v>
      </c>
      <c r="D3337" s="709" t="s">
        <v>168</v>
      </c>
      <c r="E3337" s="716">
        <v>159</v>
      </c>
      <c r="F3337" s="717">
        <v>0</v>
      </c>
      <c r="G3337">
        <f>VLOOKUP(B3337,'SINAPI-%MO'!B:E,4,0)</f>
        <v>0.25530000000000003</v>
      </c>
      <c r="H3337" s="225">
        <f t="shared" si="51"/>
        <v>118.4</v>
      </c>
    </row>
    <row r="3338" spans="1:8" x14ac:dyDescent="0.3">
      <c r="A3338" s="400"/>
      <c r="B3338" s="709">
        <v>102086</v>
      </c>
      <c r="C3338" s="710" t="s">
        <v>3267</v>
      </c>
      <c r="D3338" s="709" t="s">
        <v>168</v>
      </c>
      <c r="E3338" s="716">
        <v>224.95</v>
      </c>
      <c r="F3338" s="717">
        <v>0</v>
      </c>
      <c r="G3338">
        <f>VLOOKUP(B3338,'SINAPI-%MO'!B:E,4,0)</f>
        <v>0.1668</v>
      </c>
      <c r="H3338" s="225">
        <f t="shared" si="51"/>
        <v>187.42</v>
      </c>
    </row>
    <row r="3339" spans="1:8" x14ac:dyDescent="0.3">
      <c r="A3339" s="400"/>
      <c r="B3339" s="709">
        <v>102087</v>
      </c>
      <c r="C3339" s="710" t="s">
        <v>3268</v>
      </c>
      <c r="D3339" s="709" t="s">
        <v>168</v>
      </c>
      <c r="E3339" s="716">
        <v>170.71</v>
      </c>
      <c r="F3339" s="717">
        <v>0</v>
      </c>
      <c r="G3339">
        <f>VLOOKUP(B3339,'SINAPI-%MO'!B:E,4,0)</f>
        <v>0.2198</v>
      </c>
      <c r="H3339" s="225">
        <f t="shared" ref="H3339:H3402" si="52">IF(E3339&gt;0,TRUNC(E3339*(1-G3339),2),"")</f>
        <v>133.18</v>
      </c>
    </row>
    <row r="3340" spans="1:8" x14ac:dyDescent="0.3">
      <c r="A3340" s="400"/>
      <c r="B3340" s="709">
        <v>102091</v>
      </c>
      <c r="C3340" s="710" t="s">
        <v>3269</v>
      </c>
      <c r="D3340" s="709" t="s">
        <v>168</v>
      </c>
      <c r="E3340" s="716">
        <v>267.58</v>
      </c>
      <c r="F3340" s="717">
        <v>0</v>
      </c>
      <c r="G3340">
        <f>VLOOKUP(B3340,'SINAPI-%MO'!B:E,4,0)</f>
        <v>0.15340000000000001</v>
      </c>
      <c r="H3340" s="225">
        <f t="shared" si="52"/>
        <v>226.53</v>
      </c>
    </row>
    <row r="3341" spans="1:8" x14ac:dyDescent="0.3">
      <c r="A3341" s="400"/>
      <c r="B3341" s="709">
        <v>102088</v>
      </c>
      <c r="C3341" s="710" t="s">
        <v>3270</v>
      </c>
      <c r="D3341" s="709" t="s">
        <v>168</v>
      </c>
      <c r="E3341" s="716">
        <v>229.64</v>
      </c>
      <c r="F3341" s="717">
        <v>0</v>
      </c>
      <c r="G3341">
        <f>VLOOKUP(B3341,'SINAPI-%MO'!B:E,4,0)</f>
        <v>0.17119999999999999</v>
      </c>
      <c r="H3341" s="225">
        <f t="shared" si="52"/>
        <v>190.32</v>
      </c>
    </row>
    <row r="3342" spans="1:8" x14ac:dyDescent="0.3">
      <c r="A3342" s="400"/>
      <c r="B3342" s="709">
        <v>101997</v>
      </c>
      <c r="C3342" s="710" t="s">
        <v>3271</v>
      </c>
      <c r="D3342" s="709" t="s">
        <v>168</v>
      </c>
      <c r="E3342" s="716">
        <v>232.93</v>
      </c>
      <c r="F3342" s="717">
        <v>0</v>
      </c>
      <c r="G3342">
        <f>VLOOKUP(B3342,'SINAPI-%MO'!B:E,4,0)</f>
        <v>0.1915</v>
      </c>
      <c r="H3342" s="225">
        <f t="shared" si="52"/>
        <v>188.32</v>
      </c>
    </row>
    <row r="3343" spans="1:8" x14ac:dyDescent="0.3">
      <c r="A3343" s="400"/>
      <c r="B3343" s="709">
        <v>101998</v>
      </c>
      <c r="C3343" s="710" t="s">
        <v>3272</v>
      </c>
      <c r="D3343" s="709" t="s">
        <v>168</v>
      </c>
      <c r="E3343" s="716">
        <v>167.9</v>
      </c>
      <c r="F3343" s="717">
        <v>0</v>
      </c>
      <c r="G3343">
        <f>VLOOKUP(B3343,'SINAPI-%MO'!B:E,4,0)</f>
        <v>0.26569999999999999</v>
      </c>
      <c r="H3343" s="225">
        <f t="shared" si="52"/>
        <v>123.28</v>
      </c>
    </row>
    <row r="3344" spans="1:8" x14ac:dyDescent="0.3">
      <c r="A3344" s="400"/>
      <c r="B3344" s="709">
        <v>101999</v>
      </c>
      <c r="C3344" s="710" t="s">
        <v>3273</v>
      </c>
      <c r="D3344" s="709" t="s">
        <v>168</v>
      </c>
      <c r="E3344" s="716">
        <v>315.64</v>
      </c>
      <c r="F3344" s="717">
        <v>0</v>
      </c>
      <c r="G3344">
        <f>VLOOKUP(B3344,'SINAPI-%MO'!B:E,4,0)</f>
        <v>0.13400000000000001</v>
      </c>
      <c r="H3344" s="225">
        <f t="shared" si="52"/>
        <v>273.33999999999997</v>
      </c>
    </row>
    <row r="3345" spans="1:8" x14ac:dyDescent="0.3">
      <c r="A3345" s="400"/>
      <c r="B3345" s="709">
        <v>101994</v>
      </c>
      <c r="C3345" s="710" t="s">
        <v>3274</v>
      </c>
      <c r="D3345" s="709" t="s">
        <v>168</v>
      </c>
      <c r="E3345" s="716">
        <v>235.2</v>
      </c>
      <c r="F3345" s="717">
        <v>0</v>
      </c>
      <c r="G3345">
        <f>VLOOKUP(B3345,'SINAPI-%MO'!B:E,4,0)</f>
        <v>0.15909999999999999</v>
      </c>
      <c r="H3345" s="225">
        <f t="shared" si="52"/>
        <v>197.77</v>
      </c>
    </row>
    <row r="3346" spans="1:8" x14ac:dyDescent="0.3">
      <c r="A3346" s="400"/>
      <c r="B3346" s="709">
        <v>101995</v>
      </c>
      <c r="C3346" s="710" t="s">
        <v>3275</v>
      </c>
      <c r="D3346" s="709" t="s">
        <v>168</v>
      </c>
      <c r="E3346" s="716">
        <v>177.21</v>
      </c>
      <c r="F3346" s="717">
        <v>0</v>
      </c>
      <c r="G3346">
        <f>VLOOKUP(B3346,'SINAPI-%MO'!B:E,4,0)</f>
        <v>0.21110000000000001</v>
      </c>
      <c r="H3346" s="225">
        <f t="shared" si="52"/>
        <v>139.80000000000001</v>
      </c>
    </row>
    <row r="3347" spans="1:8" x14ac:dyDescent="0.3">
      <c r="A3347" s="400"/>
      <c r="B3347" s="709">
        <v>101996</v>
      </c>
      <c r="C3347" s="710" t="s">
        <v>3276</v>
      </c>
      <c r="D3347" s="709" t="s">
        <v>168</v>
      </c>
      <c r="E3347" s="716">
        <v>246.38</v>
      </c>
      <c r="F3347" s="717">
        <v>0</v>
      </c>
      <c r="G3347">
        <f>VLOOKUP(B3347,'SINAPI-%MO'!B:E,4,0)</f>
        <v>0.16020000000000001</v>
      </c>
      <c r="H3347" s="225">
        <f t="shared" si="52"/>
        <v>206.9</v>
      </c>
    </row>
    <row r="3348" spans="1:8" x14ac:dyDescent="0.3">
      <c r="A3348" s="400"/>
      <c r="B3348" s="709">
        <v>101991</v>
      </c>
      <c r="C3348" s="710" t="s">
        <v>3277</v>
      </c>
      <c r="D3348" s="709" t="s">
        <v>168</v>
      </c>
      <c r="E3348" s="716">
        <v>232.21</v>
      </c>
      <c r="F3348" s="717">
        <v>0</v>
      </c>
      <c r="G3348">
        <f>VLOOKUP(B3348,'SINAPI-%MO'!B:E,4,0)</f>
        <v>0.19409999999999999</v>
      </c>
      <c r="H3348" s="225">
        <f t="shared" si="52"/>
        <v>187.13</v>
      </c>
    </row>
    <row r="3349" spans="1:8" x14ac:dyDescent="0.3">
      <c r="A3349" s="400"/>
      <c r="B3349" s="709">
        <v>101992</v>
      </c>
      <c r="C3349" s="710" t="s">
        <v>3278</v>
      </c>
      <c r="D3349" s="709" t="s">
        <v>168</v>
      </c>
      <c r="E3349" s="716">
        <v>168.62</v>
      </c>
      <c r="F3349" s="717">
        <v>0</v>
      </c>
      <c r="G3349">
        <f>VLOOKUP(B3349,'SINAPI-%MO'!B:E,4,0)</f>
        <v>0.26729999999999998</v>
      </c>
      <c r="H3349" s="225">
        <f t="shared" si="52"/>
        <v>123.54</v>
      </c>
    </row>
    <row r="3350" spans="1:8" x14ac:dyDescent="0.3">
      <c r="A3350" s="400"/>
      <c r="B3350" s="709">
        <v>101993</v>
      </c>
      <c r="C3350" s="710" t="s">
        <v>3279</v>
      </c>
      <c r="D3350" s="709" t="s">
        <v>168</v>
      </c>
      <c r="E3350" s="716">
        <v>294.73</v>
      </c>
      <c r="F3350" s="717">
        <v>0</v>
      </c>
      <c r="G3350">
        <f>VLOOKUP(B3350,'SINAPI-%MO'!B:E,4,0)</f>
        <v>0.14019999999999999</v>
      </c>
      <c r="H3350" s="225">
        <f t="shared" si="52"/>
        <v>253.4</v>
      </c>
    </row>
    <row r="3351" spans="1:8" x14ac:dyDescent="0.3">
      <c r="A3351" s="400"/>
      <c r="B3351" s="709">
        <v>101988</v>
      </c>
      <c r="C3351" s="710" t="s">
        <v>3280</v>
      </c>
      <c r="D3351" s="709" t="s">
        <v>168</v>
      </c>
      <c r="E3351" s="716">
        <v>220.73</v>
      </c>
      <c r="F3351" s="717">
        <v>0</v>
      </c>
      <c r="G3351">
        <f>VLOOKUP(B3351,'SINAPI-%MO'!B:E,4,0)</f>
        <v>0.1822</v>
      </c>
      <c r="H3351" s="225">
        <f t="shared" si="52"/>
        <v>180.51</v>
      </c>
    </row>
    <row r="3352" spans="1:8" x14ac:dyDescent="0.3">
      <c r="A3352" s="400"/>
      <c r="B3352" s="709">
        <v>101989</v>
      </c>
      <c r="C3352" s="710" t="s">
        <v>3281</v>
      </c>
      <c r="D3352" s="709" t="s">
        <v>168</v>
      </c>
      <c r="E3352" s="716">
        <v>169.07</v>
      </c>
      <c r="F3352" s="717">
        <v>0</v>
      </c>
      <c r="G3352">
        <f>VLOOKUP(B3352,'SINAPI-%MO'!B:E,4,0)</f>
        <v>0.23780000000000001</v>
      </c>
      <c r="H3352" s="225">
        <f t="shared" si="52"/>
        <v>128.86000000000001</v>
      </c>
    </row>
    <row r="3353" spans="1:8" x14ac:dyDescent="0.3">
      <c r="A3353" s="400"/>
      <c r="B3353" s="709">
        <v>101990</v>
      </c>
      <c r="C3353" s="710" t="s">
        <v>3282</v>
      </c>
      <c r="D3353" s="709" t="s">
        <v>168</v>
      </c>
      <c r="E3353" s="716">
        <v>229.56</v>
      </c>
      <c r="F3353" s="717">
        <v>0</v>
      </c>
      <c r="G3353">
        <f>VLOOKUP(B3353,'SINAPI-%MO'!B:E,4,0)</f>
        <v>0.17249999999999999</v>
      </c>
      <c r="H3353" s="225">
        <f t="shared" si="52"/>
        <v>189.96</v>
      </c>
    </row>
    <row r="3354" spans="1:8" x14ac:dyDescent="0.3">
      <c r="A3354" s="400"/>
      <c r="B3354" s="709">
        <v>101985</v>
      </c>
      <c r="C3354" s="710" t="s">
        <v>3283</v>
      </c>
      <c r="D3354" s="709" t="s">
        <v>168</v>
      </c>
      <c r="E3354" s="716">
        <v>232.66</v>
      </c>
      <c r="F3354" s="717">
        <v>0</v>
      </c>
      <c r="G3354">
        <f>VLOOKUP(B3354,'SINAPI-%MO'!B:E,4,0)</f>
        <v>0.16880000000000001</v>
      </c>
      <c r="H3354" s="225">
        <f t="shared" si="52"/>
        <v>193.38</v>
      </c>
    </row>
    <row r="3355" spans="1:8" x14ac:dyDescent="0.3">
      <c r="A3355" s="400"/>
      <c r="B3355" s="709">
        <v>101986</v>
      </c>
      <c r="C3355" s="710" t="s">
        <v>3284</v>
      </c>
      <c r="D3355" s="709" t="s">
        <v>168</v>
      </c>
      <c r="E3355" s="716">
        <v>166.15</v>
      </c>
      <c r="F3355" s="717">
        <v>0</v>
      </c>
      <c r="G3355">
        <f>VLOOKUP(B3355,'SINAPI-%MO'!B:E,4,0)</f>
        <v>0.2364</v>
      </c>
      <c r="H3355" s="225">
        <f t="shared" si="52"/>
        <v>126.87</v>
      </c>
    </row>
    <row r="3356" spans="1:8" x14ac:dyDescent="0.3">
      <c r="A3356" s="400"/>
      <c r="B3356" s="709">
        <v>101987</v>
      </c>
      <c r="C3356" s="710" t="s">
        <v>3285</v>
      </c>
      <c r="D3356" s="709" t="s">
        <v>168</v>
      </c>
      <c r="E3356" s="716">
        <v>251.3</v>
      </c>
      <c r="F3356" s="717">
        <v>0</v>
      </c>
      <c r="G3356">
        <f>VLOOKUP(B3356,'SINAPI-%MO'!B:E,4,0)</f>
        <v>0.15240000000000001</v>
      </c>
      <c r="H3356" s="225">
        <f t="shared" si="52"/>
        <v>213</v>
      </c>
    </row>
    <row r="3357" spans="1:8" x14ac:dyDescent="0.3">
      <c r="A3357" s="400"/>
      <c r="B3357" s="709">
        <v>101969</v>
      </c>
      <c r="C3357" s="710" t="s">
        <v>3286</v>
      </c>
      <c r="D3357" s="709" t="s">
        <v>168</v>
      </c>
      <c r="E3357" s="716">
        <v>213.05</v>
      </c>
      <c r="F3357" s="717">
        <v>0</v>
      </c>
      <c r="G3357">
        <f>VLOOKUP(B3357,'SINAPI-%MO'!B:E,4,0)</f>
        <v>0.15709999999999999</v>
      </c>
      <c r="H3357" s="225">
        <f t="shared" si="52"/>
        <v>179.57</v>
      </c>
    </row>
    <row r="3358" spans="1:8" x14ac:dyDescent="0.3">
      <c r="A3358" s="400"/>
      <c r="B3358" s="709">
        <v>101971</v>
      </c>
      <c r="C3358" s="710" t="s">
        <v>3287</v>
      </c>
      <c r="D3358" s="709" t="s">
        <v>168</v>
      </c>
      <c r="E3358" s="716">
        <v>160.72999999999999</v>
      </c>
      <c r="F3358" s="717">
        <v>0</v>
      </c>
      <c r="G3358">
        <f>VLOOKUP(B3358,'SINAPI-%MO'!B:E,4,0)</f>
        <v>0.20830000000000001</v>
      </c>
      <c r="H3358" s="225">
        <f t="shared" si="52"/>
        <v>127.24</v>
      </c>
    </row>
    <row r="3359" spans="1:8" x14ac:dyDescent="0.3">
      <c r="A3359" s="400"/>
      <c r="B3359" s="709">
        <v>101973</v>
      </c>
      <c r="C3359" s="710" t="s">
        <v>3288</v>
      </c>
      <c r="D3359" s="709" t="s">
        <v>168</v>
      </c>
      <c r="E3359" s="716">
        <v>213.2</v>
      </c>
      <c r="F3359" s="717">
        <v>0</v>
      </c>
      <c r="G3359">
        <f>VLOOKUP(B3359,'SINAPI-%MO'!B:E,4,0)</f>
        <v>0.17080000000000001</v>
      </c>
      <c r="H3359" s="225">
        <f t="shared" si="52"/>
        <v>176.78</v>
      </c>
    </row>
    <row r="3360" spans="1:8" x14ac:dyDescent="0.3">
      <c r="A3360" s="400"/>
      <c r="B3360" s="709">
        <v>102072</v>
      </c>
      <c r="C3360" s="710" t="s">
        <v>3289</v>
      </c>
      <c r="D3360" s="709" t="s">
        <v>168</v>
      </c>
      <c r="E3360" s="716">
        <v>202.5</v>
      </c>
      <c r="F3360" s="717">
        <v>0</v>
      </c>
      <c r="G3360">
        <f>VLOOKUP(B3360,'SINAPI-%MO'!B:E,4,0)</f>
        <v>0.48299999999999998</v>
      </c>
      <c r="H3360" s="225">
        <f t="shared" si="52"/>
        <v>104.69</v>
      </c>
    </row>
    <row r="3361" spans="1:8" x14ac:dyDescent="0.3">
      <c r="A3361" s="400"/>
      <c r="B3361" s="709">
        <v>102070</v>
      </c>
      <c r="C3361" s="710" t="s">
        <v>3290</v>
      </c>
      <c r="D3361" s="709" t="s">
        <v>168</v>
      </c>
      <c r="E3361" s="716">
        <v>246.79</v>
      </c>
      <c r="F3361" s="717">
        <v>0</v>
      </c>
      <c r="G3361">
        <f>VLOOKUP(B3361,'SINAPI-%MO'!B:E,4,0)</f>
        <v>0.4637</v>
      </c>
      <c r="H3361" s="225">
        <f t="shared" si="52"/>
        <v>132.35</v>
      </c>
    </row>
    <row r="3362" spans="1:8" x14ac:dyDescent="0.3">
      <c r="A3362" s="400"/>
      <c r="B3362" s="709">
        <v>102071</v>
      </c>
      <c r="C3362" s="710" t="s">
        <v>3291</v>
      </c>
      <c r="D3362" s="709" t="s">
        <v>168</v>
      </c>
      <c r="E3362" s="716">
        <v>217.38</v>
      </c>
      <c r="F3362" s="717">
        <v>0</v>
      </c>
      <c r="G3362">
        <f>VLOOKUP(B3362,'SINAPI-%MO'!B:E,4,0)</f>
        <v>0.48220000000000002</v>
      </c>
      <c r="H3362" s="225">
        <f t="shared" si="52"/>
        <v>112.55</v>
      </c>
    </row>
    <row r="3363" spans="1:8" x14ac:dyDescent="0.3">
      <c r="A3363" s="400"/>
      <c r="B3363" s="709">
        <v>102068</v>
      </c>
      <c r="C3363" s="710" t="s">
        <v>3292</v>
      </c>
      <c r="D3363" s="709" t="s">
        <v>168</v>
      </c>
      <c r="E3363" s="716">
        <v>300.14999999999998</v>
      </c>
      <c r="F3363" s="717">
        <v>0</v>
      </c>
      <c r="G3363">
        <f>VLOOKUP(B3363,'SINAPI-%MO'!B:E,4,0)</f>
        <v>0.5655</v>
      </c>
      <c r="H3363" s="225">
        <f t="shared" si="52"/>
        <v>130.41</v>
      </c>
    </row>
    <row r="3364" spans="1:8" x14ac:dyDescent="0.3">
      <c r="A3364" s="400"/>
      <c r="B3364" s="709">
        <v>102069</v>
      </c>
      <c r="C3364" s="710" t="s">
        <v>3293</v>
      </c>
      <c r="D3364" s="709" t="s">
        <v>168</v>
      </c>
      <c r="E3364" s="716">
        <v>278.3</v>
      </c>
      <c r="F3364" s="717">
        <v>0</v>
      </c>
      <c r="G3364">
        <f>VLOOKUP(B3364,'SINAPI-%MO'!B:E,4,0)</f>
        <v>0.49909999999999999</v>
      </c>
      <c r="H3364" s="225">
        <f t="shared" si="52"/>
        <v>139.4</v>
      </c>
    </row>
    <row r="3365" spans="1:8" x14ac:dyDescent="0.3">
      <c r="A3365" s="400"/>
      <c r="B3365" s="709">
        <v>102066</v>
      </c>
      <c r="C3365" s="710" t="s">
        <v>3294</v>
      </c>
      <c r="D3365" s="709" t="s">
        <v>168</v>
      </c>
      <c r="E3365" s="716">
        <v>511.46</v>
      </c>
      <c r="F3365" s="717">
        <v>0</v>
      </c>
      <c r="G3365">
        <f>VLOOKUP(B3365,'SINAPI-%MO'!B:E,4,0)</f>
        <v>0.47989999999999999</v>
      </c>
      <c r="H3365" s="225">
        <f t="shared" si="52"/>
        <v>266.01</v>
      </c>
    </row>
    <row r="3366" spans="1:8" x14ac:dyDescent="0.3">
      <c r="A3366" s="400"/>
      <c r="B3366" s="709">
        <v>102067</v>
      </c>
      <c r="C3366" s="710" t="s">
        <v>3295</v>
      </c>
      <c r="D3366" s="709" t="s">
        <v>168</v>
      </c>
      <c r="E3366" s="716">
        <v>435.98</v>
      </c>
      <c r="F3366" s="717">
        <v>0</v>
      </c>
      <c r="G3366">
        <f>VLOOKUP(B3366,'SINAPI-%MO'!B:E,4,0)</f>
        <v>0.44869999999999999</v>
      </c>
      <c r="H3366" s="225">
        <f t="shared" si="52"/>
        <v>240.35</v>
      </c>
    </row>
    <row r="3367" spans="1:8" x14ac:dyDescent="0.3">
      <c r="A3367" s="400"/>
      <c r="B3367" s="709">
        <v>102065</v>
      </c>
      <c r="C3367" s="710" t="s">
        <v>3296</v>
      </c>
      <c r="D3367" s="709" t="s">
        <v>168</v>
      </c>
      <c r="E3367" s="716">
        <v>212.68</v>
      </c>
      <c r="F3367" s="717">
        <v>0</v>
      </c>
      <c r="G3367">
        <f>VLOOKUP(B3367,'SINAPI-%MO'!B:E,4,0)</f>
        <v>0.4577</v>
      </c>
      <c r="H3367" s="225">
        <f t="shared" si="52"/>
        <v>115.33</v>
      </c>
    </row>
    <row r="3368" spans="1:8" x14ac:dyDescent="0.3">
      <c r="A3368" s="400"/>
      <c r="B3368" s="709">
        <v>102063</v>
      </c>
      <c r="C3368" s="710" t="s">
        <v>3297</v>
      </c>
      <c r="D3368" s="709" t="s">
        <v>168</v>
      </c>
      <c r="E3368" s="716">
        <v>259.16000000000003</v>
      </c>
      <c r="F3368" s="717">
        <v>0</v>
      </c>
      <c r="G3368">
        <f>VLOOKUP(B3368,'SINAPI-%MO'!B:E,4,0)</f>
        <v>0.432</v>
      </c>
      <c r="H3368" s="225">
        <f t="shared" si="52"/>
        <v>147.19999999999999</v>
      </c>
    </row>
    <row r="3369" spans="1:8" x14ac:dyDescent="0.3">
      <c r="A3369" s="400"/>
      <c r="B3369" s="709">
        <v>102064</v>
      </c>
      <c r="C3369" s="710" t="s">
        <v>3298</v>
      </c>
      <c r="D3369" s="709" t="s">
        <v>168</v>
      </c>
      <c r="E3369" s="716">
        <v>229.26</v>
      </c>
      <c r="F3369" s="717">
        <v>0</v>
      </c>
      <c r="G3369">
        <f>VLOOKUP(B3369,'SINAPI-%MO'!B:E,4,0)</f>
        <v>0.44790000000000002</v>
      </c>
      <c r="H3369" s="225">
        <f t="shared" si="52"/>
        <v>126.57</v>
      </c>
    </row>
    <row r="3370" spans="1:8" x14ac:dyDescent="0.3">
      <c r="A3370" s="400"/>
      <c r="B3370" s="709">
        <v>102061</v>
      </c>
      <c r="C3370" s="710" t="s">
        <v>3299</v>
      </c>
      <c r="D3370" s="709" t="s">
        <v>168</v>
      </c>
      <c r="E3370" s="716">
        <v>317.42</v>
      </c>
      <c r="F3370" s="717">
        <v>0</v>
      </c>
      <c r="G3370">
        <f>VLOOKUP(B3370,'SINAPI-%MO'!B:E,4,0)</f>
        <v>0.52359999999999995</v>
      </c>
      <c r="H3370" s="225">
        <f t="shared" si="52"/>
        <v>151.21</v>
      </c>
    </row>
    <row r="3371" spans="1:8" x14ac:dyDescent="0.3">
      <c r="A3371" s="400"/>
      <c r="B3371" s="709">
        <v>102062</v>
      </c>
      <c r="C3371" s="710" t="s">
        <v>3300</v>
      </c>
      <c r="D3371" s="709" t="s">
        <v>168</v>
      </c>
      <c r="E3371" s="716">
        <v>296.51</v>
      </c>
      <c r="F3371" s="717">
        <v>0</v>
      </c>
      <c r="G3371">
        <f>VLOOKUP(B3371,'SINAPI-%MO'!B:E,4,0)</f>
        <v>0.45400000000000001</v>
      </c>
      <c r="H3371" s="225">
        <f t="shared" si="52"/>
        <v>161.88999999999999</v>
      </c>
    </row>
    <row r="3372" spans="1:8" x14ac:dyDescent="0.3">
      <c r="A3372" s="400"/>
      <c r="B3372" s="709">
        <v>102059</v>
      </c>
      <c r="C3372" s="710" t="s">
        <v>3301</v>
      </c>
      <c r="D3372" s="709" t="s">
        <v>168</v>
      </c>
      <c r="E3372" s="716">
        <v>487.6</v>
      </c>
      <c r="F3372" s="717">
        <v>0</v>
      </c>
      <c r="G3372">
        <f>VLOOKUP(B3372,'SINAPI-%MO'!B:E,4,0)</f>
        <v>0.51259999999999994</v>
      </c>
      <c r="H3372" s="225">
        <f t="shared" si="52"/>
        <v>237.65</v>
      </c>
    </row>
    <row r="3373" spans="1:8" x14ac:dyDescent="0.3">
      <c r="A3373" s="400"/>
      <c r="B3373" s="709">
        <v>102060</v>
      </c>
      <c r="C3373" s="710" t="s">
        <v>3302</v>
      </c>
      <c r="D3373" s="709" t="s">
        <v>168</v>
      </c>
      <c r="E3373" s="716">
        <v>407.66</v>
      </c>
      <c r="F3373" s="717">
        <v>0</v>
      </c>
      <c r="G3373">
        <f>VLOOKUP(B3373,'SINAPI-%MO'!B:E,4,0)</f>
        <v>0.48699999999999999</v>
      </c>
      <c r="H3373" s="225">
        <f t="shared" si="52"/>
        <v>209.12</v>
      </c>
    </row>
    <row r="3374" spans="1:8" x14ac:dyDescent="0.3">
      <c r="A3374" s="400"/>
      <c r="B3374" s="709">
        <v>102052</v>
      </c>
      <c r="C3374" s="710" t="s">
        <v>3303</v>
      </c>
      <c r="D3374" s="709" t="s">
        <v>168</v>
      </c>
      <c r="E3374" s="716">
        <v>210.4</v>
      </c>
      <c r="F3374" s="717">
        <v>0</v>
      </c>
      <c r="G3374">
        <f>VLOOKUP(B3374,'SINAPI-%MO'!B:E,4,0)</f>
        <v>0.55420000000000003</v>
      </c>
      <c r="H3374" s="225">
        <f t="shared" si="52"/>
        <v>93.79</v>
      </c>
    </row>
    <row r="3375" spans="1:8" x14ac:dyDescent="0.3">
      <c r="A3375" s="400"/>
      <c r="B3375" s="709">
        <v>102050</v>
      </c>
      <c r="C3375" s="710" t="s">
        <v>3304</v>
      </c>
      <c r="D3375" s="709" t="s">
        <v>168</v>
      </c>
      <c r="E3375" s="716">
        <v>259.82</v>
      </c>
      <c r="F3375" s="717">
        <v>0</v>
      </c>
      <c r="G3375">
        <f>VLOOKUP(B3375,'SINAPI-%MO'!B:E,4,0)</f>
        <v>0.51580000000000004</v>
      </c>
      <c r="H3375" s="225">
        <f t="shared" si="52"/>
        <v>125.8</v>
      </c>
    </row>
    <row r="3376" spans="1:8" x14ac:dyDescent="0.3">
      <c r="A3376" s="400"/>
      <c r="B3376" s="709">
        <v>102051</v>
      </c>
      <c r="C3376" s="710" t="s">
        <v>3305</v>
      </c>
      <c r="D3376" s="709" t="s">
        <v>168</v>
      </c>
      <c r="E3376" s="716">
        <v>228.06</v>
      </c>
      <c r="F3376" s="717">
        <v>0</v>
      </c>
      <c r="G3376">
        <f>VLOOKUP(B3376,'SINAPI-%MO'!B:E,4,0)</f>
        <v>0.53920000000000001</v>
      </c>
      <c r="H3376" s="225">
        <f t="shared" si="52"/>
        <v>105.09</v>
      </c>
    </row>
    <row r="3377" spans="1:8" x14ac:dyDescent="0.3">
      <c r="A3377" s="400"/>
      <c r="B3377" s="709">
        <v>102048</v>
      </c>
      <c r="C3377" s="710" t="s">
        <v>3306</v>
      </c>
      <c r="D3377" s="709" t="s">
        <v>168</v>
      </c>
      <c r="E3377" s="716">
        <v>325.83999999999997</v>
      </c>
      <c r="F3377" s="717">
        <v>0</v>
      </c>
      <c r="G3377">
        <f>VLOOKUP(B3377,'SINAPI-%MO'!B:E,4,0)</f>
        <v>0.60980000000000001</v>
      </c>
      <c r="H3377" s="225">
        <f t="shared" si="52"/>
        <v>127.14</v>
      </c>
    </row>
    <row r="3378" spans="1:8" x14ac:dyDescent="0.3">
      <c r="A3378" s="400"/>
      <c r="B3378" s="709">
        <v>102049</v>
      </c>
      <c r="C3378" s="710" t="s">
        <v>3307</v>
      </c>
      <c r="D3378" s="709" t="s">
        <v>168</v>
      </c>
      <c r="E3378" s="716">
        <v>293.45</v>
      </c>
      <c r="F3378" s="717">
        <v>0</v>
      </c>
      <c r="G3378">
        <f>VLOOKUP(B3378,'SINAPI-%MO'!B:E,4,0)</f>
        <v>0.55010000000000003</v>
      </c>
      <c r="H3378" s="225">
        <f t="shared" si="52"/>
        <v>132.02000000000001</v>
      </c>
    </row>
    <row r="3379" spans="1:8" x14ac:dyDescent="0.3">
      <c r="A3379" s="400"/>
      <c r="B3379" s="709">
        <v>102046</v>
      </c>
      <c r="C3379" s="710" t="s">
        <v>3308</v>
      </c>
      <c r="D3379" s="709" t="s">
        <v>168</v>
      </c>
      <c r="E3379" s="716">
        <v>576.1</v>
      </c>
      <c r="F3379" s="717">
        <v>0</v>
      </c>
      <c r="G3379">
        <f>VLOOKUP(B3379,'SINAPI-%MO'!B:E,4,0)</f>
        <v>0.46810000000000002</v>
      </c>
      <c r="H3379" s="225">
        <f t="shared" si="52"/>
        <v>306.42</v>
      </c>
    </row>
    <row r="3380" spans="1:8" x14ac:dyDescent="0.3">
      <c r="A3380" s="400"/>
      <c r="B3380" s="709">
        <v>102047</v>
      </c>
      <c r="C3380" s="710" t="s">
        <v>3309</v>
      </c>
      <c r="D3380" s="709" t="s">
        <v>168</v>
      </c>
      <c r="E3380" s="716">
        <v>488.93</v>
      </c>
      <c r="F3380" s="717">
        <v>0</v>
      </c>
      <c r="G3380">
        <f>VLOOKUP(B3380,'SINAPI-%MO'!B:E,4,0)</f>
        <v>0.43690000000000001</v>
      </c>
      <c r="H3380" s="225">
        <f t="shared" si="52"/>
        <v>275.31</v>
      </c>
    </row>
    <row r="3381" spans="1:8" x14ac:dyDescent="0.3">
      <c r="A3381" s="400"/>
      <c r="B3381" s="709">
        <v>102045</v>
      </c>
      <c r="C3381" s="710" t="s">
        <v>3310</v>
      </c>
      <c r="D3381" s="709" t="s">
        <v>168</v>
      </c>
      <c r="E3381" s="716">
        <v>225.51</v>
      </c>
      <c r="F3381" s="717">
        <v>0</v>
      </c>
      <c r="G3381">
        <f>VLOOKUP(B3381,'SINAPI-%MO'!B:E,4,0)</f>
        <v>0.50160000000000005</v>
      </c>
      <c r="H3381" s="225">
        <f t="shared" si="52"/>
        <v>112.39</v>
      </c>
    </row>
    <row r="3382" spans="1:8" x14ac:dyDescent="0.3">
      <c r="A3382" s="400"/>
      <c r="B3382" s="709">
        <v>102043</v>
      </c>
      <c r="C3382" s="710" t="s">
        <v>3311</v>
      </c>
      <c r="D3382" s="709" t="s">
        <v>168</v>
      </c>
      <c r="E3382" s="716">
        <v>272.95999999999998</v>
      </c>
      <c r="F3382" s="717">
        <v>0</v>
      </c>
      <c r="G3382">
        <f>VLOOKUP(B3382,'SINAPI-%MO'!B:E,4,0)</f>
        <v>0.4723</v>
      </c>
      <c r="H3382" s="225">
        <f t="shared" si="52"/>
        <v>144.04</v>
      </c>
    </row>
    <row r="3383" spans="1:8" x14ac:dyDescent="0.3">
      <c r="A3383" s="400"/>
      <c r="B3383" s="709">
        <v>102044</v>
      </c>
      <c r="C3383" s="710" t="s">
        <v>3312</v>
      </c>
      <c r="D3383" s="709" t="s">
        <v>168</v>
      </c>
      <c r="E3383" s="716">
        <v>243.31</v>
      </c>
      <c r="F3383" s="717">
        <v>0</v>
      </c>
      <c r="G3383">
        <f>VLOOKUP(B3383,'SINAPI-%MO'!B:E,4,0)</f>
        <v>0.48930000000000001</v>
      </c>
      <c r="H3383" s="225">
        <f t="shared" si="52"/>
        <v>124.25</v>
      </c>
    </row>
    <row r="3384" spans="1:8" x14ac:dyDescent="0.3">
      <c r="A3384" s="400"/>
      <c r="B3384" s="709">
        <v>102041</v>
      </c>
      <c r="C3384" s="710" t="s">
        <v>3313</v>
      </c>
      <c r="D3384" s="709" t="s">
        <v>168</v>
      </c>
      <c r="E3384" s="716">
        <v>342.1</v>
      </c>
      <c r="F3384" s="717">
        <v>0</v>
      </c>
      <c r="G3384">
        <f>VLOOKUP(B3384,'SINAPI-%MO'!B:E,4,0)</f>
        <v>0.55859999999999999</v>
      </c>
      <c r="H3384" s="225">
        <f t="shared" si="52"/>
        <v>151</v>
      </c>
    </row>
    <row r="3385" spans="1:8" x14ac:dyDescent="0.3">
      <c r="A3385" s="400"/>
      <c r="B3385" s="709">
        <v>102042</v>
      </c>
      <c r="C3385" s="710" t="s">
        <v>3314</v>
      </c>
      <c r="D3385" s="709" t="s">
        <v>168</v>
      </c>
      <c r="E3385" s="716">
        <v>311.82</v>
      </c>
      <c r="F3385" s="717">
        <v>0</v>
      </c>
      <c r="G3385">
        <f>VLOOKUP(B3385,'SINAPI-%MO'!B:E,4,0)</f>
        <v>0.49120000000000003</v>
      </c>
      <c r="H3385" s="225">
        <f t="shared" si="52"/>
        <v>158.65</v>
      </c>
    </row>
    <row r="3386" spans="1:8" x14ac:dyDescent="0.3">
      <c r="A3386" s="400"/>
      <c r="B3386" s="709">
        <v>102039</v>
      </c>
      <c r="C3386" s="710" t="s">
        <v>3315</v>
      </c>
      <c r="D3386" s="709" t="s">
        <v>168</v>
      </c>
      <c r="E3386" s="716">
        <v>525.74</v>
      </c>
      <c r="F3386" s="717">
        <v>0</v>
      </c>
      <c r="G3386">
        <f>VLOOKUP(B3386,'SINAPI-%MO'!B:E,4,0)</f>
        <v>0.52200000000000002</v>
      </c>
      <c r="H3386" s="225">
        <f t="shared" si="52"/>
        <v>251.3</v>
      </c>
    </row>
    <row r="3387" spans="1:8" x14ac:dyDescent="0.3">
      <c r="A3387" s="400"/>
      <c r="B3387" s="709">
        <v>102040</v>
      </c>
      <c r="C3387" s="710" t="s">
        <v>3316</v>
      </c>
      <c r="D3387" s="709" t="s">
        <v>168</v>
      </c>
      <c r="E3387" s="716">
        <v>435.78</v>
      </c>
      <c r="F3387" s="717">
        <v>0</v>
      </c>
      <c r="G3387">
        <f>VLOOKUP(B3387,'SINAPI-%MO'!B:E,4,0)</f>
        <v>0.4975</v>
      </c>
      <c r="H3387" s="225">
        <f t="shared" si="52"/>
        <v>218.97</v>
      </c>
    </row>
    <row r="3388" spans="1:8" x14ac:dyDescent="0.3">
      <c r="A3388" s="400"/>
      <c r="B3388" s="709">
        <v>102038</v>
      </c>
      <c r="C3388" s="710" t="s">
        <v>3317</v>
      </c>
      <c r="D3388" s="709" t="s">
        <v>168</v>
      </c>
      <c r="E3388" s="716">
        <v>221.76</v>
      </c>
      <c r="F3388" s="717">
        <v>0</v>
      </c>
      <c r="G3388">
        <f>VLOOKUP(B3388,'SINAPI-%MO'!B:E,4,0)</f>
        <v>0.52859999999999996</v>
      </c>
      <c r="H3388" s="225">
        <f t="shared" si="52"/>
        <v>104.53</v>
      </c>
    </row>
    <row r="3389" spans="1:8" x14ac:dyDescent="0.3">
      <c r="A3389" s="400"/>
      <c r="B3389" s="709">
        <v>102036</v>
      </c>
      <c r="C3389" s="710" t="s">
        <v>3318</v>
      </c>
      <c r="D3389" s="709" t="s">
        <v>168</v>
      </c>
      <c r="E3389" s="716">
        <v>271.05</v>
      </c>
      <c r="F3389" s="717">
        <v>0</v>
      </c>
      <c r="G3389">
        <f>VLOOKUP(B3389,'SINAPI-%MO'!B:E,4,0)</f>
        <v>0.497</v>
      </c>
      <c r="H3389" s="225">
        <f t="shared" si="52"/>
        <v>136.33000000000001</v>
      </c>
    </row>
    <row r="3390" spans="1:8" x14ac:dyDescent="0.3">
      <c r="A3390" s="400"/>
      <c r="B3390" s="709">
        <v>102037</v>
      </c>
      <c r="C3390" s="710" t="s">
        <v>3319</v>
      </c>
      <c r="D3390" s="709" t="s">
        <v>168</v>
      </c>
      <c r="E3390" s="716">
        <v>239.38</v>
      </c>
      <c r="F3390" s="717">
        <v>0</v>
      </c>
      <c r="G3390">
        <f>VLOOKUP(B3390,'SINAPI-%MO'!B:E,4,0)</f>
        <v>0.51649999999999996</v>
      </c>
      <c r="H3390" s="225">
        <f t="shared" si="52"/>
        <v>115.74</v>
      </c>
    </row>
    <row r="3391" spans="1:8" x14ac:dyDescent="0.3">
      <c r="A3391" s="400"/>
      <c r="B3391" s="709">
        <v>102016</v>
      </c>
      <c r="C3391" s="710" t="s">
        <v>3320</v>
      </c>
      <c r="D3391" s="709" t="s">
        <v>168</v>
      </c>
      <c r="E3391" s="716">
        <v>334.61</v>
      </c>
      <c r="F3391" s="717">
        <v>0</v>
      </c>
      <c r="G3391">
        <f>VLOOKUP(B3391,'SINAPI-%MO'!B:E,4,0)</f>
        <v>0.59640000000000004</v>
      </c>
      <c r="H3391" s="225">
        <f t="shared" si="52"/>
        <v>135.04</v>
      </c>
    </row>
    <row r="3392" spans="1:8" x14ac:dyDescent="0.3">
      <c r="A3392" s="400"/>
      <c r="B3392" s="709">
        <v>102017</v>
      </c>
      <c r="C3392" s="710" t="s">
        <v>3321</v>
      </c>
      <c r="D3392" s="709" t="s">
        <v>168</v>
      </c>
      <c r="E3392" s="716">
        <v>306.77</v>
      </c>
      <c r="F3392" s="717">
        <v>0</v>
      </c>
      <c r="G3392">
        <f>VLOOKUP(B3392,'SINAPI-%MO'!B:E,4,0)</f>
        <v>0.53049999999999997</v>
      </c>
      <c r="H3392" s="225">
        <f t="shared" si="52"/>
        <v>144.02000000000001</v>
      </c>
    </row>
    <row r="3393" spans="1:8" x14ac:dyDescent="0.3">
      <c r="A3393" s="400"/>
      <c r="B3393" s="709">
        <v>102014</v>
      </c>
      <c r="C3393" s="710" t="s">
        <v>3322</v>
      </c>
      <c r="D3393" s="709" t="s">
        <v>168</v>
      </c>
      <c r="E3393" s="716">
        <v>564.97</v>
      </c>
      <c r="F3393" s="717">
        <v>0</v>
      </c>
      <c r="G3393">
        <f>VLOOKUP(B3393,'SINAPI-%MO'!B:E,4,0)</f>
        <v>0.48049999999999998</v>
      </c>
      <c r="H3393" s="225">
        <f t="shared" si="52"/>
        <v>293.5</v>
      </c>
    </row>
    <row r="3394" spans="1:8" x14ac:dyDescent="0.3">
      <c r="A3394" s="400"/>
      <c r="B3394" s="709">
        <v>102015</v>
      </c>
      <c r="C3394" s="710" t="s">
        <v>3323</v>
      </c>
      <c r="D3394" s="709" t="s">
        <v>168</v>
      </c>
      <c r="E3394" s="716">
        <v>471.45</v>
      </c>
      <c r="F3394" s="717">
        <v>0</v>
      </c>
      <c r="G3394">
        <f>VLOOKUP(B3394,'SINAPI-%MO'!B:E,4,0)</f>
        <v>0.45750000000000002</v>
      </c>
      <c r="H3394" s="225">
        <f t="shared" si="52"/>
        <v>255.76</v>
      </c>
    </row>
    <row r="3395" spans="1:8" x14ac:dyDescent="0.3">
      <c r="A3395" s="400"/>
      <c r="B3395" s="709">
        <v>102013</v>
      </c>
      <c r="C3395" s="710" t="s">
        <v>3324</v>
      </c>
      <c r="D3395" s="709" t="s">
        <v>168</v>
      </c>
      <c r="E3395" s="716">
        <v>227.23</v>
      </c>
      <c r="F3395" s="717">
        <v>0</v>
      </c>
      <c r="G3395">
        <f>VLOOKUP(B3395,'SINAPI-%MO'!B:E,4,0)</f>
        <v>0.504</v>
      </c>
      <c r="H3395" s="225">
        <f t="shared" si="52"/>
        <v>112.7</v>
      </c>
    </row>
    <row r="3396" spans="1:8" x14ac:dyDescent="0.3">
      <c r="A3396" s="400"/>
      <c r="B3396" s="709">
        <v>102011</v>
      </c>
      <c r="C3396" s="710" t="s">
        <v>3325</v>
      </c>
      <c r="D3396" s="709" t="s">
        <v>168</v>
      </c>
      <c r="E3396" s="716">
        <v>274.57</v>
      </c>
      <c r="F3396" s="717">
        <v>0</v>
      </c>
      <c r="G3396">
        <f>VLOOKUP(B3396,'SINAPI-%MO'!B:E,4,0)</f>
        <v>0.4778</v>
      </c>
      <c r="H3396" s="225">
        <f t="shared" si="52"/>
        <v>143.38</v>
      </c>
    </row>
    <row r="3397" spans="1:8" x14ac:dyDescent="0.3">
      <c r="A3397" s="400"/>
      <c r="B3397" s="709">
        <v>102012</v>
      </c>
      <c r="C3397" s="710" t="s">
        <v>3326</v>
      </c>
      <c r="D3397" s="709" t="s">
        <v>168</v>
      </c>
      <c r="E3397" s="716">
        <v>244.16</v>
      </c>
      <c r="F3397" s="717">
        <v>0</v>
      </c>
      <c r="G3397">
        <f>VLOOKUP(B3397,'SINAPI-%MO'!B:E,4,0)</f>
        <v>0.49409999999999998</v>
      </c>
      <c r="H3397" s="225">
        <f t="shared" si="52"/>
        <v>123.52</v>
      </c>
    </row>
    <row r="3398" spans="1:8" x14ac:dyDescent="0.3">
      <c r="A3398" s="400"/>
      <c r="B3398" s="709">
        <v>102009</v>
      </c>
      <c r="C3398" s="710" t="s">
        <v>3327</v>
      </c>
      <c r="D3398" s="709" t="s">
        <v>168</v>
      </c>
      <c r="E3398" s="716">
        <v>341.64</v>
      </c>
      <c r="F3398" s="717">
        <v>0</v>
      </c>
      <c r="G3398">
        <f>VLOOKUP(B3398,'SINAPI-%MO'!B:E,4,0)</f>
        <v>0.56879999999999997</v>
      </c>
      <c r="H3398" s="225">
        <f t="shared" si="52"/>
        <v>147.31</v>
      </c>
    </row>
    <row r="3399" spans="1:8" x14ac:dyDescent="0.3">
      <c r="A3399" s="400"/>
      <c r="B3399" s="709">
        <v>102010</v>
      </c>
      <c r="C3399" s="710" t="s">
        <v>3328</v>
      </c>
      <c r="D3399" s="709" t="s">
        <v>168</v>
      </c>
      <c r="E3399" s="716">
        <v>314.77999999999997</v>
      </c>
      <c r="F3399" s="717">
        <v>0</v>
      </c>
      <c r="G3399">
        <f>VLOOKUP(B3399,'SINAPI-%MO'!B:E,4,0)</f>
        <v>0.49790000000000001</v>
      </c>
      <c r="H3399" s="225">
        <f t="shared" si="52"/>
        <v>158.05000000000001</v>
      </c>
    </row>
    <row r="3400" spans="1:8" x14ac:dyDescent="0.3">
      <c r="A3400" s="400"/>
      <c r="B3400" s="709">
        <v>102007</v>
      </c>
      <c r="C3400" s="710" t="s">
        <v>3329</v>
      </c>
      <c r="D3400" s="709" t="s">
        <v>168</v>
      </c>
      <c r="E3400" s="716">
        <v>503.41</v>
      </c>
      <c r="F3400" s="717">
        <v>0</v>
      </c>
      <c r="G3400">
        <f>VLOOKUP(B3400,'SINAPI-%MO'!B:E,4,0)</f>
        <v>0.54579999999999995</v>
      </c>
      <c r="H3400" s="225">
        <f t="shared" si="52"/>
        <v>228.64</v>
      </c>
    </row>
    <row r="3401" spans="1:8" x14ac:dyDescent="0.3">
      <c r="A3401" s="400"/>
      <c r="B3401" s="709">
        <v>102008</v>
      </c>
      <c r="C3401" s="710" t="s">
        <v>3330</v>
      </c>
      <c r="D3401" s="709" t="s">
        <v>168</v>
      </c>
      <c r="E3401" s="716">
        <v>418.43</v>
      </c>
      <c r="F3401" s="717">
        <v>0</v>
      </c>
      <c r="G3401">
        <f>VLOOKUP(B3401,'SINAPI-%MO'!B:E,4,0)</f>
        <v>0.51980000000000004</v>
      </c>
      <c r="H3401" s="225">
        <f t="shared" si="52"/>
        <v>200.93</v>
      </c>
    </row>
    <row r="3402" spans="1:8" x14ac:dyDescent="0.3">
      <c r="A3402" s="400"/>
      <c r="B3402" s="709">
        <v>102006</v>
      </c>
      <c r="C3402" s="710" t="s">
        <v>3331</v>
      </c>
      <c r="D3402" s="709" t="s">
        <v>168</v>
      </c>
      <c r="E3402" s="716">
        <v>226.98</v>
      </c>
      <c r="F3402" s="717">
        <v>0</v>
      </c>
      <c r="G3402">
        <f>VLOOKUP(B3402,'SINAPI-%MO'!B:E,4,0)</f>
        <v>0.50829999999999997</v>
      </c>
      <c r="H3402" s="225">
        <f t="shared" si="52"/>
        <v>111.6</v>
      </c>
    </row>
    <row r="3403" spans="1:8" x14ac:dyDescent="0.3">
      <c r="A3403" s="400"/>
      <c r="B3403" s="709">
        <v>102004</v>
      </c>
      <c r="C3403" s="710" t="s">
        <v>3332</v>
      </c>
      <c r="D3403" s="709" t="s">
        <v>168</v>
      </c>
      <c r="E3403" s="716">
        <v>278.68</v>
      </c>
      <c r="F3403" s="717">
        <v>0</v>
      </c>
      <c r="G3403">
        <f>VLOOKUP(B3403,'SINAPI-%MO'!B:E,4,0)</f>
        <v>0.47460000000000002</v>
      </c>
      <c r="H3403" s="225">
        <f t="shared" ref="H3403:H3466" si="53">IF(E3403&gt;0,TRUNC(E3403*(1-G3403),2),"")</f>
        <v>146.41</v>
      </c>
    </row>
    <row r="3404" spans="1:8" x14ac:dyDescent="0.3">
      <c r="A3404" s="400"/>
      <c r="B3404" s="709">
        <v>102005</v>
      </c>
      <c r="C3404" s="710" t="s">
        <v>3333</v>
      </c>
      <c r="D3404" s="709" t="s">
        <v>168</v>
      </c>
      <c r="E3404" s="716">
        <v>246.96</v>
      </c>
      <c r="F3404" s="717">
        <v>0</v>
      </c>
      <c r="G3404">
        <f>VLOOKUP(B3404,'SINAPI-%MO'!B:E,4,0)</f>
        <v>0.49320000000000003</v>
      </c>
      <c r="H3404" s="225">
        <f t="shared" si="53"/>
        <v>125.15</v>
      </c>
    </row>
    <row r="3405" spans="1:8" x14ac:dyDescent="0.3">
      <c r="A3405" s="400"/>
      <c r="B3405" s="709">
        <v>102002</v>
      </c>
      <c r="C3405" s="710" t="s">
        <v>3334</v>
      </c>
      <c r="D3405" s="709" t="s">
        <v>168</v>
      </c>
      <c r="E3405" s="716">
        <v>337.55</v>
      </c>
      <c r="F3405" s="717">
        <v>0</v>
      </c>
      <c r="G3405">
        <f>VLOOKUP(B3405,'SINAPI-%MO'!B:E,4,0)</f>
        <v>0.57789999999999997</v>
      </c>
      <c r="H3405" s="225">
        <f t="shared" si="53"/>
        <v>142.47</v>
      </c>
    </row>
    <row r="3406" spans="1:8" x14ac:dyDescent="0.3">
      <c r="A3406" s="400"/>
      <c r="B3406" s="709">
        <v>102003</v>
      </c>
      <c r="C3406" s="710" t="s">
        <v>3335</v>
      </c>
      <c r="D3406" s="709" t="s">
        <v>168</v>
      </c>
      <c r="E3406" s="716">
        <v>312.23</v>
      </c>
      <c r="F3406" s="717">
        <v>0</v>
      </c>
      <c r="G3406">
        <f>VLOOKUP(B3406,'SINAPI-%MO'!B:E,4,0)</f>
        <v>0.50819999999999999</v>
      </c>
      <c r="H3406" s="225">
        <f t="shared" si="53"/>
        <v>153.55000000000001</v>
      </c>
    </row>
    <row r="3407" spans="1:8" x14ac:dyDescent="0.3">
      <c r="A3407" s="400"/>
      <c r="B3407" s="709">
        <v>102000</v>
      </c>
      <c r="C3407" s="710" t="s">
        <v>3336</v>
      </c>
      <c r="D3407" s="709" t="s">
        <v>168</v>
      </c>
      <c r="E3407" s="716">
        <v>521.53</v>
      </c>
      <c r="F3407" s="717">
        <v>0</v>
      </c>
      <c r="G3407">
        <f>VLOOKUP(B3407,'SINAPI-%MO'!B:E,4,0)</f>
        <v>0.51539999999999997</v>
      </c>
      <c r="H3407" s="225">
        <f t="shared" si="53"/>
        <v>252.73</v>
      </c>
    </row>
    <row r="3408" spans="1:8" x14ac:dyDescent="0.3">
      <c r="A3408" s="400"/>
      <c r="B3408" s="709">
        <v>102001</v>
      </c>
      <c r="C3408" s="710" t="s">
        <v>3337</v>
      </c>
      <c r="D3408" s="709" t="s">
        <v>168</v>
      </c>
      <c r="E3408" s="716">
        <v>446.65</v>
      </c>
      <c r="F3408" s="717">
        <v>0</v>
      </c>
      <c r="G3408">
        <f>VLOOKUP(B3408,'SINAPI-%MO'!B:E,4,0)</f>
        <v>0.47920000000000001</v>
      </c>
      <c r="H3408" s="225">
        <f t="shared" si="53"/>
        <v>232.61</v>
      </c>
    </row>
    <row r="3409" spans="1:8" x14ac:dyDescent="0.3">
      <c r="A3409" s="400"/>
      <c r="B3409" s="709">
        <v>101983</v>
      </c>
      <c r="C3409" s="710" t="s">
        <v>3338</v>
      </c>
      <c r="D3409" s="709" t="s">
        <v>168</v>
      </c>
      <c r="E3409" s="716">
        <v>231.5</v>
      </c>
      <c r="F3409" s="717">
        <v>0</v>
      </c>
      <c r="G3409">
        <f>VLOOKUP(B3409,'SINAPI-%MO'!B:E,4,0)</f>
        <v>0.4854</v>
      </c>
      <c r="H3409" s="225">
        <f t="shared" si="53"/>
        <v>119.12</v>
      </c>
    </row>
    <row r="3410" spans="1:8" x14ac:dyDescent="0.3">
      <c r="A3410" s="400"/>
      <c r="B3410" s="709">
        <v>101981</v>
      </c>
      <c r="C3410" s="710" t="s">
        <v>3339</v>
      </c>
      <c r="D3410" s="709" t="s">
        <v>168</v>
      </c>
      <c r="E3410" s="716">
        <v>279.67</v>
      </c>
      <c r="F3410" s="717">
        <v>0</v>
      </c>
      <c r="G3410">
        <f>VLOOKUP(B3410,'SINAPI-%MO'!B:E,4,0)</f>
        <v>0.45850000000000002</v>
      </c>
      <c r="H3410" s="225">
        <f t="shared" si="53"/>
        <v>151.44</v>
      </c>
    </row>
    <row r="3411" spans="1:8" x14ac:dyDescent="0.3">
      <c r="A3411" s="400"/>
      <c r="B3411" s="709">
        <v>101982</v>
      </c>
      <c r="C3411" s="710" t="s">
        <v>3340</v>
      </c>
      <c r="D3411" s="709" t="s">
        <v>168</v>
      </c>
      <c r="E3411" s="716">
        <v>250.11</v>
      </c>
      <c r="F3411" s="717">
        <v>0</v>
      </c>
      <c r="G3411">
        <f>VLOOKUP(B3411,'SINAPI-%MO'!B:E,4,0)</f>
        <v>0.47339999999999999</v>
      </c>
      <c r="H3411" s="225">
        <f t="shared" si="53"/>
        <v>131.69999999999999</v>
      </c>
    </row>
    <row r="3412" spans="1:8" x14ac:dyDescent="0.3">
      <c r="A3412" s="400"/>
      <c r="B3412" s="709">
        <v>101977</v>
      </c>
      <c r="C3412" s="710" t="s">
        <v>3341</v>
      </c>
      <c r="D3412" s="709" t="s">
        <v>168</v>
      </c>
      <c r="E3412" s="716">
        <v>340.87</v>
      </c>
      <c r="F3412" s="717">
        <v>0</v>
      </c>
      <c r="G3412">
        <f>VLOOKUP(B3412,'SINAPI-%MO'!B:E,4,0)</f>
        <v>0.55449999999999999</v>
      </c>
      <c r="H3412" s="225">
        <f t="shared" si="53"/>
        <v>151.85</v>
      </c>
    </row>
    <row r="3413" spans="1:8" x14ac:dyDescent="0.3">
      <c r="A3413" s="400"/>
      <c r="B3413" s="709">
        <v>101980</v>
      </c>
      <c r="C3413" s="710" t="s">
        <v>3342</v>
      </c>
      <c r="D3413" s="709" t="s">
        <v>168</v>
      </c>
      <c r="E3413" s="716">
        <v>317.33</v>
      </c>
      <c r="F3413" s="717">
        <v>0</v>
      </c>
      <c r="G3413">
        <f>VLOOKUP(B3413,'SINAPI-%MO'!B:E,4,0)</f>
        <v>0.47860000000000003</v>
      </c>
      <c r="H3413" s="225">
        <f t="shared" si="53"/>
        <v>165.45</v>
      </c>
    </row>
    <row r="3414" spans="1:8" x14ac:dyDescent="0.3">
      <c r="A3414" s="400"/>
      <c r="B3414" s="709">
        <v>101974</v>
      </c>
      <c r="C3414" s="710" t="s">
        <v>3343</v>
      </c>
      <c r="D3414" s="709" t="s">
        <v>168</v>
      </c>
      <c r="E3414" s="716">
        <v>507.93</v>
      </c>
      <c r="F3414" s="717">
        <v>0</v>
      </c>
      <c r="G3414">
        <f>VLOOKUP(B3414,'SINAPI-%MO'!B:E,4,0)</f>
        <v>0.54310000000000003</v>
      </c>
      <c r="H3414" s="225">
        <f t="shared" si="53"/>
        <v>232.07</v>
      </c>
    </row>
    <row r="3415" spans="1:8" x14ac:dyDescent="0.3">
      <c r="A3415" s="400"/>
      <c r="B3415" s="709">
        <v>101975</v>
      </c>
      <c r="C3415" s="710" t="s">
        <v>3344</v>
      </c>
      <c r="D3415" s="709" t="s">
        <v>168</v>
      </c>
      <c r="E3415" s="716">
        <v>429.51</v>
      </c>
      <c r="F3415" s="717">
        <v>0</v>
      </c>
      <c r="G3415">
        <f>VLOOKUP(B3415,'SINAPI-%MO'!B:E,4,0)</f>
        <v>0.51149999999999995</v>
      </c>
      <c r="H3415" s="225">
        <f t="shared" si="53"/>
        <v>209.81</v>
      </c>
    </row>
    <row r="3416" spans="1:8" x14ac:dyDescent="0.3">
      <c r="A3416" s="400"/>
      <c r="B3416" s="709">
        <v>101114</v>
      </c>
      <c r="C3416" s="710" t="s">
        <v>3345</v>
      </c>
      <c r="D3416" s="709" t="s">
        <v>170</v>
      </c>
      <c r="E3416" s="716">
        <v>4.76</v>
      </c>
      <c r="F3416" s="717">
        <v>0</v>
      </c>
      <c r="G3416">
        <f>VLOOKUP(B3416,'SINAPI-%MO'!B:E,4,0)</f>
        <v>0.3992</v>
      </c>
      <c r="H3416" s="225">
        <f t="shared" si="53"/>
        <v>2.85</v>
      </c>
    </row>
    <row r="3417" spans="1:8" x14ac:dyDescent="0.3">
      <c r="A3417" s="400"/>
      <c r="B3417" s="709">
        <v>101118</v>
      </c>
      <c r="C3417" s="710" t="s">
        <v>3346</v>
      </c>
      <c r="D3417" s="709" t="s">
        <v>170</v>
      </c>
      <c r="E3417" s="716">
        <v>4.07</v>
      </c>
      <c r="F3417" s="717">
        <v>0</v>
      </c>
      <c r="G3417">
        <f>VLOOKUP(B3417,'SINAPI-%MO'!B:E,4,0)</f>
        <v>0.37590000000000001</v>
      </c>
      <c r="H3417" s="225">
        <f t="shared" si="53"/>
        <v>2.54</v>
      </c>
    </row>
    <row r="3418" spans="1:8" x14ac:dyDescent="0.3">
      <c r="A3418" s="400"/>
      <c r="B3418" s="709">
        <v>101115</v>
      </c>
      <c r="C3418" s="710" t="s">
        <v>3347</v>
      </c>
      <c r="D3418" s="709" t="s">
        <v>170</v>
      </c>
      <c r="E3418" s="716">
        <v>3.94</v>
      </c>
      <c r="F3418" s="717">
        <v>0</v>
      </c>
      <c r="G3418">
        <f>VLOOKUP(B3418,'SINAPI-%MO'!B:E,4,0)</f>
        <v>0.32740000000000002</v>
      </c>
      <c r="H3418" s="225">
        <f t="shared" si="53"/>
        <v>2.65</v>
      </c>
    </row>
    <row r="3419" spans="1:8" x14ac:dyDescent="0.3">
      <c r="A3419" s="400"/>
      <c r="B3419" s="709">
        <v>101116</v>
      </c>
      <c r="C3419" s="710" t="s">
        <v>3348</v>
      </c>
      <c r="D3419" s="709" t="s">
        <v>170</v>
      </c>
      <c r="E3419" s="716">
        <v>2.4500000000000002</v>
      </c>
      <c r="F3419" s="717">
        <v>0</v>
      </c>
      <c r="G3419">
        <f>VLOOKUP(B3419,'SINAPI-%MO'!B:E,4,0)</f>
        <v>0.32240000000000002</v>
      </c>
      <c r="H3419" s="225">
        <f t="shared" si="53"/>
        <v>1.66</v>
      </c>
    </row>
    <row r="3420" spans="1:8" x14ac:dyDescent="0.3">
      <c r="A3420" s="400"/>
      <c r="B3420" s="709">
        <v>101117</v>
      </c>
      <c r="C3420" s="710" t="s">
        <v>3349</v>
      </c>
      <c r="D3420" s="709" t="s">
        <v>170</v>
      </c>
      <c r="E3420" s="716">
        <v>3.38</v>
      </c>
      <c r="F3420" s="717">
        <v>0</v>
      </c>
      <c r="G3420">
        <f>VLOOKUP(B3420,'SINAPI-%MO'!B:E,4,0)</f>
        <v>0.1391</v>
      </c>
      <c r="H3420" s="225">
        <f t="shared" si="53"/>
        <v>2.9</v>
      </c>
    </row>
    <row r="3421" spans="1:8" x14ac:dyDescent="0.3">
      <c r="A3421" s="400"/>
      <c r="B3421" s="709">
        <v>101124</v>
      </c>
      <c r="C3421" s="710" t="s">
        <v>3350</v>
      </c>
      <c r="D3421" s="709" t="s">
        <v>170</v>
      </c>
      <c r="E3421" s="716">
        <v>15.59</v>
      </c>
      <c r="F3421" s="717">
        <v>0</v>
      </c>
      <c r="G3421">
        <f>VLOOKUP(B3421,'SINAPI-%MO'!B:E,4,0)</f>
        <v>0.24179999999999999</v>
      </c>
      <c r="H3421" s="225">
        <f t="shared" si="53"/>
        <v>11.82</v>
      </c>
    </row>
    <row r="3422" spans="1:8" x14ac:dyDescent="0.3">
      <c r="A3422" s="400"/>
      <c r="B3422" s="709">
        <v>101128</v>
      </c>
      <c r="C3422" s="710" t="s">
        <v>3351</v>
      </c>
      <c r="D3422" s="709" t="s">
        <v>170</v>
      </c>
      <c r="E3422" s="716">
        <v>14.9</v>
      </c>
      <c r="F3422" s="717">
        <v>0</v>
      </c>
      <c r="G3422">
        <f>VLOOKUP(B3422,'SINAPI-%MO'!B:E,4,0)</f>
        <v>0.22819999999999999</v>
      </c>
      <c r="H3422" s="225">
        <f t="shared" si="53"/>
        <v>11.49</v>
      </c>
    </row>
    <row r="3423" spans="1:8" x14ac:dyDescent="0.3">
      <c r="A3423" s="400"/>
      <c r="B3423" s="709">
        <v>101125</v>
      </c>
      <c r="C3423" s="710" t="s">
        <v>3352</v>
      </c>
      <c r="D3423" s="709" t="s">
        <v>170</v>
      </c>
      <c r="E3423" s="716">
        <v>14.77</v>
      </c>
      <c r="F3423" s="717">
        <v>0</v>
      </c>
      <c r="G3423">
        <f>VLOOKUP(B3423,'SINAPI-%MO'!B:E,4,0)</f>
        <v>0.21390000000000001</v>
      </c>
      <c r="H3423" s="225">
        <f t="shared" si="53"/>
        <v>11.61</v>
      </c>
    </row>
    <row r="3424" spans="1:8" x14ac:dyDescent="0.3">
      <c r="A3424" s="400"/>
      <c r="B3424" s="709">
        <v>101126</v>
      </c>
      <c r="C3424" s="710" t="s">
        <v>3353</v>
      </c>
      <c r="D3424" s="709" t="s">
        <v>170</v>
      </c>
      <c r="E3424" s="716">
        <v>13.28</v>
      </c>
      <c r="F3424" s="717">
        <v>0</v>
      </c>
      <c r="G3424">
        <f>VLOOKUP(B3424,'SINAPI-%MO'!B:E,4,0)</f>
        <v>0.20030000000000001</v>
      </c>
      <c r="H3424" s="225">
        <f t="shared" si="53"/>
        <v>10.62</v>
      </c>
    </row>
    <row r="3425" spans="1:8" x14ac:dyDescent="0.3">
      <c r="A3425" s="400"/>
      <c r="B3425" s="709">
        <v>101127</v>
      </c>
      <c r="C3425" s="710" t="s">
        <v>3354</v>
      </c>
      <c r="D3425" s="709" t="s">
        <v>170</v>
      </c>
      <c r="E3425" s="716">
        <v>14.21</v>
      </c>
      <c r="F3425" s="717">
        <v>0</v>
      </c>
      <c r="G3425">
        <f>VLOOKUP(B3425,'SINAPI-%MO'!B:E,4,0)</f>
        <v>0.16470000000000001</v>
      </c>
      <c r="H3425" s="225">
        <f t="shared" si="53"/>
        <v>11.86</v>
      </c>
    </row>
    <row r="3426" spans="1:8" x14ac:dyDescent="0.3">
      <c r="A3426" s="400"/>
      <c r="B3426" s="709">
        <v>101134</v>
      </c>
      <c r="C3426" s="710" t="s">
        <v>3355</v>
      </c>
      <c r="D3426" s="709" t="s">
        <v>170</v>
      </c>
      <c r="E3426" s="716">
        <v>16.36</v>
      </c>
      <c r="F3426" s="717">
        <v>0</v>
      </c>
      <c r="G3426">
        <f>VLOOKUP(B3426,'SINAPI-%MO'!B:E,4,0)</f>
        <v>0.2359</v>
      </c>
      <c r="H3426" s="225">
        <f t="shared" si="53"/>
        <v>12.5</v>
      </c>
    </row>
    <row r="3427" spans="1:8" x14ac:dyDescent="0.3">
      <c r="A3427" s="400"/>
      <c r="B3427" s="709">
        <v>101144</v>
      </c>
      <c r="C3427" s="710" t="s">
        <v>3356</v>
      </c>
      <c r="D3427" s="709" t="s">
        <v>170</v>
      </c>
      <c r="E3427" s="716">
        <v>16.190000000000001</v>
      </c>
      <c r="F3427" s="717">
        <v>0</v>
      </c>
      <c r="G3427">
        <f>VLOOKUP(B3427,'SINAPI-%MO'!B:E,4,0)</f>
        <v>0.218</v>
      </c>
      <c r="H3427" s="225">
        <f t="shared" si="53"/>
        <v>12.66</v>
      </c>
    </row>
    <row r="3428" spans="1:8" x14ac:dyDescent="0.3">
      <c r="A3428" s="400"/>
      <c r="B3428" s="709">
        <v>101138</v>
      </c>
      <c r="C3428" s="710" t="s">
        <v>261</v>
      </c>
      <c r="D3428" s="709" t="s">
        <v>170</v>
      </c>
      <c r="E3428" s="716">
        <v>15.67</v>
      </c>
      <c r="F3428" s="717">
        <v>0</v>
      </c>
      <c r="G3428">
        <f>VLOOKUP(B3428,'SINAPI-%MO'!B:E,4,0)</f>
        <v>0.22270000000000001</v>
      </c>
      <c r="H3428" s="225">
        <f t="shared" si="53"/>
        <v>12.18</v>
      </c>
    </row>
    <row r="3429" spans="1:8" x14ac:dyDescent="0.3">
      <c r="A3429" s="400"/>
      <c r="B3429" s="709">
        <v>101148</v>
      </c>
      <c r="C3429" s="710" t="s">
        <v>3357</v>
      </c>
      <c r="D3429" s="709" t="s">
        <v>170</v>
      </c>
      <c r="E3429" s="716">
        <v>15.5</v>
      </c>
      <c r="F3429" s="717">
        <v>0</v>
      </c>
      <c r="G3429">
        <f>VLOOKUP(B3429,'SINAPI-%MO'!B:E,4,0)</f>
        <v>0.2039</v>
      </c>
      <c r="H3429" s="225">
        <f t="shared" si="53"/>
        <v>12.33</v>
      </c>
    </row>
    <row r="3430" spans="1:8" x14ac:dyDescent="0.3">
      <c r="A3430" s="400"/>
      <c r="B3430" s="709">
        <v>101135</v>
      </c>
      <c r="C3430" s="710" t="s">
        <v>3358</v>
      </c>
      <c r="D3430" s="709" t="s">
        <v>170</v>
      </c>
      <c r="E3430" s="716">
        <v>15.54</v>
      </c>
      <c r="F3430" s="717">
        <v>0</v>
      </c>
      <c r="G3430">
        <f>VLOOKUP(B3430,'SINAPI-%MO'!B:E,4,0)</f>
        <v>0.20910000000000001</v>
      </c>
      <c r="H3430" s="225">
        <f t="shared" si="53"/>
        <v>12.29</v>
      </c>
    </row>
    <row r="3431" spans="1:8" x14ac:dyDescent="0.3">
      <c r="A3431" s="400"/>
      <c r="B3431" s="709">
        <v>101145</v>
      </c>
      <c r="C3431" s="710" t="s">
        <v>3359</v>
      </c>
      <c r="D3431" s="709" t="s">
        <v>170</v>
      </c>
      <c r="E3431" s="716">
        <v>15.37</v>
      </c>
      <c r="F3431" s="717">
        <v>0</v>
      </c>
      <c r="G3431">
        <f>VLOOKUP(B3431,'SINAPI-%MO'!B:E,4,0)</f>
        <v>0.19</v>
      </c>
      <c r="H3431" s="225">
        <f t="shared" si="53"/>
        <v>12.44</v>
      </c>
    </row>
    <row r="3432" spans="1:8" x14ac:dyDescent="0.3">
      <c r="A3432" s="400"/>
      <c r="B3432" s="709">
        <v>101136</v>
      </c>
      <c r="C3432" s="710" t="s">
        <v>3360</v>
      </c>
      <c r="D3432" s="709" t="s">
        <v>170</v>
      </c>
      <c r="E3432" s="716">
        <v>14.05</v>
      </c>
      <c r="F3432" s="717">
        <v>0</v>
      </c>
      <c r="G3432">
        <f>VLOOKUP(B3432,'SINAPI-%MO'!B:E,4,0)</f>
        <v>0.19570000000000001</v>
      </c>
      <c r="H3432" s="225">
        <f t="shared" si="53"/>
        <v>11.3</v>
      </c>
    </row>
    <row r="3433" spans="1:8" x14ac:dyDescent="0.3">
      <c r="A3433" s="400"/>
      <c r="B3433" s="709">
        <v>101146</v>
      </c>
      <c r="C3433" s="710" t="s">
        <v>3361</v>
      </c>
      <c r="D3433" s="709" t="s">
        <v>170</v>
      </c>
      <c r="E3433" s="716">
        <v>13.88</v>
      </c>
      <c r="F3433" s="717">
        <v>0</v>
      </c>
      <c r="G3433">
        <f>VLOOKUP(B3433,'SINAPI-%MO'!B:E,4,0)</f>
        <v>0.1744</v>
      </c>
      <c r="H3433" s="225">
        <f t="shared" si="53"/>
        <v>11.45</v>
      </c>
    </row>
    <row r="3434" spans="1:8" x14ac:dyDescent="0.3">
      <c r="A3434" s="400"/>
      <c r="B3434" s="709">
        <v>101137</v>
      </c>
      <c r="C3434" s="710" t="s">
        <v>3362</v>
      </c>
      <c r="D3434" s="709" t="s">
        <v>170</v>
      </c>
      <c r="E3434" s="716">
        <v>14.98</v>
      </c>
      <c r="F3434" s="717">
        <v>0</v>
      </c>
      <c r="G3434">
        <f>VLOOKUP(B3434,'SINAPI-%MO'!B:E,4,0)</f>
        <v>0.16220000000000001</v>
      </c>
      <c r="H3434" s="225">
        <f t="shared" si="53"/>
        <v>12.55</v>
      </c>
    </row>
    <row r="3435" spans="1:8" x14ac:dyDescent="0.3">
      <c r="A3435" s="400"/>
      <c r="B3435" s="709">
        <v>101147</v>
      </c>
      <c r="C3435" s="710" t="s">
        <v>3363</v>
      </c>
      <c r="D3435" s="709" t="s">
        <v>170</v>
      </c>
      <c r="E3435" s="716">
        <v>14.81</v>
      </c>
      <c r="F3435" s="717">
        <v>0</v>
      </c>
      <c r="G3435">
        <f>VLOOKUP(B3435,'SINAPI-%MO'!B:E,4,0)</f>
        <v>0.14180000000000001</v>
      </c>
      <c r="H3435" s="225">
        <f t="shared" si="53"/>
        <v>12.7</v>
      </c>
    </row>
    <row r="3436" spans="1:8" x14ac:dyDescent="0.3">
      <c r="A3436" s="400"/>
      <c r="B3436" s="709">
        <v>101119</v>
      </c>
      <c r="C3436" s="710" t="s">
        <v>3364</v>
      </c>
      <c r="D3436" s="709" t="s">
        <v>170</v>
      </c>
      <c r="E3436" s="716">
        <v>9.07</v>
      </c>
      <c r="F3436" s="717">
        <v>0</v>
      </c>
      <c r="G3436">
        <f>VLOOKUP(B3436,'SINAPI-%MO'!B:E,4,0)</f>
        <v>0.39910000000000001</v>
      </c>
      <c r="H3436" s="225">
        <f t="shared" si="53"/>
        <v>5.45</v>
      </c>
    </row>
    <row r="3437" spans="1:8" x14ac:dyDescent="0.3">
      <c r="A3437" s="400"/>
      <c r="B3437" s="709">
        <v>101123</v>
      </c>
      <c r="C3437" s="710" t="s">
        <v>3365</v>
      </c>
      <c r="D3437" s="709" t="s">
        <v>170</v>
      </c>
      <c r="E3437" s="716">
        <v>7.79</v>
      </c>
      <c r="F3437" s="717">
        <v>0</v>
      </c>
      <c r="G3437">
        <f>VLOOKUP(B3437,'SINAPI-%MO'!B:E,4,0)</f>
        <v>0.37609999999999999</v>
      </c>
      <c r="H3437" s="225">
        <f t="shared" si="53"/>
        <v>4.8600000000000003</v>
      </c>
    </row>
    <row r="3438" spans="1:8" x14ac:dyDescent="0.3">
      <c r="A3438" s="400"/>
      <c r="B3438" s="709">
        <v>101120</v>
      </c>
      <c r="C3438" s="710" t="s">
        <v>3366</v>
      </c>
      <c r="D3438" s="709" t="s">
        <v>170</v>
      </c>
      <c r="E3438" s="716">
        <v>7.57</v>
      </c>
      <c r="F3438" s="717">
        <v>0</v>
      </c>
      <c r="G3438">
        <f>VLOOKUP(B3438,'SINAPI-%MO'!B:E,4,0)</f>
        <v>0.32890000000000003</v>
      </c>
      <c r="H3438" s="225">
        <f t="shared" si="53"/>
        <v>5.08</v>
      </c>
    </row>
    <row r="3439" spans="1:8" x14ac:dyDescent="0.3">
      <c r="A3439" s="400"/>
      <c r="B3439" s="709">
        <v>101121</v>
      </c>
      <c r="C3439" s="710" t="s">
        <v>3367</v>
      </c>
      <c r="D3439" s="709" t="s">
        <v>170</v>
      </c>
      <c r="E3439" s="716">
        <v>4.7300000000000004</v>
      </c>
      <c r="F3439" s="717">
        <v>0</v>
      </c>
      <c r="G3439">
        <f>VLOOKUP(B3439,'SINAPI-%MO'!B:E,4,0)</f>
        <v>0.32140000000000002</v>
      </c>
      <c r="H3439" s="225">
        <f t="shared" si="53"/>
        <v>3.2</v>
      </c>
    </row>
    <row r="3440" spans="1:8" x14ac:dyDescent="0.3">
      <c r="A3440" s="400"/>
      <c r="B3440" s="709">
        <v>101122</v>
      </c>
      <c r="C3440" s="710" t="s">
        <v>3368</v>
      </c>
      <c r="D3440" s="709" t="s">
        <v>170</v>
      </c>
      <c r="E3440" s="716">
        <v>6.44</v>
      </c>
      <c r="F3440" s="717">
        <v>0</v>
      </c>
      <c r="G3440">
        <f>VLOOKUP(B3440,'SINAPI-%MO'!B:E,4,0)</f>
        <v>0.13980000000000001</v>
      </c>
      <c r="H3440" s="225">
        <f t="shared" si="53"/>
        <v>5.53</v>
      </c>
    </row>
    <row r="3441" spans="1:8" x14ac:dyDescent="0.3">
      <c r="A3441" s="400"/>
      <c r="B3441" s="709">
        <v>101129</v>
      </c>
      <c r="C3441" s="710" t="s">
        <v>3369</v>
      </c>
      <c r="D3441" s="709" t="s">
        <v>170</v>
      </c>
      <c r="E3441" s="716">
        <v>20.34</v>
      </c>
      <c r="F3441" s="717">
        <v>0</v>
      </c>
      <c r="G3441">
        <f>VLOOKUP(B3441,'SINAPI-%MO'!B:E,4,0)</f>
        <v>0.27379999999999999</v>
      </c>
      <c r="H3441" s="225">
        <f t="shared" si="53"/>
        <v>14.77</v>
      </c>
    </row>
    <row r="3442" spans="1:8" x14ac:dyDescent="0.3">
      <c r="A3442" s="400"/>
      <c r="B3442" s="709">
        <v>101133</v>
      </c>
      <c r="C3442" s="710" t="s">
        <v>3370</v>
      </c>
      <c r="D3442" s="709" t="s">
        <v>170</v>
      </c>
      <c r="E3442" s="716">
        <v>19.059999999999999</v>
      </c>
      <c r="F3442" s="717">
        <v>0</v>
      </c>
      <c r="G3442">
        <f>VLOOKUP(B3442,'SINAPI-%MO'!B:E,4,0)</f>
        <v>0.25600000000000001</v>
      </c>
      <c r="H3442" s="225">
        <f t="shared" si="53"/>
        <v>14.18</v>
      </c>
    </row>
    <row r="3443" spans="1:8" x14ac:dyDescent="0.3">
      <c r="A3443" s="400"/>
      <c r="B3443" s="709">
        <v>101130</v>
      </c>
      <c r="C3443" s="710" t="s">
        <v>3371</v>
      </c>
      <c r="D3443" s="709" t="s">
        <v>170</v>
      </c>
      <c r="E3443" s="716">
        <v>18.84</v>
      </c>
      <c r="F3443" s="717">
        <v>0</v>
      </c>
      <c r="G3443">
        <f>VLOOKUP(B3443,'SINAPI-%MO'!B:E,4,0)</f>
        <v>0.23569999999999999</v>
      </c>
      <c r="H3443" s="225">
        <f t="shared" si="53"/>
        <v>14.39</v>
      </c>
    </row>
    <row r="3444" spans="1:8" x14ac:dyDescent="0.3">
      <c r="A3444" s="400"/>
      <c r="B3444" s="709">
        <v>101131</v>
      </c>
      <c r="C3444" s="710" t="s">
        <v>3372</v>
      </c>
      <c r="D3444" s="709" t="s">
        <v>170</v>
      </c>
      <c r="E3444" s="716">
        <v>16</v>
      </c>
      <c r="F3444" s="717">
        <v>0</v>
      </c>
      <c r="G3444">
        <f>VLOOKUP(B3444,'SINAPI-%MO'!B:E,4,0)</f>
        <v>0.21690000000000001</v>
      </c>
      <c r="H3444" s="225">
        <f t="shared" si="53"/>
        <v>12.52</v>
      </c>
    </row>
    <row r="3445" spans="1:8" x14ac:dyDescent="0.3">
      <c r="A3445" s="400"/>
      <c r="B3445" s="709">
        <v>101132</v>
      </c>
      <c r="C3445" s="710" t="s">
        <v>3373</v>
      </c>
      <c r="D3445" s="709" t="s">
        <v>170</v>
      </c>
      <c r="E3445" s="716">
        <v>17.71</v>
      </c>
      <c r="F3445" s="717">
        <v>0</v>
      </c>
      <c r="G3445">
        <f>VLOOKUP(B3445,'SINAPI-%MO'!B:E,4,0)</f>
        <v>0.16089999999999999</v>
      </c>
      <c r="H3445" s="225">
        <f t="shared" si="53"/>
        <v>14.86</v>
      </c>
    </row>
    <row r="3446" spans="1:8" x14ac:dyDescent="0.3">
      <c r="A3446" s="400"/>
      <c r="B3446" s="709">
        <v>101139</v>
      </c>
      <c r="C3446" s="710" t="s">
        <v>3374</v>
      </c>
      <c r="D3446" s="709" t="s">
        <v>170</v>
      </c>
      <c r="E3446" s="716">
        <v>21.14</v>
      </c>
      <c r="F3446" s="717">
        <v>0</v>
      </c>
      <c r="G3446">
        <f>VLOOKUP(B3446,'SINAPI-%MO'!B:E,4,0)</f>
        <v>0.26769999999999999</v>
      </c>
      <c r="H3446" s="225">
        <f t="shared" si="53"/>
        <v>15.48</v>
      </c>
    </row>
    <row r="3447" spans="1:8" x14ac:dyDescent="0.3">
      <c r="A3447" s="400"/>
      <c r="B3447" s="709">
        <v>101149</v>
      </c>
      <c r="C3447" s="710" t="s">
        <v>3375</v>
      </c>
      <c r="D3447" s="709" t="s">
        <v>170</v>
      </c>
      <c r="E3447" s="716">
        <v>20.96</v>
      </c>
      <c r="F3447" s="717">
        <v>0</v>
      </c>
      <c r="G3447">
        <f>VLOOKUP(B3447,'SINAPI-%MO'!B:E,4,0)</f>
        <v>0.25330000000000003</v>
      </c>
      <c r="H3447" s="225">
        <f t="shared" si="53"/>
        <v>15.65</v>
      </c>
    </row>
    <row r="3448" spans="1:8" x14ac:dyDescent="0.3">
      <c r="A3448" s="400"/>
      <c r="B3448" s="709">
        <v>101143</v>
      </c>
      <c r="C3448" s="710" t="s">
        <v>3376</v>
      </c>
      <c r="D3448" s="709" t="s">
        <v>170</v>
      </c>
      <c r="E3448" s="716">
        <v>19.86</v>
      </c>
      <c r="F3448" s="717">
        <v>0</v>
      </c>
      <c r="G3448">
        <f>VLOOKUP(B3448,'SINAPI-%MO'!B:E,4,0)</f>
        <v>0.25030000000000002</v>
      </c>
      <c r="H3448" s="225">
        <f t="shared" si="53"/>
        <v>14.88</v>
      </c>
    </row>
    <row r="3449" spans="1:8" x14ac:dyDescent="0.3">
      <c r="A3449" s="400"/>
      <c r="B3449" s="709">
        <v>101153</v>
      </c>
      <c r="C3449" s="710" t="s">
        <v>3377</v>
      </c>
      <c r="D3449" s="709" t="s">
        <v>170</v>
      </c>
      <c r="E3449" s="716">
        <v>19.68</v>
      </c>
      <c r="F3449" s="717">
        <v>0</v>
      </c>
      <c r="G3449">
        <f>VLOOKUP(B3449,'SINAPI-%MO'!B:E,4,0)</f>
        <v>0.23480000000000001</v>
      </c>
      <c r="H3449" s="225">
        <f t="shared" si="53"/>
        <v>15.05</v>
      </c>
    </row>
    <row r="3450" spans="1:8" x14ac:dyDescent="0.3">
      <c r="A3450" s="400"/>
      <c r="B3450" s="709">
        <v>101140</v>
      </c>
      <c r="C3450" s="710" t="s">
        <v>3378</v>
      </c>
      <c r="D3450" s="709" t="s">
        <v>170</v>
      </c>
      <c r="E3450" s="716">
        <v>19.64</v>
      </c>
      <c r="F3450" s="717">
        <v>0</v>
      </c>
      <c r="G3450">
        <f>VLOOKUP(B3450,'SINAPI-%MO'!B:E,4,0)</f>
        <v>0.23069999999999999</v>
      </c>
      <c r="H3450" s="225">
        <f t="shared" si="53"/>
        <v>15.1</v>
      </c>
    </row>
    <row r="3451" spans="1:8" x14ac:dyDescent="0.3">
      <c r="A3451" s="400"/>
      <c r="B3451" s="709">
        <v>101150</v>
      </c>
      <c r="C3451" s="710" t="s">
        <v>3379</v>
      </c>
      <c r="D3451" s="709" t="s">
        <v>170</v>
      </c>
      <c r="E3451" s="716">
        <v>19.46</v>
      </c>
      <c r="F3451" s="717">
        <v>0</v>
      </c>
      <c r="G3451">
        <f>VLOOKUP(B3451,'SINAPI-%MO'!B:E,4,0)</f>
        <v>0.21479999999999999</v>
      </c>
      <c r="H3451" s="225">
        <f t="shared" si="53"/>
        <v>15.27</v>
      </c>
    </row>
    <row r="3452" spans="1:8" x14ac:dyDescent="0.3">
      <c r="A3452" s="400"/>
      <c r="B3452" s="709">
        <v>101141</v>
      </c>
      <c r="C3452" s="710" t="s">
        <v>3380</v>
      </c>
      <c r="D3452" s="709" t="s">
        <v>170</v>
      </c>
      <c r="E3452" s="716">
        <v>16.8</v>
      </c>
      <c r="F3452" s="717">
        <v>0</v>
      </c>
      <c r="G3452">
        <f>VLOOKUP(B3452,'SINAPI-%MO'!B:E,4,0)</f>
        <v>0.21190000000000001</v>
      </c>
      <c r="H3452" s="225">
        <f t="shared" si="53"/>
        <v>13.24</v>
      </c>
    </row>
    <row r="3453" spans="1:8" x14ac:dyDescent="0.3">
      <c r="A3453" s="400"/>
      <c r="B3453" s="709">
        <v>101151</v>
      </c>
      <c r="C3453" s="710" t="s">
        <v>3381</v>
      </c>
      <c r="D3453" s="709" t="s">
        <v>170</v>
      </c>
      <c r="E3453" s="716">
        <v>16.62</v>
      </c>
      <c r="F3453" s="717">
        <v>0</v>
      </c>
      <c r="G3453">
        <f>VLOOKUP(B3453,'SINAPI-%MO'!B:E,4,0)</f>
        <v>0.19309999999999999</v>
      </c>
      <c r="H3453" s="225">
        <f t="shared" si="53"/>
        <v>13.41</v>
      </c>
    </row>
    <row r="3454" spans="1:8" x14ac:dyDescent="0.3">
      <c r="A3454" s="400"/>
      <c r="B3454" s="709">
        <v>101142</v>
      </c>
      <c r="C3454" s="710" t="s">
        <v>3382</v>
      </c>
      <c r="D3454" s="709" t="s">
        <v>170</v>
      </c>
      <c r="E3454" s="716">
        <v>18.510000000000002</v>
      </c>
      <c r="F3454" s="717">
        <v>0</v>
      </c>
      <c r="G3454">
        <f>VLOOKUP(B3454,'SINAPI-%MO'!B:E,4,0)</f>
        <v>0.1588</v>
      </c>
      <c r="H3454" s="225">
        <f t="shared" si="53"/>
        <v>15.57</v>
      </c>
    </row>
    <row r="3455" spans="1:8" x14ac:dyDescent="0.3">
      <c r="A3455" s="400"/>
      <c r="B3455" s="709">
        <v>101152</v>
      </c>
      <c r="C3455" s="710" t="s">
        <v>3383</v>
      </c>
      <c r="D3455" s="709" t="s">
        <v>170</v>
      </c>
      <c r="E3455" s="716">
        <v>18.329999999999998</v>
      </c>
      <c r="F3455" s="717">
        <v>0</v>
      </c>
      <c r="G3455">
        <f>VLOOKUP(B3455,'SINAPI-%MO'!B:E,4,0)</f>
        <v>0.14130000000000001</v>
      </c>
      <c r="H3455" s="225">
        <f t="shared" si="53"/>
        <v>15.73</v>
      </c>
    </row>
    <row r="3456" spans="1:8" x14ac:dyDescent="0.3">
      <c r="A3456" s="400"/>
      <c r="B3456" s="709">
        <v>101207</v>
      </c>
      <c r="C3456" s="710" t="s">
        <v>3384</v>
      </c>
      <c r="D3456" s="709" t="s">
        <v>170</v>
      </c>
      <c r="E3456" s="716">
        <v>11.88</v>
      </c>
      <c r="F3456" s="717">
        <v>0</v>
      </c>
      <c r="G3456">
        <f>VLOOKUP(B3456,'SINAPI-%MO'!B:E,4,0)</f>
        <v>0.12959999999999999</v>
      </c>
      <c r="H3456" s="225">
        <f t="shared" si="53"/>
        <v>10.34</v>
      </c>
    </row>
    <row r="3457" spans="1:8" x14ac:dyDescent="0.3">
      <c r="A3457" s="400"/>
      <c r="B3457" s="709">
        <v>101206</v>
      </c>
      <c r="C3457" s="710" t="s">
        <v>3385</v>
      </c>
      <c r="D3457" s="709" t="s">
        <v>170</v>
      </c>
      <c r="E3457" s="716">
        <v>13.77</v>
      </c>
      <c r="F3457" s="717">
        <v>0</v>
      </c>
      <c r="G3457">
        <f>VLOOKUP(B3457,'SINAPI-%MO'!B:E,4,0)</f>
        <v>0.15029999999999999</v>
      </c>
      <c r="H3457" s="225">
        <f t="shared" si="53"/>
        <v>11.7</v>
      </c>
    </row>
    <row r="3458" spans="1:8" x14ac:dyDescent="0.3">
      <c r="A3458" s="400"/>
      <c r="B3458" s="709">
        <v>101210</v>
      </c>
      <c r="C3458" s="710" t="s">
        <v>3386</v>
      </c>
      <c r="D3458" s="709" t="s">
        <v>170</v>
      </c>
      <c r="E3458" s="716">
        <v>19.29</v>
      </c>
      <c r="F3458" s="717">
        <v>0</v>
      </c>
      <c r="G3458">
        <f>VLOOKUP(B3458,'SINAPI-%MO'!B:E,4,0)</f>
        <v>0.1229</v>
      </c>
      <c r="H3458" s="225">
        <f t="shared" si="53"/>
        <v>16.91</v>
      </c>
    </row>
    <row r="3459" spans="1:8" x14ac:dyDescent="0.3">
      <c r="A3459" s="400"/>
      <c r="B3459" s="709">
        <v>101211</v>
      </c>
      <c r="C3459" s="710" t="s">
        <v>3387</v>
      </c>
      <c r="D3459" s="709" t="s">
        <v>170</v>
      </c>
      <c r="E3459" s="716">
        <v>20.71</v>
      </c>
      <c r="F3459" s="717">
        <v>0</v>
      </c>
      <c r="G3459">
        <f>VLOOKUP(B3459,'SINAPI-%MO'!B:E,4,0)</f>
        <v>0.1197</v>
      </c>
      <c r="H3459" s="225">
        <f t="shared" si="53"/>
        <v>18.23</v>
      </c>
    </row>
    <row r="3460" spans="1:8" x14ac:dyDescent="0.3">
      <c r="A3460" s="400"/>
      <c r="B3460" s="709">
        <v>101215</v>
      </c>
      <c r="C3460" s="710" t="s">
        <v>3388</v>
      </c>
      <c r="D3460" s="709" t="s">
        <v>170</v>
      </c>
      <c r="E3460" s="716">
        <v>18.59</v>
      </c>
      <c r="F3460" s="717">
        <v>0</v>
      </c>
      <c r="G3460">
        <f>VLOOKUP(B3460,'SINAPI-%MO'!B:E,4,0)</f>
        <v>0.12529999999999999</v>
      </c>
      <c r="H3460" s="225">
        <f t="shared" si="53"/>
        <v>16.260000000000002</v>
      </c>
    </row>
    <row r="3461" spans="1:8" x14ac:dyDescent="0.3">
      <c r="A3461" s="400"/>
      <c r="B3461" s="709">
        <v>101216</v>
      </c>
      <c r="C3461" s="710" t="s">
        <v>3389</v>
      </c>
      <c r="D3461" s="709" t="s">
        <v>170</v>
      </c>
      <c r="E3461" s="716">
        <v>19.489999999999998</v>
      </c>
      <c r="F3461" s="717">
        <v>0</v>
      </c>
      <c r="G3461">
        <f>VLOOKUP(B3461,'SINAPI-%MO'!B:E,4,0)</f>
        <v>0.1195</v>
      </c>
      <c r="H3461" s="225">
        <f t="shared" si="53"/>
        <v>17.16</v>
      </c>
    </row>
    <row r="3462" spans="1:8" x14ac:dyDescent="0.3">
      <c r="A3462" s="400"/>
      <c r="B3462" s="709">
        <v>101212</v>
      </c>
      <c r="C3462" s="710" t="s">
        <v>3390</v>
      </c>
      <c r="D3462" s="709" t="s">
        <v>170</v>
      </c>
      <c r="E3462" s="716">
        <v>24.22</v>
      </c>
      <c r="F3462" s="717">
        <v>0</v>
      </c>
      <c r="G3462">
        <f>VLOOKUP(B3462,'SINAPI-%MO'!B:E,4,0)</f>
        <v>0.1193</v>
      </c>
      <c r="H3462" s="225">
        <f t="shared" si="53"/>
        <v>21.33</v>
      </c>
    </row>
    <row r="3463" spans="1:8" x14ac:dyDescent="0.3">
      <c r="A3463" s="400"/>
      <c r="B3463" s="709">
        <v>101217</v>
      </c>
      <c r="C3463" s="710" t="s">
        <v>3391</v>
      </c>
      <c r="D3463" s="709" t="s">
        <v>170</v>
      </c>
      <c r="E3463" s="716">
        <v>22.74</v>
      </c>
      <c r="F3463" s="717">
        <v>0</v>
      </c>
      <c r="G3463">
        <f>VLOOKUP(B3463,'SINAPI-%MO'!B:E,4,0)</f>
        <v>0.1196</v>
      </c>
      <c r="H3463" s="225">
        <f t="shared" si="53"/>
        <v>20.02</v>
      </c>
    </row>
    <row r="3464" spans="1:8" x14ac:dyDescent="0.3">
      <c r="A3464" s="400"/>
      <c r="B3464" s="709">
        <v>101218</v>
      </c>
      <c r="C3464" s="710" t="s">
        <v>3392</v>
      </c>
      <c r="D3464" s="709" t="s">
        <v>170</v>
      </c>
      <c r="E3464" s="716">
        <v>24.06</v>
      </c>
      <c r="F3464" s="717">
        <v>0</v>
      </c>
      <c r="G3464">
        <f>VLOOKUP(B3464,'SINAPI-%MO'!B:E,4,0)</f>
        <v>0.11310000000000001</v>
      </c>
      <c r="H3464" s="225">
        <f t="shared" si="53"/>
        <v>21.33</v>
      </c>
    </row>
    <row r="3465" spans="1:8" x14ac:dyDescent="0.3">
      <c r="A3465" s="400"/>
      <c r="B3465" s="709">
        <v>101213</v>
      </c>
      <c r="C3465" s="710" t="s">
        <v>3393</v>
      </c>
      <c r="D3465" s="709" t="s">
        <v>170</v>
      </c>
      <c r="E3465" s="716">
        <v>27.11</v>
      </c>
      <c r="F3465" s="717">
        <v>0</v>
      </c>
      <c r="G3465">
        <f>VLOOKUP(B3465,'SINAPI-%MO'!B:E,4,0)</f>
        <v>0.1221</v>
      </c>
      <c r="H3465" s="225">
        <f t="shared" si="53"/>
        <v>23.79</v>
      </c>
    </row>
    <row r="3466" spans="1:8" x14ac:dyDescent="0.3">
      <c r="A3466" s="400"/>
      <c r="B3466" s="709">
        <v>101219</v>
      </c>
      <c r="C3466" s="710" t="s">
        <v>3394</v>
      </c>
      <c r="D3466" s="709" t="s">
        <v>170</v>
      </c>
      <c r="E3466" s="716">
        <v>29.21</v>
      </c>
      <c r="F3466" s="717">
        <v>0</v>
      </c>
      <c r="G3466">
        <f>VLOOKUP(B3466,'SINAPI-%MO'!B:E,4,0)</f>
        <v>0.1065</v>
      </c>
      <c r="H3466" s="225">
        <f t="shared" si="53"/>
        <v>26.09</v>
      </c>
    </row>
    <row r="3467" spans="1:8" x14ac:dyDescent="0.3">
      <c r="A3467" s="400"/>
      <c r="B3467" s="709">
        <v>101214</v>
      </c>
      <c r="C3467" s="710" t="s">
        <v>3395</v>
      </c>
      <c r="D3467" s="709" t="s">
        <v>170</v>
      </c>
      <c r="E3467" s="716">
        <v>32.79</v>
      </c>
      <c r="F3467" s="717">
        <v>0</v>
      </c>
      <c r="G3467">
        <f>VLOOKUP(B3467,'SINAPI-%MO'!B:E,4,0)</f>
        <v>0.1138</v>
      </c>
      <c r="H3467" s="225">
        <f t="shared" ref="H3467:H3530" si="54">IF(E3467&gt;0,TRUNC(E3467*(1-G3467),2),"")</f>
        <v>29.05</v>
      </c>
    </row>
    <row r="3468" spans="1:8" x14ac:dyDescent="0.3">
      <c r="A3468" s="400"/>
      <c r="B3468" s="709">
        <v>101254</v>
      </c>
      <c r="C3468" s="710" t="s">
        <v>3396</v>
      </c>
      <c r="D3468" s="709" t="s">
        <v>170</v>
      </c>
      <c r="E3468" s="716">
        <v>14.01</v>
      </c>
      <c r="F3468" s="717">
        <v>0</v>
      </c>
      <c r="G3468">
        <f>VLOOKUP(B3468,'SINAPI-%MO'!B:E,4,0)</f>
        <v>0.16489999999999999</v>
      </c>
      <c r="H3468" s="225">
        <f t="shared" si="54"/>
        <v>11.69</v>
      </c>
    </row>
    <row r="3469" spans="1:8" x14ac:dyDescent="0.3">
      <c r="A3469" s="400"/>
      <c r="B3469" s="709">
        <v>101256</v>
      </c>
      <c r="C3469" s="710" t="s">
        <v>3397</v>
      </c>
      <c r="D3469" s="709" t="s">
        <v>170</v>
      </c>
      <c r="E3469" s="716">
        <v>21.73</v>
      </c>
      <c r="F3469" s="717">
        <v>0</v>
      </c>
      <c r="G3469">
        <f>VLOOKUP(B3469,'SINAPI-%MO'!B:E,4,0)</f>
        <v>0.14910000000000001</v>
      </c>
      <c r="H3469" s="225">
        <f t="shared" si="54"/>
        <v>18.489999999999998</v>
      </c>
    </row>
    <row r="3470" spans="1:8" x14ac:dyDescent="0.3">
      <c r="A3470" s="400"/>
      <c r="B3470" s="709">
        <v>101257</v>
      </c>
      <c r="C3470" s="710" t="s">
        <v>3398</v>
      </c>
      <c r="D3470" s="709" t="s">
        <v>170</v>
      </c>
      <c r="E3470" s="716">
        <v>22.91</v>
      </c>
      <c r="F3470" s="717">
        <v>0</v>
      </c>
      <c r="G3470">
        <f>VLOOKUP(B3470,'SINAPI-%MO'!B:E,4,0)</f>
        <v>0.1414</v>
      </c>
      <c r="H3470" s="225">
        <f t="shared" si="54"/>
        <v>19.670000000000002</v>
      </c>
    </row>
    <row r="3471" spans="1:8" x14ac:dyDescent="0.3">
      <c r="A3471" s="400"/>
      <c r="B3471" s="709">
        <v>101258</v>
      </c>
      <c r="C3471" s="710" t="s">
        <v>3399</v>
      </c>
      <c r="D3471" s="709" t="s">
        <v>170</v>
      </c>
      <c r="E3471" s="716">
        <v>26.62</v>
      </c>
      <c r="F3471" s="717">
        <v>0</v>
      </c>
      <c r="G3471">
        <f>VLOOKUP(B3471,'SINAPI-%MO'!B:E,4,0)</f>
        <v>0.13900000000000001</v>
      </c>
      <c r="H3471" s="225">
        <f t="shared" si="54"/>
        <v>22.91</v>
      </c>
    </row>
    <row r="3472" spans="1:8" x14ac:dyDescent="0.3">
      <c r="A3472" s="400"/>
      <c r="B3472" s="709">
        <v>101259</v>
      </c>
      <c r="C3472" s="710" t="s">
        <v>3400</v>
      </c>
      <c r="D3472" s="709" t="s">
        <v>170</v>
      </c>
      <c r="E3472" s="716">
        <v>29.6</v>
      </c>
      <c r="F3472" s="717">
        <v>0</v>
      </c>
      <c r="G3472">
        <f>VLOOKUP(B3472,'SINAPI-%MO'!B:E,4,0)</f>
        <v>0.14050000000000001</v>
      </c>
      <c r="H3472" s="225">
        <f t="shared" si="54"/>
        <v>25.44</v>
      </c>
    </row>
    <row r="3473" spans="1:8" x14ac:dyDescent="0.3">
      <c r="A3473" s="400"/>
      <c r="B3473" s="709">
        <v>101260</v>
      </c>
      <c r="C3473" s="710" t="s">
        <v>3401</v>
      </c>
      <c r="D3473" s="709" t="s">
        <v>170</v>
      </c>
      <c r="E3473" s="716">
        <v>37.06</v>
      </c>
      <c r="F3473" s="717">
        <v>0</v>
      </c>
      <c r="G3473">
        <f>VLOOKUP(B3473,'SINAPI-%MO'!B:E,4,0)</f>
        <v>0.13730000000000001</v>
      </c>
      <c r="H3473" s="225">
        <f t="shared" si="54"/>
        <v>31.97</v>
      </c>
    </row>
    <row r="3474" spans="1:8" x14ac:dyDescent="0.3">
      <c r="A3474" s="400"/>
      <c r="B3474" s="709">
        <v>101208</v>
      </c>
      <c r="C3474" s="710" t="s">
        <v>3402</v>
      </c>
      <c r="D3474" s="709" t="s">
        <v>170</v>
      </c>
      <c r="E3474" s="716">
        <v>11.62</v>
      </c>
      <c r="F3474" s="717">
        <v>0</v>
      </c>
      <c r="G3474">
        <f>VLOOKUP(B3474,'SINAPI-%MO'!B:E,4,0)</f>
        <v>0.13339999999999999</v>
      </c>
      <c r="H3474" s="225">
        <f t="shared" si="54"/>
        <v>10.06</v>
      </c>
    </row>
    <row r="3475" spans="1:8" x14ac:dyDescent="0.3">
      <c r="A3475" s="400"/>
      <c r="B3475" s="709">
        <v>101209</v>
      </c>
      <c r="C3475" s="710" t="s">
        <v>3403</v>
      </c>
      <c r="D3475" s="709" t="s">
        <v>170</v>
      </c>
      <c r="E3475" s="716">
        <v>10.83</v>
      </c>
      <c r="F3475" s="717">
        <v>0</v>
      </c>
      <c r="G3475">
        <f>VLOOKUP(B3475,'SINAPI-%MO'!B:E,4,0)</f>
        <v>0.13020000000000001</v>
      </c>
      <c r="H3475" s="225">
        <f t="shared" si="54"/>
        <v>9.41</v>
      </c>
    </row>
    <row r="3476" spans="1:8" x14ac:dyDescent="0.3">
      <c r="A3476" s="400"/>
      <c r="B3476" s="709">
        <v>101220</v>
      </c>
      <c r="C3476" s="710" t="s">
        <v>3404</v>
      </c>
      <c r="D3476" s="709" t="s">
        <v>170</v>
      </c>
      <c r="E3476" s="716">
        <v>18.22</v>
      </c>
      <c r="F3476" s="717">
        <v>0</v>
      </c>
      <c r="G3476">
        <f>VLOOKUP(B3476,'SINAPI-%MO'!B:E,4,0)</f>
        <v>0.1196</v>
      </c>
      <c r="H3476" s="225">
        <f t="shared" si="54"/>
        <v>16.04</v>
      </c>
    </row>
    <row r="3477" spans="1:8" x14ac:dyDescent="0.3">
      <c r="A3477" s="400"/>
      <c r="B3477" s="709">
        <v>101221</v>
      </c>
      <c r="C3477" s="710" t="s">
        <v>3405</v>
      </c>
      <c r="D3477" s="709" t="s">
        <v>170</v>
      </c>
      <c r="E3477" s="716">
        <v>19.260000000000002</v>
      </c>
      <c r="F3477" s="717">
        <v>0</v>
      </c>
      <c r="G3477">
        <f>VLOOKUP(B3477,'SINAPI-%MO'!B:E,4,0)</f>
        <v>0.1132</v>
      </c>
      <c r="H3477" s="225">
        <f t="shared" si="54"/>
        <v>17.07</v>
      </c>
    </row>
    <row r="3478" spans="1:8" x14ac:dyDescent="0.3">
      <c r="A3478" s="400"/>
      <c r="B3478" s="709">
        <v>101225</v>
      </c>
      <c r="C3478" s="710" t="s">
        <v>3406</v>
      </c>
      <c r="D3478" s="709" t="s">
        <v>170</v>
      </c>
      <c r="E3478" s="716">
        <v>16.78</v>
      </c>
      <c r="F3478" s="717">
        <v>0</v>
      </c>
      <c r="G3478">
        <f>VLOOKUP(B3478,'SINAPI-%MO'!B:E,4,0)</f>
        <v>0.11799999999999999</v>
      </c>
      <c r="H3478" s="225">
        <f t="shared" si="54"/>
        <v>14.79</v>
      </c>
    </row>
    <row r="3479" spans="1:8" x14ac:dyDescent="0.3">
      <c r="A3479" s="400"/>
      <c r="B3479" s="709">
        <v>101226</v>
      </c>
      <c r="C3479" s="710" t="s">
        <v>3407</v>
      </c>
      <c r="D3479" s="709" t="s">
        <v>170</v>
      </c>
      <c r="E3479" s="716">
        <v>17.690000000000001</v>
      </c>
      <c r="F3479" s="717">
        <v>0</v>
      </c>
      <c r="G3479">
        <f>VLOOKUP(B3479,'SINAPI-%MO'!B:E,4,0)</f>
        <v>0.1114</v>
      </c>
      <c r="H3479" s="225">
        <f t="shared" si="54"/>
        <v>15.71</v>
      </c>
    </row>
    <row r="3480" spans="1:8" x14ac:dyDescent="0.3">
      <c r="A3480" s="400"/>
      <c r="B3480" s="709">
        <v>101222</v>
      </c>
      <c r="C3480" s="710" t="s">
        <v>3408</v>
      </c>
      <c r="D3480" s="709" t="s">
        <v>170</v>
      </c>
      <c r="E3480" s="716">
        <v>22.42</v>
      </c>
      <c r="F3480" s="717">
        <v>0</v>
      </c>
      <c r="G3480">
        <f>VLOOKUP(B3480,'SINAPI-%MO'!B:E,4,0)</f>
        <v>0.1111</v>
      </c>
      <c r="H3480" s="225">
        <f t="shared" si="54"/>
        <v>19.920000000000002</v>
      </c>
    </row>
    <row r="3481" spans="1:8" x14ac:dyDescent="0.3">
      <c r="A3481" s="400"/>
      <c r="B3481" s="709">
        <v>101227</v>
      </c>
      <c r="C3481" s="710" t="s">
        <v>3409</v>
      </c>
      <c r="D3481" s="709" t="s">
        <v>170</v>
      </c>
      <c r="E3481" s="716">
        <v>20.53</v>
      </c>
      <c r="F3481" s="717">
        <v>0</v>
      </c>
      <c r="G3481">
        <f>VLOOKUP(B3481,'SINAPI-%MO'!B:E,4,0)</f>
        <v>0.1101</v>
      </c>
      <c r="H3481" s="225">
        <f t="shared" si="54"/>
        <v>18.260000000000002</v>
      </c>
    </row>
    <row r="3482" spans="1:8" x14ac:dyDescent="0.3">
      <c r="A3482" s="400"/>
      <c r="B3482" s="709">
        <v>101228</v>
      </c>
      <c r="C3482" s="710" t="s">
        <v>3410</v>
      </c>
      <c r="D3482" s="709" t="s">
        <v>170</v>
      </c>
      <c r="E3482" s="716">
        <v>21.9</v>
      </c>
      <c r="F3482" s="717">
        <v>0</v>
      </c>
      <c r="G3482">
        <f>VLOOKUP(B3482,'SINAPI-%MO'!B:E,4,0)</f>
        <v>0.1037</v>
      </c>
      <c r="H3482" s="225">
        <f t="shared" si="54"/>
        <v>19.62</v>
      </c>
    </row>
    <row r="3483" spans="1:8" x14ac:dyDescent="0.3">
      <c r="A3483" s="400"/>
      <c r="B3483" s="709">
        <v>101223</v>
      </c>
      <c r="C3483" s="710" t="s">
        <v>3411</v>
      </c>
      <c r="D3483" s="709" t="s">
        <v>170</v>
      </c>
      <c r="E3483" s="716">
        <v>24.98</v>
      </c>
      <c r="F3483" s="717">
        <v>0</v>
      </c>
      <c r="G3483">
        <f>VLOOKUP(B3483,'SINAPI-%MO'!B:E,4,0)</f>
        <v>0.1125</v>
      </c>
      <c r="H3483" s="225">
        <f t="shared" si="54"/>
        <v>22.16</v>
      </c>
    </row>
    <row r="3484" spans="1:8" x14ac:dyDescent="0.3">
      <c r="A3484" s="400"/>
      <c r="B3484" s="709">
        <v>101229</v>
      </c>
      <c r="C3484" s="710" t="s">
        <v>3412</v>
      </c>
      <c r="D3484" s="709" t="s">
        <v>170</v>
      </c>
      <c r="E3484" s="716">
        <v>27.66</v>
      </c>
      <c r="F3484" s="717">
        <v>0</v>
      </c>
      <c r="G3484">
        <f>VLOOKUP(B3484,'SINAPI-%MO'!B:E,4,0)</f>
        <v>0.1023</v>
      </c>
      <c r="H3484" s="225">
        <f t="shared" si="54"/>
        <v>24.83</v>
      </c>
    </row>
    <row r="3485" spans="1:8" x14ac:dyDescent="0.3">
      <c r="A3485" s="400"/>
      <c r="B3485" s="709">
        <v>101224</v>
      </c>
      <c r="C3485" s="710" t="s">
        <v>3413</v>
      </c>
      <c r="D3485" s="709" t="s">
        <v>170</v>
      </c>
      <c r="E3485" s="716">
        <v>31.37</v>
      </c>
      <c r="F3485" s="717">
        <v>0</v>
      </c>
      <c r="G3485">
        <f>VLOOKUP(B3485,'SINAPI-%MO'!B:E,4,0)</f>
        <v>0.10929999999999999</v>
      </c>
      <c r="H3485" s="225">
        <f t="shared" si="54"/>
        <v>27.94</v>
      </c>
    </row>
    <row r="3486" spans="1:8" x14ac:dyDescent="0.3">
      <c r="A3486" s="400"/>
      <c r="B3486" s="709">
        <v>101265</v>
      </c>
      <c r="C3486" s="710" t="s">
        <v>3414</v>
      </c>
      <c r="D3486" s="709" t="s">
        <v>170</v>
      </c>
      <c r="E3486" s="716">
        <v>34.85</v>
      </c>
      <c r="F3486" s="717">
        <v>0</v>
      </c>
      <c r="G3486">
        <f>VLOOKUP(B3486,'SINAPI-%MO'!B:E,4,0)</f>
        <v>0.126</v>
      </c>
      <c r="H3486" s="225">
        <f t="shared" si="54"/>
        <v>30.45</v>
      </c>
    </row>
    <row r="3487" spans="1:8" x14ac:dyDescent="0.3">
      <c r="A3487" s="400"/>
      <c r="B3487" s="709">
        <v>101255</v>
      </c>
      <c r="C3487" s="710" t="s">
        <v>3415</v>
      </c>
      <c r="D3487" s="709" t="s">
        <v>170</v>
      </c>
      <c r="E3487" s="716">
        <v>12.39</v>
      </c>
      <c r="F3487" s="717">
        <v>0</v>
      </c>
      <c r="G3487">
        <f>VLOOKUP(B3487,'SINAPI-%MO'!B:E,4,0)</f>
        <v>0.1477</v>
      </c>
      <c r="H3487" s="225">
        <f t="shared" si="54"/>
        <v>10.55</v>
      </c>
    </row>
    <row r="3488" spans="1:8" x14ac:dyDescent="0.3">
      <c r="A3488" s="400"/>
      <c r="B3488" s="709">
        <v>101261</v>
      </c>
      <c r="C3488" s="710" t="s">
        <v>3416</v>
      </c>
      <c r="D3488" s="709" t="s">
        <v>170</v>
      </c>
      <c r="E3488" s="716">
        <v>20.59</v>
      </c>
      <c r="F3488" s="717">
        <v>0</v>
      </c>
      <c r="G3488">
        <f>VLOOKUP(B3488,'SINAPI-%MO'!B:E,4,0)</f>
        <v>0.14180000000000001</v>
      </c>
      <c r="H3488" s="225">
        <f t="shared" si="54"/>
        <v>17.670000000000002</v>
      </c>
    </row>
    <row r="3489" spans="1:8" x14ac:dyDescent="0.3">
      <c r="A3489" s="400"/>
      <c r="B3489" s="709">
        <v>101262</v>
      </c>
      <c r="C3489" s="710" t="s">
        <v>3417</v>
      </c>
      <c r="D3489" s="709" t="s">
        <v>170</v>
      </c>
      <c r="E3489" s="716">
        <v>21.74</v>
      </c>
      <c r="F3489" s="717">
        <v>0</v>
      </c>
      <c r="G3489">
        <f>VLOOKUP(B3489,'SINAPI-%MO'!B:E,4,0)</f>
        <v>0.1343</v>
      </c>
      <c r="H3489" s="225">
        <f t="shared" si="54"/>
        <v>18.82</v>
      </c>
    </row>
    <row r="3490" spans="1:8" x14ac:dyDescent="0.3">
      <c r="A3490" s="400"/>
      <c r="B3490" s="709">
        <v>101263</v>
      </c>
      <c r="C3490" s="710" t="s">
        <v>3418</v>
      </c>
      <c r="D3490" s="709" t="s">
        <v>170</v>
      </c>
      <c r="E3490" s="716">
        <v>25.18</v>
      </c>
      <c r="F3490" s="717">
        <v>0</v>
      </c>
      <c r="G3490">
        <f>VLOOKUP(B3490,'SINAPI-%MO'!B:E,4,0)</f>
        <v>0.13070000000000001</v>
      </c>
      <c r="H3490" s="225">
        <f t="shared" si="54"/>
        <v>21.88</v>
      </c>
    </row>
    <row r="3491" spans="1:8" x14ac:dyDescent="0.3">
      <c r="A3491" s="400"/>
      <c r="B3491" s="709">
        <v>101264</v>
      </c>
      <c r="C3491" s="710" t="s">
        <v>3419</v>
      </c>
      <c r="D3491" s="709" t="s">
        <v>170</v>
      </c>
      <c r="E3491" s="716">
        <v>27.93</v>
      </c>
      <c r="F3491" s="717">
        <v>0</v>
      </c>
      <c r="G3491">
        <f>VLOOKUP(B3491,'SINAPI-%MO'!B:E,4,0)</f>
        <v>0.13100000000000001</v>
      </c>
      <c r="H3491" s="225">
        <f t="shared" si="54"/>
        <v>24.27</v>
      </c>
    </row>
    <row r="3492" spans="1:8" x14ac:dyDescent="0.3">
      <c r="A3492" s="400"/>
      <c r="B3492" s="709">
        <v>101230</v>
      </c>
      <c r="C3492" s="710" t="s">
        <v>3420</v>
      </c>
      <c r="D3492" s="709" t="s">
        <v>170</v>
      </c>
      <c r="E3492" s="716">
        <v>12.14</v>
      </c>
      <c r="F3492" s="717">
        <v>0</v>
      </c>
      <c r="G3492">
        <f>VLOOKUP(B3492,'SINAPI-%MO'!B:E,4,0)</f>
        <v>0.14330000000000001</v>
      </c>
      <c r="H3492" s="225">
        <f t="shared" si="54"/>
        <v>10.4</v>
      </c>
    </row>
    <row r="3493" spans="1:8" x14ac:dyDescent="0.3">
      <c r="A3493" s="400"/>
      <c r="B3493" s="709">
        <v>101231</v>
      </c>
      <c r="C3493" s="710" t="s">
        <v>3421</v>
      </c>
      <c r="D3493" s="709" t="s">
        <v>170</v>
      </c>
      <c r="E3493" s="716">
        <v>11.57</v>
      </c>
      <c r="F3493" s="717">
        <v>0</v>
      </c>
      <c r="G3493">
        <f>VLOOKUP(B3493,'SINAPI-%MO'!B:E,4,0)</f>
        <v>0.13830000000000001</v>
      </c>
      <c r="H3493" s="225">
        <f t="shared" si="54"/>
        <v>9.9600000000000009</v>
      </c>
    </row>
    <row r="3494" spans="1:8" x14ac:dyDescent="0.3">
      <c r="A3494" s="400"/>
      <c r="B3494" s="709">
        <v>101272</v>
      </c>
      <c r="C3494" s="710" t="s">
        <v>3422</v>
      </c>
      <c r="D3494" s="709" t="s">
        <v>170</v>
      </c>
      <c r="E3494" s="716">
        <v>35.409999999999997</v>
      </c>
      <c r="F3494" s="717">
        <v>0</v>
      </c>
      <c r="G3494">
        <f>VLOOKUP(B3494,'SINAPI-%MO'!B:E,4,0)</f>
        <v>0.13220000000000001</v>
      </c>
      <c r="H3494" s="225">
        <f t="shared" si="54"/>
        <v>30.72</v>
      </c>
    </row>
    <row r="3495" spans="1:8" x14ac:dyDescent="0.3">
      <c r="A3495" s="400"/>
      <c r="B3495" s="709">
        <v>101266</v>
      </c>
      <c r="C3495" s="710" t="s">
        <v>3423</v>
      </c>
      <c r="D3495" s="709" t="s">
        <v>170</v>
      </c>
      <c r="E3495" s="716">
        <v>12.45</v>
      </c>
      <c r="F3495" s="717">
        <v>0</v>
      </c>
      <c r="G3495">
        <f>VLOOKUP(B3495,'SINAPI-%MO'!B:E,4,0)</f>
        <v>0.15659999999999999</v>
      </c>
      <c r="H3495" s="225">
        <f t="shared" si="54"/>
        <v>10.5</v>
      </c>
    </row>
    <row r="3496" spans="1:8" x14ac:dyDescent="0.3">
      <c r="A3496" s="400"/>
      <c r="B3496" s="709">
        <v>101239</v>
      </c>
      <c r="C3496" s="710" t="s">
        <v>3424</v>
      </c>
      <c r="D3496" s="709" t="s">
        <v>170</v>
      </c>
      <c r="E3496" s="716">
        <v>16.66</v>
      </c>
      <c r="F3496" s="717">
        <v>0</v>
      </c>
      <c r="G3496">
        <f>VLOOKUP(B3496,'SINAPI-%MO'!B:E,4,0)</f>
        <v>0.1158</v>
      </c>
      <c r="H3496" s="225">
        <f t="shared" si="54"/>
        <v>14.73</v>
      </c>
    </row>
    <row r="3497" spans="1:8" x14ac:dyDescent="0.3">
      <c r="A3497" s="400"/>
      <c r="B3497" s="709">
        <v>101240</v>
      </c>
      <c r="C3497" s="710" t="s">
        <v>3425</v>
      </c>
      <c r="D3497" s="709" t="s">
        <v>170</v>
      </c>
      <c r="E3497" s="716">
        <v>17.579999999999998</v>
      </c>
      <c r="F3497" s="717">
        <v>0</v>
      </c>
      <c r="G3497">
        <f>VLOOKUP(B3497,'SINAPI-%MO'!B:E,4,0)</f>
        <v>0.10979999999999999</v>
      </c>
      <c r="H3497" s="225">
        <f t="shared" si="54"/>
        <v>15.64</v>
      </c>
    </row>
    <row r="3498" spans="1:8" x14ac:dyDescent="0.3">
      <c r="A3498" s="400"/>
      <c r="B3498" s="709">
        <v>101268</v>
      </c>
      <c r="C3498" s="710" t="s">
        <v>3426</v>
      </c>
      <c r="D3498" s="709" t="s">
        <v>170</v>
      </c>
      <c r="E3498" s="716">
        <v>19.75</v>
      </c>
      <c r="F3498" s="717">
        <v>0</v>
      </c>
      <c r="G3498">
        <f>VLOOKUP(B3498,'SINAPI-%MO'!B:E,4,0)</f>
        <v>0.13819999999999999</v>
      </c>
      <c r="H3498" s="225">
        <f t="shared" si="54"/>
        <v>17.02</v>
      </c>
    </row>
    <row r="3499" spans="1:8" x14ac:dyDescent="0.3">
      <c r="A3499" s="400"/>
      <c r="B3499" s="709">
        <v>101234</v>
      </c>
      <c r="C3499" s="710" t="s">
        <v>3427</v>
      </c>
      <c r="D3499" s="709" t="s">
        <v>170</v>
      </c>
      <c r="E3499" s="716">
        <v>18.97</v>
      </c>
      <c r="F3499" s="717">
        <v>0</v>
      </c>
      <c r="G3499">
        <f>VLOOKUP(B3499,'SINAPI-%MO'!B:E,4,0)</f>
        <v>0.12859999999999999</v>
      </c>
      <c r="H3499" s="225">
        <f t="shared" si="54"/>
        <v>16.53</v>
      </c>
    </row>
    <row r="3500" spans="1:8" x14ac:dyDescent="0.3">
      <c r="A3500" s="400"/>
      <c r="B3500" s="709">
        <v>101235</v>
      </c>
      <c r="C3500" s="710" t="s">
        <v>3428</v>
      </c>
      <c r="D3500" s="709" t="s">
        <v>170</v>
      </c>
      <c r="E3500" s="716">
        <v>19.96</v>
      </c>
      <c r="F3500" s="717">
        <v>0</v>
      </c>
      <c r="G3500">
        <f>VLOOKUP(B3500,'SINAPI-%MO'!B:E,4,0)</f>
        <v>0.1212</v>
      </c>
      <c r="H3500" s="225">
        <f t="shared" si="54"/>
        <v>17.54</v>
      </c>
    </row>
    <row r="3501" spans="1:8" x14ac:dyDescent="0.3">
      <c r="A3501" s="400"/>
      <c r="B3501" s="709">
        <v>101241</v>
      </c>
      <c r="C3501" s="710" t="s">
        <v>3429</v>
      </c>
      <c r="D3501" s="709" t="s">
        <v>170</v>
      </c>
      <c r="E3501" s="716">
        <v>20.59</v>
      </c>
      <c r="F3501" s="717">
        <v>0</v>
      </c>
      <c r="G3501">
        <f>VLOOKUP(B3501,'SINAPI-%MO'!B:E,4,0)</f>
        <v>0.10979999999999999</v>
      </c>
      <c r="H3501" s="225">
        <f t="shared" si="54"/>
        <v>18.32</v>
      </c>
    </row>
    <row r="3502" spans="1:8" x14ac:dyDescent="0.3">
      <c r="A3502" s="400"/>
      <c r="B3502" s="709">
        <v>101269</v>
      </c>
      <c r="C3502" s="710" t="s">
        <v>3430</v>
      </c>
      <c r="D3502" s="709" t="s">
        <v>170</v>
      </c>
      <c r="E3502" s="716">
        <v>22.02</v>
      </c>
      <c r="F3502" s="717">
        <v>0</v>
      </c>
      <c r="G3502">
        <f>VLOOKUP(B3502,'SINAPI-%MO'!B:E,4,0)</f>
        <v>0.14119999999999999</v>
      </c>
      <c r="H3502" s="225">
        <f t="shared" si="54"/>
        <v>18.91</v>
      </c>
    </row>
    <row r="3503" spans="1:8" x14ac:dyDescent="0.3">
      <c r="A3503" s="400"/>
      <c r="B3503" s="709">
        <v>101236</v>
      </c>
      <c r="C3503" s="710" t="s">
        <v>3431</v>
      </c>
      <c r="D3503" s="709" t="s">
        <v>170</v>
      </c>
      <c r="E3503" s="716">
        <v>23.29</v>
      </c>
      <c r="F3503" s="717">
        <v>0</v>
      </c>
      <c r="G3503">
        <f>VLOOKUP(B3503,'SINAPI-%MO'!B:E,4,0)</f>
        <v>0.11940000000000001</v>
      </c>
      <c r="H3503" s="225">
        <f t="shared" si="54"/>
        <v>20.5</v>
      </c>
    </row>
    <row r="3504" spans="1:8" x14ac:dyDescent="0.3">
      <c r="A3504" s="400"/>
      <c r="B3504" s="709">
        <v>101237</v>
      </c>
      <c r="C3504" s="710" t="s">
        <v>3432</v>
      </c>
      <c r="D3504" s="709" t="s">
        <v>170</v>
      </c>
      <c r="E3504" s="716">
        <v>24.81</v>
      </c>
      <c r="F3504" s="717">
        <v>0</v>
      </c>
      <c r="G3504">
        <f>VLOOKUP(B3504,'SINAPI-%MO'!B:E,4,0)</f>
        <v>0.1125</v>
      </c>
      <c r="H3504" s="225">
        <f t="shared" si="54"/>
        <v>22.01</v>
      </c>
    </row>
    <row r="3505" spans="1:8" x14ac:dyDescent="0.3">
      <c r="A3505" s="400"/>
      <c r="B3505" s="709">
        <v>101242</v>
      </c>
      <c r="C3505" s="710" t="s">
        <v>3433</v>
      </c>
      <c r="D3505" s="709" t="s">
        <v>170</v>
      </c>
      <c r="E3505" s="716">
        <v>23.05</v>
      </c>
      <c r="F3505" s="717">
        <v>0</v>
      </c>
      <c r="G3505">
        <f>VLOOKUP(B3505,'SINAPI-%MO'!B:E,4,0)</f>
        <v>0.1124</v>
      </c>
      <c r="H3505" s="225">
        <f t="shared" si="54"/>
        <v>20.45</v>
      </c>
    </row>
    <row r="3506" spans="1:8" x14ac:dyDescent="0.3">
      <c r="A3506" s="400"/>
      <c r="B3506" s="709">
        <v>101270</v>
      </c>
      <c r="C3506" s="710" t="s">
        <v>3434</v>
      </c>
      <c r="D3506" s="709" t="s">
        <v>170</v>
      </c>
      <c r="E3506" s="716">
        <v>25.53</v>
      </c>
      <c r="F3506" s="717">
        <v>0</v>
      </c>
      <c r="G3506">
        <f>VLOOKUP(B3506,'SINAPI-%MO'!B:E,4,0)</f>
        <v>0.13750000000000001</v>
      </c>
      <c r="H3506" s="225">
        <f t="shared" si="54"/>
        <v>22.01</v>
      </c>
    </row>
    <row r="3507" spans="1:8" x14ac:dyDescent="0.3">
      <c r="A3507" s="400"/>
      <c r="B3507" s="709">
        <v>101243</v>
      </c>
      <c r="C3507" s="710" t="s">
        <v>3435</v>
      </c>
      <c r="D3507" s="709" t="s">
        <v>170</v>
      </c>
      <c r="E3507" s="716">
        <v>27.95</v>
      </c>
      <c r="F3507" s="717">
        <v>0</v>
      </c>
      <c r="G3507">
        <f>VLOOKUP(B3507,'SINAPI-%MO'!B:E,4,0)</f>
        <v>0.1041</v>
      </c>
      <c r="H3507" s="225">
        <f t="shared" si="54"/>
        <v>25.04</v>
      </c>
    </row>
    <row r="3508" spans="1:8" x14ac:dyDescent="0.3">
      <c r="A3508" s="400"/>
      <c r="B3508" s="709">
        <v>101271</v>
      </c>
      <c r="C3508" s="710" t="s">
        <v>3436</v>
      </c>
      <c r="D3508" s="709" t="s">
        <v>170</v>
      </c>
      <c r="E3508" s="716">
        <v>28.34</v>
      </c>
      <c r="F3508" s="717">
        <v>0</v>
      </c>
      <c r="G3508">
        <f>VLOOKUP(B3508,'SINAPI-%MO'!B:E,4,0)</f>
        <v>0.1376</v>
      </c>
      <c r="H3508" s="225">
        <f t="shared" si="54"/>
        <v>24.44</v>
      </c>
    </row>
    <row r="3509" spans="1:8" x14ac:dyDescent="0.3">
      <c r="A3509" s="400"/>
      <c r="B3509" s="709">
        <v>101238</v>
      </c>
      <c r="C3509" s="710" t="s">
        <v>3437</v>
      </c>
      <c r="D3509" s="709" t="s">
        <v>170</v>
      </c>
      <c r="E3509" s="716">
        <v>31.44</v>
      </c>
      <c r="F3509" s="717">
        <v>0</v>
      </c>
      <c r="G3509">
        <f>VLOOKUP(B3509,'SINAPI-%MO'!B:E,4,0)</f>
        <v>0.111</v>
      </c>
      <c r="H3509" s="225">
        <f t="shared" si="54"/>
        <v>27.95</v>
      </c>
    </row>
    <row r="3510" spans="1:8" x14ac:dyDescent="0.3">
      <c r="A3510" s="400"/>
      <c r="B3510" s="709">
        <v>101232</v>
      </c>
      <c r="C3510" s="710" t="s">
        <v>3438</v>
      </c>
      <c r="D3510" s="709" t="s">
        <v>170</v>
      </c>
      <c r="E3510" s="716">
        <v>10.39</v>
      </c>
      <c r="F3510" s="717">
        <v>0</v>
      </c>
      <c r="G3510">
        <f>VLOOKUP(B3510,'SINAPI-%MO'!B:E,4,0)</f>
        <v>0.127</v>
      </c>
      <c r="H3510" s="225">
        <f t="shared" si="54"/>
        <v>9.07</v>
      </c>
    </row>
    <row r="3511" spans="1:8" x14ac:dyDescent="0.3">
      <c r="A3511" s="400"/>
      <c r="B3511" s="709">
        <v>101233</v>
      </c>
      <c r="C3511" s="710" t="s">
        <v>3439</v>
      </c>
      <c r="D3511" s="709" t="s">
        <v>170</v>
      </c>
      <c r="E3511" s="716">
        <v>9.6</v>
      </c>
      <c r="F3511" s="717">
        <v>0</v>
      </c>
      <c r="G3511">
        <f>VLOOKUP(B3511,'SINAPI-%MO'!B:E,4,0)</f>
        <v>0.1229</v>
      </c>
      <c r="H3511" s="225">
        <f t="shared" si="54"/>
        <v>8.42</v>
      </c>
    </row>
    <row r="3512" spans="1:8" x14ac:dyDescent="0.3">
      <c r="A3512" s="400"/>
      <c r="B3512" s="709">
        <v>101248</v>
      </c>
      <c r="C3512" s="710" t="s">
        <v>3440</v>
      </c>
      <c r="D3512" s="709" t="s">
        <v>170</v>
      </c>
      <c r="E3512" s="716">
        <v>30.06</v>
      </c>
      <c r="F3512" s="717">
        <v>0</v>
      </c>
      <c r="G3512">
        <f>VLOOKUP(B3512,'SINAPI-%MO'!B:E,4,0)</f>
        <v>0.1055</v>
      </c>
      <c r="H3512" s="225">
        <f t="shared" si="54"/>
        <v>26.88</v>
      </c>
    </row>
    <row r="3513" spans="1:8" x14ac:dyDescent="0.3">
      <c r="A3513" s="400"/>
      <c r="B3513" s="709">
        <v>101277</v>
      </c>
      <c r="C3513" s="710" t="s">
        <v>3441</v>
      </c>
      <c r="D3513" s="709" t="s">
        <v>170</v>
      </c>
      <c r="E3513" s="716">
        <v>34.299999999999997</v>
      </c>
      <c r="F3513" s="717">
        <v>0</v>
      </c>
      <c r="G3513">
        <f>VLOOKUP(B3513,'SINAPI-%MO'!B:E,4,0)</f>
        <v>0.12740000000000001</v>
      </c>
      <c r="H3513" s="225">
        <f t="shared" si="54"/>
        <v>29.93</v>
      </c>
    </row>
    <row r="3514" spans="1:8" x14ac:dyDescent="0.3">
      <c r="A3514" s="400"/>
      <c r="B3514" s="709">
        <v>101267</v>
      </c>
      <c r="C3514" s="710" t="s">
        <v>3442</v>
      </c>
      <c r="D3514" s="709" t="s">
        <v>170</v>
      </c>
      <c r="E3514" s="716">
        <v>12</v>
      </c>
      <c r="F3514" s="717">
        <v>0</v>
      </c>
      <c r="G3514">
        <f>VLOOKUP(B3514,'SINAPI-%MO'!B:E,4,0)</f>
        <v>0.155</v>
      </c>
      <c r="H3514" s="225">
        <f t="shared" si="54"/>
        <v>10.14</v>
      </c>
    </row>
    <row r="3515" spans="1:8" x14ac:dyDescent="0.3">
      <c r="A3515" s="400"/>
      <c r="B3515" s="709">
        <v>101249</v>
      </c>
      <c r="C3515" s="710" t="s">
        <v>3443</v>
      </c>
      <c r="D3515" s="709" t="s">
        <v>170</v>
      </c>
      <c r="E3515" s="716">
        <v>15.27</v>
      </c>
      <c r="F3515" s="717">
        <v>0</v>
      </c>
      <c r="G3515">
        <f>VLOOKUP(B3515,'SINAPI-%MO'!B:E,4,0)</f>
        <v>0.1094</v>
      </c>
      <c r="H3515" s="225">
        <f t="shared" si="54"/>
        <v>13.59</v>
      </c>
    </row>
    <row r="3516" spans="1:8" x14ac:dyDescent="0.3">
      <c r="A3516" s="400"/>
      <c r="B3516" s="709">
        <v>101273</v>
      </c>
      <c r="C3516" s="710" t="s">
        <v>3444</v>
      </c>
      <c r="D3516" s="709" t="s">
        <v>170</v>
      </c>
      <c r="E3516" s="716">
        <v>18.89</v>
      </c>
      <c r="F3516" s="717">
        <v>0</v>
      </c>
      <c r="G3516">
        <f>VLOOKUP(B3516,'SINAPI-%MO'!B:E,4,0)</f>
        <v>0.1318</v>
      </c>
      <c r="H3516" s="225">
        <f t="shared" si="54"/>
        <v>16.399999999999999</v>
      </c>
    </row>
    <row r="3517" spans="1:8" x14ac:dyDescent="0.3">
      <c r="A3517" s="400"/>
      <c r="B3517" s="709">
        <v>101245</v>
      </c>
      <c r="C3517" s="710" t="s">
        <v>3445</v>
      </c>
      <c r="D3517" s="709" t="s">
        <v>170</v>
      </c>
      <c r="E3517" s="716">
        <v>18.579999999999998</v>
      </c>
      <c r="F3517" s="717">
        <v>0</v>
      </c>
      <c r="G3517">
        <f>VLOOKUP(B3517,'SINAPI-%MO'!B:E,4,0)</f>
        <v>0.11360000000000001</v>
      </c>
      <c r="H3517" s="225">
        <f t="shared" si="54"/>
        <v>16.46</v>
      </c>
    </row>
    <row r="3518" spans="1:8" x14ac:dyDescent="0.3">
      <c r="A3518" s="400"/>
      <c r="B3518" s="709">
        <v>101250</v>
      </c>
      <c r="C3518" s="710" t="s">
        <v>3446</v>
      </c>
      <c r="D3518" s="709" t="s">
        <v>170</v>
      </c>
      <c r="E3518" s="716">
        <v>16.98</v>
      </c>
      <c r="F3518" s="717">
        <v>0</v>
      </c>
      <c r="G3518">
        <f>VLOOKUP(B3518,'SINAPI-%MO'!B:E,4,0)</f>
        <v>0.1119</v>
      </c>
      <c r="H3518" s="225">
        <f t="shared" si="54"/>
        <v>15.07</v>
      </c>
    </row>
    <row r="3519" spans="1:8" x14ac:dyDescent="0.3">
      <c r="A3519" s="400"/>
      <c r="B3519" s="709">
        <v>101251</v>
      </c>
      <c r="C3519" s="710" t="s">
        <v>3447</v>
      </c>
      <c r="D3519" s="709" t="s">
        <v>170</v>
      </c>
      <c r="E3519" s="716">
        <v>19.29</v>
      </c>
      <c r="F3519" s="717">
        <v>0</v>
      </c>
      <c r="G3519">
        <f>VLOOKUP(B3519,'SINAPI-%MO'!B:E,4,0)</f>
        <v>0.10630000000000001</v>
      </c>
      <c r="H3519" s="225">
        <f t="shared" si="54"/>
        <v>17.23</v>
      </c>
    </row>
    <row r="3520" spans="1:8" x14ac:dyDescent="0.3">
      <c r="A3520" s="400"/>
      <c r="B3520" s="709">
        <v>101274</v>
      </c>
      <c r="C3520" s="710" t="s">
        <v>3448</v>
      </c>
      <c r="D3520" s="709" t="s">
        <v>170</v>
      </c>
      <c r="E3520" s="716">
        <v>20.9</v>
      </c>
      <c r="F3520" s="717">
        <v>0</v>
      </c>
      <c r="G3520">
        <f>VLOOKUP(B3520,'SINAPI-%MO'!B:E,4,0)</f>
        <v>0.13400000000000001</v>
      </c>
      <c r="H3520" s="225">
        <f t="shared" si="54"/>
        <v>18.09</v>
      </c>
    </row>
    <row r="3521" spans="1:8" x14ac:dyDescent="0.3">
      <c r="A3521" s="400"/>
      <c r="B3521" s="709">
        <v>101246</v>
      </c>
      <c r="C3521" s="710" t="s">
        <v>3449</v>
      </c>
      <c r="D3521" s="709" t="s">
        <v>170</v>
      </c>
      <c r="E3521" s="716">
        <v>21.6</v>
      </c>
      <c r="F3521" s="717">
        <v>0</v>
      </c>
      <c r="G3521">
        <f>VLOOKUP(B3521,'SINAPI-%MO'!B:E,4,0)</f>
        <v>0.11020000000000001</v>
      </c>
      <c r="H3521" s="225">
        <f t="shared" si="54"/>
        <v>19.21</v>
      </c>
    </row>
    <row r="3522" spans="1:8" x14ac:dyDescent="0.3">
      <c r="A3522" s="400"/>
      <c r="B3522" s="709">
        <v>101252</v>
      </c>
      <c r="C3522" s="710" t="s">
        <v>3450</v>
      </c>
      <c r="D3522" s="709" t="s">
        <v>170</v>
      </c>
      <c r="E3522" s="716">
        <v>21</v>
      </c>
      <c r="F3522" s="717">
        <v>0</v>
      </c>
      <c r="G3522">
        <f>VLOOKUP(B3522,'SINAPI-%MO'!B:E,4,0)</f>
        <v>0.1019</v>
      </c>
      <c r="H3522" s="225">
        <f t="shared" si="54"/>
        <v>18.86</v>
      </c>
    </row>
    <row r="3523" spans="1:8" x14ac:dyDescent="0.3">
      <c r="A3523" s="400"/>
      <c r="B3523" s="709">
        <v>101275</v>
      </c>
      <c r="C3523" s="710" t="s">
        <v>3451</v>
      </c>
      <c r="D3523" s="709" t="s">
        <v>170</v>
      </c>
      <c r="E3523" s="716">
        <v>24.23</v>
      </c>
      <c r="F3523" s="717">
        <v>0</v>
      </c>
      <c r="G3523">
        <f>VLOOKUP(B3523,'SINAPI-%MO'!B:E,4,0)</f>
        <v>0.1288</v>
      </c>
      <c r="H3523" s="225">
        <f t="shared" si="54"/>
        <v>21.1</v>
      </c>
    </row>
    <row r="3524" spans="1:8" x14ac:dyDescent="0.3">
      <c r="A3524" s="400"/>
      <c r="B3524" s="709">
        <v>101247</v>
      </c>
      <c r="C3524" s="710" t="s">
        <v>3452</v>
      </c>
      <c r="D3524" s="709" t="s">
        <v>170</v>
      </c>
      <c r="E3524" s="716">
        <v>24</v>
      </c>
      <c r="F3524" s="717">
        <v>0</v>
      </c>
      <c r="G3524">
        <f>VLOOKUP(B3524,'SINAPI-%MO'!B:E,4,0)</f>
        <v>0.11</v>
      </c>
      <c r="H3524" s="225">
        <f t="shared" si="54"/>
        <v>21.36</v>
      </c>
    </row>
    <row r="3525" spans="1:8" x14ac:dyDescent="0.3">
      <c r="A3525" s="400"/>
      <c r="B3525" s="709">
        <v>101276</v>
      </c>
      <c r="C3525" s="710" t="s">
        <v>3453</v>
      </c>
      <c r="D3525" s="709" t="s">
        <v>170</v>
      </c>
      <c r="E3525" s="716">
        <v>26.8</v>
      </c>
      <c r="F3525" s="717">
        <v>0</v>
      </c>
      <c r="G3525">
        <f>VLOOKUP(B3525,'SINAPI-%MO'!B:E,4,0)</f>
        <v>0.128</v>
      </c>
      <c r="H3525" s="225">
        <f t="shared" si="54"/>
        <v>23.36</v>
      </c>
    </row>
    <row r="3526" spans="1:8" x14ac:dyDescent="0.3">
      <c r="A3526" s="400"/>
      <c r="B3526" s="709">
        <v>101253</v>
      </c>
      <c r="C3526" s="710" t="s">
        <v>3454</v>
      </c>
      <c r="D3526" s="709" t="s">
        <v>170</v>
      </c>
      <c r="E3526" s="716">
        <v>26.49</v>
      </c>
      <c r="F3526" s="717">
        <v>0</v>
      </c>
      <c r="G3526">
        <f>VLOOKUP(B3526,'SINAPI-%MO'!B:E,4,0)</f>
        <v>9.9299999999999999E-2</v>
      </c>
      <c r="H3526" s="225">
        <f t="shared" si="54"/>
        <v>23.85</v>
      </c>
    </row>
    <row r="3527" spans="1:8" x14ac:dyDescent="0.3">
      <c r="A3527" s="400"/>
      <c r="B3527" s="709">
        <v>101244</v>
      </c>
      <c r="C3527" s="710" t="s">
        <v>3455</v>
      </c>
      <c r="D3527" s="709" t="s">
        <v>170</v>
      </c>
      <c r="E3527" s="716">
        <v>17.55</v>
      </c>
      <c r="F3527" s="717">
        <v>0</v>
      </c>
      <c r="G3527">
        <f>VLOOKUP(B3527,'SINAPI-%MO'!B:E,4,0)</f>
        <v>0.1208</v>
      </c>
      <c r="H3527" s="225">
        <f t="shared" si="54"/>
        <v>15.42</v>
      </c>
    </row>
    <row r="3528" spans="1:8" x14ac:dyDescent="0.3">
      <c r="A3528" s="400"/>
      <c r="B3528" s="709">
        <v>93358</v>
      </c>
      <c r="C3528" s="710" t="s">
        <v>266</v>
      </c>
      <c r="D3528" s="709" t="s">
        <v>170</v>
      </c>
      <c r="E3528" s="716">
        <v>102.09</v>
      </c>
      <c r="F3528" s="717">
        <v>0</v>
      </c>
      <c r="G3528">
        <f>VLOOKUP(B3528,'SINAPI-%MO'!B:E,4,0)</f>
        <v>1</v>
      </c>
      <c r="H3528" s="225">
        <f t="shared" si="54"/>
        <v>0</v>
      </c>
    </row>
    <row r="3529" spans="1:8" x14ac:dyDescent="0.3">
      <c r="A3529" s="400"/>
      <c r="B3529" s="709">
        <v>90082</v>
      </c>
      <c r="C3529" s="710" t="s">
        <v>3456</v>
      </c>
      <c r="D3529" s="709" t="s">
        <v>170</v>
      </c>
      <c r="E3529" s="716">
        <v>9.91</v>
      </c>
      <c r="F3529" s="717">
        <v>0</v>
      </c>
      <c r="G3529">
        <f>VLOOKUP(B3529,'SINAPI-%MO'!B:E,4,0)</f>
        <v>0.31580000000000003</v>
      </c>
      <c r="H3529" s="225">
        <f t="shared" si="54"/>
        <v>6.78</v>
      </c>
    </row>
    <row r="3530" spans="1:8" x14ac:dyDescent="0.3">
      <c r="A3530" s="400"/>
      <c r="B3530" s="709">
        <v>90091</v>
      </c>
      <c r="C3530" s="710" t="s">
        <v>3457</v>
      </c>
      <c r="D3530" s="709" t="s">
        <v>170</v>
      </c>
      <c r="E3530" s="716">
        <v>6.23</v>
      </c>
      <c r="F3530" s="717">
        <v>0</v>
      </c>
      <c r="G3530">
        <f>VLOOKUP(B3530,'SINAPI-%MO'!B:E,4,0)</f>
        <v>0.31459999999999999</v>
      </c>
      <c r="H3530" s="225">
        <f t="shared" si="54"/>
        <v>4.2699999999999996</v>
      </c>
    </row>
    <row r="3531" spans="1:8" x14ac:dyDescent="0.3">
      <c r="A3531" s="400"/>
      <c r="B3531" s="709">
        <v>102307</v>
      </c>
      <c r="C3531" s="710" t="s">
        <v>3458</v>
      </c>
      <c r="D3531" s="709" t="s">
        <v>170</v>
      </c>
      <c r="E3531" s="716">
        <v>12.39</v>
      </c>
      <c r="F3531" s="717">
        <v>0</v>
      </c>
      <c r="G3531">
        <f>VLOOKUP(B3531,'SINAPI-%MO'!B:E,4,0)</f>
        <v>0.31559999999999999</v>
      </c>
      <c r="H3531" s="225">
        <f t="shared" ref="H3531:H3594" si="55">IF(E3531&gt;0,TRUNC(E3531*(1-G3531),2),"")</f>
        <v>8.4700000000000006</v>
      </c>
    </row>
    <row r="3532" spans="1:8" x14ac:dyDescent="0.3">
      <c r="A3532" s="400"/>
      <c r="B3532" s="709">
        <v>102315</v>
      </c>
      <c r="C3532" s="710" t="s">
        <v>3459</v>
      </c>
      <c r="D3532" s="709" t="s">
        <v>170</v>
      </c>
      <c r="E3532" s="716">
        <v>7.8</v>
      </c>
      <c r="F3532" s="717">
        <v>0</v>
      </c>
      <c r="G3532">
        <f>VLOOKUP(B3532,'SINAPI-%MO'!B:E,4,0)</f>
        <v>0.31540000000000001</v>
      </c>
      <c r="H3532" s="225">
        <f t="shared" si="55"/>
        <v>5.33</v>
      </c>
    </row>
    <row r="3533" spans="1:8" x14ac:dyDescent="0.3">
      <c r="A3533" s="400"/>
      <c r="B3533" s="709">
        <v>102283</v>
      </c>
      <c r="C3533" s="710" t="s">
        <v>3460</v>
      </c>
      <c r="D3533" s="709" t="s">
        <v>170</v>
      </c>
      <c r="E3533" s="716">
        <v>12.96</v>
      </c>
      <c r="F3533" s="717">
        <v>0</v>
      </c>
      <c r="G3533">
        <f>VLOOKUP(B3533,'SINAPI-%MO'!B:E,4,0)</f>
        <v>0.31559999999999999</v>
      </c>
      <c r="H3533" s="225">
        <f t="shared" si="55"/>
        <v>8.86</v>
      </c>
    </row>
    <row r="3534" spans="1:8" x14ac:dyDescent="0.3">
      <c r="A3534" s="400"/>
      <c r="B3534" s="709">
        <v>102291</v>
      </c>
      <c r="C3534" s="710" t="s">
        <v>3461</v>
      </c>
      <c r="D3534" s="709" t="s">
        <v>170</v>
      </c>
      <c r="E3534" s="716">
        <v>8.17</v>
      </c>
      <c r="F3534" s="717">
        <v>0</v>
      </c>
      <c r="G3534">
        <f>VLOOKUP(B3534,'SINAPI-%MO'!B:E,4,0)</f>
        <v>0.31459999999999999</v>
      </c>
      <c r="H3534" s="225">
        <f t="shared" si="55"/>
        <v>5.59</v>
      </c>
    </row>
    <row r="3535" spans="1:8" x14ac:dyDescent="0.3">
      <c r="A3535" s="400"/>
      <c r="B3535" s="709">
        <v>102276</v>
      </c>
      <c r="C3535" s="710" t="s">
        <v>3462</v>
      </c>
      <c r="D3535" s="709" t="s">
        <v>170</v>
      </c>
      <c r="E3535" s="716">
        <v>11.16</v>
      </c>
      <c r="F3535" s="717">
        <v>0</v>
      </c>
      <c r="G3535">
        <f>VLOOKUP(B3535,'SINAPI-%MO'!B:E,4,0)</f>
        <v>0.31540000000000001</v>
      </c>
      <c r="H3535" s="225">
        <f t="shared" si="55"/>
        <v>7.64</v>
      </c>
    </row>
    <row r="3536" spans="1:8" x14ac:dyDescent="0.3">
      <c r="A3536" s="400"/>
      <c r="B3536" s="709">
        <v>102306</v>
      </c>
      <c r="C3536" s="710" t="s">
        <v>3463</v>
      </c>
      <c r="D3536" s="709" t="s">
        <v>170</v>
      </c>
      <c r="E3536" s="716">
        <v>13.94</v>
      </c>
      <c r="F3536" s="717">
        <v>0</v>
      </c>
      <c r="G3536">
        <f>VLOOKUP(B3536,'SINAPI-%MO'!B:E,4,0)</f>
        <v>0.31559999999999999</v>
      </c>
      <c r="H3536" s="225">
        <f t="shared" si="55"/>
        <v>9.5399999999999991</v>
      </c>
    </row>
    <row r="3537" spans="1:8" x14ac:dyDescent="0.3">
      <c r="A3537" s="400"/>
      <c r="B3537" s="709">
        <v>102279</v>
      </c>
      <c r="C3537" s="710" t="s">
        <v>3464</v>
      </c>
      <c r="D3537" s="709" t="s">
        <v>170</v>
      </c>
      <c r="E3537" s="716">
        <v>7.02</v>
      </c>
      <c r="F3537" s="717">
        <v>0</v>
      </c>
      <c r="G3537">
        <f>VLOOKUP(B3537,'SINAPI-%MO'!B:E,4,0)</f>
        <v>0.31480000000000002</v>
      </c>
      <c r="H3537" s="225">
        <f t="shared" si="55"/>
        <v>4.8099999999999996</v>
      </c>
    </row>
    <row r="3538" spans="1:8" x14ac:dyDescent="0.3">
      <c r="A3538" s="400"/>
      <c r="B3538" s="709">
        <v>102282</v>
      </c>
      <c r="C3538" s="710" t="s">
        <v>3465</v>
      </c>
      <c r="D3538" s="709" t="s">
        <v>170</v>
      </c>
      <c r="E3538" s="716">
        <v>14.59</v>
      </c>
      <c r="F3538" s="717">
        <v>0</v>
      </c>
      <c r="G3538">
        <f>VLOOKUP(B3538,'SINAPI-%MO'!B:E,4,0)</f>
        <v>0.316</v>
      </c>
      <c r="H3538" s="225">
        <f t="shared" si="55"/>
        <v>9.9700000000000006</v>
      </c>
    </row>
    <row r="3539" spans="1:8" x14ac:dyDescent="0.3">
      <c r="A3539" s="400"/>
      <c r="B3539" s="709">
        <v>102290</v>
      </c>
      <c r="C3539" s="710" t="s">
        <v>3466</v>
      </c>
      <c r="D3539" s="709" t="s">
        <v>170</v>
      </c>
      <c r="E3539" s="716">
        <v>9.1999999999999993</v>
      </c>
      <c r="F3539" s="717">
        <v>0</v>
      </c>
      <c r="G3539">
        <f>VLOOKUP(B3539,'SINAPI-%MO'!B:E,4,0)</f>
        <v>0.31519999999999998</v>
      </c>
      <c r="H3539" s="225">
        <f t="shared" si="55"/>
        <v>6.3</v>
      </c>
    </row>
    <row r="3540" spans="1:8" x14ac:dyDescent="0.3">
      <c r="A3540" s="400"/>
      <c r="B3540" s="709">
        <v>90100</v>
      </c>
      <c r="C3540" s="710" t="s">
        <v>3467</v>
      </c>
      <c r="D3540" s="709" t="s">
        <v>170</v>
      </c>
      <c r="E3540" s="716">
        <v>13.78</v>
      </c>
      <c r="F3540" s="717">
        <v>0</v>
      </c>
      <c r="G3540">
        <f>VLOOKUP(B3540,'SINAPI-%MO'!B:E,4,0)</f>
        <v>0.4456</v>
      </c>
      <c r="H3540" s="225">
        <f t="shared" si="55"/>
        <v>7.63</v>
      </c>
    </row>
    <row r="3541" spans="1:8" x14ac:dyDescent="0.3">
      <c r="A3541" s="400"/>
      <c r="B3541" s="709">
        <v>102323</v>
      </c>
      <c r="C3541" s="710" t="s">
        <v>3468</v>
      </c>
      <c r="D3541" s="709" t="s">
        <v>170</v>
      </c>
      <c r="E3541" s="716">
        <v>17.23</v>
      </c>
      <c r="F3541" s="717">
        <v>0</v>
      </c>
      <c r="G3541">
        <f>VLOOKUP(B3541,'SINAPI-%MO'!B:E,4,0)</f>
        <v>0.44569999999999999</v>
      </c>
      <c r="H3541" s="225">
        <f t="shared" si="55"/>
        <v>9.5500000000000007</v>
      </c>
    </row>
    <row r="3542" spans="1:8" x14ac:dyDescent="0.3">
      <c r="A3542" s="400"/>
      <c r="B3542" s="709">
        <v>102327</v>
      </c>
      <c r="C3542" s="710" t="s">
        <v>3469</v>
      </c>
      <c r="D3542" s="709" t="s">
        <v>170</v>
      </c>
      <c r="E3542" s="716">
        <v>10.85</v>
      </c>
      <c r="F3542" s="717">
        <v>0</v>
      </c>
      <c r="G3542">
        <f>VLOOKUP(B3542,'SINAPI-%MO'!B:E,4,0)</f>
        <v>0.4461</v>
      </c>
      <c r="H3542" s="225">
        <f t="shared" si="55"/>
        <v>6</v>
      </c>
    </row>
    <row r="3543" spans="1:8" x14ac:dyDescent="0.3">
      <c r="A3543" s="400"/>
      <c r="B3543" s="709">
        <v>102299</v>
      </c>
      <c r="C3543" s="710" t="s">
        <v>3470</v>
      </c>
      <c r="D3543" s="709" t="s">
        <v>170</v>
      </c>
      <c r="E3543" s="716">
        <v>18.03</v>
      </c>
      <c r="F3543" s="717">
        <v>0</v>
      </c>
      <c r="G3543">
        <f>VLOOKUP(B3543,'SINAPI-%MO'!B:E,4,0)</f>
        <v>0.44590000000000002</v>
      </c>
      <c r="H3543" s="225">
        <f t="shared" si="55"/>
        <v>9.99</v>
      </c>
    </row>
    <row r="3544" spans="1:8" x14ac:dyDescent="0.3">
      <c r="A3544" s="400"/>
      <c r="B3544" s="709">
        <v>102303</v>
      </c>
      <c r="C3544" s="710" t="s">
        <v>3471</v>
      </c>
      <c r="D3544" s="709" t="s">
        <v>170</v>
      </c>
      <c r="E3544" s="716">
        <v>11.36</v>
      </c>
      <c r="F3544" s="717">
        <v>0</v>
      </c>
      <c r="G3544">
        <f>VLOOKUP(B3544,'SINAPI-%MO'!B:E,4,0)</f>
        <v>0.44629999999999997</v>
      </c>
      <c r="H3544" s="225">
        <f t="shared" si="55"/>
        <v>6.29</v>
      </c>
    </row>
    <row r="3545" spans="1:8" x14ac:dyDescent="0.3">
      <c r="A3545" s="400"/>
      <c r="B3545" s="709">
        <v>90099</v>
      </c>
      <c r="C3545" s="710" t="s">
        <v>3472</v>
      </c>
      <c r="D3545" s="709" t="s">
        <v>170</v>
      </c>
      <c r="E3545" s="716">
        <v>16.079999999999998</v>
      </c>
      <c r="F3545" s="717">
        <v>0</v>
      </c>
      <c r="G3545">
        <f>VLOOKUP(B3545,'SINAPI-%MO'!B:E,4,0)</f>
        <v>0.44650000000000001</v>
      </c>
      <c r="H3545" s="225">
        <f t="shared" si="55"/>
        <v>8.9</v>
      </c>
    </row>
    <row r="3546" spans="1:8" x14ac:dyDescent="0.3">
      <c r="A3546" s="400"/>
      <c r="B3546" s="709">
        <v>102322</v>
      </c>
      <c r="C3546" s="710" t="s">
        <v>3473</v>
      </c>
      <c r="D3546" s="709" t="s">
        <v>170</v>
      </c>
      <c r="E3546" s="716">
        <v>20.11</v>
      </c>
      <c r="F3546" s="717">
        <v>0</v>
      </c>
      <c r="G3546">
        <f>VLOOKUP(B3546,'SINAPI-%MO'!B:E,4,0)</f>
        <v>0.44600000000000001</v>
      </c>
      <c r="H3546" s="225">
        <f t="shared" si="55"/>
        <v>11.14</v>
      </c>
    </row>
    <row r="3547" spans="1:8" x14ac:dyDescent="0.3">
      <c r="A3547" s="400"/>
      <c r="B3547" s="709">
        <v>102298</v>
      </c>
      <c r="C3547" s="710" t="s">
        <v>3474</v>
      </c>
      <c r="D3547" s="709" t="s">
        <v>170</v>
      </c>
      <c r="E3547" s="716">
        <v>21.04</v>
      </c>
      <c r="F3547" s="717">
        <v>0</v>
      </c>
      <c r="G3547">
        <f>VLOOKUP(B3547,'SINAPI-%MO'!B:E,4,0)</f>
        <v>0.44579999999999997</v>
      </c>
      <c r="H3547" s="225">
        <f t="shared" si="55"/>
        <v>11.66</v>
      </c>
    </row>
    <row r="3548" spans="1:8" x14ac:dyDescent="0.3">
      <c r="A3548" s="400"/>
      <c r="B3548" s="709">
        <v>102302</v>
      </c>
      <c r="C3548" s="710" t="s">
        <v>3475</v>
      </c>
      <c r="D3548" s="709" t="s">
        <v>170</v>
      </c>
      <c r="E3548" s="716">
        <v>13.26</v>
      </c>
      <c r="F3548" s="717">
        <v>0</v>
      </c>
      <c r="G3548">
        <f>VLOOKUP(B3548,'SINAPI-%MO'!B:E,4,0)</f>
        <v>0.44569999999999999</v>
      </c>
      <c r="H3548" s="225">
        <f t="shared" si="55"/>
        <v>7.35</v>
      </c>
    </row>
    <row r="3549" spans="1:8" x14ac:dyDescent="0.3">
      <c r="A3549" s="400"/>
      <c r="B3549" s="709">
        <v>102326</v>
      </c>
      <c r="C3549" s="710" t="s">
        <v>3476</v>
      </c>
      <c r="D3549" s="709" t="s">
        <v>170</v>
      </c>
      <c r="E3549" s="716">
        <v>12.66</v>
      </c>
      <c r="F3549" s="717">
        <v>0</v>
      </c>
      <c r="G3549">
        <f>VLOOKUP(B3549,'SINAPI-%MO'!B:E,4,0)</f>
        <v>0.44550000000000001</v>
      </c>
      <c r="H3549" s="225">
        <f t="shared" si="55"/>
        <v>7.01</v>
      </c>
    </row>
    <row r="3550" spans="1:8" x14ac:dyDescent="0.3">
      <c r="A3550" s="400"/>
      <c r="B3550" s="709">
        <v>102314</v>
      </c>
      <c r="C3550" s="710" t="s">
        <v>3477</v>
      </c>
      <c r="D3550" s="709" t="s">
        <v>170</v>
      </c>
      <c r="E3550" s="716">
        <v>8.7799999999999994</v>
      </c>
      <c r="F3550" s="717">
        <v>0</v>
      </c>
      <c r="G3550">
        <f>VLOOKUP(B3550,'SINAPI-%MO'!B:E,4,0)</f>
        <v>0.3155</v>
      </c>
      <c r="H3550" s="225">
        <f t="shared" si="55"/>
        <v>6</v>
      </c>
    </row>
    <row r="3551" spans="1:8" x14ac:dyDescent="0.3">
      <c r="A3551" s="400"/>
      <c r="B3551" s="709">
        <v>102312</v>
      </c>
      <c r="C3551" s="710" t="s">
        <v>3478</v>
      </c>
      <c r="D3551" s="709" t="s">
        <v>170</v>
      </c>
      <c r="E3551" s="716">
        <v>11.17</v>
      </c>
      <c r="F3551" s="717">
        <v>0</v>
      </c>
      <c r="G3551">
        <f>VLOOKUP(B3551,'SINAPI-%MO'!B:E,4,0)</f>
        <v>0.2757</v>
      </c>
      <c r="H3551" s="225">
        <f t="shared" si="55"/>
        <v>8.09</v>
      </c>
    </row>
    <row r="3552" spans="1:8" x14ac:dyDescent="0.3">
      <c r="A3552" s="400"/>
      <c r="B3552" s="709">
        <v>102288</v>
      </c>
      <c r="C3552" s="710" t="s">
        <v>3479</v>
      </c>
      <c r="D3552" s="709" t="s">
        <v>170</v>
      </c>
      <c r="E3552" s="716">
        <v>11.69</v>
      </c>
      <c r="F3552" s="717">
        <v>0</v>
      </c>
      <c r="G3552">
        <f>VLOOKUP(B3552,'SINAPI-%MO'!B:E,4,0)</f>
        <v>0.27539999999999998</v>
      </c>
      <c r="H3552" s="225">
        <f t="shared" si="55"/>
        <v>8.4700000000000006</v>
      </c>
    </row>
    <row r="3553" spans="1:8" x14ac:dyDescent="0.3">
      <c r="A3553" s="400"/>
      <c r="B3553" s="709">
        <v>90087</v>
      </c>
      <c r="C3553" s="710" t="s">
        <v>3480</v>
      </c>
      <c r="D3553" s="709" t="s">
        <v>170</v>
      </c>
      <c r="E3553" s="716">
        <v>8.93</v>
      </c>
      <c r="F3553" s="717">
        <v>0</v>
      </c>
      <c r="G3553">
        <f>VLOOKUP(B3553,'SINAPI-%MO'!B:E,4,0)</f>
        <v>0.27550000000000002</v>
      </c>
      <c r="H3553" s="225">
        <f t="shared" si="55"/>
        <v>6.46</v>
      </c>
    </row>
    <row r="3554" spans="1:8" x14ac:dyDescent="0.3">
      <c r="A3554" s="400"/>
      <c r="B3554" s="709">
        <v>102308</v>
      </c>
      <c r="C3554" s="710" t="s">
        <v>3481</v>
      </c>
      <c r="D3554" s="709" t="s">
        <v>170</v>
      </c>
      <c r="E3554" s="716">
        <v>11.99</v>
      </c>
      <c r="F3554" s="717">
        <v>0</v>
      </c>
      <c r="G3554">
        <f>VLOOKUP(B3554,'SINAPI-%MO'!B:E,4,0)</f>
        <v>0.31530000000000002</v>
      </c>
      <c r="H3554" s="225">
        <f t="shared" si="55"/>
        <v>8.1999999999999993</v>
      </c>
    </row>
    <row r="3555" spans="1:8" x14ac:dyDescent="0.3">
      <c r="A3555" s="400"/>
      <c r="B3555" s="709">
        <v>90084</v>
      </c>
      <c r="C3555" s="710" t="s">
        <v>3482</v>
      </c>
      <c r="D3555" s="709" t="s">
        <v>170</v>
      </c>
      <c r="E3555" s="716">
        <v>9.58</v>
      </c>
      <c r="F3555" s="717">
        <v>0</v>
      </c>
      <c r="G3555">
        <f>VLOOKUP(B3555,'SINAPI-%MO'!B:E,4,0)</f>
        <v>0.31519999999999998</v>
      </c>
      <c r="H3555" s="225">
        <f t="shared" si="55"/>
        <v>6.56</v>
      </c>
    </row>
    <row r="3556" spans="1:8" x14ac:dyDescent="0.3">
      <c r="A3556" s="400"/>
      <c r="B3556" s="709">
        <v>102284</v>
      </c>
      <c r="C3556" s="710" t="s">
        <v>3483</v>
      </c>
      <c r="D3556" s="709" t="s">
        <v>170</v>
      </c>
      <c r="E3556" s="716">
        <v>12.55</v>
      </c>
      <c r="F3556" s="717">
        <v>0</v>
      </c>
      <c r="G3556">
        <f>VLOOKUP(B3556,'SINAPI-%MO'!B:E,4,0)</f>
        <v>0.3155</v>
      </c>
      <c r="H3556" s="225">
        <f t="shared" si="55"/>
        <v>8.59</v>
      </c>
    </row>
    <row r="3557" spans="1:8" x14ac:dyDescent="0.3">
      <c r="A3557" s="400"/>
      <c r="B3557" s="709">
        <v>102325</v>
      </c>
      <c r="C3557" s="710" t="s">
        <v>3484</v>
      </c>
      <c r="D3557" s="709" t="s">
        <v>170</v>
      </c>
      <c r="E3557" s="716">
        <v>15.58</v>
      </c>
      <c r="F3557" s="717">
        <v>0</v>
      </c>
      <c r="G3557">
        <f>VLOOKUP(B3557,'SINAPI-%MO'!B:E,4,0)</f>
        <v>0.4461</v>
      </c>
      <c r="H3557" s="225">
        <f t="shared" si="55"/>
        <v>8.6199999999999992</v>
      </c>
    </row>
    <row r="3558" spans="1:8" x14ac:dyDescent="0.3">
      <c r="A3558" s="400"/>
      <c r="B3558" s="709">
        <v>102329</v>
      </c>
      <c r="C3558" s="710" t="s">
        <v>3485</v>
      </c>
      <c r="D3558" s="709" t="s">
        <v>170</v>
      </c>
      <c r="E3558" s="716">
        <v>9.81</v>
      </c>
      <c r="F3558" s="717">
        <v>0</v>
      </c>
      <c r="G3558">
        <f>VLOOKUP(B3558,'SINAPI-%MO'!B:E,4,0)</f>
        <v>0.44550000000000001</v>
      </c>
      <c r="H3558" s="225">
        <f t="shared" si="55"/>
        <v>5.43</v>
      </c>
    </row>
    <row r="3559" spans="1:8" x14ac:dyDescent="0.3">
      <c r="A3559" s="400"/>
      <c r="B3559" s="709">
        <v>102301</v>
      </c>
      <c r="C3559" s="710" t="s">
        <v>3486</v>
      </c>
      <c r="D3559" s="709" t="s">
        <v>170</v>
      </c>
      <c r="E3559" s="716">
        <v>16.309999999999999</v>
      </c>
      <c r="F3559" s="717">
        <v>0</v>
      </c>
      <c r="G3559">
        <f>VLOOKUP(B3559,'SINAPI-%MO'!B:E,4,0)</f>
        <v>0.44569999999999999</v>
      </c>
      <c r="H3559" s="225">
        <f t="shared" si="55"/>
        <v>9.0399999999999991</v>
      </c>
    </row>
    <row r="3560" spans="1:8" x14ac:dyDescent="0.3">
      <c r="A3560" s="400"/>
      <c r="B3560" s="709">
        <v>102305</v>
      </c>
      <c r="C3560" s="710" t="s">
        <v>3487</v>
      </c>
      <c r="D3560" s="709" t="s">
        <v>170</v>
      </c>
      <c r="E3560" s="716">
        <v>10.27</v>
      </c>
      <c r="F3560" s="717">
        <v>0</v>
      </c>
      <c r="G3560">
        <f>VLOOKUP(B3560,'SINAPI-%MO'!B:E,4,0)</f>
        <v>0.44600000000000001</v>
      </c>
      <c r="H3560" s="225">
        <f t="shared" si="55"/>
        <v>5.68</v>
      </c>
    </row>
    <row r="3561" spans="1:8" x14ac:dyDescent="0.3">
      <c r="A3561" s="400"/>
      <c r="B3561" s="709">
        <v>90101</v>
      </c>
      <c r="C3561" s="710" t="s">
        <v>3488</v>
      </c>
      <c r="D3561" s="709" t="s">
        <v>170</v>
      </c>
      <c r="E3561" s="716">
        <v>13.61</v>
      </c>
      <c r="F3561" s="717">
        <v>0</v>
      </c>
      <c r="G3561">
        <f>VLOOKUP(B3561,'SINAPI-%MO'!B:E,4,0)</f>
        <v>0.44600000000000001</v>
      </c>
      <c r="H3561" s="225">
        <f t="shared" si="55"/>
        <v>7.53</v>
      </c>
    </row>
    <row r="3562" spans="1:8" x14ac:dyDescent="0.3">
      <c r="A3562" s="400"/>
      <c r="B3562" s="709">
        <v>102324</v>
      </c>
      <c r="C3562" s="710" t="s">
        <v>3489</v>
      </c>
      <c r="D3562" s="709" t="s">
        <v>170</v>
      </c>
      <c r="E3562" s="716">
        <v>17.02</v>
      </c>
      <c r="F3562" s="717">
        <v>0</v>
      </c>
      <c r="G3562">
        <f>VLOOKUP(B3562,'SINAPI-%MO'!B:E,4,0)</f>
        <v>0.44650000000000001</v>
      </c>
      <c r="H3562" s="225">
        <f t="shared" si="55"/>
        <v>9.42</v>
      </c>
    </row>
    <row r="3563" spans="1:8" x14ac:dyDescent="0.3">
      <c r="A3563" s="400"/>
      <c r="B3563" s="709">
        <v>102300</v>
      </c>
      <c r="C3563" s="710" t="s">
        <v>3490</v>
      </c>
      <c r="D3563" s="709" t="s">
        <v>170</v>
      </c>
      <c r="E3563" s="716">
        <v>17.809999999999999</v>
      </c>
      <c r="F3563" s="717">
        <v>0</v>
      </c>
      <c r="G3563">
        <f>VLOOKUP(B3563,'SINAPI-%MO'!B:E,4,0)</f>
        <v>0.44579999999999997</v>
      </c>
      <c r="H3563" s="225">
        <f t="shared" si="55"/>
        <v>9.8699999999999992</v>
      </c>
    </row>
    <row r="3564" spans="1:8" x14ac:dyDescent="0.3">
      <c r="A3564" s="400"/>
      <c r="B3564" s="709">
        <v>90102</v>
      </c>
      <c r="C3564" s="710" t="s">
        <v>3491</v>
      </c>
      <c r="D3564" s="709" t="s">
        <v>170</v>
      </c>
      <c r="E3564" s="716">
        <v>12.46</v>
      </c>
      <c r="F3564" s="717">
        <v>0</v>
      </c>
      <c r="G3564">
        <f>VLOOKUP(B3564,'SINAPI-%MO'!B:E,4,0)</f>
        <v>0.44619999999999999</v>
      </c>
      <c r="H3564" s="225">
        <f t="shared" si="55"/>
        <v>6.9</v>
      </c>
    </row>
    <row r="3565" spans="1:8" x14ac:dyDescent="0.3">
      <c r="A3565" s="400"/>
      <c r="B3565" s="709">
        <v>102328</v>
      </c>
      <c r="C3565" s="710" t="s">
        <v>3492</v>
      </c>
      <c r="D3565" s="709" t="s">
        <v>170</v>
      </c>
      <c r="E3565" s="716">
        <v>10.73</v>
      </c>
      <c r="F3565" s="717">
        <v>0</v>
      </c>
      <c r="G3565">
        <f>VLOOKUP(B3565,'SINAPI-%MO'!B:E,4,0)</f>
        <v>0.44550000000000001</v>
      </c>
      <c r="H3565" s="225">
        <f t="shared" si="55"/>
        <v>5.94</v>
      </c>
    </row>
    <row r="3566" spans="1:8" x14ac:dyDescent="0.3">
      <c r="A3566" s="400"/>
      <c r="B3566" s="709">
        <v>102304</v>
      </c>
      <c r="C3566" s="710" t="s">
        <v>3493</v>
      </c>
      <c r="D3566" s="709" t="s">
        <v>170</v>
      </c>
      <c r="E3566" s="716">
        <v>11.22</v>
      </c>
      <c r="F3566" s="717">
        <v>0</v>
      </c>
      <c r="G3566">
        <f>VLOOKUP(B3566,'SINAPI-%MO'!B:E,4,0)</f>
        <v>0.4456</v>
      </c>
      <c r="H3566" s="225">
        <f t="shared" si="55"/>
        <v>6.22</v>
      </c>
    </row>
    <row r="3567" spans="1:8" x14ac:dyDescent="0.3">
      <c r="A3567" s="400"/>
      <c r="B3567" s="709">
        <v>102295</v>
      </c>
      <c r="C3567" s="710" t="s">
        <v>3494</v>
      </c>
      <c r="D3567" s="709" t="s">
        <v>170</v>
      </c>
      <c r="E3567" s="716">
        <v>7.66</v>
      </c>
      <c r="F3567" s="717">
        <v>0</v>
      </c>
      <c r="G3567">
        <f>VLOOKUP(B3567,'SINAPI-%MO'!B:E,4,0)</f>
        <v>0.27550000000000002</v>
      </c>
      <c r="H3567" s="225">
        <f t="shared" si="55"/>
        <v>5.54</v>
      </c>
    </row>
    <row r="3568" spans="1:8" x14ac:dyDescent="0.3">
      <c r="A3568" s="400"/>
      <c r="B3568" s="709">
        <v>102281</v>
      </c>
      <c r="C3568" s="710" t="s">
        <v>3495</v>
      </c>
      <c r="D3568" s="709" t="s">
        <v>170</v>
      </c>
      <c r="E3568" s="716">
        <v>5.85</v>
      </c>
      <c r="F3568" s="717">
        <v>0</v>
      </c>
      <c r="G3568">
        <f>VLOOKUP(B3568,'SINAPI-%MO'!B:E,4,0)</f>
        <v>0.2752</v>
      </c>
      <c r="H3568" s="225">
        <f t="shared" si="55"/>
        <v>4.24</v>
      </c>
    </row>
    <row r="3569" spans="1:8" x14ac:dyDescent="0.3">
      <c r="A3569" s="400"/>
      <c r="B3569" s="709">
        <v>102311</v>
      </c>
      <c r="C3569" s="710" t="s">
        <v>3496</v>
      </c>
      <c r="D3569" s="709" t="s">
        <v>170</v>
      </c>
      <c r="E3569" s="716">
        <v>11.61</v>
      </c>
      <c r="F3569" s="717">
        <v>0</v>
      </c>
      <c r="G3569">
        <f>VLOOKUP(B3569,'SINAPI-%MO'!B:E,4,0)</f>
        <v>0.27560000000000001</v>
      </c>
      <c r="H3569" s="225">
        <f t="shared" si="55"/>
        <v>8.41</v>
      </c>
    </row>
    <row r="3570" spans="1:8" x14ac:dyDescent="0.3">
      <c r="A3570" s="400"/>
      <c r="B3570" s="709">
        <v>102319</v>
      </c>
      <c r="C3570" s="710" t="s">
        <v>3497</v>
      </c>
      <c r="D3570" s="709" t="s">
        <v>170</v>
      </c>
      <c r="E3570" s="716">
        <v>7.31</v>
      </c>
      <c r="F3570" s="717">
        <v>0</v>
      </c>
      <c r="G3570">
        <f>VLOOKUP(B3570,'SINAPI-%MO'!B:E,4,0)</f>
        <v>0.27500000000000002</v>
      </c>
      <c r="H3570" s="225">
        <f t="shared" si="55"/>
        <v>5.29</v>
      </c>
    </row>
    <row r="3571" spans="1:8" x14ac:dyDescent="0.3">
      <c r="A3571" s="400"/>
      <c r="B3571" s="709">
        <v>102287</v>
      </c>
      <c r="C3571" s="710" t="s">
        <v>3498</v>
      </c>
      <c r="D3571" s="709" t="s">
        <v>170</v>
      </c>
      <c r="E3571" s="716">
        <v>12.16</v>
      </c>
      <c r="F3571" s="717">
        <v>0</v>
      </c>
      <c r="G3571">
        <f>VLOOKUP(B3571,'SINAPI-%MO'!B:E,4,0)</f>
        <v>0.27550000000000002</v>
      </c>
      <c r="H3571" s="225">
        <f t="shared" si="55"/>
        <v>8.8000000000000007</v>
      </c>
    </row>
    <row r="3572" spans="1:8" x14ac:dyDescent="0.3">
      <c r="A3572" s="400"/>
      <c r="B3572" s="709">
        <v>102316</v>
      </c>
      <c r="C3572" s="710" t="s">
        <v>3499</v>
      </c>
      <c r="D3572" s="709" t="s">
        <v>170</v>
      </c>
      <c r="E3572" s="716">
        <v>7.55</v>
      </c>
      <c r="F3572" s="717">
        <v>0</v>
      </c>
      <c r="G3572">
        <f>VLOOKUP(B3572,'SINAPI-%MO'!B:E,4,0)</f>
        <v>0.31390000000000001</v>
      </c>
      <c r="H3572" s="225">
        <f t="shared" si="55"/>
        <v>5.18</v>
      </c>
    </row>
    <row r="3573" spans="1:8" x14ac:dyDescent="0.3">
      <c r="A3573" s="400"/>
      <c r="B3573" s="709">
        <v>102292</v>
      </c>
      <c r="C3573" s="710" t="s">
        <v>3500</v>
      </c>
      <c r="D3573" s="709" t="s">
        <v>170</v>
      </c>
      <c r="E3573" s="716">
        <v>7.9</v>
      </c>
      <c r="F3573" s="717">
        <v>0</v>
      </c>
      <c r="G3573">
        <f>VLOOKUP(B3573,'SINAPI-%MO'!B:E,4,0)</f>
        <v>0.31519999999999998</v>
      </c>
      <c r="H3573" s="225">
        <f t="shared" si="55"/>
        <v>5.4</v>
      </c>
    </row>
    <row r="3574" spans="1:8" x14ac:dyDescent="0.3">
      <c r="A3574" s="400"/>
      <c r="B3574" s="709">
        <v>90092</v>
      </c>
      <c r="C3574" s="710" t="s">
        <v>280</v>
      </c>
      <c r="D3574" s="709" t="s">
        <v>170</v>
      </c>
      <c r="E3574" s="716">
        <v>6.04</v>
      </c>
      <c r="F3574" s="717">
        <v>0</v>
      </c>
      <c r="G3574">
        <f>VLOOKUP(B3574,'SINAPI-%MO'!B:E,4,0)</f>
        <v>0.31459999999999999</v>
      </c>
      <c r="H3574" s="225">
        <f t="shared" si="55"/>
        <v>4.13</v>
      </c>
    </row>
    <row r="3575" spans="1:8" x14ac:dyDescent="0.3">
      <c r="A3575" s="400"/>
      <c r="B3575" s="709">
        <v>102278</v>
      </c>
      <c r="C3575" s="710" t="s">
        <v>3501</v>
      </c>
      <c r="D3575" s="709" t="s">
        <v>170</v>
      </c>
      <c r="E3575" s="716">
        <v>9.2899999999999991</v>
      </c>
      <c r="F3575" s="717">
        <v>0</v>
      </c>
      <c r="G3575">
        <f>VLOOKUP(B3575,'SINAPI-%MO'!B:E,4,0)</f>
        <v>0.27560000000000001</v>
      </c>
      <c r="H3575" s="225">
        <f t="shared" si="55"/>
        <v>6.72</v>
      </c>
    </row>
    <row r="3576" spans="1:8" x14ac:dyDescent="0.3">
      <c r="A3576" s="400"/>
      <c r="B3576" s="709">
        <v>90094</v>
      </c>
      <c r="C3576" s="710" t="s">
        <v>3502</v>
      </c>
      <c r="D3576" s="709" t="s">
        <v>170</v>
      </c>
      <c r="E3576" s="716">
        <v>5.71</v>
      </c>
      <c r="F3576" s="717">
        <v>0</v>
      </c>
      <c r="G3576">
        <f>VLOOKUP(B3576,'SINAPI-%MO'!B:E,4,0)</f>
        <v>0.31519999999999998</v>
      </c>
      <c r="H3576" s="225">
        <f t="shared" si="55"/>
        <v>3.91</v>
      </c>
    </row>
    <row r="3577" spans="1:8" x14ac:dyDescent="0.3">
      <c r="A3577" s="400"/>
      <c r="B3577" s="709">
        <v>102309</v>
      </c>
      <c r="C3577" s="710" t="s">
        <v>3503</v>
      </c>
      <c r="D3577" s="709" t="s">
        <v>170</v>
      </c>
      <c r="E3577" s="716">
        <v>11.35</v>
      </c>
      <c r="F3577" s="717">
        <v>0</v>
      </c>
      <c r="G3577">
        <f>VLOOKUP(B3577,'SINAPI-%MO'!B:E,4,0)</f>
        <v>0.31540000000000001</v>
      </c>
      <c r="H3577" s="225">
        <f t="shared" si="55"/>
        <v>7.77</v>
      </c>
    </row>
    <row r="3578" spans="1:8" x14ac:dyDescent="0.3">
      <c r="A3578" s="400"/>
      <c r="B3578" s="709">
        <v>102285</v>
      </c>
      <c r="C3578" s="710" t="s">
        <v>3504</v>
      </c>
      <c r="D3578" s="709" t="s">
        <v>170</v>
      </c>
      <c r="E3578" s="716">
        <v>11.87</v>
      </c>
      <c r="F3578" s="717">
        <v>0</v>
      </c>
      <c r="G3578">
        <f>VLOOKUP(B3578,'SINAPI-%MO'!B:E,4,0)</f>
        <v>0.31590000000000001</v>
      </c>
      <c r="H3578" s="225">
        <f t="shared" si="55"/>
        <v>8.1199999999999992</v>
      </c>
    </row>
    <row r="3579" spans="1:8" x14ac:dyDescent="0.3">
      <c r="A3579" s="400"/>
      <c r="B3579" s="709">
        <v>90095</v>
      </c>
      <c r="C3579" s="710" t="s">
        <v>3505</v>
      </c>
      <c r="D3579" s="709" t="s">
        <v>170</v>
      </c>
      <c r="E3579" s="716">
        <v>5.62</v>
      </c>
      <c r="F3579" s="717">
        <v>0</v>
      </c>
      <c r="G3579">
        <f>VLOOKUP(B3579,'SINAPI-%MO'!B:E,4,0)</f>
        <v>0.27400000000000002</v>
      </c>
      <c r="H3579" s="225">
        <f t="shared" si="55"/>
        <v>4.08</v>
      </c>
    </row>
    <row r="3580" spans="1:8" x14ac:dyDescent="0.3">
      <c r="A3580" s="400"/>
      <c r="B3580" s="709">
        <v>102320</v>
      </c>
      <c r="C3580" s="710" t="s">
        <v>3506</v>
      </c>
      <c r="D3580" s="709" t="s">
        <v>170</v>
      </c>
      <c r="E3580" s="716">
        <v>7.03</v>
      </c>
      <c r="F3580" s="717">
        <v>0</v>
      </c>
      <c r="G3580">
        <f>VLOOKUP(B3580,'SINAPI-%MO'!B:E,4,0)</f>
        <v>0.27450000000000002</v>
      </c>
      <c r="H3580" s="225">
        <f t="shared" si="55"/>
        <v>5.0999999999999996</v>
      </c>
    </row>
    <row r="3581" spans="1:8" x14ac:dyDescent="0.3">
      <c r="A3581" s="400"/>
      <c r="B3581" s="709">
        <v>102296</v>
      </c>
      <c r="C3581" s="710" t="s">
        <v>3507</v>
      </c>
      <c r="D3581" s="709" t="s">
        <v>170</v>
      </c>
      <c r="E3581" s="716">
        <v>7.36</v>
      </c>
      <c r="F3581" s="717">
        <v>0</v>
      </c>
      <c r="G3581">
        <f>VLOOKUP(B3581,'SINAPI-%MO'!B:E,4,0)</f>
        <v>0.27450000000000002</v>
      </c>
      <c r="H3581" s="225">
        <f t="shared" si="55"/>
        <v>5.33</v>
      </c>
    </row>
    <row r="3582" spans="1:8" x14ac:dyDescent="0.3">
      <c r="A3582" s="400"/>
      <c r="B3582" s="709">
        <v>90086</v>
      </c>
      <c r="C3582" s="710" t="s">
        <v>3508</v>
      </c>
      <c r="D3582" s="709" t="s">
        <v>170</v>
      </c>
      <c r="E3582" s="716">
        <v>9.07</v>
      </c>
      <c r="F3582" s="717">
        <v>0</v>
      </c>
      <c r="G3582">
        <f>VLOOKUP(B3582,'SINAPI-%MO'!B:E,4,0)</f>
        <v>0.31419999999999998</v>
      </c>
      <c r="H3582" s="225">
        <f t="shared" si="55"/>
        <v>6.22</v>
      </c>
    </row>
    <row r="3583" spans="1:8" x14ac:dyDescent="0.3">
      <c r="A3583" s="400"/>
      <c r="B3583" s="709">
        <v>102277</v>
      </c>
      <c r="C3583" s="710" t="s">
        <v>3509</v>
      </c>
      <c r="D3583" s="709" t="s">
        <v>170</v>
      </c>
      <c r="E3583" s="716">
        <v>8.82</v>
      </c>
      <c r="F3583" s="717">
        <v>0</v>
      </c>
      <c r="G3583">
        <f>VLOOKUP(B3583,'SINAPI-%MO'!B:E,4,0)</f>
        <v>0.31519999999999998</v>
      </c>
      <c r="H3583" s="225">
        <f t="shared" si="55"/>
        <v>6.03</v>
      </c>
    </row>
    <row r="3584" spans="1:8" x14ac:dyDescent="0.3">
      <c r="A3584" s="400"/>
      <c r="B3584" s="709">
        <v>102286</v>
      </c>
      <c r="C3584" s="710" t="s">
        <v>3510</v>
      </c>
      <c r="D3584" s="709" t="s">
        <v>170</v>
      </c>
      <c r="E3584" s="716">
        <v>11.53</v>
      </c>
      <c r="F3584" s="717">
        <v>0</v>
      </c>
      <c r="G3584">
        <f>VLOOKUP(B3584,'SINAPI-%MO'!B:E,4,0)</f>
        <v>0.31569999999999998</v>
      </c>
      <c r="H3584" s="225">
        <f t="shared" si="55"/>
        <v>7.88</v>
      </c>
    </row>
    <row r="3585" spans="1:8" x14ac:dyDescent="0.3">
      <c r="A3585" s="400"/>
      <c r="B3585" s="709">
        <v>90098</v>
      </c>
      <c r="C3585" s="710" t="s">
        <v>3511</v>
      </c>
      <c r="D3585" s="709" t="s">
        <v>170</v>
      </c>
      <c r="E3585" s="716">
        <v>5.51</v>
      </c>
      <c r="F3585" s="717">
        <v>0</v>
      </c>
      <c r="G3585">
        <f>VLOOKUP(B3585,'SINAPI-%MO'!B:E,4,0)</f>
        <v>0.27589999999999998</v>
      </c>
      <c r="H3585" s="225">
        <f t="shared" si="55"/>
        <v>3.98</v>
      </c>
    </row>
    <row r="3586" spans="1:8" x14ac:dyDescent="0.3">
      <c r="A3586" s="400"/>
      <c r="B3586" s="709">
        <v>102313</v>
      </c>
      <c r="C3586" s="710" t="s">
        <v>3512</v>
      </c>
      <c r="D3586" s="709" t="s">
        <v>170</v>
      </c>
      <c r="E3586" s="716">
        <v>10.95</v>
      </c>
      <c r="F3586" s="717">
        <v>0</v>
      </c>
      <c r="G3586">
        <f>VLOOKUP(B3586,'SINAPI-%MO'!B:E,4,0)</f>
        <v>0.27489999999999998</v>
      </c>
      <c r="H3586" s="225">
        <f t="shared" si="55"/>
        <v>7.93</v>
      </c>
    </row>
    <row r="3587" spans="1:8" x14ac:dyDescent="0.3">
      <c r="A3587" s="400"/>
      <c r="B3587" s="709">
        <v>102321</v>
      </c>
      <c r="C3587" s="710" t="s">
        <v>3513</v>
      </c>
      <c r="D3587" s="709" t="s">
        <v>170</v>
      </c>
      <c r="E3587" s="716">
        <v>6.88</v>
      </c>
      <c r="F3587" s="717">
        <v>0</v>
      </c>
      <c r="G3587">
        <f>VLOOKUP(B3587,'SINAPI-%MO'!B:E,4,0)</f>
        <v>0.2747</v>
      </c>
      <c r="H3587" s="225">
        <f t="shared" si="55"/>
        <v>4.99</v>
      </c>
    </row>
    <row r="3588" spans="1:8" x14ac:dyDescent="0.3">
      <c r="A3588" s="400"/>
      <c r="B3588" s="709">
        <v>102289</v>
      </c>
      <c r="C3588" s="710" t="s">
        <v>3514</v>
      </c>
      <c r="D3588" s="709" t="s">
        <v>170</v>
      </c>
      <c r="E3588" s="716">
        <v>11.45</v>
      </c>
      <c r="F3588" s="717">
        <v>0</v>
      </c>
      <c r="G3588">
        <f>VLOOKUP(B3588,'SINAPI-%MO'!B:E,4,0)</f>
        <v>0.27600000000000002</v>
      </c>
      <c r="H3588" s="225">
        <f t="shared" si="55"/>
        <v>8.2799999999999994</v>
      </c>
    </row>
    <row r="3589" spans="1:8" x14ac:dyDescent="0.3">
      <c r="A3589" s="400"/>
      <c r="B3589" s="709">
        <v>102297</v>
      </c>
      <c r="C3589" s="710" t="s">
        <v>3515</v>
      </c>
      <c r="D3589" s="709" t="s">
        <v>170</v>
      </c>
      <c r="E3589" s="716">
        <v>7.21</v>
      </c>
      <c r="F3589" s="717">
        <v>0</v>
      </c>
      <c r="G3589">
        <f>VLOOKUP(B3589,'SINAPI-%MO'!B:E,4,0)</f>
        <v>0.27460000000000001</v>
      </c>
      <c r="H3589" s="225">
        <f t="shared" si="55"/>
        <v>5.23</v>
      </c>
    </row>
    <row r="3590" spans="1:8" x14ac:dyDescent="0.3">
      <c r="A3590" s="400"/>
      <c r="B3590" s="709">
        <v>102280</v>
      </c>
      <c r="C3590" s="710" t="s">
        <v>3516</v>
      </c>
      <c r="D3590" s="709" t="s">
        <v>170</v>
      </c>
      <c r="E3590" s="716">
        <v>5.55</v>
      </c>
      <c r="F3590" s="717">
        <v>0</v>
      </c>
      <c r="G3590">
        <f>VLOOKUP(B3590,'SINAPI-%MO'!B:E,4,0)</f>
        <v>0.3135</v>
      </c>
      <c r="H3590" s="225">
        <f t="shared" si="55"/>
        <v>3.81</v>
      </c>
    </row>
    <row r="3591" spans="1:8" x14ac:dyDescent="0.3">
      <c r="A3591" s="400"/>
      <c r="B3591" s="709">
        <v>102294</v>
      </c>
      <c r="C3591" s="710" t="s">
        <v>3517</v>
      </c>
      <c r="D3591" s="709" t="s">
        <v>170</v>
      </c>
      <c r="E3591" s="716">
        <v>7.25</v>
      </c>
      <c r="F3591" s="717">
        <v>0</v>
      </c>
      <c r="G3591">
        <f>VLOOKUP(B3591,'SINAPI-%MO'!B:E,4,0)</f>
        <v>0.3145</v>
      </c>
      <c r="H3591" s="225">
        <f t="shared" si="55"/>
        <v>4.96</v>
      </c>
    </row>
    <row r="3592" spans="1:8" x14ac:dyDescent="0.3">
      <c r="A3592" s="400"/>
      <c r="B3592" s="709">
        <v>90090</v>
      </c>
      <c r="C3592" s="710" t="s">
        <v>3518</v>
      </c>
      <c r="D3592" s="709" t="s">
        <v>170</v>
      </c>
      <c r="E3592" s="716">
        <v>8.75</v>
      </c>
      <c r="F3592" s="717">
        <v>0</v>
      </c>
      <c r="G3592">
        <f>VLOOKUP(B3592,'SINAPI-%MO'!B:E,4,0)</f>
        <v>0.27539999999999998</v>
      </c>
      <c r="H3592" s="225">
        <f t="shared" si="55"/>
        <v>6.34</v>
      </c>
    </row>
    <row r="3593" spans="1:8" x14ac:dyDescent="0.3">
      <c r="A3593" s="400"/>
      <c r="B3593" s="709">
        <v>102317</v>
      </c>
      <c r="C3593" s="710" t="s">
        <v>3519</v>
      </c>
      <c r="D3593" s="709" t="s">
        <v>170</v>
      </c>
      <c r="E3593" s="716">
        <v>7.15</v>
      </c>
      <c r="F3593" s="717">
        <v>0</v>
      </c>
      <c r="G3593">
        <f>VLOOKUP(B3593,'SINAPI-%MO'!B:E,4,0)</f>
        <v>0.31469999999999998</v>
      </c>
      <c r="H3593" s="225">
        <f t="shared" si="55"/>
        <v>4.8899999999999997</v>
      </c>
    </row>
    <row r="3594" spans="1:8" x14ac:dyDescent="0.3">
      <c r="A3594" s="400"/>
      <c r="B3594" s="709">
        <v>102293</v>
      </c>
      <c r="C3594" s="710" t="s">
        <v>3520</v>
      </c>
      <c r="D3594" s="709" t="s">
        <v>170</v>
      </c>
      <c r="E3594" s="716">
        <v>7.47</v>
      </c>
      <c r="F3594" s="717">
        <v>0</v>
      </c>
      <c r="G3594">
        <f>VLOOKUP(B3594,'SINAPI-%MO'!B:E,4,0)</f>
        <v>0.31590000000000001</v>
      </c>
      <c r="H3594" s="225">
        <f t="shared" si="55"/>
        <v>5.1100000000000003</v>
      </c>
    </row>
    <row r="3595" spans="1:8" x14ac:dyDescent="0.3">
      <c r="A3595" s="400"/>
      <c r="B3595" s="709">
        <v>102310</v>
      </c>
      <c r="C3595" s="710" t="s">
        <v>3521</v>
      </c>
      <c r="D3595" s="709" t="s">
        <v>170</v>
      </c>
      <c r="E3595" s="716">
        <v>11.02</v>
      </c>
      <c r="F3595" s="717">
        <v>0</v>
      </c>
      <c r="G3595">
        <f>VLOOKUP(B3595,'SINAPI-%MO'!B:E,4,0)</f>
        <v>0.31580000000000003</v>
      </c>
      <c r="H3595" s="225">
        <f t="shared" ref="H3595:H3658" si="56">IF(E3595&gt;0,TRUNC(E3595*(1-G3595),2),"")</f>
        <v>7.53</v>
      </c>
    </row>
    <row r="3596" spans="1:8" x14ac:dyDescent="0.3">
      <c r="A3596" s="400"/>
      <c r="B3596" s="709">
        <v>102318</v>
      </c>
      <c r="C3596" s="710" t="s">
        <v>3522</v>
      </c>
      <c r="D3596" s="709" t="s">
        <v>170</v>
      </c>
      <c r="E3596" s="716">
        <v>6.93</v>
      </c>
      <c r="F3596" s="717">
        <v>0</v>
      </c>
      <c r="G3596">
        <f>VLOOKUP(B3596,'SINAPI-%MO'!B:E,4,0)</f>
        <v>0.31459999999999999</v>
      </c>
      <c r="H3596" s="225">
        <f t="shared" si="56"/>
        <v>4.74</v>
      </c>
    </row>
    <row r="3597" spans="1:8" x14ac:dyDescent="0.3">
      <c r="A3597" s="400"/>
      <c r="B3597" s="709">
        <v>90106</v>
      </c>
      <c r="C3597" s="710" t="s">
        <v>268</v>
      </c>
      <c r="D3597" s="709" t="s">
        <v>170</v>
      </c>
      <c r="E3597" s="716">
        <v>8.68</v>
      </c>
      <c r="F3597" s="717">
        <v>0</v>
      </c>
      <c r="G3597">
        <f>VLOOKUP(B3597,'SINAPI-%MO'!B:E,4,0)</f>
        <v>0.44590000000000002</v>
      </c>
      <c r="H3597" s="225">
        <f t="shared" si="56"/>
        <v>4.8</v>
      </c>
    </row>
    <row r="3598" spans="1:8" x14ac:dyDescent="0.3">
      <c r="A3598" s="400"/>
      <c r="B3598" s="709">
        <v>90105</v>
      </c>
      <c r="C3598" s="710" t="s">
        <v>3523</v>
      </c>
      <c r="D3598" s="709" t="s">
        <v>170</v>
      </c>
      <c r="E3598" s="716">
        <v>9.5399999999999991</v>
      </c>
      <c r="F3598" s="717">
        <v>0</v>
      </c>
      <c r="G3598">
        <f>VLOOKUP(B3598,'SINAPI-%MO'!B:E,4,0)</f>
        <v>0.45390000000000003</v>
      </c>
      <c r="H3598" s="225">
        <f t="shared" si="56"/>
        <v>5.2</v>
      </c>
    </row>
    <row r="3599" spans="1:8" x14ac:dyDescent="0.3">
      <c r="A3599" s="400"/>
      <c r="B3599" s="709">
        <v>90108</v>
      </c>
      <c r="C3599" s="710" t="s">
        <v>3524</v>
      </c>
      <c r="D3599" s="709" t="s">
        <v>170</v>
      </c>
      <c r="E3599" s="716">
        <v>7.85</v>
      </c>
      <c r="F3599" s="717">
        <v>0</v>
      </c>
      <c r="G3599">
        <f>VLOOKUP(B3599,'SINAPI-%MO'!B:E,4,0)</f>
        <v>0.44590000000000002</v>
      </c>
      <c r="H3599" s="225">
        <f t="shared" si="56"/>
        <v>4.34</v>
      </c>
    </row>
    <row r="3600" spans="1:8" x14ac:dyDescent="0.3">
      <c r="A3600" s="400"/>
      <c r="B3600" s="709">
        <v>90107</v>
      </c>
      <c r="C3600" s="710" t="s">
        <v>3525</v>
      </c>
      <c r="D3600" s="709" t="s">
        <v>170</v>
      </c>
      <c r="E3600" s="716">
        <v>8.57</v>
      </c>
      <c r="F3600" s="717">
        <v>0</v>
      </c>
      <c r="G3600">
        <f>VLOOKUP(B3600,'SINAPI-%MO'!B:E,4,0)</f>
        <v>0.44569999999999999</v>
      </c>
      <c r="H3600" s="225">
        <f t="shared" si="56"/>
        <v>4.75</v>
      </c>
    </row>
    <row r="3601" spans="1:8" x14ac:dyDescent="0.3">
      <c r="A3601" s="400"/>
      <c r="B3601" s="709">
        <v>102354</v>
      </c>
      <c r="C3601" s="710" t="s">
        <v>3526</v>
      </c>
      <c r="D3601" s="709" t="s">
        <v>170</v>
      </c>
      <c r="E3601" s="716">
        <v>172.15</v>
      </c>
      <c r="F3601" s="717">
        <v>0.14860000000000001</v>
      </c>
      <c r="G3601">
        <f>VLOOKUP(B3601,'SINAPI-%MO'!B:E,4,0)</f>
        <v>0.4425</v>
      </c>
      <c r="H3601" s="225">
        <f t="shared" si="56"/>
        <v>95.97</v>
      </c>
    </row>
    <row r="3602" spans="1:8" x14ac:dyDescent="0.3">
      <c r="A3602" s="400"/>
      <c r="B3602" s="709">
        <v>102355</v>
      </c>
      <c r="C3602" s="710" t="s">
        <v>3527</v>
      </c>
      <c r="D3602" s="709" t="s">
        <v>170</v>
      </c>
      <c r="E3602" s="716">
        <v>203.74</v>
      </c>
      <c r="F3602" s="717">
        <v>0.15310000000000001</v>
      </c>
      <c r="G3602">
        <f>VLOOKUP(B3602,'SINAPI-%MO'!B:E,4,0)</f>
        <v>0.49909999999999999</v>
      </c>
      <c r="H3602" s="225">
        <f t="shared" si="56"/>
        <v>102.05</v>
      </c>
    </row>
    <row r="3603" spans="1:8" x14ac:dyDescent="0.3">
      <c r="A3603" s="400"/>
      <c r="B3603" s="709">
        <v>102356</v>
      </c>
      <c r="C3603" s="710" t="s">
        <v>3528</v>
      </c>
      <c r="D3603" s="709" t="s">
        <v>170</v>
      </c>
      <c r="E3603" s="716">
        <v>0</v>
      </c>
      <c r="F3603" s="717"/>
      <c r="G3603" t="e">
        <f>VLOOKUP(B3603,'SINAPI-%MO'!B:E,4,0)</f>
        <v>#N/A</v>
      </c>
      <c r="H3603" s="225" t="str">
        <f t="shared" si="56"/>
        <v/>
      </c>
    </row>
    <row r="3604" spans="1:8" x14ac:dyDescent="0.3">
      <c r="A3604" s="400"/>
      <c r="B3604" s="709">
        <v>102357</v>
      </c>
      <c r="C3604" s="710" t="s">
        <v>3529</v>
      </c>
      <c r="D3604" s="709" t="s">
        <v>170</v>
      </c>
      <c r="E3604" s="716">
        <v>0</v>
      </c>
      <c r="F3604" s="717"/>
      <c r="G3604" t="e">
        <f>VLOOKUP(B3604,'SINAPI-%MO'!B:E,4,0)</f>
        <v>#N/A</v>
      </c>
      <c r="H3604" s="225" t="str">
        <f t="shared" si="56"/>
        <v/>
      </c>
    </row>
    <row r="3605" spans="1:8" x14ac:dyDescent="0.3">
      <c r="A3605" s="400"/>
      <c r="B3605" s="709">
        <v>102358</v>
      </c>
      <c r="C3605" s="710" t="s">
        <v>3530</v>
      </c>
      <c r="D3605" s="709" t="s">
        <v>170</v>
      </c>
      <c r="E3605" s="716">
        <v>0</v>
      </c>
      <c r="F3605" s="717"/>
      <c r="G3605" t="e">
        <f>VLOOKUP(B3605,'SINAPI-%MO'!B:E,4,0)</f>
        <v>#N/A</v>
      </c>
      <c r="H3605" s="225" t="str">
        <f t="shared" si="56"/>
        <v/>
      </c>
    </row>
    <row r="3606" spans="1:8" x14ac:dyDescent="0.3">
      <c r="A3606" s="400"/>
      <c r="B3606" s="709">
        <v>102359</v>
      </c>
      <c r="C3606" s="710" t="s">
        <v>3531</v>
      </c>
      <c r="D3606" s="709" t="s">
        <v>170</v>
      </c>
      <c r="E3606" s="716">
        <v>0</v>
      </c>
      <c r="F3606" s="717"/>
      <c r="G3606" t="e">
        <f>VLOOKUP(B3606,'SINAPI-%MO'!B:E,4,0)</f>
        <v>#N/A</v>
      </c>
      <c r="H3606" s="225" t="str">
        <f t="shared" si="56"/>
        <v/>
      </c>
    </row>
    <row r="3607" spans="1:8" x14ac:dyDescent="0.3">
      <c r="A3607" s="400"/>
      <c r="B3607" s="709">
        <v>102348</v>
      </c>
      <c r="C3607" s="710" t="s">
        <v>3532</v>
      </c>
      <c r="D3607" s="709" t="s">
        <v>170</v>
      </c>
      <c r="E3607" s="716">
        <v>0</v>
      </c>
      <c r="F3607" s="717"/>
      <c r="G3607" t="e">
        <f>VLOOKUP(B3607,'SINAPI-%MO'!B:E,4,0)</f>
        <v>#N/A</v>
      </c>
      <c r="H3607" s="225" t="str">
        <f t="shared" si="56"/>
        <v/>
      </c>
    </row>
    <row r="3608" spans="1:8" x14ac:dyDescent="0.3">
      <c r="A3608" s="400"/>
      <c r="B3608" s="709">
        <v>102346</v>
      </c>
      <c r="C3608" s="710" t="s">
        <v>3533</v>
      </c>
      <c r="D3608" s="709" t="s">
        <v>170</v>
      </c>
      <c r="E3608" s="716">
        <v>0</v>
      </c>
      <c r="F3608" s="717"/>
      <c r="G3608" t="e">
        <f>VLOOKUP(B3608,'SINAPI-%MO'!B:E,4,0)</f>
        <v>#N/A</v>
      </c>
      <c r="H3608" s="225" t="str">
        <f t="shared" si="56"/>
        <v/>
      </c>
    </row>
    <row r="3609" spans="1:8" x14ac:dyDescent="0.3">
      <c r="A3609" s="400"/>
      <c r="B3609" s="709">
        <v>102347</v>
      </c>
      <c r="C3609" s="710" t="s">
        <v>3534</v>
      </c>
      <c r="D3609" s="709" t="s">
        <v>170</v>
      </c>
      <c r="E3609" s="716">
        <v>0</v>
      </c>
      <c r="F3609" s="717"/>
      <c r="G3609" t="e">
        <f>VLOOKUP(B3609,'SINAPI-%MO'!B:E,4,0)</f>
        <v>#N/A</v>
      </c>
      <c r="H3609" s="225" t="str">
        <f t="shared" si="56"/>
        <v/>
      </c>
    </row>
    <row r="3610" spans="1:8" x14ac:dyDescent="0.3">
      <c r="A3610" s="400"/>
      <c r="B3610" s="709">
        <v>102350</v>
      </c>
      <c r="C3610" s="710" t="s">
        <v>3535</v>
      </c>
      <c r="D3610" s="709" t="s">
        <v>170</v>
      </c>
      <c r="E3610" s="716">
        <v>0</v>
      </c>
      <c r="F3610" s="717"/>
      <c r="G3610" t="e">
        <f>VLOOKUP(B3610,'SINAPI-%MO'!B:E,4,0)</f>
        <v>#N/A</v>
      </c>
      <c r="H3610" s="225" t="str">
        <f t="shared" si="56"/>
        <v/>
      </c>
    </row>
    <row r="3611" spans="1:8" x14ac:dyDescent="0.3">
      <c r="A3611" s="400"/>
      <c r="B3611" s="709">
        <v>102351</v>
      </c>
      <c r="C3611" s="710" t="s">
        <v>3536</v>
      </c>
      <c r="D3611" s="709" t="s">
        <v>170</v>
      </c>
      <c r="E3611" s="716">
        <v>0</v>
      </c>
      <c r="F3611" s="717"/>
      <c r="G3611" t="e">
        <f>VLOOKUP(B3611,'SINAPI-%MO'!B:E,4,0)</f>
        <v>#N/A</v>
      </c>
      <c r="H3611" s="225" t="str">
        <f t="shared" si="56"/>
        <v/>
      </c>
    </row>
    <row r="3612" spans="1:8" x14ac:dyDescent="0.3">
      <c r="A3612" s="400"/>
      <c r="B3612" s="709">
        <v>102352</v>
      </c>
      <c r="C3612" s="710" t="s">
        <v>3537</v>
      </c>
      <c r="D3612" s="709" t="s">
        <v>170</v>
      </c>
      <c r="E3612" s="716">
        <v>0</v>
      </c>
      <c r="F3612" s="717"/>
      <c r="G3612" t="e">
        <f>VLOOKUP(B3612,'SINAPI-%MO'!B:E,4,0)</f>
        <v>#N/A</v>
      </c>
      <c r="H3612" s="225" t="str">
        <f t="shared" si="56"/>
        <v/>
      </c>
    </row>
    <row r="3613" spans="1:8" x14ac:dyDescent="0.3">
      <c r="A3613" s="400"/>
      <c r="B3613" s="709">
        <v>102353</v>
      </c>
      <c r="C3613" s="710" t="s">
        <v>3538</v>
      </c>
      <c r="D3613" s="709" t="s">
        <v>170</v>
      </c>
      <c r="E3613" s="716">
        <v>0</v>
      </c>
      <c r="F3613" s="717"/>
      <c r="G3613" t="e">
        <f>VLOOKUP(B3613,'SINAPI-%MO'!B:E,4,0)</f>
        <v>#N/A</v>
      </c>
      <c r="H3613" s="225" t="str">
        <f t="shared" si="56"/>
        <v/>
      </c>
    </row>
    <row r="3614" spans="1:8" x14ac:dyDescent="0.3">
      <c r="A3614" s="400"/>
      <c r="B3614" s="709">
        <v>102349</v>
      </c>
      <c r="C3614" s="710" t="s">
        <v>3539</v>
      </c>
      <c r="D3614" s="709" t="s">
        <v>170</v>
      </c>
      <c r="E3614" s="716">
        <v>0</v>
      </c>
      <c r="F3614" s="717"/>
      <c r="G3614" t="e">
        <f>VLOOKUP(B3614,'SINAPI-%MO'!B:E,4,0)</f>
        <v>#N/A</v>
      </c>
      <c r="H3614" s="225" t="str">
        <f t="shared" si="56"/>
        <v/>
      </c>
    </row>
    <row r="3615" spans="1:8" x14ac:dyDescent="0.3">
      <c r="A3615" s="400"/>
      <c r="B3615" s="709">
        <v>102360</v>
      </c>
      <c r="C3615" s="710" t="s">
        <v>3540</v>
      </c>
      <c r="D3615" s="709" t="s">
        <v>170</v>
      </c>
      <c r="E3615" s="716">
        <v>25.02</v>
      </c>
      <c r="F3615" s="717">
        <v>0</v>
      </c>
      <c r="G3615">
        <f>VLOOKUP(B3615,'SINAPI-%MO'!B:E,4,0)</f>
        <v>0.32329999999999998</v>
      </c>
      <c r="H3615" s="225">
        <f t="shared" si="56"/>
        <v>16.93</v>
      </c>
    </row>
    <row r="3616" spans="1:8" x14ac:dyDescent="0.3">
      <c r="A3616" s="400"/>
      <c r="B3616" s="709">
        <v>102361</v>
      </c>
      <c r="C3616" s="710" t="s">
        <v>3541</v>
      </c>
      <c r="D3616" s="709" t="s">
        <v>170</v>
      </c>
      <c r="E3616" s="716">
        <v>38.450000000000003</v>
      </c>
      <c r="F3616" s="717">
        <v>0</v>
      </c>
      <c r="G3616">
        <f>VLOOKUP(B3616,'SINAPI-%MO'!B:E,4,0)</f>
        <v>0.44840000000000002</v>
      </c>
      <c r="H3616" s="225">
        <f t="shared" si="56"/>
        <v>21.2</v>
      </c>
    </row>
    <row r="3617" spans="1:8" x14ac:dyDescent="0.3">
      <c r="A3617" s="400"/>
      <c r="B3617" s="709">
        <v>101595</v>
      </c>
      <c r="C3617" s="710" t="s">
        <v>15017</v>
      </c>
      <c r="D3617" s="709" t="s">
        <v>168</v>
      </c>
      <c r="E3617" s="716">
        <v>0</v>
      </c>
      <c r="F3617" s="717"/>
      <c r="G3617" t="e">
        <f>VLOOKUP(B3617,'SINAPI-%MO'!B:E,4,0)</f>
        <v>#N/A</v>
      </c>
      <c r="H3617" s="225" t="str">
        <f t="shared" si="56"/>
        <v/>
      </c>
    </row>
    <row r="3618" spans="1:8" x14ac:dyDescent="0.3">
      <c r="A3618" s="400"/>
      <c r="B3618" s="709">
        <v>101601</v>
      </c>
      <c r="C3618" s="710" t="s">
        <v>13403</v>
      </c>
      <c r="D3618" s="709" t="s">
        <v>168</v>
      </c>
      <c r="E3618" s="716">
        <v>24.43</v>
      </c>
      <c r="F3618" s="717">
        <v>0</v>
      </c>
      <c r="G3618">
        <f>VLOOKUP(B3618,'SINAPI-%MO'!B:E,4,0)</f>
        <v>0.52480000000000004</v>
      </c>
      <c r="H3618" s="225">
        <f t="shared" si="56"/>
        <v>11.6</v>
      </c>
    </row>
    <row r="3619" spans="1:8" x14ac:dyDescent="0.3">
      <c r="A3619" s="400"/>
      <c r="B3619" s="709">
        <v>101594</v>
      </c>
      <c r="C3619" s="710" t="s">
        <v>15018</v>
      </c>
      <c r="D3619" s="709" t="s">
        <v>168</v>
      </c>
      <c r="E3619" s="716">
        <v>0</v>
      </c>
      <c r="F3619" s="717"/>
      <c r="G3619" t="e">
        <f>VLOOKUP(B3619,'SINAPI-%MO'!B:E,4,0)</f>
        <v>#N/A</v>
      </c>
      <c r="H3619" s="225" t="str">
        <f t="shared" si="56"/>
        <v/>
      </c>
    </row>
    <row r="3620" spans="1:8" x14ac:dyDescent="0.3">
      <c r="A3620" s="400"/>
      <c r="B3620" s="709">
        <v>101600</v>
      </c>
      <c r="C3620" s="710" t="s">
        <v>13404</v>
      </c>
      <c r="D3620" s="709" t="s">
        <v>168</v>
      </c>
      <c r="E3620" s="716">
        <v>17.23</v>
      </c>
      <c r="F3620" s="717">
        <v>0</v>
      </c>
      <c r="G3620">
        <f>VLOOKUP(B3620,'SINAPI-%MO'!B:E,4,0)</f>
        <v>0.52470000000000006</v>
      </c>
      <c r="H3620" s="225">
        <f t="shared" si="56"/>
        <v>8.18</v>
      </c>
    </row>
    <row r="3621" spans="1:8" x14ac:dyDescent="0.3">
      <c r="A3621" s="400"/>
      <c r="B3621" s="709">
        <v>101597</v>
      </c>
      <c r="C3621" s="710" t="s">
        <v>15019</v>
      </c>
      <c r="D3621" s="709" t="s">
        <v>168</v>
      </c>
      <c r="E3621" s="716">
        <v>0</v>
      </c>
      <c r="F3621" s="717"/>
      <c r="G3621" t="e">
        <f>VLOOKUP(B3621,'SINAPI-%MO'!B:E,4,0)</f>
        <v>#N/A</v>
      </c>
      <c r="H3621" s="225" t="str">
        <f t="shared" si="56"/>
        <v/>
      </c>
    </row>
    <row r="3622" spans="1:8" x14ac:dyDescent="0.3">
      <c r="A3622" s="400"/>
      <c r="B3622" s="709">
        <v>101603</v>
      </c>
      <c r="C3622" s="710" t="s">
        <v>13405</v>
      </c>
      <c r="D3622" s="709" t="s">
        <v>168</v>
      </c>
      <c r="E3622" s="716">
        <v>20.39</v>
      </c>
      <c r="F3622" s="717">
        <v>0</v>
      </c>
      <c r="G3622">
        <f>VLOOKUP(B3622,'SINAPI-%MO'!B:E,4,0)</f>
        <v>0.52480000000000004</v>
      </c>
      <c r="H3622" s="225">
        <f t="shared" si="56"/>
        <v>9.68</v>
      </c>
    </row>
    <row r="3623" spans="1:8" x14ac:dyDescent="0.3">
      <c r="A3623" s="400"/>
      <c r="B3623" s="709">
        <v>101596</v>
      </c>
      <c r="C3623" s="710" t="s">
        <v>15020</v>
      </c>
      <c r="D3623" s="709" t="s">
        <v>168</v>
      </c>
      <c r="E3623" s="716">
        <v>0</v>
      </c>
      <c r="F3623" s="717"/>
      <c r="G3623" t="e">
        <f>VLOOKUP(B3623,'SINAPI-%MO'!B:E,4,0)</f>
        <v>#N/A</v>
      </c>
      <c r="H3623" s="225" t="str">
        <f t="shared" si="56"/>
        <v/>
      </c>
    </row>
    <row r="3624" spans="1:8" x14ac:dyDescent="0.3">
      <c r="A3624" s="400"/>
      <c r="B3624" s="709">
        <v>101602</v>
      </c>
      <c r="C3624" s="710" t="s">
        <v>13406</v>
      </c>
      <c r="D3624" s="709" t="s">
        <v>168</v>
      </c>
      <c r="E3624" s="716">
        <v>13.19</v>
      </c>
      <c r="F3624" s="717">
        <v>0</v>
      </c>
      <c r="G3624">
        <f>VLOOKUP(B3624,'SINAPI-%MO'!B:E,4,0)</f>
        <v>0.52459999999999996</v>
      </c>
      <c r="H3624" s="225">
        <f t="shared" si="56"/>
        <v>6.27</v>
      </c>
    </row>
    <row r="3625" spans="1:8" x14ac:dyDescent="0.3">
      <c r="A3625" s="400"/>
      <c r="B3625" s="709">
        <v>101599</v>
      </c>
      <c r="C3625" s="710" t="s">
        <v>15021</v>
      </c>
      <c r="D3625" s="709" t="s">
        <v>168</v>
      </c>
      <c r="E3625" s="716">
        <v>0</v>
      </c>
      <c r="F3625" s="717"/>
      <c r="G3625" t="e">
        <f>VLOOKUP(B3625,'SINAPI-%MO'!B:E,4,0)</f>
        <v>#N/A</v>
      </c>
      <c r="H3625" s="225" t="str">
        <f t="shared" si="56"/>
        <v/>
      </c>
    </row>
    <row r="3626" spans="1:8" x14ac:dyDescent="0.3">
      <c r="A3626" s="400"/>
      <c r="B3626" s="709">
        <v>101605</v>
      </c>
      <c r="C3626" s="710" t="s">
        <v>13407</v>
      </c>
      <c r="D3626" s="709" t="s">
        <v>168</v>
      </c>
      <c r="E3626" s="716">
        <v>16.37</v>
      </c>
      <c r="F3626" s="717">
        <v>0</v>
      </c>
      <c r="G3626">
        <f>VLOOKUP(B3626,'SINAPI-%MO'!B:E,4,0)</f>
        <v>0.52410000000000001</v>
      </c>
      <c r="H3626" s="225">
        <f t="shared" si="56"/>
        <v>7.79</v>
      </c>
    </row>
    <row r="3627" spans="1:8" x14ac:dyDescent="0.3">
      <c r="A3627" s="400"/>
      <c r="B3627" s="709">
        <v>101598</v>
      </c>
      <c r="C3627" s="710" t="s">
        <v>15022</v>
      </c>
      <c r="D3627" s="709" t="s">
        <v>168</v>
      </c>
      <c r="E3627" s="716">
        <v>0</v>
      </c>
      <c r="F3627" s="717"/>
      <c r="G3627" t="e">
        <f>VLOOKUP(B3627,'SINAPI-%MO'!B:E,4,0)</f>
        <v>#N/A</v>
      </c>
      <c r="H3627" s="225" t="str">
        <f t="shared" si="56"/>
        <v/>
      </c>
    </row>
    <row r="3628" spans="1:8" x14ac:dyDescent="0.3">
      <c r="A3628" s="400"/>
      <c r="B3628" s="709">
        <v>101604</v>
      </c>
      <c r="C3628" s="710" t="s">
        <v>13408</v>
      </c>
      <c r="D3628" s="709" t="s">
        <v>168</v>
      </c>
      <c r="E3628" s="716">
        <v>9.17</v>
      </c>
      <c r="F3628" s="717">
        <v>0</v>
      </c>
      <c r="G3628">
        <f>VLOOKUP(B3628,'SINAPI-%MO'!B:E,4,0)</f>
        <v>0.52449999999999997</v>
      </c>
      <c r="H3628" s="225">
        <f t="shared" si="56"/>
        <v>4.3600000000000003</v>
      </c>
    </row>
    <row r="3629" spans="1:8" x14ac:dyDescent="0.3">
      <c r="A3629" s="400"/>
      <c r="B3629" s="709">
        <v>101588</v>
      </c>
      <c r="C3629" s="710" t="s">
        <v>13409</v>
      </c>
      <c r="D3629" s="709" t="s">
        <v>168</v>
      </c>
      <c r="E3629" s="716">
        <v>110.79</v>
      </c>
      <c r="F3629" s="717">
        <v>0</v>
      </c>
      <c r="G3629">
        <f>VLOOKUP(B3629,'SINAPI-%MO'!B:E,4,0)</f>
        <v>0.4945</v>
      </c>
      <c r="H3629" s="225">
        <f t="shared" si="56"/>
        <v>56</v>
      </c>
    </row>
    <row r="3630" spans="1:8" x14ac:dyDescent="0.3">
      <c r="A3630" s="400"/>
      <c r="B3630" s="709">
        <v>101591</v>
      </c>
      <c r="C3630" s="710" t="s">
        <v>13410</v>
      </c>
      <c r="D3630" s="709" t="s">
        <v>168</v>
      </c>
      <c r="E3630" s="716">
        <v>130.83000000000001</v>
      </c>
      <c r="F3630" s="717">
        <v>0</v>
      </c>
      <c r="G3630">
        <f>VLOOKUP(B3630,'SINAPI-%MO'!B:E,4,0)</f>
        <v>0.49580000000000002</v>
      </c>
      <c r="H3630" s="225">
        <f t="shared" si="56"/>
        <v>65.959999999999994</v>
      </c>
    </row>
    <row r="3631" spans="1:8" x14ac:dyDescent="0.3">
      <c r="A3631" s="400"/>
      <c r="B3631" s="709">
        <v>101590</v>
      </c>
      <c r="C3631" s="710" t="s">
        <v>13411</v>
      </c>
      <c r="D3631" s="709" t="s">
        <v>168</v>
      </c>
      <c r="E3631" s="716">
        <v>86.35</v>
      </c>
      <c r="F3631" s="717">
        <v>0</v>
      </c>
      <c r="G3631">
        <f>VLOOKUP(B3631,'SINAPI-%MO'!B:E,4,0)</f>
        <v>0.48599999999999999</v>
      </c>
      <c r="H3631" s="225">
        <f t="shared" si="56"/>
        <v>44.38</v>
      </c>
    </row>
    <row r="3632" spans="1:8" x14ac:dyDescent="0.3">
      <c r="A3632" s="400"/>
      <c r="B3632" s="709">
        <v>101593</v>
      </c>
      <c r="C3632" s="710" t="s">
        <v>13412</v>
      </c>
      <c r="D3632" s="709" t="s">
        <v>168</v>
      </c>
      <c r="E3632" s="716">
        <v>108.81</v>
      </c>
      <c r="F3632" s="717">
        <v>0</v>
      </c>
      <c r="G3632">
        <f>VLOOKUP(B3632,'SINAPI-%MO'!B:E,4,0)</f>
        <v>0.4783</v>
      </c>
      <c r="H3632" s="225">
        <f t="shared" si="56"/>
        <v>56.76</v>
      </c>
    </row>
    <row r="3633" spans="1:8" x14ac:dyDescent="0.3">
      <c r="A3633" s="400"/>
      <c r="B3633" s="709">
        <v>101592</v>
      </c>
      <c r="C3633" s="710" t="s">
        <v>13413</v>
      </c>
      <c r="D3633" s="709" t="s">
        <v>168</v>
      </c>
      <c r="E3633" s="716">
        <v>64.040000000000006</v>
      </c>
      <c r="F3633" s="717">
        <v>0</v>
      </c>
      <c r="G3633">
        <f>VLOOKUP(B3633,'SINAPI-%MO'!B:E,4,0)</f>
        <v>0.45529999999999998</v>
      </c>
      <c r="H3633" s="225">
        <f t="shared" si="56"/>
        <v>34.880000000000003</v>
      </c>
    </row>
    <row r="3634" spans="1:8" x14ac:dyDescent="0.3">
      <c r="A3634" s="400"/>
      <c r="B3634" s="709">
        <v>101583</v>
      </c>
      <c r="C3634" s="710" t="s">
        <v>13414</v>
      </c>
      <c r="D3634" s="709" t="s">
        <v>168</v>
      </c>
      <c r="E3634" s="716">
        <v>90.68</v>
      </c>
      <c r="F3634" s="717">
        <v>0</v>
      </c>
      <c r="G3634">
        <f>VLOOKUP(B3634,'SINAPI-%MO'!B:E,4,0)</f>
        <v>0.6119</v>
      </c>
      <c r="H3634" s="225">
        <f t="shared" si="56"/>
        <v>35.19</v>
      </c>
    </row>
    <row r="3635" spans="1:8" x14ac:dyDescent="0.3">
      <c r="A3635" s="400"/>
      <c r="B3635" s="709">
        <v>101582</v>
      </c>
      <c r="C3635" s="710" t="s">
        <v>13415</v>
      </c>
      <c r="D3635" s="709" t="s">
        <v>168</v>
      </c>
      <c r="E3635" s="716">
        <v>73.45</v>
      </c>
      <c r="F3635" s="717">
        <v>0</v>
      </c>
      <c r="G3635">
        <f>VLOOKUP(B3635,'SINAPI-%MO'!B:E,4,0)</f>
        <v>0.53290000000000004</v>
      </c>
      <c r="H3635" s="225">
        <f t="shared" si="56"/>
        <v>34.299999999999997</v>
      </c>
    </row>
    <row r="3636" spans="1:8" x14ac:dyDescent="0.3">
      <c r="A3636" s="400"/>
      <c r="B3636" s="709">
        <v>101585</v>
      </c>
      <c r="C3636" s="710" t="s">
        <v>13416</v>
      </c>
      <c r="D3636" s="709" t="s">
        <v>168</v>
      </c>
      <c r="E3636" s="716">
        <v>78.08</v>
      </c>
      <c r="F3636" s="717">
        <v>0</v>
      </c>
      <c r="G3636">
        <f>VLOOKUP(B3636,'SINAPI-%MO'!B:E,4,0)</f>
        <v>0.59340000000000004</v>
      </c>
      <c r="H3636" s="225">
        <f t="shared" si="56"/>
        <v>31.74</v>
      </c>
    </row>
    <row r="3637" spans="1:8" x14ac:dyDescent="0.3">
      <c r="A3637" s="400"/>
      <c r="B3637" s="709">
        <v>101584</v>
      </c>
      <c r="C3637" s="710" t="s">
        <v>13417</v>
      </c>
      <c r="D3637" s="709" t="s">
        <v>168</v>
      </c>
      <c r="E3637" s="716">
        <v>60.85</v>
      </c>
      <c r="F3637" s="717">
        <v>0</v>
      </c>
      <c r="G3637">
        <f>VLOOKUP(B3637,'SINAPI-%MO'!B:E,4,0)</f>
        <v>0.49270000000000003</v>
      </c>
      <c r="H3637" s="225">
        <f t="shared" si="56"/>
        <v>30.86</v>
      </c>
    </row>
    <row r="3638" spans="1:8" x14ac:dyDescent="0.3">
      <c r="A3638" s="400"/>
      <c r="B3638" s="709">
        <v>101587</v>
      </c>
      <c r="C3638" s="710" t="s">
        <v>13418</v>
      </c>
      <c r="D3638" s="709" t="s">
        <v>168</v>
      </c>
      <c r="E3638" s="716">
        <v>70.33</v>
      </c>
      <c r="F3638" s="717">
        <v>0</v>
      </c>
      <c r="G3638">
        <f>VLOOKUP(B3638,'SINAPI-%MO'!B:E,4,0)</f>
        <v>0.52869999999999995</v>
      </c>
      <c r="H3638" s="225">
        <f t="shared" si="56"/>
        <v>33.14</v>
      </c>
    </row>
    <row r="3639" spans="1:8" x14ac:dyDescent="0.3">
      <c r="A3639" s="400"/>
      <c r="B3639" s="709">
        <v>101586</v>
      </c>
      <c r="C3639" s="710" t="s">
        <v>13419</v>
      </c>
      <c r="D3639" s="709" t="s">
        <v>168</v>
      </c>
      <c r="E3639" s="716">
        <v>52.79</v>
      </c>
      <c r="F3639" s="717">
        <v>0</v>
      </c>
      <c r="G3639">
        <f>VLOOKUP(B3639,'SINAPI-%MO'!B:E,4,0)</f>
        <v>0.39439999999999997</v>
      </c>
      <c r="H3639" s="225">
        <f t="shared" si="56"/>
        <v>31.96</v>
      </c>
    </row>
    <row r="3640" spans="1:8" x14ac:dyDescent="0.3">
      <c r="A3640" s="400"/>
      <c r="B3640" s="709">
        <v>101577</v>
      </c>
      <c r="C3640" s="710" t="s">
        <v>13420</v>
      </c>
      <c r="D3640" s="709" t="s">
        <v>168</v>
      </c>
      <c r="E3640" s="716">
        <v>56.24</v>
      </c>
      <c r="F3640" s="717">
        <v>0</v>
      </c>
      <c r="G3640">
        <f>VLOOKUP(B3640,'SINAPI-%MO'!B:E,4,0)</f>
        <v>0.62319999999999998</v>
      </c>
      <c r="H3640" s="225">
        <f t="shared" si="56"/>
        <v>21.19</v>
      </c>
    </row>
    <row r="3641" spans="1:8" x14ac:dyDescent="0.3">
      <c r="A3641" s="400"/>
      <c r="B3641" s="709">
        <v>101576</v>
      </c>
      <c r="C3641" s="710" t="s">
        <v>13421</v>
      </c>
      <c r="D3641" s="709" t="s">
        <v>168</v>
      </c>
      <c r="E3641" s="716">
        <v>45.03</v>
      </c>
      <c r="F3641" s="717">
        <v>0</v>
      </c>
      <c r="G3641">
        <f>VLOOKUP(B3641,'SINAPI-%MO'!B:E,4,0)</f>
        <v>0.54900000000000004</v>
      </c>
      <c r="H3641" s="225">
        <f t="shared" si="56"/>
        <v>20.3</v>
      </c>
    </row>
    <row r="3642" spans="1:8" x14ac:dyDescent="0.3">
      <c r="A3642" s="400"/>
      <c r="B3642" s="709">
        <v>101579</v>
      </c>
      <c r="C3642" s="710" t="s">
        <v>13422</v>
      </c>
      <c r="D3642" s="709" t="s">
        <v>168</v>
      </c>
      <c r="E3642" s="716">
        <v>48.73</v>
      </c>
      <c r="F3642" s="717">
        <v>0</v>
      </c>
      <c r="G3642">
        <f>VLOOKUP(B3642,'SINAPI-%MO'!B:E,4,0)</f>
        <v>0.60050000000000003</v>
      </c>
      <c r="H3642" s="225">
        <f t="shared" si="56"/>
        <v>19.46</v>
      </c>
    </row>
    <row r="3643" spans="1:8" x14ac:dyDescent="0.3">
      <c r="A3643" s="400"/>
      <c r="B3643" s="709">
        <v>101578</v>
      </c>
      <c r="C3643" s="710" t="s">
        <v>13423</v>
      </c>
      <c r="D3643" s="709" t="s">
        <v>168</v>
      </c>
      <c r="E3643" s="716">
        <v>37.53</v>
      </c>
      <c r="F3643" s="717">
        <v>0</v>
      </c>
      <c r="G3643">
        <f>VLOOKUP(B3643,'SINAPI-%MO'!B:E,4,0)</f>
        <v>0.50470000000000004</v>
      </c>
      <c r="H3643" s="225">
        <f t="shared" si="56"/>
        <v>18.579999999999998</v>
      </c>
    </row>
    <row r="3644" spans="1:8" x14ac:dyDescent="0.3">
      <c r="A3644" s="400"/>
      <c r="B3644" s="709">
        <v>101581</v>
      </c>
      <c r="C3644" s="710" t="s">
        <v>13424</v>
      </c>
      <c r="D3644" s="709" t="s">
        <v>168</v>
      </c>
      <c r="E3644" s="716">
        <v>44.84</v>
      </c>
      <c r="F3644" s="717">
        <v>0</v>
      </c>
      <c r="G3644">
        <f>VLOOKUP(B3644,'SINAPI-%MO'!B:E,4,0)</f>
        <v>0.52359999999999995</v>
      </c>
      <c r="H3644" s="225">
        <f t="shared" si="56"/>
        <v>21.36</v>
      </c>
    </row>
    <row r="3645" spans="1:8" x14ac:dyDescent="0.3">
      <c r="A3645" s="400"/>
      <c r="B3645" s="709">
        <v>101580</v>
      </c>
      <c r="C3645" s="710" t="s">
        <v>13425</v>
      </c>
      <c r="D3645" s="709" t="s">
        <v>168</v>
      </c>
      <c r="E3645" s="716">
        <v>33.33</v>
      </c>
      <c r="F3645" s="717">
        <v>0</v>
      </c>
      <c r="G3645">
        <f>VLOOKUP(B3645,'SINAPI-%MO'!B:E,4,0)</f>
        <v>0.39450000000000002</v>
      </c>
      <c r="H3645" s="225">
        <f t="shared" si="56"/>
        <v>20.18</v>
      </c>
    </row>
    <row r="3646" spans="1:8" x14ac:dyDescent="0.3">
      <c r="A3646" s="400"/>
      <c r="B3646" s="709">
        <v>101606</v>
      </c>
      <c r="C3646" s="710" t="s">
        <v>15023</v>
      </c>
      <c r="D3646" s="709" t="s">
        <v>168</v>
      </c>
      <c r="E3646" s="716">
        <v>0</v>
      </c>
      <c r="F3646" s="717"/>
      <c r="G3646" t="e">
        <f>VLOOKUP(B3646,'SINAPI-%MO'!B:E,4,0)</f>
        <v>#N/A</v>
      </c>
      <c r="H3646" s="225" t="str">
        <f t="shared" si="56"/>
        <v/>
      </c>
    </row>
    <row r="3647" spans="1:8" x14ac:dyDescent="0.3">
      <c r="A3647" s="400"/>
      <c r="B3647" s="709">
        <v>101607</v>
      </c>
      <c r="C3647" s="710" t="s">
        <v>15024</v>
      </c>
      <c r="D3647" s="709" t="s">
        <v>168</v>
      </c>
      <c r="E3647" s="716">
        <v>0</v>
      </c>
      <c r="F3647" s="717"/>
      <c r="G3647" t="e">
        <f>VLOOKUP(B3647,'SINAPI-%MO'!B:E,4,0)</f>
        <v>#N/A</v>
      </c>
      <c r="H3647" s="225" t="str">
        <f t="shared" si="56"/>
        <v/>
      </c>
    </row>
    <row r="3648" spans="1:8" x14ac:dyDescent="0.3">
      <c r="A3648" s="400"/>
      <c r="B3648" s="709">
        <v>101608</v>
      </c>
      <c r="C3648" s="710" t="s">
        <v>15025</v>
      </c>
      <c r="D3648" s="709" t="s">
        <v>168</v>
      </c>
      <c r="E3648" s="716">
        <v>0</v>
      </c>
      <c r="F3648" s="717"/>
      <c r="G3648" t="e">
        <f>VLOOKUP(B3648,'SINAPI-%MO'!B:E,4,0)</f>
        <v>#N/A</v>
      </c>
      <c r="H3648" s="225" t="str">
        <f t="shared" si="56"/>
        <v/>
      </c>
    </row>
    <row r="3649" spans="1:8" x14ac:dyDescent="0.3">
      <c r="A3649" s="400"/>
      <c r="B3649" s="709">
        <v>101571</v>
      </c>
      <c r="C3649" s="710" t="s">
        <v>13426</v>
      </c>
      <c r="D3649" s="709" t="s">
        <v>168</v>
      </c>
      <c r="E3649" s="716">
        <v>34.06</v>
      </c>
      <c r="F3649" s="717">
        <v>0</v>
      </c>
      <c r="G3649">
        <f>VLOOKUP(B3649,'SINAPI-%MO'!B:E,4,0)</f>
        <v>0.76480000000000004</v>
      </c>
      <c r="H3649" s="225">
        <f t="shared" si="56"/>
        <v>8.01</v>
      </c>
    </row>
    <row r="3650" spans="1:8" x14ac:dyDescent="0.3">
      <c r="A3650" s="400"/>
      <c r="B3650" s="709">
        <v>101570</v>
      </c>
      <c r="C3650" s="710" t="s">
        <v>13427</v>
      </c>
      <c r="D3650" s="709" t="s">
        <v>168</v>
      </c>
      <c r="E3650" s="716">
        <v>25.5</v>
      </c>
      <c r="F3650" s="717">
        <v>0</v>
      </c>
      <c r="G3650">
        <f>VLOOKUP(B3650,'SINAPI-%MO'!B:E,4,0)</f>
        <v>0.72040000000000004</v>
      </c>
      <c r="H3650" s="225">
        <f t="shared" si="56"/>
        <v>7.12</v>
      </c>
    </row>
    <row r="3651" spans="1:8" x14ac:dyDescent="0.3">
      <c r="A3651" s="400"/>
      <c r="B3651" s="709">
        <v>101573</v>
      </c>
      <c r="C3651" s="710" t="s">
        <v>13428</v>
      </c>
      <c r="D3651" s="709" t="s">
        <v>168</v>
      </c>
      <c r="E3651" s="716">
        <v>28.99</v>
      </c>
      <c r="F3651" s="717">
        <v>0</v>
      </c>
      <c r="G3651">
        <f>VLOOKUP(B3651,'SINAPI-%MO'!B:E,4,0)</f>
        <v>0.75029999999999997</v>
      </c>
      <c r="H3651" s="225">
        <f t="shared" si="56"/>
        <v>7.23</v>
      </c>
    </row>
    <row r="3652" spans="1:8" x14ac:dyDescent="0.3">
      <c r="A3652" s="400"/>
      <c r="B3652" s="709">
        <v>101572</v>
      </c>
      <c r="C3652" s="710" t="s">
        <v>13429</v>
      </c>
      <c r="D3652" s="709" t="s">
        <v>168</v>
      </c>
      <c r="E3652" s="716">
        <v>20.440000000000001</v>
      </c>
      <c r="F3652" s="717">
        <v>0</v>
      </c>
      <c r="G3652">
        <f>VLOOKUP(B3652,'SINAPI-%MO'!B:E,4,0)</f>
        <v>0.68879999999999997</v>
      </c>
      <c r="H3652" s="225">
        <f t="shared" si="56"/>
        <v>6.36</v>
      </c>
    </row>
    <row r="3653" spans="1:8" x14ac:dyDescent="0.3">
      <c r="A3653" s="400"/>
      <c r="B3653" s="709">
        <v>101575</v>
      </c>
      <c r="C3653" s="710" t="s">
        <v>13430</v>
      </c>
      <c r="D3653" s="709" t="s">
        <v>168</v>
      </c>
      <c r="E3653" s="716">
        <v>25.08</v>
      </c>
      <c r="F3653" s="717">
        <v>0</v>
      </c>
      <c r="G3653">
        <f>VLOOKUP(B3653,'SINAPI-%MO'!B:E,4,0)</f>
        <v>0.69579999999999997</v>
      </c>
      <c r="H3653" s="225">
        <f t="shared" si="56"/>
        <v>7.62</v>
      </c>
    </row>
    <row r="3654" spans="1:8" x14ac:dyDescent="0.3">
      <c r="A3654" s="400"/>
      <c r="B3654" s="709">
        <v>101574</v>
      </c>
      <c r="C3654" s="710" t="s">
        <v>13431</v>
      </c>
      <c r="D3654" s="709" t="s">
        <v>168</v>
      </c>
      <c r="E3654" s="716">
        <v>16.22</v>
      </c>
      <c r="F3654" s="717">
        <v>0</v>
      </c>
      <c r="G3654">
        <f>VLOOKUP(B3654,'SINAPI-%MO'!B:E,4,0)</f>
        <v>0.60229999999999995</v>
      </c>
      <c r="H3654" s="225">
        <f t="shared" si="56"/>
        <v>6.45</v>
      </c>
    </row>
    <row r="3655" spans="1:8" x14ac:dyDescent="0.3">
      <c r="A3655" s="400"/>
      <c r="B3655" s="709">
        <v>101589</v>
      </c>
      <c r="C3655" s="710" t="s">
        <v>13432</v>
      </c>
      <c r="D3655" s="709" t="s">
        <v>168</v>
      </c>
      <c r="E3655" s="716">
        <v>155.25</v>
      </c>
      <c r="F3655" s="717">
        <v>0</v>
      </c>
      <c r="G3655">
        <f>VLOOKUP(B3655,'SINAPI-%MO'!B:E,4,0)</f>
        <v>0.50039999999999996</v>
      </c>
      <c r="H3655" s="225">
        <f t="shared" si="56"/>
        <v>77.56</v>
      </c>
    </row>
    <row r="3656" spans="1:8" x14ac:dyDescent="0.3">
      <c r="A3656" s="400"/>
      <c r="B3656" s="709">
        <v>106673</v>
      </c>
      <c r="C3656" s="710" t="s">
        <v>13433</v>
      </c>
      <c r="D3656" s="709" t="s">
        <v>168</v>
      </c>
      <c r="E3656" s="716">
        <v>6.82</v>
      </c>
      <c r="F3656" s="717">
        <v>0</v>
      </c>
      <c r="G3656">
        <f>VLOOKUP(B3656,'SINAPI-%MO'!B:E,4,0)</f>
        <v>0.99270000000000003</v>
      </c>
      <c r="H3656" s="225">
        <f t="shared" si="56"/>
        <v>0.04</v>
      </c>
    </row>
    <row r="3657" spans="1:8" x14ac:dyDescent="0.3">
      <c r="A3657" s="400"/>
      <c r="B3657" s="709">
        <v>101617</v>
      </c>
      <c r="C3657" s="710" t="s">
        <v>13434</v>
      </c>
      <c r="D3657" s="709" t="s">
        <v>168</v>
      </c>
      <c r="E3657" s="716">
        <v>3.94</v>
      </c>
      <c r="F3657" s="717">
        <v>0</v>
      </c>
      <c r="G3657">
        <f>VLOOKUP(B3657,'SINAPI-%MO'!B:E,4,0)</f>
        <v>0.98729999999999996</v>
      </c>
      <c r="H3657" s="225">
        <f t="shared" si="56"/>
        <v>0.05</v>
      </c>
    </row>
    <row r="3658" spans="1:8" x14ac:dyDescent="0.3">
      <c r="A3658" s="400"/>
      <c r="B3658" s="709">
        <v>101620</v>
      </c>
      <c r="C3658" s="710" t="s">
        <v>13435</v>
      </c>
      <c r="D3658" s="709" t="s">
        <v>170</v>
      </c>
      <c r="E3658" s="716">
        <v>222.42</v>
      </c>
      <c r="F3658" s="717">
        <v>0</v>
      </c>
      <c r="G3658">
        <f>VLOOKUP(B3658,'SINAPI-%MO'!B:E,4,0)</f>
        <v>0.50039999999999996</v>
      </c>
      <c r="H3658" s="225">
        <f t="shared" si="56"/>
        <v>111.12</v>
      </c>
    </row>
    <row r="3659" spans="1:8" x14ac:dyDescent="0.3">
      <c r="A3659" s="400"/>
      <c r="B3659" s="709">
        <v>101625</v>
      </c>
      <c r="C3659" s="710" t="s">
        <v>13436</v>
      </c>
      <c r="D3659" s="709" t="s">
        <v>170</v>
      </c>
      <c r="E3659" s="716">
        <v>203.01</v>
      </c>
      <c r="F3659" s="717">
        <v>0</v>
      </c>
      <c r="G3659">
        <f>VLOOKUP(B3659,'SINAPI-%MO'!B:E,4,0)</f>
        <v>0.29809999999999998</v>
      </c>
      <c r="H3659" s="225">
        <f t="shared" ref="H3659:H3722" si="57">IF(E3659&gt;0,TRUNC(E3659*(1-G3659),2),"")</f>
        <v>142.49</v>
      </c>
    </row>
    <row r="3660" spans="1:8" x14ac:dyDescent="0.3">
      <c r="A3660" s="400"/>
      <c r="B3660" s="709">
        <v>101621</v>
      </c>
      <c r="C3660" s="710" t="s">
        <v>13437</v>
      </c>
      <c r="D3660" s="709" t="s">
        <v>170</v>
      </c>
      <c r="E3660" s="716">
        <v>260.66000000000003</v>
      </c>
      <c r="F3660" s="717">
        <v>0</v>
      </c>
      <c r="G3660">
        <f>VLOOKUP(B3660,'SINAPI-%MO'!B:E,4,0)</f>
        <v>0.498</v>
      </c>
      <c r="H3660" s="225">
        <f t="shared" si="57"/>
        <v>130.85</v>
      </c>
    </row>
    <row r="3661" spans="1:8" x14ac:dyDescent="0.3">
      <c r="A3661" s="400"/>
      <c r="B3661" s="709">
        <v>101624</v>
      </c>
      <c r="C3661" s="710" t="s">
        <v>13438</v>
      </c>
      <c r="D3661" s="709" t="s">
        <v>170</v>
      </c>
      <c r="E3661" s="716">
        <v>237.88</v>
      </c>
      <c r="F3661" s="717">
        <v>0</v>
      </c>
      <c r="G3661">
        <f>VLOOKUP(B3661,'SINAPI-%MO'!B:E,4,0)</f>
        <v>0.29520000000000002</v>
      </c>
      <c r="H3661" s="225">
        <f t="shared" si="57"/>
        <v>167.65</v>
      </c>
    </row>
    <row r="3662" spans="1:8" x14ac:dyDescent="0.3">
      <c r="A3662" s="400"/>
      <c r="B3662" s="709">
        <v>106672</v>
      </c>
      <c r="C3662" s="710" t="s">
        <v>13439</v>
      </c>
      <c r="D3662" s="709" t="s">
        <v>168</v>
      </c>
      <c r="E3662" s="716">
        <v>11.56</v>
      </c>
      <c r="F3662" s="717">
        <v>0</v>
      </c>
      <c r="G3662">
        <f>VLOOKUP(B3662,'SINAPI-%MO'!B:E,4,0)</f>
        <v>0.99480000000000002</v>
      </c>
      <c r="H3662" s="225">
        <f t="shared" si="57"/>
        <v>0.06</v>
      </c>
    </row>
    <row r="3663" spans="1:8" x14ac:dyDescent="0.3">
      <c r="A3663" s="400"/>
      <c r="B3663" s="709">
        <v>101616</v>
      </c>
      <c r="C3663" s="710" t="s">
        <v>13440</v>
      </c>
      <c r="D3663" s="709" t="s">
        <v>168</v>
      </c>
      <c r="E3663" s="716">
        <v>8.69</v>
      </c>
      <c r="F3663" s="717">
        <v>0</v>
      </c>
      <c r="G3663">
        <f>VLOOKUP(B3663,'SINAPI-%MO'!B:E,4,0)</f>
        <v>0.99309999999999998</v>
      </c>
      <c r="H3663" s="225">
        <f t="shared" si="57"/>
        <v>0.05</v>
      </c>
    </row>
    <row r="3664" spans="1:8" x14ac:dyDescent="0.3">
      <c r="A3664" s="400"/>
      <c r="B3664" s="709">
        <v>101618</v>
      </c>
      <c r="C3664" s="710" t="s">
        <v>13441</v>
      </c>
      <c r="D3664" s="709" t="s">
        <v>170</v>
      </c>
      <c r="E3664" s="716">
        <v>251.08</v>
      </c>
      <c r="F3664" s="717">
        <v>0</v>
      </c>
      <c r="G3664">
        <f>VLOOKUP(B3664,'SINAPI-%MO'!B:E,4,0)</f>
        <v>0.55710000000000004</v>
      </c>
      <c r="H3664" s="225">
        <f t="shared" si="57"/>
        <v>111.2</v>
      </c>
    </row>
    <row r="3665" spans="1:8" x14ac:dyDescent="0.3">
      <c r="A3665" s="400"/>
      <c r="B3665" s="709">
        <v>101622</v>
      </c>
      <c r="C3665" s="710" t="s">
        <v>13442</v>
      </c>
      <c r="D3665" s="709" t="s">
        <v>170</v>
      </c>
      <c r="E3665" s="716">
        <v>260.11</v>
      </c>
      <c r="F3665" s="717">
        <v>0</v>
      </c>
      <c r="G3665">
        <f>VLOOKUP(B3665,'SINAPI-%MO'!B:E,4,0)</f>
        <v>0.37369999999999998</v>
      </c>
      <c r="H3665" s="225">
        <f t="shared" si="57"/>
        <v>162.9</v>
      </c>
    </row>
    <row r="3666" spans="1:8" x14ac:dyDescent="0.3">
      <c r="A3666" s="400"/>
      <c r="B3666" s="709">
        <v>101619</v>
      </c>
      <c r="C3666" s="710" t="s">
        <v>13443</v>
      </c>
      <c r="D3666" s="709" t="s">
        <v>170</v>
      </c>
      <c r="E3666" s="716">
        <v>289.32</v>
      </c>
      <c r="F3666" s="717">
        <v>0</v>
      </c>
      <c r="G3666">
        <f>VLOOKUP(B3666,'SINAPI-%MO'!B:E,4,0)</f>
        <v>0.5474</v>
      </c>
      <c r="H3666" s="225">
        <f t="shared" si="57"/>
        <v>130.94</v>
      </c>
    </row>
    <row r="3667" spans="1:8" x14ac:dyDescent="0.3">
      <c r="A3667" s="400"/>
      <c r="B3667" s="709">
        <v>101623</v>
      </c>
      <c r="C3667" s="710" t="s">
        <v>13444</v>
      </c>
      <c r="D3667" s="709" t="s">
        <v>170</v>
      </c>
      <c r="E3667" s="716">
        <v>299.58999999999997</v>
      </c>
      <c r="F3667" s="717">
        <v>0</v>
      </c>
      <c r="G3667">
        <f>VLOOKUP(B3667,'SINAPI-%MO'!B:E,4,0)</f>
        <v>0.36670000000000003</v>
      </c>
      <c r="H3667" s="225">
        <f t="shared" si="57"/>
        <v>189.73</v>
      </c>
    </row>
    <row r="3668" spans="1:8" x14ac:dyDescent="0.3">
      <c r="A3668" s="400"/>
      <c r="B3668" s="709">
        <v>104482</v>
      </c>
      <c r="C3668" s="710" t="s">
        <v>273</v>
      </c>
      <c r="D3668" s="709" t="s">
        <v>234</v>
      </c>
      <c r="E3668" s="716">
        <v>33.31</v>
      </c>
      <c r="F3668" s="717">
        <v>0</v>
      </c>
      <c r="G3668">
        <f>VLOOKUP(B3668,'SINAPI-%MO'!B:E,4,0)</f>
        <v>0.96040000000000003</v>
      </c>
      <c r="H3668" s="225">
        <f t="shared" si="57"/>
        <v>1.31</v>
      </c>
    </row>
    <row r="3669" spans="1:8" x14ac:dyDescent="0.3">
      <c r="A3669" s="400"/>
      <c r="B3669" s="709">
        <v>104189</v>
      </c>
      <c r="C3669" s="710" t="s">
        <v>3542</v>
      </c>
      <c r="D3669" s="709" t="s">
        <v>170</v>
      </c>
      <c r="E3669" s="716">
        <v>156.69999999999999</v>
      </c>
      <c r="F3669" s="717">
        <v>0</v>
      </c>
      <c r="G3669">
        <f>VLOOKUP(B3669,'SINAPI-%MO'!B:E,4,0)</f>
        <v>0.29799999999999999</v>
      </c>
      <c r="H3669" s="225">
        <f t="shared" si="57"/>
        <v>110</v>
      </c>
    </row>
    <row r="3670" spans="1:8" x14ac:dyDescent="0.3">
      <c r="A3670" s="400"/>
      <c r="B3670" s="709">
        <v>104465</v>
      </c>
      <c r="C3670" s="710" t="s">
        <v>3543</v>
      </c>
      <c r="D3670" s="709" t="s">
        <v>159</v>
      </c>
      <c r="E3670" s="716">
        <v>0</v>
      </c>
      <c r="F3670" s="717"/>
      <c r="G3670" t="e">
        <f>VLOOKUP(B3670,'SINAPI-%MO'!B:E,4,0)</f>
        <v>#N/A</v>
      </c>
      <c r="H3670" s="225" t="str">
        <f t="shared" si="57"/>
        <v/>
      </c>
    </row>
    <row r="3671" spans="1:8" x14ac:dyDescent="0.3">
      <c r="A3671" s="400"/>
      <c r="B3671" s="709">
        <v>104188</v>
      </c>
      <c r="C3671" s="710" t="s">
        <v>3544</v>
      </c>
      <c r="D3671" s="709" t="s">
        <v>159</v>
      </c>
      <c r="E3671" s="716">
        <v>0</v>
      </c>
      <c r="F3671" s="717"/>
      <c r="G3671" t="e">
        <f>VLOOKUP(B3671,'SINAPI-%MO'!B:E,4,0)</f>
        <v>#N/A</v>
      </c>
      <c r="H3671" s="225" t="str">
        <f t="shared" si="57"/>
        <v/>
      </c>
    </row>
    <row r="3672" spans="1:8" x14ac:dyDescent="0.3">
      <c r="A3672" s="400"/>
      <c r="B3672" s="709">
        <v>104185</v>
      </c>
      <c r="C3672" s="710" t="s">
        <v>3545</v>
      </c>
      <c r="D3672" s="709" t="s">
        <v>136</v>
      </c>
      <c r="E3672" s="716">
        <v>28.14</v>
      </c>
      <c r="F3672" s="717">
        <v>0</v>
      </c>
      <c r="G3672">
        <f>VLOOKUP(B3672,'SINAPI-%MO'!B:E,4,0)</f>
        <v>1</v>
      </c>
      <c r="H3672" s="225">
        <f t="shared" si="57"/>
        <v>0</v>
      </c>
    </row>
    <row r="3673" spans="1:8" x14ac:dyDescent="0.3">
      <c r="A3673" s="400"/>
      <c r="B3673" s="709">
        <v>104182</v>
      </c>
      <c r="C3673" s="710" t="s">
        <v>3546</v>
      </c>
      <c r="D3673" s="709" t="s">
        <v>159</v>
      </c>
      <c r="E3673" s="716">
        <v>16.510000000000002</v>
      </c>
      <c r="F3673" s="717">
        <v>4.6600000000000003E-2</v>
      </c>
      <c r="G3673">
        <f>VLOOKUP(B3673,'SINAPI-%MO'!B:E,4,0)</f>
        <v>0.72740000000000005</v>
      </c>
      <c r="H3673" s="225">
        <f t="shared" si="57"/>
        <v>4.5</v>
      </c>
    </row>
    <row r="3674" spans="1:8" x14ac:dyDescent="0.3">
      <c r="A3674" s="400"/>
      <c r="B3674" s="709">
        <v>104184</v>
      </c>
      <c r="C3674" s="710" t="s">
        <v>3547</v>
      </c>
      <c r="D3674" s="709" t="s">
        <v>136</v>
      </c>
      <c r="E3674" s="716">
        <v>40.08</v>
      </c>
      <c r="F3674" s="717">
        <v>0</v>
      </c>
      <c r="G3674">
        <f>VLOOKUP(B3674,'SINAPI-%MO'!B:E,4,0)</f>
        <v>0.66620000000000001</v>
      </c>
      <c r="H3674" s="225">
        <f t="shared" si="57"/>
        <v>13.37</v>
      </c>
    </row>
    <row r="3675" spans="1:8" x14ac:dyDescent="0.3">
      <c r="A3675" s="400"/>
      <c r="B3675" s="709">
        <v>104190</v>
      </c>
      <c r="C3675" s="710" t="s">
        <v>3548</v>
      </c>
      <c r="D3675" s="709" t="s">
        <v>136</v>
      </c>
      <c r="E3675" s="716">
        <v>770.87</v>
      </c>
      <c r="F3675" s="717">
        <v>0</v>
      </c>
      <c r="G3675">
        <f>VLOOKUP(B3675,'SINAPI-%MO'!B:E,4,0)</f>
        <v>1</v>
      </c>
      <c r="H3675" s="225">
        <f t="shared" si="57"/>
        <v>0</v>
      </c>
    </row>
    <row r="3676" spans="1:8" x14ac:dyDescent="0.3">
      <c r="A3676" s="400"/>
      <c r="B3676" s="709">
        <v>104463</v>
      </c>
      <c r="C3676" s="710" t="s">
        <v>3549</v>
      </c>
      <c r="D3676" s="709" t="s">
        <v>136</v>
      </c>
      <c r="E3676" s="716">
        <v>437.18</v>
      </c>
      <c r="F3676" s="717">
        <v>1.46E-2</v>
      </c>
      <c r="G3676">
        <f>VLOOKUP(B3676,'SINAPI-%MO'!B:E,4,0)</f>
        <v>0.20899999999999999</v>
      </c>
      <c r="H3676" s="225">
        <f t="shared" si="57"/>
        <v>345.8</v>
      </c>
    </row>
    <row r="3677" spans="1:8" x14ac:dyDescent="0.3">
      <c r="A3677" s="400"/>
      <c r="B3677" s="709">
        <v>104464</v>
      </c>
      <c r="C3677" s="710" t="s">
        <v>3550</v>
      </c>
      <c r="D3677" s="709" t="s">
        <v>136</v>
      </c>
      <c r="E3677" s="716">
        <v>443.83</v>
      </c>
      <c r="F3677" s="717">
        <v>1.5299999999999999E-2</v>
      </c>
      <c r="G3677">
        <f>VLOOKUP(B3677,'SINAPI-%MO'!B:E,4,0)</f>
        <v>0.21</v>
      </c>
      <c r="H3677" s="225">
        <f t="shared" si="57"/>
        <v>350.62</v>
      </c>
    </row>
    <row r="3678" spans="1:8" x14ac:dyDescent="0.3">
      <c r="A3678" s="400"/>
      <c r="B3678" s="709">
        <v>104183</v>
      </c>
      <c r="C3678" s="710" t="s">
        <v>3551</v>
      </c>
      <c r="D3678" s="709" t="s">
        <v>159</v>
      </c>
      <c r="E3678" s="716">
        <v>264.39</v>
      </c>
      <c r="F3678" s="717">
        <v>8.8000000000000005E-3</v>
      </c>
      <c r="G3678">
        <f>VLOOKUP(B3678,'SINAPI-%MO'!B:E,4,0)</f>
        <v>8.6800000000000002E-2</v>
      </c>
      <c r="H3678" s="225">
        <f t="shared" si="57"/>
        <v>241.44</v>
      </c>
    </row>
    <row r="3679" spans="1:8" x14ac:dyDescent="0.3">
      <c r="A3679" s="400"/>
      <c r="B3679" s="709">
        <v>104187</v>
      </c>
      <c r="C3679" s="710" t="s">
        <v>3552</v>
      </c>
      <c r="D3679" s="709" t="s">
        <v>159</v>
      </c>
      <c r="E3679" s="716">
        <v>1281.1500000000001</v>
      </c>
      <c r="F3679" s="717">
        <v>0</v>
      </c>
      <c r="G3679">
        <f>VLOOKUP(B3679,'SINAPI-%MO'!B:E,4,0)</f>
        <v>0.04</v>
      </c>
      <c r="H3679" s="225">
        <f t="shared" si="57"/>
        <v>1229.9000000000001</v>
      </c>
    </row>
    <row r="3680" spans="1:8" x14ac:dyDescent="0.3">
      <c r="A3680" s="400"/>
      <c r="B3680" s="709">
        <v>104186</v>
      </c>
      <c r="C3680" s="710" t="s">
        <v>3553</v>
      </c>
      <c r="D3680" s="709" t="s">
        <v>159</v>
      </c>
      <c r="E3680" s="716">
        <v>284.45999999999998</v>
      </c>
      <c r="F3680" s="717">
        <v>0</v>
      </c>
      <c r="G3680">
        <f>VLOOKUP(B3680,'SINAPI-%MO'!B:E,4,0)</f>
        <v>0.2046</v>
      </c>
      <c r="H3680" s="225">
        <f t="shared" si="57"/>
        <v>226.25</v>
      </c>
    </row>
    <row r="3681" spans="1:8" x14ac:dyDescent="0.3">
      <c r="A3681" s="400"/>
      <c r="B3681" s="709">
        <v>104180</v>
      </c>
      <c r="C3681" s="710" t="s">
        <v>3554</v>
      </c>
      <c r="D3681" s="709" t="s">
        <v>159</v>
      </c>
      <c r="E3681" s="716">
        <v>16.829999999999998</v>
      </c>
      <c r="F3681" s="717">
        <v>3.6200000000000003E-2</v>
      </c>
      <c r="G3681">
        <f>VLOOKUP(B3681,'SINAPI-%MO'!B:E,4,0)</f>
        <v>0.2591</v>
      </c>
      <c r="H3681" s="225">
        <f t="shared" si="57"/>
        <v>12.46</v>
      </c>
    </row>
    <row r="3682" spans="1:8" x14ac:dyDescent="0.3">
      <c r="A3682" s="400"/>
      <c r="B3682" s="709">
        <v>104181</v>
      </c>
      <c r="C3682" s="710" t="s">
        <v>3555</v>
      </c>
      <c r="D3682" s="709" t="s">
        <v>159</v>
      </c>
      <c r="E3682" s="716">
        <v>18.16</v>
      </c>
      <c r="F3682" s="717">
        <v>3.7999999999999999E-2</v>
      </c>
      <c r="G3682">
        <f>VLOOKUP(B3682,'SINAPI-%MO'!B:E,4,0)</f>
        <v>0.26050000000000001</v>
      </c>
      <c r="H3682" s="225">
        <f t="shared" si="57"/>
        <v>13.42</v>
      </c>
    </row>
    <row r="3683" spans="1:8" x14ac:dyDescent="0.3">
      <c r="A3683" s="400"/>
      <c r="B3683" s="709">
        <v>100674</v>
      </c>
      <c r="C3683" s="710" t="s">
        <v>3556</v>
      </c>
      <c r="D3683" s="709" t="s">
        <v>168</v>
      </c>
      <c r="E3683" s="716">
        <v>957.09</v>
      </c>
      <c r="F3683" s="717">
        <v>3.0999999999999999E-3</v>
      </c>
      <c r="G3683">
        <f>VLOOKUP(B3683,'SINAPI-%MO'!B:E,4,0)</f>
        <v>3.4099999999999998E-2</v>
      </c>
      <c r="H3683" s="225">
        <f t="shared" si="57"/>
        <v>924.45</v>
      </c>
    </row>
    <row r="3684" spans="1:8" x14ac:dyDescent="0.3">
      <c r="A3684" s="400"/>
      <c r="B3684" s="709">
        <v>100664</v>
      </c>
      <c r="C3684" s="710" t="s">
        <v>3557</v>
      </c>
      <c r="D3684" s="709" t="s">
        <v>168</v>
      </c>
      <c r="E3684" s="716">
        <v>0</v>
      </c>
      <c r="F3684" s="717"/>
      <c r="G3684" t="e">
        <f>VLOOKUP(B3684,'SINAPI-%MO'!B:E,4,0)</f>
        <v>#N/A</v>
      </c>
      <c r="H3684" s="225" t="str">
        <f t="shared" si="57"/>
        <v/>
      </c>
    </row>
    <row r="3685" spans="1:8" x14ac:dyDescent="0.3">
      <c r="A3685" s="400"/>
      <c r="B3685" s="709">
        <v>94589</v>
      </c>
      <c r="C3685" s="710" t="s">
        <v>3558</v>
      </c>
      <c r="D3685" s="709" t="s">
        <v>159</v>
      </c>
      <c r="E3685" s="716">
        <v>24.33</v>
      </c>
      <c r="F3685" s="717">
        <v>0</v>
      </c>
      <c r="G3685">
        <f>VLOOKUP(B3685,'SINAPI-%MO'!B:E,4,0)</f>
        <v>0.56720000000000004</v>
      </c>
      <c r="H3685" s="225">
        <f t="shared" si="57"/>
        <v>10.53</v>
      </c>
    </row>
    <row r="3686" spans="1:8" x14ac:dyDescent="0.3">
      <c r="A3686" s="400"/>
      <c r="B3686" s="709">
        <v>94590</v>
      </c>
      <c r="C3686" s="710" t="s">
        <v>3559</v>
      </c>
      <c r="D3686" s="709" t="s">
        <v>159</v>
      </c>
      <c r="E3686" s="716">
        <v>32.25</v>
      </c>
      <c r="F3686" s="717">
        <v>0</v>
      </c>
      <c r="G3686">
        <f>VLOOKUP(B3686,'SINAPI-%MO'!B:E,4,0)</f>
        <v>0.52339999999999998</v>
      </c>
      <c r="H3686" s="225">
        <f t="shared" si="57"/>
        <v>15.37</v>
      </c>
    </row>
    <row r="3687" spans="1:8" x14ac:dyDescent="0.3">
      <c r="A3687" s="400"/>
      <c r="B3687" s="709">
        <v>94587</v>
      </c>
      <c r="C3687" s="710" t="s">
        <v>3560</v>
      </c>
      <c r="D3687" s="709" t="s">
        <v>159</v>
      </c>
      <c r="E3687" s="716">
        <v>72.05</v>
      </c>
      <c r="F3687" s="717">
        <v>0</v>
      </c>
      <c r="G3687">
        <f>VLOOKUP(B3687,'SINAPI-%MO'!B:E,4,0)</f>
        <v>0.42970000000000003</v>
      </c>
      <c r="H3687" s="225">
        <f t="shared" si="57"/>
        <v>41.09</v>
      </c>
    </row>
    <row r="3688" spans="1:8" x14ac:dyDescent="0.3">
      <c r="A3688" s="400"/>
      <c r="B3688" s="709">
        <v>94588</v>
      </c>
      <c r="C3688" s="710" t="s">
        <v>3561</v>
      </c>
      <c r="D3688" s="709" t="s">
        <v>159</v>
      </c>
      <c r="E3688" s="716">
        <v>84.81</v>
      </c>
      <c r="F3688" s="717">
        <v>0</v>
      </c>
      <c r="G3688">
        <f>VLOOKUP(B3688,'SINAPI-%MO'!B:E,4,0)</f>
        <v>0.45839999999999997</v>
      </c>
      <c r="H3688" s="225">
        <f t="shared" si="57"/>
        <v>45.93</v>
      </c>
    </row>
    <row r="3689" spans="1:8" x14ac:dyDescent="0.3">
      <c r="A3689" s="400"/>
      <c r="B3689" s="709">
        <v>105812</v>
      </c>
      <c r="C3689" s="710" t="s">
        <v>3562</v>
      </c>
      <c r="D3689" s="709" t="s">
        <v>159</v>
      </c>
      <c r="E3689" s="716">
        <v>38.75</v>
      </c>
      <c r="F3689" s="717">
        <v>0</v>
      </c>
      <c r="G3689">
        <f>VLOOKUP(B3689,'SINAPI-%MO'!B:E,4,0)</f>
        <v>7.2999999999999995E-2</v>
      </c>
      <c r="H3689" s="225">
        <f t="shared" si="57"/>
        <v>35.92</v>
      </c>
    </row>
    <row r="3690" spans="1:8" x14ac:dyDescent="0.3">
      <c r="A3690" s="400"/>
      <c r="B3690" s="709">
        <v>94571</v>
      </c>
      <c r="C3690" s="710" t="s">
        <v>3563</v>
      </c>
      <c r="D3690" s="709" t="s">
        <v>168</v>
      </c>
      <c r="E3690" s="716">
        <v>0</v>
      </c>
      <c r="F3690" s="717"/>
      <c r="G3690" t="e">
        <f>VLOOKUP(B3690,'SINAPI-%MO'!B:E,4,0)</f>
        <v>#N/A</v>
      </c>
      <c r="H3690" s="225" t="str">
        <f t="shared" si="57"/>
        <v/>
      </c>
    </row>
    <row r="3691" spans="1:8" x14ac:dyDescent="0.3">
      <c r="A3691" s="400"/>
      <c r="B3691" s="709">
        <v>94570</v>
      </c>
      <c r="C3691" s="710" t="s">
        <v>3564</v>
      </c>
      <c r="D3691" s="709" t="s">
        <v>168</v>
      </c>
      <c r="E3691" s="716">
        <v>439.55</v>
      </c>
      <c r="F3691" s="717">
        <v>3.5000000000000001E-3</v>
      </c>
      <c r="G3691">
        <f>VLOOKUP(B3691,'SINAPI-%MO'!B:E,4,0)</f>
        <v>3.1300000000000001E-2</v>
      </c>
      <c r="H3691" s="225">
        <f t="shared" si="57"/>
        <v>425.79</v>
      </c>
    </row>
    <row r="3692" spans="1:8" x14ac:dyDescent="0.3">
      <c r="A3692" s="400"/>
      <c r="B3692" s="709">
        <v>105811</v>
      </c>
      <c r="C3692" s="710" t="s">
        <v>3565</v>
      </c>
      <c r="D3692" s="709" t="s">
        <v>168</v>
      </c>
      <c r="E3692" s="716">
        <v>0</v>
      </c>
      <c r="F3692" s="717"/>
      <c r="G3692" t="e">
        <f>VLOOKUP(B3692,'SINAPI-%MO'!B:E,4,0)</f>
        <v>#N/A</v>
      </c>
      <c r="H3692" s="225" t="str">
        <f t="shared" si="57"/>
        <v/>
      </c>
    </row>
    <row r="3693" spans="1:8" x14ac:dyDescent="0.3">
      <c r="A3693" s="400"/>
      <c r="B3693" s="709">
        <v>94572</v>
      </c>
      <c r="C3693" s="710" t="s">
        <v>3566</v>
      </c>
      <c r="D3693" s="709" t="s">
        <v>168</v>
      </c>
      <c r="E3693" s="716">
        <v>630.47</v>
      </c>
      <c r="F3693" s="717">
        <v>2.5000000000000001E-3</v>
      </c>
      <c r="G3693">
        <f>VLOOKUP(B3693,'SINAPI-%MO'!B:E,4,0)</f>
        <v>3.2399999999999998E-2</v>
      </c>
      <c r="H3693" s="225">
        <f t="shared" si="57"/>
        <v>610.04</v>
      </c>
    </row>
    <row r="3694" spans="1:8" x14ac:dyDescent="0.3">
      <c r="A3694" s="400"/>
      <c r="B3694" s="709">
        <v>94573</v>
      </c>
      <c r="C3694" s="710" t="s">
        <v>3567</v>
      </c>
      <c r="D3694" s="709" t="s">
        <v>168</v>
      </c>
      <c r="E3694" s="716">
        <v>490.81</v>
      </c>
      <c r="F3694" s="717">
        <v>2.5000000000000001E-3</v>
      </c>
      <c r="G3694">
        <f>VLOOKUP(B3694,'SINAPI-%MO'!B:E,4,0)</f>
        <v>2.8000000000000001E-2</v>
      </c>
      <c r="H3694" s="225">
        <f t="shared" si="57"/>
        <v>477.06</v>
      </c>
    </row>
    <row r="3695" spans="1:8" x14ac:dyDescent="0.3">
      <c r="A3695" s="400"/>
      <c r="B3695" s="709">
        <v>105809</v>
      </c>
      <c r="C3695" s="710" t="s">
        <v>3568</v>
      </c>
      <c r="D3695" s="709" t="s">
        <v>168</v>
      </c>
      <c r="E3695" s="716">
        <v>0</v>
      </c>
      <c r="F3695" s="717"/>
      <c r="G3695" t="e">
        <f>VLOOKUP(B3695,'SINAPI-%MO'!B:E,4,0)</f>
        <v>#N/A</v>
      </c>
      <c r="H3695" s="225" t="str">
        <f t="shared" si="57"/>
        <v/>
      </c>
    </row>
    <row r="3696" spans="1:8" x14ac:dyDescent="0.3">
      <c r="A3696" s="400"/>
      <c r="B3696" s="709">
        <v>94569</v>
      </c>
      <c r="C3696" s="710" t="s">
        <v>3569</v>
      </c>
      <c r="D3696" s="709" t="s">
        <v>168</v>
      </c>
      <c r="E3696" s="716">
        <v>828.17</v>
      </c>
      <c r="F3696" s="717">
        <v>5.0000000000000001E-3</v>
      </c>
      <c r="G3696">
        <f>VLOOKUP(B3696,'SINAPI-%MO'!B:E,4,0)</f>
        <v>5.3699999999999998E-2</v>
      </c>
      <c r="H3696" s="225">
        <f t="shared" si="57"/>
        <v>783.69</v>
      </c>
    </row>
    <row r="3697" spans="1:8" x14ac:dyDescent="0.3">
      <c r="A3697" s="400"/>
      <c r="B3697" s="709">
        <v>105810</v>
      </c>
      <c r="C3697" s="710" t="s">
        <v>3570</v>
      </c>
      <c r="D3697" s="709" t="s">
        <v>168</v>
      </c>
      <c r="E3697" s="716">
        <v>0</v>
      </c>
      <c r="F3697" s="717"/>
      <c r="G3697" t="e">
        <f>VLOOKUP(B3697,'SINAPI-%MO'!B:E,4,0)</f>
        <v>#N/A</v>
      </c>
      <c r="H3697" s="225" t="str">
        <f t="shared" si="57"/>
        <v/>
      </c>
    </row>
    <row r="3698" spans="1:8" x14ac:dyDescent="0.3">
      <c r="A3698" s="400"/>
      <c r="B3698" s="709">
        <v>94561</v>
      </c>
      <c r="C3698" s="710" t="s">
        <v>3571</v>
      </c>
      <c r="D3698" s="709" t="s">
        <v>168</v>
      </c>
      <c r="E3698" s="716">
        <v>0</v>
      </c>
      <c r="F3698" s="717"/>
      <c r="G3698" t="e">
        <f>VLOOKUP(B3698,'SINAPI-%MO'!B:E,4,0)</f>
        <v>#N/A</v>
      </c>
      <c r="H3698" s="225" t="str">
        <f t="shared" si="57"/>
        <v/>
      </c>
    </row>
    <row r="3699" spans="1:8" x14ac:dyDescent="0.3">
      <c r="A3699" s="400"/>
      <c r="B3699" s="709">
        <v>94562</v>
      </c>
      <c r="C3699" s="710" t="s">
        <v>3572</v>
      </c>
      <c r="D3699" s="709" t="s">
        <v>168</v>
      </c>
      <c r="E3699" s="716">
        <v>539.22</v>
      </c>
      <c r="F3699" s="717">
        <v>0.87490000000000001</v>
      </c>
      <c r="G3699">
        <f>VLOOKUP(B3699,'SINAPI-%MO'!B:E,4,0)</f>
        <v>0.1169</v>
      </c>
      <c r="H3699" s="225">
        <f t="shared" si="57"/>
        <v>476.18</v>
      </c>
    </row>
    <row r="3700" spans="1:8" x14ac:dyDescent="0.3">
      <c r="A3700" s="400"/>
      <c r="B3700" s="709">
        <v>105813</v>
      </c>
      <c r="C3700" s="710" t="s">
        <v>3573</v>
      </c>
      <c r="D3700" s="709" t="s">
        <v>168</v>
      </c>
      <c r="E3700" s="716">
        <v>937.56</v>
      </c>
      <c r="F3700" s="717">
        <v>0.74390000000000001</v>
      </c>
      <c r="G3700">
        <f>VLOOKUP(B3700,'SINAPI-%MO'!B:E,4,0)</f>
        <v>0.24540000000000001</v>
      </c>
      <c r="H3700" s="225">
        <f t="shared" si="57"/>
        <v>707.48</v>
      </c>
    </row>
    <row r="3701" spans="1:8" x14ac:dyDescent="0.3">
      <c r="A3701" s="400"/>
      <c r="B3701" s="709">
        <v>94559</v>
      </c>
      <c r="C3701" s="710" t="s">
        <v>3574</v>
      </c>
      <c r="D3701" s="709" t="s">
        <v>168</v>
      </c>
      <c r="E3701" s="716">
        <v>669.61</v>
      </c>
      <c r="F3701" s="717">
        <v>0.63759999999999994</v>
      </c>
      <c r="G3701">
        <f>VLOOKUP(B3701,'SINAPI-%MO'!B:E,4,0)</f>
        <v>0.34499999999999997</v>
      </c>
      <c r="H3701" s="225">
        <f t="shared" si="57"/>
        <v>438.59</v>
      </c>
    </row>
    <row r="3702" spans="1:8" x14ac:dyDescent="0.3">
      <c r="A3702" s="400"/>
      <c r="B3702" s="709">
        <v>100668</v>
      </c>
      <c r="C3702" s="710" t="s">
        <v>3575</v>
      </c>
      <c r="D3702" s="709" t="s">
        <v>168</v>
      </c>
      <c r="E3702" s="716">
        <v>1316.61</v>
      </c>
      <c r="F3702" s="717">
        <v>0.71530000000000005</v>
      </c>
      <c r="G3702">
        <f>VLOOKUP(B3702,'SINAPI-%MO'!B:E,4,0)</f>
        <v>0.13519999999999999</v>
      </c>
      <c r="H3702" s="225">
        <f t="shared" si="57"/>
        <v>1138.5999999999999</v>
      </c>
    </row>
    <row r="3703" spans="1:8" x14ac:dyDescent="0.3">
      <c r="A3703" s="400"/>
      <c r="B3703" s="709">
        <v>100670</v>
      </c>
      <c r="C3703" s="710" t="s">
        <v>3576</v>
      </c>
      <c r="D3703" s="709" t="s">
        <v>168</v>
      </c>
      <c r="E3703" s="716">
        <v>991.66</v>
      </c>
      <c r="F3703" s="717">
        <v>0.85770000000000002</v>
      </c>
      <c r="G3703">
        <f>VLOOKUP(B3703,'SINAPI-%MO'!B:E,4,0)</f>
        <v>6.8199999999999997E-2</v>
      </c>
      <c r="H3703" s="225">
        <f t="shared" si="57"/>
        <v>924.02</v>
      </c>
    </row>
    <row r="3704" spans="1:8" x14ac:dyDescent="0.3">
      <c r="A3704" s="400"/>
      <c r="B3704" s="709">
        <v>100665</v>
      </c>
      <c r="C3704" s="710" t="s">
        <v>3577</v>
      </c>
      <c r="D3704" s="709" t="s">
        <v>168</v>
      </c>
      <c r="E3704" s="716">
        <v>831.56</v>
      </c>
      <c r="F3704" s="717">
        <v>0.80310000000000004</v>
      </c>
      <c r="G3704">
        <f>VLOOKUP(B3704,'SINAPI-%MO'!B:E,4,0)</f>
        <v>9.3200000000000005E-2</v>
      </c>
      <c r="H3704" s="225">
        <f t="shared" si="57"/>
        <v>754.05</v>
      </c>
    </row>
    <row r="3705" spans="1:8" x14ac:dyDescent="0.3">
      <c r="A3705" s="400"/>
      <c r="B3705" s="709">
        <v>100924</v>
      </c>
      <c r="C3705" s="710" t="s">
        <v>3578</v>
      </c>
      <c r="D3705" s="709" t="s">
        <v>168</v>
      </c>
      <c r="E3705" s="716">
        <v>0</v>
      </c>
      <c r="F3705" s="717"/>
      <c r="G3705" t="e">
        <f>VLOOKUP(B3705,'SINAPI-%MO'!B:E,4,0)</f>
        <v>#N/A</v>
      </c>
      <c r="H3705" s="225" t="str">
        <f t="shared" si="57"/>
        <v/>
      </c>
    </row>
    <row r="3706" spans="1:8" x14ac:dyDescent="0.3">
      <c r="A3706" s="400"/>
      <c r="B3706" s="709">
        <v>100671</v>
      </c>
      <c r="C3706" s="710" t="s">
        <v>3579</v>
      </c>
      <c r="D3706" s="709" t="s">
        <v>168</v>
      </c>
      <c r="E3706" s="716">
        <v>1219.07</v>
      </c>
      <c r="F3706" s="717">
        <v>0.88419999999999999</v>
      </c>
      <c r="G3706">
        <f>VLOOKUP(B3706,'SINAPI-%MO'!B:E,4,0)</f>
        <v>5.5500000000000001E-2</v>
      </c>
      <c r="H3706" s="225">
        <f t="shared" si="57"/>
        <v>1151.4100000000001</v>
      </c>
    </row>
    <row r="3707" spans="1:8" x14ac:dyDescent="0.3">
      <c r="A3707" s="400"/>
      <c r="B3707" s="709">
        <v>100667</v>
      </c>
      <c r="C3707" s="710" t="s">
        <v>3580</v>
      </c>
      <c r="D3707" s="709" t="s">
        <v>168</v>
      </c>
      <c r="E3707" s="716">
        <v>1055.43</v>
      </c>
      <c r="F3707" s="717">
        <v>0.8448</v>
      </c>
      <c r="G3707">
        <f>VLOOKUP(B3707,'SINAPI-%MO'!B:E,4,0)</f>
        <v>7.3400000000000007E-2</v>
      </c>
      <c r="H3707" s="225">
        <f t="shared" si="57"/>
        <v>977.96</v>
      </c>
    </row>
    <row r="3708" spans="1:8" x14ac:dyDescent="0.3">
      <c r="A3708" s="400"/>
      <c r="B3708" s="709">
        <v>100669</v>
      </c>
      <c r="C3708" s="710" t="s">
        <v>3581</v>
      </c>
      <c r="D3708" s="709" t="s">
        <v>168</v>
      </c>
      <c r="E3708" s="716">
        <v>975.98</v>
      </c>
      <c r="F3708" s="717">
        <v>0.6159</v>
      </c>
      <c r="G3708">
        <f>VLOOKUP(B3708,'SINAPI-%MO'!B:E,4,0)</f>
        <v>0.18229999999999999</v>
      </c>
      <c r="H3708" s="225">
        <f t="shared" si="57"/>
        <v>798.05</v>
      </c>
    </row>
    <row r="3709" spans="1:8" x14ac:dyDescent="0.3">
      <c r="A3709" s="400"/>
      <c r="B3709" s="709">
        <v>100672</v>
      </c>
      <c r="C3709" s="710" t="s">
        <v>3582</v>
      </c>
      <c r="D3709" s="709" t="s">
        <v>168</v>
      </c>
      <c r="E3709" s="716">
        <v>803.88</v>
      </c>
      <c r="F3709" s="717">
        <v>0.82440000000000002</v>
      </c>
      <c r="G3709">
        <f>VLOOKUP(B3709,'SINAPI-%MO'!B:E,4,0)</f>
        <v>8.4099999999999994E-2</v>
      </c>
      <c r="H3709" s="225">
        <f t="shared" si="57"/>
        <v>736.27</v>
      </c>
    </row>
    <row r="3710" spans="1:8" x14ac:dyDescent="0.3">
      <c r="A3710" s="400"/>
      <c r="B3710" s="709">
        <v>100666</v>
      </c>
      <c r="C3710" s="710" t="s">
        <v>3583</v>
      </c>
      <c r="D3710" s="709" t="s">
        <v>168</v>
      </c>
      <c r="E3710" s="716">
        <v>673.21</v>
      </c>
      <c r="F3710" s="717">
        <v>0.75670000000000004</v>
      </c>
      <c r="G3710">
        <f>VLOOKUP(B3710,'SINAPI-%MO'!B:E,4,0)</f>
        <v>0.11509999999999999</v>
      </c>
      <c r="H3710" s="225">
        <f t="shared" si="57"/>
        <v>595.72</v>
      </c>
    </row>
    <row r="3711" spans="1:8" x14ac:dyDescent="0.3">
      <c r="A3711" s="400"/>
      <c r="B3711" s="709">
        <v>100663</v>
      </c>
      <c r="C3711" s="710" t="s">
        <v>3584</v>
      </c>
      <c r="D3711" s="709" t="s">
        <v>168</v>
      </c>
      <c r="E3711" s="716">
        <v>0</v>
      </c>
      <c r="F3711" s="717"/>
      <c r="G3711" t="e">
        <f>VLOOKUP(B3711,'SINAPI-%MO'!B:E,4,0)</f>
        <v>#N/A</v>
      </c>
      <c r="H3711" s="225" t="str">
        <f t="shared" si="57"/>
        <v/>
      </c>
    </row>
    <row r="3712" spans="1:8" x14ac:dyDescent="0.3">
      <c r="A3712" s="400"/>
      <c r="B3712" s="709">
        <v>100662</v>
      </c>
      <c r="C3712" s="710" t="s">
        <v>3585</v>
      </c>
      <c r="D3712" s="709" t="s">
        <v>168</v>
      </c>
      <c r="E3712" s="716">
        <v>0</v>
      </c>
      <c r="F3712" s="717"/>
      <c r="G3712" t="e">
        <f>VLOOKUP(B3712,'SINAPI-%MO'!B:E,4,0)</f>
        <v>#N/A</v>
      </c>
      <c r="H3712" s="225" t="str">
        <f t="shared" si="57"/>
        <v/>
      </c>
    </row>
    <row r="3713" spans="1:8" x14ac:dyDescent="0.3">
      <c r="A3713" s="400"/>
      <c r="B3713" s="709">
        <v>100661</v>
      </c>
      <c r="C3713" s="710" t="s">
        <v>3586</v>
      </c>
      <c r="D3713" s="709" t="s">
        <v>168</v>
      </c>
      <c r="E3713" s="716">
        <v>0</v>
      </c>
      <c r="F3713" s="717"/>
      <c r="G3713" t="e">
        <f>VLOOKUP(B3713,'SINAPI-%MO'!B:E,4,0)</f>
        <v>#N/A</v>
      </c>
      <c r="H3713" s="225" t="str">
        <f t="shared" si="57"/>
        <v/>
      </c>
    </row>
    <row r="3714" spans="1:8" x14ac:dyDescent="0.3">
      <c r="A3714" s="400"/>
      <c r="B3714" s="709">
        <v>105925</v>
      </c>
      <c r="C3714" s="710" t="s">
        <v>13445</v>
      </c>
      <c r="D3714" s="709" t="s">
        <v>159</v>
      </c>
      <c r="E3714" s="716">
        <v>2.65</v>
      </c>
      <c r="F3714" s="717">
        <v>0</v>
      </c>
      <c r="G3714">
        <f>VLOOKUP(B3714,'SINAPI-%MO'!B:E,4,0)</f>
        <v>0.96599999999999997</v>
      </c>
      <c r="H3714" s="225">
        <f t="shared" si="57"/>
        <v>0.09</v>
      </c>
    </row>
    <row r="3715" spans="1:8" x14ac:dyDescent="0.3">
      <c r="A3715" s="400"/>
      <c r="B3715" s="709">
        <v>100659</v>
      </c>
      <c r="C3715" s="710" t="s">
        <v>13446</v>
      </c>
      <c r="D3715" s="709" t="s">
        <v>159</v>
      </c>
      <c r="E3715" s="716">
        <v>15.31</v>
      </c>
      <c r="F3715" s="717">
        <v>0</v>
      </c>
      <c r="G3715">
        <f>VLOOKUP(B3715,'SINAPI-%MO'!B:E,4,0)</f>
        <v>0.16719999999999999</v>
      </c>
      <c r="H3715" s="225">
        <f t="shared" si="57"/>
        <v>12.75</v>
      </c>
    </row>
    <row r="3716" spans="1:8" x14ac:dyDescent="0.3">
      <c r="A3716" s="400"/>
      <c r="B3716" s="709">
        <v>100660</v>
      </c>
      <c r="C3716" s="710" t="s">
        <v>13447</v>
      </c>
      <c r="D3716" s="709" t="s">
        <v>159</v>
      </c>
      <c r="E3716" s="716">
        <v>10.199999999999999</v>
      </c>
      <c r="F3716" s="717">
        <v>0</v>
      </c>
      <c r="G3716">
        <f>VLOOKUP(B3716,'SINAPI-%MO'!B:E,4,0)</f>
        <v>0.251</v>
      </c>
      <c r="H3716" s="225">
        <f t="shared" si="57"/>
        <v>7.63</v>
      </c>
    </row>
    <row r="3717" spans="1:8" x14ac:dyDescent="0.3">
      <c r="A3717" s="400"/>
      <c r="B3717" s="709">
        <v>100711</v>
      </c>
      <c r="C3717" s="710" t="s">
        <v>15026</v>
      </c>
      <c r="D3717" s="709" t="s">
        <v>159</v>
      </c>
      <c r="E3717" s="716">
        <v>0</v>
      </c>
      <c r="F3717" s="717"/>
      <c r="G3717" t="e">
        <f>VLOOKUP(B3717,'SINAPI-%MO'!B:E,4,0)</f>
        <v>#N/A</v>
      </c>
      <c r="H3717" s="225" t="str">
        <f t="shared" si="57"/>
        <v/>
      </c>
    </row>
    <row r="3718" spans="1:8" x14ac:dyDescent="0.3">
      <c r="A3718" s="400"/>
      <c r="B3718" s="709">
        <v>100676</v>
      </c>
      <c r="C3718" s="710" t="s">
        <v>13448</v>
      </c>
      <c r="D3718" s="709" t="s">
        <v>136</v>
      </c>
      <c r="E3718" s="716">
        <v>279.12</v>
      </c>
      <c r="F3718" s="717">
        <v>0</v>
      </c>
      <c r="G3718">
        <f>VLOOKUP(B3718,'SINAPI-%MO'!B:E,4,0)</f>
        <v>0.41189999999999999</v>
      </c>
      <c r="H3718" s="225">
        <f t="shared" si="57"/>
        <v>164.15</v>
      </c>
    </row>
    <row r="3719" spans="1:8" x14ac:dyDescent="0.3">
      <c r="A3719" s="400"/>
      <c r="B3719" s="709">
        <v>90806</v>
      </c>
      <c r="C3719" s="710" t="s">
        <v>13449</v>
      </c>
      <c r="D3719" s="709" t="s">
        <v>136</v>
      </c>
      <c r="E3719" s="716">
        <v>563.76</v>
      </c>
      <c r="F3719" s="717">
        <v>0</v>
      </c>
      <c r="G3719">
        <f>VLOOKUP(B3719,'SINAPI-%MO'!B:E,4,0)</f>
        <v>0.4244</v>
      </c>
      <c r="H3719" s="225">
        <f t="shared" si="57"/>
        <v>324.5</v>
      </c>
    </row>
    <row r="3720" spans="1:8" x14ac:dyDescent="0.3">
      <c r="A3720" s="400"/>
      <c r="B3720" s="709">
        <v>91292</v>
      </c>
      <c r="C3720" s="710" t="s">
        <v>13450</v>
      </c>
      <c r="D3720" s="709" t="s">
        <v>136</v>
      </c>
      <c r="E3720" s="716">
        <v>449.77</v>
      </c>
      <c r="F3720" s="717">
        <v>0</v>
      </c>
      <c r="G3720">
        <f>VLOOKUP(B3720,'SINAPI-%MO'!B:E,4,0)</f>
        <v>0.53200000000000003</v>
      </c>
      <c r="H3720" s="225">
        <f t="shared" si="57"/>
        <v>210.49</v>
      </c>
    </row>
    <row r="3721" spans="1:8" x14ac:dyDescent="0.3">
      <c r="A3721" s="400"/>
      <c r="B3721" s="709">
        <v>90801</v>
      </c>
      <c r="C3721" s="710" t="s">
        <v>13451</v>
      </c>
      <c r="D3721" s="709" t="s">
        <v>136</v>
      </c>
      <c r="E3721" s="716">
        <v>443.32</v>
      </c>
      <c r="F3721" s="717">
        <v>0</v>
      </c>
      <c r="G3721">
        <f>VLOOKUP(B3721,'SINAPI-%MO'!B:E,4,0)</f>
        <v>0.32329999999999998</v>
      </c>
      <c r="H3721" s="225">
        <f t="shared" si="57"/>
        <v>299.99</v>
      </c>
    </row>
    <row r="3722" spans="1:8" x14ac:dyDescent="0.3">
      <c r="A3722" s="400"/>
      <c r="B3722" s="709">
        <v>91287</v>
      </c>
      <c r="C3722" s="710" t="s">
        <v>13452</v>
      </c>
      <c r="D3722" s="709" t="s">
        <v>136</v>
      </c>
      <c r="E3722" s="716">
        <v>329.33</v>
      </c>
      <c r="F3722" s="717">
        <v>0</v>
      </c>
      <c r="G3722">
        <f>VLOOKUP(B3722,'SINAPI-%MO'!B:E,4,0)</f>
        <v>0.43519999999999998</v>
      </c>
      <c r="H3722" s="225">
        <f t="shared" si="57"/>
        <v>186</v>
      </c>
    </row>
    <row r="3723" spans="1:8" x14ac:dyDescent="0.3">
      <c r="A3723" s="400"/>
      <c r="B3723" s="709">
        <v>100706</v>
      </c>
      <c r="C3723" s="710" t="s">
        <v>13453</v>
      </c>
      <c r="D3723" s="709" t="s">
        <v>136</v>
      </c>
      <c r="E3723" s="716">
        <v>95.94</v>
      </c>
      <c r="F3723" s="717">
        <v>0</v>
      </c>
      <c r="G3723">
        <f>VLOOKUP(B3723,'SINAPI-%MO'!B:E,4,0)</f>
        <v>0.65210000000000001</v>
      </c>
      <c r="H3723" s="225">
        <f t="shared" ref="H3723:H3786" si="58">IF(E3723&gt;0,TRUNC(E3723*(1-G3723),2),"")</f>
        <v>33.369999999999997</v>
      </c>
    </row>
    <row r="3724" spans="1:8" x14ac:dyDescent="0.3">
      <c r="A3724" s="400"/>
      <c r="B3724" s="709">
        <v>100709</v>
      </c>
      <c r="C3724" s="710" t="s">
        <v>13454</v>
      </c>
      <c r="D3724" s="709" t="s">
        <v>136</v>
      </c>
      <c r="E3724" s="716">
        <v>67.17</v>
      </c>
      <c r="F3724" s="717">
        <v>0</v>
      </c>
      <c r="G3724">
        <f>VLOOKUP(B3724,'SINAPI-%MO'!B:E,4,0)</f>
        <v>0.72009999999999996</v>
      </c>
      <c r="H3724" s="225">
        <f t="shared" si="58"/>
        <v>18.8</v>
      </c>
    </row>
    <row r="3725" spans="1:8" x14ac:dyDescent="0.3">
      <c r="A3725" s="400"/>
      <c r="B3725" s="709">
        <v>100710</v>
      </c>
      <c r="C3725" s="710" t="s">
        <v>13455</v>
      </c>
      <c r="D3725" s="709" t="s">
        <v>136</v>
      </c>
      <c r="E3725" s="716">
        <v>164.11</v>
      </c>
      <c r="F3725" s="717">
        <v>0</v>
      </c>
      <c r="G3725">
        <f>VLOOKUP(B3725,'SINAPI-%MO'!B:E,4,0)</f>
        <v>0.39300000000000002</v>
      </c>
      <c r="H3725" s="225">
        <f t="shared" si="58"/>
        <v>99.61</v>
      </c>
    </row>
    <row r="3726" spans="1:8" x14ac:dyDescent="0.3">
      <c r="A3726" s="400"/>
      <c r="B3726" s="709">
        <v>90830</v>
      </c>
      <c r="C3726" s="710" t="s">
        <v>13456</v>
      </c>
      <c r="D3726" s="709" t="s">
        <v>136</v>
      </c>
      <c r="E3726" s="716">
        <v>233.06</v>
      </c>
      <c r="F3726" s="717">
        <v>0</v>
      </c>
      <c r="G3726">
        <f>VLOOKUP(B3726,'SINAPI-%MO'!B:E,4,0)</f>
        <v>0.22689999999999999</v>
      </c>
      <c r="H3726" s="225">
        <f t="shared" si="58"/>
        <v>180.17</v>
      </c>
    </row>
    <row r="3727" spans="1:8" x14ac:dyDescent="0.3">
      <c r="A3727" s="400"/>
      <c r="B3727" s="709">
        <v>91304</v>
      </c>
      <c r="C3727" s="710" t="s">
        <v>13457</v>
      </c>
      <c r="D3727" s="709" t="s">
        <v>136</v>
      </c>
      <c r="E3727" s="716">
        <v>143.94999999999999</v>
      </c>
      <c r="F3727" s="717">
        <v>0</v>
      </c>
      <c r="G3727">
        <f>VLOOKUP(B3727,'SINAPI-%MO'!B:E,4,0)</f>
        <v>0.36730000000000002</v>
      </c>
      <c r="H3727" s="225">
        <f t="shared" si="58"/>
        <v>91.07</v>
      </c>
    </row>
    <row r="3728" spans="1:8" x14ac:dyDescent="0.3">
      <c r="A3728" s="400"/>
      <c r="B3728" s="709">
        <v>90831</v>
      </c>
      <c r="C3728" s="710" t="s">
        <v>13458</v>
      </c>
      <c r="D3728" s="709" t="s">
        <v>136</v>
      </c>
      <c r="E3728" s="716">
        <v>203.76</v>
      </c>
      <c r="F3728" s="717">
        <v>0</v>
      </c>
      <c r="G3728">
        <f>VLOOKUP(B3728,'SINAPI-%MO'!B:E,4,0)</f>
        <v>0.19869999999999999</v>
      </c>
      <c r="H3728" s="225">
        <f t="shared" si="58"/>
        <v>163.27000000000001</v>
      </c>
    </row>
    <row r="3729" spans="1:8" x14ac:dyDescent="0.3">
      <c r="A3729" s="400"/>
      <c r="B3729" s="709">
        <v>91305</v>
      </c>
      <c r="C3729" s="710" t="s">
        <v>13459</v>
      </c>
      <c r="D3729" s="709" t="s">
        <v>136</v>
      </c>
      <c r="E3729" s="716">
        <v>142.46</v>
      </c>
      <c r="F3729" s="717">
        <v>0</v>
      </c>
      <c r="G3729">
        <f>VLOOKUP(B3729,'SINAPI-%MO'!B:E,4,0)</f>
        <v>0.28420000000000001</v>
      </c>
      <c r="H3729" s="225">
        <f t="shared" si="58"/>
        <v>101.97</v>
      </c>
    </row>
    <row r="3730" spans="1:8" x14ac:dyDescent="0.3">
      <c r="A3730" s="400"/>
      <c r="B3730" s="709">
        <v>91306</v>
      </c>
      <c r="C3730" s="710" t="s">
        <v>13460</v>
      </c>
      <c r="D3730" s="709" t="s">
        <v>136</v>
      </c>
      <c r="E3730" s="716">
        <v>203.76</v>
      </c>
      <c r="F3730" s="717">
        <v>0</v>
      </c>
      <c r="G3730">
        <f>VLOOKUP(B3730,'SINAPI-%MO'!B:E,4,0)</f>
        <v>0.19869999999999999</v>
      </c>
      <c r="H3730" s="225">
        <f t="shared" si="58"/>
        <v>163.27000000000001</v>
      </c>
    </row>
    <row r="3731" spans="1:8" x14ac:dyDescent="0.3">
      <c r="A3731" s="400"/>
      <c r="B3731" s="709">
        <v>91307</v>
      </c>
      <c r="C3731" s="710" t="s">
        <v>13461</v>
      </c>
      <c r="D3731" s="709" t="s">
        <v>136</v>
      </c>
      <c r="E3731" s="716">
        <v>121.77</v>
      </c>
      <c r="F3731" s="717">
        <v>0</v>
      </c>
      <c r="G3731">
        <f>VLOOKUP(B3731,'SINAPI-%MO'!B:E,4,0)</f>
        <v>0.33250000000000002</v>
      </c>
      <c r="H3731" s="225">
        <f t="shared" si="58"/>
        <v>81.28</v>
      </c>
    </row>
    <row r="3732" spans="1:8" x14ac:dyDescent="0.3">
      <c r="A3732" s="400"/>
      <c r="B3732" s="709">
        <v>100707</v>
      </c>
      <c r="C3732" s="710" t="s">
        <v>13462</v>
      </c>
      <c r="D3732" s="709" t="s">
        <v>136</v>
      </c>
      <c r="E3732" s="716">
        <v>185.64</v>
      </c>
      <c r="F3732" s="717">
        <v>0</v>
      </c>
      <c r="G3732">
        <f>VLOOKUP(B3732,'SINAPI-%MO'!B:E,4,0)</f>
        <v>0.32040000000000002</v>
      </c>
      <c r="H3732" s="225">
        <f t="shared" si="58"/>
        <v>126.16</v>
      </c>
    </row>
    <row r="3733" spans="1:8" x14ac:dyDescent="0.3">
      <c r="A3733" s="400"/>
      <c r="B3733" s="709">
        <v>100708</v>
      </c>
      <c r="C3733" s="710" t="s">
        <v>13463</v>
      </c>
      <c r="D3733" s="709" t="s">
        <v>136</v>
      </c>
      <c r="E3733" s="716">
        <v>230.96</v>
      </c>
      <c r="F3733" s="717">
        <v>0</v>
      </c>
      <c r="G3733">
        <f>VLOOKUP(B3733,'SINAPI-%MO'!B:E,4,0)</f>
        <v>0.28549999999999998</v>
      </c>
      <c r="H3733" s="225">
        <f t="shared" si="58"/>
        <v>165.02</v>
      </c>
    </row>
    <row r="3734" spans="1:8" x14ac:dyDescent="0.3">
      <c r="A3734" s="400"/>
      <c r="B3734" s="709">
        <v>91328</v>
      </c>
      <c r="C3734" s="710" t="s">
        <v>13464</v>
      </c>
      <c r="D3734" s="709" t="s">
        <v>136</v>
      </c>
      <c r="E3734" s="716">
        <v>1157.78</v>
      </c>
      <c r="F3734" s="717">
        <v>0</v>
      </c>
      <c r="G3734">
        <f>VLOOKUP(B3734,'SINAPI-%MO'!B:E,4,0)</f>
        <v>0.2863</v>
      </c>
      <c r="H3734" s="225">
        <f t="shared" si="58"/>
        <v>826.3</v>
      </c>
    </row>
    <row r="3735" spans="1:8" x14ac:dyDescent="0.3">
      <c r="A3735" s="400"/>
      <c r="B3735" s="709">
        <v>100687</v>
      </c>
      <c r="C3735" s="710" t="s">
        <v>13465</v>
      </c>
      <c r="D3735" s="709" t="s">
        <v>136</v>
      </c>
      <c r="E3735" s="716">
        <v>1361.54</v>
      </c>
      <c r="F3735" s="717">
        <v>0</v>
      </c>
      <c r="G3735">
        <f>VLOOKUP(B3735,'SINAPI-%MO'!B:E,4,0)</f>
        <v>0.2732</v>
      </c>
      <c r="H3735" s="225">
        <f t="shared" si="58"/>
        <v>989.56</v>
      </c>
    </row>
    <row r="3736" spans="1:8" x14ac:dyDescent="0.3">
      <c r="A3736" s="400"/>
      <c r="B3736" s="709">
        <v>100681</v>
      </c>
      <c r="C3736" s="710" t="s">
        <v>13466</v>
      </c>
      <c r="D3736" s="709" t="s">
        <v>136</v>
      </c>
      <c r="E3736" s="716">
        <v>1395.83</v>
      </c>
      <c r="F3736" s="717">
        <v>0</v>
      </c>
      <c r="G3736">
        <f>VLOOKUP(B3736,'SINAPI-%MO'!B:E,4,0)</f>
        <v>0.27189999999999998</v>
      </c>
      <c r="H3736" s="225">
        <f t="shared" si="58"/>
        <v>1016.3</v>
      </c>
    </row>
    <row r="3737" spans="1:8" x14ac:dyDescent="0.3">
      <c r="A3737" s="400"/>
      <c r="B3737" s="709">
        <v>91330</v>
      </c>
      <c r="C3737" s="710" t="s">
        <v>13467</v>
      </c>
      <c r="D3737" s="709" t="s">
        <v>136</v>
      </c>
      <c r="E3737" s="716">
        <v>1192.07</v>
      </c>
      <c r="F3737" s="717">
        <v>0</v>
      </c>
      <c r="G3737">
        <f>VLOOKUP(B3737,'SINAPI-%MO'!B:E,4,0)</f>
        <v>0.28439999999999999</v>
      </c>
      <c r="H3737" s="225">
        <f t="shared" si="58"/>
        <v>853.04</v>
      </c>
    </row>
    <row r="3738" spans="1:8" x14ac:dyDescent="0.3">
      <c r="A3738" s="400"/>
      <c r="B3738" s="709">
        <v>100689</v>
      </c>
      <c r="C3738" s="710" t="s">
        <v>13468</v>
      </c>
      <c r="D3738" s="709" t="s">
        <v>136</v>
      </c>
      <c r="E3738" s="716">
        <v>1474.41</v>
      </c>
      <c r="F3738" s="717">
        <v>0</v>
      </c>
      <c r="G3738">
        <f>VLOOKUP(B3738,'SINAPI-%MO'!B:E,4,0)</f>
        <v>0.27089999999999997</v>
      </c>
      <c r="H3738" s="225">
        <f t="shared" si="58"/>
        <v>1074.99</v>
      </c>
    </row>
    <row r="3739" spans="1:8" x14ac:dyDescent="0.3">
      <c r="A3739" s="400"/>
      <c r="B3739" s="709">
        <v>91332</v>
      </c>
      <c r="C3739" s="710" t="s">
        <v>13469</v>
      </c>
      <c r="D3739" s="709" t="s">
        <v>136</v>
      </c>
      <c r="E3739" s="716">
        <v>1241.3499999999999</v>
      </c>
      <c r="F3739" s="717">
        <v>0</v>
      </c>
      <c r="G3739">
        <f>VLOOKUP(B3739,'SINAPI-%MO'!B:E,4,0)</f>
        <v>0.27910000000000001</v>
      </c>
      <c r="H3739" s="225">
        <f t="shared" si="58"/>
        <v>894.88</v>
      </c>
    </row>
    <row r="3740" spans="1:8" x14ac:dyDescent="0.3">
      <c r="A3740" s="400"/>
      <c r="B3740" s="709">
        <v>100688</v>
      </c>
      <c r="C3740" s="710" t="s">
        <v>13470</v>
      </c>
      <c r="D3740" s="709" t="s">
        <v>136</v>
      </c>
      <c r="E3740" s="716">
        <v>1137.2</v>
      </c>
      <c r="F3740" s="717">
        <v>0</v>
      </c>
      <c r="G3740">
        <f>VLOOKUP(B3740,'SINAPI-%MO'!B:E,4,0)</f>
        <v>0.3271</v>
      </c>
      <c r="H3740" s="225">
        <f t="shared" si="58"/>
        <v>765.22</v>
      </c>
    </row>
    <row r="3741" spans="1:8" x14ac:dyDescent="0.3">
      <c r="A3741" s="400"/>
      <c r="B3741" s="709">
        <v>91329</v>
      </c>
      <c r="C3741" s="710" t="s">
        <v>13471</v>
      </c>
      <c r="D3741" s="709" t="s">
        <v>136</v>
      </c>
      <c r="E3741" s="716">
        <v>994.74</v>
      </c>
      <c r="F3741" s="717">
        <v>0</v>
      </c>
      <c r="G3741">
        <f>VLOOKUP(B3741,'SINAPI-%MO'!B:E,4,0)</f>
        <v>0.33329999999999999</v>
      </c>
      <c r="H3741" s="225">
        <f t="shared" si="58"/>
        <v>663.19</v>
      </c>
    </row>
    <row r="3742" spans="1:8" x14ac:dyDescent="0.3">
      <c r="A3742" s="400"/>
      <c r="B3742" s="709">
        <v>100682</v>
      </c>
      <c r="C3742" s="710" t="s">
        <v>13472</v>
      </c>
      <c r="D3742" s="709" t="s">
        <v>136</v>
      </c>
      <c r="E3742" s="716">
        <v>1149.78</v>
      </c>
      <c r="F3742" s="717">
        <v>0</v>
      </c>
      <c r="G3742">
        <f>VLOOKUP(B3742,'SINAPI-%MO'!B:E,4,0)</f>
        <v>0.33</v>
      </c>
      <c r="H3742" s="225">
        <f t="shared" si="58"/>
        <v>770.35</v>
      </c>
    </row>
    <row r="3743" spans="1:8" x14ac:dyDescent="0.3">
      <c r="A3743" s="400"/>
      <c r="B3743" s="709">
        <v>91331</v>
      </c>
      <c r="C3743" s="710" t="s">
        <v>13473</v>
      </c>
      <c r="D3743" s="709" t="s">
        <v>136</v>
      </c>
      <c r="E3743" s="716">
        <v>1028.01</v>
      </c>
      <c r="F3743" s="717">
        <v>0</v>
      </c>
      <c r="G3743">
        <f>VLOOKUP(B3743,'SINAPI-%MO'!B:E,4,0)</f>
        <v>0.32979999999999998</v>
      </c>
      <c r="H3743" s="225">
        <f t="shared" si="58"/>
        <v>688.97</v>
      </c>
    </row>
    <row r="3744" spans="1:8" x14ac:dyDescent="0.3">
      <c r="A3744" s="400"/>
      <c r="B3744" s="709">
        <v>100690</v>
      </c>
      <c r="C3744" s="710" t="s">
        <v>13474</v>
      </c>
      <c r="D3744" s="709" t="s">
        <v>136</v>
      </c>
      <c r="E3744" s="716">
        <v>1220.21</v>
      </c>
      <c r="F3744" s="717">
        <v>0</v>
      </c>
      <c r="G3744">
        <f>VLOOKUP(B3744,'SINAPI-%MO'!B:E,4,0)</f>
        <v>0.32729999999999998</v>
      </c>
      <c r="H3744" s="225">
        <f t="shared" si="58"/>
        <v>820.83</v>
      </c>
    </row>
    <row r="3745" spans="1:8" x14ac:dyDescent="0.3">
      <c r="A3745" s="400"/>
      <c r="B3745" s="709">
        <v>91333</v>
      </c>
      <c r="C3745" s="710" t="s">
        <v>13475</v>
      </c>
      <c r="D3745" s="709" t="s">
        <v>136</v>
      </c>
      <c r="E3745" s="716">
        <v>1076.26</v>
      </c>
      <c r="F3745" s="717">
        <v>0</v>
      </c>
      <c r="G3745">
        <f>VLOOKUP(B3745,'SINAPI-%MO'!B:E,4,0)</f>
        <v>0.32190000000000002</v>
      </c>
      <c r="H3745" s="225">
        <f t="shared" si="58"/>
        <v>729.81</v>
      </c>
    </row>
    <row r="3746" spans="1:8" x14ac:dyDescent="0.3">
      <c r="A3746" s="400"/>
      <c r="B3746" s="709">
        <v>90845</v>
      </c>
      <c r="C3746" s="710" t="s">
        <v>13476</v>
      </c>
      <c r="D3746" s="709" t="s">
        <v>136</v>
      </c>
      <c r="E3746" s="716">
        <v>1738.92</v>
      </c>
      <c r="F3746" s="717">
        <v>0</v>
      </c>
      <c r="G3746">
        <f>VLOOKUP(B3746,'SINAPI-%MO'!B:E,4,0)</f>
        <v>0.24790000000000001</v>
      </c>
      <c r="H3746" s="225">
        <f t="shared" si="58"/>
        <v>1307.8399999999999</v>
      </c>
    </row>
    <row r="3747" spans="1:8" x14ac:dyDescent="0.3">
      <c r="A3747" s="400"/>
      <c r="B3747" s="709">
        <v>90846</v>
      </c>
      <c r="C3747" s="710" t="s">
        <v>13477</v>
      </c>
      <c r="D3747" s="709" t="s">
        <v>136</v>
      </c>
      <c r="E3747" s="716">
        <v>1828.84</v>
      </c>
      <c r="F3747" s="717">
        <v>0</v>
      </c>
      <c r="G3747">
        <f>VLOOKUP(B3747,'SINAPI-%MO'!B:E,4,0)</f>
        <v>0.2412</v>
      </c>
      <c r="H3747" s="225">
        <f t="shared" si="58"/>
        <v>1387.72</v>
      </c>
    </row>
    <row r="3748" spans="1:8" x14ac:dyDescent="0.3">
      <c r="A3748" s="400"/>
      <c r="B3748" s="709">
        <v>91316</v>
      </c>
      <c r="C3748" s="710" t="s">
        <v>13478</v>
      </c>
      <c r="D3748" s="709" t="s">
        <v>136</v>
      </c>
      <c r="E3748" s="716">
        <v>1484.72</v>
      </c>
      <c r="F3748" s="717">
        <v>0</v>
      </c>
      <c r="G3748">
        <f>VLOOKUP(B3748,'SINAPI-%MO'!B:E,4,0)</f>
        <v>0.2903</v>
      </c>
      <c r="H3748" s="225">
        <f t="shared" si="58"/>
        <v>1053.7</v>
      </c>
    </row>
    <row r="3749" spans="1:8" x14ac:dyDescent="0.3">
      <c r="A3749" s="400"/>
      <c r="B3749" s="709">
        <v>91317</v>
      </c>
      <c r="C3749" s="710" t="s">
        <v>13479</v>
      </c>
      <c r="D3749" s="709" t="s">
        <v>136</v>
      </c>
      <c r="E3749" s="716">
        <v>1573.62</v>
      </c>
      <c r="F3749" s="717">
        <v>0</v>
      </c>
      <c r="G3749">
        <f>VLOOKUP(B3749,'SINAPI-%MO'!B:E,4,0)</f>
        <v>0.28039999999999998</v>
      </c>
      <c r="H3749" s="225">
        <f t="shared" si="58"/>
        <v>1132.3699999999999</v>
      </c>
    </row>
    <row r="3750" spans="1:8" x14ac:dyDescent="0.3">
      <c r="A3750" s="400"/>
      <c r="B3750" s="709">
        <v>90841</v>
      </c>
      <c r="C3750" s="710" t="s">
        <v>13480</v>
      </c>
      <c r="D3750" s="709" t="s">
        <v>136</v>
      </c>
      <c r="E3750" s="716">
        <v>1335.88</v>
      </c>
      <c r="F3750" s="717">
        <v>0</v>
      </c>
      <c r="G3750">
        <f>VLOOKUP(B3750,'SINAPI-%MO'!B:E,4,0)</f>
        <v>0.27850000000000003</v>
      </c>
      <c r="H3750" s="225">
        <f t="shared" si="58"/>
        <v>963.83</v>
      </c>
    </row>
    <row r="3751" spans="1:8" x14ac:dyDescent="0.3">
      <c r="A3751" s="400"/>
      <c r="B3751" s="709">
        <v>90847</v>
      </c>
      <c r="C3751" s="710" t="s">
        <v>13481</v>
      </c>
      <c r="D3751" s="709" t="s">
        <v>136</v>
      </c>
      <c r="E3751" s="716">
        <v>1132.1199999999999</v>
      </c>
      <c r="F3751" s="717">
        <v>0</v>
      </c>
      <c r="G3751">
        <f>VLOOKUP(B3751,'SINAPI-%MO'!B:E,4,0)</f>
        <v>0.2928</v>
      </c>
      <c r="H3751" s="225">
        <f t="shared" si="58"/>
        <v>800.63</v>
      </c>
    </row>
    <row r="3752" spans="1:8" x14ac:dyDescent="0.3">
      <c r="A3752" s="400"/>
      <c r="B3752" s="709">
        <v>90842</v>
      </c>
      <c r="C3752" s="710" t="s">
        <v>13482</v>
      </c>
      <c r="D3752" s="709" t="s">
        <v>136</v>
      </c>
      <c r="E3752" s="716">
        <v>1348.16</v>
      </c>
      <c r="F3752" s="717">
        <v>0</v>
      </c>
      <c r="G3752">
        <f>VLOOKUP(B3752,'SINAPI-%MO'!B:E,4,0)</f>
        <v>0.28149999999999997</v>
      </c>
      <c r="H3752" s="225">
        <f t="shared" si="58"/>
        <v>968.65</v>
      </c>
    </row>
    <row r="3753" spans="1:8" x14ac:dyDescent="0.3">
      <c r="A3753" s="400"/>
      <c r="B3753" s="709">
        <v>90848</v>
      </c>
      <c r="C3753" s="710" t="s">
        <v>13483</v>
      </c>
      <c r="D3753" s="709" t="s">
        <v>136</v>
      </c>
      <c r="E3753" s="716">
        <v>1144.4000000000001</v>
      </c>
      <c r="F3753" s="717">
        <v>0</v>
      </c>
      <c r="G3753">
        <f>VLOOKUP(B3753,'SINAPI-%MO'!B:E,4,0)</f>
        <v>0.29620000000000002</v>
      </c>
      <c r="H3753" s="225">
        <f t="shared" si="58"/>
        <v>805.42</v>
      </c>
    </row>
    <row r="3754" spans="1:8" x14ac:dyDescent="0.3">
      <c r="A3754" s="400"/>
      <c r="B3754" s="709">
        <v>90843</v>
      </c>
      <c r="C3754" s="710" t="s">
        <v>13484</v>
      </c>
      <c r="D3754" s="709" t="s">
        <v>136</v>
      </c>
      <c r="E3754" s="716">
        <v>1410.64</v>
      </c>
      <c r="F3754" s="717">
        <v>0</v>
      </c>
      <c r="G3754">
        <f>VLOOKUP(B3754,'SINAPI-%MO'!B:E,4,0)</f>
        <v>0.28310000000000002</v>
      </c>
      <c r="H3754" s="225">
        <f t="shared" si="58"/>
        <v>1011.28</v>
      </c>
    </row>
    <row r="3755" spans="1:8" x14ac:dyDescent="0.3">
      <c r="A3755" s="400"/>
      <c r="B3755" s="709">
        <v>90849</v>
      </c>
      <c r="C3755" s="710" t="s">
        <v>13485</v>
      </c>
      <c r="D3755" s="709" t="s">
        <v>136</v>
      </c>
      <c r="E3755" s="716">
        <v>1177.58</v>
      </c>
      <c r="F3755" s="717">
        <v>0</v>
      </c>
      <c r="G3755">
        <f>VLOOKUP(B3755,'SINAPI-%MO'!B:E,4,0)</f>
        <v>0.29420000000000002</v>
      </c>
      <c r="H3755" s="225">
        <f t="shared" si="58"/>
        <v>831.13</v>
      </c>
    </row>
    <row r="3756" spans="1:8" x14ac:dyDescent="0.3">
      <c r="A3756" s="400"/>
      <c r="B3756" s="709">
        <v>90844</v>
      </c>
      <c r="C3756" s="710" t="s">
        <v>13486</v>
      </c>
      <c r="D3756" s="709" t="s">
        <v>136</v>
      </c>
      <c r="E3756" s="716">
        <v>1512.5</v>
      </c>
      <c r="F3756" s="717">
        <v>0</v>
      </c>
      <c r="G3756">
        <f>VLOOKUP(B3756,'SINAPI-%MO'!B:E,4,0)</f>
        <v>0.26900000000000002</v>
      </c>
      <c r="H3756" s="225">
        <f t="shared" si="58"/>
        <v>1105.6300000000001</v>
      </c>
    </row>
    <row r="3757" spans="1:8" x14ac:dyDescent="0.3">
      <c r="A3757" s="400"/>
      <c r="B3757" s="709">
        <v>90850</v>
      </c>
      <c r="C3757" s="710" t="s">
        <v>13487</v>
      </c>
      <c r="D3757" s="709" t="s">
        <v>136</v>
      </c>
      <c r="E3757" s="716">
        <v>1279.44</v>
      </c>
      <c r="F3757" s="717">
        <v>0</v>
      </c>
      <c r="G3757">
        <f>VLOOKUP(B3757,'SINAPI-%MO'!B:E,4,0)</f>
        <v>0.2767</v>
      </c>
      <c r="H3757" s="225">
        <f t="shared" si="58"/>
        <v>925.41</v>
      </c>
    </row>
    <row r="3758" spans="1:8" x14ac:dyDescent="0.3">
      <c r="A3758" s="400"/>
      <c r="B3758" s="709">
        <v>91312</v>
      </c>
      <c r="C3758" s="710" t="s">
        <v>13488</v>
      </c>
      <c r="D3758" s="709" t="s">
        <v>136</v>
      </c>
      <c r="E3758" s="716">
        <v>1111.54</v>
      </c>
      <c r="F3758" s="717">
        <v>0</v>
      </c>
      <c r="G3758">
        <f>VLOOKUP(B3758,'SINAPI-%MO'!B:E,4,0)</f>
        <v>0.3347</v>
      </c>
      <c r="H3758" s="225">
        <f t="shared" si="58"/>
        <v>739.5</v>
      </c>
    </row>
    <row r="3759" spans="1:8" x14ac:dyDescent="0.3">
      <c r="A3759" s="400"/>
      <c r="B3759" s="709">
        <v>91318</v>
      </c>
      <c r="C3759" s="710" t="s">
        <v>13489</v>
      </c>
      <c r="D3759" s="709" t="s">
        <v>136</v>
      </c>
      <c r="E3759" s="716">
        <v>969.08</v>
      </c>
      <c r="F3759" s="717">
        <v>0</v>
      </c>
      <c r="G3759">
        <f>VLOOKUP(B3759,'SINAPI-%MO'!B:E,4,0)</f>
        <v>0.34210000000000002</v>
      </c>
      <c r="H3759" s="225">
        <f t="shared" si="58"/>
        <v>637.54999999999995</v>
      </c>
    </row>
    <row r="3760" spans="1:8" x14ac:dyDescent="0.3">
      <c r="A3760" s="400"/>
      <c r="B3760" s="709">
        <v>91313</v>
      </c>
      <c r="C3760" s="710" t="s">
        <v>13490</v>
      </c>
      <c r="D3760" s="709" t="s">
        <v>136</v>
      </c>
      <c r="E3760" s="716">
        <v>1102.1099999999999</v>
      </c>
      <c r="F3760" s="717">
        <v>0</v>
      </c>
      <c r="G3760">
        <f>VLOOKUP(B3760,'SINAPI-%MO'!B:E,4,0)</f>
        <v>0.34429999999999999</v>
      </c>
      <c r="H3760" s="225">
        <f t="shared" si="58"/>
        <v>722.65</v>
      </c>
    </row>
    <row r="3761" spans="1:8" x14ac:dyDescent="0.3">
      <c r="A3761" s="400"/>
      <c r="B3761" s="709">
        <v>91319</v>
      </c>
      <c r="C3761" s="710" t="s">
        <v>13491</v>
      </c>
      <c r="D3761" s="709" t="s">
        <v>136</v>
      </c>
      <c r="E3761" s="716">
        <v>980.34</v>
      </c>
      <c r="F3761" s="717">
        <v>0</v>
      </c>
      <c r="G3761">
        <f>VLOOKUP(B3761,'SINAPI-%MO'!B:E,4,0)</f>
        <v>0.3458</v>
      </c>
      <c r="H3761" s="225">
        <f t="shared" si="58"/>
        <v>641.33000000000004</v>
      </c>
    </row>
    <row r="3762" spans="1:8" x14ac:dyDescent="0.3">
      <c r="A3762" s="400"/>
      <c r="B3762" s="709">
        <v>91314</v>
      </c>
      <c r="C3762" s="710" t="s">
        <v>13492</v>
      </c>
      <c r="D3762" s="709" t="s">
        <v>136</v>
      </c>
      <c r="E3762" s="716">
        <v>1156.44</v>
      </c>
      <c r="F3762" s="717">
        <v>0</v>
      </c>
      <c r="G3762">
        <f>VLOOKUP(B3762,'SINAPI-%MO'!B:E,4,0)</f>
        <v>0.3453</v>
      </c>
      <c r="H3762" s="225">
        <f t="shared" si="58"/>
        <v>757.12</v>
      </c>
    </row>
    <row r="3763" spans="1:8" x14ac:dyDescent="0.3">
      <c r="A3763" s="400"/>
      <c r="B3763" s="709">
        <v>91320</v>
      </c>
      <c r="C3763" s="710" t="s">
        <v>13493</v>
      </c>
      <c r="D3763" s="709" t="s">
        <v>136</v>
      </c>
      <c r="E3763" s="716">
        <v>1012.49</v>
      </c>
      <c r="F3763" s="717">
        <v>0</v>
      </c>
      <c r="G3763">
        <f>VLOOKUP(B3763,'SINAPI-%MO'!B:E,4,0)</f>
        <v>0.3422</v>
      </c>
      <c r="H3763" s="225">
        <f t="shared" si="58"/>
        <v>666.01</v>
      </c>
    </row>
    <row r="3764" spans="1:8" x14ac:dyDescent="0.3">
      <c r="A3764" s="400"/>
      <c r="B3764" s="709">
        <v>91315</v>
      </c>
      <c r="C3764" s="710" t="s">
        <v>13494</v>
      </c>
      <c r="D3764" s="709" t="s">
        <v>136</v>
      </c>
      <c r="E3764" s="716">
        <v>1257.28</v>
      </c>
      <c r="F3764" s="717">
        <v>0</v>
      </c>
      <c r="G3764">
        <f>VLOOKUP(B3764,'SINAPI-%MO'!B:E,4,0)</f>
        <v>0.3236</v>
      </c>
      <c r="H3764" s="225">
        <f t="shared" si="58"/>
        <v>850.42</v>
      </c>
    </row>
    <row r="3765" spans="1:8" x14ac:dyDescent="0.3">
      <c r="A3765" s="400"/>
      <c r="B3765" s="709">
        <v>91321</v>
      </c>
      <c r="C3765" s="710" t="s">
        <v>13495</v>
      </c>
      <c r="D3765" s="709" t="s">
        <v>136</v>
      </c>
      <c r="E3765" s="716">
        <v>1113.33</v>
      </c>
      <c r="F3765" s="717">
        <v>0</v>
      </c>
      <c r="G3765">
        <f>VLOOKUP(B3765,'SINAPI-%MO'!B:E,4,0)</f>
        <v>0.31790000000000002</v>
      </c>
      <c r="H3765" s="225">
        <f t="shared" si="58"/>
        <v>759.4</v>
      </c>
    </row>
    <row r="3766" spans="1:8" x14ac:dyDescent="0.3">
      <c r="A3766" s="400"/>
      <c r="B3766" s="709">
        <v>90851</v>
      </c>
      <c r="C3766" s="710" t="s">
        <v>13496</v>
      </c>
      <c r="D3766" s="709" t="s">
        <v>136</v>
      </c>
      <c r="E3766" s="716">
        <v>1505.86</v>
      </c>
      <c r="F3766" s="717">
        <v>0</v>
      </c>
      <c r="G3766">
        <f>VLOOKUP(B3766,'SINAPI-%MO'!B:E,4,0)</f>
        <v>0.25109999999999999</v>
      </c>
      <c r="H3766" s="225">
        <f t="shared" si="58"/>
        <v>1127.73</v>
      </c>
    </row>
    <row r="3767" spans="1:8" x14ac:dyDescent="0.3">
      <c r="A3767" s="400"/>
      <c r="B3767" s="709">
        <v>90852</v>
      </c>
      <c r="C3767" s="710" t="s">
        <v>13497</v>
      </c>
      <c r="D3767" s="709" t="s">
        <v>136</v>
      </c>
      <c r="E3767" s="716">
        <v>1595.78</v>
      </c>
      <c r="F3767" s="717">
        <v>0</v>
      </c>
      <c r="G3767">
        <f>VLOOKUP(B3767,'SINAPI-%MO'!B:E,4,0)</f>
        <v>0.24329999999999999</v>
      </c>
      <c r="H3767" s="225">
        <f t="shared" si="58"/>
        <v>1207.52</v>
      </c>
    </row>
    <row r="3768" spans="1:8" x14ac:dyDescent="0.3">
      <c r="A3768" s="400"/>
      <c r="B3768" s="709">
        <v>91322</v>
      </c>
      <c r="C3768" s="710" t="s">
        <v>13498</v>
      </c>
      <c r="D3768" s="709" t="s">
        <v>136</v>
      </c>
      <c r="E3768" s="716">
        <v>1340.77</v>
      </c>
      <c r="F3768" s="717">
        <v>0</v>
      </c>
      <c r="G3768">
        <f>VLOOKUP(B3768,'SINAPI-%MO'!B:E,4,0)</f>
        <v>0.28199999999999997</v>
      </c>
      <c r="H3768" s="225">
        <f t="shared" si="58"/>
        <v>962.67</v>
      </c>
    </row>
    <row r="3769" spans="1:8" x14ac:dyDescent="0.3">
      <c r="A3769" s="400"/>
      <c r="B3769" s="709">
        <v>91323</v>
      </c>
      <c r="C3769" s="710" t="s">
        <v>13499</v>
      </c>
      <c r="D3769" s="709" t="s">
        <v>136</v>
      </c>
      <c r="E3769" s="716">
        <v>1429.67</v>
      </c>
      <c r="F3769" s="717">
        <v>0</v>
      </c>
      <c r="G3769">
        <f>VLOOKUP(B3769,'SINAPI-%MO'!B:E,4,0)</f>
        <v>0.27160000000000001</v>
      </c>
      <c r="H3769" s="225">
        <f t="shared" si="58"/>
        <v>1041.3699999999999</v>
      </c>
    </row>
    <row r="3770" spans="1:8" x14ac:dyDescent="0.3">
      <c r="A3770" s="400"/>
      <c r="B3770" s="709">
        <v>100678</v>
      </c>
      <c r="C3770" s="710" t="s">
        <v>13500</v>
      </c>
      <c r="D3770" s="709" t="s">
        <v>136</v>
      </c>
      <c r="E3770" s="716">
        <v>1349.63</v>
      </c>
      <c r="F3770" s="717">
        <v>0</v>
      </c>
      <c r="G3770">
        <f>VLOOKUP(B3770,'SINAPI-%MO'!B:E,4,0)</f>
        <v>0.27560000000000001</v>
      </c>
      <c r="H3770" s="225">
        <f t="shared" si="58"/>
        <v>977.67</v>
      </c>
    </row>
    <row r="3771" spans="1:8" x14ac:dyDescent="0.3">
      <c r="A3771" s="400"/>
      <c r="B3771" s="709">
        <v>91013</v>
      </c>
      <c r="C3771" s="710" t="s">
        <v>13501</v>
      </c>
      <c r="D3771" s="709" t="s">
        <v>136</v>
      </c>
      <c r="E3771" s="716">
        <v>1145.8699999999999</v>
      </c>
      <c r="F3771" s="717">
        <v>0</v>
      </c>
      <c r="G3771">
        <f>VLOOKUP(B3771,'SINAPI-%MO'!B:E,4,0)</f>
        <v>0.2893</v>
      </c>
      <c r="H3771" s="225">
        <f t="shared" si="58"/>
        <v>814.36</v>
      </c>
    </row>
    <row r="3772" spans="1:8" x14ac:dyDescent="0.3">
      <c r="A3772" s="400"/>
      <c r="B3772" s="709">
        <v>100680</v>
      </c>
      <c r="C3772" s="710" t="s">
        <v>13502</v>
      </c>
      <c r="D3772" s="709" t="s">
        <v>136</v>
      </c>
      <c r="E3772" s="716">
        <v>1362.56</v>
      </c>
      <c r="F3772" s="717">
        <v>0</v>
      </c>
      <c r="G3772">
        <f>VLOOKUP(B3772,'SINAPI-%MO'!B:E,4,0)</f>
        <v>0.27850000000000003</v>
      </c>
      <c r="H3772" s="225">
        <f t="shared" si="58"/>
        <v>983.08</v>
      </c>
    </row>
    <row r="3773" spans="1:8" x14ac:dyDescent="0.3">
      <c r="A3773" s="400"/>
      <c r="B3773" s="709">
        <v>91014</v>
      </c>
      <c r="C3773" s="710" t="s">
        <v>13503</v>
      </c>
      <c r="D3773" s="709" t="s">
        <v>136</v>
      </c>
      <c r="E3773" s="716">
        <v>1158.8</v>
      </c>
      <c r="F3773" s="717">
        <v>0</v>
      </c>
      <c r="G3773">
        <f>VLOOKUP(B3773,'SINAPI-%MO'!B:E,4,0)</f>
        <v>0.29249999999999998</v>
      </c>
      <c r="H3773" s="225">
        <f t="shared" si="58"/>
        <v>819.85</v>
      </c>
    </row>
    <row r="3774" spans="1:8" x14ac:dyDescent="0.3">
      <c r="A3774" s="400"/>
      <c r="B3774" s="709">
        <v>100683</v>
      </c>
      <c r="C3774" s="710" t="s">
        <v>13504</v>
      </c>
      <c r="D3774" s="709" t="s">
        <v>136</v>
      </c>
      <c r="E3774" s="716">
        <v>1466.47</v>
      </c>
      <c r="F3774" s="717">
        <v>0</v>
      </c>
      <c r="G3774">
        <f>VLOOKUP(B3774,'SINAPI-%MO'!B:E,4,0)</f>
        <v>0.27229999999999999</v>
      </c>
      <c r="H3774" s="225">
        <f t="shared" si="58"/>
        <v>1067.1500000000001</v>
      </c>
    </row>
    <row r="3775" spans="1:8" x14ac:dyDescent="0.3">
      <c r="A3775" s="400"/>
      <c r="B3775" s="709">
        <v>91015</v>
      </c>
      <c r="C3775" s="710" t="s">
        <v>13505</v>
      </c>
      <c r="D3775" s="709" t="s">
        <v>136</v>
      </c>
      <c r="E3775" s="716">
        <v>1233.4100000000001</v>
      </c>
      <c r="F3775" s="717">
        <v>0</v>
      </c>
      <c r="G3775">
        <f>VLOOKUP(B3775,'SINAPI-%MO'!B:E,4,0)</f>
        <v>0.28089999999999998</v>
      </c>
      <c r="H3775" s="225">
        <f t="shared" si="58"/>
        <v>886.94</v>
      </c>
    </row>
    <row r="3776" spans="1:8" x14ac:dyDescent="0.3">
      <c r="A3776" s="400"/>
      <c r="B3776" s="709">
        <v>100685</v>
      </c>
      <c r="C3776" s="710" t="s">
        <v>13506</v>
      </c>
      <c r="D3776" s="709" t="s">
        <v>136</v>
      </c>
      <c r="E3776" s="716">
        <v>1524.69</v>
      </c>
      <c r="F3776" s="717">
        <v>0</v>
      </c>
      <c r="G3776">
        <f>VLOOKUP(B3776,'SINAPI-%MO'!B:E,4,0)</f>
        <v>0.26679999999999998</v>
      </c>
      <c r="H3776" s="225">
        <f t="shared" si="58"/>
        <v>1117.9000000000001</v>
      </c>
    </row>
    <row r="3777" spans="1:8" x14ac:dyDescent="0.3">
      <c r="A3777" s="400"/>
      <c r="B3777" s="709">
        <v>91016</v>
      </c>
      <c r="C3777" s="710" t="s">
        <v>13507</v>
      </c>
      <c r="D3777" s="709" t="s">
        <v>136</v>
      </c>
      <c r="E3777" s="716">
        <v>1291.6300000000001</v>
      </c>
      <c r="F3777" s="717">
        <v>0</v>
      </c>
      <c r="G3777">
        <f>VLOOKUP(B3777,'SINAPI-%MO'!B:E,4,0)</f>
        <v>0.27400000000000002</v>
      </c>
      <c r="H3777" s="225">
        <f t="shared" si="58"/>
        <v>937.72</v>
      </c>
    </row>
    <row r="3778" spans="1:8" x14ac:dyDescent="0.3">
      <c r="A3778" s="400"/>
      <c r="B3778" s="709">
        <v>100679</v>
      </c>
      <c r="C3778" s="710" t="s">
        <v>13508</v>
      </c>
      <c r="D3778" s="709" t="s">
        <v>136</v>
      </c>
      <c r="E3778" s="716">
        <v>1125.29</v>
      </c>
      <c r="F3778" s="717">
        <v>0</v>
      </c>
      <c r="G3778">
        <f>VLOOKUP(B3778,'SINAPI-%MO'!B:E,4,0)</f>
        <v>0.3306</v>
      </c>
      <c r="H3778" s="225">
        <f t="shared" si="58"/>
        <v>753.26</v>
      </c>
    </row>
    <row r="3779" spans="1:8" x14ac:dyDescent="0.3">
      <c r="A3779" s="400"/>
      <c r="B3779" s="709">
        <v>91324</v>
      </c>
      <c r="C3779" s="710" t="s">
        <v>13509</v>
      </c>
      <c r="D3779" s="709" t="s">
        <v>136</v>
      </c>
      <c r="E3779" s="716">
        <v>982.83</v>
      </c>
      <c r="F3779" s="717">
        <v>0</v>
      </c>
      <c r="G3779">
        <f>VLOOKUP(B3779,'SINAPI-%MO'!B:E,4,0)</f>
        <v>0.33729999999999999</v>
      </c>
      <c r="H3779" s="225">
        <f t="shared" si="58"/>
        <v>651.32000000000005</v>
      </c>
    </row>
    <row r="3780" spans="1:8" x14ac:dyDescent="0.3">
      <c r="A3780" s="400"/>
      <c r="B3780" s="709">
        <v>100712</v>
      </c>
      <c r="C3780" s="710" t="s">
        <v>13510</v>
      </c>
      <c r="D3780" s="709" t="s">
        <v>136</v>
      </c>
      <c r="E3780" s="716">
        <v>1116.51</v>
      </c>
      <c r="F3780" s="717">
        <v>0</v>
      </c>
      <c r="G3780">
        <f>VLOOKUP(B3780,'SINAPI-%MO'!B:E,4,0)</f>
        <v>0.33989999999999998</v>
      </c>
      <c r="H3780" s="225">
        <f t="shared" si="58"/>
        <v>737</v>
      </c>
    </row>
    <row r="3781" spans="1:8" x14ac:dyDescent="0.3">
      <c r="A3781" s="400"/>
      <c r="B3781" s="709">
        <v>91325</v>
      </c>
      <c r="C3781" s="710" t="s">
        <v>13511</v>
      </c>
      <c r="D3781" s="709" t="s">
        <v>136</v>
      </c>
      <c r="E3781" s="716">
        <v>994.74</v>
      </c>
      <c r="F3781" s="717">
        <v>0</v>
      </c>
      <c r="G3781">
        <f>VLOOKUP(B3781,'SINAPI-%MO'!B:E,4,0)</f>
        <v>0.34079999999999999</v>
      </c>
      <c r="H3781" s="225">
        <f t="shared" si="58"/>
        <v>655.73</v>
      </c>
    </row>
    <row r="3782" spans="1:8" x14ac:dyDescent="0.3">
      <c r="A3782" s="400"/>
      <c r="B3782" s="709">
        <v>100684</v>
      </c>
      <c r="C3782" s="710" t="s">
        <v>13512</v>
      </c>
      <c r="D3782" s="709" t="s">
        <v>136</v>
      </c>
      <c r="E3782" s="716">
        <v>1212.27</v>
      </c>
      <c r="F3782" s="717">
        <v>0</v>
      </c>
      <c r="G3782">
        <f>VLOOKUP(B3782,'SINAPI-%MO'!B:E,4,0)</f>
        <v>0.32940000000000003</v>
      </c>
      <c r="H3782" s="225">
        <f t="shared" si="58"/>
        <v>812.94</v>
      </c>
    </row>
    <row r="3783" spans="1:8" x14ac:dyDescent="0.3">
      <c r="A3783" s="400"/>
      <c r="B3783" s="709">
        <v>91326</v>
      </c>
      <c r="C3783" s="710" t="s">
        <v>13513</v>
      </c>
      <c r="D3783" s="709" t="s">
        <v>136</v>
      </c>
      <c r="E3783" s="716">
        <v>1068.32</v>
      </c>
      <c r="F3783" s="717">
        <v>0</v>
      </c>
      <c r="G3783">
        <f>VLOOKUP(B3783,'SINAPI-%MO'!B:E,4,0)</f>
        <v>0.32429999999999998</v>
      </c>
      <c r="H3783" s="225">
        <f t="shared" si="58"/>
        <v>721.86</v>
      </c>
    </row>
    <row r="3784" spans="1:8" x14ac:dyDescent="0.3">
      <c r="A3784" s="400"/>
      <c r="B3784" s="709">
        <v>100686</v>
      </c>
      <c r="C3784" s="710" t="s">
        <v>13514</v>
      </c>
      <c r="D3784" s="709" t="s">
        <v>136</v>
      </c>
      <c r="E3784" s="716">
        <v>1269.47</v>
      </c>
      <c r="F3784" s="717">
        <v>0</v>
      </c>
      <c r="G3784">
        <f>VLOOKUP(B3784,'SINAPI-%MO'!B:E,4,0)</f>
        <v>0.32050000000000001</v>
      </c>
      <c r="H3784" s="225">
        <f t="shared" si="58"/>
        <v>862.6</v>
      </c>
    </row>
    <row r="3785" spans="1:8" x14ac:dyDescent="0.3">
      <c r="A3785" s="400"/>
      <c r="B3785" s="709">
        <v>91327</v>
      </c>
      <c r="C3785" s="710" t="s">
        <v>13515</v>
      </c>
      <c r="D3785" s="709" t="s">
        <v>136</v>
      </c>
      <c r="E3785" s="716">
        <v>1125.52</v>
      </c>
      <c r="F3785" s="717">
        <v>0</v>
      </c>
      <c r="G3785">
        <f>VLOOKUP(B3785,'SINAPI-%MO'!B:E,4,0)</f>
        <v>0.3145</v>
      </c>
      <c r="H3785" s="225">
        <f t="shared" si="58"/>
        <v>771.54</v>
      </c>
    </row>
    <row r="3786" spans="1:8" x14ac:dyDescent="0.3">
      <c r="A3786" s="400"/>
      <c r="B3786" s="709">
        <v>100693</v>
      </c>
      <c r="C3786" s="710" t="s">
        <v>13516</v>
      </c>
      <c r="D3786" s="709" t="s">
        <v>136</v>
      </c>
      <c r="E3786" s="716">
        <v>2263.92</v>
      </c>
      <c r="F3786" s="717">
        <v>0.48599999999999999</v>
      </c>
      <c r="G3786">
        <f>VLOOKUP(B3786,'SINAPI-%MO'!B:E,4,0)</f>
        <v>0.19040000000000001</v>
      </c>
      <c r="H3786" s="225">
        <f t="shared" si="58"/>
        <v>1832.86</v>
      </c>
    </row>
    <row r="3787" spans="1:8" x14ac:dyDescent="0.3">
      <c r="A3787" s="400"/>
      <c r="B3787" s="709">
        <v>91336</v>
      </c>
      <c r="C3787" s="710" t="s">
        <v>13517</v>
      </c>
      <c r="D3787" s="709" t="s">
        <v>136</v>
      </c>
      <c r="E3787" s="716">
        <v>2030.86</v>
      </c>
      <c r="F3787" s="717">
        <v>0.54179999999999995</v>
      </c>
      <c r="G3787">
        <f>VLOOKUP(B3787,'SINAPI-%MO'!B:E,4,0)</f>
        <v>0.1862</v>
      </c>
      <c r="H3787" s="225">
        <f t="shared" ref="H3787:H3850" si="59">IF(E3787&gt;0,TRUNC(E3787*(1-G3787),2),"")</f>
        <v>1652.71</v>
      </c>
    </row>
    <row r="3788" spans="1:8" x14ac:dyDescent="0.3">
      <c r="A3788" s="400"/>
      <c r="B3788" s="709">
        <v>100694</v>
      </c>
      <c r="C3788" s="710" t="s">
        <v>13518</v>
      </c>
      <c r="D3788" s="709" t="s">
        <v>136</v>
      </c>
      <c r="E3788" s="716">
        <v>2009.72</v>
      </c>
      <c r="F3788" s="717">
        <v>0.54749999999999999</v>
      </c>
      <c r="G3788">
        <f>VLOOKUP(B3788,'SINAPI-%MO'!B:E,4,0)</f>
        <v>0.2145</v>
      </c>
      <c r="H3788" s="225">
        <f t="shared" si="59"/>
        <v>1578.63</v>
      </c>
    </row>
    <row r="3789" spans="1:8" x14ac:dyDescent="0.3">
      <c r="A3789" s="400"/>
      <c r="B3789" s="709">
        <v>91337</v>
      </c>
      <c r="C3789" s="710" t="s">
        <v>13519</v>
      </c>
      <c r="D3789" s="709" t="s">
        <v>136</v>
      </c>
      <c r="E3789" s="716">
        <v>1865.77</v>
      </c>
      <c r="F3789" s="717">
        <v>0.5897</v>
      </c>
      <c r="G3789">
        <f>VLOOKUP(B3789,'SINAPI-%MO'!B:E,4,0)</f>
        <v>0.20269999999999999</v>
      </c>
      <c r="H3789" s="225">
        <f t="shared" si="59"/>
        <v>1487.57</v>
      </c>
    </row>
    <row r="3790" spans="1:8" x14ac:dyDescent="0.3">
      <c r="A3790" s="400"/>
      <c r="B3790" s="709">
        <v>100691</v>
      </c>
      <c r="C3790" s="710" t="s">
        <v>13520</v>
      </c>
      <c r="D3790" s="709" t="s">
        <v>136</v>
      </c>
      <c r="E3790" s="716">
        <v>1897.75</v>
      </c>
      <c r="F3790" s="717">
        <v>0.40350000000000003</v>
      </c>
      <c r="G3790">
        <f>VLOOKUP(B3790,'SINAPI-%MO'!B:E,4,0)</f>
        <v>0.2104</v>
      </c>
      <c r="H3790" s="225">
        <f t="shared" si="59"/>
        <v>1498.46</v>
      </c>
    </row>
    <row r="3791" spans="1:8" x14ac:dyDescent="0.3">
      <c r="A3791" s="400"/>
      <c r="B3791" s="709">
        <v>100692</v>
      </c>
      <c r="C3791" s="710" t="s">
        <v>13521</v>
      </c>
      <c r="D3791" s="709" t="s">
        <v>136</v>
      </c>
      <c r="E3791" s="716">
        <v>1643.55</v>
      </c>
      <c r="F3791" s="717">
        <v>0.46589999999999998</v>
      </c>
      <c r="G3791">
        <f>VLOOKUP(B3791,'SINAPI-%MO'!B:E,4,0)</f>
        <v>0.24299999999999999</v>
      </c>
      <c r="H3791" s="225">
        <f t="shared" si="59"/>
        <v>1244.1600000000001</v>
      </c>
    </row>
    <row r="3792" spans="1:8" x14ac:dyDescent="0.3">
      <c r="A3792" s="400"/>
      <c r="B3792" s="709">
        <v>91334</v>
      </c>
      <c r="C3792" s="710" t="s">
        <v>13522</v>
      </c>
      <c r="D3792" s="709" t="s">
        <v>136</v>
      </c>
      <c r="E3792" s="716">
        <v>1664.69</v>
      </c>
      <c r="F3792" s="717">
        <v>0.46</v>
      </c>
      <c r="G3792">
        <f>VLOOKUP(B3792,'SINAPI-%MO'!B:E,4,0)</f>
        <v>0.20810000000000001</v>
      </c>
      <c r="H3792" s="225">
        <f t="shared" si="59"/>
        <v>1318.26</v>
      </c>
    </row>
    <row r="3793" spans="1:8" x14ac:dyDescent="0.3">
      <c r="A3793" s="400"/>
      <c r="B3793" s="709">
        <v>91335</v>
      </c>
      <c r="C3793" s="710" t="s">
        <v>13523</v>
      </c>
      <c r="D3793" s="709" t="s">
        <v>136</v>
      </c>
      <c r="E3793" s="716">
        <v>1499.6</v>
      </c>
      <c r="F3793" s="717">
        <v>0.51060000000000005</v>
      </c>
      <c r="G3793">
        <f>VLOOKUP(B3793,'SINAPI-%MO'!B:E,4,0)</f>
        <v>0.2311</v>
      </c>
      <c r="H3793" s="225">
        <f t="shared" si="59"/>
        <v>1153.04</v>
      </c>
    </row>
    <row r="3794" spans="1:8" x14ac:dyDescent="0.3">
      <c r="A3794" s="400"/>
      <c r="B3794" s="709">
        <v>90788</v>
      </c>
      <c r="C3794" s="710" t="s">
        <v>13524</v>
      </c>
      <c r="D3794" s="709" t="s">
        <v>136</v>
      </c>
      <c r="E3794" s="716">
        <v>1036.98</v>
      </c>
      <c r="F3794" s="717">
        <v>0</v>
      </c>
      <c r="G3794">
        <f>VLOOKUP(B3794,'SINAPI-%MO'!B:E,4,0)</f>
        <v>4.8899999999999999E-2</v>
      </c>
      <c r="H3794" s="225">
        <f t="shared" si="59"/>
        <v>986.27</v>
      </c>
    </row>
    <row r="3795" spans="1:8" x14ac:dyDescent="0.3">
      <c r="A3795" s="400"/>
      <c r="B3795" s="709">
        <v>90789</v>
      </c>
      <c r="C3795" s="710" t="s">
        <v>13525</v>
      </c>
      <c r="D3795" s="709" t="s">
        <v>136</v>
      </c>
      <c r="E3795" s="716">
        <v>1038.8599999999999</v>
      </c>
      <c r="F3795" s="717">
        <v>0</v>
      </c>
      <c r="G3795">
        <f>VLOOKUP(B3795,'SINAPI-%MO'!B:E,4,0)</f>
        <v>5.0599999999999999E-2</v>
      </c>
      <c r="H3795" s="225">
        <f t="shared" si="59"/>
        <v>986.29</v>
      </c>
    </row>
    <row r="3796" spans="1:8" x14ac:dyDescent="0.3">
      <c r="A3796" s="400"/>
      <c r="B3796" s="709">
        <v>90790</v>
      </c>
      <c r="C3796" s="710" t="s">
        <v>13526</v>
      </c>
      <c r="D3796" s="709" t="s">
        <v>136</v>
      </c>
      <c r="E3796" s="716">
        <v>1070.47</v>
      </c>
      <c r="F3796" s="717">
        <v>0</v>
      </c>
      <c r="G3796">
        <f>VLOOKUP(B3796,'SINAPI-%MO'!B:E,4,0)</f>
        <v>5.0799999999999998E-2</v>
      </c>
      <c r="H3796" s="225">
        <f t="shared" si="59"/>
        <v>1016.09</v>
      </c>
    </row>
    <row r="3797" spans="1:8" x14ac:dyDescent="0.3">
      <c r="A3797" s="400"/>
      <c r="B3797" s="709">
        <v>100675</v>
      </c>
      <c r="C3797" s="710" t="s">
        <v>13527</v>
      </c>
      <c r="D3797" s="709" t="s">
        <v>136</v>
      </c>
      <c r="E3797" s="716">
        <v>1155.3599999999999</v>
      </c>
      <c r="F3797" s="717">
        <v>0</v>
      </c>
      <c r="G3797">
        <f>VLOOKUP(B3797,'SINAPI-%MO'!B:E,4,0)</f>
        <v>4.87E-2</v>
      </c>
      <c r="H3797" s="225">
        <f t="shared" si="59"/>
        <v>1099.0899999999999</v>
      </c>
    </row>
    <row r="3798" spans="1:8" x14ac:dyDescent="0.3">
      <c r="A3798" s="400"/>
      <c r="B3798" s="709">
        <v>90794</v>
      </c>
      <c r="C3798" s="710" t="s">
        <v>13528</v>
      </c>
      <c r="D3798" s="709" t="s">
        <v>136</v>
      </c>
      <c r="E3798" s="716">
        <v>910.68</v>
      </c>
      <c r="F3798" s="717">
        <v>0</v>
      </c>
      <c r="G3798">
        <f>VLOOKUP(B3798,'SINAPI-%MO'!B:E,4,0)</f>
        <v>0.1341</v>
      </c>
      <c r="H3798" s="225">
        <f t="shared" si="59"/>
        <v>788.55</v>
      </c>
    </row>
    <row r="3799" spans="1:8" x14ac:dyDescent="0.3">
      <c r="A3799" s="400"/>
      <c r="B3799" s="709">
        <v>90796</v>
      </c>
      <c r="C3799" s="710" t="s">
        <v>13529</v>
      </c>
      <c r="D3799" s="709" t="s">
        <v>136</v>
      </c>
      <c r="E3799" s="716">
        <v>922.07</v>
      </c>
      <c r="F3799" s="717">
        <v>0</v>
      </c>
      <c r="G3799">
        <f>VLOOKUP(B3799,'SINAPI-%MO'!B:E,4,0)</f>
        <v>0.1444</v>
      </c>
      <c r="H3799" s="225">
        <f t="shared" si="59"/>
        <v>788.92</v>
      </c>
    </row>
    <row r="3800" spans="1:8" x14ac:dyDescent="0.3">
      <c r="A3800" s="400"/>
      <c r="B3800" s="709">
        <v>90797</v>
      </c>
      <c r="C3800" s="710" t="s">
        <v>13530</v>
      </c>
      <c r="D3800" s="709" t="s">
        <v>136</v>
      </c>
      <c r="E3800" s="716">
        <v>927.78</v>
      </c>
      <c r="F3800" s="717">
        <v>0</v>
      </c>
      <c r="G3800">
        <f>VLOOKUP(B3800,'SINAPI-%MO'!B:E,4,0)</f>
        <v>0.14949999999999999</v>
      </c>
      <c r="H3800" s="225">
        <f t="shared" si="59"/>
        <v>789.07</v>
      </c>
    </row>
    <row r="3801" spans="1:8" x14ac:dyDescent="0.3">
      <c r="A3801" s="400"/>
      <c r="B3801" s="709">
        <v>90791</v>
      </c>
      <c r="C3801" s="710" t="s">
        <v>13531</v>
      </c>
      <c r="D3801" s="709" t="s">
        <v>136</v>
      </c>
      <c r="E3801" s="716">
        <v>1252.3699999999999</v>
      </c>
      <c r="F3801" s="717">
        <v>0</v>
      </c>
      <c r="G3801">
        <f>VLOOKUP(B3801,'SINAPI-%MO'!B:E,4,0)</f>
        <v>5.21E-2</v>
      </c>
      <c r="H3801" s="225">
        <f t="shared" si="59"/>
        <v>1187.1199999999999</v>
      </c>
    </row>
    <row r="3802" spans="1:8" x14ac:dyDescent="0.3">
      <c r="A3802" s="400"/>
      <c r="B3802" s="709">
        <v>90793</v>
      </c>
      <c r="C3802" s="710" t="s">
        <v>13532</v>
      </c>
      <c r="D3802" s="709" t="s">
        <v>136</v>
      </c>
      <c r="E3802" s="716">
        <v>1305.22</v>
      </c>
      <c r="F3802" s="717">
        <v>0</v>
      </c>
      <c r="G3802">
        <f>VLOOKUP(B3802,'SINAPI-%MO'!B:E,4,0)</f>
        <v>5.8400000000000001E-2</v>
      </c>
      <c r="H3802" s="225">
        <f t="shared" si="59"/>
        <v>1228.99</v>
      </c>
    </row>
    <row r="3803" spans="1:8" x14ac:dyDescent="0.3">
      <c r="A3803" s="400"/>
      <c r="B3803" s="709">
        <v>90798</v>
      </c>
      <c r="C3803" s="710" t="s">
        <v>13533</v>
      </c>
      <c r="D3803" s="709" t="s">
        <v>136</v>
      </c>
      <c r="E3803" s="716">
        <v>1336.38</v>
      </c>
      <c r="F3803" s="717">
        <v>0</v>
      </c>
      <c r="G3803">
        <f>VLOOKUP(B3803,'SINAPI-%MO'!B:E,4,0)</f>
        <v>0.1103</v>
      </c>
      <c r="H3803" s="225">
        <f t="shared" si="59"/>
        <v>1188.97</v>
      </c>
    </row>
    <row r="3804" spans="1:8" x14ac:dyDescent="0.3">
      <c r="A3804" s="400"/>
      <c r="B3804" s="709">
        <v>90799</v>
      </c>
      <c r="C3804" s="710" t="s">
        <v>13534</v>
      </c>
      <c r="D3804" s="709" t="s">
        <v>136</v>
      </c>
      <c r="E3804" s="716">
        <v>1374.58</v>
      </c>
      <c r="F3804" s="717">
        <v>0</v>
      </c>
      <c r="G3804">
        <f>VLOOKUP(B3804,'SINAPI-%MO'!B:E,4,0)</f>
        <v>0.11169999999999999</v>
      </c>
      <c r="H3804" s="225">
        <f t="shared" si="59"/>
        <v>1221.03</v>
      </c>
    </row>
    <row r="3805" spans="1:8" x14ac:dyDescent="0.3">
      <c r="A3805" s="400"/>
      <c r="B3805" s="709">
        <v>100704</v>
      </c>
      <c r="C3805" s="710" t="s">
        <v>13535</v>
      </c>
      <c r="D3805" s="709" t="s">
        <v>136</v>
      </c>
      <c r="E3805" s="716">
        <v>87.74</v>
      </c>
      <c r="F3805" s="717">
        <v>0</v>
      </c>
      <c r="G3805">
        <f>VLOOKUP(B3805,'SINAPI-%MO'!B:E,4,0)</f>
        <v>0.31940000000000002</v>
      </c>
      <c r="H3805" s="225">
        <f t="shared" si="59"/>
        <v>59.71</v>
      </c>
    </row>
    <row r="3806" spans="1:8" x14ac:dyDescent="0.3">
      <c r="A3806" s="400"/>
      <c r="B3806" s="709">
        <v>106141</v>
      </c>
      <c r="C3806" s="710" t="s">
        <v>15027</v>
      </c>
      <c r="D3806" s="709" t="s">
        <v>136</v>
      </c>
      <c r="E3806" s="716">
        <v>0</v>
      </c>
      <c r="F3806" s="717"/>
      <c r="G3806" t="e">
        <f>VLOOKUP(B3806,'SINAPI-%MO'!B:E,4,0)</f>
        <v>#N/A</v>
      </c>
      <c r="H3806" s="225" t="str">
        <f t="shared" si="59"/>
        <v/>
      </c>
    </row>
    <row r="3807" spans="1:8" x14ac:dyDescent="0.3">
      <c r="A3807" s="400"/>
      <c r="B3807" s="709">
        <v>106139</v>
      </c>
      <c r="C3807" s="710" t="s">
        <v>15028</v>
      </c>
      <c r="D3807" s="709" t="s">
        <v>136</v>
      </c>
      <c r="E3807" s="716">
        <v>0</v>
      </c>
      <c r="F3807" s="717"/>
      <c r="G3807" t="e">
        <f>VLOOKUP(B3807,'SINAPI-%MO'!B:E,4,0)</f>
        <v>#N/A</v>
      </c>
      <c r="H3807" s="225" t="str">
        <f t="shared" si="59"/>
        <v/>
      </c>
    </row>
    <row r="3808" spans="1:8" x14ac:dyDescent="0.3">
      <c r="A3808" s="400"/>
      <c r="B3808" s="709">
        <v>106140</v>
      </c>
      <c r="C3808" s="710" t="s">
        <v>15029</v>
      </c>
      <c r="D3808" s="709" t="s">
        <v>136</v>
      </c>
      <c r="E3808" s="716">
        <v>0</v>
      </c>
      <c r="F3808" s="717"/>
      <c r="G3808" t="e">
        <f>VLOOKUP(B3808,'SINAPI-%MO'!B:E,4,0)</f>
        <v>#N/A</v>
      </c>
      <c r="H3808" s="225" t="str">
        <f t="shared" si="59"/>
        <v/>
      </c>
    </row>
    <row r="3809" spans="1:8" x14ac:dyDescent="0.3">
      <c r="A3809" s="400"/>
      <c r="B3809" s="709">
        <v>90838</v>
      </c>
      <c r="C3809" s="710" t="s">
        <v>13536</v>
      </c>
      <c r="D3809" s="709" t="s">
        <v>136</v>
      </c>
      <c r="E3809" s="716">
        <v>1798.72</v>
      </c>
      <c r="F3809" s="717">
        <v>0</v>
      </c>
      <c r="G3809">
        <f>VLOOKUP(B3809,'SINAPI-%MO'!B:E,4,0)</f>
        <v>9.8199999999999996E-2</v>
      </c>
      <c r="H3809" s="225">
        <f t="shared" si="59"/>
        <v>1622.08</v>
      </c>
    </row>
    <row r="3810" spans="1:8" x14ac:dyDescent="0.3">
      <c r="A3810" s="400"/>
      <c r="B3810" s="709">
        <v>94805</v>
      </c>
      <c r="C3810" s="710" t="s">
        <v>13537</v>
      </c>
      <c r="D3810" s="709" t="s">
        <v>136</v>
      </c>
      <c r="E3810" s="716">
        <v>1119.3900000000001</v>
      </c>
      <c r="F3810" s="717">
        <v>0</v>
      </c>
      <c r="G3810">
        <f>VLOOKUP(B3810,'SINAPI-%MO'!B:E,4,0)</f>
        <v>3.2399999999999998E-2</v>
      </c>
      <c r="H3810" s="225">
        <f t="shared" si="59"/>
        <v>1083.1199999999999</v>
      </c>
    </row>
    <row r="3811" spans="1:8" x14ac:dyDescent="0.3">
      <c r="A3811" s="400"/>
      <c r="B3811" s="709">
        <v>106145</v>
      </c>
      <c r="C3811" s="710" t="s">
        <v>13538</v>
      </c>
      <c r="D3811" s="709" t="s">
        <v>136</v>
      </c>
      <c r="E3811" s="716">
        <v>1113.18</v>
      </c>
      <c r="F3811" s="717">
        <v>0</v>
      </c>
      <c r="G3811">
        <f>VLOOKUP(B3811,'SINAPI-%MO'!B:E,4,0)</f>
        <v>7.85E-2</v>
      </c>
      <c r="H3811" s="225">
        <f t="shared" si="59"/>
        <v>1025.79</v>
      </c>
    </row>
    <row r="3812" spans="1:8" x14ac:dyDescent="0.3">
      <c r="A3812" s="400"/>
      <c r="B3812" s="709">
        <v>106146</v>
      </c>
      <c r="C3812" s="710" t="s">
        <v>13539</v>
      </c>
      <c r="D3812" s="709" t="s">
        <v>136</v>
      </c>
      <c r="E3812" s="716">
        <v>828.7</v>
      </c>
      <c r="F3812" s="717">
        <v>0</v>
      </c>
      <c r="G3812">
        <f>VLOOKUP(B3812,'SINAPI-%MO'!B:E,4,0)</f>
        <v>0.11609999999999999</v>
      </c>
      <c r="H3812" s="225">
        <f t="shared" si="59"/>
        <v>732.48</v>
      </c>
    </row>
    <row r="3813" spans="1:8" x14ac:dyDescent="0.3">
      <c r="A3813" s="400"/>
      <c r="B3813" s="709">
        <v>100702</v>
      </c>
      <c r="C3813" s="710" t="s">
        <v>13540</v>
      </c>
      <c r="D3813" s="709" t="s">
        <v>168</v>
      </c>
      <c r="E3813" s="716">
        <v>629.5</v>
      </c>
      <c r="F3813" s="717">
        <v>0</v>
      </c>
      <c r="G3813">
        <f>VLOOKUP(B3813,'SINAPI-%MO'!B:E,4,0)</f>
        <v>2.4899999999999999E-2</v>
      </c>
      <c r="H3813" s="225">
        <f t="shared" si="59"/>
        <v>613.82000000000005</v>
      </c>
    </row>
    <row r="3814" spans="1:8" x14ac:dyDescent="0.3">
      <c r="A3814" s="400"/>
      <c r="B3814" s="709">
        <v>106148</v>
      </c>
      <c r="C3814" s="710" t="s">
        <v>15030</v>
      </c>
      <c r="D3814" s="709" t="s">
        <v>136</v>
      </c>
      <c r="E3814" s="716">
        <v>0</v>
      </c>
      <c r="F3814" s="717"/>
      <c r="G3814" t="e">
        <f>VLOOKUP(B3814,'SINAPI-%MO'!B:E,4,0)</f>
        <v>#N/A</v>
      </c>
      <c r="H3814" s="225" t="str">
        <f t="shared" si="59"/>
        <v/>
      </c>
    </row>
    <row r="3815" spans="1:8" x14ac:dyDescent="0.3">
      <c r="A3815" s="400"/>
      <c r="B3815" s="709">
        <v>100701</v>
      </c>
      <c r="C3815" s="710" t="s">
        <v>13541</v>
      </c>
      <c r="D3815" s="709" t="s">
        <v>168</v>
      </c>
      <c r="E3815" s="716">
        <v>735.82</v>
      </c>
      <c r="F3815" s="717">
        <v>0</v>
      </c>
      <c r="G3815">
        <f>VLOOKUP(B3815,'SINAPI-%MO'!B:E,4,0)</f>
        <v>7.1499999999999994E-2</v>
      </c>
      <c r="H3815" s="225">
        <f t="shared" si="59"/>
        <v>683.2</v>
      </c>
    </row>
    <row r="3816" spans="1:8" x14ac:dyDescent="0.3">
      <c r="A3816" s="400"/>
      <c r="B3816" s="709">
        <v>100700</v>
      </c>
      <c r="C3816" s="710" t="s">
        <v>13542</v>
      </c>
      <c r="D3816" s="709" t="s">
        <v>136</v>
      </c>
      <c r="E3816" s="716">
        <v>1097.08</v>
      </c>
      <c r="F3816" s="717">
        <v>0</v>
      </c>
      <c r="G3816">
        <f>VLOOKUP(B3816,'SINAPI-%MO'!B:E,4,0)</f>
        <v>0.22539999999999999</v>
      </c>
      <c r="H3816" s="225">
        <f t="shared" si="59"/>
        <v>849.79</v>
      </c>
    </row>
    <row r="3817" spans="1:8" x14ac:dyDescent="0.3">
      <c r="A3817" s="400"/>
      <c r="B3817" s="709">
        <v>91295</v>
      </c>
      <c r="C3817" s="710" t="s">
        <v>13543</v>
      </c>
      <c r="D3817" s="709" t="s">
        <v>136</v>
      </c>
      <c r="E3817" s="716">
        <v>447.05</v>
      </c>
      <c r="F3817" s="717">
        <v>0</v>
      </c>
      <c r="G3817">
        <f>VLOOKUP(B3817,'SINAPI-%MO'!B:E,4,0)</f>
        <v>0.15129999999999999</v>
      </c>
      <c r="H3817" s="225">
        <f t="shared" si="59"/>
        <v>379.41</v>
      </c>
    </row>
    <row r="3818" spans="1:8" x14ac:dyDescent="0.3">
      <c r="A3818" s="400"/>
      <c r="B3818" s="709">
        <v>91296</v>
      </c>
      <c r="C3818" s="710" t="s">
        <v>13544</v>
      </c>
      <c r="D3818" s="709" t="s">
        <v>136</v>
      </c>
      <c r="E3818" s="716">
        <v>478.28</v>
      </c>
      <c r="F3818" s="717">
        <v>0</v>
      </c>
      <c r="G3818">
        <f>VLOOKUP(B3818,'SINAPI-%MO'!B:E,4,0)</f>
        <v>0.156</v>
      </c>
      <c r="H3818" s="225">
        <f t="shared" si="59"/>
        <v>403.66</v>
      </c>
    </row>
    <row r="3819" spans="1:8" x14ac:dyDescent="0.3">
      <c r="A3819" s="400"/>
      <c r="B3819" s="709">
        <v>91297</v>
      </c>
      <c r="C3819" s="710" t="s">
        <v>13545</v>
      </c>
      <c r="D3819" s="709" t="s">
        <v>136</v>
      </c>
      <c r="E3819" s="716">
        <v>524.49</v>
      </c>
      <c r="F3819" s="717">
        <v>0</v>
      </c>
      <c r="G3819">
        <f>VLOOKUP(B3819,'SINAPI-%MO'!B:E,4,0)</f>
        <v>0.15559999999999999</v>
      </c>
      <c r="H3819" s="225">
        <f t="shared" si="59"/>
        <v>442.87</v>
      </c>
    </row>
    <row r="3820" spans="1:8" x14ac:dyDescent="0.3">
      <c r="A3820" s="400"/>
      <c r="B3820" s="709">
        <v>90820</v>
      </c>
      <c r="C3820" s="710" t="s">
        <v>13546</v>
      </c>
      <c r="D3820" s="709" t="s">
        <v>136</v>
      </c>
      <c r="E3820" s="716">
        <v>421.39</v>
      </c>
      <c r="F3820" s="717">
        <v>0</v>
      </c>
      <c r="G3820">
        <f>VLOOKUP(B3820,'SINAPI-%MO'!B:E,4,0)</f>
        <v>0.16059999999999999</v>
      </c>
      <c r="H3820" s="225">
        <f t="shared" si="59"/>
        <v>353.71</v>
      </c>
    </row>
    <row r="3821" spans="1:8" x14ac:dyDescent="0.3">
      <c r="A3821" s="400"/>
      <c r="B3821" s="709">
        <v>90821</v>
      </c>
      <c r="C3821" s="710" t="s">
        <v>13547</v>
      </c>
      <c r="D3821" s="709" t="s">
        <v>136</v>
      </c>
      <c r="E3821" s="716">
        <v>430.61</v>
      </c>
      <c r="F3821" s="717">
        <v>0</v>
      </c>
      <c r="G3821">
        <f>VLOOKUP(B3821,'SINAPI-%MO'!B:E,4,0)</f>
        <v>0.17330000000000001</v>
      </c>
      <c r="H3821" s="225">
        <f t="shared" si="59"/>
        <v>355.98</v>
      </c>
    </row>
    <row r="3822" spans="1:8" x14ac:dyDescent="0.3">
      <c r="A3822" s="400"/>
      <c r="B3822" s="709">
        <v>90822</v>
      </c>
      <c r="C3822" s="710" t="s">
        <v>13548</v>
      </c>
      <c r="D3822" s="709" t="s">
        <v>136</v>
      </c>
      <c r="E3822" s="716">
        <v>460.72</v>
      </c>
      <c r="F3822" s="717">
        <v>0</v>
      </c>
      <c r="G3822">
        <f>VLOOKUP(B3822,'SINAPI-%MO'!B:E,4,0)</f>
        <v>0.17710000000000001</v>
      </c>
      <c r="H3822" s="225">
        <f t="shared" si="59"/>
        <v>379.12</v>
      </c>
    </row>
    <row r="3823" spans="1:8" x14ac:dyDescent="0.3">
      <c r="A3823" s="400"/>
      <c r="B3823" s="709">
        <v>90823</v>
      </c>
      <c r="C3823" s="710" t="s">
        <v>13549</v>
      </c>
      <c r="D3823" s="709" t="s">
        <v>136</v>
      </c>
      <c r="E3823" s="716">
        <v>559.52</v>
      </c>
      <c r="F3823" s="717">
        <v>0</v>
      </c>
      <c r="G3823">
        <f>VLOOKUP(B3823,'SINAPI-%MO'!B:E,4,0)</f>
        <v>0.1583</v>
      </c>
      <c r="H3823" s="225">
        <f t="shared" si="59"/>
        <v>470.94</v>
      </c>
    </row>
    <row r="3824" spans="1:8" x14ac:dyDescent="0.3">
      <c r="A3824" s="400"/>
      <c r="B3824" s="709">
        <v>90824</v>
      </c>
      <c r="C3824" s="710" t="s">
        <v>13550</v>
      </c>
      <c r="D3824" s="709" t="s">
        <v>136</v>
      </c>
      <c r="E3824" s="716">
        <v>789</v>
      </c>
      <c r="F3824" s="717">
        <v>0</v>
      </c>
      <c r="G3824">
        <f>VLOOKUP(B3824,'SINAPI-%MO'!B:E,4,0)</f>
        <v>0.14349999999999999</v>
      </c>
      <c r="H3824" s="225">
        <f t="shared" si="59"/>
        <v>675.77</v>
      </c>
    </row>
    <row r="3825" spans="1:8" x14ac:dyDescent="0.3">
      <c r="A3825" s="400"/>
      <c r="B3825" s="709">
        <v>91009</v>
      </c>
      <c r="C3825" s="710" t="s">
        <v>13551</v>
      </c>
      <c r="D3825" s="709" t="s">
        <v>136</v>
      </c>
      <c r="E3825" s="716">
        <v>435.14</v>
      </c>
      <c r="F3825" s="717">
        <v>0</v>
      </c>
      <c r="G3825">
        <f>VLOOKUP(B3825,'SINAPI-%MO'!B:E,4,0)</f>
        <v>0.1555</v>
      </c>
      <c r="H3825" s="225">
        <f t="shared" si="59"/>
        <v>367.47</v>
      </c>
    </row>
    <row r="3826" spans="1:8" x14ac:dyDescent="0.3">
      <c r="A3826" s="400"/>
      <c r="B3826" s="709">
        <v>91010</v>
      </c>
      <c r="C3826" s="710" t="s">
        <v>13552</v>
      </c>
      <c r="D3826" s="709" t="s">
        <v>136</v>
      </c>
      <c r="E3826" s="716">
        <v>445.01</v>
      </c>
      <c r="F3826" s="717">
        <v>0</v>
      </c>
      <c r="G3826">
        <f>VLOOKUP(B3826,'SINAPI-%MO'!B:E,4,0)</f>
        <v>0.16769999999999999</v>
      </c>
      <c r="H3826" s="225">
        <f t="shared" si="59"/>
        <v>370.38</v>
      </c>
    </row>
    <row r="3827" spans="1:8" x14ac:dyDescent="0.3">
      <c r="A3827" s="400"/>
      <c r="B3827" s="709">
        <v>91011</v>
      </c>
      <c r="C3827" s="710" t="s">
        <v>13553</v>
      </c>
      <c r="D3827" s="709" t="s">
        <v>136</v>
      </c>
      <c r="E3827" s="716">
        <v>516.54999999999995</v>
      </c>
      <c r="F3827" s="717">
        <v>0</v>
      </c>
      <c r="G3827">
        <f>VLOOKUP(B3827,'SINAPI-%MO'!B:E,4,0)</f>
        <v>0.158</v>
      </c>
      <c r="H3827" s="225">
        <f t="shared" si="59"/>
        <v>434.93</v>
      </c>
    </row>
    <row r="3828" spans="1:8" x14ac:dyDescent="0.3">
      <c r="A3828" s="400"/>
      <c r="B3828" s="709">
        <v>91012</v>
      </c>
      <c r="C3828" s="710" t="s">
        <v>13554</v>
      </c>
      <c r="D3828" s="709" t="s">
        <v>136</v>
      </c>
      <c r="E3828" s="716">
        <v>571.71</v>
      </c>
      <c r="F3828" s="717">
        <v>0</v>
      </c>
      <c r="G3828">
        <f>VLOOKUP(B3828,'SINAPI-%MO'!B:E,4,0)</f>
        <v>0.15490000000000001</v>
      </c>
      <c r="H3828" s="225">
        <f t="shared" si="59"/>
        <v>483.15</v>
      </c>
    </row>
    <row r="3829" spans="1:8" x14ac:dyDescent="0.3">
      <c r="A3829" s="400"/>
      <c r="B3829" s="709">
        <v>91298</v>
      </c>
      <c r="C3829" s="710" t="s">
        <v>13555</v>
      </c>
      <c r="D3829" s="709" t="s">
        <v>136</v>
      </c>
      <c r="E3829" s="716">
        <v>947.83</v>
      </c>
      <c r="F3829" s="717">
        <v>0.80789999999999995</v>
      </c>
      <c r="G3829">
        <f>VLOOKUP(B3829,'SINAPI-%MO'!B:E,4,0)</f>
        <v>8.6099999999999996E-2</v>
      </c>
      <c r="H3829" s="225">
        <f t="shared" si="59"/>
        <v>866.22</v>
      </c>
    </row>
    <row r="3830" spans="1:8" x14ac:dyDescent="0.3">
      <c r="A3830" s="400"/>
      <c r="B3830" s="709">
        <v>90825</v>
      </c>
      <c r="C3830" s="710" t="s">
        <v>13556</v>
      </c>
      <c r="D3830" s="709" t="s">
        <v>136</v>
      </c>
      <c r="E3830" s="716">
        <v>875.86</v>
      </c>
      <c r="F3830" s="717">
        <v>0</v>
      </c>
      <c r="G3830">
        <f>VLOOKUP(B3830,'SINAPI-%MO'!B:E,4,0)</f>
        <v>0.1404</v>
      </c>
      <c r="H3830" s="225">
        <f t="shared" si="59"/>
        <v>752.88</v>
      </c>
    </row>
    <row r="3831" spans="1:8" x14ac:dyDescent="0.3">
      <c r="A3831" s="400"/>
      <c r="B3831" s="709">
        <v>91299</v>
      </c>
      <c r="C3831" s="710" t="s">
        <v>13557</v>
      </c>
      <c r="D3831" s="709" t="s">
        <v>136</v>
      </c>
      <c r="E3831" s="716">
        <v>1314</v>
      </c>
      <c r="F3831" s="717">
        <v>0.83730000000000004</v>
      </c>
      <c r="G3831">
        <f>VLOOKUP(B3831,'SINAPI-%MO'!B:E,4,0)</f>
        <v>8.6199999999999999E-2</v>
      </c>
      <c r="H3831" s="225">
        <f t="shared" si="59"/>
        <v>1200.73</v>
      </c>
    </row>
    <row r="3832" spans="1:8" x14ac:dyDescent="0.3">
      <c r="A3832" s="400"/>
      <c r="B3832" s="709">
        <v>91341</v>
      </c>
      <c r="C3832" s="710" t="s">
        <v>13558</v>
      </c>
      <c r="D3832" s="709" t="s">
        <v>168</v>
      </c>
      <c r="E3832" s="716">
        <v>874.25</v>
      </c>
      <c r="F3832" s="717">
        <v>0</v>
      </c>
      <c r="G3832">
        <f>VLOOKUP(B3832,'SINAPI-%MO'!B:E,4,0)</f>
        <v>2.4400000000000002E-2</v>
      </c>
      <c r="H3832" s="225">
        <f t="shared" si="59"/>
        <v>852.91</v>
      </c>
    </row>
    <row r="3833" spans="1:8" x14ac:dyDescent="0.3">
      <c r="A3833" s="400"/>
      <c r="B3833" s="709">
        <v>94806</v>
      </c>
      <c r="C3833" s="710" t="s">
        <v>13559</v>
      </c>
      <c r="D3833" s="709" t="s">
        <v>136</v>
      </c>
      <c r="E3833" s="716">
        <v>840.99</v>
      </c>
      <c r="F3833" s="717">
        <v>0</v>
      </c>
      <c r="G3833">
        <f>VLOOKUP(B3833,'SINAPI-%MO'!B:E,4,0)</f>
        <v>6.0900000000000003E-2</v>
      </c>
      <c r="H3833" s="225">
        <f t="shared" si="59"/>
        <v>789.77</v>
      </c>
    </row>
    <row r="3834" spans="1:8" x14ac:dyDescent="0.3">
      <c r="A3834" s="400"/>
      <c r="B3834" s="709">
        <v>94807</v>
      </c>
      <c r="C3834" s="710" t="s">
        <v>13560</v>
      </c>
      <c r="D3834" s="709" t="s">
        <v>136</v>
      </c>
      <c r="E3834" s="716">
        <v>768.61</v>
      </c>
      <c r="F3834" s="717">
        <v>0</v>
      </c>
      <c r="G3834">
        <f>VLOOKUP(B3834,'SINAPI-%MO'!B:E,4,0)</f>
        <v>7.0099999999999996E-2</v>
      </c>
      <c r="H3834" s="225">
        <f t="shared" si="59"/>
        <v>714.73</v>
      </c>
    </row>
    <row r="3835" spans="1:8" x14ac:dyDescent="0.3">
      <c r="A3835" s="400"/>
      <c r="B3835" s="709">
        <v>106142</v>
      </c>
      <c r="C3835" s="710" t="s">
        <v>13561</v>
      </c>
      <c r="D3835" s="709" t="s">
        <v>136</v>
      </c>
      <c r="E3835" s="716">
        <v>1028.6199999999999</v>
      </c>
      <c r="F3835" s="717">
        <v>0</v>
      </c>
      <c r="G3835">
        <f>VLOOKUP(B3835,'SINAPI-%MO'!B:E,4,0)</f>
        <v>3.2199999999999999E-2</v>
      </c>
      <c r="H3835" s="225">
        <f t="shared" si="59"/>
        <v>995.49</v>
      </c>
    </row>
    <row r="3836" spans="1:8" x14ac:dyDescent="0.3">
      <c r="A3836" s="400"/>
      <c r="B3836" s="709">
        <v>106143</v>
      </c>
      <c r="C3836" s="710" t="s">
        <v>13562</v>
      </c>
      <c r="D3836" s="709" t="s">
        <v>136</v>
      </c>
      <c r="E3836" s="716">
        <v>1059.99</v>
      </c>
      <c r="F3836" s="717">
        <v>0</v>
      </c>
      <c r="G3836">
        <f>VLOOKUP(B3836,'SINAPI-%MO'!B:E,4,0)</f>
        <v>3.2800000000000003E-2</v>
      </c>
      <c r="H3836" s="225">
        <f t="shared" si="59"/>
        <v>1025.22</v>
      </c>
    </row>
    <row r="3837" spans="1:8" x14ac:dyDescent="0.3">
      <c r="A3837" s="400"/>
      <c r="B3837" s="709">
        <v>106144</v>
      </c>
      <c r="C3837" s="710" t="s">
        <v>13563</v>
      </c>
      <c r="D3837" s="709" t="s">
        <v>136</v>
      </c>
      <c r="E3837" s="716">
        <v>1244.1099999999999</v>
      </c>
      <c r="F3837" s="717">
        <v>0</v>
      </c>
      <c r="G3837">
        <f>VLOOKUP(B3837,'SINAPI-%MO'!B:E,4,0)</f>
        <v>3.8399999999999997E-2</v>
      </c>
      <c r="H3837" s="225">
        <f t="shared" si="59"/>
        <v>1196.33</v>
      </c>
    </row>
    <row r="3838" spans="1:8" x14ac:dyDescent="0.3">
      <c r="A3838" s="400"/>
      <c r="B3838" s="709">
        <v>100703</v>
      </c>
      <c r="C3838" s="710" t="s">
        <v>13564</v>
      </c>
      <c r="D3838" s="709" t="s">
        <v>136</v>
      </c>
      <c r="E3838" s="716">
        <v>37.18</v>
      </c>
      <c r="F3838" s="717">
        <v>0</v>
      </c>
      <c r="G3838">
        <f>VLOOKUP(B3838,'SINAPI-%MO'!B:E,4,0)</f>
        <v>0.33839999999999998</v>
      </c>
      <c r="H3838" s="225">
        <f t="shared" si="59"/>
        <v>24.59</v>
      </c>
    </row>
    <row r="3839" spans="1:8" x14ac:dyDescent="0.3">
      <c r="A3839" s="400"/>
      <c r="B3839" s="709">
        <v>106147</v>
      </c>
      <c r="C3839" s="710" t="s">
        <v>13565</v>
      </c>
      <c r="D3839" s="709" t="s">
        <v>136</v>
      </c>
      <c r="E3839" s="716">
        <v>121.69</v>
      </c>
      <c r="F3839" s="717">
        <v>0</v>
      </c>
      <c r="G3839">
        <f>VLOOKUP(B3839,'SINAPI-%MO'!B:E,4,0)</f>
        <v>0.9708</v>
      </c>
      <c r="H3839" s="225">
        <f t="shared" si="59"/>
        <v>3.55</v>
      </c>
    </row>
    <row r="3840" spans="1:8" x14ac:dyDescent="0.3">
      <c r="A3840" s="400"/>
      <c r="B3840" s="709">
        <v>100695</v>
      </c>
      <c r="C3840" s="710" t="s">
        <v>13566</v>
      </c>
      <c r="D3840" s="709" t="s">
        <v>136</v>
      </c>
      <c r="E3840" s="716">
        <v>85.47</v>
      </c>
      <c r="F3840" s="717">
        <v>0</v>
      </c>
      <c r="G3840">
        <f>VLOOKUP(B3840,'SINAPI-%MO'!B:E,4,0)</f>
        <v>0.95850000000000002</v>
      </c>
      <c r="H3840" s="225">
        <f t="shared" si="59"/>
        <v>3.54</v>
      </c>
    </row>
    <row r="3841" spans="1:8" x14ac:dyDescent="0.3">
      <c r="A3841" s="400"/>
      <c r="B3841" s="709">
        <v>100696</v>
      </c>
      <c r="C3841" s="710" t="s">
        <v>13567</v>
      </c>
      <c r="D3841" s="709" t="s">
        <v>136</v>
      </c>
      <c r="E3841" s="716">
        <v>94.82</v>
      </c>
      <c r="F3841" s="717">
        <v>0</v>
      </c>
      <c r="G3841">
        <f>VLOOKUP(B3841,'SINAPI-%MO'!B:E,4,0)</f>
        <v>0.96260000000000001</v>
      </c>
      <c r="H3841" s="225">
        <f t="shared" si="59"/>
        <v>3.54</v>
      </c>
    </row>
    <row r="3842" spans="1:8" x14ac:dyDescent="0.3">
      <c r="A3842" s="400"/>
      <c r="B3842" s="709">
        <v>100697</v>
      </c>
      <c r="C3842" s="710" t="s">
        <v>13568</v>
      </c>
      <c r="D3842" s="709" t="s">
        <v>136</v>
      </c>
      <c r="E3842" s="716">
        <v>104.17</v>
      </c>
      <c r="F3842" s="717">
        <v>0</v>
      </c>
      <c r="G3842">
        <f>VLOOKUP(B3842,'SINAPI-%MO'!B:E,4,0)</f>
        <v>0.96589999999999998</v>
      </c>
      <c r="H3842" s="225">
        <f t="shared" si="59"/>
        <v>3.55</v>
      </c>
    </row>
    <row r="3843" spans="1:8" x14ac:dyDescent="0.3">
      <c r="A3843" s="400"/>
      <c r="B3843" s="709">
        <v>100698</v>
      </c>
      <c r="C3843" s="710" t="s">
        <v>13569</v>
      </c>
      <c r="D3843" s="709" t="s">
        <v>136</v>
      </c>
      <c r="E3843" s="716">
        <v>113.52</v>
      </c>
      <c r="F3843" s="717">
        <v>0</v>
      </c>
      <c r="G3843">
        <f>VLOOKUP(B3843,'SINAPI-%MO'!B:E,4,0)</f>
        <v>0.96870000000000001</v>
      </c>
      <c r="H3843" s="225">
        <f t="shared" si="59"/>
        <v>3.55</v>
      </c>
    </row>
    <row r="3844" spans="1:8" x14ac:dyDescent="0.3">
      <c r="A3844" s="400"/>
      <c r="B3844" s="709">
        <v>100699</v>
      </c>
      <c r="C3844" s="710" t="s">
        <v>13570</v>
      </c>
      <c r="D3844" s="709" t="s">
        <v>136</v>
      </c>
      <c r="E3844" s="716">
        <v>135.82</v>
      </c>
      <c r="F3844" s="717">
        <v>0</v>
      </c>
      <c r="G3844">
        <f>VLOOKUP(B3844,'SINAPI-%MO'!B:E,4,0)</f>
        <v>0.97389999999999999</v>
      </c>
      <c r="H3844" s="225">
        <f t="shared" si="59"/>
        <v>3.54</v>
      </c>
    </row>
    <row r="3845" spans="1:8" x14ac:dyDescent="0.3">
      <c r="A3845" s="400"/>
      <c r="B3845" s="709">
        <v>100705</v>
      </c>
      <c r="C3845" s="710" t="s">
        <v>13571</v>
      </c>
      <c r="D3845" s="709" t="s">
        <v>136</v>
      </c>
      <c r="E3845" s="716">
        <v>83.57</v>
      </c>
      <c r="F3845" s="717">
        <v>0</v>
      </c>
      <c r="G3845">
        <f>VLOOKUP(B3845,'SINAPI-%MO'!B:E,4,0)</f>
        <v>0.33529999999999999</v>
      </c>
      <c r="H3845" s="225">
        <f t="shared" si="59"/>
        <v>55.54</v>
      </c>
    </row>
    <row r="3846" spans="1:8" x14ac:dyDescent="0.3">
      <c r="A3846" s="400"/>
      <c r="B3846" s="709">
        <v>101173</v>
      </c>
      <c r="C3846" s="710" t="s">
        <v>3587</v>
      </c>
      <c r="D3846" s="709" t="s">
        <v>159</v>
      </c>
      <c r="E3846" s="716">
        <v>66.77</v>
      </c>
      <c r="F3846" s="717">
        <v>0</v>
      </c>
      <c r="G3846">
        <f>VLOOKUP(B3846,'SINAPI-%MO'!B:E,4,0)</f>
        <v>0.5484</v>
      </c>
      <c r="H3846" s="225">
        <f t="shared" si="59"/>
        <v>30.15</v>
      </c>
    </row>
    <row r="3847" spans="1:8" x14ac:dyDescent="0.3">
      <c r="A3847" s="400"/>
      <c r="B3847" s="709">
        <v>101174</v>
      </c>
      <c r="C3847" s="710" t="s">
        <v>3588</v>
      </c>
      <c r="D3847" s="709" t="s">
        <v>159</v>
      </c>
      <c r="E3847" s="716">
        <v>95.28</v>
      </c>
      <c r="F3847" s="717">
        <v>0</v>
      </c>
      <c r="G3847">
        <f>VLOOKUP(B3847,'SINAPI-%MO'!B:E,4,0)</f>
        <v>0.59379999999999999</v>
      </c>
      <c r="H3847" s="225">
        <f t="shared" si="59"/>
        <v>38.700000000000003</v>
      </c>
    </row>
    <row r="3848" spans="1:8" x14ac:dyDescent="0.3">
      <c r="A3848" s="400"/>
      <c r="B3848" s="709">
        <v>101175</v>
      </c>
      <c r="C3848" s="710" t="s">
        <v>3589</v>
      </c>
      <c r="D3848" s="709" t="s">
        <v>159</v>
      </c>
      <c r="E3848" s="716">
        <v>130.18</v>
      </c>
      <c r="F3848" s="717">
        <v>0</v>
      </c>
      <c r="G3848">
        <f>VLOOKUP(B3848,'SINAPI-%MO'!B:E,4,0)</f>
        <v>0.59050000000000002</v>
      </c>
      <c r="H3848" s="225">
        <f t="shared" si="59"/>
        <v>53.3</v>
      </c>
    </row>
    <row r="3849" spans="1:8" x14ac:dyDescent="0.3">
      <c r="A3849" s="400"/>
      <c r="B3849" s="709">
        <v>101176</v>
      </c>
      <c r="C3849" s="710" t="s">
        <v>3590</v>
      </c>
      <c r="D3849" s="709" t="s">
        <v>159</v>
      </c>
      <c r="E3849" s="716">
        <v>156.41999999999999</v>
      </c>
      <c r="F3849" s="717">
        <v>0</v>
      </c>
      <c r="G3849">
        <f>VLOOKUP(B3849,'SINAPI-%MO'!B:E,4,0)</f>
        <v>0.54020000000000001</v>
      </c>
      <c r="H3849" s="225">
        <f t="shared" si="59"/>
        <v>71.92</v>
      </c>
    </row>
    <row r="3850" spans="1:8" x14ac:dyDescent="0.3">
      <c r="A3850" s="400"/>
      <c r="B3850" s="709">
        <v>101183</v>
      </c>
      <c r="C3850" s="710" t="s">
        <v>3591</v>
      </c>
      <c r="D3850" s="709" t="s">
        <v>159</v>
      </c>
      <c r="E3850" s="716">
        <v>0</v>
      </c>
      <c r="F3850" s="717"/>
      <c r="G3850" t="e">
        <f>VLOOKUP(B3850,'SINAPI-%MO'!B:E,4,0)</f>
        <v>#N/A</v>
      </c>
      <c r="H3850" s="225" t="str">
        <f t="shared" si="59"/>
        <v/>
      </c>
    </row>
    <row r="3851" spans="1:8" x14ac:dyDescent="0.3">
      <c r="A3851" s="400"/>
      <c r="B3851" s="709">
        <v>101184</v>
      </c>
      <c r="C3851" s="710" t="s">
        <v>3592</v>
      </c>
      <c r="D3851" s="709" t="s">
        <v>159</v>
      </c>
      <c r="E3851" s="716">
        <v>0</v>
      </c>
      <c r="F3851" s="717"/>
      <c r="G3851" t="e">
        <f>VLOOKUP(B3851,'SINAPI-%MO'!B:E,4,0)</f>
        <v>#N/A</v>
      </c>
      <c r="H3851" s="225" t="str">
        <f t="shared" ref="H3851:H3914" si="60">IF(E3851&gt;0,TRUNC(E3851*(1-G3851),2),"")</f>
        <v/>
      </c>
    </row>
    <row r="3852" spans="1:8" x14ac:dyDescent="0.3">
      <c r="A3852" s="400"/>
      <c r="B3852" s="709">
        <v>101182</v>
      </c>
      <c r="C3852" s="710" t="s">
        <v>3593</v>
      </c>
      <c r="D3852" s="709" t="s">
        <v>159</v>
      </c>
      <c r="E3852" s="716">
        <v>0</v>
      </c>
      <c r="F3852" s="717"/>
      <c r="G3852" t="e">
        <f>VLOOKUP(B3852,'SINAPI-%MO'!B:E,4,0)</f>
        <v>#N/A</v>
      </c>
      <c r="H3852" s="225" t="str">
        <f t="shared" si="60"/>
        <v/>
      </c>
    </row>
    <row r="3853" spans="1:8" x14ac:dyDescent="0.3">
      <c r="A3853" s="400"/>
      <c r="B3853" s="709">
        <v>101185</v>
      </c>
      <c r="C3853" s="710" t="s">
        <v>3594</v>
      </c>
      <c r="D3853" s="709" t="s">
        <v>159</v>
      </c>
      <c r="E3853" s="716">
        <v>0</v>
      </c>
      <c r="F3853" s="717"/>
      <c r="G3853" t="e">
        <f>VLOOKUP(B3853,'SINAPI-%MO'!B:E,4,0)</f>
        <v>#N/A</v>
      </c>
      <c r="H3853" s="225" t="str">
        <f t="shared" si="60"/>
        <v/>
      </c>
    </row>
    <row r="3854" spans="1:8" x14ac:dyDescent="0.3">
      <c r="A3854" s="400"/>
      <c r="B3854" s="709">
        <v>101186</v>
      </c>
      <c r="C3854" s="710" t="s">
        <v>3595</v>
      </c>
      <c r="D3854" s="709" t="s">
        <v>159</v>
      </c>
      <c r="E3854" s="716">
        <v>0</v>
      </c>
      <c r="F3854" s="717"/>
      <c r="G3854" t="e">
        <f>VLOOKUP(B3854,'SINAPI-%MO'!B:E,4,0)</f>
        <v>#N/A</v>
      </c>
      <c r="H3854" s="225" t="str">
        <f t="shared" si="60"/>
        <v/>
      </c>
    </row>
    <row r="3855" spans="1:8" x14ac:dyDescent="0.3">
      <c r="A3855" s="400"/>
      <c r="B3855" s="709">
        <v>101187</v>
      </c>
      <c r="C3855" s="710" t="s">
        <v>3596</v>
      </c>
      <c r="D3855" s="709" t="s">
        <v>159</v>
      </c>
      <c r="E3855" s="716">
        <v>0</v>
      </c>
      <c r="F3855" s="717"/>
      <c r="G3855" t="e">
        <f>VLOOKUP(B3855,'SINAPI-%MO'!B:E,4,0)</f>
        <v>#N/A</v>
      </c>
      <c r="H3855" s="225" t="str">
        <f t="shared" si="60"/>
        <v/>
      </c>
    </row>
    <row r="3856" spans="1:8" x14ac:dyDescent="0.3">
      <c r="A3856" s="400"/>
      <c r="B3856" s="709">
        <v>101177</v>
      </c>
      <c r="C3856" s="710" t="s">
        <v>3597</v>
      </c>
      <c r="D3856" s="709" t="s">
        <v>159</v>
      </c>
      <c r="E3856" s="716">
        <v>0</v>
      </c>
      <c r="F3856" s="717"/>
      <c r="G3856" t="e">
        <f>VLOOKUP(B3856,'SINAPI-%MO'!B:E,4,0)</f>
        <v>#N/A</v>
      </c>
      <c r="H3856" s="225" t="str">
        <f t="shared" si="60"/>
        <v/>
      </c>
    </row>
    <row r="3857" spans="1:8" x14ac:dyDescent="0.3">
      <c r="A3857" s="400"/>
      <c r="B3857" s="709">
        <v>101178</v>
      </c>
      <c r="C3857" s="710" t="s">
        <v>3598</v>
      </c>
      <c r="D3857" s="709" t="s">
        <v>159</v>
      </c>
      <c r="E3857" s="716">
        <v>0</v>
      </c>
      <c r="F3857" s="717"/>
      <c r="G3857" t="e">
        <f>VLOOKUP(B3857,'SINAPI-%MO'!B:E,4,0)</f>
        <v>#N/A</v>
      </c>
      <c r="H3857" s="225" t="str">
        <f t="shared" si="60"/>
        <v/>
      </c>
    </row>
    <row r="3858" spans="1:8" x14ac:dyDescent="0.3">
      <c r="A3858" s="400"/>
      <c r="B3858" s="709">
        <v>101180</v>
      </c>
      <c r="C3858" s="710" t="s">
        <v>3599</v>
      </c>
      <c r="D3858" s="709" t="s">
        <v>159</v>
      </c>
      <c r="E3858" s="716">
        <v>0</v>
      </c>
      <c r="F3858" s="717"/>
      <c r="G3858" t="e">
        <f>VLOOKUP(B3858,'SINAPI-%MO'!B:E,4,0)</f>
        <v>#N/A</v>
      </c>
      <c r="H3858" s="225" t="str">
        <f t="shared" si="60"/>
        <v/>
      </c>
    </row>
    <row r="3859" spans="1:8" x14ac:dyDescent="0.3">
      <c r="A3859" s="400"/>
      <c r="B3859" s="709">
        <v>101179</v>
      </c>
      <c r="C3859" s="710" t="s">
        <v>3600</v>
      </c>
      <c r="D3859" s="709" t="s">
        <v>159</v>
      </c>
      <c r="E3859" s="716">
        <v>0</v>
      </c>
      <c r="F3859" s="717"/>
      <c r="G3859" t="e">
        <f>VLOOKUP(B3859,'SINAPI-%MO'!B:E,4,0)</f>
        <v>#N/A</v>
      </c>
      <c r="H3859" s="225" t="str">
        <f t="shared" si="60"/>
        <v/>
      </c>
    </row>
    <row r="3860" spans="1:8" x14ac:dyDescent="0.3">
      <c r="A3860" s="400"/>
      <c r="B3860" s="709">
        <v>101181</v>
      </c>
      <c r="C3860" s="710" t="s">
        <v>3601</v>
      </c>
      <c r="D3860" s="709" t="s">
        <v>159</v>
      </c>
      <c r="E3860" s="716">
        <v>0</v>
      </c>
      <c r="F3860" s="717"/>
      <c r="G3860" t="e">
        <f>VLOOKUP(B3860,'SINAPI-%MO'!B:E,4,0)</f>
        <v>#N/A</v>
      </c>
      <c r="H3860" s="225" t="str">
        <f t="shared" si="60"/>
        <v/>
      </c>
    </row>
    <row r="3861" spans="1:8" x14ac:dyDescent="0.3">
      <c r="A3861" s="400"/>
      <c r="B3861" s="709">
        <v>107113</v>
      </c>
      <c r="C3861" s="710" t="s">
        <v>13572</v>
      </c>
      <c r="D3861" s="709" t="s">
        <v>159</v>
      </c>
      <c r="E3861" s="716">
        <v>95.43</v>
      </c>
      <c r="F3861" s="717">
        <v>0</v>
      </c>
      <c r="G3861">
        <f>VLOOKUP(B3861,'SINAPI-%MO'!B:E,4,0)</f>
        <v>0.45860000000000001</v>
      </c>
      <c r="H3861" s="225">
        <f t="shared" si="60"/>
        <v>51.66</v>
      </c>
    </row>
    <row r="3862" spans="1:8" x14ac:dyDescent="0.3">
      <c r="A3862" s="400"/>
      <c r="B3862" s="709">
        <v>100899</v>
      </c>
      <c r="C3862" s="710" t="s">
        <v>13573</v>
      </c>
      <c r="D3862" s="709" t="s">
        <v>159</v>
      </c>
      <c r="E3862" s="716">
        <v>100.25</v>
      </c>
      <c r="F3862" s="717">
        <v>0</v>
      </c>
      <c r="G3862">
        <f>VLOOKUP(B3862,'SINAPI-%MO'!B:E,4,0)</f>
        <v>0.41310000000000002</v>
      </c>
      <c r="H3862" s="225">
        <f t="shared" si="60"/>
        <v>58.83</v>
      </c>
    </row>
    <row r="3863" spans="1:8" x14ac:dyDescent="0.3">
      <c r="A3863" s="400"/>
      <c r="B3863" s="709">
        <v>107107</v>
      </c>
      <c r="C3863" s="710" t="s">
        <v>13574</v>
      </c>
      <c r="D3863" s="709" t="s">
        <v>159</v>
      </c>
      <c r="E3863" s="716">
        <v>59.28</v>
      </c>
      <c r="F3863" s="717">
        <v>0</v>
      </c>
      <c r="G3863">
        <f>VLOOKUP(B3863,'SINAPI-%MO'!B:E,4,0)</f>
        <v>0.12839999999999999</v>
      </c>
      <c r="H3863" s="225">
        <f t="shared" si="60"/>
        <v>51.66</v>
      </c>
    </row>
    <row r="3864" spans="1:8" x14ac:dyDescent="0.3">
      <c r="A3864" s="400"/>
      <c r="B3864" s="709">
        <v>100896</v>
      </c>
      <c r="C3864" s="710" t="s">
        <v>13575</v>
      </c>
      <c r="D3864" s="709" t="s">
        <v>159</v>
      </c>
      <c r="E3864" s="716">
        <v>67.180000000000007</v>
      </c>
      <c r="F3864" s="717">
        <v>0</v>
      </c>
      <c r="G3864">
        <f>VLOOKUP(B3864,'SINAPI-%MO'!B:E,4,0)</f>
        <v>0.1241</v>
      </c>
      <c r="H3864" s="225">
        <f t="shared" si="60"/>
        <v>58.84</v>
      </c>
    </row>
    <row r="3865" spans="1:8" x14ac:dyDescent="0.3">
      <c r="A3865" s="400"/>
      <c r="B3865" s="709">
        <v>107133</v>
      </c>
      <c r="C3865" s="710" t="s">
        <v>13576</v>
      </c>
      <c r="D3865" s="709" t="s">
        <v>159</v>
      </c>
      <c r="E3865" s="716">
        <v>98</v>
      </c>
      <c r="F3865" s="717">
        <v>0</v>
      </c>
      <c r="G3865">
        <f>VLOOKUP(B3865,'SINAPI-%MO'!B:E,4,0)</f>
        <v>0.44650000000000001</v>
      </c>
      <c r="H3865" s="225">
        <f t="shared" si="60"/>
        <v>54.24</v>
      </c>
    </row>
    <row r="3866" spans="1:8" x14ac:dyDescent="0.3">
      <c r="A3866" s="400"/>
      <c r="B3866" s="709">
        <v>107123</v>
      </c>
      <c r="C3866" s="710" t="s">
        <v>13577</v>
      </c>
      <c r="D3866" s="709" t="s">
        <v>159</v>
      </c>
      <c r="E3866" s="716">
        <v>102.82</v>
      </c>
      <c r="F3866" s="717">
        <v>0</v>
      </c>
      <c r="G3866">
        <f>VLOOKUP(B3866,'SINAPI-%MO'!B:E,4,0)</f>
        <v>0.4027</v>
      </c>
      <c r="H3866" s="225">
        <f t="shared" si="60"/>
        <v>61.41</v>
      </c>
    </row>
    <row r="3867" spans="1:8" x14ac:dyDescent="0.3">
      <c r="A3867" s="400"/>
      <c r="B3867" s="709">
        <v>107127</v>
      </c>
      <c r="C3867" s="710" t="s">
        <v>13578</v>
      </c>
      <c r="D3867" s="709" t="s">
        <v>159</v>
      </c>
      <c r="E3867" s="716">
        <v>61.85</v>
      </c>
      <c r="F3867" s="717">
        <v>0</v>
      </c>
      <c r="G3867">
        <f>VLOOKUP(B3867,'SINAPI-%MO'!B:E,4,0)</f>
        <v>0.123</v>
      </c>
      <c r="H3867" s="225">
        <f t="shared" si="60"/>
        <v>54.24</v>
      </c>
    </row>
    <row r="3868" spans="1:8" x14ac:dyDescent="0.3">
      <c r="A3868" s="400"/>
      <c r="B3868" s="709">
        <v>107117</v>
      </c>
      <c r="C3868" s="710" t="s">
        <v>13579</v>
      </c>
      <c r="D3868" s="709" t="s">
        <v>159</v>
      </c>
      <c r="E3868" s="716">
        <v>69.75</v>
      </c>
      <c r="F3868" s="717">
        <v>0</v>
      </c>
      <c r="G3868">
        <f>VLOOKUP(B3868,'SINAPI-%MO'!B:E,4,0)</f>
        <v>0.1196</v>
      </c>
      <c r="H3868" s="225">
        <f t="shared" si="60"/>
        <v>61.4</v>
      </c>
    </row>
    <row r="3869" spans="1:8" x14ac:dyDescent="0.3">
      <c r="A3869" s="400"/>
      <c r="B3869" s="709">
        <v>107115</v>
      </c>
      <c r="C3869" s="710" t="s">
        <v>13580</v>
      </c>
      <c r="D3869" s="709" t="s">
        <v>159</v>
      </c>
      <c r="E3869" s="716">
        <v>122.11</v>
      </c>
      <c r="F3869" s="717">
        <v>0</v>
      </c>
      <c r="G3869">
        <f>VLOOKUP(B3869,'SINAPI-%MO'!B:E,4,0)</f>
        <v>0.43380000000000002</v>
      </c>
      <c r="H3869" s="225">
        <f t="shared" si="60"/>
        <v>69.13</v>
      </c>
    </row>
    <row r="3870" spans="1:8" x14ac:dyDescent="0.3">
      <c r="A3870" s="400"/>
      <c r="B3870" s="709">
        <v>107105</v>
      </c>
      <c r="C3870" s="710" t="s">
        <v>13581</v>
      </c>
      <c r="D3870" s="709" t="s">
        <v>159</v>
      </c>
      <c r="E3870" s="716">
        <v>126.5</v>
      </c>
      <c r="F3870" s="717">
        <v>0</v>
      </c>
      <c r="G3870">
        <f>VLOOKUP(B3870,'SINAPI-%MO'!B:E,4,0)</f>
        <v>0.39679999999999999</v>
      </c>
      <c r="H3870" s="225">
        <f t="shared" si="60"/>
        <v>76.3</v>
      </c>
    </row>
    <row r="3871" spans="1:8" x14ac:dyDescent="0.3">
      <c r="A3871" s="400"/>
      <c r="B3871" s="709">
        <v>107108</v>
      </c>
      <c r="C3871" s="710" t="s">
        <v>13582</v>
      </c>
      <c r="D3871" s="709" t="s">
        <v>159</v>
      </c>
      <c r="E3871" s="716">
        <v>77.67</v>
      </c>
      <c r="F3871" s="717">
        <v>0</v>
      </c>
      <c r="G3871">
        <f>VLOOKUP(B3871,'SINAPI-%MO'!B:E,4,0)</f>
        <v>0.10979999999999999</v>
      </c>
      <c r="H3871" s="225">
        <f t="shared" si="60"/>
        <v>69.14</v>
      </c>
    </row>
    <row r="3872" spans="1:8" x14ac:dyDescent="0.3">
      <c r="A3872" s="400"/>
      <c r="B3872" s="709">
        <v>107102</v>
      </c>
      <c r="C3872" s="710" t="s">
        <v>13583</v>
      </c>
      <c r="D3872" s="709" t="s">
        <v>159</v>
      </c>
      <c r="E3872" s="716">
        <v>85.57</v>
      </c>
      <c r="F3872" s="717">
        <v>0</v>
      </c>
      <c r="G3872">
        <f>VLOOKUP(B3872,'SINAPI-%MO'!B:E,4,0)</f>
        <v>0.1082</v>
      </c>
      <c r="H3872" s="225">
        <f t="shared" si="60"/>
        <v>76.31</v>
      </c>
    </row>
    <row r="3873" spans="1:8" x14ac:dyDescent="0.3">
      <c r="A3873" s="400"/>
      <c r="B3873" s="709">
        <v>107135</v>
      </c>
      <c r="C3873" s="710" t="s">
        <v>13584</v>
      </c>
      <c r="D3873" s="709" t="s">
        <v>159</v>
      </c>
      <c r="E3873" s="716">
        <v>125.81</v>
      </c>
      <c r="F3873" s="717">
        <v>0</v>
      </c>
      <c r="G3873">
        <f>VLOOKUP(B3873,'SINAPI-%MO'!B:E,4,0)</f>
        <v>0.42099999999999999</v>
      </c>
      <c r="H3873" s="225">
        <f t="shared" si="60"/>
        <v>72.84</v>
      </c>
    </row>
    <row r="3874" spans="1:8" x14ac:dyDescent="0.3">
      <c r="A3874" s="400"/>
      <c r="B3874" s="709">
        <v>107125</v>
      </c>
      <c r="C3874" s="710" t="s">
        <v>13585</v>
      </c>
      <c r="D3874" s="709" t="s">
        <v>159</v>
      </c>
      <c r="E3874" s="716">
        <v>130.19999999999999</v>
      </c>
      <c r="F3874" s="717">
        <v>0</v>
      </c>
      <c r="G3874">
        <f>VLOOKUP(B3874,'SINAPI-%MO'!B:E,4,0)</f>
        <v>0.38550000000000001</v>
      </c>
      <c r="H3874" s="225">
        <f t="shared" si="60"/>
        <v>80</v>
      </c>
    </row>
    <row r="3875" spans="1:8" x14ac:dyDescent="0.3">
      <c r="A3875" s="400"/>
      <c r="B3875" s="709">
        <v>107128</v>
      </c>
      <c r="C3875" s="710" t="s">
        <v>13586</v>
      </c>
      <c r="D3875" s="709" t="s">
        <v>159</v>
      </c>
      <c r="E3875" s="716">
        <v>81.37</v>
      </c>
      <c r="F3875" s="717">
        <v>0</v>
      </c>
      <c r="G3875">
        <f>VLOOKUP(B3875,'SINAPI-%MO'!B:E,4,0)</f>
        <v>0.1048</v>
      </c>
      <c r="H3875" s="225">
        <f t="shared" si="60"/>
        <v>72.84</v>
      </c>
    </row>
    <row r="3876" spans="1:8" x14ac:dyDescent="0.3">
      <c r="A3876" s="400"/>
      <c r="B3876" s="709">
        <v>107118</v>
      </c>
      <c r="C3876" s="710" t="s">
        <v>13587</v>
      </c>
      <c r="D3876" s="709" t="s">
        <v>159</v>
      </c>
      <c r="E3876" s="716">
        <v>89.27</v>
      </c>
      <c r="F3876" s="717">
        <v>0</v>
      </c>
      <c r="G3876">
        <f>VLOOKUP(B3876,'SINAPI-%MO'!B:E,4,0)</f>
        <v>0.1037</v>
      </c>
      <c r="H3876" s="225">
        <f t="shared" si="60"/>
        <v>80.010000000000005</v>
      </c>
    </row>
    <row r="3877" spans="1:8" x14ac:dyDescent="0.3">
      <c r="A3877" s="400"/>
      <c r="B3877" s="709">
        <v>107109</v>
      </c>
      <c r="C3877" s="710" t="s">
        <v>13588</v>
      </c>
      <c r="D3877" s="709" t="s">
        <v>159</v>
      </c>
      <c r="E3877" s="716">
        <v>98.78</v>
      </c>
      <c r="F3877" s="717">
        <v>0</v>
      </c>
      <c r="G3877">
        <f>VLOOKUP(B3877,'SINAPI-%MO'!B:E,4,0)</f>
        <v>9.5500000000000002E-2</v>
      </c>
      <c r="H3877" s="225">
        <f t="shared" si="60"/>
        <v>89.34</v>
      </c>
    </row>
    <row r="3878" spans="1:8" x14ac:dyDescent="0.3">
      <c r="A3878" s="400"/>
      <c r="B3878" s="709">
        <v>107103</v>
      </c>
      <c r="C3878" s="710" t="s">
        <v>13589</v>
      </c>
      <c r="D3878" s="709" t="s">
        <v>159</v>
      </c>
      <c r="E3878" s="716">
        <v>111.19</v>
      </c>
      <c r="F3878" s="717">
        <v>0</v>
      </c>
      <c r="G3878">
        <f>VLOOKUP(B3878,'SINAPI-%MO'!B:E,4,0)</f>
        <v>9.11E-2</v>
      </c>
      <c r="H3878" s="225">
        <f t="shared" si="60"/>
        <v>101.06</v>
      </c>
    </row>
    <row r="3879" spans="1:8" x14ac:dyDescent="0.3">
      <c r="A3879" s="400"/>
      <c r="B3879" s="709">
        <v>107129</v>
      </c>
      <c r="C3879" s="710" t="s">
        <v>13590</v>
      </c>
      <c r="D3879" s="709" t="s">
        <v>159</v>
      </c>
      <c r="E3879" s="716">
        <v>103.82</v>
      </c>
      <c r="F3879" s="717">
        <v>0</v>
      </c>
      <c r="G3879">
        <f>VLOOKUP(B3879,'SINAPI-%MO'!B:E,4,0)</f>
        <v>9.0800000000000006E-2</v>
      </c>
      <c r="H3879" s="225">
        <f t="shared" si="60"/>
        <v>94.39</v>
      </c>
    </row>
    <row r="3880" spans="1:8" x14ac:dyDescent="0.3">
      <c r="A3880" s="400"/>
      <c r="B3880" s="709">
        <v>107119</v>
      </c>
      <c r="C3880" s="710" t="s">
        <v>13591</v>
      </c>
      <c r="D3880" s="709" t="s">
        <v>159</v>
      </c>
      <c r="E3880" s="716">
        <v>116.23</v>
      </c>
      <c r="F3880" s="717">
        <v>0</v>
      </c>
      <c r="G3880">
        <f>VLOOKUP(B3880,'SINAPI-%MO'!B:E,4,0)</f>
        <v>8.72E-2</v>
      </c>
      <c r="H3880" s="225">
        <f t="shared" si="60"/>
        <v>106.09</v>
      </c>
    </row>
    <row r="3881" spans="1:8" x14ac:dyDescent="0.3">
      <c r="A3881" s="400"/>
      <c r="B3881" s="709">
        <v>107110</v>
      </c>
      <c r="C3881" s="710" t="s">
        <v>13592</v>
      </c>
      <c r="D3881" s="709" t="s">
        <v>159</v>
      </c>
      <c r="E3881" s="716">
        <v>122.69</v>
      </c>
      <c r="F3881" s="717">
        <v>0</v>
      </c>
      <c r="G3881">
        <f>VLOOKUP(B3881,'SINAPI-%MO'!B:E,4,0)</f>
        <v>8.43E-2</v>
      </c>
      <c r="H3881" s="225">
        <f t="shared" si="60"/>
        <v>112.34</v>
      </c>
    </row>
    <row r="3882" spans="1:8" x14ac:dyDescent="0.3">
      <c r="A3882" s="400"/>
      <c r="B3882" s="709">
        <v>100897</v>
      </c>
      <c r="C3882" s="710" t="s">
        <v>13593</v>
      </c>
      <c r="D3882" s="709" t="s">
        <v>159</v>
      </c>
      <c r="E3882" s="716">
        <v>135.1</v>
      </c>
      <c r="F3882" s="717">
        <v>0</v>
      </c>
      <c r="G3882">
        <f>VLOOKUP(B3882,'SINAPI-%MO'!B:E,4,0)</f>
        <v>8.1699999999999995E-2</v>
      </c>
      <c r="H3882" s="225">
        <f t="shared" si="60"/>
        <v>124.06</v>
      </c>
    </row>
    <row r="3883" spans="1:8" x14ac:dyDescent="0.3">
      <c r="A3883" s="400"/>
      <c r="B3883" s="709">
        <v>107130</v>
      </c>
      <c r="C3883" s="710" t="s">
        <v>13594</v>
      </c>
      <c r="D3883" s="709" t="s">
        <v>159</v>
      </c>
      <c r="E3883" s="716">
        <v>129.26</v>
      </c>
      <c r="F3883" s="717">
        <v>0</v>
      </c>
      <c r="G3883">
        <f>VLOOKUP(B3883,'SINAPI-%MO'!B:E,4,0)</f>
        <v>0.08</v>
      </c>
      <c r="H3883" s="225">
        <f t="shared" si="60"/>
        <v>118.91</v>
      </c>
    </row>
    <row r="3884" spans="1:8" x14ac:dyDescent="0.3">
      <c r="A3884" s="400"/>
      <c r="B3884" s="709">
        <v>107120</v>
      </c>
      <c r="C3884" s="710" t="s">
        <v>13595</v>
      </c>
      <c r="D3884" s="709" t="s">
        <v>159</v>
      </c>
      <c r="E3884" s="716">
        <v>141.66999999999999</v>
      </c>
      <c r="F3884" s="717">
        <v>0</v>
      </c>
      <c r="G3884">
        <f>VLOOKUP(B3884,'SINAPI-%MO'!B:E,4,0)</f>
        <v>7.7899999999999997E-2</v>
      </c>
      <c r="H3884" s="225">
        <f t="shared" si="60"/>
        <v>130.63</v>
      </c>
    </row>
    <row r="3885" spans="1:8" x14ac:dyDescent="0.3">
      <c r="A3885" s="400"/>
      <c r="B3885" s="709">
        <v>107116</v>
      </c>
      <c r="C3885" s="710" t="s">
        <v>13596</v>
      </c>
      <c r="D3885" s="709" t="s">
        <v>159</v>
      </c>
      <c r="E3885" s="716">
        <v>191.14</v>
      </c>
      <c r="F3885" s="717">
        <v>0</v>
      </c>
      <c r="G3885">
        <f>VLOOKUP(B3885,'SINAPI-%MO'!B:E,4,0)</f>
        <v>0.12770000000000001</v>
      </c>
      <c r="H3885" s="225">
        <f t="shared" si="60"/>
        <v>166.73</v>
      </c>
    </row>
    <row r="3886" spans="1:8" x14ac:dyDescent="0.3">
      <c r="A3886" s="400"/>
      <c r="B3886" s="709">
        <v>107106</v>
      </c>
      <c r="C3886" s="710" t="s">
        <v>13597</v>
      </c>
      <c r="D3886" s="709" t="s">
        <v>159</v>
      </c>
      <c r="E3886" s="716">
        <v>207.85</v>
      </c>
      <c r="F3886" s="717">
        <v>0</v>
      </c>
      <c r="G3886">
        <f>VLOOKUP(B3886,'SINAPI-%MO'!B:E,4,0)</f>
        <v>9.4600000000000004E-2</v>
      </c>
      <c r="H3886" s="225">
        <f t="shared" si="60"/>
        <v>188.18</v>
      </c>
    </row>
    <row r="3887" spans="1:8" x14ac:dyDescent="0.3">
      <c r="A3887" s="400"/>
      <c r="B3887" s="709">
        <v>107111</v>
      </c>
      <c r="C3887" s="710" t="s">
        <v>13598</v>
      </c>
      <c r="D3887" s="709" t="s">
        <v>159</v>
      </c>
      <c r="E3887" s="716">
        <v>178.96</v>
      </c>
      <c r="F3887" s="717">
        <v>0</v>
      </c>
      <c r="G3887">
        <f>VLOOKUP(B3887,'SINAPI-%MO'!B:E,4,0)</f>
        <v>6.83E-2</v>
      </c>
      <c r="H3887" s="225">
        <f t="shared" si="60"/>
        <v>166.73</v>
      </c>
    </row>
    <row r="3888" spans="1:8" x14ac:dyDescent="0.3">
      <c r="A3888" s="400"/>
      <c r="B3888" s="709">
        <v>107104</v>
      </c>
      <c r="C3888" s="710" t="s">
        <v>13599</v>
      </c>
      <c r="D3888" s="709" t="s">
        <v>159</v>
      </c>
      <c r="E3888" s="716">
        <v>201.26</v>
      </c>
      <c r="F3888" s="717">
        <v>0</v>
      </c>
      <c r="G3888">
        <f>VLOOKUP(B3888,'SINAPI-%MO'!B:E,4,0)</f>
        <v>6.5000000000000002E-2</v>
      </c>
      <c r="H3888" s="225">
        <f t="shared" si="60"/>
        <v>188.17</v>
      </c>
    </row>
    <row r="3889" spans="1:8" x14ac:dyDescent="0.3">
      <c r="A3889" s="400"/>
      <c r="B3889" s="709">
        <v>107136</v>
      </c>
      <c r="C3889" s="710" t="s">
        <v>13600</v>
      </c>
      <c r="D3889" s="709" t="s">
        <v>159</v>
      </c>
      <c r="E3889" s="716">
        <v>201.42</v>
      </c>
      <c r="F3889" s="717">
        <v>0</v>
      </c>
      <c r="G3889">
        <f>VLOOKUP(B3889,'SINAPI-%MO'!B:E,4,0)</f>
        <v>0.1212</v>
      </c>
      <c r="H3889" s="225">
        <f t="shared" si="60"/>
        <v>177</v>
      </c>
    </row>
    <row r="3890" spans="1:8" x14ac:dyDescent="0.3">
      <c r="A3890" s="400"/>
      <c r="B3890" s="709">
        <v>107126</v>
      </c>
      <c r="C3890" s="710" t="s">
        <v>13601</v>
      </c>
      <c r="D3890" s="709" t="s">
        <v>159</v>
      </c>
      <c r="E3890" s="716">
        <v>218.13</v>
      </c>
      <c r="F3890" s="717">
        <v>0</v>
      </c>
      <c r="G3890">
        <f>VLOOKUP(B3890,'SINAPI-%MO'!B:E,4,0)</f>
        <v>9.0200000000000002E-2</v>
      </c>
      <c r="H3890" s="225">
        <f t="shared" si="60"/>
        <v>198.45</v>
      </c>
    </row>
    <row r="3891" spans="1:8" x14ac:dyDescent="0.3">
      <c r="A3891" s="400"/>
      <c r="B3891" s="709">
        <v>107131</v>
      </c>
      <c r="C3891" s="710" t="s">
        <v>13602</v>
      </c>
      <c r="D3891" s="709" t="s">
        <v>159</v>
      </c>
      <c r="E3891" s="716">
        <v>189.24</v>
      </c>
      <c r="F3891" s="717">
        <v>0</v>
      </c>
      <c r="G3891">
        <f>VLOOKUP(B3891,'SINAPI-%MO'!B:E,4,0)</f>
        <v>6.4600000000000005E-2</v>
      </c>
      <c r="H3891" s="225">
        <f t="shared" si="60"/>
        <v>177.01</v>
      </c>
    </row>
    <row r="3892" spans="1:8" x14ac:dyDescent="0.3">
      <c r="A3892" s="400"/>
      <c r="B3892" s="709">
        <v>107121</v>
      </c>
      <c r="C3892" s="710" t="s">
        <v>13603</v>
      </c>
      <c r="D3892" s="709" t="s">
        <v>159</v>
      </c>
      <c r="E3892" s="716">
        <v>211.54</v>
      </c>
      <c r="F3892" s="717">
        <v>0</v>
      </c>
      <c r="G3892">
        <f>VLOOKUP(B3892,'SINAPI-%MO'!B:E,4,0)</f>
        <v>6.1800000000000001E-2</v>
      </c>
      <c r="H3892" s="225">
        <f t="shared" si="60"/>
        <v>198.46</v>
      </c>
    </row>
    <row r="3893" spans="1:8" x14ac:dyDescent="0.3">
      <c r="A3893" s="400"/>
      <c r="B3893" s="709">
        <v>107114</v>
      </c>
      <c r="C3893" s="710" t="s">
        <v>13604</v>
      </c>
      <c r="D3893" s="709" t="s">
        <v>159</v>
      </c>
      <c r="E3893" s="716">
        <v>262.24</v>
      </c>
      <c r="F3893" s="717">
        <v>0</v>
      </c>
      <c r="G3893">
        <f>VLOOKUP(B3893,'SINAPI-%MO'!B:E,4,0)</f>
        <v>0.1137</v>
      </c>
      <c r="H3893" s="225">
        <f t="shared" si="60"/>
        <v>232.42</v>
      </c>
    </row>
    <row r="3894" spans="1:8" x14ac:dyDescent="0.3">
      <c r="A3894" s="400"/>
      <c r="B3894" s="709">
        <v>100900</v>
      </c>
      <c r="C3894" s="710" t="s">
        <v>13605</v>
      </c>
      <c r="D3894" s="709" t="s">
        <v>159</v>
      </c>
      <c r="E3894" s="716">
        <v>277.62</v>
      </c>
      <c r="F3894" s="717">
        <v>0</v>
      </c>
      <c r="G3894">
        <f>VLOOKUP(B3894,'SINAPI-%MO'!B:E,4,0)</f>
        <v>8.5500000000000007E-2</v>
      </c>
      <c r="H3894" s="225">
        <f t="shared" si="60"/>
        <v>253.88</v>
      </c>
    </row>
    <row r="3895" spans="1:8" x14ac:dyDescent="0.3">
      <c r="A3895" s="400"/>
      <c r="B3895" s="709">
        <v>107112</v>
      </c>
      <c r="C3895" s="710" t="s">
        <v>13606</v>
      </c>
      <c r="D3895" s="709" t="s">
        <v>159</v>
      </c>
      <c r="E3895" s="716">
        <v>246.7</v>
      </c>
      <c r="F3895" s="717">
        <v>0</v>
      </c>
      <c r="G3895">
        <f>VLOOKUP(B3895,'SINAPI-%MO'!B:E,4,0)</f>
        <v>5.7799999999999997E-2</v>
      </c>
      <c r="H3895" s="225">
        <f t="shared" si="60"/>
        <v>232.44</v>
      </c>
    </row>
    <row r="3896" spans="1:8" x14ac:dyDescent="0.3">
      <c r="A3896" s="400"/>
      <c r="B3896" s="709">
        <v>100898</v>
      </c>
      <c r="C3896" s="710" t="s">
        <v>13607</v>
      </c>
      <c r="D3896" s="709" t="s">
        <v>159</v>
      </c>
      <c r="E3896" s="716">
        <v>269</v>
      </c>
      <c r="F3896" s="717">
        <v>0</v>
      </c>
      <c r="G3896">
        <f>VLOOKUP(B3896,'SINAPI-%MO'!B:E,4,0)</f>
        <v>5.62E-2</v>
      </c>
      <c r="H3896" s="225">
        <f t="shared" si="60"/>
        <v>253.88</v>
      </c>
    </row>
    <row r="3897" spans="1:8" x14ac:dyDescent="0.3">
      <c r="A3897" s="400"/>
      <c r="B3897" s="709">
        <v>107134</v>
      </c>
      <c r="C3897" s="710" t="s">
        <v>13608</v>
      </c>
      <c r="D3897" s="709" t="s">
        <v>159</v>
      </c>
      <c r="E3897" s="716">
        <v>277.04000000000002</v>
      </c>
      <c r="F3897" s="717">
        <v>0</v>
      </c>
      <c r="G3897">
        <f>VLOOKUP(B3897,'SINAPI-%MO'!B:E,4,0)</f>
        <v>0.1076</v>
      </c>
      <c r="H3897" s="225">
        <f t="shared" si="60"/>
        <v>247.23</v>
      </c>
    </row>
    <row r="3898" spans="1:8" x14ac:dyDescent="0.3">
      <c r="A3898" s="400"/>
      <c r="B3898" s="709">
        <v>107124</v>
      </c>
      <c r="C3898" s="710" t="s">
        <v>13609</v>
      </c>
      <c r="D3898" s="709" t="s">
        <v>159</v>
      </c>
      <c r="E3898" s="716">
        <v>292.42</v>
      </c>
      <c r="F3898" s="717">
        <v>0</v>
      </c>
      <c r="G3898">
        <f>VLOOKUP(B3898,'SINAPI-%MO'!B:E,4,0)</f>
        <v>8.1199999999999994E-2</v>
      </c>
      <c r="H3898" s="225">
        <f t="shared" si="60"/>
        <v>268.67</v>
      </c>
    </row>
    <row r="3899" spans="1:8" x14ac:dyDescent="0.3">
      <c r="A3899" s="400"/>
      <c r="B3899" s="709">
        <v>107132</v>
      </c>
      <c r="C3899" s="710" t="s">
        <v>13610</v>
      </c>
      <c r="D3899" s="709" t="s">
        <v>159</v>
      </c>
      <c r="E3899" s="716">
        <v>261.49</v>
      </c>
      <c r="F3899" s="717">
        <v>0</v>
      </c>
      <c r="G3899">
        <f>VLOOKUP(B3899,'SINAPI-%MO'!B:E,4,0)</f>
        <v>5.4600000000000003E-2</v>
      </c>
      <c r="H3899" s="225">
        <f t="shared" si="60"/>
        <v>247.21</v>
      </c>
    </row>
    <row r="3900" spans="1:8" x14ac:dyDescent="0.3">
      <c r="A3900" s="400"/>
      <c r="B3900" s="709">
        <v>107122</v>
      </c>
      <c r="C3900" s="710" t="s">
        <v>13611</v>
      </c>
      <c r="D3900" s="709" t="s">
        <v>159</v>
      </c>
      <c r="E3900" s="716">
        <v>283.79000000000002</v>
      </c>
      <c r="F3900" s="717">
        <v>0</v>
      </c>
      <c r="G3900">
        <f>VLOOKUP(B3900,'SINAPI-%MO'!B:E,4,0)</f>
        <v>5.33E-2</v>
      </c>
      <c r="H3900" s="225">
        <f t="shared" si="60"/>
        <v>268.66000000000003</v>
      </c>
    </row>
    <row r="3901" spans="1:8" x14ac:dyDescent="0.3">
      <c r="A3901" s="400"/>
      <c r="B3901" s="709">
        <v>100892</v>
      </c>
      <c r="C3901" s="710" t="s">
        <v>3602</v>
      </c>
      <c r="D3901" s="709" t="s">
        <v>175</v>
      </c>
      <c r="E3901" s="716">
        <v>13.73</v>
      </c>
      <c r="F3901" s="717">
        <v>0</v>
      </c>
      <c r="G3901">
        <f>VLOOKUP(B3901,'SINAPI-%MO'!B:E,4,0)</f>
        <v>7.5700000000000003E-2</v>
      </c>
      <c r="H3901" s="225">
        <f t="shared" si="60"/>
        <v>12.69</v>
      </c>
    </row>
    <row r="3902" spans="1:8" x14ac:dyDescent="0.3">
      <c r="A3902" s="400"/>
      <c r="B3902" s="709">
        <v>100893</v>
      </c>
      <c r="C3902" s="710" t="s">
        <v>3603</v>
      </c>
      <c r="D3902" s="709" t="s">
        <v>175</v>
      </c>
      <c r="E3902" s="716">
        <v>13.52</v>
      </c>
      <c r="F3902" s="717">
        <v>0</v>
      </c>
      <c r="G3902">
        <f>VLOOKUP(B3902,'SINAPI-%MO'!B:E,4,0)</f>
        <v>6.6600000000000006E-2</v>
      </c>
      <c r="H3902" s="225">
        <f t="shared" si="60"/>
        <v>12.61</v>
      </c>
    </row>
    <row r="3903" spans="1:8" x14ac:dyDescent="0.3">
      <c r="A3903" s="400"/>
      <c r="B3903" s="709">
        <v>100894</v>
      </c>
      <c r="C3903" s="710" t="s">
        <v>3604</v>
      </c>
      <c r="D3903" s="709" t="s">
        <v>175</v>
      </c>
      <c r="E3903" s="716">
        <v>13.37</v>
      </c>
      <c r="F3903" s="717">
        <v>0</v>
      </c>
      <c r="G3903">
        <f>VLOOKUP(B3903,'SINAPI-%MO'!B:E,4,0)</f>
        <v>5.6099999999999997E-2</v>
      </c>
      <c r="H3903" s="225">
        <f t="shared" si="60"/>
        <v>12.61</v>
      </c>
    </row>
    <row r="3904" spans="1:8" x14ac:dyDescent="0.3">
      <c r="A3904" s="400"/>
      <c r="B3904" s="709">
        <v>100889</v>
      </c>
      <c r="C3904" s="710" t="s">
        <v>3605</v>
      </c>
      <c r="D3904" s="709" t="s">
        <v>175</v>
      </c>
      <c r="E3904" s="716">
        <v>13.16</v>
      </c>
      <c r="F3904" s="717">
        <v>0</v>
      </c>
      <c r="G3904">
        <f>VLOOKUP(B3904,'SINAPI-%MO'!B:E,4,0)</f>
        <v>4.8599999999999997E-2</v>
      </c>
      <c r="H3904" s="225">
        <f t="shared" si="60"/>
        <v>12.52</v>
      </c>
    </row>
    <row r="3905" spans="1:8" x14ac:dyDescent="0.3">
      <c r="A3905" s="400"/>
      <c r="B3905" s="709">
        <v>100891</v>
      </c>
      <c r="C3905" s="710" t="s">
        <v>3606</v>
      </c>
      <c r="D3905" s="709" t="s">
        <v>175</v>
      </c>
      <c r="E3905" s="716">
        <v>0</v>
      </c>
      <c r="F3905" s="717"/>
      <c r="G3905" t="e">
        <f>VLOOKUP(B3905,'SINAPI-%MO'!B:E,4,0)</f>
        <v>#N/A</v>
      </c>
      <c r="H3905" s="225" t="str">
        <f t="shared" si="60"/>
        <v/>
      </c>
    </row>
    <row r="3906" spans="1:8" x14ac:dyDescent="0.3">
      <c r="A3906" s="400"/>
      <c r="B3906" s="709">
        <v>100890</v>
      </c>
      <c r="C3906" s="710" t="s">
        <v>3607</v>
      </c>
      <c r="D3906" s="709" t="s">
        <v>175</v>
      </c>
      <c r="E3906" s="716">
        <v>12.95</v>
      </c>
      <c r="F3906" s="717">
        <v>0</v>
      </c>
      <c r="G3906">
        <f>VLOOKUP(B3906,'SINAPI-%MO'!B:E,4,0)</f>
        <v>4.02E-2</v>
      </c>
      <c r="H3906" s="225">
        <f t="shared" si="60"/>
        <v>12.42</v>
      </c>
    </row>
    <row r="3907" spans="1:8" x14ac:dyDescent="0.3">
      <c r="A3907" s="400"/>
      <c r="B3907" s="709">
        <v>100658</v>
      </c>
      <c r="C3907" s="710" t="s">
        <v>3608</v>
      </c>
      <c r="D3907" s="709" t="s">
        <v>159</v>
      </c>
      <c r="E3907" s="716">
        <v>375.98</v>
      </c>
      <c r="F3907" s="717">
        <v>0.87609999999999999</v>
      </c>
      <c r="G3907">
        <f>VLOOKUP(B3907,'SINAPI-%MO'!B:E,4,0)</f>
        <v>7.6799999999999993E-2</v>
      </c>
      <c r="H3907" s="225">
        <f t="shared" si="60"/>
        <v>347.1</v>
      </c>
    </row>
    <row r="3908" spans="1:8" x14ac:dyDescent="0.3">
      <c r="A3908" s="400"/>
      <c r="B3908" s="709">
        <v>100657</v>
      </c>
      <c r="C3908" s="710" t="s">
        <v>3609</v>
      </c>
      <c r="D3908" s="709" t="s">
        <v>159</v>
      </c>
      <c r="E3908" s="716">
        <v>164.47</v>
      </c>
      <c r="F3908" s="717">
        <v>0.78139999999999998</v>
      </c>
      <c r="G3908">
        <f>VLOOKUP(B3908,'SINAPI-%MO'!B:E,4,0)</f>
        <v>0.12959999999999999</v>
      </c>
      <c r="H3908" s="225">
        <f t="shared" si="60"/>
        <v>143.15</v>
      </c>
    </row>
    <row r="3909" spans="1:8" x14ac:dyDescent="0.3">
      <c r="A3909" s="400"/>
      <c r="B3909" s="709">
        <v>100656</v>
      </c>
      <c r="C3909" s="710" t="s">
        <v>3610</v>
      </c>
      <c r="D3909" s="709" t="s">
        <v>159</v>
      </c>
      <c r="E3909" s="716">
        <v>127.76</v>
      </c>
      <c r="F3909" s="717">
        <v>0.73970000000000002</v>
      </c>
      <c r="G3909">
        <f>VLOOKUP(B3909,'SINAPI-%MO'!B:E,4,0)</f>
        <v>0.15859999999999999</v>
      </c>
      <c r="H3909" s="225">
        <f t="shared" si="60"/>
        <v>107.49</v>
      </c>
    </row>
    <row r="3910" spans="1:8" x14ac:dyDescent="0.3">
      <c r="A3910" s="400"/>
      <c r="B3910" s="709">
        <v>102649</v>
      </c>
      <c r="C3910" s="710" t="s">
        <v>3611</v>
      </c>
      <c r="D3910" s="709" t="s">
        <v>159</v>
      </c>
      <c r="E3910" s="716">
        <v>391.02</v>
      </c>
      <c r="F3910" s="717">
        <v>3.5000000000000003E-2</v>
      </c>
      <c r="G3910">
        <f>VLOOKUP(B3910,'SINAPI-%MO'!B:E,4,0)</f>
        <v>0.28110000000000002</v>
      </c>
      <c r="H3910" s="225">
        <f t="shared" si="60"/>
        <v>281.10000000000002</v>
      </c>
    </row>
    <row r="3911" spans="1:8" x14ac:dyDescent="0.3">
      <c r="A3911" s="400"/>
      <c r="B3911" s="709">
        <v>102645</v>
      </c>
      <c r="C3911" s="710" t="s">
        <v>3612</v>
      </c>
      <c r="D3911" s="709" t="s">
        <v>159</v>
      </c>
      <c r="E3911" s="716">
        <v>263.14999999999998</v>
      </c>
      <c r="F3911" s="717">
        <v>0</v>
      </c>
      <c r="G3911">
        <f>VLOOKUP(B3911,'SINAPI-%MO'!B:E,4,0)</f>
        <v>0.24310000000000001</v>
      </c>
      <c r="H3911" s="225">
        <f t="shared" si="60"/>
        <v>199.17</v>
      </c>
    </row>
    <row r="3912" spans="1:8" x14ac:dyDescent="0.3">
      <c r="A3912" s="400"/>
      <c r="B3912" s="709">
        <v>102650</v>
      </c>
      <c r="C3912" s="710" t="s">
        <v>3613</v>
      </c>
      <c r="D3912" s="709" t="s">
        <v>159</v>
      </c>
      <c r="E3912" s="716">
        <v>555.35</v>
      </c>
      <c r="F3912" s="717">
        <v>3.1E-2</v>
      </c>
      <c r="G3912">
        <f>VLOOKUP(B3912,'SINAPI-%MO'!B:E,4,0)</f>
        <v>0.26779999999999998</v>
      </c>
      <c r="H3912" s="225">
        <f t="shared" si="60"/>
        <v>406.62</v>
      </c>
    </row>
    <row r="3913" spans="1:8" x14ac:dyDescent="0.3">
      <c r="A3913" s="400"/>
      <c r="B3913" s="709">
        <v>102646</v>
      </c>
      <c r="C3913" s="710" t="s">
        <v>3614</v>
      </c>
      <c r="D3913" s="709" t="s">
        <v>159</v>
      </c>
      <c r="E3913" s="716">
        <v>395.4</v>
      </c>
      <c r="F3913" s="717">
        <v>0</v>
      </c>
      <c r="G3913">
        <f>VLOOKUP(B3913,'SINAPI-%MO'!B:E,4,0)</f>
        <v>0.23080000000000001</v>
      </c>
      <c r="H3913" s="225">
        <f t="shared" si="60"/>
        <v>304.14</v>
      </c>
    </row>
    <row r="3914" spans="1:8" x14ac:dyDescent="0.3">
      <c r="A3914" s="400"/>
      <c r="B3914" s="709">
        <v>102651</v>
      </c>
      <c r="C3914" s="710" t="s">
        <v>3615</v>
      </c>
      <c r="D3914" s="709" t="s">
        <v>159</v>
      </c>
      <c r="E3914" s="716">
        <v>719.69</v>
      </c>
      <c r="F3914" s="717">
        <v>3.0099999999999998E-2</v>
      </c>
      <c r="G3914">
        <f>VLOOKUP(B3914,'SINAPI-%MO'!B:E,4,0)</f>
        <v>0.26939999999999997</v>
      </c>
      <c r="H3914" s="225">
        <f t="shared" si="60"/>
        <v>525.79999999999995</v>
      </c>
    </row>
    <row r="3915" spans="1:8" x14ac:dyDescent="0.3">
      <c r="A3915" s="400"/>
      <c r="B3915" s="709">
        <v>102647</v>
      </c>
      <c r="C3915" s="710" t="s">
        <v>3616</v>
      </c>
      <c r="D3915" s="709" t="s">
        <v>159</v>
      </c>
      <c r="E3915" s="716">
        <v>518.55999999999995</v>
      </c>
      <c r="F3915" s="717">
        <v>0</v>
      </c>
      <c r="G3915">
        <f>VLOOKUP(B3915,'SINAPI-%MO'!B:E,4,0)</f>
        <v>0.2346</v>
      </c>
      <c r="H3915" s="225">
        <f t="shared" ref="H3915:H3978" si="61">IF(E3915&gt;0,TRUNC(E3915*(1-G3915),2),"")</f>
        <v>396.9</v>
      </c>
    </row>
    <row r="3916" spans="1:8" x14ac:dyDescent="0.3">
      <c r="A3916" s="400"/>
      <c r="B3916" s="709">
        <v>102652</v>
      </c>
      <c r="C3916" s="710" t="s">
        <v>3617</v>
      </c>
      <c r="D3916" s="709" t="s">
        <v>159</v>
      </c>
      <c r="E3916" s="716">
        <v>917.41</v>
      </c>
      <c r="F3916" s="717">
        <v>2.7699999999999999E-2</v>
      </c>
      <c r="G3916">
        <f>VLOOKUP(B3916,'SINAPI-%MO'!B:E,4,0)</f>
        <v>0.2535</v>
      </c>
      <c r="H3916" s="225">
        <f t="shared" si="61"/>
        <v>684.84</v>
      </c>
    </row>
    <row r="3917" spans="1:8" x14ac:dyDescent="0.3">
      <c r="A3917" s="400"/>
      <c r="B3917" s="709">
        <v>102648</v>
      </c>
      <c r="C3917" s="710" t="s">
        <v>3618</v>
      </c>
      <c r="D3917" s="709" t="s">
        <v>159</v>
      </c>
      <c r="E3917" s="716">
        <v>681.91</v>
      </c>
      <c r="F3917" s="717">
        <v>0</v>
      </c>
      <c r="G3917">
        <f>VLOOKUP(B3917,'SINAPI-%MO'!B:E,4,0)</f>
        <v>0.21740000000000001</v>
      </c>
      <c r="H3917" s="225">
        <f t="shared" si="61"/>
        <v>533.66</v>
      </c>
    </row>
    <row r="3918" spans="1:8" x14ac:dyDescent="0.3">
      <c r="A3918" s="400"/>
      <c r="B3918" s="709">
        <v>106794</v>
      </c>
      <c r="C3918" s="710" t="s">
        <v>13612</v>
      </c>
      <c r="D3918" s="709" t="s">
        <v>159</v>
      </c>
      <c r="E3918" s="716">
        <v>131.47</v>
      </c>
      <c r="F3918" s="717">
        <v>0</v>
      </c>
      <c r="G3918">
        <f>VLOOKUP(B3918,'SINAPI-%MO'!B:E,4,0)</f>
        <v>0.14169999999999999</v>
      </c>
      <c r="H3918" s="225">
        <f t="shared" si="61"/>
        <v>112.84</v>
      </c>
    </row>
    <row r="3919" spans="1:8" x14ac:dyDescent="0.3">
      <c r="A3919" s="400"/>
      <c r="B3919" s="709">
        <v>100651</v>
      </c>
      <c r="C3919" s="710" t="s">
        <v>13613</v>
      </c>
      <c r="D3919" s="709" t="s">
        <v>159</v>
      </c>
      <c r="E3919" s="716">
        <v>156.87</v>
      </c>
      <c r="F3919" s="717">
        <v>0</v>
      </c>
      <c r="G3919">
        <f>VLOOKUP(B3919,'SINAPI-%MO'!B:E,4,0)</f>
        <v>0.13420000000000001</v>
      </c>
      <c r="H3919" s="225">
        <f t="shared" si="61"/>
        <v>135.81</v>
      </c>
    </row>
    <row r="3920" spans="1:8" x14ac:dyDescent="0.3">
      <c r="A3920" s="400"/>
      <c r="B3920" s="709">
        <v>106804</v>
      </c>
      <c r="C3920" s="710" t="s">
        <v>13614</v>
      </c>
      <c r="D3920" s="709" t="s">
        <v>159</v>
      </c>
      <c r="E3920" s="716">
        <v>136.19999999999999</v>
      </c>
      <c r="F3920" s="717">
        <v>0</v>
      </c>
      <c r="G3920">
        <f>VLOOKUP(B3920,'SINAPI-%MO'!B:E,4,0)</f>
        <v>0.1368</v>
      </c>
      <c r="H3920" s="225">
        <f t="shared" si="61"/>
        <v>117.56</v>
      </c>
    </row>
    <row r="3921" spans="1:8" x14ac:dyDescent="0.3">
      <c r="A3921" s="400"/>
      <c r="B3921" s="709">
        <v>106799</v>
      </c>
      <c r="C3921" s="710" t="s">
        <v>13615</v>
      </c>
      <c r="D3921" s="709" t="s">
        <v>159</v>
      </c>
      <c r="E3921" s="716">
        <v>161.6</v>
      </c>
      <c r="F3921" s="717">
        <v>0</v>
      </c>
      <c r="G3921">
        <f>VLOOKUP(B3921,'SINAPI-%MO'!B:E,4,0)</f>
        <v>0.1303</v>
      </c>
      <c r="H3921" s="225">
        <f t="shared" si="61"/>
        <v>140.54</v>
      </c>
    </row>
    <row r="3922" spans="1:8" x14ac:dyDescent="0.3">
      <c r="A3922" s="400"/>
      <c r="B3922" s="709">
        <v>106795</v>
      </c>
      <c r="C3922" s="710" t="s">
        <v>13616</v>
      </c>
      <c r="D3922" s="709" t="s">
        <v>159</v>
      </c>
      <c r="E3922" s="716">
        <v>261.45</v>
      </c>
      <c r="F3922" s="717">
        <v>0</v>
      </c>
      <c r="G3922">
        <f>VLOOKUP(B3922,'SINAPI-%MO'!B:E,4,0)</f>
        <v>8.6900000000000005E-2</v>
      </c>
      <c r="H3922" s="225">
        <f t="shared" si="61"/>
        <v>238.72</v>
      </c>
    </row>
    <row r="3923" spans="1:8" x14ac:dyDescent="0.3">
      <c r="A3923" s="400"/>
      <c r="B3923" s="709">
        <v>100652</v>
      </c>
      <c r="C3923" s="710" t="s">
        <v>13617</v>
      </c>
      <c r="D3923" s="709" t="s">
        <v>159</v>
      </c>
      <c r="E3923" s="716">
        <v>300.77</v>
      </c>
      <c r="F3923" s="717">
        <v>0</v>
      </c>
      <c r="G3923">
        <f>VLOOKUP(B3923,'SINAPI-%MO'!B:E,4,0)</f>
        <v>9.0399999999999994E-2</v>
      </c>
      <c r="H3923" s="225">
        <f t="shared" si="61"/>
        <v>273.58</v>
      </c>
    </row>
    <row r="3924" spans="1:8" x14ac:dyDescent="0.3">
      <c r="A3924" s="400"/>
      <c r="B3924" s="709">
        <v>106805</v>
      </c>
      <c r="C3924" s="710" t="s">
        <v>13618</v>
      </c>
      <c r="D3924" s="709" t="s">
        <v>159</v>
      </c>
      <c r="E3924" s="716">
        <v>273.19</v>
      </c>
      <c r="F3924" s="717">
        <v>0</v>
      </c>
      <c r="G3924">
        <f>VLOOKUP(B3924,'SINAPI-%MO'!B:E,4,0)</f>
        <v>8.3199999999999996E-2</v>
      </c>
      <c r="H3924" s="225">
        <f t="shared" si="61"/>
        <v>250.46</v>
      </c>
    </row>
    <row r="3925" spans="1:8" x14ac:dyDescent="0.3">
      <c r="A3925" s="400"/>
      <c r="B3925" s="709">
        <v>106800</v>
      </c>
      <c r="C3925" s="710" t="s">
        <v>13619</v>
      </c>
      <c r="D3925" s="709" t="s">
        <v>159</v>
      </c>
      <c r="E3925" s="716">
        <v>312.51</v>
      </c>
      <c r="F3925" s="717">
        <v>0</v>
      </c>
      <c r="G3925">
        <f>VLOOKUP(B3925,'SINAPI-%MO'!B:E,4,0)</f>
        <v>8.6999999999999994E-2</v>
      </c>
      <c r="H3925" s="225">
        <f t="shared" si="61"/>
        <v>285.32</v>
      </c>
    </row>
    <row r="3926" spans="1:8" x14ac:dyDescent="0.3">
      <c r="A3926" s="400"/>
      <c r="B3926" s="709">
        <v>106796</v>
      </c>
      <c r="C3926" s="710" t="s">
        <v>13620</v>
      </c>
      <c r="D3926" s="709" t="s">
        <v>159</v>
      </c>
      <c r="E3926" s="716">
        <v>438.47</v>
      </c>
      <c r="F3926" s="717">
        <v>0</v>
      </c>
      <c r="G3926">
        <f>VLOOKUP(B3926,'SINAPI-%MO'!B:E,4,0)</f>
        <v>6.0499999999999998E-2</v>
      </c>
      <c r="H3926" s="225">
        <f t="shared" si="61"/>
        <v>411.94</v>
      </c>
    </row>
    <row r="3927" spans="1:8" x14ac:dyDescent="0.3">
      <c r="A3927" s="400"/>
      <c r="B3927" s="709">
        <v>100653</v>
      </c>
      <c r="C3927" s="710" t="s">
        <v>13621</v>
      </c>
      <c r="D3927" s="709" t="s">
        <v>159</v>
      </c>
      <c r="E3927" s="716">
        <v>501.49</v>
      </c>
      <c r="F3927" s="717">
        <v>0</v>
      </c>
      <c r="G3927">
        <f>VLOOKUP(B3927,'SINAPI-%MO'!B:E,4,0)</f>
        <v>6.7000000000000004E-2</v>
      </c>
      <c r="H3927" s="225">
        <f t="shared" si="61"/>
        <v>467.89</v>
      </c>
    </row>
    <row r="3928" spans="1:8" x14ac:dyDescent="0.3">
      <c r="A3928" s="400"/>
      <c r="B3928" s="709">
        <v>106806</v>
      </c>
      <c r="C3928" s="710" t="s">
        <v>13622</v>
      </c>
      <c r="D3928" s="709" t="s">
        <v>159</v>
      </c>
      <c r="E3928" s="716">
        <v>460.07</v>
      </c>
      <c r="F3928" s="717">
        <v>0</v>
      </c>
      <c r="G3928">
        <f>VLOOKUP(B3928,'SINAPI-%MO'!B:E,4,0)</f>
        <v>5.7599999999999998E-2</v>
      </c>
      <c r="H3928" s="225">
        <f t="shared" si="61"/>
        <v>433.56</v>
      </c>
    </row>
    <row r="3929" spans="1:8" x14ac:dyDescent="0.3">
      <c r="A3929" s="400"/>
      <c r="B3929" s="709">
        <v>106801</v>
      </c>
      <c r="C3929" s="710" t="s">
        <v>13623</v>
      </c>
      <c r="D3929" s="709" t="s">
        <v>159</v>
      </c>
      <c r="E3929" s="716">
        <v>523.09</v>
      </c>
      <c r="F3929" s="717">
        <v>0</v>
      </c>
      <c r="G3929">
        <f>VLOOKUP(B3929,'SINAPI-%MO'!B:E,4,0)</f>
        <v>6.4199999999999993E-2</v>
      </c>
      <c r="H3929" s="225">
        <f t="shared" si="61"/>
        <v>489.5</v>
      </c>
    </row>
    <row r="3930" spans="1:8" x14ac:dyDescent="0.3">
      <c r="A3930" s="400"/>
      <c r="B3930" s="709">
        <v>106797</v>
      </c>
      <c r="C3930" s="710" t="s">
        <v>13624</v>
      </c>
      <c r="D3930" s="709" t="s">
        <v>159</v>
      </c>
      <c r="E3930" s="716">
        <v>544.17999999999995</v>
      </c>
      <c r="F3930" s="717">
        <v>0</v>
      </c>
      <c r="G3930">
        <f>VLOOKUP(B3930,'SINAPI-%MO'!B:E,4,0)</f>
        <v>5.2900000000000003E-2</v>
      </c>
      <c r="H3930" s="225">
        <f t="shared" si="61"/>
        <v>515.39</v>
      </c>
    </row>
    <row r="3931" spans="1:8" x14ac:dyDescent="0.3">
      <c r="A3931" s="400"/>
      <c r="B3931" s="709">
        <v>100654</v>
      </c>
      <c r="C3931" s="710" t="s">
        <v>13625</v>
      </c>
      <c r="D3931" s="709" t="s">
        <v>159</v>
      </c>
      <c r="E3931" s="716">
        <v>662.73</v>
      </c>
      <c r="F3931" s="717">
        <v>0</v>
      </c>
      <c r="G3931">
        <f>VLOOKUP(B3931,'SINAPI-%MO'!B:E,4,0)</f>
        <v>5.6300000000000003E-2</v>
      </c>
      <c r="H3931" s="225">
        <f t="shared" si="61"/>
        <v>625.41</v>
      </c>
    </row>
    <row r="3932" spans="1:8" x14ac:dyDescent="0.3">
      <c r="A3932" s="400"/>
      <c r="B3932" s="709">
        <v>106807</v>
      </c>
      <c r="C3932" s="710" t="s">
        <v>13626</v>
      </c>
      <c r="D3932" s="709" t="s">
        <v>159</v>
      </c>
      <c r="E3932" s="716">
        <v>571.66</v>
      </c>
      <c r="F3932" s="717">
        <v>0</v>
      </c>
      <c r="G3932">
        <f>VLOOKUP(B3932,'SINAPI-%MO'!B:E,4,0)</f>
        <v>5.0299999999999997E-2</v>
      </c>
      <c r="H3932" s="225">
        <f t="shared" si="61"/>
        <v>542.9</v>
      </c>
    </row>
    <row r="3933" spans="1:8" x14ac:dyDescent="0.3">
      <c r="A3933" s="400"/>
      <c r="B3933" s="709">
        <v>106802</v>
      </c>
      <c r="C3933" s="710" t="s">
        <v>13627</v>
      </c>
      <c r="D3933" s="709" t="s">
        <v>159</v>
      </c>
      <c r="E3933" s="716">
        <v>690.21</v>
      </c>
      <c r="F3933" s="717">
        <v>0</v>
      </c>
      <c r="G3933">
        <f>VLOOKUP(B3933,'SINAPI-%MO'!B:E,4,0)</f>
        <v>5.4100000000000002E-2</v>
      </c>
      <c r="H3933" s="225">
        <f t="shared" si="61"/>
        <v>652.86</v>
      </c>
    </row>
    <row r="3934" spans="1:8" x14ac:dyDescent="0.3">
      <c r="A3934" s="400"/>
      <c r="B3934" s="709">
        <v>106798</v>
      </c>
      <c r="C3934" s="710" t="s">
        <v>13628</v>
      </c>
      <c r="D3934" s="709" t="s">
        <v>159</v>
      </c>
      <c r="E3934" s="716">
        <v>669.87</v>
      </c>
      <c r="F3934" s="717">
        <v>0</v>
      </c>
      <c r="G3934">
        <f>VLOOKUP(B3934,'SINAPI-%MO'!B:E,4,0)</f>
        <v>4.0800000000000003E-2</v>
      </c>
      <c r="H3934" s="225">
        <f t="shared" si="61"/>
        <v>642.53</v>
      </c>
    </row>
    <row r="3935" spans="1:8" x14ac:dyDescent="0.3">
      <c r="A3935" s="400"/>
      <c r="B3935" s="709">
        <v>100655</v>
      </c>
      <c r="C3935" s="710" t="s">
        <v>13629</v>
      </c>
      <c r="D3935" s="709" t="s">
        <v>159</v>
      </c>
      <c r="E3935" s="716">
        <v>792.54</v>
      </c>
      <c r="F3935" s="717">
        <v>0</v>
      </c>
      <c r="G3935">
        <f>VLOOKUP(B3935,'SINAPI-%MO'!B:E,4,0)</f>
        <v>4.6100000000000002E-2</v>
      </c>
      <c r="H3935" s="225">
        <f t="shared" si="61"/>
        <v>756</v>
      </c>
    </row>
    <row r="3936" spans="1:8" x14ac:dyDescent="0.3">
      <c r="A3936" s="400"/>
      <c r="B3936" s="709">
        <v>106808</v>
      </c>
      <c r="C3936" s="710" t="s">
        <v>13630</v>
      </c>
      <c r="D3936" s="709" t="s">
        <v>159</v>
      </c>
      <c r="E3936" s="716">
        <v>703.68</v>
      </c>
      <c r="F3936" s="717">
        <v>0</v>
      </c>
      <c r="G3936">
        <f>VLOOKUP(B3936,'SINAPI-%MO'!B:E,4,0)</f>
        <v>3.8800000000000001E-2</v>
      </c>
      <c r="H3936" s="225">
        <f t="shared" si="61"/>
        <v>676.37</v>
      </c>
    </row>
    <row r="3937" spans="1:8" x14ac:dyDescent="0.3">
      <c r="A3937" s="400"/>
      <c r="B3937" s="709">
        <v>106803</v>
      </c>
      <c r="C3937" s="710" t="s">
        <v>13631</v>
      </c>
      <c r="D3937" s="709" t="s">
        <v>159</v>
      </c>
      <c r="E3937" s="716">
        <v>826.35</v>
      </c>
      <c r="F3937" s="717">
        <v>0</v>
      </c>
      <c r="G3937">
        <f>VLOOKUP(B3937,'SINAPI-%MO'!B:E,4,0)</f>
        <v>4.4200000000000003E-2</v>
      </c>
      <c r="H3937" s="225">
        <f t="shared" si="61"/>
        <v>789.82</v>
      </c>
    </row>
    <row r="3938" spans="1:8" x14ac:dyDescent="0.3">
      <c r="A3938" s="400"/>
      <c r="B3938" s="709">
        <v>100364</v>
      </c>
      <c r="C3938" s="710" t="s">
        <v>13632</v>
      </c>
      <c r="D3938" s="709" t="s">
        <v>136</v>
      </c>
      <c r="E3938" s="716">
        <v>3369.81</v>
      </c>
      <c r="F3938" s="717">
        <v>4.5499999999999999E-2</v>
      </c>
      <c r="G3938">
        <f>VLOOKUP(B3938,'SINAPI-%MO'!B:E,4,0)</f>
        <v>0.41589999999999999</v>
      </c>
      <c r="H3938" s="225">
        <f t="shared" si="61"/>
        <v>1968.3</v>
      </c>
    </row>
    <row r="3939" spans="1:8" x14ac:dyDescent="0.3">
      <c r="A3939" s="400"/>
      <c r="B3939" s="709">
        <v>100374</v>
      </c>
      <c r="C3939" s="710" t="s">
        <v>13633</v>
      </c>
      <c r="D3939" s="709" t="s">
        <v>136</v>
      </c>
      <c r="E3939" s="716">
        <v>3149.88</v>
      </c>
      <c r="F3939" s="717">
        <v>4.87E-2</v>
      </c>
      <c r="G3939">
        <f>VLOOKUP(B3939,'SINAPI-%MO'!B:E,4,0)</f>
        <v>0.44500000000000001</v>
      </c>
      <c r="H3939" s="225">
        <f t="shared" si="61"/>
        <v>1748.18</v>
      </c>
    </row>
    <row r="3940" spans="1:8" x14ac:dyDescent="0.3">
      <c r="A3940" s="400"/>
      <c r="B3940" s="709">
        <v>100365</v>
      </c>
      <c r="C3940" s="710" t="s">
        <v>13634</v>
      </c>
      <c r="D3940" s="709" t="s">
        <v>136</v>
      </c>
      <c r="E3940" s="716">
        <v>3909.43</v>
      </c>
      <c r="F3940" s="717">
        <v>3.9199999999999999E-2</v>
      </c>
      <c r="G3940">
        <f>VLOOKUP(B3940,'SINAPI-%MO'!B:E,4,0)</f>
        <v>0.43809999999999999</v>
      </c>
      <c r="H3940" s="225">
        <f t="shared" si="61"/>
        <v>2196.6999999999998</v>
      </c>
    </row>
    <row r="3941" spans="1:8" x14ac:dyDescent="0.3">
      <c r="A3941" s="400"/>
      <c r="B3941" s="709">
        <v>100375</v>
      </c>
      <c r="C3941" s="710" t="s">
        <v>13635</v>
      </c>
      <c r="D3941" s="709" t="s">
        <v>136</v>
      </c>
      <c r="E3941" s="716">
        <v>3589.64</v>
      </c>
      <c r="F3941" s="717">
        <v>4.2700000000000002E-2</v>
      </c>
      <c r="G3941">
        <f>VLOOKUP(B3941,'SINAPI-%MO'!B:E,4,0)</f>
        <v>0.47710000000000002</v>
      </c>
      <c r="H3941" s="225">
        <f t="shared" si="61"/>
        <v>1877.02</v>
      </c>
    </row>
    <row r="3942" spans="1:8" x14ac:dyDescent="0.3">
      <c r="A3942" s="400"/>
      <c r="B3942" s="709">
        <v>100366</v>
      </c>
      <c r="C3942" s="710" t="s">
        <v>13636</v>
      </c>
      <c r="D3942" s="709" t="s">
        <v>136</v>
      </c>
      <c r="E3942" s="716">
        <v>4151.8900000000003</v>
      </c>
      <c r="F3942" s="717">
        <v>3.6900000000000002E-2</v>
      </c>
      <c r="G3942">
        <f>VLOOKUP(B3942,'SINAPI-%MO'!B:E,4,0)</f>
        <v>0.41249999999999998</v>
      </c>
      <c r="H3942" s="225">
        <f t="shared" si="61"/>
        <v>2439.23</v>
      </c>
    </row>
    <row r="3943" spans="1:8" x14ac:dyDescent="0.3">
      <c r="A3943" s="400"/>
      <c r="B3943" s="709">
        <v>100376</v>
      </c>
      <c r="C3943" s="710" t="s">
        <v>13637</v>
      </c>
      <c r="D3943" s="709" t="s">
        <v>136</v>
      </c>
      <c r="E3943" s="716">
        <v>3686.3</v>
      </c>
      <c r="F3943" s="717">
        <v>4.1599999999999998E-2</v>
      </c>
      <c r="G3943">
        <f>VLOOKUP(B3943,'SINAPI-%MO'!B:E,4,0)</f>
        <v>0.46460000000000001</v>
      </c>
      <c r="H3943" s="225">
        <f t="shared" si="61"/>
        <v>1973.64</v>
      </c>
    </row>
    <row r="3944" spans="1:8" x14ac:dyDescent="0.3">
      <c r="A3944" s="400"/>
      <c r="B3944" s="709">
        <v>100357</v>
      </c>
      <c r="C3944" s="710" t="s">
        <v>13638</v>
      </c>
      <c r="D3944" s="709" t="s">
        <v>136</v>
      </c>
      <c r="E3944" s="716">
        <v>1139.05</v>
      </c>
      <c r="F3944" s="717">
        <v>1.5E-3</v>
      </c>
      <c r="G3944">
        <f>VLOOKUP(B3944,'SINAPI-%MO'!B:E,4,0)</f>
        <v>0.4158</v>
      </c>
      <c r="H3944" s="225">
        <f t="shared" si="61"/>
        <v>665.43</v>
      </c>
    </row>
    <row r="3945" spans="1:8" x14ac:dyDescent="0.3">
      <c r="A3945" s="400"/>
      <c r="B3945" s="709">
        <v>100367</v>
      </c>
      <c r="C3945" s="710" t="s">
        <v>13639</v>
      </c>
      <c r="D3945" s="709" t="s">
        <v>136</v>
      </c>
      <c r="E3945" s="716">
        <v>1107.96</v>
      </c>
      <c r="F3945" s="717">
        <v>1.6000000000000001E-3</v>
      </c>
      <c r="G3945">
        <f>VLOOKUP(B3945,'SINAPI-%MO'!B:E,4,0)</f>
        <v>0.42749999999999999</v>
      </c>
      <c r="H3945" s="225">
        <f t="shared" si="61"/>
        <v>634.29999999999995</v>
      </c>
    </row>
    <row r="3946" spans="1:8" x14ac:dyDescent="0.3">
      <c r="A3946" s="400"/>
      <c r="B3946" s="709">
        <v>100358</v>
      </c>
      <c r="C3946" s="710" t="s">
        <v>13640</v>
      </c>
      <c r="D3946" s="709" t="s">
        <v>136</v>
      </c>
      <c r="E3946" s="716">
        <v>1590.35</v>
      </c>
      <c r="F3946" s="717">
        <v>1.1000000000000001E-3</v>
      </c>
      <c r="G3946">
        <f>VLOOKUP(B3946,'SINAPI-%MO'!B:E,4,0)</f>
        <v>0.49330000000000002</v>
      </c>
      <c r="H3946" s="225">
        <f t="shared" si="61"/>
        <v>805.83</v>
      </c>
    </row>
    <row r="3947" spans="1:8" x14ac:dyDescent="0.3">
      <c r="A3947" s="400"/>
      <c r="B3947" s="709">
        <v>100368</v>
      </c>
      <c r="C3947" s="710" t="s">
        <v>13641</v>
      </c>
      <c r="D3947" s="709" t="s">
        <v>136</v>
      </c>
      <c r="E3947" s="716">
        <v>1551.77</v>
      </c>
      <c r="F3947" s="717">
        <v>1.1000000000000001E-3</v>
      </c>
      <c r="G3947">
        <f>VLOOKUP(B3947,'SINAPI-%MO'!B:E,4,0)</f>
        <v>0.50560000000000005</v>
      </c>
      <c r="H3947" s="225">
        <f t="shared" si="61"/>
        <v>767.19</v>
      </c>
    </row>
    <row r="3948" spans="1:8" x14ac:dyDescent="0.3">
      <c r="A3948" s="400"/>
      <c r="B3948" s="709">
        <v>100359</v>
      </c>
      <c r="C3948" s="710" t="s">
        <v>13642</v>
      </c>
      <c r="D3948" s="709" t="s">
        <v>136</v>
      </c>
      <c r="E3948" s="716">
        <v>1665.62</v>
      </c>
      <c r="F3948" s="717">
        <v>1E-3</v>
      </c>
      <c r="G3948">
        <f>VLOOKUP(B3948,'SINAPI-%MO'!B:E,4,0)</f>
        <v>0.47099999999999997</v>
      </c>
      <c r="H3948" s="225">
        <f t="shared" si="61"/>
        <v>881.11</v>
      </c>
    </row>
    <row r="3949" spans="1:8" x14ac:dyDescent="0.3">
      <c r="A3949" s="400"/>
      <c r="B3949" s="709">
        <v>100369</v>
      </c>
      <c r="C3949" s="710" t="s">
        <v>13643</v>
      </c>
      <c r="D3949" s="709" t="s">
        <v>136</v>
      </c>
      <c r="E3949" s="716">
        <v>1626.3</v>
      </c>
      <c r="F3949" s="717">
        <v>1.1000000000000001E-3</v>
      </c>
      <c r="G3949">
        <f>VLOOKUP(B3949,'SINAPI-%MO'!B:E,4,0)</f>
        <v>0.4824</v>
      </c>
      <c r="H3949" s="225">
        <f t="shared" si="61"/>
        <v>841.77</v>
      </c>
    </row>
    <row r="3950" spans="1:8" x14ac:dyDescent="0.3">
      <c r="A3950" s="400"/>
      <c r="B3950" s="709">
        <v>100360</v>
      </c>
      <c r="C3950" s="710" t="s">
        <v>13644</v>
      </c>
      <c r="D3950" s="709" t="s">
        <v>136</v>
      </c>
      <c r="E3950" s="716">
        <v>1855.51</v>
      </c>
      <c r="F3950" s="717">
        <v>8.9999999999999998E-4</v>
      </c>
      <c r="G3950">
        <f>VLOOKUP(B3950,'SINAPI-%MO'!B:E,4,0)</f>
        <v>0.46960000000000002</v>
      </c>
      <c r="H3950" s="225">
        <f t="shared" si="61"/>
        <v>984.16</v>
      </c>
    </row>
    <row r="3951" spans="1:8" x14ac:dyDescent="0.3">
      <c r="A3951" s="400"/>
      <c r="B3951" s="709">
        <v>100370</v>
      </c>
      <c r="C3951" s="710" t="s">
        <v>13645</v>
      </c>
      <c r="D3951" s="709" t="s">
        <v>136</v>
      </c>
      <c r="E3951" s="716">
        <v>1925.87</v>
      </c>
      <c r="F3951" s="717">
        <v>8.9999999999999998E-4</v>
      </c>
      <c r="G3951">
        <f>VLOOKUP(B3951,'SINAPI-%MO'!B:E,4,0)</f>
        <v>0.45240000000000002</v>
      </c>
      <c r="H3951" s="225">
        <f t="shared" si="61"/>
        <v>1054.5999999999999</v>
      </c>
    </row>
    <row r="3952" spans="1:8" x14ac:dyDescent="0.3">
      <c r="A3952" s="400"/>
      <c r="B3952" s="709">
        <v>100361</v>
      </c>
      <c r="C3952" s="710" t="s">
        <v>13646</v>
      </c>
      <c r="D3952" s="709" t="s">
        <v>136</v>
      </c>
      <c r="E3952" s="716">
        <v>2338.87</v>
      </c>
      <c r="F3952" s="717">
        <v>6.9999999999999999E-4</v>
      </c>
      <c r="G3952">
        <f>VLOOKUP(B3952,'SINAPI-%MO'!B:E,4,0)</f>
        <v>0.50549999999999995</v>
      </c>
      <c r="H3952" s="225">
        <f t="shared" si="61"/>
        <v>1156.57</v>
      </c>
    </row>
    <row r="3953" spans="1:8" x14ac:dyDescent="0.3">
      <c r="A3953" s="400"/>
      <c r="B3953" s="709">
        <v>100371</v>
      </c>
      <c r="C3953" s="710" t="s">
        <v>13647</v>
      </c>
      <c r="D3953" s="709" t="s">
        <v>136</v>
      </c>
      <c r="E3953" s="716">
        <v>2238.69</v>
      </c>
      <c r="F3953" s="717">
        <v>8.0000000000000004E-4</v>
      </c>
      <c r="G3953">
        <f>VLOOKUP(B3953,'SINAPI-%MO'!B:E,4,0)</f>
        <v>0.52810000000000001</v>
      </c>
      <c r="H3953" s="225">
        <f t="shared" si="61"/>
        <v>1056.43</v>
      </c>
    </row>
    <row r="3954" spans="1:8" x14ac:dyDescent="0.3">
      <c r="A3954" s="400"/>
      <c r="B3954" s="709">
        <v>100362</v>
      </c>
      <c r="C3954" s="710" t="s">
        <v>13648</v>
      </c>
      <c r="D3954" s="709" t="s">
        <v>136</v>
      </c>
      <c r="E3954" s="716">
        <v>2997.29</v>
      </c>
      <c r="F3954" s="717">
        <v>5.1200000000000002E-2</v>
      </c>
      <c r="G3954">
        <f>VLOOKUP(B3954,'SINAPI-%MO'!B:E,4,0)</f>
        <v>0.42249999999999999</v>
      </c>
      <c r="H3954" s="225">
        <f t="shared" si="61"/>
        <v>1730.93</v>
      </c>
    </row>
    <row r="3955" spans="1:8" x14ac:dyDescent="0.3">
      <c r="A3955" s="400"/>
      <c r="B3955" s="709">
        <v>100372</v>
      </c>
      <c r="C3955" s="710" t="s">
        <v>13649</v>
      </c>
      <c r="D3955" s="709" t="s">
        <v>136</v>
      </c>
      <c r="E3955" s="716">
        <v>2828.57</v>
      </c>
      <c r="F3955" s="717">
        <v>5.4199999999999998E-2</v>
      </c>
      <c r="G3955">
        <f>VLOOKUP(B3955,'SINAPI-%MO'!B:E,4,0)</f>
        <v>0.44769999999999999</v>
      </c>
      <c r="H3955" s="225">
        <f t="shared" si="61"/>
        <v>1562.21</v>
      </c>
    </row>
    <row r="3956" spans="1:8" x14ac:dyDescent="0.3">
      <c r="A3956" s="400"/>
      <c r="B3956" s="709">
        <v>100363</v>
      </c>
      <c r="C3956" s="710" t="s">
        <v>13650</v>
      </c>
      <c r="D3956" s="709" t="s">
        <v>136</v>
      </c>
      <c r="E3956" s="716">
        <v>3090.52</v>
      </c>
      <c r="F3956" s="717">
        <v>4.9599999999999998E-2</v>
      </c>
      <c r="G3956">
        <f>VLOOKUP(B3956,'SINAPI-%MO'!B:E,4,0)</f>
        <v>0.40970000000000001</v>
      </c>
      <c r="H3956" s="225">
        <f t="shared" si="61"/>
        <v>1824.33</v>
      </c>
    </row>
    <row r="3957" spans="1:8" x14ac:dyDescent="0.3">
      <c r="A3957" s="400"/>
      <c r="B3957" s="709">
        <v>100373</v>
      </c>
      <c r="C3957" s="710" t="s">
        <v>13651</v>
      </c>
      <c r="D3957" s="709" t="s">
        <v>136</v>
      </c>
      <c r="E3957" s="716">
        <v>2918.96</v>
      </c>
      <c r="F3957" s="717">
        <v>5.2499999999999998E-2</v>
      </c>
      <c r="G3957">
        <f>VLOOKUP(B3957,'SINAPI-%MO'!B:E,4,0)</f>
        <v>0.43380000000000002</v>
      </c>
      <c r="H3957" s="225">
        <f t="shared" si="61"/>
        <v>1652.71</v>
      </c>
    </row>
    <row r="3958" spans="1:8" x14ac:dyDescent="0.3">
      <c r="A3958" s="400"/>
      <c r="B3958" s="709">
        <v>106154</v>
      </c>
      <c r="C3958" s="710" t="s">
        <v>15031</v>
      </c>
      <c r="D3958" s="709" t="s">
        <v>168</v>
      </c>
      <c r="E3958" s="716">
        <v>0</v>
      </c>
      <c r="F3958" s="717"/>
      <c r="G3958" t="e">
        <f>VLOOKUP(B3958,'SINAPI-%MO'!B:E,4,0)</f>
        <v>#N/A</v>
      </c>
      <c r="H3958" s="225" t="str">
        <f t="shared" si="61"/>
        <v/>
      </c>
    </row>
    <row r="3959" spans="1:8" x14ac:dyDescent="0.3">
      <c r="A3959" s="400"/>
      <c r="B3959" s="709">
        <v>106153</v>
      </c>
      <c r="C3959" s="710" t="s">
        <v>15032</v>
      </c>
      <c r="D3959" s="709" t="s">
        <v>168</v>
      </c>
      <c r="E3959" s="716">
        <v>0</v>
      </c>
      <c r="F3959" s="717"/>
      <c r="G3959" t="e">
        <f>VLOOKUP(B3959,'SINAPI-%MO'!B:E,4,0)</f>
        <v>#N/A</v>
      </c>
      <c r="H3959" s="225" t="str">
        <f t="shared" si="61"/>
        <v/>
      </c>
    </row>
    <row r="3960" spans="1:8" x14ac:dyDescent="0.3">
      <c r="A3960" s="400"/>
      <c r="B3960" s="709">
        <v>106152</v>
      </c>
      <c r="C3960" s="710" t="s">
        <v>15033</v>
      </c>
      <c r="D3960" s="709" t="s">
        <v>168</v>
      </c>
      <c r="E3960" s="716">
        <v>0</v>
      </c>
      <c r="F3960" s="717"/>
      <c r="G3960" t="e">
        <f>VLOOKUP(B3960,'SINAPI-%MO'!B:E,4,0)</f>
        <v>#N/A</v>
      </c>
      <c r="H3960" s="225" t="str">
        <f t="shared" si="61"/>
        <v/>
      </c>
    </row>
    <row r="3961" spans="1:8" x14ac:dyDescent="0.3">
      <c r="A3961" s="400"/>
      <c r="B3961" s="709">
        <v>106157</v>
      </c>
      <c r="C3961" s="710" t="s">
        <v>15034</v>
      </c>
      <c r="D3961" s="709" t="s">
        <v>168</v>
      </c>
      <c r="E3961" s="716">
        <v>0</v>
      </c>
      <c r="F3961" s="717"/>
      <c r="G3961" t="e">
        <f>VLOOKUP(B3961,'SINAPI-%MO'!B:E,4,0)</f>
        <v>#N/A</v>
      </c>
      <c r="H3961" s="225" t="str">
        <f t="shared" si="61"/>
        <v/>
      </c>
    </row>
    <row r="3962" spans="1:8" x14ac:dyDescent="0.3">
      <c r="A3962" s="400"/>
      <c r="B3962" s="709">
        <v>106156</v>
      </c>
      <c r="C3962" s="710" t="s">
        <v>15035</v>
      </c>
      <c r="D3962" s="709" t="s">
        <v>168</v>
      </c>
      <c r="E3962" s="716">
        <v>0</v>
      </c>
      <c r="F3962" s="717"/>
      <c r="G3962" t="e">
        <f>VLOOKUP(B3962,'SINAPI-%MO'!B:E,4,0)</f>
        <v>#N/A</v>
      </c>
      <c r="H3962" s="225" t="str">
        <f t="shared" si="61"/>
        <v/>
      </c>
    </row>
    <row r="3963" spans="1:8" x14ac:dyDescent="0.3">
      <c r="A3963" s="400"/>
      <c r="B3963" s="709">
        <v>106155</v>
      </c>
      <c r="C3963" s="710" t="s">
        <v>15036</v>
      </c>
      <c r="D3963" s="709" t="s">
        <v>168</v>
      </c>
      <c r="E3963" s="716">
        <v>0</v>
      </c>
      <c r="F3963" s="717"/>
      <c r="G3963" t="e">
        <f>VLOOKUP(B3963,'SINAPI-%MO'!B:E,4,0)</f>
        <v>#N/A</v>
      </c>
      <c r="H3963" s="225" t="str">
        <f t="shared" si="61"/>
        <v/>
      </c>
    </row>
    <row r="3964" spans="1:8" x14ac:dyDescent="0.3">
      <c r="A3964" s="400"/>
      <c r="B3964" s="709">
        <v>106160</v>
      </c>
      <c r="C3964" s="710" t="s">
        <v>15037</v>
      </c>
      <c r="D3964" s="709" t="s">
        <v>168</v>
      </c>
      <c r="E3964" s="716">
        <v>0</v>
      </c>
      <c r="F3964" s="717"/>
      <c r="G3964" t="e">
        <f>VLOOKUP(B3964,'SINAPI-%MO'!B:E,4,0)</f>
        <v>#N/A</v>
      </c>
      <c r="H3964" s="225" t="str">
        <f t="shared" si="61"/>
        <v/>
      </c>
    </row>
    <row r="3965" spans="1:8" x14ac:dyDescent="0.3">
      <c r="A3965" s="400"/>
      <c r="B3965" s="709">
        <v>106159</v>
      </c>
      <c r="C3965" s="710" t="s">
        <v>15038</v>
      </c>
      <c r="D3965" s="709" t="s">
        <v>168</v>
      </c>
      <c r="E3965" s="716">
        <v>0</v>
      </c>
      <c r="F3965" s="717"/>
      <c r="G3965" t="e">
        <f>VLOOKUP(B3965,'SINAPI-%MO'!B:E,4,0)</f>
        <v>#N/A</v>
      </c>
      <c r="H3965" s="225" t="str">
        <f t="shared" si="61"/>
        <v/>
      </c>
    </row>
    <row r="3966" spans="1:8" x14ac:dyDescent="0.3">
      <c r="A3966" s="400"/>
      <c r="B3966" s="709">
        <v>106158</v>
      </c>
      <c r="C3966" s="710" t="s">
        <v>15039</v>
      </c>
      <c r="D3966" s="709" t="s">
        <v>168</v>
      </c>
      <c r="E3966" s="716">
        <v>0</v>
      </c>
      <c r="F3966" s="717"/>
      <c r="G3966" t="e">
        <f>VLOOKUP(B3966,'SINAPI-%MO'!B:E,4,0)</f>
        <v>#N/A</v>
      </c>
      <c r="H3966" s="225" t="str">
        <f t="shared" si="61"/>
        <v/>
      </c>
    </row>
    <row r="3967" spans="1:8" x14ac:dyDescent="0.3">
      <c r="A3967" s="400"/>
      <c r="B3967" s="709">
        <v>106163</v>
      </c>
      <c r="C3967" s="710" t="s">
        <v>15040</v>
      </c>
      <c r="D3967" s="709" t="s">
        <v>168</v>
      </c>
      <c r="E3967" s="716">
        <v>0</v>
      </c>
      <c r="F3967" s="717"/>
      <c r="G3967" t="e">
        <f>VLOOKUP(B3967,'SINAPI-%MO'!B:E,4,0)</f>
        <v>#N/A</v>
      </c>
      <c r="H3967" s="225" t="str">
        <f t="shared" si="61"/>
        <v/>
      </c>
    </row>
    <row r="3968" spans="1:8" x14ac:dyDescent="0.3">
      <c r="A3968" s="400"/>
      <c r="B3968" s="709">
        <v>106162</v>
      </c>
      <c r="C3968" s="710" t="s">
        <v>15041</v>
      </c>
      <c r="D3968" s="709" t="s">
        <v>168</v>
      </c>
      <c r="E3968" s="716">
        <v>0</v>
      </c>
      <c r="F3968" s="717"/>
      <c r="G3968" t="e">
        <f>VLOOKUP(B3968,'SINAPI-%MO'!B:E,4,0)</f>
        <v>#N/A</v>
      </c>
      <c r="H3968" s="225" t="str">
        <f t="shared" si="61"/>
        <v/>
      </c>
    </row>
    <row r="3969" spans="1:8" x14ac:dyDescent="0.3">
      <c r="A3969" s="400"/>
      <c r="B3969" s="709">
        <v>106161</v>
      </c>
      <c r="C3969" s="710" t="s">
        <v>15042</v>
      </c>
      <c r="D3969" s="709" t="s">
        <v>168</v>
      </c>
      <c r="E3969" s="716">
        <v>0</v>
      </c>
      <c r="F3969" s="717"/>
      <c r="G3969" t="e">
        <f>VLOOKUP(B3969,'SINAPI-%MO'!B:E,4,0)</f>
        <v>#N/A</v>
      </c>
      <c r="H3969" s="225" t="str">
        <f t="shared" si="61"/>
        <v/>
      </c>
    </row>
    <row r="3970" spans="1:8" x14ac:dyDescent="0.3">
      <c r="A3970" s="400"/>
      <c r="B3970" s="709">
        <v>100381</v>
      </c>
      <c r="C3970" s="710" t="s">
        <v>13652</v>
      </c>
      <c r="D3970" s="709" t="s">
        <v>168</v>
      </c>
      <c r="E3970" s="716">
        <v>65.319999999999993</v>
      </c>
      <c r="F3970" s="717">
        <v>0</v>
      </c>
      <c r="G3970">
        <f>VLOOKUP(B3970,'SINAPI-%MO'!B:E,4,0)</f>
        <v>0.54869999999999997</v>
      </c>
      <c r="H3970" s="225">
        <f t="shared" si="61"/>
        <v>29.47</v>
      </c>
    </row>
    <row r="3971" spans="1:8" x14ac:dyDescent="0.3">
      <c r="A3971" s="400"/>
      <c r="B3971" s="709">
        <v>100380</v>
      </c>
      <c r="C3971" s="710" t="s">
        <v>13653</v>
      </c>
      <c r="D3971" s="709" t="s">
        <v>168</v>
      </c>
      <c r="E3971" s="716">
        <v>56.67</v>
      </c>
      <c r="F3971" s="717">
        <v>0</v>
      </c>
      <c r="G3971">
        <f>VLOOKUP(B3971,'SINAPI-%MO'!B:E,4,0)</f>
        <v>0.50129999999999997</v>
      </c>
      <c r="H3971" s="225">
        <f t="shared" si="61"/>
        <v>28.26</v>
      </c>
    </row>
    <row r="3972" spans="1:8" x14ac:dyDescent="0.3">
      <c r="A3972" s="400"/>
      <c r="B3972" s="709">
        <v>100379</v>
      </c>
      <c r="C3972" s="710" t="s">
        <v>13654</v>
      </c>
      <c r="D3972" s="709" t="s">
        <v>168</v>
      </c>
      <c r="E3972" s="716">
        <v>42.28</v>
      </c>
      <c r="F3972" s="717">
        <v>0</v>
      </c>
      <c r="G3972">
        <f>VLOOKUP(B3972,'SINAPI-%MO'!B:E,4,0)</f>
        <v>0.42759999999999998</v>
      </c>
      <c r="H3972" s="225">
        <f t="shared" si="61"/>
        <v>24.2</v>
      </c>
    </row>
    <row r="3973" spans="1:8" x14ac:dyDescent="0.3">
      <c r="A3973" s="400"/>
      <c r="B3973" s="709">
        <v>100384</v>
      </c>
      <c r="C3973" s="710" t="s">
        <v>13655</v>
      </c>
      <c r="D3973" s="709" t="s">
        <v>168</v>
      </c>
      <c r="E3973" s="716">
        <v>29.94</v>
      </c>
      <c r="F3973" s="717">
        <v>0</v>
      </c>
      <c r="G3973">
        <f>VLOOKUP(B3973,'SINAPI-%MO'!B:E,4,0)</f>
        <v>0.35070000000000001</v>
      </c>
      <c r="H3973" s="225">
        <f t="shared" si="61"/>
        <v>19.440000000000001</v>
      </c>
    </row>
    <row r="3974" spans="1:8" x14ac:dyDescent="0.3">
      <c r="A3974" s="400"/>
      <c r="B3974" s="709">
        <v>100383</v>
      </c>
      <c r="C3974" s="710" t="s">
        <v>13656</v>
      </c>
      <c r="D3974" s="709" t="s">
        <v>168</v>
      </c>
      <c r="E3974" s="716">
        <v>27.53</v>
      </c>
      <c r="F3974" s="717">
        <v>0</v>
      </c>
      <c r="G3974">
        <f>VLOOKUP(B3974,'SINAPI-%MO'!B:E,4,0)</f>
        <v>0.2979</v>
      </c>
      <c r="H3974" s="225">
        <f t="shared" si="61"/>
        <v>19.32</v>
      </c>
    </row>
    <row r="3975" spans="1:8" x14ac:dyDescent="0.3">
      <c r="A3975" s="400"/>
      <c r="B3975" s="709">
        <v>100382</v>
      </c>
      <c r="C3975" s="710" t="s">
        <v>13657</v>
      </c>
      <c r="D3975" s="709" t="s">
        <v>168</v>
      </c>
      <c r="E3975" s="716">
        <v>25.63</v>
      </c>
      <c r="F3975" s="717">
        <v>0</v>
      </c>
      <c r="G3975">
        <f>VLOOKUP(B3975,'SINAPI-%MO'!B:E,4,0)</f>
        <v>0.28089999999999998</v>
      </c>
      <c r="H3975" s="225">
        <f t="shared" si="61"/>
        <v>18.43</v>
      </c>
    </row>
    <row r="3976" spans="1:8" x14ac:dyDescent="0.3">
      <c r="A3976" s="400"/>
      <c r="B3976" s="709">
        <v>100387</v>
      </c>
      <c r="C3976" s="710" t="s">
        <v>13658</v>
      </c>
      <c r="D3976" s="709" t="s">
        <v>168</v>
      </c>
      <c r="E3976" s="716">
        <v>60.89</v>
      </c>
      <c r="F3976" s="717">
        <v>0</v>
      </c>
      <c r="G3976">
        <f>VLOOKUP(B3976,'SINAPI-%MO'!B:E,4,0)</f>
        <v>0.44009999999999999</v>
      </c>
      <c r="H3976" s="225">
        <f t="shared" si="61"/>
        <v>34.090000000000003</v>
      </c>
    </row>
    <row r="3977" spans="1:8" x14ac:dyDescent="0.3">
      <c r="A3977" s="400"/>
      <c r="B3977" s="709">
        <v>100386</v>
      </c>
      <c r="C3977" s="710" t="s">
        <v>13659</v>
      </c>
      <c r="D3977" s="709" t="s">
        <v>168</v>
      </c>
      <c r="E3977" s="716">
        <v>48.5</v>
      </c>
      <c r="F3977" s="717">
        <v>0</v>
      </c>
      <c r="G3977">
        <f>VLOOKUP(B3977,'SINAPI-%MO'!B:E,4,0)</f>
        <v>0.42449999999999999</v>
      </c>
      <c r="H3977" s="225">
        <f t="shared" si="61"/>
        <v>27.91</v>
      </c>
    </row>
    <row r="3978" spans="1:8" x14ac:dyDescent="0.3">
      <c r="A3978" s="400"/>
      <c r="B3978" s="709">
        <v>100385</v>
      </c>
      <c r="C3978" s="710" t="s">
        <v>13660</v>
      </c>
      <c r="D3978" s="709" t="s">
        <v>168</v>
      </c>
      <c r="E3978" s="716">
        <v>37.46</v>
      </c>
      <c r="F3978" s="717">
        <v>0</v>
      </c>
      <c r="G3978">
        <f>VLOOKUP(B3978,'SINAPI-%MO'!B:E,4,0)</f>
        <v>0.36809999999999998</v>
      </c>
      <c r="H3978" s="225">
        <f t="shared" si="61"/>
        <v>23.67</v>
      </c>
    </row>
    <row r="3979" spans="1:8" x14ac:dyDescent="0.3">
      <c r="A3979" s="400"/>
      <c r="B3979" s="709">
        <v>100377</v>
      </c>
      <c r="C3979" s="710" t="s">
        <v>13661</v>
      </c>
      <c r="D3979" s="709" t="s">
        <v>175</v>
      </c>
      <c r="E3979" s="716">
        <v>14.67</v>
      </c>
      <c r="F3979" s="717">
        <v>2.93E-2</v>
      </c>
      <c r="G3979">
        <f>VLOOKUP(B3979,'SINAPI-%MO'!B:E,4,0)</f>
        <v>0.24399999999999999</v>
      </c>
      <c r="H3979" s="225">
        <f t="shared" ref="H3979:H4042" si="62">IF(E3979&gt;0,TRUNC(E3979*(1-G3979),2),"")</f>
        <v>11.09</v>
      </c>
    </row>
    <row r="3980" spans="1:8" x14ac:dyDescent="0.3">
      <c r="A3980" s="400"/>
      <c r="B3980" s="709">
        <v>100378</v>
      </c>
      <c r="C3980" s="710" t="s">
        <v>13662</v>
      </c>
      <c r="D3980" s="709" t="s">
        <v>175</v>
      </c>
      <c r="E3980" s="716">
        <v>13.29</v>
      </c>
      <c r="F3980" s="717">
        <v>1.2800000000000001E-2</v>
      </c>
      <c r="G3980">
        <f>VLOOKUP(B3980,'SINAPI-%MO'!B:E,4,0)</f>
        <v>0.2152</v>
      </c>
      <c r="H3980" s="225">
        <f t="shared" si="62"/>
        <v>10.42</v>
      </c>
    </row>
    <row r="3981" spans="1:8" x14ac:dyDescent="0.3">
      <c r="A3981" s="400"/>
      <c r="B3981" s="709">
        <v>92596</v>
      </c>
      <c r="C3981" s="710" t="s">
        <v>13663</v>
      </c>
      <c r="D3981" s="709" t="s">
        <v>136</v>
      </c>
      <c r="E3981" s="716">
        <v>2269.58</v>
      </c>
      <c r="F3981" s="717">
        <v>1.1599999999999999E-2</v>
      </c>
      <c r="G3981">
        <f>VLOOKUP(B3981,'SINAPI-%MO'!B:E,4,0)</f>
        <v>0.24809999999999999</v>
      </c>
      <c r="H3981" s="225">
        <f t="shared" si="62"/>
        <v>1706.49</v>
      </c>
    </row>
    <row r="3982" spans="1:8" x14ac:dyDescent="0.3">
      <c r="A3982" s="400"/>
      <c r="B3982" s="709">
        <v>92616</v>
      </c>
      <c r="C3982" s="710" t="s">
        <v>13664</v>
      </c>
      <c r="D3982" s="709" t="s">
        <v>136</v>
      </c>
      <c r="E3982" s="716">
        <v>2090.36</v>
      </c>
      <c r="F3982" s="717">
        <v>1.26E-2</v>
      </c>
      <c r="G3982">
        <f>VLOOKUP(B3982,'SINAPI-%MO'!B:E,4,0)</f>
        <v>0.26939999999999997</v>
      </c>
      <c r="H3982" s="225">
        <f t="shared" si="62"/>
        <v>1527.21</v>
      </c>
    </row>
    <row r="3983" spans="1:8" x14ac:dyDescent="0.3">
      <c r="A3983" s="400"/>
      <c r="B3983" s="709">
        <v>92598</v>
      </c>
      <c r="C3983" s="710" t="s">
        <v>13665</v>
      </c>
      <c r="D3983" s="709" t="s">
        <v>136</v>
      </c>
      <c r="E3983" s="716">
        <v>2424.59</v>
      </c>
      <c r="F3983" s="717">
        <v>1.09E-2</v>
      </c>
      <c r="G3983">
        <f>VLOOKUP(B3983,'SINAPI-%MO'!B:E,4,0)</f>
        <v>0.23219999999999999</v>
      </c>
      <c r="H3983" s="225">
        <f t="shared" si="62"/>
        <v>1861.6</v>
      </c>
    </row>
    <row r="3984" spans="1:8" x14ac:dyDescent="0.3">
      <c r="A3984" s="400"/>
      <c r="B3984" s="709">
        <v>92618</v>
      </c>
      <c r="C3984" s="710" t="s">
        <v>13666</v>
      </c>
      <c r="D3984" s="709" t="s">
        <v>136</v>
      </c>
      <c r="E3984" s="716">
        <v>2286.13</v>
      </c>
      <c r="F3984" s="717">
        <v>1.15E-2</v>
      </c>
      <c r="G3984">
        <f>VLOOKUP(B3984,'SINAPI-%MO'!B:E,4,0)</f>
        <v>0.24629999999999999</v>
      </c>
      <c r="H3984" s="225">
        <f t="shared" si="62"/>
        <v>1723.05</v>
      </c>
    </row>
    <row r="3985" spans="1:8" x14ac:dyDescent="0.3">
      <c r="A3985" s="400"/>
      <c r="B3985" s="709">
        <v>92600</v>
      </c>
      <c r="C3985" s="710" t="s">
        <v>13667</v>
      </c>
      <c r="D3985" s="709" t="s">
        <v>136</v>
      </c>
      <c r="E3985" s="716">
        <v>2582.39</v>
      </c>
      <c r="F3985" s="717">
        <v>1.0200000000000001E-2</v>
      </c>
      <c r="G3985">
        <f>VLOOKUP(B3985,'SINAPI-%MO'!B:E,4,0)</f>
        <v>0.218</v>
      </c>
      <c r="H3985" s="225">
        <f t="shared" si="62"/>
        <v>2019.42</v>
      </c>
    </row>
    <row r="3986" spans="1:8" x14ac:dyDescent="0.3">
      <c r="A3986" s="400"/>
      <c r="B3986" s="709">
        <v>92620</v>
      </c>
      <c r="C3986" s="710" t="s">
        <v>13668</v>
      </c>
      <c r="D3986" s="709" t="s">
        <v>136</v>
      </c>
      <c r="E3986" s="716">
        <v>2373.6</v>
      </c>
      <c r="F3986" s="717">
        <v>1.11E-2</v>
      </c>
      <c r="G3986">
        <f>VLOOKUP(B3986,'SINAPI-%MO'!B:E,4,0)</f>
        <v>0.23719999999999999</v>
      </c>
      <c r="H3986" s="225">
        <f t="shared" si="62"/>
        <v>1810.58</v>
      </c>
    </row>
    <row r="3987" spans="1:8" x14ac:dyDescent="0.3">
      <c r="A3987" s="400"/>
      <c r="B3987" s="709">
        <v>92582</v>
      </c>
      <c r="C3987" s="710" t="s">
        <v>13669</v>
      </c>
      <c r="D3987" s="709" t="s">
        <v>136</v>
      </c>
      <c r="E3987" s="716">
        <v>706.52</v>
      </c>
      <c r="F3987" s="717">
        <v>3.7400000000000003E-2</v>
      </c>
      <c r="G3987">
        <f>VLOOKUP(B3987,'SINAPI-%MO'!B:E,4,0)</f>
        <v>0.30170000000000002</v>
      </c>
      <c r="H3987" s="225">
        <f t="shared" si="62"/>
        <v>493.36</v>
      </c>
    </row>
    <row r="3988" spans="1:8" x14ac:dyDescent="0.3">
      <c r="A3988" s="400"/>
      <c r="B3988" s="709">
        <v>92602</v>
      </c>
      <c r="C3988" s="710" t="s">
        <v>13670</v>
      </c>
      <c r="D3988" s="709" t="s">
        <v>136</v>
      </c>
      <c r="E3988" s="716">
        <v>682.96</v>
      </c>
      <c r="F3988" s="717">
        <v>3.8699999999999998E-2</v>
      </c>
      <c r="G3988">
        <f>VLOOKUP(B3988,'SINAPI-%MO'!B:E,4,0)</f>
        <v>0.31209999999999999</v>
      </c>
      <c r="H3988" s="225">
        <f t="shared" si="62"/>
        <v>469.8</v>
      </c>
    </row>
    <row r="3989" spans="1:8" x14ac:dyDescent="0.3">
      <c r="A3989" s="400"/>
      <c r="B3989" s="709">
        <v>92584</v>
      </c>
      <c r="C3989" s="710" t="s">
        <v>13671</v>
      </c>
      <c r="D3989" s="709" t="s">
        <v>136</v>
      </c>
      <c r="E3989" s="716">
        <v>840.99</v>
      </c>
      <c r="F3989" s="717">
        <v>3.1399999999999997E-2</v>
      </c>
      <c r="G3989">
        <f>VLOOKUP(B3989,'SINAPI-%MO'!B:E,4,0)</f>
        <v>0.25340000000000001</v>
      </c>
      <c r="H3989" s="225">
        <f t="shared" si="62"/>
        <v>627.88</v>
      </c>
    </row>
    <row r="3990" spans="1:8" x14ac:dyDescent="0.3">
      <c r="A3990" s="400"/>
      <c r="B3990" s="709">
        <v>92604</v>
      </c>
      <c r="C3990" s="710" t="s">
        <v>13672</v>
      </c>
      <c r="D3990" s="709" t="s">
        <v>136</v>
      </c>
      <c r="E3990" s="716">
        <v>808.02</v>
      </c>
      <c r="F3990" s="717">
        <v>3.27E-2</v>
      </c>
      <c r="G3990">
        <f>VLOOKUP(B3990,'SINAPI-%MO'!B:E,4,0)</f>
        <v>0.26379999999999998</v>
      </c>
      <c r="H3990" s="225">
        <f t="shared" si="62"/>
        <v>594.86</v>
      </c>
    </row>
    <row r="3991" spans="1:8" x14ac:dyDescent="0.3">
      <c r="A3991" s="400"/>
      <c r="B3991" s="709">
        <v>92586</v>
      </c>
      <c r="C3991" s="710" t="s">
        <v>13673</v>
      </c>
      <c r="D3991" s="709" t="s">
        <v>136</v>
      </c>
      <c r="E3991" s="716">
        <v>971.61</v>
      </c>
      <c r="F3991" s="717">
        <v>2.7199999999999998E-2</v>
      </c>
      <c r="G3991">
        <f>VLOOKUP(B3991,'SINAPI-%MO'!B:E,4,0)</f>
        <v>0.21940000000000001</v>
      </c>
      <c r="H3991" s="225">
        <f t="shared" si="62"/>
        <v>758.43</v>
      </c>
    </row>
    <row r="3992" spans="1:8" x14ac:dyDescent="0.3">
      <c r="A3992" s="400"/>
      <c r="B3992" s="709">
        <v>92606</v>
      </c>
      <c r="C3992" s="710" t="s">
        <v>13674</v>
      </c>
      <c r="D3992" s="709" t="s">
        <v>136</v>
      </c>
      <c r="E3992" s="716">
        <v>933.75</v>
      </c>
      <c r="F3992" s="717">
        <v>2.8299999999999999E-2</v>
      </c>
      <c r="G3992">
        <f>VLOOKUP(B3992,'SINAPI-%MO'!B:E,4,0)</f>
        <v>0.2283</v>
      </c>
      <c r="H3992" s="225">
        <f t="shared" si="62"/>
        <v>720.57</v>
      </c>
    </row>
    <row r="3993" spans="1:8" x14ac:dyDescent="0.3">
      <c r="A3993" s="400"/>
      <c r="B3993" s="709">
        <v>92588</v>
      </c>
      <c r="C3993" s="710" t="s">
        <v>13675</v>
      </c>
      <c r="D3993" s="709" t="s">
        <v>136</v>
      </c>
      <c r="E3993" s="716">
        <v>1304.33</v>
      </c>
      <c r="F3993" s="717">
        <v>2.0199999999999999E-2</v>
      </c>
      <c r="G3993">
        <f>VLOOKUP(B3993,'SINAPI-%MO'!B:E,4,0)</f>
        <v>0.24879999999999999</v>
      </c>
      <c r="H3993" s="225">
        <f t="shared" si="62"/>
        <v>979.81</v>
      </c>
    </row>
    <row r="3994" spans="1:8" x14ac:dyDescent="0.3">
      <c r="A3994" s="400"/>
      <c r="B3994" s="709">
        <v>92608</v>
      </c>
      <c r="C3994" s="710" t="s">
        <v>13676</v>
      </c>
      <c r="D3994" s="709" t="s">
        <v>136</v>
      </c>
      <c r="E3994" s="716">
        <v>1234.3900000000001</v>
      </c>
      <c r="F3994" s="717">
        <v>2.1399999999999999E-2</v>
      </c>
      <c r="G3994">
        <f>VLOOKUP(B3994,'SINAPI-%MO'!B:E,4,0)</f>
        <v>0.26290000000000002</v>
      </c>
      <c r="H3994" s="225">
        <f t="shared" si="62"/>
        <v>909.86</v>
      </c>
    </row>
    <row r="3995" spans="1:8" x14ac:dyDescent="0.3">
      <c r="A3995" s="400"/>
      <c r="B3995" s="709">
        <v>92590</v>
      </c>
      <c r="C3995" s="710" t="s">
        <v>13677</v>
      </c>
      <c r="D3995" s="709" t="s">
        <v>136</v>
      </c>
      <c r="E3995" s="716">
        <v>1447.84</v>
      </c>
      <c r="F3995" s="717">
        <v>1.8200000000000001E-2</v>
      </c>
      <c r="G3995">
        <f>VLOOKUP(B3995,'SINAPI-%MO'!B:E,4,0)</f>
        <v>0.22409999999999999</v>
      </c>
      <c r="H3995" s="225">
        <f t="shared" si="62"/>
        <v>1123.3699999999999</v>
      </c>
    </row>
    <row r="3996" spans="1:8" x14ac:dyDescent="0.3">
      <c r="A3996" s="400"/>
      <c r="B3996" s="709">
        <v>92610</v>
      </c>
      <c r="C3996" s="710" t="s">
        <v>13678</v>
      </c>
      <c r="D3996" s="709" t="s">
        <v>136</v>
      </c>
      <c r="E3996" s="716">
        <v>1368.49</v>
      </c>
      <c r="F3996" s="717">
        <v>1.9300000000000001E-2</v>
      </c>
      <c r="G3996">
        <f>VLOOKUP(B3996,'SINAPI-%MO'!B:E,4,0)</f>
        <v>0.23710000000000001</v>
      </c>
      <c r="H3996" s="225">
        <f t="shared" si="62"/>
        <v>1044.02</v>
      </c>
    </row>
    <row r="3997" spans="1:8" x14ac:dyDescent="0.3">
      <c r="A3997" s="400"/>
      <c r="B3997" s="709">
        <v>92592</v>
      </c>
      <c r="C3997" s="710" t="s">
        <v>13679</v>
      </c>
      <c r="D3997" s="709" t="s">
        <v>136</v>
      </c>
      <c r="E3997" s="716">
        <v>1673.67</v>
      </c>
      <c r="F3997" s="717">
        <v>1.5800000000000002E-2</v>
      </c>
      <c r="G3997">
        <f>VLOOKUP(B3997,'SINAPI-%MO'!B:E,4,0)</f>
        <v>0.24210000000000001</v>
      </c>
      <c r="H3997" s="225">
        <f t="shared" si="62"/>
        <v>1268.47</v>
      </c>
    </row>
    <row r="3998" spans="1:8" x14ac:dyDescent="0.3">
      <c r="A3998" s="400"/>
      <c r="B3998" s="709">
        <v>92612</v>
      </c>
      <c r="C3998" s="710" t="s">
        <v>13680</v>
      </c>
      <c r="D3998" s="709" t="s">
        <v>136</v>
      </c>
      <c r="E3998" s="716">
        <v>1611.14</v>
      </c>
      <c r="F3998" s="717">
        <v>1.6400000000000001E-2</v>
      </c>
      <c r="G3998">
        <f>VLOOKUP(B3998,'SINAPI-%MO'!B:E,4,0)</f>
        <v>0.26900000000000002</v>
      </c>
      <c r="H3998" s="225">
        <f t="shared" si="62"/>
        <v>1177.74</v>
      </c>
    </row>
    <row r="3999" spans="1:8" x14ac:dyDescent="0.3">
      <c r="A3999" s="400"/>
      <c r="B3999" s="709">
        <v>92594</v>
      </c>
      <c r="C3999" s="710" t="s">
        <v>13681</v>
      </c>
      <c r="D3999" s="709" t="s">
        <v>136</v>
      </c>
      <c r="E3999" s="716">
        <v>1958.9</v>
      </c>
      <c r="F3999" s="717">
        <v>1.35E-2</v>
      </c>
      <c r="G3999">
        <f>VLOOKUP(B3999,'SINAPI-%MO'!B:E,4,0)</f>
        <v>0.22120000000000001</v>
      </c>
      <c r="H3999" s="225">
        <f t="shared" si="62"/>
        <v>1525.59</v>
      </c>
    </row>
    <row r="4000" spans="1:8" x14ac:dyDescent="0.3">
      <c r="A4000" s="400"/>
      <c r="B4000" s="709">
        <v>92614</v>
      </c>
      <c r="C4000" s="710" t="s">
        <v>13682</v>
      </c>
      <c r="D4000" s="709" t="s">
        <v>136</v>
      </c>
      <c r="E4000" s="716">
        <v>1811.88</v>
      </c>
      <c r="F4000" s="717">
        <v>1.46E-2</v>
      </c>
      <c r="G4000">
        <f>VLOOKUP(B4000,'SINAPI-%MO'!B:E,4,0)</f>
        <v>0.2392</v>
      </c>
      <c r="H4000" s="225">
        <f t="shared" si="62"/>
        <v>1378.47</v>
      </c>
    </row>
    <row r="4001" spans="1:8" x14ac:dyDescent="0.3">
      <c r="A4001" s="400"/>
      <c r="B4001" s="709">
        <v>92552</v>
      </c>
      <c r="C4001" s="710" t="s">
        <v>13683</v>
      </c>
      <c r="D4001" s="709" t="s">
        <v>136</v>
      </c>
      <c r="E4001" s="716">
        <v>2816.29</v>
      </c>
      <c r="F4001" s="717">
        <v>2.75E-2</v>
      </c>
      <c r="G4001">
        <f>VLOOKUP(B4001,'SINAPI-%MO'!B:E,4,0)</f>
        <v>0.4425</v>
      </c>
      <c r="H4001" s="225">
        <f t="shared" si="62"/>
        <v>1570.08</v>
      </c>
    </row>
    <row r="4002" spans="1:8" x14ac:dyDescent="0.3">
      <c r="A4002" s="400"/>
      <c r="B4002" s="709">
        <v>92562</v>
      </c>
      <c r="C4002" s="710" t="s">
        <v>13684</v>
      </c>
      <c r="D4002" s="709" t="s">
        <v>136</v>
      </c>
      <c r="E4002" s="716">
        <v>2747.99</v>
      </c>
      <c r="F4002" s="717">
        <v>2.8199999999999999E-2</v>
      </c>
      <c r="G4002">
        <f>VLOOKUP(B4002,'SINAPI-%MO'!B:E,4,0)</f>
        <v>0.45350000000000001</v>
      </c>
      <c r="H4002" s="225">
        <f t="shared" si="62"/>
        <v>1501.77</v>
      </c>
    </row>
    <row r="4003" spans="1:8" x14ac:dyDescent="0.3">
      <c r="A4003" s="400"/>
      <c r="B4003" s="709">
        <v>92553</v>
      </c>
      <c r="C4003" s="710" t="s">
        <v>13685</v>
      </c>
      <c r="D4003" s="709" t="s">
        <v>136</v>
      </c>
      <c r="E4003" s="716">
        <v>3269.91</v>
      </c>
      <c r="F4003" s="717">
        <v>2.3699999999999999E-2</v>
      </c>
      <c r="G4003">
        <f>VLOOKUP(B4003,'SINAPI-%MO'!B:E,4,0)</f>
        <v>0.47620000000000001</v>
      </c>
      <c r="H4003" s="225">
        <f t="shared" si="62"/>
        <v>1712.77</v>
      </c>
    </row>
    <row r="4004" spans="1:8" x14ac:dyDescent="0.3">
      <c r="A4004" s="400"/>
      <c r="B4004" s="709">
        <v>92563</v>
      </c>
      <c r="C4004" s="710" t="s">
        <v>13686</v>
      </c>
      <c r="D4004" s="709" t="s">
        <v>136</v>
      </c>
      <c r="E4004" s="716">
        <v>3198.64</v>
      </c>
      <c r="F4004" s="717">
        <v>2.4199999999999999E-2</v>
      </c>
      <c r="G4004">
        <f>VLOOKUP(B4004,'SINAPI-%MO'!B:E,4,0)</f>
        <v>0.48680000000000001</v>
      </c>
      <c r="H4004" s="225">
        <f t="shared" si="62"/>
        <v>1641.54</v>
      </c>
    </row>
    <row r="4005" spans="1:8" x14ac:dyDescent="0.3">
      <c r="A4005" s="400"/>
      <c r="B4005" s="709">
        <v>92554</v>
      </c>
      <c r="C4005" s="710" t="s">
        <v>13687</v>
      </c>
      <c r="D4005" s="709" t="s">
        <v>136</v>
      </c>
      <c r="E4005" s="716">
        <v>3377.44</v>
      </c>
      <c r="F4005" s="717">
        <v>2.3E-2</v>
      </c>
      <c r="G4005">
        <f>VLOOKUP(B4005,'SINAPI-%MO'!B:E,4,0)</f>
        <v>0.46100000000000002</v>
      </c>
      <c r="H4005" s="225">
        <f t="shared" si="62"/>
        <v>1820.44</v>
      </c>
    </row>
    <row r="4006" spans="1:8" x14ac:dyDescent="0.3">
      <c r="A4006" s="400"/>
      <c r="B4006" s="709">
        <v>92564</v>
      </c>
      <c r="C4006" s="710" t="s">
        <v>13688</v>
      </c>
      <c r="D4006" s="709" t="s">
        <v>136</v>
      </c>
      <c r="E4006" s="716">
        <v>3290.14</v>
      </c>
      <c r="F4006" s="717">
        <v>2.3599999999999999E-2</v>
      </c>
      <c r="G4006">
        <f>VLOOKUP(B4006,'SINAPI-%MO'!B:E,4,0)</f>
        <v>0.4733</v>
      </c>
      <c r="H4006" s="225">
        <f t="shared" si="62"/>
        <v>1732.91</v>
      </c>
    </row>
    <row r="4007" spans="1:8" x14ac:dyDescent="0.3">
      <c r="A4007" s="400"/>
      <c r="B4007" s="709">
        <v>92545</v>
      </c>
      <c r="C4007" s="710" t="s">
        <v>13689</v>
      </c>
      <c r="D4007" s="709" t="s">
        <v>136</v>
      </c>
      <c r="E4007" s="716">
        <v>1081.1300000000001</v>
      </c>
      <c r="F4007" s="717">
        <v>1.6000000000000001E-3</v>
      </c>
      <c r="G4007">
        <f>VLOOKUP(B4007,'SINAPI-%MO'!B:E,4,0)</f>
        <v>0.43809999999999999</v>
      </c>
      <c r="H4007" s="225">
        <f t="shared" si="62"/>
        <v>607.48</v>
      </c>
    </row>
    <row r="4008" spans="1:8" x14ac:dyDescent="0.3">
      <c r="A4008" s="400"/>
      <c r="B4008" s="709">
        <v>92555</v>
      </c>
      <c r="C4008" s="710" t="s">
        <v>13690</v>
      </c>
      <c r="D4008" s="709" t="s">
        <v>136</v>
      </c>
      <c r="E4008" s="716">
        <v>1078.93</v>
      </c>
      <c r="F4008" s="717">
        <v>1.6000000000000001E-3</v>
      </c>
      <c r="G4008">
        <f>VLOOKUP(B4008,'SINAPI-%MO'!B:E,4,0)</f>
        <v>0.439</v>
      </c>
      <c r="H4008" s="225">
        <f t="shared" si="62"/>
        <v>605.27</v>
      </c>
    </row>
    <row r="4009" spans="1:8" x14ac:dyDescent="0.3">
      <c r="A4009" s="400"/>
      <c r="B4009" s="709">
        <v>92546</v>
      </c>
      <c r="C4009" s="710" t="s">
        <v>13691</v>
      </c>
      <c r="D4009" s="709" t="s">
        <v>136</v>
      </c>
      <c r="E4009" s="716">
        <v>1367.2</v>
      </c>
      <c r="F4009" s="717">
        <v>1.2999999999999999E-3</v>
      </c>
      <c r="G4009">
        <f>VLOOKUP(B4009,'SINAPI-%MO'!B:E,4,0)</f>
        <v>0.4602</v>
      </c>
      <c r="H4009" s="225">
        <f t="shared" si="62"/>
        <v>738.01</v>
      </c>
    </row>
    <row r="4010" spans="1:8" x14ac:dyDescent="0.3">
      <c r="A4010" s="400"/>
      <c r="B4010" s="709">
        <v>92556</v>
      </c>
      <c r="C4010" s="710" t="s">
        <v>13692</v>
      </c>
      <c r="D4010" s="709" t="s">
        <v>136</v>
      </c>
      <c r="E4010" s="716">
        <v>1338.95</v>
      </c>
      <c r="F4010" s="717">
        <v>1.2999999999999999E-3</v>
      </c>
      <c r="G4010">
        <f>VLOOKUP(B4010,'SINAPI-%MO'!B:E,4,0)</f>
        <v>0.46989999999999998</v>
      </c>
      <c r="H4010" s="225">
        <f t="shared" si="62"/>
        <v>709.77</v>
      </c>
    </row>
    <row r="4011" spans="1:8" x14ac:dyDescent="0.3">
      <c r="A4011" s="400"/>
      <c r="B4011" s="709">
        <v>92547</v>
      </c>
      <c r="C4011" s="710" t="s">
        <v>13693</v>
      </c>
      <c r="D4011" s="709" t="s">
        <v>136</v>
      </c>
      <c r="E4011" s="716">
        <v>1439.89</v>
      </c>
      <c r="F4011" s="717">
        <v>1.1999999999999999E-3</v>
      </c>
      <c r="G4011">
        <f>VLOOKUP(B4011,'SINAPI-%MO'!B:E,4,0)</f>
        <v>0.43690000000000001</v>
      </c>
      <c r="H4011" s="225">
        <f t="shared" si="62"/>
        <v>810.8</v>
      </c>
    </row>
    <row r="4012" spans="1:8" x14ac:dyDescent="0.3">
      <c r="A4012" s="400"/>
      <c r="B4012" s="709">
        <v>92557</v>
      </c>
      <c r="C4012" s="710" t="s">
        <v>13694</v>
      </c>
      <c r="D4012" s="709" t="s">
        <v>136</v>
      </c>
      <c r="E4012" s="716">
        <v>1410.9</v>
      </c>
      <c r="F4012" s="717">
        <v>1.1999999999999999E-3</v>
      </c>
      <c r="G4012">
        <f>VLOOKUP(B4012,'SINAPI-%MO'!B:E,4,0)</f>
        <v>0.44590000000000002</v>
      </c>
      <c r="H4012" s="225">
        <f t="shared" si="62"/>
        <v>781.77</v>
      </c>
    </row>
    <row r="4013" spans="1:8" x14ac:dyDescent="0.3">
      <c r="A4013" s="400"/>
      <c r="B4013" s="709">
        <v>92548</v>
      </c>
      <c r="C4013" s="710" t="s">
        <v>13695</v>
      </c>
      <c r="D4013" s="709" t="s">
        <v>136</v>
      </c>
      <c r="E4013" s="716">
        <v>1613.76</v>
      </c>
      <c r="F4013" s="717">
        <v>1.1000000000000001E-3</v>
      </c>
      <c r="G4013">
        <f>VLOOKUP(B4013,'SINAPI-%MO'!B:E,4,0)</f>
        <v>0.44359999999999999</v>
      </c>
      <c r="H4013" s="225">
        <f t="shared" si="62"/>
        <v>897.89</v>
      </c>
    </row>
    <row r="4014" spans="1:8" x14ac:dyDescent="0.3">
      <c r="A4014" s="400"/>
      <c r="B4014" s="709">
        <v>92558</v>
      </c>
      <c r="C4014" s="710" t="s">
        <v>13696</v>
      </c>
      <c r="D4014" s="709" t="s">
        <v>136</v>
      </c>
      <c r="E4014" s="716">
        <v>1594.9</v>
      </c>
      <c r="F4014" s="717">
        <v>1.1000000000000001E-3</v>
      </c>
      <c r="G4014">
        <f>VLOOKUP(B4014,'SINAPI-%MO'!B:E,4,0)</f>
        <v>0.44879999999999998</v>
      </c>
      <c r="H4014" s="225">
        <f t="shared" si="62"/>
        <v>879.1</v>
      </c>
    </row>
    <row r="4015" spans="1:8" x14ac:dyDescent="0.3">
      <c r="A4015" s="400"/>
      <c r="B4015" s="709">
        <v>92549</v>
      </c>
      <c r="C4015" s="710" t="s">
        <v>13697</v>
      </c>
      <c r="D4015" s="709" t="s">
        <v>136</v>
      </c>
      <c r="E4015" s="716">
        <v>2058.89</v>
      </c>
      <c r="F4015" s="717">
        <v>8.0000000000000004E-4</v>
      </c>
      <c r="G4015">
        <f>VLOOKUP(B4015,'SINAPI-%MO'!B:E,4,0)</f>
        <v>0.49869999999999998</v>
      </c>
      <c r="H4015" s="225">
        <f t="shared" si="62"/>
        <v>1032.1199999999999</v>
      </c>
    </row>
    <row r="4016" spans="1:8" x14ac:dyDescent="0.3">
      <c r="A4016" s="400"/>
      <c r="B4016" s="709">
        <v>92559</v>
      </c>
      <c r="C4016" s="710" t="s">
        <v>13698</v>
      </c>
      <c r="D4016" s="709" t="s">
        <v>136</v>
      </c>
      <c r="E4016" s="716">
        <v>2026.85</v>
      </c>
      <c r="F4016" s="717">
        <v>8.9999999999999998E-4</v>
      </c>
      <c r="G4016">
        <f>VLOOKUP(B4016,'SINAPI-%MO'!B:E,4,0)</f>
        <v>0.50660000000000005</v>
      </c>
      <c r="H4016" s="225">
        <f t="shared" si="62"/>
        <v>1000.04</v>
      </c>
    </row>
    <row r="4017" spans="1:8" x14ac:dyDescent="0.3">
      <c r="A4017" s="400"/>
      <c r="B4017" s="709">
        <v>92550</v>
      </c>
      <c r="C4017" s="710" t="s">
        <v>13699</v>
      </c>
      <c r="D4017" s="709" t="s">
        <v>136</v>
      </c>
      <c r="E4017" s="716">
        <v>2479.0700000000002</v>
      </c>
      <c r="F4017" s="717">
        <v>3.1300000000000001E-2</v>
      </c>
      <c r="G4017">
        <f>VLOOKUP(B4017,'SINAPI-%MO'!B:E,4,0)</f>
        <v>0.4481</v>
      </c>
      <c r="H4017" s="225">
        <f t="shared" si="62"/>
        <v>1368.19</v>
      </c>
    </row>
    <row r="4018" spans="1:8" x14ac:dyDescent="0.3">
      <c r="A4018" s="400"/>
      <c r="B4018" s="709">
        <v>92560</v>
      </c>
      <c r="C4018" s="710" t="s">
        <v>13700</v>
      </c>
      <c r="D4018" s="709" t="s">
        <v>136</v>
      </c>
      <c r="E4018" s="716">
        <v>2436.56</v>
      </c>
      <c r="F4018" s="717">
        <v>3.1800000000000002E-2</v>
      </c>
      <c r="G4018">
        <f>VLOOKUP(B4018,'SINAPI-%MO'!B:E,4,0)</f>
        <v>0.45590000000000003</v>
      </c>
      <c r="H4018" s="225">
        <f t="shared" si="62"/>
        <v>1325.73</v>
      </c>
    </row>
    <row r="4019" spans="1:8" x14ac:dyDescent="0.3">
      <c r="A4019" s="400"/>
      <c r="B4019" s="709">
        <v>92551</v>
      </c>
      <c r="C4019" s="710" t="s">
        <v>13701</v>
      </c>
      <c r="D4019" s="709" t="s">
        <v>136</v>
      </c>
      <c r="E4019" s="716">
        <v>2572.7800000000002</v>
      </c>
      <c r="F4019" s="717">
        <v>3.0099999999999998E-2</v>
      </c>
      <c r="G4019">
        <f>VLOOKUP(B4019,'SINAPI-%MO'!B:E,4,0)</f>
        <v>0.43180000000000002</v>
      </c>
      <c r="H4019" s="225">
        <f t="shared" si="62"/>
        <v>1461.85</v>
      </c>
    </row>
    <row r="4020" spans="1:8" x14ac:dyDescent="0.3">
      <c r="A4020" s="400"/>
      <c r="B4020" s="709">
        <v>92561</v>
      </c>
      <c r="C4020" s="710" t="s">
        <v>13702</v>
      </c>
      <c r="D4020" s="709" t="s">
        <v>136</v>
      </c>
      <c r="E4020" s="716">
        <v>2530.52</v>
      </c>
      <c r="F4020" s="717">
        <v>3.0599999999999999E-2</v>
      </c>
      <c r="G4020">
        <f>VLOOKUP(B4020,'SINAPI-%MO'!B:E,4,0)</f>
        <v>0.439</v>
      </c>
      <c r="H4020" s="225">
        <f t="shared" si="62"/>
        <v>1419.62</v>
      </c>
    </row>
    <row r="4021" spans="1:8" x14ac:dyDescent="0.3">
      <c r="A4021" s="400"/>
      <c r="B4021" s="709">
        <v>92262</v>
      </c>
      <c r="C4021" s="710" t="s">
        <v>13703</v>
      </c>
      <c r="D4021" s="709" t="s">
        <v>136</v>
      </c>
      <c r="E4021" s="716">
        <v>776.84</v>
      </c>
      <c r="F4021" s="717">
        <v>2.2000000000000001E-3</v>
      </c>
      <c r="G4021">
        <f>VLOOKUP(B4021,'SINAPI-%MO'!B:E,4,0)</f>
        <v>0.60370000000000001</v>
      </c>
      <c r="H4021" s="225">
        <f t="shared" si="62"/>
        <v>307.86</v>
      </c>
    </row>
    <row r="4022" spans="1:8" x14ac:dyDescent="0.3">
      <c r="A4022" s="400"/>
      <c r="B4022" s="709">
        <v>106149</v>
      </c>
      <c r="C4022" s="710" t="s">
        <v>13704</v>
      </c>
      <c r="D4022" s="709" t="s">
        <v>136</v>
      </c>
      <c r="E4022" s="716">
        <v>908.25</v>
      </c>
      <c r="F4022" s="717">
        <v>1.9E-3</v>
      </c>
      <c r="G4022">
        <f>VLOOKUP(B4022,'SINAPI-%MO'!B:E,4,0)</f>
        <v>0.66100000000000003</v>
      </c>
      <c r="H4022" s="225">
        <f t="shared" si="62"/>
        <v>307.89</v>
      </c>
    </row>
    <row r="4023" spans="1:8" x14ac:dyDescent="0.3">
      <c r="A4023" s="400"/>
      <c r="B4023" s="709">
        <v>106150</v>
      </c>
      <c r="C4023" s="710" t="s">
        <v>13705</v>
      </c>
      <c r="D4023" s="709" t="s">
        <v>136</v>
      </c>
      <c r="E4023" s="716">
        <v>1060.69</v>
      </c>
      <c r="F4023" s="717">
        <v>1.6000000000000001E-3</v>
      </c>
      <c r="G4023">
        <f>VLOOKUP(B4023,'SINAPI-%MO'!B:E,4,0)</f>
        <v>0.7097</v>
      </c>
      <c r="H4023" s="225">
        <f t="shared" si="62"/>
        <v>307.91000000000003</v>
      </c>
    </row>
    <row r="4024" spans="1:8" x14ac:dyDescent="0.3">
      <c r="A4024" s="400"/>
      <c r="B4024" s="709">
        <v>106151</v>
      </c>
      <c r="C4024" s="710" t="s">
        <v>13706</v>
      </c>
      <c r="D4024" s="709" t="s">
        <v>136</v>
      </c>
      <c r="E4024" s="716">
        <v>1234.1500000000001</v>
      </c>
      <c r="F4024" s="717">
        <v>1.4E-3</v>
      </c>
      <c r="G4024">
        <f>VLOOKUP(B4024,'SINAPI-%MO'!B:E,4,0)</f>
        <v>0.75049999999999994</v>
      </c>
      <c r="H4024" s="225">
        <f t="shared" si="62"/>
        <v>307.92</v>
      </c>
    </row>
    <row r="4025" spans="1:8" x14ac:dyDescent="0.3">
      <c r="A4025" s="400"/>
      <c r="B4025" s="709">
        <v>92259</v>
      </c>
      <c r="C4025" s="710" t="s">
        <v>13707</v>
      </c>
      <c r="D4025" s="709" t="s">
        <v>136</v>
      </c>
      <c r="E4025" s="716">
        <v>470.65</v>
      </c>
      <c r="F4025" s="717">
        <v>3.7000000000000002E-3</v>
      </c>
      <c r="G4025">
        <f>VLOOKUP(B4025,'SINAPI-%MO'!B:E,4,0)</f>
        <v>0.34589999999999999</v>
      </c>
      <c r="H4025" s="225">
        <f t="shared" si="62"/>
        <v>307.85000000000002</v>
      </c>
    </row>
    <row r="4026" spans="1:8" x14ac:dyDescent="0.3">
      <c r="A4026" s="400"/>
      <c r="B4026" s="709">
        <v>92260</v>
      </c>
      <c r="C4026" s="710" t="s">
        <v>13708</v>
      </c>
      <c r="D4026" s="709" t="s">
        <v>136</v>
      </c>
      <c r="E4026" s="716">
        <v>557.38</v>
      </c>
      <c r="F4026" s="717">
        <v>3.0999999999999999E-3</v>
      </c>
      <c r="G4026">
        <f>VLOOKUP(B4026,'SINAPI-%MO'!B:E,4,0)</f>
        <v>0.4476</v>
      </c>
      <c r="H4026" s="225">
        <f t="shared" si="62"/>
        <v>307.89</v>
      </c>
    </row>
    <row r="4027" spans="1:8" x14ac:dyDescent="0.3">
      <c r="A4027" s="400"/>
      <c r="B4027" s="709">
        <v>92261</v>
      </c>
      <c r="C4027" s="710" t="s">
        <v>13709</v>
      </c>
      <c r="D4027" s="709" t="s">
        <v>136</v>
      </c>
      <c r="E4027" s="716">
        <v>641.48</v>
      </c>
      <c r="F4027" s="717">
        <v>2.7000000000000001E-3</v>
      </c>
      <c r="G4027">
        <f>VLOOKUP(B4027,'SINAPI-%MO'!B:E,4,0)</f>
        <v>0.52010000000000001</v>
      </c>
      <c r="H4027" s="225">
        <f t="shared" si="62"/>
        <v>307.83999999999997</v>
      </c>
    </row>
    <row r="4028" spans="1:8" x14ac:dyDescent="0.3">
      <c r="A4028" s="400"/>
      <c r="B4028" s="709">
        <v>92258</v>
      </c>
      <c r="C4028" s="710" t="s">
        <v>13710</v>
      </c>
      <c r="D4028" s="709" t="s">
        <v>136</v>
      </c>
      <c r="E4028" s="716">
        <v>506</v>
      </c>
      <c r="F4028" s="717">
        <v>5.2200000000000003E-2</v>
      </c>
      <c r="G4028">
        <f>VLOOKUP(B4028,'SINAPI-%MO'!B:E,4,0)</f>
        <v>0.88929999999999998</v>
      </c>
      <c r="H4028" s="225">
        <f t="shared" si="62"/>
        <v>56.01</v>
      </c>
    </row>
    <row r="4029" spans="1:8" x14ac:dyDescent="0.3">
      <c r="A4029" s="400"/>
      <c r="B4029" s="709">
        <v>92255</v>
      </c>
      <c r="C4029" s="710" t="s">
        <v>13711</v>
      </c>
      <c r="D4029" s="709" t="s">
        <v>136</v>
      </c>
      <c r="E4029" s="716">
        <v>212.62</v>
      </c>
      <c r="F4029" s="717">
        <v>0.1242</v>
      </c>
      <c r="G4029">
        <f>VLOOKUP(B4029,'SINAPI-%MO'!B:E,4,0)</f>
        <v>0.73660000000000003</v>
      </c>
      <c r="H4029" s="225">
        <f t="shared" si="62"/>
        <v>56</v>
      </c>
    </row>
    <row r="4030" spans="1:8" x14ac:dyDescent="0.3">
      <c r="A4030" s="400"/>
      <c r="B4030" s="709">
        <v>92256</v>
      </c>
      <c r="C4030" s="710" t="s">
        <v>13712</v>
      </c>
      <c r="D4030" s="709" t="s">
        <v>136</v>
      </c>
      <c r="E4030" s="716">
        <v>295.73</v>
      </c>
      <c r="F4030" s="717">
        <v>8.9300000000000004E-2</v>
      </c>
      <c r="G4030">
        <f>VLOOKUP(B4030,'SINAPI-%MO'!B:E,4,0)</f>
        <v>0.81059999999999999</v>
      </c>
      <c r="H4030" s="225">
        <f t="shared" si="62"/>
        <v>56.01</v>
      </c>
    </row>
    <row r="4031" spans="1:8" x14ac:dyDescent="0.3">
      <c r="A4031" s="400"/>
      <c r="B4031" s="709">
        <v>92257</v>
      </c>
      <c r="C4031" s="710" t="s">
        <v>13713</v>
      </c>
      <c r="D4031" s="709" t="s">
        <v>136</v>
      </c>
      <c r="E4031" s="716">
        <v>376.32</v>
      </c>
      <c r="F4031" s="717">
        <v>7.0199999999999999E-2</v>
      </c>
      <c r="G4031">
        <f>VLOOKUP(B4031,'SINAPI-%MO'!B:E,4,0)</f>
        <v>0.85119999999999996</v>
      </c>
      <c r="H4031" s="225">
        <f t="shared" si="62"/>
        <v>55.99</v>
      </c>
    </row>
    <row r="4032" spans="1:8" x14ac:dyDescent="0.3">
      <c r="A4032" s="400"/>
      <c r="B4032" s="709">
        <v>100393</v>
      </c>
      <c r="C4032" s="710" t="s">
        <v>13714</v>
      </c>
      <c r="D4032" s="709" t="s">
        <v>168</v>
      </c>
      <c r="E4032" s="716">
        <v>21.7</v>
      </c>
      <c r="F4032" s="717">
        <v>0</v>
      </c>
      <c r="G4032">
        <f>VLOOKUP(B4032,'SINAPI-%MO'!B:E,4,0)</f>
        <v>0.67190000000000005</v>
      </c>
      <c r="H4032" s="225">
        <f t="shared" si="62"/>
        <v>7.11</v>
      </c>
    </row>
    <row r="4033" spans="1:8" x14ac:dyDescent="0.3">
      <c r="A4033" s="400"/>
      <c r="B4033" s="709">
        <v>100389</v>
      </c>
      <c r="C4033" s="710" t="s">
        <v>13715</v>
      </c>
      <c r="D4033" s="709" t="s">
        <v>168</v>
      </c>
      <c r="E4033" s="716">
        <v>18.059999999999999</v>
      </c>
      <c r="F4033" s="717">
        <v>0</v>
      </c>
      <c r="G4033">
        <f>VLOOKUP(B4033,'SINAPI-%MO'!B:E,4,0)</f>
        <v>0.66390000000000005</v>
      </c>
      <c r="H4033" s="225">
        <f t="shared" si="62"/>
        <v>6.06</v>
      </c>
    </row>
    <row r="4034" spans="1:8" x14ac:dyDescent="0.3">
      <c r="A4034" s="400"/>
      <c r="B4034" s="709">
        <v>100395</v>
      </c>
      <c r="C4034" s="710" t="s">
        <v>13716</v>
      </c>
      <c r="D4034" s="709" t="s">
        <v>168</v>
      </c>
      <c r="E4034" s="716">
        <v>23.97</v>
      </c>
      <c r="F4034" s="717">
        <v>0</v>
      </c>
      <c r="G4034">
        <f>VLOOKUP(B4034,'SINAPI-%MO'!B:E,4,0)</f>
        <v>0.7</v>
      </c>
      <c r="H4034" s="225">
        <f t="shared" si="62"/>
        <v>7.19</v>
      </c>
    </row>
    <row r="4035" spans="1:8" x14ac:dyDescent="0.3">
      <c r="A4035" s="400"/>
      <c r="B4035" s="709">
        <v>100391</v>
      </c>
      <c r="C4035" s="710" t="s">
        <v>13717</v>
      </c>
      <c r="D4035" s="709" t="s">
        <v>168</v>
      </c>
      <c r="E4035" s="716">
        <v>19.989999999999998</v>
      </c>
      <c r="F4035" s="717">
        <v>0</v>
      </c>
      <c r="G4035">
        <f>VLOOKUP(B4035,'SINAPI-%MO'!B:E,4,0)</f>
        <v>0.69379999999999997</v>
      </c>
      <c r="H4035" s="225">
        <f t="shared" si="62"/>
        <v>6.12</v>
      </c>
    </row>
    <row r="4036" spans="1:8" x14ac:dyDescent="0.3">
      <c r="A4036" s="400"/>
      <c r="B4036" s="709">
        <v>100392</v>
      </c>
      <c r="C4036" s="710" t="s">
        <v>13718</v>
      </c>
      <c r="D4036" s="709" t="s">
        <v>168</v>
      </c>
      <c r="E4036" s="716">
        <v>17.91</v>
      </c>
      <c r="F4036" s="717">
        <v>0</v>
      </c>
      <c r="G4036">
        <f>VLOOKUP(B4036,'SINAPI-%MO'!B:E,4,0)</f>
        <v>0.59799999999999998</v>
      </c>
      <c r="H4036" s="225">
        <f t="shared" si="62"/>
        <v>7.19</v>
      </c>
    </row>
    <row r="4037" spans="1:8" x14ac:dyDescent="0.3">
      <c r="A4037" s="400"/>
      <c r="B4037" s="709">
        <v>100388</v>
      </c>
      <c r="C4037" s="710" t="s">
        <v>13719</v>
      </c>
      <c r="D4037" s="709" t="s">
        <v>168</v>
      </c>
      <c r="E4037" s="716">
        <v>22.79</v>
      </c>
      <c r="F4037" s="717">
        <v>0</v>
      </c>
      <c r="G4037">
        <f>VLOOKUP(B4037,'SINAPI-%MO'!B:E,4,0)</f>
        <v>0.60199999999999998</v>
      </c>
      <c r="H4037" s="225">
        <f t="shared" si="62"/>
        <v>9.07</v>
      </c>
    </row>
    <row r="4038" spans="1:8" x14ac:dyDescent="0.3">
      <c r="A4038" s="400"/>
      <c r="B4038" s="709">
        <v>100394</v>
      </c>
      <c r="C4038" s="710" t="s">
        <v>13720</v>
      </c>
      <c r="D4038" s="709" t="s">
        <v>168</v>
      </c>
      <c r="E4038" s="716">
        <v>21.1</v>
      </c>
      <c r="F4038" s="717">
        <v>0</v>
      </c>
      <c r="G4038">
        <f>VLOOKUP(B4038,'SINAPI-%MO'!B:E,4,0)</f>
        <v>0.6573</v>
      </c>
      <c r="H4038" s="225">
        <f t="shared" si="62"/>
        <v>7.23</v>
      </c>
    </row>
    <row r="4039" spans="1:8" x14ac:dyDescent="0.3">
      <c r="A4039" s="400"/>
      <c r="B4039" s="709">
        <v>100390</v>
      </c>
      <c r="C4039" s="710" t="s">
        <v>13721</v>
      </c>
      <c r="D4039" s="709" t="s">
        <v>168</v>
      </c>
      <c r="E4039" s="716">
        <v>26.9</v>
      </c>
      <c r="F4039" s="717">
        <v>0</v>
      </c>
      <c r="G4039">
        <f>VLOOKUP(B4039,'SINAPI-%MO'!B:E,4,0)</f>
        <v>0.66020000000000001</v>
      </c>
      <c r="H4039" s="225">
        <f t="shared" si="62"/>
        <v>9.14</v>
      </c>
    </row>
    <row r="4040" spans="1:8" x14ac:dyDescent="0.3">
      <c r="A4040" s="400"/>
      <c r="B4040" s="709">
        <v>92575</v>
      </c>
      <c r="C4040" s="710" t="s">
        <v>13722</v>
      </c>
      <c r="D4040" s="709" t="s">
        <v>168</v>
      </c>
      <c r="E4040" s="716">
        <v>69.95</v>
      </c>
      <c r="F4040" s="717">
        <v>2.9000000000000001E-2</v>
      </c>
      <c r="G4040">
        <f>VLOOKUP(B4040,'SINAPI-%MO'!B:E,4,0)</f>
        <v>0.1159</v>
      </c>
      <c r="H4040" s="225">
        <f t="shared" si="62"/>
        <v>61.84</v>
      </c>
    </row>
    <row r="4041" spans="1:8" x14ac:dyDescent="0.3">
      <c r="A4041" s="400"/>
      <c r="B4041" s="709">
        <v>92569</v>
      </c>
      <c r="C4041" s="710" t="s">
        <v>13723</v>
      </c>
      <c r="D4041" s="709" t="s">
        <v>168</v>
      </c>
      <c r="E4041" s="716">
        <v>76.3</v>
      </c>
      <c r="F4041" s="717">
        <v>2.6599999999999999E-2</v>
      </c>
      <c r="G4041">
        <f>VLOOKUP(B4041,'SINAPI-%MO'!B:E,4,0)</f>
        <v>0.108</v>
      </c>
      <c r="H4041" s="225">
        <f t="shared" si="62"/>
        <v>68.05</v>
      </c>
    </row>
    <row r="4042" spans="1:8" x14ac:dyDescent="0.3">
      <c r="A4042" s="400"/>
      <c r="B4042" s="709">
        <v>92578</v>
      </c>
      <c r="C4042" s="710" t="s">
        <v>13724</v>
      </c>
      <c r="D4042" s="709" t="s">
        <v>168</v>
      </c>
      <c r="E4042" s="716">
        <v>73.099999999999994</v>
      </c>
      <c r="F4042" s="717">
        <v>2.7799999999999998E-2</v>
      </c>
      <c r="G4042">
        <f>VLOOKUP(B4042,'SINAPI-%MO'!B:E,4,0)</f>
        <v>0.14380000000000001</v>
      </c>
      <c r="H4042" s="225">
        <f t="shared" si="62"/>
        <v>62.58</v>
      </c>
    </row>
    <row r="4043" spans="1:8" x14ac:dyDescent="0.3">
      <c r="A4043" s="400"/>
      <c r="B4043" s="709">
        <v>92572</v>
      </c>
      <c r="C4043" s="710" t="s">
        <v>13725</v>
      </c>
      <c r="D4043" s="709" t="s">
        <v>168</v>
      </c>
      <c r="E4043" s="716">
        <v>79.39</v>
      </c>
      <c r="F4043" s="717">
        <v>2.5600000000000001E-2</v>
      </c>
      <c r="G4043">
        <f>VLOOKUP(B4043,'SINAPI-%MO'!B:E,4,0)</f>
        <v>0.1384</v>
      </c>
      <c r="H4043" s="225">
        <f t="shared" ref="H4043:H4106" si="63">IF(E4043&gt;0,TRUNC(E4043*(1-G4043),2),"")</f>
        <v>68.400000000000006</v>
      </c>
    </row>
    <row r="4044" spans="1:8" x14ac:dyDescent="0.3">
      <c r="A4044" s="400"/>
      <c r="B4044" s="709">
        <v>92576</v>
      </c>
      <c r="C4044" s="710" t="s">
        <v>13726</v>
      </c>
      <c r="D4044" s="709" t="s">
        <v>168</v>
      </c>
      <c r="E4044" s="716">
        <v>37.950000000000003</v>
      </c>
      <c r="F4044" s="717">
        <v>3.9800000000000002E-2</v>
      </c>
      <c r="G4044">
        <f>VLOOKUP(B4044,'SINAPI-%MO'!B:E,4,0)</f>
        <v>8.09E-2</v>
      </c>
      <c r="H4044" s="225">
        <f t="shared" si="63"/>
        <v>34.869999999999997</v>
      </c>
    </row>
    <row r="4045" spans="1:8" x14ac:dyDescent="0.3">
      <c r="A4045" s="400"/>
      <c r="B4045" s="709">
        <v>92570</v>
      </c>
      <c r="C4045" s="710" t="s">
        <v>13727</v>
      </c>
      <c r="D4045" s="709" t="s">
        <v>168</v>
      </c>
      <c r="E4045" s="716">
        <v>48.08</v>
      </c>
      <c r="F4045" s="717">
        <v>3.1399999999999997E-2</v>
      </c>
      <c r="G4045">
        <f>VLOOKUP(B4045,'SINAPI-%MO'!B:E,4,0)</f>
        <v>8.0500000000000002E-2</v>
      </c>
      <c r="H4045" s="225">
        <f t="shared" si="63"/>
        <v>44.2</v>
      </c>
    </row>
    <row r="4046" spans="1:8" x14ac:dyDescent="0.3">
      <c r="A4046" s="400"/>
      <c r="B4046" s="709">
        <v>92579</v>
      </c>
      <c r="C4046" s="710" t="s">
        <v>13728</v>
      </c>
      <c r="D4046" s="709" t="s">
        <v>168</v>
      </c>
      <c r="E4046" s="716">
        <v>39.78</v>
      </c>
      <c r="F4046" s="717">
        <v>3.7999999999999999E-2</v>
      </c>
      <c r="G4046">
        <f>VLOOKUP(B4046,'SINAPI-%MO'!B:E,4,0)</f>
        <v>0.11840000000000001</v>
      </c>
      <c r="H4046" s="225">
        <f t="shared" si="63"/>
        <v>35.07</v>
      </c>
    </row>
    <row r="4047" spans="1:8" x14ac:dyDescent="0.3">
      <c r="A4047" s="400"/>
      <c r="B4047" s="709">
        <v>92573</v>
      </c>
      <c r="C4047" s="710" t="s">
        <v>13729</v>
      </c>
      <c r="D4047" s="709" t="s">
        <v>168</v>
      </c>
      <c r="E4047" s="716">
        <v>50.39</v>
      </c>
      <c r="F4047" s="717">
        <v>0.03</v>
      </c>
      <c r="G4047">
        <f>VLOOKUP(B4047,'SINAPI-%MO'!B:E,4,0)</f>
        <v>0.11749999999999999</v>
      </c>
      <c r="H4047" s="225">
        <f t="shared" si="63"/>
        <v>44.46</v>
      </c>
    </row>
    <row r="4048" spans="1:8" x14ac:dyDescent="0.3">
      <c r="A4048" s="400"/>
      <c r="B4048" s="709">
        <v>92574</v>
      </c>
      <c r="C4048" s="710" t="s">
        <v>13730</v>
      </c>
      <c r="D4048" s="709" t="s">
        <v>168</v>
      </c>
      <c r="E4048" s="716">
        <v>140.96</v>
      </c>
      <c r="F4048" s="717">
        <v>2.2800000000000001E-2</v>
      </c>
      <c r="G4048">
        <f>VLOOKUP(B4048,'SINAPI-%MO'!B:E,4,0)</f>
        <v>0.1489</v>
      </c>
      <c r="H4048" s="225">
        <f t="shared" si="63"/>
        <v>119.97</v>
      </c>
    </row>
    <row r="4049" spans="1:8" x14ac:dyDescent="0.3">
      <c r="A4049" s="400"/>
      <c r="B4049" s="709">
        <v>92568</v>
      </c>
      <c r="C4049" s="710" t="s">
        <v>13731</v>
      </c>
      <c r="D4049" s="709" t="s">
        <v>168</v>
      </c>
      <c r="E4049" s="716">
        <v>150.33000000000001</v>
      </c>
      <c r="F4049" s="717">
        <v>2.1399999999999999E-2</v>
      </c>
      <c r="G4049">
        <f>VLOOKUP(B4049,'SINAPI-%MO'!B:E,4,0)</f>
        <v>0.13270000000000001</v>
      </c>
      <c r="H4049" s="225">
        <f t="shared" si="63"/>
        <v>130.38</v>
      </c>
    </row>
    <row r="4050" spans="1:8" x14ac:dyDescent="0.3">
      <c r="A4050" s="400"/>
      <c r="B4050" s="709">
        <v>92577</v>
      </c>
      <c r="C4050" s="710" t="s">
        <v>13732</v>
      </c>
      <c r="D4050" s="709" t="s">
        <v>168</v>
      </c>
      <c r="E4050" s="716">
        <v>158.19999999999999</v>
      </c>
      <c r="F4050" s="717">
        <v>2.0400000000000001E-2</v>
      </c>
      <c r="G4050">
        <f>VLOOKUP(B4050,'SINAPI-%MO'!B:E,4,0)</f>
        <v>0.1585</v>
      </c>
      <c r="H4050" s="225">
        <f t="shared" si="63"/>
        <v>133.12</v>
      </c>
    </row>
    <row r="4051" spans="1:8" x14ac:dyDescent="0.3">
      <c r="A4051" s="400"/>
      <c r="B4051" s="709">
        <v>92571</v>
      </c>
      <c r="C4051" s="710" t="s">
        <v>13733</v>
      </c>
      <c r="D4051" s="709" t="s">
        <v>168</v>
      </c>
      <c r="E4051" s="716">
        <v>155.13</v>
      </c>
      <c r="F4051" s="717">
        <v>2.0799999999999999E-2</v>
      </c>
      <c r="G4051">
        <f>VLOOKUP(B4051,'SINAPI-%MO'!B:E,4,0)</f>
        <v>0.1522</v>
      </c>
      <c r="H4051" s="225">
        <f t="shared" si="63"/>
        <v>131.51</v>
      </c>
    </row>
    <row r="4052" spans="1:8" x14ac:dyDescent="0.3">
      <c r="A4052" s="400"/>
      <c r="B4052" s="709">
        <v>92581</v>
      </c>
      <c r="C4052" s="710" t="s">
        <v>13734</v>
      </c>
      <c r="D4052" s="709" t="s">
        <v>168</v>
      </c>
      <c r="E4052" s="716">
        <v>55.49</v>
      </c>
      <c r="F4052" s="717">
        <v>2.1399999999999999E-2</v>
      </c>
      <c r="G4052">
        <f>VLOOKUP(B4052,'SINAPI-%MO'!B:E,4,0)</f>
        <v>0.19159999999999999</v>
      </c>
      <c r="H4052" s="225">
        <f t="shared" si="63"/>
        <v>44.85</v>
      </c>
    </row>
    <row r="4053" spans="1:8" x14ac:dyDescent="0.3">
      <c r="A4053" s="400"/>
      <c r="B4053" s="709">
        <v>104314</v>
      </c>
      <c r="C4053" s="710" t="s">
        <v>13735</v>
      </c>
      <c r="D4053" s="709" t="s">
        <v>175</v>
      </c>
      <c r="E4053" s="716">
        <v>12.36</v>
      </c>
      <c r="F4053" s="717">
        <v>2.18E-2</v>
      </c>
      <c r="G4053">
        <f>VLOOKUP(B4053,'SINAPI-%MO'!B:E,4,0)</f>
        <v>0.21360000000000001</v>
      </c>
      <c r="H4053" s="225">
        <f t="shared" si="63"/>
        <v>9.7100000000000009</v>
      </c>
    </row>
    <row r="4054" spans="1:8" x14ac:dyDescent="0.3">
      <c r="A4054" s="400"/>
      <c r="B4054" s="709">
        <v>92580</v>
      </c>
      <c r="C4054" s="710" t="s">
        <v>13736</v>
      </c>
      <c r="D4054" s="709" t="s">
        <v>168</v>
      </c>
      <c r="E4054" s="716">
        <v>53.62</v>
      </c>
      <c r="F4054" s="717">
        <v>2.2200000000000001E-2</v>
      </c>
      <c r="G4054">
        <f>VLOOKUP(B4054,'SINAPI-%MO'!B:E,4,0)</f>
        <v>0.21390000000000001</v>
      </c>
      <c r="H4054" s="225">
        <f t="shared" si="63"/>
        <v>42.15</v>
      </c>
    </row>
    <row r="4055" spans="1:8" x14ac:dyDescent="0.3">
      <c r="A4055" s="400"/>
      <c r="B4055" s="709">
        <v>92539</v>
      </c>
      <c r="C4055" s="710" t="s">
        <v>13737</v>
      </c>
      <c r="D4055" s="709" t="s">
        <v>168</v>
      </c>
      <c r="E4055" s="716">
        <v>91.39</v>
      </c>
      <c r="F4055" s="717">
        <v>0</v>
      </c>
      <c r="G4055">
        <f>VLOOKUP(B4055,'SINAPI-%MO'!B:E,4,0)</f>
        <v>0.38</v>
      </c>
      <c r="H4055" s="225">
        <f t="shared" si="63"/>
        <v>56.66</v>
      </c>
    </row>
    <row r="4056" spans="1:8" x14ac:dyDescent="0.3">
      <c r="A4056" s="400"/>
      <c r="B4056" s="709">
        <v>92540</v>
      </c>
      <c r="C4056" s="710" t="s">
        <v>13738</v>
      </c>
      <c r="D4056" s="709" t="s">
        <v>168</v>
      </c>
      <c r="E4056" s="716">
        <v>102.58</v>
      </c>
      <c r="F4056" s="717">
        <v>0</v>
      </c>
      <c r="G4056">
        <f>VLOOKUP(B4056,'SINAPI-%MO'!B:E,4,0)</f>
        <v>0.41299999999999998</v>
      </c>
      <c r="H4056" s="225">
        <f t="shared" si="63"/>
        <v>60.21</v>
      </c>
    </row>
    <row r="4057" spans="1:8" x14ac:dyDescent="0.3">
      <c r="A4057" s="400"/>
      <c r="B4057" s="709">
        <v>92544</v>
      </c>
      <c r="C4057" s="710" t="s">
        <v>13739</v>
      </c>
      <c r="D4057" s="709" t="s">
        <v>168</v>
      </c>
      <c r="E4057" s="716">
        <v>22.2</v>
      </c>
      <c r="F4057" s="717">
        <v>0</v>
      </c>
      <c r="G4057">
        <f>VLOOKUP(B4057,'SINAPI-%MO'!B:E,4,0)</f>
        <v>0.32790000000000002</v>
      </c>
      <c r="H4057" s="225">
        <f t="shared" si="63"/>
        <v>14.92</v>
      </c>
    </row>
    <row r="4058" spans="1:8" x14ac:dyDescent="0.3">
      <c r="A4058" s="400"/>
      <c r="B4058" s="709">
        <v>92543</v>
      </c>
      <c r="C4058" s="710" t="s">
        <v>13740</v>
      </c>
      <c r="D4058" s="709" t="s">
        <v>168</v>
      </c>
      <c r="E4058" s="716">
        <v>27.78</v>
      </c>
      <c r="F4058" s="717">
        <v>0</v>
      </c>
      <c r="G4058">
        <f>VLOOKUP(B4058,'SINAPI-%MO'!B:E,4,0)</f>
        <v>0.32469999999999999</v>
      </c>
      <c r="H4058" s="225">
        <f t="shared" si="63"/>
        <v>18.75</v>
      </c>
    </row>
    <row r="4059" spans="1:8" x14ac:dyDescent="0.3">
      <c r="A4059" s="400"/>
      <c r="B4059" s="709">
        <v>97725</v>
      </c>
      <c r="C4059" s="710" t="s">
        <v>3619</v>
      </c>
      <c r="D4059" s="709" t="s">
        <v>170</v>
      </c>
      <c r="E4059" s="716">
        <v>0</v>
      </c>
      <c r="F4059" s="717"/>
      <c r="G4059" t="e">
        <f>VLOOKUP(B4059,'SINAPI-%MO'!B:E,4,0)</f>
        <v>#N/A</v>
      </c>
      <c r="H4059" s="225" t="str">
        <f t="shared" si="63"/>
        <v/>
      </c>
    </row>
    <row r="4060" spans="1:8" x14ac:dyDescent="0.3">
      <c r="A4060" s="400"/>
      <c r="B4060" s="709">
        <v>97721</v>
      </c>
      <c r="C4060" s="710" t="s">
        <v>3620</v>
      </c>
      <c r="D4060" s="709" t="s">
        <v>170</v>
      </c>
      <c r="E4060" s="716">
        <v>0</v>
      </c>
      <c r="F4060" s="717"/>
      <c r="G4060" t="e">
        <f>VLOOKUP(B4060,'SINAPI-%MO'!B:E,4,0)</f>
        <v>#N/A</v>
      </c>
      <c r="H4060" s="225" t="str">
        <f t="shared" si="63"/>
        <v/>
      </c>
    </row>
    <row r="4061" spans="1:8" x14ac:dyDescent="0.3">
      <c r="A4061" s="400"/>
      <c r="B4061" s="709">
        <v>97722</v>
      </c>
      <c r="C4061" s="710" t="s">
        <v>3621</v>
      </c>
      <c r="D4061" s="709" t="s">
        <v>170</v>
      </c>
      <c r="E4061" s="716">
        <v>0</v>
      </c>
      <c r="F4061" s="717"/>
      <c r="G4061" t="e">
        <f>VLOOKUP(B4061,'SINAPI-%MO'!B:E,4,0)</f>
        <v>#N/A</v>
      </c>
      <c r="H4061" s="225" t="str">
        <f t="shared" si="63"/>
        <v/>
      </c>
    </row>
    <row r="4062" spans="1:8" x14ac:dyDescent="0.3">
      <c r="A4062" s="400"/>
      <c r="B4062" s="709">
        <v>97724</v>
      </c>
      <c r="C4062" s="710" t="s">
        <v>3622</v>
      </c>
      <c r="D4062" s="709" t="s">
        <v>170</v>
      </c>
      <c r="E4062" s="716">
        <v>0</v>
      </c>
      <c r="F4062" s="717"/>
      <c r="G4062" t="e">
        <f>VLOOKUP(B4062,'SINAPI-%MO'!B:E,4,0)</f>
        <v>#N/A</v>
      </c>
      <c r="H4062" s="225" t="str">
        <f t="shared" si="63"/>
        <v/>
      </c>
    </row>
    <row r="4063" spans="1:8" x14ac:dyDescent="0.3">
      <c r="A4063" s="400"/>
      <c r="B4063" s="709">
        <v>97719</v>
      </c>
      <c r="C4063" s="710" t="s">
        <v>3623</v>
      </c>
      <c r="D4063" s="709" t="s">
        <v>170</v>
      </c>
      <c r="E4063" s="716">
        <v>0</v>
      </c>
      <c r="F4063" s="717"/>
      <c r="G4063" t="e">
        <f>VLOOKUP(B4063,'SINAPI-%MO'!B:E,4,0)</f>
        <v>#N/A</v>
      </c>
      <c r="H4063" s="225" t="str">
        <f t="shared" si="63"/>
        <v/>
      </c>
    </row>
    <row r="4064" spans="1:8" x14ac:dyDescent="0.3">
      <c r="A4064" s="400"/>
      <c r="B4064" s="709">
        <v>97723</v>
      </c>
      <c r="C4064" s="710" t="s">
        <v>3624</v>
      </c>
      <c r="D4064" s="709" t="s">
        <v>170</v>
      </c>
      <c r="E4064" s="716">
        <v>0</v>
      </c>
      <c r="F4064" s="717"/>
      <c r="G4064" t="e">
        <f>VLOOKUP(B4064,'SINAPI-%MO'!B:E,4,0)</f>
        <v>#N/A</v>
      </c>
      <c r="H4064" s="225" t="str">
        <f t="shared" si="63"/>
        <v/>
      </c>
    </row>
    <row r="4065" spans="1:8" x14ac:dyDescent="0.3">
      <c r="A4065" s="400"/>
      <c r="B4065" s="709">
        <v>104946</v>
      </c>
      <c r="C4065" s="710" t="s">
        <v>3625</v>
      </c>
      <c r="D4065" s="709" t="s">
        <v>170</v>
      </c>
      <c r="E4065" s="716">
        <v>0</v>
      </c>
      <c r="F4065" s="717"/>
      <c r="G4065" t="e">
        <f>VLOOKUP(B4065,'SINAPI-%MO'!B:E,4,0)</f>
        <v>#N/A</v>
      </c>
      <c r="H4065" s="225" t="str">
        <f t="shared" si="63"/>
        <v/>
      </c>
    </row>
    <row r="4066" spans="1:8" x14ac:dyDescent="0.3">
      <c r="A4066" s="400"/>
      <c r="B4066" s="709">
        <v>104944</v>
      </c>
      <c r="C4066" s="710" t="s">
        <v>3626</v>
      </c>
      <c r="D4066" s="709" t="s">
        <v>170</v>
      </c>
      <c r="E4066" s="716">
        <v>0</v>
      </c>
      <c r="F4066" s="717"/>
      <c r="G4066" t="e">
        <f>VLOOKUP(B4066,'SINAPI-%MO'!B:E,4,0)</f>
        <v>#N/A</v>
      </c>
      <c r="H4066" s="225" t="str">
        <f t="shared" si="63"/>
        <v/>
      </c>
    </row>
    <row r="4067" spans="1:8" x14ac:dyDescent="0.3">
      <c r="A4067" s="400"/>
      <c r="B4067" s="709">
        <v>104945</v>
      </c>
      <c r="C4067" s="710" t="s">
        <v>3627</v>
      </c>
      <c r="D4067" s="709" t="s">
        <v>170</v>
      </c>
      <c r="E4067" s="716">
        <v>0</v>
      </c>
      <c r="F4067" s="717"/>
      <c r="G4067" t="e">
        <f>VLOOKUP(B4067,'SINAPI-%MO'!B:E,4,0)</f>
        <v>#N/A</v>
      </c>
      <c r="H4067" s="225" t="str">
        <f t="shared" si="63"/>
        <v/>
      </c>
    </row>
    <row r="4068" spans="1:8" x14ac:dyDescent="0.3">
      <c r="A4068" s="400"/>
      <c r="B4068" s="709">
        <v>97720</v>
      </c>
      <c r="C4068" s="710" t="s">
        <v>3628</v>
      </c>
      <c r="D4068" s="709" t="s">
        <v>170</v>
      </c>
      <c r="E4068" s="716">
        <v>0</v>
      </c>
      <c r="F4068" s="717"/>
      <c r="G4068" t="e">
        <f>VLOOKUP(B4068,'SINAPI-%MO'!B:E,4,0)</f>
        <v>#N/A</v>
      </c>
      <c r="H4068" s="225" t="str">
        <f t="shared" si="63"/>
        <v/>
      </c>
    </row>
    <row r="4069" spans="1:8" x14ac:dyDescent="0.3">
      <c r="A4069" s="400"/>
      <c r="B4069" s="709">
        <v>97740</v>
      </c>
      <c r="C4069" s="710" t="s">
        <v>3629</v>
      </c>
      <c r="D4069" s="709" t="s">
        <v>170</v>
      </c>
      <c r="E4069" s="716">
        <v>2291.67</v>
      </c>
      <c r="F4069" s="717">
        <v>0</v>
      </c>
      <c r="G4069">
        <f>VLOOKUP(B4069,'SINAPI-%MO'!B:E,4,0)</f>
        <v>0.3755</v>
      </c>
      <c r="H4069" s="225">
        <f t="shared" si="63"/>
        <v>1431.14</v>
      </c>
    </row>
    <row r="4070" spans="1:8" x14ac:dyDescent="0.3">
      <c r="A4070" s="400"/>
      <c r="B4070" s="709">
        <v>97738</v>
      </c>
      <c r="C4070" s="710" t="s">
        <v>3630</v>
      </c>
      <c r="D4070" s="709" t="s">
        <v>170</v>
      </c>
      <c r="E4070" s="716">
        <v>4547.49</v>
      </c>
      <c r="F4070" s="717">
        <v>0</v>
      </c>
      <c r="G4070">
        <f>VLOOKUP(B4070,'SINAPI-%MO'!B:E,4,0)</f>
        <v>0.61829999999999996</v>
      </c>
      <c r="H4070" s="225">
        <f t="shared" si="63"/>
        <v>1735.77</v>
      </c>
    </row>
    <row r="4071" spans="1:8" x14ac:dyDescent="0.3">
      <c r="A4071" s="400"/>
      <c r="B4071" s="709">
        <v>97739</v>
      </c>
      <c r="C4071" s="710" t="s">
        <v>3631</v>
      </c>
      <c r="D4071" s="709" t="s">
        <v>170</v>
      </c>
      <c r="E4071" s="716">
        <v>3241.05</v>
      </c>
      <c r="F4071" s="717">
        <v>0</v>
      </c>
      <c r="G4071">
        <f>VLOOKUP(B4071,'SINAPI-%MO'!B:E,4,0)</f>
        <v>0.56759999999999999</v>
      </c>
      <c r="H4071" s="225">
        <f t="shared" si="63"/>
        <v>1401.43</v>
      </c>
    </row>
    <row r="4072" spans="1:8" x14ac:dyDescent="0.3">
      <c r="A4072" s="400"/>
      <c r="B4072" s="709">
        <v>97736</v>
      </c>
      <c r="C4072" s="710" t="s">
        <v>3632</v>
      </c>
      <c r="D4072" s="709" t="s">
        <v>170</v>
      </c>
      <c r="E4072" s="716">
        <v>1631.92</v>
      </c>
      <c r="F4072" s="717">
        <v>0</v>
      </c>
      <c r="G4072">
        <f>VLOOKUP(B4072,'SINAPI-%MO'!B:E,4,0)</f>
        <v>0.40129999999999999</v>
      </c>
      <c r="H4072" s="225">
        <f t="shared" si="63"/>
        <v>977.03</v>
      </c>
    </row>
    <row r="4073" spans="1:8" x14ac:dyDescent="0.3">
      <c r="A4073" s="400"/>
      <c r="B4073" s="709">
        <v>97734</v>
      </c>
      <c r="C4073" s="710" t="s">
        <v>3633</v>
      </c>
      <c r="D4073" s="709" t="s">
        <v>170</v>
      </c>
      <c r="E4073" s="716">
        <v>3309.32</v>
      </c>
      <c r="F4073" s="717">
        <v>0</v>
      </c>
      <c r="G4073">
        <f>VLOOKUP(B4073,'SINAPI-%MO'!B:E,4,0)</f>
        <v>0.70579999999999998</v>
      </c>
      <c r="H4073" s="225">
        <f t="shared" si="63"/>
        <v>973.6</v>
      </c>
    </row>
    <row r="4074" spans="1:8" x14ac:dyDescent="0.3">
      <c r="A4074" s="400"/>
      <c r="B4074" s="709">
        <v>97735</v>
      </c>
      <c r="C4074" s="710" t="s">
        <v>3634</v>
      </c>
      <c r="D4074" s="709" t="s">
        <v>170</v>
      </c>
      <c r="E4074" s="716">
        <v>2701.2</v>
      </c>
      <c r="F4074" s="717">
        <v>0</v>
      </c>
      <c r="G4074">
        <f>VLOOKUP(B4074,'SINAPI-%MO'!B:E,4,0)</f>
        <v>0.64539999999999997</v>
      </c>
      <c r="H4074" s="225">
        <f t="shared" si="63"/>
        <v>957.84</v>
      </c>
    </row>
    <row r="4075" spans="1:8" x14ac:dyDescent="0.3">
      <c r="A4075" s="400"/>
      <c r="B4075" s="709">
        <v>97737</v>
      </c>
      <c r="C4075" s="710" t="s">
        <v>3635</v>
      </c>
      <c r="D4075" s="709" t="s">
        <v>170</v>
      </c>
      <c r="E4075" s="716">
        <v>3480</v>
      </c>
      <c r="F4075" s="717">
        <v>0</v>
      </c>
      <c r="G4075">
        <f>VLOOKUP(B4075,'SINAPI-%MO'!B:E,4,0)</f>
        <v>0.59560000000000002</v>
      </c>
      <c r="H4075" s="225">
        <f t="shared" si="63"/>
        <v>1407.31</v>
      </c>
    </row>
    <row r="4076" spans="1:8" x14ac:dyDescent="0.3">
      <c r="A4076" s="400"/>
      <c r="B4076" s="709">
        <v>97733</v>
      </c>
      <c r="C4076" s="710" t="s">
        <v>3636</v>
      </c>
      <c r="D4076" s="709" t="s">
        <v>170</v>
      </c>
      <c r="E4076" s="716">
        <v>3754.16</v>
      </c>
      <c r="F4076" s="717">
        <v>0</v>
      </c>
      <c r="G4076">
        <f>VLOOKUP(B4076,'SINAPI-%MO'!B:E,4,0)</f>
        <v>0.69389999999999996</v>
      </c>
      <c r="H4076" s="225">
        <f t="shared" si="63"/>
        <v>1149.1400000000001</v>
      </c>
    </row>
    <row r="4077" spans="1:8" x14ac:dyDescent="0.3">
      <c r="A4077" s="400"/>
      <c r="B4077" s="709">
        <v>98616</v>
      </c>
      <c r="C4077" s="710" t="s">
        <v>3637</v>
      </c>
      <c r="D4077" s="709" t="s">
        <v>168</v>
      </c>
      <c r="E4077" s="716">
        <v>280.81</v>
      </c>
      <c r="F4077" s="717">
        <v>0</v>
      </c>
      <c r="G4077">
        <f>VLOOKUP(B4077,'SINAPI-%MO'!B:E,4,0)</f>
        <v>0.15210000000000001</v>
      </c>
      <c r="H4077" s="225">
        <f t="shared" si="63"/>
        <v>238.09</v>
      </c>
    </row>
    <row r="4078" spans="1:8" x14ac:dyDescent="0.3">
      <c r="A4078" s="400"/>
      <c r="B4078" s="709">
        <v>98619</v>
      </c>
      <c r="C4078" s="710" t="s">
        <v>3638</v>
      </c>
      <c r="D4078" s="709" t="s">
        <v>168</v>
      </c>
      <c r="E4078" s="716">
        <v>310.47000000000003</v>
      </c>
      <c r="F4078" s="717">
        <v>0</v>
      </c>
      <c r="G4078">
        <f>VLOOKUP(B4078,'SINAPI-%MO'!B:E,4,0)</f>
        <v>0.11459999999999999</v>
      </c>
      <c r="H4078" s="225">
        <f t="shared" si="63"/>
        <v>274.89</v>
      </c>
    </row>
    <row r="4079" spans="1:8" x14ac:dyDescent="0.3">
      <c r="A4079" s="400"/>
      <c r="B4079" s="709">
        <v>98622</v>
      </c>
      <c r="C4079" s="710" t="s">
        <v>3639</v>
      </c>
      <c r="D4079" s="709" t="s">
        <v>168</v>
      </c>
      <c r="E4079" s="716">
        <v>466.46</v>
      </c>
      <c r="F4079" s="717">
        <v>0</v>
      </c>
      <c r="G4079">
        <f>VLOOKUP(B4079,'SINAPI-%MO'!B:E,4,0)</f>
        <v>0.11840000000000001</v>
      </c>
      <c r="H4079" s="225">
        <f t="shared" si="63"/>
        <v>411.23</v>
      </c>
    </row>
    <row r="4080" spans="1:8" x14ac:dyDescent="0.3">
      <c r="A4080" s="400"/>
      <c r="B4080" s="709">
        <v>98625</v>
      </c>
      <c r="C4080" s="710" t="s">
        <v>3640</v>
      </c>
      <c r="D4080" s="709" t="s">
        <v>168</v>
      </c>
      <c r="E4080" s="716">
        <v>494.77</v>
      </c>
      <c r="F4080" s="717">
        <v>0</v>
      </c>
      <c r="G4080">
        <f>VLOOKUP(B4080,'SINAPI-%MO'!B:E,4,0)</f>
        <v>8.5300000000000001E-2</v>
      </c>
      <c r="H4080" s="225">
        <f t="shared" si="63"/>
        <v>452.56</v>
      </c>
    </row>
    <row r="4081" spans="1:8" x14ac:dyDescent="0.3">
      <c r="A4081" s="400"/>
      <c r="B4081" s="709">
        <v>105918</v>
      </c>
      <c r="C4081" s="710" t="s">
        <v>3641</v>
      </c>
      <c r="D4081" s="709" t="s">
        <v>168</v>
      </c>
      <c r="E4081" s="716">
        <v>0</v>
      </c>
      <c r="F4081" s="717"/>
      <c r="G4081" t="e">
        <f>VLOOKUP(B4081,'SINAPI-%MO'!B:E,4,0)</f>
        <v>#N/A</v>
      </c>
      <c r="H4081" s="225" t="str">
        <f t="shared" si="63"/>
        <v/>
      </c>
    </row>
    <row r="4082" spans="1:8" x14ac:dyDescent="0.3">
      <c r="A4082" s="400"/>
      <c r="B4082" s="709">
        <v>98631</v>
      </c>
      <c r="C4082" s="710" t="s">
        <v>3642</v>
      </c>
      <c r="D4082" s="709" t="s">
        <v>168</v>
      </c>
      <c r="E4082" s="716">
        <v>0</v>
      </c>
      <c r="F4082" s="717"/>
      <c r="G4082" t="e">
        <f>VLOOKUP(B4082,'SINAPI-%MO'!B:E,4,0)</f>
        <v>#N/A</v>
      </c>
      <c r="H4082" s="225" t="str">
        <f t="shared" si="63"/>
        <v/>
      </c>
    </row>
    <row r="4083" spans="1:8" x14ac:dyDescent="0.3">
      <c r="A4083" s="400"/>
      <c r="B4083" s="709">
        <v>98637</v>
      </c>
      <c r="C4083" s="710" t="s">
        <v>3643</v>
      </c>
      <c r="D4083" s="709" t="s">
        <v>170</v>
      </c>
      <c r="E4083" s="716">
        <v>0</v>
      </c>
      <c r="F4083" s="717"/>
      <c r="G4083" t="e">
        <f>VLOOKUP(B4083,'SINAPI-%MO'!B:E,4,0)</f>
        <v>#N/A</v>
      </c>
      <c r="H4083" s="225" t="str">
        <f t="shared" si="63"/>
        <v/>
      </c>
    </row>
    <row r="4084" spans="1:8" x14ac:dyDescent="0.3">
      <c r="A4084" s="400"/>
      <c r="B4084" s="709">
        <v>98641</v>
      </c>
      <c r="C4084" s="710" t="s">
        <v>3644</v>
      </c>
      <c r="D4084" s="709" t="s">
        <v>170</v>
      </c>
      <c r="E4084" s="716">
        <v>0</v>
      </c>
      <c r="F4084" s="717"/>
      <c r="G4084" t="e">
        <f>VLOOKUP(B4084,'SINAPI-%MO'!B:E,4,0)</f>
        <v>#N/A</v>
      </c>
      <c r="H4084" s="225" t="str">
        <f t="shared" si="63"/>
        <v/>
      </c>
    </row>
    <row r="4085" spans="1:8" x14ac:dyDescent="0.3">
      <c r="A4085" s="400"/>
      <c r="B4085" s="709">
        <v>98645</v>
      </c>
      <c r="C4085" s="710" t="s">
        <v>3645</v>
      </c>
      <c r="D4085" s="709" t="s">
        <v>170</v>
      </c>
      <c r="E4085" s="716">
        <v>0</v>
      </c>
      <c r="F4085" s="717"/>
      <c r="G4085" t="e">
        <f>VLOOKUP(B4085,'SINAPI-%MO'!B:E,4,0)</f>
        <v>#N/A</v>
      </c>
      <c r="H4085" s="225" t="str">
        <f t="shared" si="63"/>
        <v/>
      </c>
    </row>
    <row r="4086" spans="1:8" x14ac:dyDescent="0.3">
      <c r="A4086" s="400"/>
      <c r="B4086" s="709">
        <v>98649</v>
      </c>
      <c r="C4086" s="710" t="s">
        <v>3646</v>
      </c>
      <c r="D4086" s="709" t="s">
        <v>170</v>
      </c>
      <c r="E4086" s="716">
        <v>0</v>
      </c>
      <c r="F4086" s="717"/>
      <c r="G4086" t="e">
        <f>VLOOKUP(B4086,'SINAPI-%MO'!B:E,4,0)</f>
        <v>#N/A</v>
      </c>
      <c r="H4086" s="225" t="str">
        <f t="shared" si="63"/>
        <v/>
      </c>
    </row>
    <row r="4087" spans="1:8" x14ac:dyDescent="0.3">
      <c r="A4087" s="400"/>
      <c r="B4087" s="709">
        <v>98653</v>
      </c>
      <c r="C4087" s="710" t="s">
        <v>3647</v>
      </c>
      <c r="D4087" s="709" t="s">
        <v>170</v>
      </c>
      <c r="E4087" s="716">
        <v>0</v>
      </c>
      <c r="F4087" s="717"/>
      <c r="G4087" t="e">
        <f>VLOOKUP(B4087,'SINAPI-%MO'!B:E,4,0)</f>
        <v>#N/A</v>
      </c>
      <c r="H4087" s="225" t="str">
        <f t="shared" si="63"/>
        <v/>
      </c>
    </row>
    <row r="4088" spans="1:8" x14ac:dyDescent="0.3">
      <c r="A4088" s="400"/>
      <c r="B4088" s="709">
        <v>98657</v>
      </c>
      <c r="C4088" s="710" t="s">
        <v>3648</v>
      </c>
      <c r="D4088" s="709" t="s">
        <v>159</v>
      </c>
      <c r="E4088" s="716">
        <v>741.24</v>
      </c>
      <c r="F4088" s="717">
        <v>0</v>
      </c>
      <c r="G4088">
        <f>VLOOKUP(B4088,'SINAPI-%MO'!B:E,4,0)</f>
        <v>0.37619999999999998</v>
      </c>
      <c r="H4088" s="225">
        <f t="shared" si="63"/>
        <v>462.38</v>
      </c>
    </row>
    <row r="4089" spans="1:8" x14ac:dyDescent="0.3">
      <c r="A4089" s="400"/>
      <c r="B4089" s="709">
        <v>100344</v>
      </c>
      <c r="C4089" s="710" t="s">
        <v>3649</v>
      </c>
      <c r="D4089" s="709" t="s">
        <v>175</v>
      </c>
      <c r="E4089" s="716">
        <v>11.7</v>
      </c>
      <c r="F4089" s="717">
        <v>0</v>
      </c>
      <c r="G4089">
        <f>VLOOKUP(B4089,'SINAPI-%MO'!B:E,4,0)</f>
        <v>0.27089999999999997</v>
      </c>
      <c r="H4089" s="225">
        <f t="shared" si="63"/>
        <v>8.5299999999999994</v>
      </c>
    </row>
    <row r="4090" spans="1:8" x14ac:dyDescent="0.3">
      <c r="A4090" s="400"/>
      <c r="B4090" s="709">
        <v>100345</v>
      </c>
      <c r="C4090" s="710" t="s">
        <v>3650</v>
      </c>
      <c r="D4090" s="709" t="s">
        <v>175</v>
      </c>
      <c r="E4090" s="716">
        <v>8.98</v>
      </c>
      <c r="F4090" s="717">
        <v>0</v>
      </c>
      <c r="G4090">
        <f>VLOOKUP(B4090,'SINAPI-%MO'!B:E,4,0)</f>
        <v>0.1704</v>
      </c>
      <c r="H4090" s="225">
        <f t="shared" si="63"/>
        <v>7.44</v>
      </c>
    </row>
    <row r="4091" spans="1:8" x14ac:dyDescent="0.3">
      <c r="A4091" s="400"/>
      <c r="B4091" s="709">
        <v>100346</v>
      </c>
      <c r="C4091" s="710" t="s">
        <v>3651</v>
      </c>
      <c r="D4091" s="709" t="s">
        <v>175</v>
      </c>
      <c r="E4091" s="716">
        <v>8.52</v>
      </c>
      <c r="F4091" s="717">
        <v>0</v>
      </c>
      <c r="G4091">
        <f>VLOOKUP(B4091,'SINAPI-%MO'!B:E,4,0)</f>
        <v>0.12909999999999999</v>
      </c>
      <c r="H4091" s="225">
        <f t="shared" si="63"/>
        <v>7.42</v>
      </c>
    </row>
    <row r="4092" spans="1:8" x14ac:dyDescent="0.3">
      <c r="A4092" s="400"/>
      <c r="B4092" s="709">
        <v>100347</v>
      </c>
      <c r="C4092" s="710" t="s">
        <v>3652</v>
      </c>
      <c r="D4092" s="709" t="s">
        <v>175</v>
      </c>
      <c r="E4092" s="716">
        <v>9.5299999999999994</v>
      </c>
      <c r="F4092" s="717">
        <v>0</v>
      </c>
      <c r="G4092">
        <f>VLOOKUP(B4092,'SINAPI-%MO'!B:E,4,0)</f>
        <v>8.9200000000000002E-2</v>
      </c>
      <c r="H4092" s="225">
        <f t="shared" si="63"/>
        <v>8.67</v>
      </c>
    </row>
    <row r="4093" spans="1:8" x14ac:dyDescent="0.3">
      <c r="A4093" s="400"/>
      <c r="B4093" s="709">
        <v>100348</v>
      </c>
      <c r="C4093" s="710" t="s">
        <v>3653</v>
      </c>
      <c r="D4093" s="709" t="s">
        <v>175</v>
      </c>
      <c r="E4093" s="716">
        <v>9.34</v>
      </c>
      <c r="F4093" s="717">
        <v>0</v>
      </c>
      <c r="G4093">
        <f>VLOOKUP(B4093,'SINAPI-%MO'!B:E,4,0)</f>
        <v>7.17E-2</v>
      </c>
      <c r="H4093" s="225">
        <f t="shared" si="63"/>
        <v>8.67</v>
      </c>
    </row>
    <row r="4094" spans="1:8" x14ac:dyDescent="0.3">
      <c r="A4094" s="400"/>
      <c r="B4094" s="709">
        <v>100342</v>
      </c>
      <c r="C4094" s="710" t="s">
        <v>3654</v>
      </c>
      <c r="D4094" s="709" t="s">
        <v>175</v>
      </c>
      <c r="E4094" s="716">
        <v>16.66</v>
      </c>
      <c r="F4094" s="717">
        <v>0</v>
      </c>
      <c r="G4094">
        <f>VLOOKUP(B4094,'SINAPI-%MO'!B:E,4,0)</f>
        <v>0.47660000000000002</v>
      </c>
      <c r="H4094" s="225">
        <f t="shared" si="63"/>
        <v>8.7100000000000009</v>
      </c>
    </row>
    <row r="4095" spans="1:8" x14ac:dyDescent="0.3">
      <c r="A4095" s="400"/>
      <c r="B4095" s="709">
        <v>100343</v>
      </c>
      <c r="C4095" s="710" t="s">
        <v>3655</v>
      </c>
      <c r="D4095" s="709" t="s">
        <v>175</v>
      </c>
      <c r="E4095" s="716">
        <v>14.48</v>
      </c>
      <c r="F4095" s="717">
        <v>0</v>
      </c>
      <c r="G4095">
        <f>VLOOKUP(B4095,'SINAPI-%MO'!B:E,4,0)</f>
        <v>0.37569999999999998</v>
      </c>
      <c r="H4095" s="225">
        <f t="shared" si="63"/>
        <v>9.0299999999999994</v>
      </c>
    </row>
    <row r="4096" spans="1:8" x14ac:dyDescent="0.3">
      <c r="A4096" s="400"/>
      <c r="B4096" s="709">
        <v>100349</v>
      </c>
      <c r="C4096" s="710" t="s">
        <v>3656</v>
      </c>
      <c r="D4096" s="709" t="s">
        <v>170</v>
      </c>
      <c r="E4096" s="716">
        <v>831.11</v>
      </c>
      <c r="F4096" s="717">
        <v>0</v>
      </c>
      <c r="G4096">
        <f>VLOOKUP(B4096,'SINAPI-%MO'!B:E,4,0)</f>
        <v>3.9800000000000002E-2</v>
      </c>
      <c r="H4096" s="225">
        <f t="shared" si="63"/>
        <v>798.03</v>
      </c>
    </row>
    <row r="4097" spans="1:8" x14ac:dyDescent="0.3">
      <c r="A4097" s="400"/>
      <c r="B4097" s="709">
        <v>100336</v>
      </c>
      <c r="C4097" s="710" t="s">
        <v>3657</v>
      </c>
      <c r="D4097" s="709" t="s">
        <v>168</v>
      </c>
      <c r="E4097" s="716">
        <v>0</v>
      </c>
      <c r="F4097" s="717"/>
      <c r="G4097" t="e">
        <f>VLOOKUP(B4097,'SINAPI-%MO'!B:E,4,0)</f>
        <v>#N/A</v>
      </c>
      <c r="H4097" s="225" t="str">
        <f t="shared" si="63"/>
        <v/>
      </c>
    </row>
    <row r="4098" spans="1:8" x14ac:dyDescent="0.3">
      <c r="A4098" s="400"/>
      <c r="B4098" s="709">
        <v>100337</v>
      </c>
      <c r="C4098" s="710" t="s">
        <v>3658</v>
      </c>
      <c r="D4098" s="709" t="s">
        <v>168</v>
      </c>
      <c r="E4098" s="716">
        <v>0</v>
      </c>
      <c r="F4098" s="717"/>
      <c r="G4098" t="e">
        <f>VLOOKUP(B4098,'SINAPI-%MO'!B:E,4,0)</f>
        <v>#N/A</v>
      </c>
      <c r="H4098" s="225" t="str">
        <f t="shared" si="63"/>
        <v/>
      </c>
    </row>
    <row r="4099" spans="1:8" x14ac:dyDescent="0.3">
      <c r="A4099" s="400"/>
      <c r="B4099" s="709">
        <v>100339</v>
      </c>
      <c r="C4099" s="710" t="s">
        <v>3659</v>
      </c>
      <c r="D4099" s="709" t="s">
        <v>168</v>
      </c>
      <c r="E4099" s="716">
        <v>0</v>
      </c>
      <c r="F4099" s="717"/>
      <c r="G4099" t="e">
        <f>VLOOKUP(B4099,'SINAPI-%MO'!B:E,4,0)</f>
        <v>#N/A</v>
      </c>
      <c r="H4099" s="225" t="str">
        <f t="shared" si="63"/>
        <v/>
      </c>
    </row>
    <row r="4100" spans="1:8" x14ac:dyDescent="0.3">
      <c r="A4100" s="400"/>
      <c r="B4100" s="709">
        <v>100340</v>
      </c>
      <c r="C4100" s="710" t="s">
        <v>3660</v>
      </c>
      <c r="D4100" s="709" t="s">
        <v>168</v>
      </c>
      <c r="E4100" s="716">
        <v>0</v>
      </c>
      <c r="F4100" s="717"/>
      <c r="G4100" t="e">
        <f>VLOOKUP(B4100,'SINAPI-%MO'!B:E,4,0)</f>
        <v>#N/A</v>
      </c>
      <c r="H4100" s="225" t="str">
        <f t="shared" si="63"/>
        <v/>
      </c>
    </row>
    <row r="4101" spans="1:8" x14ac:dyDescent="0.3">
      <c r="A4101" s="400"/>
      <c r="B4101" s="709">
        <v>105805</v>
      </c>
      <c r="C4101" s="710" t="s">
        <v>3661</v>
      </c>
      <c r="D4101" s="709" t="s">
        <v>168</v>
      </c>
      <c r="E4101" s="716">
        <v>910.55</v>
      </c>
      <c r="F4101" s="717">
        <v>2.0000000000000001E-4</v>
      </c>
      <c r="G4101">
        <f>VLOOKUP(B4101,'SINAPI-%MO'!B:E,4,0)</f>
        <v>0.12720000000000001</v>
      </c>
      <c r="H4101" s="225">
        <f t="shared" si="63"/>
        <v>794.72</v>
      </c>
    </row>
    <row r="4102" spans="1:8" x14ac:dyDescent="0.3">
      <c r="A4102" s="400"/>
      <c r="B4102" s="709">
        <v>105806</v>
      </c>
      <c r="C4102" s="710" t="s">
        <v>3662</v>
      </c>
      <c r="D4102" s="709" t="s">
        <v>168</v>
      </c>
      <c r="E4102" s="716">
        <v>561.35</v>
      </c>
      <c r="F4102" s="717">
        <v>2.9999999999999997E-4</v>
      </c>
      <c r="G4102">
        <f>VLOOKUP(B4102,'SINAPI-%MO'!B:E,4,0)</f>
        <v>0.15920000000000001</v>
      </c>
      <c r="H4102" s="225">
        <f t="shared" si="63"/>
        <v>471.98</v>
      </c>
    </row>
    <row r="4103" spans="1:8" x14ac:dyDescent="0.3">
      <c r="A4103" s="400"/>
      <c r="B4103" s="709">
        <v>105807</v>
      </c>
      <c r="C4103" s="710" t="s">
        <v>3663</v>
      </c>
      <c r="D4103" s="709" t="s">
        <v>168</v>
      </c>
      <c r="E4103" s="716">
        <v>719.54</v>
      </c>
      <c r="F4103" s="717">
        <v>2.9999999999999997E-4</v>
      </c>
      <c r="G4103">
        <f>VLOOKUP(B4103,'SINAPI-%MO'!B:E,4,0)</f>
        <v>0.13639999999999999</v>
      </c>
      <c r="H4103" s="225">
        <f t="shared" si="63"/>
        <v>621.39</v>
      </c>
    </row>
    <row r="4104" spans="1:8" x14ac:dyDescent="0.3">
      <c r="A4104" s="400"/>
      <c r="B4104" s="709">
        <v>105808</v>
      </c>
      <c r="C4104" s="710" t="s">
        <v>3664</v>
      </c>
      <c r="D4104" s="709" t="s">
        <v>168</v>
      </c>
      <c r="E4104" s="716">
        <v>457.64</v>
      </c>
      <c r="F4104" s="717">
        <v>4.0000000000000002E-4</v>
      </c>
      <c r="G4104">
        <f>VLOOKUP(B4104,'SINAPI-%MO'!B:E,4,0)</f>
        <v>0.17119999999999999</v>
      </c>
      <c r="H4104" s="225">
        <f t="shared" si="63"/>
        <v>379.29</v>
      </c>
    </row>
    <row r="4105" spans="1:8" x14ac:dyDescent="0.3">
      <c r="A4105" s="400"/>
      <c r="B4105" s="709">
        <v>100341</v>
      </c>
      <c r="C4105" s="710" t="s">
        <v>3665</v>
      </c>
      <c r="D4105" s="709" t="s">
        <v>168</v>
      </c>
      <c r="E4105" s="716">
        <v>45.53</v>
      </c>
      <c r="F4105" s="717">
        <v>0</v>
      </c>
      <c r="G4105">
        <f>VLOOKUP(B4105,'SINAPI-%MO'!B:E,4,0)</f>
        <v>0.48959999999999998</v>
      </c>
      <c r="H4105" s="225">
        <f t="shared" si="63"/>
        <v>23.23</v>
      </c>
    </row>
    <row r="4106" spans="1:8" x14ac:dyDescent="0.3">
      <c r="A4106" s="400"/>
      <c r="B4106" s="709">
        <v>100351</v>
      </c>
      <c r="C4106" s="710" t="s">
        <v>3666</v>
      </c>
      <c r="D4106" s="709" t="s">
        <v>168</v>
      </c>
      <c r="E4106" s="716">
        <v>0</v>
      </c>
      <c r="F4106" s="717"/>
      <c r="G4106" t="e">
        <f>VLOOKUP(B4106,'SINAPI-%MO'!B:E,4,0)</f>
        <v>#N/A</v>
      </c>
      <c r="H4106" s="225" t="str">
        <f t="shared" si="63"/>
        <v/>
      </c>
    </row>
    <row r="4107" spans="1:8" x14ac:dyDescent="0.3">
      <c r="A4107" s="400"/>
      <c r="B4107" s="709">
        <v>100353</v>
      </c>
      <c r="C4107" s="710" t="s">
        <v>3667</v>
      </c>
      <c r="D4107" s="709" t="s">
        <v>168</v>
      </c>
      <c r="E4107" s="716">
        <v>0</v>
      </c>
      <c r="F4107" s="717"/>
      <c r="G4107" t="e">
        <f>VLOOKUP(B4107,'SINAPI-%MO'!B:E,4,0)</f>
        <v>#N/A</v>
      </c>
      <c r="H4107" s="225" t="str">
        <f t="shared" ref="H4107:H4170" si="64">IF(E4107&gt;0,TRUNC(E4107*(1-G4107),2),"")</f>
        <v/>
      </c>
    </row>
    <row r="4108" spans="1:8" x14ac:dyDescent="0.3">
      <c r="A4108" s="400"/>
      <c r="B4108" s="709">
        <v>100350</v>
      </c>
      <c r="C4108" s="710" t="s">
        <v>3668</v>
      </c>
      <c r="D4108" s="709" t="s">
        <v>168</v>
      </c>
      <c r="E4108" s="716">
        <v>0</v>
      </c>
      <c r="F4108" s="717"/>
      <c r="G4108" t="e">
        <f>VLOOKUP(B4108,'SINAPI-%MO'!B:E,4,0)</f>
        <v>#N/A</v>
      </c>
      <c r="H4108" s="225" t="str">
        <f t="shared" si="64"/>
        <v/>
      </c>
    </row>
    <row r="4109" spans="1:8" x14ac:dyDescent="0.3">
      <c r="A4109" s="400"/>
      <c r="B4109" s="709">
        <v>105043</v>
      </c>
      <c r="C4109" s="710" t="s">
        <v>3669</v>
      </c>
      <c r="D4109" s="709" t="s">
        <v>159</v>
      </c>
      <c r="E4109" s="716">
        <v>0</v>
      </c>
      <c r="F4109" s="717"/>
      <c r="G4109" t="e">
        <f>VLOOKUP(B4109,'SINAPI-%MO'!B:E,4,0)</f>
        <v>#N/A</v>
      </c>
      <c r="H4109" s="225" t="str">
        <f t="shared" si="64"/>
        <v/>
      </c>
    </row>
    <row r="4110" spans="1:8" x14ac:dyDescent="0.3">
      <c r="A4110" s="400"/>
      <c r="B4110" s="709">
        <v>105047</v>
      </c>
      <c r="C4110" s="710" t="s">
        <v>3670</v>
      </c>
      <c r="D4110" s="709" t="s">
        <v>159</v>
      </c>
      <c r="E4110" s="716">
        <v>0</v>
      </c>
      <c r="F4110" s="717"/>
      <c r="G4110" t="e">
        <f>VLOOKUP(B4110,'SINAPI-%MO'!B:E,4,0)</f>
        <v>#N/A</v>
      </c>
      <c r="H4110" s="225" t="str">
        <f t="shared" si="64"/>
        <v/>
      </c>
    </row>
    <row r="4111" spans="1:8" x14ac:dyDescent="0.3">
      <c r="A4111" s="400"/>
      <c r="B4111" s="709">
        <v>105044</v>
      </c>
      <c r="C4111" s="710" t="s">
        <v>3671</v>
      </c>
      <c r="D4111" s="709" t="s">
        <v>159</v>
      </c>
      <c r="E4111" s="716">
        <v>0</v>
      </c>
      <c r="F4111" s="717"/>
      <c r="G4111" t="e">
        <f>VLOOKUP(B4111,'SINAPI-%MO'!B:E,4,0)</f>
        <v>#N/A</v>
      </c>
      <c r="H4111" s="225" t="str">
        <f t="shared" si="64"/>
        <v/>
      </c>
    </row>
    <row r="4112" spans="1:8" x14ac:dyDescent="0.3">
      <c r="A4112" s="400"/>
      <c r="B4112" s="709">
        <v>105094</v>
      </c>
      <c r="C4112" s="710" t="s">
        <v>3672</v>
      </c>
      <c r="D4112" s="709" t="s">
        <v>159</v>
      </c>
      <c r="E4112" s="716">
        <v>0</v>
      </c>
      <c r="F4112" s="717"/>
      <c r="G4112" t="e">
        <f>VLOOKUP(B4112,'SINAPI-%MO'!B:E,4,0)</f>
        <v>#N/A</v>
      </c>
      <c r="H4112" s="225" t="str">
        <f t="shared" si="64"/>
        <v/>
      </c>
    </row>
    <row r="4113" spans="1:8" x14ac:dyDescent="0.3">
      <c r="A4113" s="400"/>
      <c r="B4113" s="709">
        <v>105096</v>
      </c>
      <c r="C4113" s="710" t="s">
        <v>3673</v>
      </c>
      <c r="D4113" s="709" t="s">
        <v>159</v>
      </c>
      <c r="E4113" s="716">
        <v>0</v>
      </c>
      <c r="F4113" s="717"/>
      <c r="G4113" t="e">
        <f>VLOOKUP(B4113,'SINAPI-%MO'!B:E,4,0)</f>
        <v>#N/A</v>
      </c>
      <c r="H4113" s="225" t="str">
        <f t="shared" si="64"/>
        <v/>
      </c>
    </row>
    <row r="4114" spans="1:8" x14ac:dyDescent="0.3">
      <c r="A4114" s="400"/>
      <c r="B4114" s="709">
        <v>105048</v>
      </c>
      <c r="C4114" s="710" t="s">
        <v>3674</v>
      </c>
      <c r="D4114" s="709" t="s">
        <v>159</v>
      </c>
      <c r="E4114" s="716">
        <v>0</v>
      </c>
      <c r="F4114" s="717"/>
      <c r="G4114" t="e">
        <f>VLOOKUP(B4114,'SINAPI-%MO'!B:E,4,0)</f>
        <v>#N/A</v>
      </c>
      <c r="H4114" s="225" t="str">
        <f t="shared" si="64"/>
        <v/>
      </c>
    </row>
    <row r="4115" spans="1:8" x14ac:dyDescent="0.3">
      <c r="A4115" s="400"/>
      <c r="B4115" s="709">
        <v>105097</v>
      </c>
      <c r="C4115" s="710" t="s">
        <v>3675</v>
      </c>
      <c r="D4115" s="709" t="s">
        <v>159</v>
      </c>
      <c r="E4115" s="716">
        <v>0</v>
      </c>
      <c r="F4115" s="717"/>
      <c r="G4115" t="e">
        <f>VLOOKUP(B4115,'SINAPI-%MO'!B:E,4,0)</f>
        <v>#N/A</v>
      </c>
      <c r="H4115" s="225" t="str">
        <f t="shared" si="64"/>
        <v/>
      </c>
    </row>
    <row r="4116" spans="1:8" x14ac:dyDescent="0.3">
      <c r="A4116" s="400"/>
      <c r="B4116" s="709">
        <v>105049</v>
      </c>
      <c r="C4116" s="710" t="s">
        <v>3676</v>
      </c>
      <c r="D4116" s="709" t="s">
        <v>159</v>
      </c>
      <c r="E4116" s="716">
        <v>0</v>
      </c>
      <c r="F4116" s="717"/>
      <c r="G4116" t="e">
        <f>VLOOKUP(B4116,'SINAPI-%MO'!B:E,4,0)</f>
        <v>#N/A</v>
      </c>
      <c r="H4116" s="225" t="str">
        <f t="shared" si="64"/>
        <v/>
      </c>
    </row>
    <row r="4117" spans="1:8" x14ac:dyDescent="0.3">
      <c r="A4117" s="400"/>
      <c r="B4117" s="709">
        <v>105051</v>
      </c>
      <c r="C4117" s="710" t="s">
        <v>3677</v>
      </c>
      <c r="D4117" s="709" t="s">
        <v>159</v>
      </c>
      <c r="E4117" s="716">
        <v>0</v>
      </c>
      <c r="F4117" s="717"/>
      <c r="G4117" t="e">
        <f>VLOOKUP(B4117,'SINAPI-%MO'!B:E,4,0)</f>
        <v>#N/A</v>
      </c>
      <c r="H4117" s="225" t="str">
        <f t="shared" si="64"/>
        <v/>
      </c>
    </row>
    <row r="4118" spans="1:8" x14ac:dyDescent="0.3">
      <c r="A4118" s="400"/>
      <c r="B4118" s="709">
        <v>105054</v>
      </c>
      <c r="C4118" s="710" t="s">
        <v>3678</v>
      </c>
      <c r="D4118" s="709" t="s">
        <v>159</v>
      </c>
      <c r="E4118" s="716">
        <v>0</v>
      </c>
      <c r="F4118" s="717"/>
      <c r="G4118" t="e">
        <f>VLOOKUP(B4118,'SINAPI-%MO'!B:E,4,0)</f>
        <v>#N/A</v>
      </c>
      <c r="H4118" s="225" t="str">
        <f t="shared" si="64"/>
        <v/>
      </c>
    </row>
    <row r="4119" spans="1:8" x14ac:dyDescent="0.3">
      <c r="A4119" s="400"/>
      <c r="B4119" s="709">
        <v>105052</v>
      </c>
      <c r="C4119" s="710" t="s">
        <v>3679</v>
      </c>
      <c r="D4119" s="709" t="s">
        <v>159</v>
      </c>
      <c r="E4119" s="716">
        <v>0</v>
      </c>
      <c r="F4119" s="717"/>
      <c r="G4119" t="e">
        <f>VLOOKUP(B4119,'SINAPI-%MO'!B:E,4,0)</f>
        <v>#N/A</v>
      </c>
      <c r="H4119" s="225" t="str">
        <f t="shared" si="64"/>
        <v/>
      </c>
    </row>
    <row r="4120" spans="1:8" x14ac:dyDescent="0.3">
      <c r="A4120" s="400"/>
      <c r="B4120" s="709">
        <v>105055</v>
      </c>
      <c r="C4120" s="710" t="s">
        <v>3680</v>
      </c>
      <c r="D4120" s="709" t="s">
        <v>159</v>
      </c>
      <c r="E4120" s="716">
        <v>0</v>
      </c>
      <c r="F4120" s="717"/>
      <c r="G4120" t="e">
        <f>VLOOKUP(B4120,'SINAPI-%MO'!B:E,4,0)</f>
        <v>#N/A</v>
      </c>
      <c r="H4120" s="225" t="str">
        <f t="shared" si="64"/>
        <v/>
      </c>
    </row>
    <row r="4121" spans="1:8" x14ac:dyDescent="0.3">
      <c r="A4121" s="400"/>
      <c r="B4121" s="709">
        <v>105065</v>
      </c>
      <c r="C4121" s="710" t="s">
        <v>3681</v>
      </c>
      <c r="D4121" s="709" t="s">
        <v>159</v>
      </c>
      <c r="E4121" s="716">
        <v>0</v>
      </c>
      <c r="F4121" s="717"/>
      <c r="G4121" t="e">
        <f>VLOOKUP(B4121,'SINAPI-%MO'!B:E,4,0)</f>
        <v>#N/A</v>
      </c>
      <c r="H4121" s="225" t="str">
        <f t="shared" si="64"/>
        <v/>
      </c>
    </row>
    <row r="4122" spans="1:8" x14ac:dyDescent="0.3">
      <c r="A4122" s="400"/>
      <c r="B4122" s="709">
        <v>105059</v>
      </c>
      <c r="C4122" s="710" t="s">
        <v>3682</v>
      </c>
      <c r="D4122" s="709" t="s">
        <v>159</v>
      </c>
      <c r="E4122" s="716">
        <v>0</v>
      </c>
      <c r="F4122" s="717"/>
      <c r="G4122" t="e">
        <f>VLOOKUP(B4122,'SINAPI-%MO'!B:E,4,0)</f>
        <v>#N/A</v>
      </c>
      <c r="H4122" s="225" t="str">
        <f t="shared" si="64"/>
        <v/>
      </c>
    </row>
    <row r="4123" spans="1:8" x14ac:dyDescent="0.3">
      <c r="A4123" s="400"/>
      <c r="B4123" s="709">
        <v>105057</v>
      </c>
      <c r="C4123" s="710" t="s">
        <v>3683</v>
      </c>
      <c r="D4123" s="709" t="s">
        <v>159</v>
      </c>
      <c r="E4123" s="716">
        <v>0</v>
      </c>
      <c r="F4123" s="717"/>
      <c r="G4123" t="e">
        <f>VLOOKUP(B4123,'SINAPI-%MO'!B:E,4,0)</f>
        <v>#N/A</v>
      </c>
      <c r="H4123" s="225" t="str">
        <f t="shared" si="64"/>
        <v/>
      </c>
    </row>
    <row r="4124" spans="1:8" x14ac:dyDescent="0.3">
      <c r="A4124" s="400"/>
      <c r="B4124" s="709">
        <v>105060</v>
      </c>
      <c r="C4124" s="710" t="s">
        <v>3684</v>
      </c>
      <c r="D4124" s="709" t="s">
        <v>159</v>
      </c>
      <c r="E4124" s="716">
        <v>0</v>
      </c>
      <c r="F4124" s="717"/>
      <c r="G4124" t="e">
        <f>VLOOKUP(B4124,'SINAPI-%MO'!B:E,4,0)</f>
        <v>#N/A</v>
      </c>
      <c r="H4124" s="225" t="str">
        <f t="shared" si="64"/>
        <v/>
      </c>
    </row>
    <row r="4125" spans="1:8" x14ac:dyDescent="0.3">
      <c r="A4125" s="400"/>
      <c r="B4125" s="709">
        <v>105042</v>
      </c>
      <c r="C4125" s="710" t="s">
        <v>3685</v>
      </c>
      <c r="D4125" s="709" t="s">
        <v>159</v>
      </c>
      <c r="E4125" s="716">
        <v>89.35</v>
      </c>
      <c r="F4125" s="717">
        <v>0</v>
      </c>
      <c r="G4125">
        <f>VLOOKUP(B4125,'SINAPI-%MO'!B:E,4,0)</f>
        <v>0.29110000000000003</v>
      </c>
      <c r="H4125" s="225">
        <f t="shared" si="64"/>
        <v>63.34</v>
      </c>
    </row>
    <row r="4126" spans="1:8" x14ac:dyDescent="0.3">
      <c r="A4126" s="400"/>
      <c r="B4126" s="709">
        <v>105046</v>
      </c>
      <c r="C4126" s="710" t="s">
        <v>3686</v>
      </c>
      <c r="D4126" s="709" t="s">
        <v>159</v>
      </c>
      <c r="E4126" s="716">
        <v>78.209999999999994</v>
      </c>
      <c r="F4126" s="717">
        <v>0</v>
      </c>
      <c r="G4126">
        <f>VLOOKUP(B4126,'SINAPI-%MO'!B:E,4,0)</f>
        <v>0.20549999999999999</v>
      </c>
      <c r="H4126" s="225">
        <f t="shared" si="64"/>
        <v>62.13</v>
      </c>
    </row>
    <row r="4127" spans="1:8" x14ac:dyDescent="0.3">
      <c r="A4127" s="400"/>
      <c r="B4127" s="709">
        <v>105095</v>
      </c>
      <c r="C4127" s="710" t="s">
        <v>3687</v>
      </c>
      <c r="D4127" s="709" t="s">
        <v>159</v>
      </c>
      <c r="E4127" s="716">
        <v>139.91</v>
      </c>
      <c r="F4127" s="717">
        <v>0</v>
      </c>
      <c r="G4127">
        <f>VLOOKUP(B4127,'SINAPI-%MO'!B:E,4,0)</f>
        <v>0.18659999999999999</v>
      </c>
      <c r="H4127" s="225">
        <f t="shared" si="64"/>
        <v>113.8</v>
      </c>
    </row>
    <row r="4128" spans="1:8" x14ac:dyDescent="0.3">
      <c r="A4128" s="400"/>
      <c r="B4128" s="709">
        <v>105098</v>
      </c>
      <c r="C4128" s="710" t="s">
        <v>3688</v>
      </c>
      <c r="D4128" s="709" t="s">
        <v>159</v>
      </c>
      <c r="E4128" s="716">
        <v>128.80000000000001</v>
      </c>
      <c r="F4128" s="717">
        <v>0</v>
      </c>
      <c r="G4128">
        <f>VLOOKUP(B4128,'SINAPI-%MO'!B:E,4,0)</f>
        <v>0.1258</v>
      </c>
      <c r="H4128" s="225">
        <f t="shared" si="64"/>
        <v>112.59</v>
      </c>
    </row>
    <row r="4129" spans="1:8" x14ac:dyDescent="0.3">
      <c r="A4129" s="400"/>
      <c r="B4129" s="709">
        <v>105050</v>
      </c>
      <c r="C4129" s="710" t="s">
        <v>3689</v>
      </c>
      <c r="D4129" s="709" t="s">
        <v>159</v>
      </c>
      <c r="E4129" s="716">
        <v>305.39</v>
      </c>
      <c r="F4129" s="717">
        <v>0</v>
      </c>
      <c r="G4129">
        <f>VLOOKUP(B4129,'SINAPI-%MO'!B:E,4,0)</f>
        <v>8.6400000000000005E-2</v>
      </c>
      <c r="H4129" s="225">
        <f t="shared" si="64"/>
        <v>279</v>
      </c>
    </row>
    <row r="4130" spans="1:8" x14ac:dyDescent="0.3">
      <c r="A4130" s="400"/>
      <c r="B4130" s="709">
        <v>105053</v>
      </c>
      <c r="C4130" s="710" t="s">
        <v>3690</v>
      </c>
      <c r="D4130" s="709" t="s">
        <v>159</v>
      </c>
      <c r="E4130" s="716">
        <v>294.41000000000003</v>
      </c>
      <c r="F4130" s="717">
        <v>0</v>
      </c>
      <c r="G4130">
        <f>VLOOKUP(B4130,'SINAPI-%MO'!B:E,4,0)</f>
        <v>5.6399999999999999E-2</v>
      </c>
      <c r="H4130" s="225">
        <f t="shared" si="64"/>
        <v>277.8</v>
      </c>
    </row>
    <row r="4131" spans="1:8" x14ac:dyDescent="0.3">
      <c r="A4131" s="400"/>
      <c r="B4131" s="709">
        <v>105056</v>
      </c>
      <c r="C4131" s="710" t="s">
        <v>3691</v>
      </c>
      <c r="D4131" s="709" t="s">
        <v>159</v>
      </c>
      <c r="E4131" s="716">
        <v>427</v>
      </c>
      <c r="F4131" s="717">
        <v>0</v>
      </c>
      <c r="G4131">
        <f>VLOOKUP(B4131,'SINAPI-%MO'!B:E,4,0)</f>
        <v>6.2899999999999998E-2</v>
      </c>
      <c r="H4131" s="225">
        <f t="shared" si="64"/>
        <v>400.14</v>
      </c>
    </row>
    <row r="4132" spans="1:8" x14ac:dyDescent="0.3">
      <c r="A4132" s="400"/>
      <c r="B4132" s="709">
        <v>105058</v>
      </c>
      <c r="C4132" s="710" t="s">
        <v>3692</v>
      </c>
      <c r="D4132" s="709" t="s">
        <v>159</v>
      </c>
      <c r="E4132" s="716">
        <v>416.81</v>
      </c>
      <c r="F4132" s="717">
        <v>0</v>
      </c>
      <c r="G4132">
        <f>VLOOKUP(B4132,'SINAPI-%MO'!B:E,4,0)</f>
        <v>4.2900000000000001E-2</v>
      </c>
      <c r="H4132" s="225">
        <f t="shared" si="64"/>
        <v>398.92</v>
      </c>
    </row>
    <row r="4133" spans="1:8" x14ac:dyDescent="0.3">
      <c r="A4133" s="400"/>
      <c r="B4133" s="709">
        <v>105062</v>
      </c>
      <c r="C4133" s="710" t="s">
        <v>3693</v>
      </c>
      <c r="D4133" s="709" t="s">
        <v>159</v>
      </c>
      <c r="E4133" s="716">
        <v>0</v>
      </c>
      <c r="F4133" s="717"/>
      <c r="G4133" t="e">
        <f>VLOOKUP(B4133,'SINAPI-%MO'!B:E,4,0)</f>
        <v>#N/A</v>
      </c>
      <c r="H4133" s="225" t="str">
        <f t="shared" si="64"/>
        <v/>
      </c>
    </row>
    <row r="4134" spans="1:8" x14ac:dyDescent="0.3">
      <c r="A4134" s="400"/>
      <c r="B4134" s="709">
        <v>105066</v>
      </c>
      <c r="C4134" s="710" t="s">
        <v>3694</v>
      </c>
      <c r="D4134" s="709" t="s">
        <v>159</v>
      </c>
      <c r="E4134" s="716">
        <v>0</v>
      </c>
      <c r="F4134" s="717"/>
      <c r="G4134" t="e">
        <f>VLOOKUP(B4134,'SINAPI-%MO'!B:E,4,0)</f>
        <v>#N/A</v>
      </c>
      <c r="H4134" s="225" t="str">
        <f t="shared" si="64"/>
        <v/>
      </c>
    </row>
    <row r="4135" spans="1:8" x14ac:dyDescent="0.3">
      <c r="A4135" s="400"/>
      <c r="B4135" s="709">
        <v>105063</v>
      </c>
      <c r="C4135" s="710" t="s">
        <v>3695</v>
      </c>
      <c r="D4135" s="709" t="s">
        <v>159</v>
      </c>
      <c r="E4135" s="716">
        <v>0</v>
      </c>
      <c r="F4135" s="717"/>
      <c r="G4135" t="e">
        <f>VLOOKUP(B4135,'SINAPI-%MO'!B:E,4,0)</f>
        <v>#N/A</v>
      </c>
      <c r="H4135" s="225" t="str">
        <f t="shared" si="64"/>
        <v/>
      </c>
    </row>
    <row r="4136" spans="1:8" x14ac:dyDescent="0.3">
      <c r="A4136" s="400"/>
      <c r="B4136" s="709">
        <v>105067</v>
      </c>
      <c r="C4136" s="710" t="s">
        <v>3696</v>
      </c>
      <c r="D4136" s="709" t="s">
        <v>159</v>
      </c>
      <c r="E4136" s="716">
        <v>0</v>
      </c>
      <c r="F4136" s="717"/>
      <c r="G4136" t="e">
        <f>VLOOKUP(B4136,'SINAPI-%MO'!B:E,4,0)</f>
        <v>#N/A</v>
      </c>
      <c r="H4136" s="225" t="str">
        <f t="shared" si="64"/>
        <v/>
      </c>
    </row>
    <row r="4137" spans="1:8" x14ac:dyDescent="0.3">
      <c r="A4137" s="400"/>
      <c r="B4137" s="709">
        <v>105069</v>
      </c>
      <c r="C4137" s="710" t="s">
        <v>3697</v>
      </c>
      <c r="D4137" s="709" t="s">
        <v>159</v>
      </c>
      <c r="E4137" s="716">
        <v>0</v>
      </c>
      <c r="F4137" s="717"/>
      <c r="G4137" t="e">
        <f>VLOOKUP(B4137,'SINAPI-%MO'!B:E,4,0)</f>
        <v>#N/A</v>
      </c>
      <c r="H4137" s="225" t="str">
        <f t="shared" si="64"/>
        <v/>
      </c>
    </row>
    <row r="4138" spans="1:8" x14ac:dyDescent="0.3">
      <c r="A4138" s="400"/>
      <c r="B4138" s="709">
        <v>105072</v>
      </c>
      <c r="C4138" s="710" t="s">
        <v>3698</v>
      </c>
      <c r="D4138" s="709" t="s">
        <v>159</v>
      </c>
      <c r="E4138" s="716">
        <v>0</v>
      </c>
      <c r="F4138" s="717"/>
      <c r="G4138" t="e">
        <f>VLOOKUP(B4138,'SINAPI-%MO'!B:E,4,0)</f>
        <v>#N/A</v>
      </c>
      <c r="H4138" s="225" t="str">
        <f t="shared" si="64"/>
        <v/>
      </c>
    </row>
    <row r="4139" spans="1:8" x14ac:dyDescent="0.3">
      <c r="A4139" s="400"/>
      <c r="B4139" s="709">
        <v>105070</v>
      </c>
      <c r="C4139" s="710" t="s">
        <v>3699</v>
      </c>
      <c r="D4139" s="709" t="s">
        <v>159</v>
      </c>
      <c r="E4139" s="716">
        <v>0</v>
      </c>
      <c r="F4139" s="717"/>
      <c r="G4139" t="e">
        <f>VLOOKUP(B4139,'SINAPI-%MO'!B:E,4,0)</f>
        <v>#N/A</v>
      </c>
      <c r="H4139" s="225" t="str">
        <f t="shared" si="64"/>
        <v/>
      </c>
    </row>
    <row r="4140" spans="1:8" x14ac:dyDescent="0.3">
      <c r="A4140" s="400"/>
      <c r="B4140" s="709">
        <v>105073</v>
      </c>
      <c r="C4140" s="710" t="s">
        <v>3700</v>
      </c>
      <c r="D4140" s="709" t="s">
        <v>159</v>
      </c>
      <c r="E4140" s="716">
        <v>0</v>
      </c>
      <c r="F4140" s="717"/>
      <c r="G4140" t="e">
        <f>VLOOKUP(B4140,'SINAPI-%MO'!B:E,4,0)</f>
        <v>#N/A</v>
      </c>
      <c r="H4140" s="225" t="str">
        <f t="shared" si="64"/>
        <v/>
      </c>
    </row>
    <row r="4141" spans="1:8" x14ac:dyDescent="0.3">
      <c r="A4141" s="400"/>
      <c r="B4141" s="709">
        <v>105075</v>
      </c>
      <c r="C4141" s="710" t="s">
        <v>3701</v>
      </c>
      <c r="D4141" s="709" t="s">
        <v>159</v>
      </c>
      <c r="E4141" s="716">
        <v>0</v>
      </c>
      <c r="F4141" s="717"/>
      <c r="G4141" t="e">
        <f>VLOOKUP(B4141,'SINAPI-%MO'!B:E,4,0)</f>
        <v>#N/A</v>
      </c>
      <c r="H4141" s="225" t="str">
        <f t="shared" si="64"/>
        <v/>
      </c>
    </row>
    <row r="4142" spans="1:8" x14ac:dyDescent="0.3">
      <c r="A4142" s="400"/>
      <c r="B4142" s="709">
        <v>105078</v>
      </c>
      <c r="C4142" s="710" t="s">
        <v>3702</v>
      </c>
      <c r="D4142" s="709" t="s">
        <v>159</v>
      </c>
      <c r="E4142" s="716">
        <v>0</v>
      </c>
      <c r="F4142" s="717"/>
      <c r="G4142" t="e">
        <f>VLOOKUP(B4142,'SINAPI-%MO'!B:E,4,0)</f>
        <v>#N/A</v>
      </c>
      <c r="H4142" s="225" t="str">
        <f t="shared" si="64"/>
        <v/>
      </c>
    </row>
    <row r="4143" spans="1:8" x14ac:dyDescent="0.3">
      <c r="A4143" s="400"/>
      <c r="B4143" s="709">
        <v>105076</v>
      </c>
      <c r="C4143" s="710" t="s">
        <v>3703</v>
      </c>
      <c r="D4143" s="709" t="s">
        <v>159</v>
      </c>
      <c r="E4143" s="716">
        <v>0</v>
      </c>
      <c r="F4143" s="717"/>
      <c r="G4143" t="e">
        <f>VLOOKUP(B4143,'SINAPI-%MO'!B:E,4,0)</f>
        <v>#N/A</v>
      </c>
      <c r="H4143" s="225" t="str">
        <f t="shared" si="64"/>
        <v/>
      </c>
    </row>
    <row r="4144" spans="1:8" x14ac:dyDescent="0.3">
      <c r="A4144" s="400"/>
      <c r="B4144" s="709">
        <v>105079</v>
      </c>
      <c r="C4144" s="710" t="s">
        <v>3704</v>
      </c>
      <c r="D4144" s="709" t="s">
        <v>159</v>
      </c>
      <c r="E4144" s="716">
        <v>0</v>
      </c>
      <c r="F4144" s="717"/>
      <c r="G4144" t="e">
        <f>VLOOKUP(B4144,'SINAPI-%MO'!B:E,4,0)</f>
        <v>#N/A</v>
      </c>
      <c r="H4144" s="225" t="str">
        <f t="shared" si="64"/>
        <v/>
      </c>
    </row>
    <row r="4145" spans="1:8" x14ac:dyDescent="0.3">
      <c r="A4145" s="400"/>
      <c r="B4145" s="709">
        <v>105061</v>
      </c>
      <c r="C4145" s="710" t="s">
        <v>3705</v>
      </c>
      <c r="D4145" s="709" t="s">
        <v>159</v>
      </c>
      <c r="E4145" s="716">
        <v>102.91</v>
      </c>
      <c r="F4145" s="717">
        <v>0</v>
      </c>
      <c r="G4145">
        <f>VLOOKUP(B4145,'SINAPI-%MO'!B:E,4,0)</f>
        <v>0.31380000000000002</v>
      </c>
      <c r="H4145" s="225">
        <f t="shared" si="64"/>
        <v>70.61</v>
      </c>
    </row>
    <row r="4146" spans="1:8" x14ac:dyDescent="0.3">
      <c r="A4146" s="400"/>
      <c r="B4146" s="709">
        <v>105064</v>
      </c>
      <c r="C4146" s="710" t="s">
        <v>3706</v>
      </c>
      <c r="D4146" s="709" t="s">
        <v>159</v>
      </c>
      <c r="E4146" s="716">
        <v>88.59</v>
      </c>
      <c r="F4146" s="717">
        <v>0</v>
      </c>
      <c r="G4146">
        <f>VLOOKUP(B4146,'SINAPI-%MO'!B:E,4,0)</f>
        <v>0.21659999999999999</v>
      </c>
      <c r="H4146" s="225">
        <f t="shared" si="64"/>
        <v>69.400000000000006</v>
      </c>
    </row>
    <row r="4147" spans="1:8" x14ac:dyDescent="0.3">
      <c r="A4147" s="400"/>
      <c r="B4147" s="709">
        <v>105068</v>
      </c>
      <c r="C4147" s="710" t="s">
        <v>3707</v>
      </c>
      <c r="D4147" s="709" t="s">
        <v>159</v>
      </c>
      <c r="E4147" s="716">
        <v>166.72</v>
      </c>
      <c r="F4147" s="717">
        <v>0</v>
      </c>
      <c r="G4147">
        <f>VLOOKUP(B4147,'SINAPI-%MO'!B:E,4,0)</f>
        <v>0.1943</v>
      </c>
      <c r="H4147" s="225">
        <f t="shared" si="64"/>
        <v>134.32</v>
      </c>
    </row>
    <row r="4148" spans="1:8" x14ac:dyDescent="0.3">
      <c r="A4148" s="400"/>
      <c r="B4148" s="709">
        <v>105071</v>
      </c>
      <c r="C4148" s="710" t="s">
        <v>3708</v>
      </c>
      <c r="D4148" s="709" t="s">
        <v>159</v>
      </c>
      <c r="E4148" s="716">
        <v>152.41999999999999</v>
      </c>
      <c r="F4148" s="717">
        <v>0</v>
      </c>
      <c r="G4148">
        <f>VLOOKUP(B4148,'SINAPI-%MO'!B:E,4,0)</f>
        <v>0.1268</v>
      </c>
      <c r="H4148" s="225">
        <f t="shared" si="64"/>
        <v>133.09</v>
      </c>
    </row>
    <row r="4149" spans="1:8" x14ac:dyDescent="0.3">
      <c r="A4149" s="400"/>
      <c r="B4149" s="709">
        <v>105074</v>
      </c>
      <c r="C4149" s="710" t="s">
        <v>3709</v>
      </c>
      <c r="D4149" s="709" t="s">
        <v>159</v>
      </c>
      <c r="E4149" s="716">
        <v>256.05</v>
      </c>
      <c r="F4149" s="717">
        <v>0</v>
      </c>
      <c r="G4149">
        <f>VLOOKUP(B4149,'SINAPI-%MO'!B:E,4,0)</f>
        <v>0.1273</v>
      </c>
      <c r="H4149" s="225">
        <f t="shared" si="64"/>
        <v>223.45</v>
      </c>
    </row>
    <row r="4150" spans="1:8" x14ac:dyDescent="0.3">
      <c r="A4150" s="400"/>
      <c r="B4150" s="709">
        <v>105077</v>
      </c>
      <c r="C4150" s="710" t="s">
        <v>3710</v>
      </c>
      <c r="D4150" s="709" t="s">
        <v>159</v>
      </c>
      <c r="E4150" s="716">
        <v>241.82</v>
      </c>
      <c r="F4150" s="717">
        <v>0</v>
      </c>
      <c r="G4150">
        <f>VLOOKUP(B4150,'SINAPI-%MO'!B:E,4,0)</f>
        <v>8.1000000000000003E-2</v>
      </c>
      <c r="H4150" s="225">
        <f t="shared" si="64"/>
        <v>222.23</v>
      </c>
    </row>
    <row r="4151" spans="1:8" x14ac:dyDescent="0.3">
      <c r="A4151" s="400"/>
      <c r="B4151" s="709">
        <v>105090</v>
      </c>
      <c r="C4151" s="710" t="s">
        <v>3711</v>
      </c>
      <c r="D4151" s="709" t="s">
        <v>168</v>
      </c>
      <c r="E4151" s="716">
        <v>459.98</v>
      </c>
      <c r="F4151" s="717">
        <v>0</v>
      </c>
      <c r="G4151">
        <f>VLOOKUP(B4151,'SINAPI-%MO'!B:E,4,0)</f>
        <v>6.7900000000000002E-2</v>
      </c>
      <c r="H4151" s="225">
        <f t="shared" si="64"/>
        <v>428.74</v>
      </c>
    </row>
    <row r="4152" spans="1:8" x14ac:dyDescent="0.3">
      <c r="A4152" s="400"/>
      <c r="B4152" s="709">
        <v>105099</v>
      </c>
      <c r="C4152" s="710" t="s">
        <v>3712</v>
      </c>
      <c r="D4152" s="709" t="s">
        <v>159</v>
      </c>
      <c r="E4152" s="716">
        <v>99.33</v>
      </c>
      <c r="F4152" s="717">
        <v>0.1409</v>
      </c>
      <c r="G4152">
        <f>VLOOKUP(B4152,'SINAPI-%MO'!B:E,4,0)</f>
        <v>0.36059999999999998</v>
      </c>
      <c r="H4152" s="225">
        <f t="shared" si="64"/>
        <v>63.51</v>
      </c>
    </row>
    <row r="4153" spans="1:8" x14ac:dyDescent="0.3">
      <c r="A4153" s="400"/>
      <c r="B4153" s="709">
        <v>105100</v>
      </c>
      <c r="C4153" s="710" t="s">
        <v>3713</v>
      </c>
      <c r="D4153" s="709" t="s">
        <v>159</v>
      </c>
      <c r="E4153" s="716">
        <v>152.97</v>
      </c>
      <c r="F4153" s="717">
        <v>9.1499999999999998E-2</v>
      </c>
      <c r="G4153">
        <f>VLOOKUP(B4153,'SINAPI-%MO'!B:E,4,0)</f>
        <v>0.255</v>
      </c>
      <c r="H4153" s="225">
        <f t="shared" si="64"/>
        <v>113.96</v>
      </c>
    </row>
    <row r="4154" spans="1:8" x14ac:dyDescent="0.3">
      <c r="A4154" s="400"/>
      <c r="B4154" s="709">
        <v>105101</v>
      </c>
      <c r="C4154" s="710" t="s">
        <v>3714</v>
      </c>
      <c r="D4154" s="709" t="s">
        <v>159</v>
      </c>
      <c r="E4154" s="716">
        <v>324.85000000000002</v>
      </c>
      <c r="F4154" s="717">
        <v>4.3099999999999999E-2</v>
      </c>
      <c r="G4154">
        <f>VLOOKUP(B4154,'SINAPI-%MO'!B:E,4,0)</f>
        <v>0.14050000000000001</v>
      </c>
      <c r="H4154" s="225">
        <f t="shared" si="64"/>
        <v>279.2</v>
      </c>
    </row>
    <row r="4155" spans="1:8" x14ac:dyDescent="0.3">
      <c r="A4155" s="400"/>
      <c r="B4155" s="709">
        <v>105102</v>
      </c>
      <c r="C4155" s="710" t="s">
        <v>3715</v>
      </c>
      <c r="D4155" s="709" t="s">
        <v>159</v>
      </c>
      <c r="E4155" s="716">
        <v>454.78</v>
      </c>
      <c r="F4155" s="717">
        <v>3.0800000000000001E-2</v>
      </c>
      <c r="G4155">
        <f>VLOOKUP(B4155,'SINAPI-%MO'!B:E,4,0)</f>
        <v>0.1197</v>
      </c>
      <c r="H4155" s="225">
        <f t="shared" si="64"/>
        <v>400.34</v>
      </c>
    </row>
    <row r="4156" spans="1:8" x14ac:dyDescent="0.3">
      <c r="A4156" s="400"/>
      <c r="B4156" s="709">
        <v>105080</v>
      </c>
      <c r="C4156" s="710" t="s">
        <v>3716</v>
      </c>
      <c r="D4156" s="709" t="s">
        <v>159</v>
      </c>
      <c r="E4156" s="716">
        <v>63.91</v>
      </c>
      <c r="F4156" s="717">
        <v>0.21909999999999999</v>
      </c>
      <c r="G4156">
        <f>VLOOKUP(B4156,'SINAPI-%MO'!B:E,4,0)</f>
        <v>0.32979999999999998</v>
      </c>
      <c r="H4156" s="225">
        <f t="shared" si="64"/>
        <v>42.83</v>
      </c>
    </row>
    <row r="4157" spans="1:8" x14ac:dyDescent="0.3">
      <c r="A4157" s="400"/>
      <c r="B4157" s="709">
        <v>105081</v>
      </c>
      <c r="C4157" s="710" t="s">
        <v>3717</v>
      </c>
      <c r="D4157" s="709" t="s">
        <v>159</v>
      </c>
      <c r="E4157" s="716">
        <v>74.06</v>
      </c>
      <c r="F4157" s="717">
        <v>0.189</v>
      </c>
      <c r="G4157">
        <f>VLOOKUP(B4157,'SINAPI-%MO'!B:E,4,0)</f>
        <v>0.29559999999999997</v>
      </c>
      <c r="H4157" s="225">
        <f t="shared" si="64"/>
        <v>52.16</v>
      </c>
    </row>
    <row r="4158" spans="1:8" x14ac:dyDescent="0.3">
      <c r="A4158" s="400"/>
      <c r="B4158" s="709">
        <v>105091</v>
      </c>
      <c r="C4158" s="710" t="s">
        <v>3718</v>
      </c>
      <c r="D4158" s="709" t="s">
        <v>159</v>
      </c>
      <c r="E4158" s="716">
        <v>129.59</v>
      </c>
      <c r="F4158" s="717">
        <v>0.108</v>
      </c>
      <c r="G4158">
        <f>VLOOKUP(B4158,'SINAPI-%MO'!B:E,4,0)</f>
        <v>0.18870000000000001</v>
      </c>
      <c r="H4158" s="225">
        <f t="shared" si="64"/>
        <v>105.13</v>
      </c>
    </row>
    <row r="4159" spans="1:8" x14ac:dyDescent="0.3">
      <c r="A4159" s="400"/>
      <c r="B4159" s="709">
        <v>105089</v>
      </c>
      <c r="C4159" s="710" t="s">
        <v>3719</v>
      </c>
      <c r="D4159" s="709" t="s">
        <v>159</v>
      </c>
      <c r="E4159" s="716">
        <v>163.71</v>
      </c>
      <c r="F4159" s="717">
        <v>8.5500000000000007E-2</v>
      </c>
      <c r="G4159">
        <f>VLOOKUP(B4159,'SINAPI-%MO'!B:E,4,0)</f>
        <v>0.1628</v>
      </c>
      <c r="H4159" s="225">
        <f t="shared" si="64"/>
        <v>137.05000000000001</v>
      </c>
    </row>
    <row r="4160" spans="1:8" x14ac:dyDescent="0.3">
      <c r="A4160" s="400"/>
      <c r="B4160" s="709">
        <v>105082</v>
      </c>
      <c r="C4160" s="710" t="s">
        <v>3720</v>
      </c>
      <c r="D4160" s="709" t="s">
        <v>159</v>
      </c>
      <c r="E4160" s="716">
        <v>66.63</v>
      </c>
      <c r="F4160" s="717">
        <v>0.21010000000000001</v>
      </c>
      <c r="G4160">
        <f>VLOOKUP(B4160,'SINAPI-%MO'!B:E,4,0)</f>
        <v>0.31640000000000001</v>
      </c>
      <c r="H4160" s="225">
        <f t="shared" si="64"/>
        <v>45.54</v>
      </c>
    </row>
    <row r="4161" spans="1:8" x14ac:dyDescent="0.3">
      <c r="A4161" s="400"/>
      <c r="B4161" s="709">
        <v>105083</v>
      </c>
      <c r="C4161" s="710" t="s">
        <v>3721</v>
      </c>
      <c r="D4161" s="709" t="s">
        <v>159</v>
      </c>
      <c r="E4161" s="716">
        <v>75.3</v>
      </c>
      <c r="F4161" s="717">
        <v>0.18590000000000001</v>
      </c>
      <c r="G4161">
        <f>VLOOKUP(B4161,'SINAPI-%MO'!B:E,4,0)</f>
        <v>0.29070000000000001</v>
      </c>
      <c r="H4161" s="225">
        <f t="shared" si="64"/>
        <v>53.41</v>
      </c>
    </row>
    <row r="4162" spans="1:8" x14ac:dyDescent="0.3">
      <c r="A4162" s="400"/>
      <c r="B4162" s="709">
        <v>105084</v>
      </c>
      <c r="C4162" s="710" t="s">
        <v>3722</v>
      </c>
      <c r="D4162" s="709" t="s">
        <v>159</v>
      </c>
      <c r="E4162" s="716">
        <v>93.66</v>
      </c>
      <c r="F4162" s="717">
        <v>0.14949999999999999</v>
      </c>
      <c r="G4162">
        <f>VLOOKUP(B4162,'SINAPI-%MO'!B:E,4,0)</f>
        <v>0.2424</v>
      </c>
      <c r="H4162" s="225">
        <f t="shared" si="64"/>
        <v>70.95</v>
      </c>
    </row>
    <row r="4163" spans="1:8" x14ac:dyDescent="0.3">
      <c r="A4163" s="400"/>
      <c r="B4163" s="709">
        <v>105086</v>
      </c>
      <c r="C4163" s="710" t="s">
        <v>3723</v>
      </c>
      <c r="D4163" s="709" t="s">
        <v>159</v>
      </c>
      <c r="E4163" s="716">
        <v>87.1</v>
      </c>
      <c r="F4163" s="717">
        <v>0.16070000000000001</v>
      </c>
      <c r="G4163">
        <f>VLOOKUP(B4163,'SINAPI-%MO'!B:E,4,0)</f>
        <v>0.27210000000000001</v>
      </c>
      <c r="H4163" s="225">
        <f t="shared" si="64"/>
        <v>63.4</v>
      </c>
    </row>
    <row r="4164" spans="1:8" x14ac:dyDescent="0.3">
      <c r="A4164" s="400"/>
      <c r="B4164" s="709">
        <v>105087</v>
      </c>
      <c r="C4164" s="710" t="s">
        <v>3724</v>
      </c>
      <c r="D4164" s="709" t="s">
        <v>159</v>
      </c>
      <c r="E4164" s="716">
        <v>97.93</v>
      </c>
      <c r="F4164" s="717">
        <v>0.14299999999999999</v>
      </c>
      <c r="G4164">
        <f>VLOOKUP(B4164,'SINAPI-%MO'!B:E,4,0)</f>
        <v>0.25209999999999999</v>
      </c>
      <c r="H4164" s="225">
        <f t="shared" si="64"/>
        <v>73.239999999999995</v>
      </c>
    </row>
    <row r="4165" spans="1:8" x14ac:dyDescent="0.3">
      <c r="A4165" s="400"/>
      <c r="B4165" s="709">
        <v>105088</v>
      </c>
      <c r="C4165" s="710" t="s">
        <v>3725</v>
      </c>
      <c r="D4165" s="709" t="s">
        <v>159</v>
      </c>
      <c r="E4165" s="716">
        <v>177.37</v>
      </c>
      <c r="F4165" s="717">
        <v>7.8899999999999998E-2</v>
      </c>
      <c r="G4165">
        <f>VLOOKUP(B4165,'SINAPI-%MO'!B:E,4,0)</f>
        <v>0.15029999999999999</v>
      </c>
      <c r="H4165" s="225">
        <f t="shared" si="64"/>
        <v>150.71</v>
      </c>
    </row>
    <row r="4166" spans="1:8" x14ac:dyDescent="0.3">
      <c r="A4166" s="400"/>
      <c r="B4166" s="709">
        <v>105092</v>
      </c>
      <c r="C4166" s="710" t="s">
        <v>3726</v>
      </c>
      <c r="D4166" s="709" t="s">
        <v>159</v>
      </c>
      <c r="E4166" s="716">
        <v>140.97999999999999</v>
      </c>
      <c r="F4166" s="717">
        <v>9.9299999999999999E-2</v>
      </c>
      <c r="G4166">
        <f>VLOOKUP(B4166,'SINAPI-%MO'!B:E,4,0)</f>
        <v>0.1734</v>
      </c>
      <c r="H4166" s="225">
        <f t="shared" si="64"/>
        <v>116.53</v>
      </c>
    </row>
    <row r="4167" spans="1:8" x14ac:dyDescent="0.3">
      <c r="A4167" s="400"/>
      <c r="B4167" s="709">
        <v>105085</v>
      </c>
      <c r="C4167" s="710" t="s">
        <v>3727</v>
      </c>
      <c r="D4167" s="709" t="s">
        <v>159</v>
      </c>
      <c r="E4167" s="716">
        <v>97.95</v>
      </c>
      <c r="F4167" s="717">
        <v>0.1429</v>
      </c>
      <c r="G4167">
        <f>VLOOKUP(B4167,'SINAPI-%MO'!B:E,4,0)</f>
        <v>0.23449999999999999</v>
      </c>
      <c r="H4167" s="225">
        <f t="shared" si="64"/>
        <v>74.98</v>
      </c>
    </row>
    <row r="4168" spans="1:8" x14ac:dyDescent="0.3">
      <c r="A4168" s="400"/>
      <c r="B4168" s="709">
        <v>105093</v>
      </c>
      <c r="C4168" s="710" t="s">
        <v>3728</v>
      </c>
      <c r="D4168" s="709" t="s">
        <v>159</v>
      </c>
      <c r="E4168" s="716">
        <v>143.19999999999999</v>
      </c>
      <c r="F4168" s="717">
        <v>9.7799999999999998E-2</v>
      </c>
      <c r="G4168">
        <f>VLOOKUP(B4168,'SINAPI-%MO'!B:E,4,0)</f>
        <v>0.1862</v>
      </c>
      <c r="H4168" s="225">
        <f t="shared" si="64"/>
        <v>116.53</v>
      </c>
    </row>
    <row r="4169" spans="1:8" x14ac:dyDescent="0.3">
      <c r="A4169" s="400"/>
      <c r="B4169" s="709">
        <v>105041</v>
      </c>
      <c r="C4169" s="710" t="s">
        <v>3729</v>
      </c>
      <c r="D4169" s="709" t="s">
        <v>159</v>
      </c>
      <c r="E4169" s="716">
        <v>50.24</v>
      </c>
      <c r="F4169" s="717">
        <v>0.2787</v>
      </c>
      <c r="G4169">
        <f>VLOOKUP(B4169,'SINAPI-%MO'!B:E,4,0)</f>
        <v>0.42159999999999997</v>
      </c>
      <c r="H4169" s="225">
        <f t="shared" si="64"/>
        <v>29.05</v>
      </c>
    </row>
    <row r="4170" spans="1:8" x14ac:dyDescent="0.3">
      <c r="A4170" s="400"/>
      <c r="B4170" s="709">
        <v>105045</v>
      </c>
      <c r="C4170" s="710" t="s">
        <v>3730</v>
      </c>
      <c r="D4170" s="709" t="s">
        <v>159</v>
      </c>
      <c r="E4170" s="716">
        <v>57.12</v>
      </c>
      <c r="F4170" s="717">
        <v>0.24510000000000001</v>
      </c>
      <c r="G4170">
        <f>VLOOKUP(B4170,'SINAPI-%MO'!B:E,4,0)</f>
        <v>0.39300000000000002</v>
      </c>
      <c r="H4170" s="225">
        <f t="shared" si="64"/>
        <v>34.67</v>
      </c>
    </row>
    <row r="4171" spans="1:8" x14ac:dyDescent="0.3">
      <c r="A4171" s="400"/>
      <c r="B4171" s="709">
        <v>93961</v>
      </c>
      <c r="C4171" s="710" t="s">
        <v>3731</v>
      </c>
      <c r="D4171" s="709" t="s">
        <v>159</v>
      </c>
      <c r="E4171" s="716">
        <v>245.17</v>
      </c>
      <c r="F4171" s="717">
        <v>8.0000000000000002E-3</v>
      </c>
      <c r="G4171">
        <f>VLOOKUP(B4171,'SINAPI-%MO'!B:E,4,0)</f>
        <v>0.63939999999999997</v>
      </c>
      <c r="H4171" s="225">
        <f t="shared" ref="H4171:H4234" si="65">IF(E4171&gt;0,TRUNC(E4171*(1-G4171),2),"")</f>
        <v>88.4</v>
      </c>
    </row>
    <row r="4172" spans="1:8" x14ac:dyDescent="0.3">
      <c r="A4172" s="400"/>
      <c r="B4172" s="709">
        <v>93971</v>
      </c>
      <c r="C4172" s="710" t="s">
        <v>3732</v>
      </c>
      <c r="D4172" s="709" t="s">
        <v>159</v>
      </c>
      <c r="E4172" s="716">
        <v>204.98</v>
      </c>
      <c r="F4172" s="717">
        <v>8.0000000000000002E-3</v>
      </c>
      <c r="G4172">
        <f>VLOOKUP(B4172,'SINAPI-%MO'!B:E,4,0)</f>
        <v>0.61419999999999997</v>
      </c>
      <c r="H4172" s="225">
        <f t="shared" si="65"/>
        <v>79.08</v>
      </c>
    </row>
    <row r="4173" spans="1:8" x14ac:dyDescent="0.3">
      <c r="A4173" s="400"/>
      <c r="B4173" s="709">
        <v>93959</v>
      </c>
      <c r="C4173" s="710" t="s">
        <v>3733</v>
      </c>
      <c r="D4173" s="709" t="s">
        <v>159</v>
      </c>
      <c r="E4173" s="716">
        <v>273.07</v>
      </c>
      <c r="F4173" s="717">
        <v>8.8999999999999999E-3</v>
      </c>
      <c r="G4173">
        <f>VLOOKUP(B4173,'SINAPI-%MO'!B:E,4,0)</f>
        <v>0.64700000000000002</v>
      </c>
      <c r="H4173" s="225">
        <f t="shared" si="65"/>
        <v>96.39</v>
      </c>
    </row>
    <row r="4174" spans="1:8" x14ac:dyDescent="0.3">
      <c r="A4174" s="400"/>
      <c r="B4174" s="709">
        <v>93969</v>
      </c>
      <c r="C4174" s="710" t="s">
        <v>3734</v>
      </c>
      <c r="D4174" s="709" t="s">
        <v>159</v>
      </c>
      <c r="E4174" s="716">
        <v>227.43</v>
      </c>
      <c r="F4174" s="717">
        <v>8.6E-3</v>
      </c>
      <c r="G4174">
        <f>VLOOKUP(B4174,'SINAPI-%MO'!B:E,4,0)</f>
        <v>0.62490000000000001</v>
      </c>
      <c r="H4174" s="225">
        <f t="shared" si="65"/>
        <v>85.3</v>
      </c>
    </row>
    <row r="4175" spans="1:8" x14ac:dyDescent="0.3">
      <c r="A4175" s="400"/>
      <c r="B4175" s="709">
        <v>93957</v>
      </c>
      <c r="C4175" s="710" t="s">
        <v>3735</v>
      </c>
      <c r="D4175" s="709" t="s">
        <v>159</v>
      </c>
      <c r="E4175" s="716">
        <v>339.32</v>
      </c>
      <c r="F4175" s="717">
        <v>0.01</v>
      </c>
      <c r="G4175">
        <f>VLOOKUP(B4175,'SINAPI-%MO'!B:E,4,0)</f>
        <v>0.66220000000000001</v>
      </c>
      <c r="H4175" s="225">
        <f t="shared" si="65"/>
        <v>114.62</v>
      </c>
    </row>
    <row r="4176" spans="1:8" x14ac:dyDescent="0.3">
      <c r="A4176" s="400"/>
      <c r="B4176" s="709">
        <v>93967</v>
      </c>
      <c r="C4176" s="710" t="s">
        <v>3736</v>
      </c>
      <c r="D4176" s="709" t="s">
        <v>159</v>
      </c>
      <c r="E4176" s="716">
        <v>282.55</v>
      </c>
      <c r="F4176" s="717">
        <v>9.1000000000000004E-3</v>
      </c>
      <c r="G4176">
        <f>VLOOKUP(B4176,'SINAPI-%MO'!B:E,4,0)</f>
        <v>0.64629999999999999</v>
      </c>
      <c r="H4176" s="225">
        <f t="shared" si="65"/>
        <v>99.93</v>
      </c>
    </row>
    <row r="4177" spans="1:8" x14ac:dyDescent="0.3">
      <c r="A4177" s="400"/>
      <c r="B4177" s="709">
        <v>104878</v>
      </c>
      <c r="C4177" s="710" t="s">
        <v>3737</v>
      </c>
      <c r="D4177" s="709" t="s">
        <v>136</v>
      </c>
      <c r="E4177" s="716">
        <v>2564.3200000000002</v>
      </c>
      <c r="F4177" s="717">
        <v>0</v>
      </c>
      <c r="G4177">
        <f>VLOOKUP(B4177,'SINAPI-%MO'!B:E,4,0)</f>
        <v>4.9599999999999998E-2</v>
      </c>
      <c r="H4177" s="225">
        <f t="shared" si="65"/>
        <v>2437.12</v>
      </c>
    </row>
    <row r="4178" spans="1:8" x14ac:dyDescent="0.3">
      <c r="A4178" s="400"/>
      <c r="B4178" s="709">
        <v>104877</v>
      </c>
      <c r="C4178" s="710" t="s">
        <v>3738</v>
      </c>
      <c r="D4178" s="709" t="s">
        <v>136</v>
      </c>
      <c r="E4178" s="716">
        <v>707</v>
      </c>
      <c r="F4178" s="717">
        <v>0</v>
      </c>
      <c r="G4178">
        <f>VLOOKUP(B4178,'SINAPI-%MO'!B:E,4,0)</f>
        <v>0.1799</v>
      </c>
      <c r="H4178" s="225">
        <f t="shared" si="65"/>
        <v>579.80999999999995</v>
      </c>
    </row>
    <row r="4179" spans="1:8" x14ac:dyDescent="0.3">
      <c r="A4179" s="400"/>
      <c r="B4179" s="709">
        <v>104841</v>
      </c>
      <c r="C4179" s="710" t="s">
        <v>3739</v>
      </c>
      <c r="D4179" s="709" t="s">
        <v>159</v>
      </c>
      <c r="E4179" s="716">
        <v>97.98</v>
      </c>
      <c r="F4179" s="717">
        <v>1.44E-2</v>
      </c>
      <c r="G4179">
        <f>VLOOKUP(B4179,'SINAPI-%MO'!B:E,4,0)</f>
        <v>0.3387</v>
      </c>
      <c r="H4179" s="225">
        <f t="shared" si="65"/>
        <v>64.790000000000006</v>
      </c>
    </row>
    <row r="4180" spans="1:8" x14ac:dyDescent="0.3">
      <c r="A4180" s="400"/>
      <c r="B4180" s="709">
        <v>104849</v>
      </c>
      <c r="C4180" s="710" t="s">
        <v>3740</v>
      </c>
      <c r="D4180" s="709" t="s">
        <v>159</v>
      </c>
      <c r="E4180" s="716">
        <v>68.8</v>
      </c>
      <c r="F4180" s="717">
        <v>1.66E-2</v>
      </c>
      <c r="G4180">
        <f>VLOOKUP(B4180,'SINAPI-%MO'!B:E,4,0)</f>
        <v>0.33329999999999999</v>
      </c>
      <c r="H4180" s="225">
        <f t="shared" si="65"/>
        <v>45.86</v>
      </c>
    </row>
    <row r="4181" spans="1:8" x14ac:dyDescent="0.3">
      <c r="A4181" s="400"/>
      <c r="B4181" s="709">
        <v>104887</v>
      </c>
      <c r="C4181" s="710" t="s">
        <v>3741</v>
      </c>
      <c r="D4181" s="709" t="s">
        <v>159</v>
      </c>
      <c r="E4181" s="716">
        <v>51.57</v>
      </c>
      <c r="F4181" s="717">
        <v>1.0699999999999999E-2</v>
      </c>
      <c r="G4181">
        <f>VLOOKUP(B4181,'SINAPI-%MO'!B:E,4,0)</f>
        <v>0.25209999999999999</v>
      </c>
      <c r="H4181" s="225">
        <f t="shared" si="65"/>
        <v>38.56</v>
      </c>
    </row>
    <row r="4182" spans="1:8" x14ac:dyDescent="0.3">
      <c r="A4182" s="400"/>
      <c r="B4182" s="709">
        <v>104844</v>
      </c>
      <c r="C4182" s="710" t="s">
        <v>3742</v>
      </c>
      <c r="D4182" s="709" t="s">
        <v>159</v>
      </c>
      <c r="E4182" s="716">
        <v>108.26</v>
      </c>
      <c r="F4182" s="717">
        <v>1.4800000000000001E-2</v>
      </c>
      <c r="G4182">
        <f>VLOOKUP(B4182,'SINAPI-%MO'!B:E,4,0)</f>
        <v>0.34770000000000001</v>
      </c>
      <c r="H4182" s="225">
        <f t="shared" si="65"/>
        <v>70.61</v>
      </c>
    </row>
    <row r="4183" spans="1:8" x14ac:dyDescent="0.3">
      <c r="A4183" s="400"/>
      <c r="B4183" s="709">
        <v>104852</v>
      </c>
      <c r="C4183" s="710" t="s">
        <v>3743</v>
      </c>
      <c r="D4183" s="709" t="s">
        <v>159</v>
      </c>
      <c r="E4183" s="716">
        <v>75.94</v>
      </c>
      <c r="F4183" s="717">
        <v>1.7299999999999999E-2</v>
      </c>
      <c r="G4183">
        <f>VLOOKUP(B4183,'SINAPI-%MO'!B:E,4,0)</f>
        <v>0.34739999999999999</v>
      </c>
      <c r="H4183" s="225">
        <f t="shared" si="65"/>
        <v>49.55</v>
      </c>
    </row>
    <row r="4184" spans="1:8" x14ac:dyDescent="0.3">
      <c r="A4184" s="400"/>
      <c r="B4184" s="709">
        <v>104846</v>
      </c>
      <c r="C4184" s="710" t="s">
        <v>3744</v>
      </c>
      <c r="D4184" s="709" t="s">
        <v>159</v>
      </c>
      <c r="E4184" s="716">
        <v>123.56</v>
      </c>
      <c r="F4184" s="717">
        <v>1.5299999999999999E-2</v>
      </c>
      <c r="G4184">
        <f>VLOOKUP(B4184,'SINAPI-%MO'!B:E,4,0)</f>
        <v>0.35830000000000001</v>
      </c>
      <c r="H4184" s="225">
        <f t="shared" si="65"/>
        <v>79.28</v>
      </c>
    </row>
    <row r="4185" spans="1:8" x14ac:dyDescent="0.3">
      <c r="A4185" s="400"/>
      <c r="B4185" s="709">
        <v>104854</v>
      </c>
      <c r="C4185" s="710" t="s">
        <v>3745</v>
      </c>
      <c r="D4185" s="709" t="s">
        <v>159</v>
      </c>
      <c r="E4185" s="716">
        <v>86.59</v>
      </c>
      <c r="F4185" s="717">
        <v>1.7999999999999999E-2</v>
      </c>
      <c r="G4185">
        <f>VLOOKUP(B4185,'SINAPI-%MO'!B:E,4,0)</f>
        <v>0.36409999999999998</v>
      </c>
      <c r="H4185" s="225">
        <f t="shared" si="65"/>
        <v>55.06</v>
      </c>
    </row>
    <row r="4186" spans="1:8" x14ac:dyDescent="0.3">
      <c r="A4186" s="400"/>
      <c r="B4186" s="709">
        <v>104890</v>
      </c>
      <c r="C4186" s="710" t="s">
        <v>3746</v>
      </c>
      <c r="D4186" s="709" t="s">
        <v>159</v>
      </c>
      <c r="E4186" s="716">
        <v>59.3</v>
      </c>
      <c r="F4186" s="717">
        <v>1.15E-2</v>
      </c>
      <c r="G4186">
        <f>VLOOKUP(B4186,'SINAPI-%MO'!B:E,4,0)</f>
        <v>0.2752</v>
      </c>
      <c r="H4186" s="225">
        <f t="shared" si="65"/>
        <v>42.98</v>
      </c>
    </row>
    <row r="4187" spans="1:8" x14ac:dyDescent="0.3">
      <c r="A4187" s="400"/>
      <c r="B4187" s="709">
        <v>104842</v>
      </c>
      <c r="C4187" s="710" t="s">
        <v>3747</v>
      </c>
      <c r="D4187" s="709" t="s">
        <v>159</v>
      </c>
      <c r="E4187" s="716">
        <v>83.56</v>
      </c>
      <c r="F4187" s="717">
        <v>1.38E-2</v>
      </c>
      <c r="G4187">
        <f>VLOOKUP(B4187,'SINAPI-%MO'!B:E,4,0)</f>
        <v>0.32179999999999997</v>
      </c>
      <c r="H4187" s="225">
        <f t="shared" si="65"/>
        <v>56.67</v>
      </c>
    </row>
    <row r="4188" spans="1:8" x14ac:dyDescent="0.3">
      <c r="A4188" s="400"/>
      <c r="B4188" s="709">
        <v>104850</v>
      </c>
      <c r="C4188" s="710" t="s">
        <v>3748</v>
      </c>
      <c r="D4188" s="709" t="s">
        <v>159</v>
      </c>
      <c r="E4188" s="716">
        <v>61.05</v>
      </c>
      <c r="F4188" s="717">
        <v>1.5599999999999999E-2</v>
      </c>
      <c r="G4188">
        <f>VLOOKUP(B4188,'SINAPI-%MO'!B:E,4,0)</f>
        <v>0.31369999999999998</v>
      </c>
      <c r="H4188" s="225">
        <f t="shared" si="65"/>
        <v>41.89</v>
      </c>
    </row>
    <row r="4189" spans="1:8" x14ac:dyDescent="0.3">
      <c r="A4189" s="400"/>
      <c r="B4189" s="709">
        <v>104888</v>
      </c>
      <c r="C4189" s="710" t="s">
        <v>3749</v>
      </c>
      <c r="D4189" s="709" t="s">
        <v>159</v>
      </c>
      <c r="E4189" s="716">
        <v>46.74</v>
      </c>
      <c r="F4189" s="717">
        <v>9.5999999999999992E-3</v>
      </c>
      <c r="G4189">
        <f>VLOOKUP(B4189,'SINAPI-%MO'!B:E,4,0)</f>
        <v>0.23300000000000001</v>
      </c>
      <c r="H4189" s="225">
        <f t="shared" si="65"/>
        <v>35.840000000000003</v>
      </c>
    </row>
    <row r="4190" spans="1:8" x14ac:dyDescent="0.3">
      <c r="A4190" s="400"/>
      <c r="B4190" s="709">
        <v>104879</v>
      </c>
      <c r="C4190" s="710" t="s">
        <v>3750</v>
      </c>
      <c r="D4190" s="709" t="s">
        <v>159</v>
      </c>
      <c r="E4190" s="716">
        <v>92.16</v>
      </c>
      <c r="F4190" s="717">
        <v>1.41E-2</v>
      </c>
      <c r="G4190">
        <f>VLOOKUP(B4190,'SINAPI-%MO'!B:E,4,0)</f>
        <v>0.3322</v>
      </c>
      <c r="H4190" s="225">
        <f t="shared" si="65"/>
        <v>61.54</v>
      </c>
    </row>
    <row r="4191" spans="1:8" x14ac:dyDescent="0.3">
      <c r="A4191" s="400"/>
      <c r="B4191" s="709">
        <v>104853</v>
      </c>
      <c r="C4191" s="710" t="s">
        <v>3751</v>
      </c>
      <c r="D4191" s="709" t="s">
        <v>159</v>
      </c>
      <c r="E4191" s="716">
        <v>67.040000000000006</v>
      </c>
      <c r="F4191" s="717">
        <v>1.6299999999999999E-2</v>
      </c>
      <c r="G4191">
        <f>VLOOKUP(B4191,'SINAPI-%MO'!B:E,4,0)</f>
        <v>0.32890000000000003</v>
      </c>
      <c r="H4191" s="225">
        <f t="shared" si="65"/>
        <v>44.99</v>
      </c>
    </row>
    <row r="4192" spans="1:8" x14ac:dyDescent="0.3">
      <c r="A4192" s="400"/>
      <c r="B4192" s="709">
        <v>104847</v>
      </c>
      <c r="C4192" s="710" t="s">
        <v>3752</v>
      </c>
      <c r="D4192" s="709" t="s">
        <v>159</v>
      </c>
      <c r="E4192" s="716">
        <v>104.87</v>
      </c>
      <c r="F4192" s="717">
        <v>1.46E-2</v>
      </c>
      <c r="G4192">
        <f>VLOOKUP(B4192,'SINAPI-%MO'!B:E,4,0)</f>
        <v>0.34429999999999999</v>
      </c>
      <c r="H4192" s="225">
        <f t="shared" si="65"/>
        <v>68.760000000000005</v>
      </c>
    </row>
    <row r="4193" spans="1:8" x14ac:dyDescent="0.3">
      <c r="A4193" s="400"/>
      <c r="B4193" s="709">
        <v>104855</v>
      </c>
      <c r="C4193" s="710" t="s">
        <v>3753</v>
      </c>
      <c r="D4193" s="709" t="s">
        <v>159</v>
      </c>
      <c r="E4193" s="716">
        <v>75.88</v>
      </c>
      <c r="F4193" s="717">
        <v>1.7100000000000001E-2</v>
      </c>
      <c r="G4193">
        <f>VLOOKUP(B4193,'SINAPI-%MO'!B:E,4,0)</f>
        <v>0.34670000000000001</v>
      </c>
      <c r="H4193" s="225">
        <f t="shared" si="65"/>
        <v>49.57</v>
      </c>
    </row>
    <row r="4194" spans="1:8" x14ac:dyDescent="0.3">
      <c r="A4194" s="400"/>
      <c r="B4194" s="709">
        <v>104891</v>
      </c>
      <c r="C4194" s="710" t="s">
        <v>3754</v>
      </c>
      <c r="D4194" s="709" t="s">
        <v>159</v>
      </c>
      <c r="E4194" s="716">
        <v>53.22</v>
      </c>
      <c r="F4194" s="717">
        <v>1.0699999999999999E-2</v>
      </c>
      <c r="G4194">
        <f>VLOOKUP(B4194,'SINAPI-%MO'!B:E,4,0)</f>
        <v>0.25669999999999998</v>
      </c>
      <c r="H4194" s="225">
        <f t="shared" si="65"/>
        <v>39.549999999999997</v>
      </c>
    </row>
    <row r="4195" spans="1:8" x14ac:dyDescent="0.3">
      <c r="A4195" s="400"/>
      <c r="B4195" s="709">
        <v>104892</v>
      </c>
      <c r="C4195" s="710" t="s">
        <v>3755</v>
      </c>
      <c r="D4195" s="709" t="s">
        <v>159</v>
      </c>
      <c r="E4195" s="716">
        <v>122.06</v>
      </c>
      <c r="F4195" s="717">
        <v>1.52E-2</v>
      </c>
      <c r="G4195">
        <f>VLOOKUP(B4195,'SINAPI-%MO'!B:E,4,0)</f>
        <v>0.3579</v>
      </c>
      <c r="H4195" s="225">
        <f t="shared" si="65"/>
        <v>78.37</v>
      </c>
    </row>
    <row r="4196" spans="1:8" x14ac:dyDescent="0.3">
      <c r="A4196" s="400"/>
      <c r="B4196" s="709">
        <v>104848</v>
      </c>
      <c r="C4196" s="710" t="s">
        <v>3756</v>
      </c>
      <c r="D4196" s="709" t="s">
        <v>159</v>
      </c>
      <c r="E4196" s="716">
        <v>80.36</v>
      </c>
      <c r="F4196" s="717">
        <v>1.77E-2</v>
      </c>
      <c r="G4196">
        <f>VLOOKUP(B4196,'SINAPI-%MO'!B:E,4,0)</f>
        <v>0.35580000000000001</v>
      </c>
      <c r="H4196" s="225">
        <f t="shared" si="65"/>
        <v>51.76</v>
      </c>
    </row>
    <row r="4197" spans="1:8" x14ac:dyDescent="0.3">
      <c r="A4197" s="400"/>
      <c r="B4197" s="709">
        <v>104886</v>
      </c>
      <c r="C4197" s="710" t="s">
        <v>3757</v>
      </c>
      <c r="D4197" s="709" t="s">
        <v>159</v>
      </c>
      <c r="E4197" s="716">
        <v>58.77</v>
      </c>
      <c r="F4197" s="717">
        <v>1.1599999999999999E-2</v>
      </c>
      <c r="G4197">
        <f>VLOOKUP(B4197,'SINAPI-%MO'!B:E,4,0)</f>
        <v>0.27460000000000001</v>
      </c>
      <c r="H4197" s="225">
        <f t="shared" si="65"/>
        <v>42.63</v>
      </c>
    </row>
    <row r="4198" spans="1:8" x14ac:dyDescent="0.3">
      <c r="A4198" s="400"/>
      <c r="B4198" s="709">
        <v>104843</v>
      </c>
      <c r="C4198" s="710" t="s">
        <v>3758</v>
      </c>
      <c r="D4198" s="709" t="s">
        <v>159</v>
      </c>
      <c r="E4198" s="716">
        <v>134.91</v>
      </c>
      <c r="F4198" s="717">
        <v>1.5599999999999999E-2</v>
      </c>
      <c r="G4198">
        <f>VLOOKUP(B4198,'SINAPI-%MO'!B:E,4,0)</f>
        <v>0.36499999999999999</v>
      </c>
      <c r="H4198" s="225">
        <f t="shared" si="65"/>
        <v>85.66</v>
      </c>
    </row>
    <row r="4199" spans="1:8" x14ac:dyDescent="0.3">
      <c r="A4199" s="400"/>
      <c r="B4199" s="709">
        <v>104851</v>
      </c>
      <c r="C4199" s="710" t="s">
        <v>3759</v>
      </c>
      <c r="D4199" s="709" t="s">
        <v>159</v>
      </c>
      <c r="E4199" s="716">
        <v>89.3</v>
      </c>
      <c r="F4199" s="717">
        <v>1.83E-2</v>
      </c>
      <c r="G4199">
        <f>VLOOKUP(B4199,'SINAPI-%MO'!B:E,4,0)</f>
        <v>0.36849999999999999</v>
      </c>
      <c r="H4199" s="225">
        <f t="shared" si="65"/>
        <v>56.39</v>
      </c>
    </row>
    <row r="4200" spans="1:8" x14ac:dyDescent="0.3">
      <c r="A4200" s="400"/>
      <c r="B4200" s="709">
        <v>104845</v>
      </c>
      <c r="C4200" s="710" t="s">
        <v>3760</v>
      </c>
      <c r="D4200" s="709" t="s">
        <v>159</v>
      </c>
      <c r="E4200" s="716">
        <v>153.94</v>
      </c>
      <c r="F4200" s="717">
        <v>1.5900000000000001E-2</v>
      </c>
      <c r="G4200">
        <f>VLOOKUP(B4200,'SINAPI-%MO'!B:E,4,0)</f>
        <v>0.37369999999999998</v>
      </c>
      <c r="H4200" s="225">
        <f t="shared" si="65"/>
        <v>96.41</v>
      </c>
    </row>
    <row r="4201" spans="1:8" x14ac:dyDescent="0.3">
      <c r="A4201" s="400"/>
      <c r="B4201" s="709">
        <v>104880</v>
      </c>
      <c r="C4201" s="710" t="s">
        <v>3761</v>
      </c>
      <c r="D4201" s="709" t="s">
        <v>159</v>
      </c>
      <c r="E4201" s="716">
        <v>102.55</v>
      </c>
      <c r="F4201" s="717">
        <v>1.9099999999999999E-2</v>
      </c>
      <c r="G4201">
        <f>VLOOKUP(B4201,'SINAPI-%MO'!B:E,4,0)</f>
        <v>0.38329999999999997</v>
      </c>
      <c r="H4201" s="225">
        <f t="shared" si="65"/>
        <v>63.24</v>
      </c>
    </row>
    <row r="4202" spans="1:8" x14ac:dyDescent="0.3">
      <c r="A4202" s="400"/>
      <c r="B4202" s="709">
        <v>104889</v>
      </c>
      <c r="C4202" s="710" t="s">
        <v>3762</v>
      </c>
      <c r="D4202" s="709" t="s">
        <v>159</v>
      </c>
      <c r="E4202" s="716">
        <v>68.36</v>
      </c>
      <c r="F4202" s="717">
        <v>1.26E-2</v>
      </c>
      <c r="G4202">
        <f>VLOOKUP(B4202,'SINAPI-%MO'!B:E,4,0)</f>
        <v>0.29670000000000002</v>
      </c>
      <c r="H4202" s="225">
        <f t="shared" si="65"/>
        <v>48.07</v>
      </c>
    </row>
    <row r="4203" spans="1:8" x14ac:dyDescent="0.3">
      <c r="A4203" s="400"/>
      <c r="B4203" s="709">
        <v>95108</v>
      </c>
      <c r="C4203" s="710" t="s">
        <v>3763</v>
      </c>
      <c r="D4203" s="709" t="s">
        <v>136</v>
      </c>
      <c r="E4203" s="716">
        <v>42.87</v>
      </c>
      <c r="F4203" s="717">
        <v>0</v>
      </c>
      <c r="G4203">
        <f>VLOOKUP(B4203,'SINAPI-%MO'!B:E,4,0)</f>
        <v>0.75160000000000005</v>
      </c>
      <c r="H4203" s="225">
        <f t="shared" si="65"/>
        <v>10.64</v>
      </c>
    </row>
    <row r="4204" spans="1:8" x14ac:dyDescent="0.3">
      <c r="A4204" s="400"/>
      <c r="B4204" s="709">
        <v>104857</v>
      </c>
      <c r="C4204" s="710" t="s">
        <v>3764</v>
      </c>
      <c r="D4204" s="709" t="s">
        <v>159</v>
      </c>
      <c r="E4204" s="716">
        <v>0</v>
      </c>
      <c r="F4204" s="717"/>
      <c r="G4204" t="e">
        <f>VLOOKUP(B4204,'SINAPI-%MO'!B:E,4,0)</f>
        <v>#N/A</v>
      </c>
      <c r="H4204" s="225" t="str">
        <f t="shared" si="65"/>
        <v/>
      </c>
    </row>
    <row r="4205" spans="1:8" x14ac:dyDescent="0.3">
      <c r="A4205" s="400"/>
      <c r="B4205" s="709">
        <v>104859</v>
      </c>
      <c r="C4205" s="710" t="s">
        <v>3765</v>
      </c>
      <c r="D4205" s="709" t="s">
        <v>159</v>
      </c>
      <c r="E4205" s="716">
        <v>0</v>
      </c>
      <c r="F4205" s="717"/>
      <c r="G4205" t="e">
        <f>VLOOKUP(B4205,'SINAPI-%MO'!B:E,4,0)</f>
        <v>#N/A</v>
      </c>
      <c r="H4205" s="225" t="str">
        <f t="shared" si="65"/>
        <v/>
      </c>
    </row>
    <row r="4206" spans="1:8" x14ac:dyDescent="0.3">
      <c r="A4206" s="400"/>
      <c r="B4206" s="709">
        <v>104861</v>
      </c>
      <c r="C4206" s="710" t="s">
        <v>3766</v>
      </c>
      <c r="D4206" s="709" t="s">
        <v>159</v>
      </c>
      <c r="E4206" s="716">
        <v>0</v>
      </c>
      <c r="F4206" s="717"/>
      <c r="G4206" t="e">
        <f>VLOOKUP(B4206,'SINAPI-%MO'!B:E,4,0)</f>
        <v>#N/A</v>
      </c>
      <c r="H4206" s="225" t="str">
        <f t="shared" si="65"/>
        <v/>
      </c>
    </row>
    <row r="4207" spans="1:8" x14ac:dyDescent="0.3">
      <c r="A4207" s="400"/>
      <c r="B4207" s="709">
        <v>104856</v>
      </c>
      <c r="C4207" s="710" t="s">
        <v>3767</v>
      </c>
      <c r="D4207" s="709" t="s">
        <v>159</v>
      </c>
      <c r="E4207" s="716">
        <v>0</v>
      </c>
      <c r="F4207" s="717"/>
      <c r="G4207" t="e">
        <f>VLOOKUP(B4207,'SINAPI-%MO'!B:E,4,0)</f>
        <v>#N/A</v>
      </c>
      <c r="H4207" s="225" t="str">
        <f t="shared" si="65"/>
        <v/>
      </c>
    </row>
    <row r="4208" spans="1:8" x14ac:dyDescent="0.3">
      <c r="A4208" s="400"/>
      <c r="B4208" s="709">
        <v>104858</v>
      </c>
      <c r="C4208" s="710" t="s">
        <v>3768</v>
      </c>
      <c r="D4208" s="709" t="s">
        <v>159</v>
      </c>
      <c r="E4208" s="716">
        <v>0</v>
      </c>
      <c r="F4208" s="717"/>
      <c r="G4208" t="e">
        <f>VLOOKUP(B4208,'SINAPI-%MO'!B:E,4,0)</f>
        <v>#N/A</v>
      </c>
      <c r="H4208" s="225" t="str">
        <f t="shared" si="65"/>
        <v/>
      </c>
    </row>
    <row r="4209" spans="1:8" x14ac:dyDescent="0.3">
      <c r="A4209" s="400"/>
      <c r="B4209" s="709">
        <v>104860</v>
      </c>
      <c r="C4209" s="710" t="s">
        <v>3769</v>
      </c>
      <c r="D4209" s="709" t="s">
        <v>159</v>
      </c>
      <c r="E4209" s="716">
        <v>0</v>
      </c>
      <c r="F4209" s="717"/>
      <c r="G4209" t="e">
        <f>VLOOKUP(B4209,'SINAPI-%MO'!B:E,4,0)</f>
        <v>#N/A</v>
      </c>
      <c r="H4209" s="225" t="str">
        <f t="shared" si="65"/>
        <v/>
      </c>
    </row>
    <row r="4210" spans="1:8" x14ac:dyDescent="0.3">
      <c r="A4210" s="400"/>
      <c r="B4210" s="709">
        <v>104871</v>
      </c>
      <c r="C4210" s="710" t="s">
        <v>3770</v>
      </c>
      <c r="D4210" s="709" t="s">
        <v>159</v>
      </c>
      <c r="E4210" s="716">
        <v>0</v>
      </c>
      <c r="F4210" s="717"/>
      <c r="G4210" t="e">
        <f>VLOOKUP(B4210,'SINAPI-%MO'!B:E,4,0)</f>
        <v>#N/A</v>
      </c>
      <c r="H4210" s="225" t="str">
        <f t="shared" si="65"/>
        <v/>
      </c>
    </row>
    <row r="4211" spans="1:8" x14ac:dyDescent="0.3">
      <c r="A4211" s="400"/>
      <c r="B4211" s="709">
        <v>104883</v>
      </c>
      <c r="C4211" s="710" t="s">
        <v>3771</v>
      </c>
      <c r="D4211" s="709" t="s">
        <v>159</v>
      </c>
      <c r="E4211" s="716">
        <v>0</v>
      </c>
      <c r="F4211" s="717"/>
      <c r="G4211" t="e">
        <f>VLOOKUP(B4211,'SINAPI-%MO'!B:E,4,0)</f>
        <v>#N/A</v>
      </c>
      <c r="H4211" s="225" t="str">
        <f t="shared" si="65"/>
        <v/>
      </c>
    </row>
    <row r="4212" spans="1:8" x14ac:dyDescent="0.3">
      <c r="A4212" s="400"/>
      <c r="B4212" s="709">
        <v>104865</v>
      </c>
      <c r="C4212" s="710" t="s">
        <v>3772</v>
      </c>
      <c r="D4212" s="709" t="s">
        <v>159</v>
      </c>
      <c r="E4212" s="716">
        <v>0</v>
      </c>
      <c r="F4212" s="717"/>
      <c r="G4212" t="e">
        <f>VLOOKUP(B4212,'SINAPI-%MO'!B:E,4,0)</f>
        <v>#N/A</v>
      </c>
      <c r="H4212" s="225" t="str">
        <f t="shared" si="65"/>
        <v/>
      </c>
    </row>
    <row r="4213" spans="1:8" x14ac:dyDescent="0.3">
      <c r="A4213" s="400"/>
      <c r="B4213" s="709">
        <v>104872</v>
      </c>
      <c r="C4213" s="710" t="s">
        <v>3773</v>
      </c>
      <c r="D4213" s="709" t="s">
        <v>159</v>
      </c>
      <c r="E4213" s="716">
        <v>0</v>
      </c>
      <c r="F4213" s="717"/>
      <c r="G4213" t="e">
        <f>VLOOKUP(B4213,'SINAPI-%MO'!B:E,4,0)</f>
        <v>#N/A</v>
      </c>
      <c r="H4213" s="225" t="str">
        <f t="shared" si="65"/>
        <v/>
      </c>
    </row>
    <row r="4214" spans="1:8" x14ac:dyDescent="0.3">
      <c r="A4214" s="400"/>
      <c r="B4214" s="709">
        <v>104884</v>
      </c>
      <c r="C4214" s="710" t="s">
        <v>3774</v>
      </c>
      <c r="D4214" s="709" t="s">
        <v>159</v>
      </c>
      <c r="E4214" s="716">
        <v>0</v>
      </c>
      <c r="F4214" s="717"/>
      <c r="G4214" t="e">
        <f>VLOOKUP(B4214,'SINAPI-%MO'!B:E,4,0)</f>
        <v>#N/A</v>
      </c>
      <c r="H4214" s="225" t="str">
        <f t="shared" si="65"/>
        <v/>
      </c>
    </row>
    <row r="4215" spans="1:8" x14ac:dyDescent="0.3">
      <c r="A4215" s="400"/>
      <c r="B4215" s="709">
        <v>104866</v>
      </c>
      <c r="C4215" s="710" t="s">
        <v>3775</v>
      </c>
      <c r="D4215" s="709" t="s">
        <v>159</v>
      </c>
      <c r="E4215" s="716">
        <v>0</v>
      </c>
      <c r="F4215" s="717"/>
      <c r="G4215" t="e">
        <f>VLOOKUP(B4215,'SINAPI-%MO'!B:E,4,0)</f>
        <v>#N/A</v>
      </c>
      <c r="H4215" s="225" t="str">
        <f t="shared" si="65"/>
        <v/>
      </c>
    </row>
    <row r="4216" spans="1:8" x14ac:dyDescent="0.3">
      <c r="A4216" s="400"/>
      <c r="B4216" s="709">
        <v>104873</v>
      </c>
      <c r="C4216" s="710" t="s">
        <v>3776</v>
      </c>
      <c r="D4216" s="709" t="s">
        <v>159</v>
      </c>
      <c r="E4216" s="716">
        <v>0</v>
      </c>
      <c r="F4216" s="717"/>
      <c r="G4216" t="e">
        <f>VLOOKUP(B4216,'SINAPI-%MO'!B:E,4,0)</f>
        <v>#N/A</v>
      </c>
      <c r="H4216" s="225" t="str">
        <f t="shared" si="65"/>
        <v/>
      </c>
    </row>
    <row r="4217" spans="1:8" x14ac:dyDescent="0.3">
      <c r="A4217" s="400"/>
      <c r="B4217" s="709">
        <v>104885</v>
      </c>
      <c r="C4217" s="710" t="s">
        <v>3777</v>
      </c>
      <c r="D4217" s="709" t="s">
        <v>159</v>
      </c>
      <c r="E4217" s="716">
        <v>0</v>
      </c>
      <c r="F4217" s="717"/>
      <c r="G4217" t="e">
        <f>VLOOKUP(B4217,'SINAPI-%MO'!B:E,4,0)</f>
        <v>#N/A</v>
      </c>
      <c r="H4217" s="225" t="str">
        <f t="shared" si="65"/>
        <v/>
      </c>
    </row>
    <row r="4218" spans="1:8" x14ac:dyDescent="0.3">
      <c r="A4218" s="400"/>
      <c r="B4218" s="709">
        <v>104867</v>
      </c>
      <c r="C4218" s="710" t="s">
        <v>3778</v>
      </c>
      <c r="D4218" s="709" t="s">
        <v>159</v>
      </c>
      <c r="E4218" s="716">
        <v>0</v>
      </c>
      <c r="F4218" s="717"/>
      <c r="G4218" t="e">
        <f>VLOOKUP(B4218,'SINAPI-%MO'!B:E,4,0)</f>
        <v>#N/A</v>
      </c>
      <c r="H4218" s="225" t="str">
        <f t="shared" si="65"/>
        <v/>
      </c>
    </row>
    <row r="4219" spans="1:8" x14ac:dyDescent="0.3">
      <c r="A4219" s="400"/>
      <c r="B4219" s="709">
        <v>104868</v>
      </c>
      <c r="C4219" s="710" t="s">
        <v>3779</v>
      </c>
      <c r="D4219" s="709" t="s">
        <v>159</v>
      </c>
      <c r="E4219" s="716">
        <v>0</v>
      </c>
      <c r="F4219" s="717"/>
      <c r="G4219" t="e">
        <f>VLOOKUP(B4219,'SINAPI-%MO'!B:E,4,0)</f>
        <v>#N/A</v>
      </c>
      <c r="H4219" s="225" t="str">
        <f t="shared" si="65"/>
        <v/>
      </c>
    </row>
    <row r="4220" spans="1:8" x14ac:dyDescent="0.3">
      <c r="A4220" s="400"/>
      <c r="B4220" s="709">
        <v>104874</v>
      </c>
      <c r="C4220" s="710" t="s">
        <v>3780</v>
      </c>
      <c r="D4220" s="709" t="s">
        <v>159</v>
      </c>
      <c r="E4220" s="716">
        <v>0</v>
      </c>
      <c r="F4220" s="717"/>
      <c r="G4220" t="e">
        <f>VLOOKUP(B4220,'SINAPI-%MO'!B:E,4,0)</f>
        <v>#N/A</v>
      </c>
      <c r="H4220" s="225" t="str">
        <f t="shared" si="65"/>
        <v/>
      </c>
    </row>
    <row r="4221" spans="1:8" x14ac:dyDescent="0.3">
      <c r="A4221" s="400"/>
      <c r="B4221" s="709">
        <v>104862</v>
      </c>
      <c r="C4221" s="710" t="s">
        <v>3781</v>
      </c>
      <c r="D4221" s="709" t="s">
        <v>159</v>
      </c>
      <c r="E4221" s="716">
        <v>0</v>
      </c>
      <c r="F4221" s="717"/>
      <c r="G4221" t="e">
        <f>VLOOKUP(B4221,'SINAPI-%MO'!B:E,4,0)</f>
        <v>#N/A</v>
      </c>
      <c r="H4221" s="225" t="str">
        <f t="shared" si="65"/>
        <v/>
      </c>
    </row>
    <row r="4222" spans="1:8" x14ac:dyDescent="0.3">
      <c r="A4222" s="400"/>
      <c r="B4222" s="709">
        <v>104869</v>
      </c>
      <c r="C4222" s="710" t="s">
        <v>3782</v>
      </c>
      <c r="D4222" s="709" t="s">
        <v>159</v>
      </c>
      <c r="E4222" s="716">
        <v>0</v>
      </c>
      <c r="F4222" s="717"/>
      <c r="G4222" t="e">
        <f>VLOOKUP(B4222,'SINAPI-%MO'!B:E,4,0)</f>
        <v>#N/A</v>
      </c>
      <c r="H4222" s="225" t="str">
        <f t="shared" si="65"/>
        <v/>
      </c>
    </row>
    <row r="4223" spans="1:8" x14ac:dyDescent="0.3">
      <c r="A4223" s="400"/>
      <c r="B4223" s="709">
        <v>104881</v>
      </c>
      <c r="C4223" s="710" t="s">
        <v>3783</v>
      </c>
      <c r="D4223" s="709" t="s">
        <v>159</v>
      </c>
      <c r="E4223" s="716">
        <v>0</v>
      </c>
      <c r="F4223" s="717"/>
      <c r="G4223" t="e">
        <f>VLOOKUP(B4223,'SINAPI-%MO'!B:E,4,0)</f>
        <v>#N/A</v>
      </c>
      <c r="H4223" s="225" t="str">
        <f t="shared" si="65"/>
        <v/>
      </c>
    </row>
    <row r="4224" spans="1:8" x14ac:dyDescent="0.3">
      <c r="A4224" s="400"/>
      <c r="B4224" s="709">
        <v>104863</v>
      </c>
      <c r="C4224" s="710" t="s">
        <v>3784</v>
      </c>
      <c r="D4224" s="709" t="s">
        <v>159</v>
      </c>
      <c r="E4224" s="716">
        <v>0</v>
      </c>
      <c r="F4224" s="717"/>
      <c r="G4224" t="e">
        <f>VLOOKUP(B4224,'SINAPI-%MO'!B:E,4,0)</f>
        <v>#N/A</v>
      </c>
      <c r="H4224" s="225" t="str">
        <f t="shared" si="65"/>
        <v/>
      </c>
    </row>
    <row r="4225" spans="1:8" x14ac:dyDescent="0.3">
      <c r="A4225" s="400"/>
      <c r="B4225" s="709">
        <v>104870</v>
      </c>
      <c r="C4225" s="710" t="s">
        <v>3785</v>
      </c>
      <c r="D4225" s="709" t="s">
        <v>159</v>
      </c>
      <c r="E4225" s="716">
        <v>0</v>
      </c>
      <c r="F4225" s="717"/>
      <c r="G4225" t="e">
        <f>VLOOKUP(B4225,'SINAPI-%MO'!B:E,4,0)</f>
        <v>#N/A</v>
      </c>
      <c r="H4225" s="225" t="str">
        <f t="shared" si="65"/>
        <v/>
      </c>
    </row>
    <row r="4226" spans="1:8" x14ac:dyDescent="0.3">
      <c r="A4226" s="400"/>
      <c r="B4226" s="709">
        <v>104882</v>
      </c>
      <c r="C4226" s="710" t="s">
        <v>3786</v>
      </c>
      <c r="D4226" s="709" t="s">
        <v>159</v>
      </c>
      <c r="E4226" s="716">
        <v>0</v>
      </c>
      <c r="F4226" s="717"/>
      <c r="G4226" t="e">
        <f>VLOOKUP(B4226,'SINAPI-%MO'!B:E,4,0)</f>
        <v>#N/A</v>
      </c>
      <c r="H4226" s="225" t="str">
        <f t="shared" si="65"/>
        <v/>
      </c>
    </row>
    <row r="4227" spans="1:8" x14ac:dyDescent="0.3">
      <c r="A4227" s="400"/>
      <c r="B4227" s="709">
        <v>104864</v>
      </c>
      <c r="C4227" s="710" t="s">
        <v>3787</v>
      </c>
      <c r="D4227" s="709" t="s">
        <v>159</v>
      </c>
      <c r="E4227" s="716">
        <v>0</v>
      </c>
      <c r="F4227" s="717"/>
      <c r="G4227" t="e">
        <f>VLOOKUP(B4227,'SINAPI-%MO'!B:E,4,0)</f>
        <v>#N/A</v>
      </c>
      <c r="H4227" s="225" t="str">
        <f t="shared" si="65"/>
        <v/>
      </c>
    </row>
    <row r="4228" spans="1:8" x14ac:dyDescent="0.3">
      <c r="A4228" s="400"/>
      <c r="B4228" s="709">
        <v>104876</v>
      </c>
      <c r="C4228" s="710" t="s">
        <v>3788</v>
      </c>
      <c r="D4228" s="709" t="s">
        <v>136</v>
      </c>
      <c r="E4228" s="716">
        <v>27.22</v>
      </c>
      <c r="F4228" s="717">
        <v>0</v>
      </c>
      <c r="G4228">
        <f>VLOOKUP(B4228,'SINAPI-%MO'!B:E,4,0)</f>
        <v>0.98709999999999998</v>
      </c>
      <c r="H4228" s="225">
        <f t="shared" si="65"/>
        <v>0.35</v>
      </c>
    </row>
    <row r="4229" spans="1:8" x14ac:dyDescent="0.3">
      <c r="A4229" s="400"/>
      <c r="B4229" s="709">
        <v>104875</v>
      </c>
      <c r="C4229" s="710" t="s">
        <v>3789</v>
      </c>
      <c r="D4229" s="709" t="s">
        <v>159</v>
      </c>
      <c r="E4229" s="716">
        <v>144.13</v>
      </c>
      <c r="F4229" s="717">
        <v>0</v>
      </c>
      <c r="G4229">
        <f>VLOOKUP(B4229,'SINAPI-%MO'!B:E,4,0)</f>
        <v>0.94850000000000001</v>
      </c>
      <c r="H4229" s="225">
        <f t="shared" si="65"/>
        <v>7.42</v>
      </c>
    </row>
    <row r="4230" spans="1:8" x14ac:dyDescent="0.3">
      <c r="A4230" s="400"/>
      <c r="B4230" s="709">
        <v>105942</v>
      </c>
      <c r="C4230" s="710" t="s">
        <v>3790</v>
      </c>
      <c r="D4230" s="709" t="s">
        <v>159</v>
      </c>
      <c r="E4230" s="716">
        <v>0</v>
      </c>
      <c r="F4230" s="717"/>
      <c r="G4230" t="e">
        <f>VLOOKUP(B4230,'SINAPI-%MO'!B:E,4,0)</f>
        <v>#N/A</v>
      </c>
      <c r="H4230" s="225" t="str">
        <f t="shared" si="65"/>
        <v/>
      </c>
    </row>
    <row r="4231" spans="1:8" x14ac:dyDescent="0.3">
      <c r="A4231" s="400"/>
      <c r="B4231" s="709">
        <v>105943</v>
      </c>
      <c r="C4231" s="710" t="s">
        <v>3791</v>
      </c>
      <c r="D4231" s="709" t="s">
        <v>159</v>
      </c>
      <c r="E4231" s="716">
        <v>0</v>
      </c>
      <c r="F4231" s="717"/>
      <c r="G4231" t="e">
        <f>VLOOKUP(B4231,'SINAPI-%MO'!B:E,4,0)</f>
        <v>#N/A</v>
      </c>
      <c r="H4231" s="225" t="str">
        <f t="shared" si="65"/>
        <v/>
      </c>
    </row>
    <row r="4232" spans="1:8" x14ac:dyDescent="0.3">
      <c r="A4232" s="400"/>
      <c r="B4232" s="709">
        <v>105941</v>
      </c>
      <c r="C4232" s="710" t="s">
        <v>3792</v>
      </c>
      <c r="D4232" s="709" t="s">
        <v>168</v>
      </c>
      <c r="E4232" s="716">
        <v>0</v>
      </c>
      <c r="F4232" s="717"/>
      <c r="G4232" t="e">
        <f>VLOOKUP(B4232,'SINAPI-%MO'!B:E,4,0)</f>
        <v>#N/A</v>
      </c>
      <c r="H4232" s="225" t="str">
        <f t="shared" si="65"/>
        <v/>
      </c>
    </row>
    <row r="4233" spans="1:8" x14ac:dyDescent="0.3">
      <c r="A4233" s="400"/>
      <c r="B4233" s="709">
        <v>105940</v>
      </c>
      <c r="C4233" s="710" t="s">
        <v>3793</v>
      </c>
      <c r="D4233" s="709" t="s">
        <v>168</v>
      </c>
      <c r="E4233" s="716">
        <v>0</v>
      </c>
      <c r="F4233" s="717"/>
      <c r="G4233" t="e">
        <f>VLOOKUP(B4233,'SINAPI-%MO'!B:E,4,0)</f>
        <v>#N/A</v>
      </c>
      <c r="H4233" s="225" t="str">
        <f t="shared" si="65"/>
        <v/>
      </c>
    </row>
    <row r="4234" spans="1:8" x14ac:dyDescent="0.3">
      <c r="A4234" s="400"/>
      <c r="B4234" s="709">
        <v>105938</v>
      </c>
      <c r="C4234" s="710" t="s">
        <v>3794</v>
      </c>
      <c r="D4234" s="709" t="s">
        <v>168</v>
      </c>
      <c r="E4234" s="716">
        <v>0</v>
      </c>
      <c r="F4234" s="717"/>
      <c r="G4234" t="e">
        <f>VLOOKUP(B4234,'SINAPI-%MO'!B:E,4,0)</f>
        <v>#N/A</v>
      </c>
      <c r="H4234" s="225" t="str">
        <f t="shared" si="65"/>
        <v/>
      </c>
    </row>
    <row r="4235" spans="1:8" x14ac:dyDescent="0.3">
      <c r="A4235" s="400"/>
      <c r="B4235" s="709">
        <v>105939</v>
      </c>
      <c r="C4235" s="710" t="s">
        <v>3795</v>
      </c>
      <c r="D4235" s="709" t="s">
        <v>168</v>
      </c>
      <c r="E4235" s="716">
        <v>0</v>
      </c>
      <c r="F4235" s="717"/>
      <c r="G4235" t="e">
        <f>VLOOKUP(B4235,'SINAPI-%MO'!B:E,4,0)</f>
        <v>#N/A</v>
      </c>
      <c r="H4235" s="225" t="str">
        <f t="shared" ref="H4235:H4298" si="66">IF(E4235&gt;0,TRUNC(E4235*(1-G4235),2),"")</f>
        <v/>
      </c>
    </row>
    <row r="4236" spans="1:8" x14ac:dyDescent="0.3">
      <c r="A4236" s="400"/>
      <c r="B4236" s="709">
        <v>96120</v>
      </c>
      <c r="C4236" s="710" t="s">
        <v>3796</v>
      </c>
      <c r="D4236" s="709" t="s">
        <v>159</v>
      </c>
      <c r="E4236" s="716">
        <v>3.57</v>
      </c>
      <c r="F4236" s="717">
        <v>0</v>
      </c>
      <c r="G4236">
        <f>VLOOKUP(B4236,'SINAPI-%MO'!B:E,4,0)</f>
        <v>0.57979999999999998</v>
      </c>
      <c r="H4236" s="225">
        <f t="shared" si="66"/>
        <v>1.5</v>
      </c>
    </row>
    <row r="4237" spans="1:8" x14ac:dyDescent="0.3">
      <c r="A4237" s="400"/>
      <c r="B4237" s="709">
        <v>96123</v>
      </c>
      <c r="C4237" s="710" t="s">
        <v>3797</v>
      </c>
      <c r="D4237" s="709" t="s">
        <v>159</v>
      </c>
      <c r="E4237" s="716">
        <v>31.7</v>
      </c>
      <c r="F4237" s="717">
        <v>5.5500000000000001E-2</v>
      </c>
      <c r="G4237">
        <f>VLOOKUP(B4237,'SINAPI-%MO'!B:E,4,0)</f>
        <v>0.37630000000000002</v>
      </c>
      <c r="H4237" s="225">
        <f t="shared" si="66"/>
        <v>19.77</v>
      </c>
    </row>
    <row r="4238" spans="1:8" x14ac:dyDescent="0.3">
      <c r="A4238" s="400"/>
      <c r="B4238" s="709">
        <v>96122</v>
      </c>
      <c r="C4238" s="710" t="s">
        <v>3798</v>
      </c>
      <c r="D4238" s="709" t="s">
        <v>159</v>
      </c>
      <c r="E4238" s="716">
        <v>46.85</v>
      </c>
      <c r="F4238" s="717">
        <v>0</v>
      </c>
      <c r="G4238">
        <f>VLOOKUP(B4238,'SINAPI-%MO'!B:E,4,0)</f>
        <v>0.31159999999999999</v>
      </c>
      <c r="H4238" s="225">
        <f t="shared" si="66"/>
        <v>32.25</v>
      </c>
    </row>
    <row r="4239" spans="1:8" x14ac:dyDescent="0.3">
      <c r="A4239" s="400"/>
      <c r="B4239" s="709">
        <v>96121</v>
      </c>
      <c r="C4239" s="710" t="s">
        <v>3799</v>
      </c>
      <c r="D4239" s="709" t="s">
        <v>159</v>
      </c>
      <c r="E4239" s="716">
        <v>14.28</v>
      </c>
      <c r="F4239" s="717">
        <v>0.10639999999999999</v>
      </c>
      <c r="G4239">
        <f>VLOOKUP(B4239,'SINAPI-%MO'!B:E,4,0)</f>
        <v>0.43070000000000003</v>
      </c>
      <c r="H4239" s="225">
        <f t="shared" si="66"/>
        <v>8.1199999999999992</v>
      </c>
    </row>
    <row r="4240" spans="1:8" x14ac:dyDescent="0.3">
      <c r="A4240" s="400"/>
      <c r="B4240" s="709">
        <v>99054</v>
      </c>
      <c r="C4240" s="710" t="s">
        <v>3800</v>
      </c>
      <c r="D4240" s="709" t="s">
        <v>168</v>
      </c>
      <c r="E4240" s="716">
        <v>68.67</v>
      </c>
      <c r="F4240" s="717">
        <v>1.06E-2</v>
      </c>
      <c r="G4240">
        <f>VLOOKUP(B4240,'SINAPI-%MO'!B:E,4,0)</f>
        <v>0.72899999999999998</v>
      </c>
      <c r="H4240" s="225">
        <f t="shared" si="66"/>
        <v>18.600000000000001</v>
      </c>
    </row>
    <row r="4241" spans="1:8" x14ac:dyDescent="0.3">
      <c r="A4241" s="400"/>
      <c r="B4241" s="709">
        <v>96110</v>
      </c>
      <c r="C4241" s="710" t="s">
        <v>3801</v>
      </c>
      <c r="D4241" s="709" t="s">
        <v>168</v>
      </c>
      <c r="E4241" s="716">
        <v>86.19</v>
      </c>
      <c r="F4241" s="717">
        <v>2.1000000000000001E-2</v>
      </c>
      <c r="G4241">
        <f>VLOOKUP(B4241,'SINAPI-%MO'!B:E,4,0)</f>
        <v>0.34770000000000001</v>
      </c>
      <c r="H4241" s="225">
        <f t="shared" si="66"/>
        <v>56.22</v>
      </c>
    </row>
    <row r="4242" spans="1:8" x14ac:dyDescent="0.3">
      <c r="A4242" s="400"/>
      <c r="B4242" s="709">
        <v>96114</v>
      </c>
      <c r="C4242" s="710" t="s">
        <v>3802</v>
      </c>
      <c r="D4242" s="709" t="s">
        <v>168</v>
      </c>
      <c r="E4242" s="716">
        <v>87.03</v>
      </c>
      <c r="F4242" s="717">
        <v>1.6400000000000001E-2</v>
      </c>
      <c r="G4242">
        <f>VLOOKUP(B4242,'SINAPI-%MO'!B:E,4,0)</f>
        <v>0.30209999999999998</v>
      </c>
      <c r="H4242" s="225">
        <f t="shared" si="66"/>
        <v>60.73</v>
      </c>
    </row>
    <row r="4243" spans="1:8" x14ac:dyDescent="0.3">
      <c r="A4243" s="400"/>
      <c r="B4243" s="709">
        <v>104757</v>
      </c>
      <c r="C4243" s="710" t="s">
        <v>13741</v>
      </c>
      <c r="D4243" s="709" t="s">
        <v>168</v>
      </c>
      <c r="E4243" s="716">
        <v>98.29</v>
      </c>
      <c r="F4243" s="717">
        <v>9.4999999999999998E-3</v>
      </c>
      <c r="G4243">
        <f>VLOOKUP(B4243,'SINAPI-%MO'!B:E,4,0)</f>
        <v>0.21260000000000001</v>
      </c>
      <c r="H4243" s="225">
        <f t="shared" si="66"/>
        <v>77.39</v>
      </c>
    </row>
    <row r="4244" spans="1:8" x14ac:dyDescent="0.3">
      <c r="A4244" s="400"/>
      <c r="B4244" s="709">
        <v>104756</v>
      </c>
      <c r="C4244" s="710" t="s">
        <v>3803</v>
      </c>
      <c r="D4244" s="709" t="s">
        <v>168</v>
      </c>
      <c r="E4244" s="716">
        <v>197.69</v>
      </c>
      <c r="F4244" s="717">
        <v>0</v>
      </c>
      <c r="G4244">
        <f>VLOOKUP(B4244,'SINAPI-%MO'!B:E,4,0)</f>
        <v>0.31030000000000002</v>
      </c>
      <c r="H4244" s="225">
        <f t="shared" si="66"/>
        <v>136.34</v>
      </c>
    </row>
    <row r="4245" spans="1:8" x14ac:dyDescent="0.3">
      <c r="A4245" s="400"/>
      <c r="B4245" s="709">
        <v>96112</v>
      </c>
      <c r="C4245" s="710" t="s">
        <v>3804</v>
      </c>
      <c r="D4245" s="709" t="s">
        <v>168</v>
      </c>
      <c r="E4245" s="716">
        <v>149.47999999999999</v>
      </c>
      <c r="F4245" s="717">
        <v>0</v>
      </c>
      <c r="G4245">
        <f>VLOOKUP(B4245,'SINAPI-%MO'!B:E,4,0)</f>
        <v>0.44350000000000001</v>
      </c>
      <c r="H4245" s="225">
        <f t="shared" si="66"/>
        <v>83.18</v>
      </c>
    </row>
    <row r="4246" spans="1:8" x14ac:dyDescent="0.3">
      <c r="A4246" s="400"/>
      <c r="B4246" s="709">
        <v>96113</v>
      </c>
      <c r="C4246" s="710" t="s">
        <v>3805</v>
      </c>
      <c r="D4246" s="709" t="s">
        <v>168</v>
      </c>
      <c r="E4246" s="716">
        <v>54.51</v>
      </c>
      <c r="F4246" s="717">
        <v>1.34E-2</v>
      </c>
      <c r="G4246">
        <f>VLOOKUP(B4246,'SINAPI-%MO'!B:E,4,0)</f>
        <v>0.65969999999999995</v>
      </c>
      <c r="H4246" s="225">
        <f t="shared" si="66"/>
        <v>18.54</v>
      </c>
    </row>
    <row r="4247" spans="1:8" x14ac:dyDescent="0.3">
      <c r="A4247" s="400"/>
      <c r="B4247" s="709">
        <v>96109</v>
      </c>
      <c r="C4247" s="710" t="s">
        <v>3806</v>
      </c>
      <c r="D4247" s="709" t="s">
        <v>168</v>
      </c>
      <c r="E4247" s="716">
        <v>60.25</v>
      </c>
      <c r="F4247" s="717">
        <v>1.21E-2</v>
      </c>
      <c r="G4247">
        <f>VLOOKUP(B4247,'SINAPI-%MO'!B:E,4,0)</f>
        <v>0.69210000000000005</v>
      </c>
      <c r="H4247" s="225">
        <f t="shared" si="66"/>
        <v>18.55</v>
      </c>
    </row>
    <row r="4248" spans="1:8" x14ac:dyDescent="0.3">
      <c r="A4248" s="400"/>
      <c r="B4248" s="709">
        <v>96116</v>
      </c>
      <c r="C4248" s="710" t="s">
        <v>3807</v>
      </c>
      <c r="D4248" s="709" t="s">
        <v>168</v>
      </c>
      <c r="E4248" s="716">
        <v>77.790000000000006</v>
      </c>
      <c r="F4248" s="717">
        <v>2.8799999999999999E-2</v>
      </c>
      <c r="G4248">
        <f>VLOOKUP(B4248,'SINAPI-%MO'!B:E,4,0)</f>
        <v>0.22459999999999999</v>
      </c>
      <c r="H4248" s="225">
        <f t="shared" si="66"/>
        <v>60.31</v>
      </c>
    </row>
    <row r="4249" spans="1:8" x14ac:dyDescent="0.3">
      <c r="A4249" s="400"/>
      <c r="B4249" s="709">
        <v>96111</v>
      </c>
      <c r="C4249" s="710" t="s">
        <v>3808</v>
      </c>
      <c r="D4249" s="709" t="s">
        <v>168</v>
      </c>
      <c r="E4249" s="716">
        <v>75.430000000000007</v>
      </c>
      <c r="F4249" s="717">
        <v>2.5999999999999999E-2</v>
      </c>
      <c r="G4249">
        <f>VLOOKUP(B4249,'SINAPI-%MO'!B:E,4,0)</f>
        <v>0.26900000000000002</v>
      </c>
      <c r="H4249" s="225">
        <f t="shared" si="66"/>
        <v>55.13</v>
      </c>
    </row>
    <row r="4250" spans="1:8" x14ac:dyDescent="0.3">
      <c r="A4250" s="400"/>
      <c r="B4250" s="709">
        <v>96486</v>
      </c>
      <c r="C4250" s="710" t="s">
        <v>3809</v>
      </c>
      <c r="D4250" s="709" t="s">
        <v>168</v>
      </c>
      <c r="E4250" s="716">
        <v>91.76</v>
      </c>
      <c r="F4250" s="717">
        <v>2.4400000000000002E-2</v>
      </c>
      <c r="G4250">
        <f>VLOOKUP(B4250,'SINAPI-%MO'!B:E,4,0)</f>
        <v>0.19040000000000001</v>
      </c>
      <c r="H4250" s="225">
        <f t="shared" si="66"/>
        <v>74.28</v>
      </c>
    </row>
    <row r="4251" spans="1:8" x14ac:dyDescent="0.3">
      <c r="A4251" s="400"/>
      <c r="B4251" s="709">
        <v>96485</v>
      </c>
      <c r="C4251" s="710" t="s">
        <v>3810</v>
      </c>
      <c r="D4251" s="709" t="s">
        <v>168</v>
      </c>
      <c r="E4251" s="716">
        <v>89.4</v>
      </c>
      <c r="F4251" s="717">
        <v>2.1899999999999999E-2</v>
      </c>
      <c r="G4251">
        <f>VLOOKUP(B4251,'SINAPI-%MO'!B:E,4,0)</f>
        <v>0.22700000000000001</v>
      </c>
      <c r="H4251" s="225">
        <f t="shared" si="66"/>
        <v>69.099999999999994</v>
      </c>
    </row>
    <row r="4252" spans="1:8" x14ac:dyDescent="0.3">
      <c r="A4252" s="400"/>
      <c r="B4252" s="709">
        <v>97557</v>
      </c>
      <c r="C4252" s="710" t="s">
        <v>3811</v>
      </c>
      <c r="D4252" s="709" t="s">
        <v>168</v>
      </c>
      <c r="E4252" s="716">
        <v>0</v>
      </c>
      <c r="F4252" s="717"/>
      <c r="G4252" t="e">
        <f>VLOOKUP(B4252,'SINAPI-%MO'!B:E,4,0)</f>
        <v>#N/A</v>
      </c>
      <c r="H4252" s="225" t="str">
        <f t="shared" si="66"/>
        <v/>
      </c>
    </row>
    <row r="4253" spans="1:8" x14ac:dyDescent="0.3">
      <c r="A4253" s="400"/>
      <c r="B4253" s="709">
        <v>101807</v>
      </c>
      <c r="C4253" s="710" t="s">
        <v>3812</v>
      </c>
      <c r="D4253" s="709" t="s">
        <v>136</v>
      </c>
      <c r="E4253" s="716">
        <v>582.86</v>
      </c>
      <c r="F4253" s="717">
        <v>0</v>
      </c>
      <c r="G4253">
        <f>VLOOKUP(B4253,'SINAPI-%MO'!B:E,4,0)</f>
        <v>0.59089999999999998</v>
      </c>
      <c r="H4253" s="225">
        <f t="shared" si="66"/>
        <v>238.44</v>
      </c>
    </row>
    <row r="4254" spans="1:8" x14ac:dyDescent="0.3">
      <c r="A4254" s="400"/>
      <c r="B4254" s="709">
        <v>101806</v>
      </c>
      <c r="C4254" s="710" t="s">
        <v>3813</v>
      </c>
      <c r="D4254" s="709" t="s">
        <v>136</v>
      </c>
      <c r="E4254" s="716">
        <v>615.24</v>
      </c>
      <c r="F4254" s="717">
        <v>0</v>
      </c>
      <c r="G4254">
        <f>VLOOKUP(B4254,'SINAPI-%MO'!B:E,4,0)</f>
        <v>0.61760000000000004</v>
      </c>
      <c r="H4254" s="225">
        <f t="shared" si="66"/>
        <v>235.26</v>
      </c>
    </row>
    <row r="4255" spans="1:8" x14ac:dyDescent="0.3">
      <c r="A4255" s="400"/>
      <c r="B4255" s="709">
        <v>101808</v>
      </c>
      <c r="C4255" s="710" t="s">
        <v>3814</v>
      </c>
      <c r="D4255" s="709" t="s">
        <v>136</v>
      </c>
      <c r="E4255" s="716">
        <v>639.07000000000005</v>
      </c>
      <c r="F4255" s="717">
        <v>0</v>
      </c>
      <c r="G4255">
        <f>VLOOKUP(B4255,'SINAPI-%MO'!B:E,4,0)</f>
        <v>0.13</v>
      </c>
      <c r="H4255" s="225">
        <f t="shared" si="66"/>
        <v>555.99</v>
      </c>
    </row>
    <row r="4256" spans="1:8" x14ac:dyDescent="0.3">
      <c r="A4256" s="400"/>
      <c r="B4256" s="709">
        <v>98058</v>
      </c>
      <c r="C4256" s="710" t="s">
        <v>3815</v>
      </c>
      <c r="D4256" s="709" t="s">
        <v>136</v>
      </c>
      <c r="E4256" s="716">
        <v>2021.27</v>
      </c>
      <c r="F4256" s="717">
        <v>0</v>
      </c>
      <c r="G4256">
        <f>VLOOKUP(B4256,'SINAPI-%MO'!B:E,4,0)</f>
        <v>0.1898</v>
      </c>
      <c r="H4256" s="225">
        <f t="shared" si="66"/>
        <v>1637.63</v>
      </c>
    </row>
    <row r="4257" spans="1:8" x14ac:dyDescent="0.3">
      <c r="A4257" s="400"/>
      <c r="B4257" s="709">
        <v>98059</v>
      </c>
      <c r="C4257" s="710" t="s">
        <v>3816</v>
      </c>
      <c r="D4257" s="709" t="s">
        <v>136</v>
      </c>
      <c r="E4257" s="716">
        <v>4342.51</v>
      </c>
      <c r="F4257" s="717">
        <v>0</v>
      </c>
      <c r="G4257">
        <f>VLOOKUP(B4257,'SINAPI-%MO'!B:E,4,0)</f>
        <v>0.1295</v>
      </c>
      <c r="H4257" s="225">
        <f t="shared" si="66"/>
        <v>3780.15</v>
      </c>
    </row>
    <row r="4258" spans="1:8" x14ac:dyDescent="0.3">
      <c r="A4258" s="400"/>
      <c r="B4258" s="709">
        <v>98060</v>
      </c>
      <c r="C4258" s="710" t="s">
        <v>3817</v>
      </c>
      <c r="D4258" s="709" t="s">
        <v>136</v>
      </c>
      <c r="E4258" s="716">
        <v>6043.01</v>
      </c>
      <c r="F4258" s="717">
        <v>0</v>
      </c>
      <c r="G4258">
        <f>VLOOKUP(B4258,'SINAPI-%MO'!B:E,4,0)</f>
        <v>0.13539999999999999</v>
      </c>
      <c r="H4258" s="225">
        <f t="shared" si="66"/>
        <v>5224.78</v>
      </c>
    </row>
    <row r="4259" spans="1:8" x14ac:dyDescent="0.3">
      <c r="A4259" s="400"/>
      <c r="B4259" s="709">
        <v>98061</v>
      </c>
      <c r="C4259" s="710" t="s">
        <v>3818</v>
      </c>
      <c r="D4259" s="709" t="s">
        <v>136</v>
      </c>
      <c r="E4259" s="716">
        <v>8423.99</v>
      </c>
      <c r="F4259" s="717">
        <v>0</v>
      </c>
      <c r="G4259">
        <f>VLOOKUP(B4259,'SINAPI-%MO'!B:E,4,0)</f>
        <v>0.13370000000000001</v>
      </c>
      <c r="H4259" s="225">
        <f t="shared" si="66"/>
        <v>7297.7</v>
      </c>
    </row>
    <row r="4260" spans="1:8" x14ac:dyDescent="0.3">
      <c r="A4260" s="400"/>
      <c r="B4260" s="709">
        <v>98088</v>
      </c>
      <c r="C4260" s="710" t="s">
        <v>3819</v>
      </c>
      <c r="D4260" s="709" t="s">
        <v>136</v>
      </c>
      <c r="E4260" s="716">
        <v>3661.79</v>
      </c>
      <c r="F4260" s="717">
        <v>0</v>
      </c>
      <c r="G4260">
        <f>VLOOKUP(B4260,'SINAPI-%MO'!B:E,4,0)</f>
        <v>0.46539999999999998</v>
      </c>
      <c r="H4260" s="225">
        <f t="shared" si="66"/>
        <v>1957.59</v>
      </c>
    </row>
    <row r="4261" spans="1:8" x14ac:dyDescent="0.3">
      <c r="A4261" s="400"/>
      <c r="B4261" s="709">
        <v>98089</v>
      </c>
      <c r="C4261" s="710" t="s">
        <v>3820</v>
      </c>
      <c r="D4261" s="709" t="s">
        <v>136</v>
      </c>
      <c r="E4261" s="716">
        <v>5759.42</v>
      </c>
      <c r="F4261" s="717">
        <v>0</v>
      </c>
      <c r="G4261">
        <f>VLOOKUP(B4261,'SINAPI-%MO'!B:E,4,0)</f>
        <v>0.47139999999999999</v>
      </c>
      <c r="H4261" s="225">
        <f t="shared" si="66"/>
        <v>3044.42</v>
      </c>
    </row>
    <row r="4262" spans="1:8" x14ac:dyDescent="0.3">
      <c r="A4262" s="400"/>
      <c r="B4262" s="709">
        <v>98090</v>
      </c>
      <c r="C4262" s="710" t="s">
        <v>3821</v>
      </c>
      <c r="D4262" s="709" t="s">
        <v>136</v>
      </c>
      <c r="E4262" s="716">
        <v>9006.67</v>
      </c>
      <c r="F4262" s="717">
        <v>0</v>
      </c>
      <c r="G4262">
        <f>VLOOKUP(B4262,'SINAPI-%MO'!B:E,4,0)</f>
        <v>0.47470000000000001</v>
      </c>
      <c r="H4262" s="225">
        <f t="shared" si="66"/>
        <v>4731.2</v>
      </c>
    </row>
    <row r="4263" spans="1:8" x14ac:dyDescent="0.3">
      <c r="A4263" s="400"/>
      <c r="B4263" s="709">
        <v>98091</v>
      </c>
      <c r="C4263" s="710" t="s">
        <v>3822</v>
      </c>
      <c r="D4263" s="709" t="s">
        <v>136</v>
      </c>
      <c r="E4263" s="716">
        <v>11744.42</v>
      </c>
      <c r="F4263" s="717">
        <v>0</v>
      </c>
      <c r="G4263">
        <f>VLOOKUP(B4263,'SINAPI-%MO'!B:E,4,0)</f>
        <v>0.47570000000000001</v>
      </c>
      <c r="H4263" s="225">
        <f t="shared" si="66"/>
        <v>6157.59</v>
      </c>
    </row>
    <row r="4264" spans="1:8" x14ac:dyDescent="0.3">
      <c r="A4264" s="400"/>
      <c r="B4264" s="709">
        <v>98092</v>
      </c>
      <c r="C4264" s="710" t="s">
        <v>3823</v>
      </c>
      <c r="D4264" s="709" t="s">
        <v>136</v>
      </c>
      <c r="E4264" s="716">
        <v>13614.46</v>
      </c>
      <c r="F4264" s="717">
        <v>0</v>
      </c>
      <c r="G4264">
        <f>VLOOKUP(B4264,'SINAPI-%MO'!B:E,4,0)</f>
        <v>0.47699999999999998</v>
      </c>
      <c r="H4264" s="225">
        <f t="shared" si="66"/>
        <v>7120.36</v>
      </c>
    </row>
    <row r="4265" spans="1:8" x14ac:dyDescent="0.3">
      <c r="A4265" s="400"/>
      <c r="B4265" s="709">
        <v>98093</v>
      </c>
      <c r="C4265" s="710" t="s">
        <v>3824</v>
      </c>
      <c r="D4265" s="709" t="s">
        <v>136</v>
      </c>
      <c r="E4265" s="716">
        <v>16056.25</v>
      </c>
      <c r="F4265" s="717">
        <v>0</v>
      </c>
      <c r="G4265">
        <f>VLOOKUP(B4265,'SINAPI-%MO'!B:E,4,0)</f>
        <v>0.47749999999999998</v>
      </c>
      <c r="H4265" s="225">
        <f t="shared" si="66"/>
        <v>8389.39</v>
      </c>
    </row>
    <row r="4266" spans="1:8" x14ac:dyDescent="0.3">
      <c r="A4266" s="400"/>
      <c r="B4266" s="709">
        <v>98072</v>
      </c>
      <c r="C4266" s="710" t="s">
        <v>3825</v>
      </c>
      <c r="D4266" s="709" t="s">
        <v>136</v>
      </c>
      <c r="E4266" s="716">
        <v>4282.33</v>
      </c>
      <c r="F4266" s="717">
        <v>0</v>
      </c>
      <c r="G4266">
        <f>VLOOKUP(B4266,'SINAPI-%MO'!B:E,4,0)</f>
        <v>0.50039999999999996</v>
      </c>
      <c r="H4266" s="225">
        <f t="shared" si="66"/>
        <v>2139.4499999999998</v>
      </c>
    </row>
    <row r="4267" spans="1:8" x14ac:dyDescent="0.3">
      <c r="A4267" s="400"/>
      <c r="B4267" s="709">
        <v>98073</v>
      </c>
      <c r="C4267" s="710" t="s">
        <v>3826</v>
      </c>
      <c r="D4267" s="709" t="s">
        <v>136</v>
      </c>
      <c r="E4267" s="716">
        <v>6722.3</v>
      </c>
      <c r="F4267" s="717">
        <v>0</v>
      </c>
      <c r="G4267">
        <f>VLOOKUP(B4267,'SINAPI-%MO'!B:E,4,0)</f>
        <v>0.50149999999999995</v>
      </c>
      <c r="H4267" s="225">
        <f t="shared" si="66"/>
        <v>3351.06</v>
      </c>
    </row>
    <row r="4268" spans="1:8" x14ac:dyDescent="0.3">
      <c r="A4268" s="400"/>
      <c r="B4268" s="709">
        <v>98074</v>
      </c>
      <c r="C4268" s="710" t="s">
        <v>3827</v>
      </c>
      <c r="D4268" s="709" t="s">
        <v>136</v>
      </c>
      <c r="E4268" s="716">
        <v>10466.44</v>
      </c>
      <c r="F4268" s="717">
        <v>0</v>
      </c>
      <c r="G4268">
        <f>VLOOKUP(B4268,'SINAPI-%MO'!B:E,4,0)</f>
        <v>0.50119999999999998</v>
      </c>
      <c r="H4268" s="225">
        <f t="shared" si="66"/>
        <v>5220.66</v>
      </c>
    </row>
    <row r="4269" spans="1:8" x14ac:dyDescent="0.3">
      <c r="A4269" s="400"/>
      <c r="B4269" s="709">
        <v>98075</v>
      </c>
      <c r="C4269" s="710" t="s">
        <v>3828</v>
      </c>
      <c r="D4269" s="709" t="s">
        <v>136</v>
      </c>
      <c r="E4269" s="716">
        <v>13624.03</v>
      </c>
      <c r="F4269" s="717">
        <v>0</v>
      </c>
      <c r="G4269">
        <f>VLOOKUP(B4269,'SINAPI-%MO'!B:E,4,0)</f>
        <v>0.50090000000000001</v>
      </c>
      <c r="H4269" s="225">
        <f t="shared" si="66"/>
        <v>6799.75</v>
      </c>
    </row>
    <row r="4270" spans="1:8" x14ac:dyDescent="0.3">
      <c r="A4270" s="400"/>
      <c r="B4270" s="709">
        <v>98076</v>
      </c>
      <c r="C4270" s="710" t="s">
        <v>3829</v>
      </c>
      <c r="D4270" s="709" t="s">
        <v>136</v>
      </c>
      <c r="E4270" s="716">
        <v>15717.83</v>
      </c>
      <c r="F4270" s="717">
        <v>0</v>
      </c>
      <c r="G4270">
        <f>VLOOKUP(B4270,'SINAPI-%MO'!B:E,4,0)</f>
        <v>0.50080000000000002</v>
      </c>
      <c r="H4270" s="225">
        <f t="shared" si="66"/>
        <v>7846.34</v>
      </c>
    </row>
    <row r="4271" spans="1:8" x14ac:dyDescent="0.3">
      <c r="A4271" s="400"/>
      <c r="B4271" s="709">
        <v>98077</v>
      </c>
      <c r="C4271" s="710" t="s">
        <v>3830</v>
      </c>
      <c r="D4271" s="709" t="s">
        <v>136</v>
      </c>
      <c r="E4271" s="716">
        <v>18514.150000000001</v>
      </c>
      <c r="F4271" s="717">
        <v>0</v>
      </c>
      <c r="G4271">
        <f>VLOOKUP(B4271,'SINAPI-%MO'!B:E,4,0)</f>
        <v>0.50060000000000004</v>
      </c>
      <c r="H4271" s="225">
        <f t="shared" si="66"/>
        <v>9245.9599999999991</v>
      </c>
    </row>
    <row r="4272" spans="1:8" x14ac:dyDescent="0.3">
      <c r="A4272" s="400"/>
      <c r="B4272" s="709">
        <v>98062</v>
      </c>
      <c r="C4272" s="710" t="s">
        <v>3831</v>
      </c>
      <c r="D4272" s="709" t="s">
        <v>136</v>
      </c>
      <c r="E4272" s="716">
        <v>3543.53</v>
      </c>
      <c r="F4272" s="717">
        <v>0</v>
      </c>
      <c r="G4272">
        <f>VLOOKUP(B4272,'SINAPI-%MO'!B:E,4,0)</f>
        <v>0.1046</v>
      </c>
      <c r="H4272" s="225">
        <f t="shared" si="66"/>
        <v>3172.87</v>
      </c>
    </row>
    <row r="4273" spans="1:8" x14ac:dyDescent="0.3">
      <c r="A4273" s="400"/>
      <c r="B4273" s="709">
        <v>98063</v>
      </c>
      <c r="C4273" s="710" t="s">
        <v>3832</v>
      </c>
      <c r="D4273" s="709" t="s">
        <v>136</v>
      </c>
      <c r="E4273" s="716">
        <v>5415.64</v>
      </c>
      <c r="F4273" s="717">
        <v>0</v>
      </c>
      <c r="G4273">
        <f>VLOOKUP(B4273,'SINAPI-%MO'!B:E,4,0)</f>
        <v>0.1013</v>
      </c>
      <c r="H4273" s="225">
        <f t="shared" si="66"/>
        <v>4867.03</v>
      </c>
    </row>
    <row r="4274" spans="1:8" x14ac:dyDescent="0.3">
      <c r="A4274" s="400"/>
      <c r="B4274" s="709">
        <v>98064</v>
      </c>
      <c r="C4274" s="710" t="s">
        <v>3833</v>
      </c>
      <c r="D4274" s="709" t="s">
        <v>136</v>
      </c>
      <c r="E4274" s="716">
        <v>6280.78</v>
      </c>
      <c r="F4274" s="717">
        <v>0</v>
      </c>
      <c r="G4274">
        <f>VLOOKUP(B4274,'SINAPI-%MO'!B:E,4,0)</f>
        <v>9.1399999999999995E-2</v>
      </c>
      <c r="H4274" s="225">
        <f t="shared" si="66"/>
        <v>5706.71</v>
      </c>
    </row>
    <row r="4275" spans="1:8" x14ac:dyDescent="0.3">
      <c r="A4275" s="400"/>
      <c r="B4275" s="709">
        <v>98065</v>
      </c>
      <c r="C4275" s="710" t="s">
        <v>3834</v>
      </c>
      <c r="D4275" s="709" t="s">
        <v>136</v>
      </c>
      <c r="E4275" s="716">
        <v>8736.33</v>
      </c>
      <c r="F4275" s="717">
        <v>0</v>
      </c>
      <c r="G4275">
        <f>VLOOKUP(B4275,'SINAPI-%MO'!B:E,4,0)</f>
        <v>8.7499999999999994E-2</v>
      </c>
      <c r="H4275" s="225">
        <f t="shared" si="66"/>
        <v>7971.9</v>
      </c>
    </row>
    <row r="4276" spans="1:8" x14ac:dyDescent="0.3">
      <c r="A4276" s="400"/>
      <c r="B4276" s="709">
        <v>98094</v>
      </c>
      <c r="C4276" s="710" t="s">
        <v>3835</v>
      </c>
      <c r="D4276" s="709" t="s">
        <v>136</v>
      </c>
      <c r="E4276" s="716">
        <v>3137.29</v>
      </c>
      <c r="F4276" s="717">
        <v>0</v>
      </c>
      <c r="G4276">
        <f>VLOOKUP(B4276,'SINAPI-%MO'!B:E,4,0)</f>
        <v>0.43330000000000002</v>
      </c>
      <c r="H4276" s="225">
        <f t="shared" si="66"/>
        <v>1777.9</v>
      </c>
    </row>
    <row r="4277" spans="1:8" x14ac:dyDescent="0.3">
      <c r="A4277" s="400"/>
      <c r="B4277" s="709">
        <v>98099</v>
      </c>
      <c r="C4277" s="710" t="s">
        <v>3836</v>
      </c>
      <c r="D4277" s="709" t="s">
        <v>136</v>
      </c>
      <c r="E4277" s="716">
        <v>5340.18</v>
      </c>
      <c r="F4277" s="717">
        <v>0</v>
      </c>
      <c r="G4277">
        <f>VLOOKUP(B4277,'SINAPI-%MO'!B:E,4,0)</f>
        <v>0.43569999999999998</v>
      </c>
      <c r="H4277" s="225">
        <f t="shared" si="66"/>
        <v>3013.46</v>
      </c>
    </row>
    <row r="4278" spans="1:8" x14ac:dyDescent="0.3">
      <c r="A4278" s="400"/>
      <c r="B4278" s="709">
        <v>98100</v>
      </c>
      <c r="C4278" s="710" t="s">
        <v>3837</v>
      </c>
      <c r="D4278" s="709" t="s">
        <v>136</v>
      </c>
      <c r="E4278" s="716">
        <v>6955.53</v>
      </c>
      <c r="F4278" s="717">
        <v>0</v>
      </c>
      <c r="G4278">
        <f>VLOOKUP(B4278,'SINAPI-%MO'!B:E,4,0)</f>
        <v>0.441</v>
      </c>
      <c r="H4278" s="225">
        <f t="shared" si="66"/>
        <v>3888.14</v>
      </c>
    </row>
    <row r="4279" spans="1:8" x14ac:dyDescent="0.3">
      <c r="A4279" s="400"/>
      <c r="B4279" s="709">
        <v>98101</v>
      </c>
      <c r="C4279" s="710" t="s">
        <v>3838</v>
      </c>
      <c r="D4279" s="709" t="s">
        <v>136</v>
      </c>
      <c r="E4279" s="716">
        <v>10252.14</v>
      </c>
      <c r="F4279" s="717">
        <v>0</v>
      </c>
      <c r="G4279">
        <f>VLOOKUP(B4279,'SINAPI-%MO'!B:E,4,0)</f>
        <v>0.44440000000000002</v>
      </c>
      <c r="H4279" s="225">
        <f t="shared" si="66"/>
        <v>5696.08</v>
      </c>
    </row>
    <row r="4280" spans="1:8" x14ac:dyDescent="0.3">
      <c r="A4280" s="400"/>
      <c r="B4280" s="709">
        <v>98078</v>
      </c>
      <c r="C4280" s="710" t="s">
        <v>3839</v>
      </c>
      <c r="D4280" s="709" t="s">
        <v>136</v>
      </c>
      <c r="E4280" s="716">
        <v>4649.04</v>
      </c>
      <c r="F4280" s="717">
        <v>0</v>
      </c>
      <c r="G4280">
        <f>VLOOKUP(B4280,'SINAPI-%MO'!B:E,4,0)</f>
        <v>0.46820000000000001</v>
      </c>
      <c r="H4280" s="225">
        <f t="shared" si="66"/>
        <v>2472.35</v>
      </c>
    </row>
    <row r="4281" spans="1:8" x14ac:dyDescent="0.3">
      <c r="A4281" s="400"/>
      <c r="B4281" s="709">
        <v>98079</v>
      </c>
      <c r="C4281" s="710" t="s">
        <v>3840</v>
      </c>
      <c r="D4281" s="709" t="s">
        <v>136</v>
      </c>
      <c r="E4281" s="716">
        <v>8147.54</v>
      </c>
      <c r="F4281" s="717">
        <v>0</v>
      </c>
      <c r="G4281">
        <f>VLOOKUP(B4281,'SINAPI-%MO'!B:E,4,0)</f>
        <v>0.46800000000000003</v>
      </c>
      <c r="H4281" s="225">
        <f t="shared" si="66"/>
        <v>4334.49</v>
      </c>
    </row>
    <row r="4282" spans="1:8" x14ac:dyDescent="0.3">
      <c r="A4282" s="400"/>
      <c r="B4282" s="709">
        <v>98080</v>
      </c>
      <c r="C4282" s="710" t="s">
        <v>3841</v>
      </c>
      <c r="D4282" s="709" t="s">
        <v>136</v>
      </c>
      <c r="E4282" s="716">
        <v>10482.76</v>
      </c>
      <c r="F4282" s="717">
        <v>0</v>
      </c>
      <c r="G4282">
        <f>VLOOKUP(B4282,'SINAPI-%MO'!B:E,4,0)</f>
        <v>0.4698</v>
      </c>
      <c r="H4282" s="225">
        <f t="shared" si="66"/>
        <v>5557.95</v>
      </c>
    </row>
    <row r="4283" spans="1:8" x14ac:dyDescent="0.3">
      <c r="A4283" s="400"/>
      <c r="B4283" s="709">
        <v>98081</v>
      </c>
      <c r="C4283" s="710" t="s">
        <v>3842</v>
      </c>
      <c r="D4283" s="709" t="s">
        <v>136</v>
      </c>
      <c r="E4283" s="716">
        <v>15534.54</v>
      </c>
      <c r="F4283" s="717">
        <v>0</v>
      </c>
      <c r="G4283">
        <f>VLOOKUP(B4283,'SINAPI-%MO'!B:E,4,0)</f>
        <v>0.4708</v>
      </c>
      <c r="H4283" s="225">
        <f t="shared" si="66"/>
        <v>8220.8700000000008</v>
      </c>
    </row>
    <row r="4284" spans="1:8" x14ac:dyDescent="0.3">
      <c r="A4284" s="400"/>
      <c r="B4284" s="709">
        <v>98052</v>
      </c>
      <c r="C4284" s="710" t="s">
        <v>3843</v>
      </c>
      <c r="D4284" s="709" t="s">
        <v>136</v>
      </c>
      <c r="E4284" s="716">
        <v>2398.41</v>
      </c>
      <c r="F4284" s="717">
        <v>0</v>
      </c>
      <c r="G4284">
        <f>VLOOKUP(B4284,'SINAPI-%MO'!B:E,4,0)</f>
        <v>0.1371</v>
      </c>
      <c r="H4284" s="225">
        <f t="shared" si="66"/>
        <v>2069.58</v>
      </c>
    </row>
    <row r="4285" spans="1:8" x14ac:dyDescent="0.3">
      <c r="A4285" s="400"/>
      <c r="B4285" s="709">
        <v>98053</v>
      </c>
      <c r="C4285" s="710" t="s">
        <v>3844</v>
      </c>
      <c r="D4285" s="709" t="s">
        <v>136</v>
      </c>
      <c r="E4285" s="716">
        <v>3301.86</v>
      </c>
      <c r="F4285" s="717">
        <v>0</v>
      </c>
      <c r="G4285">
        <f>VLOOKUP(B4285,'SINAPI-%MO'!B:E,4,0)</f>
        <v>0.13439999999999999</v>
      </c>
      <c r="H4285" s="225">
        <f t="shared" si="66"/>
        <v>2858.09</v>
      </c>
    </row>
    <row r="4286" spans="1:8" x14ac:dyDescent="0.3">
      <c r="A4286" s="400"/>
      <c r="B4286" s="709">
        <v>98054</v>
      </c>
      <c r="C4286" s="710" t="s">
        <v>3845</v>
      </c>
      <c r="D4286" s="709" t="s">
        <v>136</v>
      </c>
      <c r="E4286" s="716">
        <v>5382.96</v>
      </c>
      <c r="F4286" s="717">
        <v>0</v>
      </c>
      <c r="G4286">
        <f>VLOOKUP(B4286,'SINAPI-%MO'!B:E,4,0)</f>
        <v>8.6699999999999999E-2</v>
      </c>
      <c r="H4286" s="225">
        <f t="shared" si="66"/>
        <v>4916.25</v>
      </c>
    </row>
    <row r="4287" spans="1:8" x14ac:dyDescent="0.3">
      <c r="A4287" s="400"/>
      <c r="B4287" s="709">
        <v>98055</v>
      </c>
      <c r="C4287" s="710" t="s">
        <v>3846</v>
      </c>
      <c r="D4287" s="709" t="s">
        <v>136</v>
      </c>
      <c r="E4287" s="716">
        <v>7313.9</v>
      </c>
      <c r="F4287" s="717">
        <v>0</v>
      </c>
      <c r="G4287">
        <f>VLOOKUP(B4287,'SINAPI-%MO'!B:E,4,0)</f>
        <v>8.7999999999999995E-2</v>
      </c>
      <c r="H4287" s="225">
        <f t="shared" si="66"/>
        <v>6670.27</v>
      </c>
    </row>
    <row r="4288" spans="1:8" x14ac:dyDescent="0.3">
      <c r="A4288" s="400"/>
      <c r="B4288" s="709">
        <v>98056</v>
      </c>
      <c r="C4288" s="710" t="s">
        <v>3847</v>
      </c>
      <c r="D4288" s="709" t="s">
        <v>136</v>
      </c>
      <c r="E4288" s="716">
        <v>8557.65</v>
      </c>
      <c r="F4288" s="717">
        <v>0</v>
      </c>
      <c r="G4288">
        <f>VLOOKUP(B4288,'SINAPI-%MO'!B:E,4,0)</f>
        <v>8.0299999999999996E-2</v>
      </c>
      <c r="H4288" s="225">
        <f t="shared" si="66"/>
        <v>7870.47</v>
      </c>
    </row>
    <row r="4289" spans="1:8" x14ac:dyDescent="0.3">
      <c r="A4289" s="400"/>
      <c r="B4289" s="709">
        <v>98057</v>
      </c>
      <c r="C4289" s="710" t="s">
        <v>3848</v>
      </c>
      <c r="D4289" s="709" t="s">
        <v>136</v>
      </c>
      <c r="E4289" s="716">
        <v>10171.66</v>
      </c>
      <c r="F4289" s="717">
        <v>0</v>
      </c>
      <c r="G4289">
        <f>VLOOKUP(B4289,'SINAPI-%MO'!B:E,4,0)</f>
        <v>8.3699999999999997E-2</v>
      </c>
      <c r="H4289" s="225">
        <f t="shared" si="66"/>
        <v>9320.2900000000009</v>
      </c>
    </row>
    <row r="4290" spans="1:8" x14ac:dyDescent="0.3">
      <c r="A4290" s="400"/>
      <c r="B4290" s="709">
        <v>98082</v>
      </c>
      <c r="C4290" s="710" t="s">
        <v>3849</v>
      </c>
      <c r="D4290" s="709" t="s">
        <v>136</v>
      </c>
      <c r="E4290" s="716">
        <v>4243.4399999999996</v>
      </c>
      <c r="F4290" s="717">
        <v>0</v>
      </c>
      <c r="G4290">
        <f>VLOOKUP(B4290,'SINAPI-%MO'!B:E,4,0)</f>
        <v>0.46970000000000001</v>
      </c>
      <c r="H4290" s="225">
        <f t="shared" si="66"/>
        <v>2250.29</v>
      </c>
    </row>
    <row r="4291" spans="1:8" x14ac:dyDescent="0.3">
      <c r="A4291" s="400"/>
      <c r="B4291" s="709">
        <v>98083</v>
      </c>
      <c r="C4291" s="710" t="s">
        <v>3850</v>
      </c>
      <c r="D4291" s="709" t="s">
        <v>136</v>
      </c>
      <c r="E4291" s="716">
        <v>5600.44</v>
      </c>
      <c r="F4291" s="717">
        <v>0</v>
      </c>
      <c r="G4291">
        <f>VLOOKUP(B4291,'SINAPI-%MO'!B:E,4,0)</f>
        <v>0.47310000000000002</v>
      </c>
      <c r="H4291" s="225">
        <f t="shared" si="66"/>
        <v>2950.87</v>
      </c>
    </row>
    <row r="4292" spans="1:8" x14ac:dyDescent="0.3">
      <c r="A4292" s="400"/>
      <c r="B4292" s="709">
        <v>98084</v>
      </c>
      <c r="C4292" s="710" t="s">
        <v>3851</v>
      </c>
      <c r="D4292" s="709" t="s">
        <v>136</v>
      </c>
      <c r="E4292" s="716">
        <v>7852.53</v>
      </c>
      <c r="F4292" s="717">
        <v>0</v>
      </c>
      <c r="G4292">
        <f>VLOOKUP(B4292,'SINAPI-%MO'!B:E,4,0)</f>
        <v>0.47710000000000002</v>
      </c>
      <c r="H4292" s="225">
        <f t="shared" si="66"/>
        <v>4106.08</v>
      </c>
    </row>
    <row r="4293" spans="1:8" x14ac:dyDescent="0.3">
      <c r="A4293" s="400"/>
      <c r="B4293" s="709">
        <v>98085</v>
      </c>
      <c r="C4293" s="710" t="s">
        <v>3852</v>
      </c>
      <c r="D4293" s="709" t="s">
        <v>136</v>
      </c>
      <c r="E4293" s="716">
        <v>10620.22</v>
      </c>
      <c r="F4293" s="717">
        <v>0</v>
      </c>
      <c r="G4293">
        <f>VLOOKUP(B4293,'SINAPI-%MO'!B:E,4,0)</f>
        <v>0.48199999999999998</v>
      </c>
      <c r="H4293" s="225">
        <f t="shared" si="66"/>
        <v>5501.27</v>
      </c>
    </row>
    <row r="4294" spans="1:8" x14ac:dyDescent="0.3">
      <c r="A4294" s="400"/>
      <c r="B4294" s="709">
        <v>98087</v>
      </c>
      <c r="C4294" s="710" t="s">
        <v>3853</v>
      </c>
      <c r="D4294" s="709" t="s">
        <v>136</v>
      </c>
      <c r="E4294" s="716">
        <v>12867.9</v>
      </c>
      <c r="F4294" s="717">
        <v>0</v>
      </c>
      <c r="G4294">
        <f>VLOOKUP(B4294,'SINAPI-%MO'!B:E,4,0)</f>
        <v>0.47939999999999999</v>
      </c>
      <c r="H4294" s="225">
        <f t="shared" si="66"/>
        <v>6699.02</v>
      </c>
    </row>
    <row r="4295" spans="1:8" x14ac:dyDescent="0.3">
      <c r="A4295" s="400"/>
      <c r="B4295" s="709">
        <v>98086</v>
      </c>
      <c r="C4295" s="710" t="s">
        <v>3854</v>
      </c>
      <c r="D4295" s="709" t="s">
        <v>136</v>
      </c>
      <c r="E4295" s="716">
        <v>12009.99</v>
      </c>
      <c r="F4295" s="717">
        <v>0</v>
      </c>
      <c r="G4295">
        <f>VLOOKUP(B4295,'SINAPI-%MO'!B:E,4,0)</f>
        <v>0.48159999999999997</v>
      </c>
      <c r="H4295" s="225">
        <f t="shared" si="66"/>
        <v>6225.97</v>
      </c>
    </row>
    <row r="4296" spans="1:8" x14ac:dyDescent="0.3">
      <c r="A4296" s="400"/>
      <c r="B4296" s="709">
        <v>98066</v>
      </c>
      <c r="C4296" s="710" t="s">
        <v>3855</v>
      </c>
      <c r="D4296" s="709" t="s">
        <v>136</v>
      </c>
      <c r="E4296" s="716">
        <v>5098.79</v>
      </c>
      <c r="F4296" s="717">
        <v>0</v>
      </c>
      <c r="G4296">
        <f>VLOOKUP(B4296,'SINAPI-%MO'!B:E,4,0)</f>
        <v>0.49809999999999999</v>
      </c>
      <c r="H4296" s="225">
        <f t="shared" si="66"/>
        <v>2559.08</v>
      </c>
    </row>
    <row r="4297" spans="1:8" x14ac:dyDescent="0.3">
      <c r="A4297" s="400"/>
      <c r="B4297" s="709">
        <v>98067</v>
      </c>
      <c r="C4297" s="710" t="s">
        <v>3856</v>
      </c>
      <c r="D4297" s="709" t="s">
        <v>136</v>
      </c>
      <c r="E4297" s="716">
        <v>6799.8</v>
      </c>
      <c r="F4297" s="717">
        <v>0</v>
      </c>
      <c r="G4297">
        <f>VLOOKUP(B4297,'SINAPI-%MO'!B:E,4,0)</f>
        <v>0.49980000000000002</v>
      </c>
      <c r="H4297" s="225">
        <f t="shared" si="66"/>
        <v>3401.25</v>
      </c>
    </row>
    <row r="4298" spans="1:8" x14ac:dyDescent="0.3">
      <c r="A4298" s="400"/>
      <c r="B4298" s="709">
        <v>98068</v>
      </c>
      <c r="C4298" s="710" t="s">
        <v>3857</v>
      </c>
      <c r="D4298" s="709" t="s">
        <v>136</v>
      </c>
      <c r="E4298" s="716">
        <v>9610.36</v>
      </c>
      <c r="F4298" s="717">
        <v>0</v>
      </c>
      <c r="G4298">
        <f>VLOOKUP(B4298,'SINAPI-%MO'!B:E,4,0)</f>
        <v>0.50180000000000002</v>
      </c>
      <c r="H4298" s="225">
        <f t="shared" si="66"/>
        <v>4787.88</v>
      </c>
    </row>
    <row r="4299" spans="1:8" x14ac:dyDescent="0.3">
      <c r="A4299" s="400"/>
      <c r="B4299" s="709">
        <v>98069</v>
      </c>
      <c r="C4299" s="710" t="s">
        <v>3858</v>
      </c>
      <c r="D4299" s="709" t="s">
        <v>136</v>
      </c>
      <c r="E4299" s="716">
        <v>12931.04</v>
      </c>
      <c r="F4299" s="717">
        <v>0</v>
      </c>
      <c r="G4299">
        <f>VLOOKUP(B4299,'SINAPI-%MO'!B:E,4,0)</f>
        <v>0.50439999999999996</v>
      </c>
      <c r="H4299" s="225">
        <f t="shared" ref="H4299:H4362" si="67">IF(E4299&gt;0,TRUNC(E4299*(1-G4299),2),"")</f>
        <v>6408.62</v>
      </c>
    </row>
    <row r="4300" spans="1:8" x14ac:dyDescent="0.3">
      <c r="A4300" s="400"/>
      <c r="B4300" s="709">
        <v>98071</v>
      </c>
      <c r="C4300" s="710" t="s">
        <v>3859</v>
      </c>
      <c r="D4300" s="709" t="s">
        <v>136</v>
      </c>
      <c r="E4300" s="716">
        <v>16112.7</v>
      </c>
      <c r="F4300" s="717">
        <v>0</v>
      </c>
      <c r="G4300">
        <f>VLOOKUP(B4300,'SINAPI-%MO'!B:E,4,0)</f>
        <v>0.50280000000000002</v>
      </c>
      <c r="H4300" s="225">
        <f t="shared" si="67"/>
        <v>8011.23</v>
      </c>
    </row>
    <row r="4301" spans="1:8" x14ac:dyDescent="0.3">
      <c r="A4301" s="400"/>
      <c r="B4301" s="709">
        <v>98070</v>
      </c>
      <c r="C4301" s="710" t="s">
        <v>3860</v>
      </c>
      <c r="D4301" s="709" t="s">
        <v>136</v>
      </c>
      <c r="E4301" s="716">
        <v>14773.13</v>
      </c>
      <c r="F4301" s="717">
        <v>0</v>
      </c>
      <c r="G4301">
        <f>VLOOKUP(B4301,'SINAPI-%MO'!B:E,4,0)</f>
        <v>0.50409999999999999</v>
      </c>
      <c r="H4301" s="225">
        <f t="shared" si="67"/>
        <v>7325.99</v>
      </c>
    </row>
    <row r="4302" spans="1:8" x14ac:dyDescent="0.3">
      <c r="A4302" s="400"/>
      <c r="B4302" s="709">
        <v>104915</v>
      </c>
      <c r="C4302" s="710" t="s">
        <v>3861</v>
      </c>
      <c r="D4302" s="709" t="s">
        <v>175</v>
      </c>
      <c r="E4302" s="716">
        <v>9.1999999999999993</v>
      </c>
      <c r="F4302" s="717">
        <v>0</v>
      </c>
      <c r="G4302">
        <f>VLOOKUP(B4302,'SINAPI-%MO'!B:E,4,0)</f>
        <v>5.7599999999999998E-2</v>
      </c>
      <c r="H4302" s="225">
        <f t="shared" si="67"/>
        <v>8.67</v>
      </c>
    </row>
    <row r="4303" spans="1:8" x14ac:dyDescent="0.3">
      <c r="A4303" s="400"/>
      <c r="B4303" s="709">
        <v>96546</v>
      </c>
      <c r="C4303" s="710" t="s">
        <v>3862</v>
      </c>
      <c r="D4303" s="709" t="s">
        <v>175</v>
      </c>
      <c r="E4303" s="716">
        <v>13.59</v>
      </c>
      <c r="F4303" s="717">
        <v>0</v>
      </c>
      <c r="G4303">
        <f>VLOOKUP(B4303,'SINAPI-%MO'!B:E,4,0)</f>
        <v>0.37309999999999999</v>
      </c>
      <c r="H4303" s="225">
        <f t="shared" si="67"/>
        <v>8.51</v>
      </c>
    </row>
    <row r="4304" spans="1:8" x14ac:dyDescent="0.3">
      <c r="A4304" s="400"/>
      <c r="B4304" s="709">
        <v>96544</v>
      </c>
      <c r="C4304" s="710" t="s">
        <v>3863</v>
      </c>
      <c r="D4304" s="709" t="s">
        <v>175</v>
      </c>
      <c r="E4304" s="716">
        <v>17.86</v>
      </c>
      <c r="F4304" s="717">
        <v>0</v>
      </c>
      <c r="G4304">
        <f>VLOOKUP(B4304,'SINAPI-%MO'!B:E,4,0)</f>
        <v>0.51290000000000002</v>
      </c>
      <c r="H4304" s="225">
        <f t="shared" si="67"/>
        <v>8.69</v>
      </c>
    </row>
    <row r="4305" spans="1:8" x14ac:dyDescent="0.3">
      <c r="A4305" s="400"/>
      <c r="B4305" s="709">
        <v>96545</v>
      </c>
      <c r="C4305" s="710" t="s">
        <v>3864</v>
      </c>
      <c r="D4305" s="709" t="s">
        <v>175</v>
      </c>
      <c r="E4305" s="716">
        <v>15.76</v>
      </c>
      <c r="F4305" s="717">
        <v>0</v>
      </c>
      <c r="G4305">
        <f>VLOOKUP(B4305,'SINAPI-%MO'!B:E,4,0)</f>
        <v>0.42770000000000002</v>
      </c>
      <c r="H4305" s="225">
        <f t="shared" si="67"/>
        <v>9.01</v>
      </c>
    </row>
    <row r="4306" spans="1:8" x14ac:dyDescent="0.3">
      <c r="A4306" s="400"/>
      <c r="B4306" s="709">
        <v>96543</v>
      </c>
      <c r="C4306" s="710" t="s">
        <v>3865</v>
      </c>
      <c r="D4306" s="709" t="s">
        <v>175</v>
      </c>
      <c r="E4306" s="716">
        <v>20.37</v>
      </c>
      <c r="F4306" s="717">
        <v>0</v>
      </c>
      <c r="G4306">
        <f>VLOOKUP(B4306,'SINAPI-%MO'!B:E,4,0)</f>
        <v>0.61119999999999997</v>
      </c>
      <c r="H4306" s="225">
        <f t="shared" si="67"/>
        <v>7.91</v>
      </c>
    </row>
    <row r="4307" spans="1:8" x14ac:dyDescent="0.3">
      <c r="A4307" s="400"/>
      <c r="B4307" s="709">
        <v>104922</v>
      </c>
      <c r="C4307" s="710" t="s">
        <v>3866</v>
      </c>
      <c r="D4307" s="709" t="s">
        <v>175</v>
      </c>
      <c r="E4307" s="716">
        <v>10.33</v>
      </c>
      <c r="F4307" s="717">
        <v>0</v>
      </c>
      <c r="G4307">
        <f>VLOOKUP(B4307,'SINAPI-%MO'!B:E,4,0)</f>
        <v>0.1588</v>
      </c>
      <c r="H4307" s="225">
        <f t="shared" si="67"/>
        <v>8.68</v>
      </c>
    </row>
    <row r="4308" spans="1:8" x14ac:dyDescent="0.3">
      <c r="A4308" s="400"/>
      <c r="B4308" s="709">
        <v>104920</v>
      </c>
      <c r="C4308" s="710" t="s">
        <v>3867</v>
      </c>
      <c r="D4308" s="709" t="s">
        <v>175</v>
      </c>
      <c r="E4308" s="716">
        <v>10.24</v>
      </c>
      <c r="F4308" s="717">
        <v>0</v>
      </c>
      <c r="G4308">
        <f>VLOOKUP(B4308,'SINAPI-%MO'!B:E,4,0)</f>
        <v>0.27339999999999998</v>
      </c>
      <c r="H4308" s="225">
        <f t="shared" si="67"/>
        <v>7.44</v>
      </c>
    </row>
    <row r="4309" spans="1:8" x14ac:dyDescent="0.3">
      <c r="A4309" s="400"/>
      <c r="B4309" s="709">
        <v>104921</v>
      </c>
      <c r="C4309" s="710" t="s">
        <v>3868</v>
      </c>
      <c r="D4309" s="709" t="s">
        <v>175</v>
      </c>
      <c r="E4309" s="716">
        <v>9.52</v>
      </c>
      <c r="F4309" s="717">
        <v>0</v>
      </c>
      <c r="G4309">
        <f>VLOOKUP(B4309,'SINAPI-%MO'!B:E,4,0)</f>
        <v>0.2195</v>
      </c>
      <c r="H4309" s="225">
        <f t="shared" si="67"/>
        <v>7.43</v>
      </c>
    </row>
    <row r="4310" spans="1:8" x14ac:dyDescent="0.3">
      <c r="A4310" s="400"/>
      <c r="B4310" s="709">
        <v>104919</v>
      </c>
      <c r="C4310" s="710" t="s">
        <v>3869</v>
      </c>
      <c r="D4310" s="709" t="s">
        <v>175</v>
      </c>
      <c r="E4310" s="716">
        <v>12.15</v>
      </c>
      <c r="F4310" s="717">
        <v>0</v>
      </c>
      <c r="G4310">
        <f>VLOOKUP(B4310,'SINAPI-%MO'!B:E,4,0)</f>
        <v>0.29959999999999998</v>
      </c>
      <c r="H4310" s="225">
        <f t="shared" si="67"/>
        <v>8.5</v>
      </c>
    </row>
    <row r="4311" spans="1:8" x14ac:dyDescent="0.3">
      <c r="A4311" s="400"/>
      <c r="B4311" s="709">
        <v>104917</v>
      </c>
      <c r="C4311" s="710" t="s">
        <v>3870</v>
      </c>
      <c r="D4311" s="709" t="s">
        <v>175</v>
      </c>
      <c r="E4311" s="716">
        <v>15.15</v>
      </c>
      <c r="F4311" s="717">
        <v>0</v>
      </c>
      <c r="G4311">
        <f>VLOOKUP(B4311,'SINAPI-%MO'!B:E,4,0)</f>
        <v>0.42709999999999998</v>
      </c>
      <c r="H4311" s="225">
        <f t="shared" si="67"/>
        <v>8.67</v>
      </c>
    </row>
    <row r="4312" spans="1:8" x14ac:dyDescent="0.3">
      <c r="A4312" s="400"/>
      <c r="B4312" s="709">
        <v>104918</v>
      </c>
      <c r="C4312" s="710" t="s">
        <v>3871</v>
      </c>
      <c r="D4312" s="709" t="s">
        <v>175</v>
      </c>
      <c r="E4312" s="716">
        <v>13.77</v>
      </c>
      <c r="F4312" s="717">
        <v>0</v>
      </c>
      <c r="G4312">
        <f>VLOOKUP(B4312,'SINAPI-%MO'!B:E,4,0)</f>
        <v>0.34570000000000001</v>
      </c>
      <c r="H4312" s="225">
        <f t="shared" si="67"/>
        <v>9</v>
      </c>
    </row>
    <row r="4313" spans="1:8" x14ac:dyDescent="0.3">
      <c r="A4313" s="400"/>
      <c r="B4313" s="709">
        <v>104916</v>
      </c>
      <c r="C4313" s="710" t="s">
        <v>3872</v>
      </c>
      <c r="D4313" s="709" t="s">
        <v>175</v>
      </c>
      <c r="E4313" s="716">
        <v>16.760000000000002</v>
      </c>
      <c r="F4313" s="717">
        <v>0</v>
      </c>
      <c r="G4313">
        <f>VLOOKUP(B4313,'SINAPI-%MO'!B:E,4,0)</f>
        <v>0.53039999999999998</v>
      </c>
      <c r="H4313" s="225">
        <f t="shared" si="67"/>
        <v>7.87</v>
      </c>
    </row>
    <row r="4314" spans="1:8" x14ac:dyDescent="0.3">
      <c r="A4314" s="400"/>
      <c r="B4314" s="709">
        <v>96557</v>
      </c>
      <c r="C4314" s="710" t="s">
        <v>3873</v>
      </c>
      <c r="D4314" s="709" t="s">
        <v>170</v>
      </c>
      <c r="E4314" s="716">
        <v>913.17</v>
      </c>
      <c r="F4314" s="717">
        <v>0</v>
      </c>
      <c r="G4314">
        <f>VLOOKUP(B4314,'SINAPI-%MO'!B:E,4,0)</f>
        <v>2.5499999999999998E-2</v>
      </c>
      <c r="H4314" s="225">
        <f t="shared" si="67"/>
        <v>889.88</v>
      </c>
    </row>
    <row r="4315" spans="1:8" x14ac:dyDescent="0.3">
      <c r="A4315" s="400"/>
      <c r="B4315" s="709">
        <v>96555</v>
      </c>
      <c r="C4315" s="710" t="s">
        <v>3874</v>
      </c>
      <c r="D4315" s="709" t="s">
        <v>170</v>
      </c>
      <c r="E4315" s="716">
        <v>843.54</v>
      </c>
      <c r="F4315" s="717">
        <v>0</v>
      </c>
      <c r="G4315">
        <f>VLOOKUP(B4315,'SINAPI-%MO'!B:E,4,0)</f>
        <v>0.3004</v>
      </c>
      <c r="H4315" s="225">
        <f t="shared" si="67"/>
        <v>590.14</v>
      </c>
    </row>
    <row r="4316" spans="1:8" x14ac:dyDescent="0.3">
      <c r="A4316" s="400"/>
      <c r="B4316" s="709">
        <v>104924</v>
      </c>
      <c r="C4316" s="710" t="s">
        <v>3875</v>
      </c>
      <c r="D4316" s="709" t="s">
        <v>170</v>
      </c>
      <c r="E4316" s="716">
        <v>942.31</v>
      </c>
      <c r="F4316" s="717">
        <v>0</v>
      </c>
      <c r="G4316">
        <f>VLOOKUP(B4316,'SINAPI-%MO'!B:E,4,0)</f>
        <v>3.2599999999999997E-2</v>
      </c>
      <c r="H4316" s="225">
        <f t="shared" si="67"/>
        <v>911.59</v>
      </c>
    </row>
    <row r="4317" spans="1:8" x14ac:dyDescent="0.3">
      <c r="A4317" s="400"/>
      <c r="B4317" s="709">
        <v>104923</v>
      </c>
      <c r="C4317" s="710" t="s">
        <v>3876</v>
      </c>
      <c r="D4317" s="709" t="s">
        <v>170</v>
      </c>
      <c r="E4317" s="716">
        <v>907.33</v>
      </c>
      <c r="F4317" s="717">
        <v>0</v>
      </c>
      <c r="G4317">
        <f>VLOOKUP(B4317,'SINAPI-%MO'!B:E,4,0)</f>
        <v>0.33239999999999997</v>
      </c>
      <c r="H4317" s="225">
        <f t="shared" si="67"/>
        <v>605.73</v>
      </c>
    </row>
    <row r="4318" spans="1:8" x14ac:dyDescent="0.3">
      <c r="A4318" s="400"/>
      <c r="B4318" s="709">
        <v>96558</v>
      </c>
      <c r="C4318" s="710" t="s">
        <v>3877</v>
      </c>
      <c r="D4318" s="709" t="s">
        <v>170</v>
      </c>
      <c r="E4318" s="716">
        <v>952.67</v>
      </c>
      <c r="F4318" s="717">
        <v>0</v>
      </c>
      <c r="G4318">
        <f>VLOOKUP(B4318,'SINAPI-%MO'!B:E,4,0)</f>
        <v>4.2999999999999997E-2</v>
      </c>
      <c r="H4318" s="225">
        <f t="shared" si="67"/>
        <v>911.7</v>
      </c>
    </row>
    <row r="4319" spans="1:8" x14ac:dyDescent="0.3">
      <c r="A4319" s="400"/>
      <c r="B4319" s="709">
        <v>96556</v>
      </c>
      <c r="C4319" s="710" t="s">
        <v>3878</v>
      </c>
      <c r="D4319" s="709" t="s">
        <v>170</v>
      </c>
      <c r="E4319" s="716">
        <v>1017.51</v>
      </c>
      <c r="F4319" s="717">
        <v>0</v>
      </c>
      <c r="G4319">
        <f>VLOOKUP(B4319,'SINAPI-%MO'!B:E,4,0)</f>
        <v>0.4042</v>
      </c>
      <c r="H4319" s="225">
        <f t="shared" si="67"/>
        <v>606.23</v>
      </c>
    </row>
    <row r="4320" spans="1:8" x14ac:dyDescent="0.3">
      <c r="A4320" s="400"/>
      <c r="B4320" s="709">
        <v>96523</v>
      </c>
      <c r="C4320" s="710" t="s">
        <v>3879</v>
      </c>
      <c r="D4320" s="709" t="s">
        <v>170</v>
      </c>
      <c r="E4320" s="716">
        <v>110.73</v>
      </c>
      <c r="F4320" s="717">
        <v>0</v>
      </c>
      <c r="G4320">
        <f>VLOOKUP(B4320,'SINAPI-%MO'!B:E,4,0)</f>
        <v>1</v>
      </c>
      <c r="H4320" s="225">
        <f t="shared" si="67"/>
        <v>0</v>
      </c>
    </row>
    <row r="4321" spans="1:8" x14ac:dyDescent="0.3">
      <c r="A4321" s="400"/>
      <c r="B4321" s="709">
        <v>96522</v>
      </c>
      <c r="C4321" s="710" t="s">
        <v>3880</v>
      </c>
      <c r="D4321" s="709" t="s">
        <v>170</v>
      </c>
      <c r="E4321" s="716">
        <v>166.97</v>
      </c>
      <c r="F4321" s="717">
        <v>0</v>
      </c>
      <c r="G4321">
        <f>VLOOKUP(B4321,'SINAPI-%MO'!B:E,4,0)</f>
        <v>1</v>
      </c>
      <c r="H4321" s="225">
        <f t="shared" si="67"/>
        <v>0</v>
      </c>
    </row>
    <row r="4322" spans="1:8" x14ac:dyDescent="0.3">
      <c r="A4322" s="400"/>
      <c r="B4322" s="709">
        <v>96527</v>
      </c>
      <c r="C4322" s="710" t="s">
        <v>3881</v>
      </c>
      <c r="D4322" s="709" t="s">
        <v>170</v>
      </c>
      <c r="E4322" s="716">
        <v>121.95</v>
      </c>
      <c r="F4322" s="717">
        <v>0</v>
      </c>
      <c r="G4322">
        <f>VLOOKUP(B4322,'SINAPI-%MO'!B:E,4,0)</f>
        <v>1</v>
      </c>
      <c r="H4322" s="225">
        <f t="shared" si="67"/>
        <v>0</v>
      </c>
    </row>
    <row r="4323" spans="1:8" x14ac:dyDescent="0.3">
      <c r="A4323" s="400"/>
      <c r="B4323" s="709">
        <v>96526</v>
      </c>
      <c r="C4323" s="710" t="s">
        <v>3882</v>
      </c>
      <c r="D4323" s="709" t="s">
        <v>170</v>
      </c>
      <c r="E4323" s="716">
        <v>238.29</v>
      </c>
      <c r="F4323" s="717">
        <v>0</v>
      </c>
      <c r="G4323">
        <f>VLOOKUP(B4323,'SINAPI-%MO'!B:E,4,0)</f>
        <v>1</v>
      </c>
      <c r="H4323" s="225">
        <f t="shared" si="67"/>
        <v>0</v>
      </c>
    </row>
    <row r="4324" spans="1:8" x14ac:dyDescent="0.3">
      <c r="A4324" s="400"/>
      <c r="B4324" s="709">
        <v>96521</v>
      </c>
      <c r="C4324" s="710" t="s">
        <v>3883</v>
      </c>
      <c r="D4324" s="709" t="s">
        <v>170</v>
      </c>
      <c r="E4324" s="716">
        <v>43.38</v>
      </c>
      <c r="F4324" s="717">
        <v>0</v>
      </c>
      <c r="G4324">
        <f>VLOOKUP(B4324,'SINAPI-%MO'!B:E,4,0)</f>
        <v>0.3967</v>
      </c>
      <c r="H4324" s="225">
        <f t="shared" si="67"/>
        <v>26.17</v>
      </c>
    </row>
    <row r="4325" spans="1:8" x14ac:dyDescent="0.3">
      <c r="A4325" s="400"/>
      <c r="B4325" s="709">
        <v>96520</v>
      </c>
      <c r="C4325" s="710" t="s">
        <v>3884</v>
      </c>
      <c r="D4325" s="709" t="s">
        <v>170</v>
      </c>
      <c r="E4325" s="716">
        <v>99.84</v>
      </c>
      <c r="F4325" s="717">
        <v>0</v>
      </c>
      <c r="G4325">
        <f>VLOOKUP(B4325,'SINAPI-%MO'!B:E,4,0)</f>
        <v>0.65600000000000003</v>
      </c>
      <c r="H4325" s="225">
        <f t="shared" si="67"/>
        <v>34.340000000000003</v>
      </c>
    </row>
    <row r="4326" spans="1:8" x14ac:dyDescent="0.3">
      <c r="A4326" s="400"/>
      <c r="B4326" s="709">
        <v>96525</v>
      </c>
      <c r="C4326" s="710" t="s">
        <v>3885</v>
      </c>
      <c r="D4326" s="709" t="s">
        <v>170</v>
      </c>
      <c r="E4326" s="716">
        <v>57.03</v>
      </c>
      <c r="F4326" s="717">
        <v>0</v>
      </c>
      <c r="G4326">
        <f>VLOOKUP(B4326,'SINAPI-%MO'!B:E,4,0)</f>
        <v>0.39839999999999998</v>
      </c>
      <c r="H4326" s="225">
        <f t="shared" si="67"/>
        <v>34.299999999999997</v>
      </c>
    </row>
    <row r="4327" spans="1:8" x14ac:dyDescent="0.3">
      <c r="A4327" s="400"/>
      <c r="B4327" s="709">
        <v>96524</v>
      </c>
      <c r="C4327" s="710" t="s">
        <v>3886</v>
      </c>
      <c r="D4327" s="709" t="s">
        <v>170</v>
      </c>
      <c r="E4327" s="716">
        <v>167.22</v>
      </c>
      <c r="F4327" s="717">
        <v>0</v>
      </c>
      <c r="G4327">
        <f>VLOOKUP(B4327,'SINAPI-%MO'!B:E,4,0)</f>
        <v>0.72799999999999998</v>
      </c>
      <c r="H4327" s="225">
        <f t="shared" si="67"/>
        <v>45.48</v>
      </c>
    </row>
    <row r="4328" spans="1:8" x14ac:dyDescent="0.3">
      <c r="A4328" s="400"/>
      <c r="B4328" s="709">
        <v>96537</v>
      </c>
      <c r="C4328" s="710" t="s">
        <v>3887</v>
      </c>
      <c r="D4328" s="709" t="s">
        <v>168</v>
      </c>
      <c r="E4328" s="716">
        <v>193.99</v>
      </c>
      <c r="F4328" s="717">
        <v>0</v>
      </c>
      <c r="G4328">
        <f>VLOOKUP(B4328,'SINAPI-%MO'!B:E,4,0)</f>
        <v>0.56479999999999997</v>
      </c>
      <c r="H4328" s="225">
        <f t="shared" si="67"/>
        <v>84.42</v>
      </c>
    </row>
    <row r="4329" spans="1:8" x14ac:dyDescent="0.3">
      <c r="A4329" s="400"/>
      <c r="B4329" s="709">
        <v>96540</v>
      </c>
      <c r="C4329" s="710" t="s">
        <v>3888</v>
      </c>
      <c r="D4329" s="709" t="s">
        <v>168</v>
      </c>
      <c r="E4329" s="716">
        <v>138.29</v>
      </c>
      <c r="F4329" s="717">
        <v>0</v>
      </c>
      <c r="G4329">
        <f>VLOOKUP(B4329,'SINAPI-%MO'!B:E,4,0)</f>
        <v>0.67369999999999997</v>
      </c>
      <c r="H4329" s="225">
        <f t="shared" si="67"/>
        <v>45.12</v>
      </c>
    </row>
    <row r="4330" spans="1:8" x14ac:dyDescent="0.3">
      <c r="A4330" s="400"/>
      <c r="B4330" s="709">
        <v>96528</v>
      </c>
      <c r="C4330" s="710" t="s">
        <v>3889</v>
      </c>
      <c r="D4330" s="709" t="s">
        <v>168</v>
      </c>
      <c r="E4330" s="716">
        <v>152.03</v>
      </c>
      <c r="F4330" s="717">
        <v>0</v>
      </c>
      <c r="G4330">
        <f>VLOOKUP(B4330,'SINAPI-%MO'!B:E,4,0)</f>
        <v>0.4829</v>
      </c>
      <c r="H4330" s="225">
        <f t="shared" si="67"/>
        <v>78.61</v>
      </c>
    </row>
    <row r="4331" spans="1:8" x14ac:dyDescent="0.3">
      <c r="A4331" s="400"/>
      <c r="B4331" s="709">
        <v>96531</v>
      </c>
      <c r="C4331" s="710" t="s">
        <v>3890</v>
      </c>
      <c r="D4331" s="709" t="s">
        <v>168</v>
      </c>
      <c r="E4331" s="716">
        <v>104.63</v>
      </c>
      <c r="F4331" s="717">
        <v>0</v>
      </c>
      <c r="G4331">
        <f>VLOOKUP(B4331,'SINAPI-%MO'!B:E,4,0)</f>
        <v>0.60680000000000001</v>
      </c>
      <c r="H4331" s="225">
        <f t="shared" si="67"/>
        <v>41.14</v>
      </c>
    </row>
    <row r="4332" spans="1:8" x14ac:dyDescent="0.3">
      <c r="A4332" s="400"/>
      <c r="B4332" s="709">
        <v>96534</v>
      </c>
      <c r="C4332" s="710" t="s">
        <v>3891</v>
      </c>
      <c r="D4332" s="709" t="s">
        <v>168</v>
      </c>
      <c r="E4332" s="716">
        <v>79.95</v>
      </c>
      <c r="F4332" s="717">
        <v>0</v>
      </c>
      <c r="G4332">
        <f>VLOOKUP(B4332,'SINAPI-%MO'!B:E,4,0)</f>
        <v>0.72929999999999995</v>
      </c>
      <c r="H4332" s="225">
        <f t="shared" si="67"/>
        <v>21.64</v>
      </c>
    </row>
    <row r="4333" spans="1:8" x14ac:dyDescent="0.3">
      <c r="A4333" s="400"/>
      <c r="B4333" s="709">
        <v>104928</v>
      </c>
      <c r="C4333" s="710" t="s">
        <v>3892</v>
      </c>
      <c r="D4333" s="709" t="s">
        <v>168</v>
      </c>
      <c r="E4333" s="716">
        <v>160.66999999999999</v>
      </c>
      <c r="F4333" s="717">
        <v>0</v>
      </c>
      <c r="G4333">
        <f>VLOOKUP(B4333,'SINAPI-%MO'!B:E,4,0)</f>
        <v>0.60719999999999996</v>
      </c>
      <c r="H4333" s="225">
        <f t="shared" si="67"/>
        <v>63.11</v>
      </c>
    </row>
    <row r="4334" spans="1:8" x14ac:dyDescent="0.3">
      <c r="A4334" s="400"/>
      <c r="B4334" s="709">
        <v>104929</v>
      </c>
      <c r="C4334" s="710" t="s">
        <v>3893</v>
      </c>
      <c r="D4334" s="709" t="s">
        <v>168</v>
      </c>
      <c r="E4334" s="716">
        <v>97.58</v>
      </c>
      <c r="F4334" s="717">
        <v>0</v>
      </c>
      <c r="G4334">
        <f>VLOOKUP(B4334,'SINAPI-%MO'!B:E,4,0)</f>
        <v>0.64970000000000006</v>
      </c>
      <c r="H4334" s="225">
        <f t="shared" si="67"/>
        <v>34.18</v>
      </c>
    </row>
    <row r="4335" spans="1:8" x14ac:dyDescent="0.3">
      <c r="A4335" s="400"/>
      <c r="B4335" s="709">
        <v>104925</v>
      </c>
      <c r="C4335" s="710" t="s">
        <v>3894</v>
      </c>
      <c r="D4335" s="709" t="s">
        <v>168</v>
      </c>
      <c r="E4335" s="716">
        <v>155.11000000000001</v>
      </c>
      <c r="F4335" s="717">
        <v>0</v>
      </c>
      <c r="G4335">
        <f>VLOOKUP(B4335,'SINAPI-%MO'!B:E,4,0)</f>
        <v>0.45129999999999998</v>
      </c>
      <c r="H4335" s="225">
        <f t="shared" si="67"/>
        <v>85.1</v>
      </c>
    </row>
    <row r="4336" spans="1:8" x14ac:dyDescent="0.3">
      <c r="A4336" s="400"/>
      <c r="B4336" s="709">
        <v>104926</v>
      </c>
      <c r="C4336" s="710" t="s">
        <v>3895</v>
      </c>
      <c r="D4336" s="709" t="s">
        <v>168</v>
      </c>
      <c r="E4336" s="716">
        <v>101.59</v>
      </c>
      <c r="F4336" s="717">
        <v>0</v>
      </c>
      <c r="G4336">
        <f>VLOOKUP(B4336,'SINAPI-%MO'!B:E,4,0)</f>
        <v>0.55689999999999995</v>
      </c>
      <c r="H4336" s="225">
        <f t="shared" si="67"/>
        <v>45.01</v>
      </c>
    </row>
    <row r="4337" spans="1:8" x14ac:dyDescent="0.3">
      <c r="A4337" s="400"/>
      <c r="B4337" s="709">
        <v>104927</v>
      </c>
      <c r="C4337" s="710" t="s">
        <v>3896</v>
      </c>
      <c r="D4337" s="709" t="s">
        <v>168</v>
      </c>
      <c r="E4337" s="716">
        <v>73.760000000000005</v>
      </c>
      <c r="F4337" s="717">
        <v>0</v>
      </c>
      <c r="G4337">
        <f>VLOOKUP(B4337,'SINAPI-%MO'!B:E,4,0)</f>
        <v>0.67300000000000004</v>
      </c>
      <c r="H4337" s="225">
        <f t="shared" si="67"/>
        <v>24.11</v>
      </c>
    </row>
    <row r="4338" spans="1:8" x14ac:dyDescent="0.3">
      <c r="A4338" s="400"/>
      <c r="B4338" s="709">
        <v>96538</v>
      </c>
      <c r="C4338" s="710" t="s">
        <v>3897</v>
      </c>
      <c r="D4338" s="709" t="s">
        <v>168</v>
      </c>
      <c r="E4338" s="716">
        <v>263.70999999999998</v>
      </c>
      <c r="F4338" s="717">
        <v>0</v>
      </c>
      <c r="G4338">
        <f>VLOOKUP(B4338,'SINAPI-%MO'!B:E,4,0)</f>
        <v>0.69679999999999997</v>
      </c>
      <c r="H4338" s="225">
        <f t="shared" si="67"/>
        <v>79.95</v>
      </c>
    </row>
    <row r="4339" spans="1:8" x14ac:dyDescent="0.3">
      <c r="A4339" s="400"/>
      <c r="B4339" s="709">
        <v>96541</v>
      </c>
      <c r="C4339" s="710" t="s">
        <v>3898</v>
      </c>
      <c r="D4339" s="709" t="s">
        <v>168</v>
      </c>
      <c r="E4339" s="716">
        <v>194.62</v>
      </c>
      <c r="F4339" s="717">
        <v>0</v>
      </c>
      <c r="G4339">
        <f>VLOOKUP(B4339,'SINAPI-%MO'!B:E,4,0)</f>
        <v>0.77659999999999996</v>
      </c>
      <c r="H4339" s="225">
        <f t="shared" si="67"/>
        <v>43.47</v>
      </c>
    </row>
    <row r="4340" spans="1:8" x14ac:dyDescent="0.3">
      <c r="A4340" s="400"/>
      <c r="B4340" s="709">
        <v>96529</v>
      </c>
      <c r="C4340" s="710" t="s">
        <v>3899</v>
      </c>
      <c r="D4340" s="709" t="s">
        <v>168</v>
      </c>
      <c r="E4340" s="716">
        <v>265.07</v>
      </c>
      <c r="F4340" s="717">
        <v>0</v>
      </c>
      <c r="G4340">
        <f>VLOOKUP(B4340,'SINAPI-%MO'!B:E,4,0)</f>
        <v>0.65569999999999995</v>
      </c>
      <c r="H4340" s="225">
        <f t="shared" si="67"/>
        <v>91.26</v>
      </c>
    </row>
    <row r="4341" spans="1:8" x14ac:dyDescent="0.3">
      <c r="A4341" s="400"/>
      <c r="B4341" s="709">
        <v>96532</v>
      </c>
      <c r="C4341" s="710" t="s">
        <v>3900</v>
      </c>
      <c r="D4341" s="709" t="s">
        <v>168</v>
      </c>
      <c r="E4341" s="716">
        <v>182.56</v>
      </c>
      <c r="F4341" s="717">
        <v>0</v>
      </c>
      <c r="G4341">
        <f>VLOOKUP(B4341,'SINAPI-%MO'!B:E,4,0)</f>
        <v>0.73780000000000001</v>
      </c>
      <c r="H4341" s="225">
        <f t="shared" si="67"/>
        <v>47.86</v>
      </c>
    </row>
    <row r="4342" spans="1:8" x14ac:dyDescent="0.3">
      <c r="A4342" s="400"/>
      <c r="B4342" s="709">
        <v>96535</v>
      </c>
      <c r="C4342" s="710" t="s">
        <v>3901</v>
      </c>
      <c r="D4342" s="709" t="s">
        <v>168</v>
      </c>
      <c r="E4342" s="716">
        <v>139.62</v>
      </c>
      <c r="F4342" s="717">
        <v>0</v>
      </c>
      <c r="G4342">
        <f>VLOOKUP(B4342,'SINAPI-%MO'!B:E,4,0)</f>
        <v>0.81879999999999997</v>
      </c>
      <c r="H4342" s="225">
        <f t="shared" si="67"/>
        <v>25.29</v>
      </c>
    </row>
    <row r="4343" spans="1:8" x14ac:dyDescent="0.3">
      <c r="A4343" s="400"/>
      <c r="B4343" s="709">
        <v>96539</v>
      </c>
      <c r="C4343" s="710" t="s">
        <v>3902</v>
      </c>
      <c r="D4343" s="709" t="s">
        <v>168</v>
      </c>
      <c r="E4343" s="716">
        <v>141.47999999999999</v>
      </c>
      <c r="F4343" s="717">
        <v>0</v>
      </c>
      <c r="G4343">
        <f>VLOOKUP(B4343,'SINAPI-%MO'!B:E,4,0)</f>
        <v>0.59019999999999995</v>
      </c>
      <c r="H4343" s="225">
        <f t="shared" si="67"/>
        <v>57.97</v>
      </c>
    </row>
    <row r="4344" spans="1:8" x14ac:dyDescent="0.3">
      <c r="A4344" s="400"/>
      <c r="B4344" s="709">
        <v>96542</v>
      </c>
      <c r="C4344" s="710" t="s">
        <v>3903</v>
      </c>
      <c r="D4344" s="709" t="s">
        <v>168</v>
      </c>
      <c r="E4344" s="716">
        <v>105.29</v>
      </c>
      <c r="F4344" s="717">
        <v>0</v>
      </c>
      <c r="G4344">
        <f>VLOOKUP(B4344,'SINAPI-%MO'!B:E,4,0)</f>
        <v>0.70630000000000004</v>
      </c>
      <c r="H4344" s="225">
        <f t="shared" si="67"/>
        <v>30.92</v>
      </c>
    </row>
    <row r="4345" spans="1:8" x14ac:dyDescent="0.3">
      <c r="A4345" s="400"/>
      <c r="B4345" s="709">
        <v>96530</v>
      </c>
      <c r="C4345" s="710" t="s">
        <v>3904</v>
      </c>
      <c r="D4345" s="709" t="s">
        <v>168</v>
      </c>
      <c r="E4345" s="716">
        <v>138.37</v>
      </c>
      <c r="F4345" s="717">
        <v>0</v>
      </c>
      <c r="G4345">
        <f>VLOOKUP(B4345,'SINAPI-%MO'!B:E,4,0)</f>
        <v>0.46860000000000002</v>
      </c>
      <c r="H4345" s="225">
        <f t="shared" si="67"/>
        <v>73.52</v>
      </c>
    </row>
    <row r="4346" spans="1:8" x14ac:dyDescent="0.3">
      <c r="A4346" s="400"/>
      <c r="B4346" s="709">
        <v>96533</v>
      </c>
      <c r="C4346" s="710" t="s">
        <v>3905</v>
      </c>
      <c r="D4346" s="709" t="s">
        <v>168</v>
      </c>
      <c r="E4346" s="716">
        <v>92.68</v>
      </c>
      <c r="F4346" s="717">
        <v>0</v>
      </c>
      <c r="G4346">
        <f>VLOOKUP(B4346,'SINAPI-%MO'!B:E,4,0)</f>
        <v>0.58220000000000005</v>
      </c>
      <c r="H4346" s="225">
        <f t="shared" si="67"/>
        <v>38.72</v>
      </c>
    </row>
    <row r="4347" spans="1:8" x14ac:dyDescent="0.3">
      <c r="A4347" s="400"/>
      <c r="B4347" s="709">
        <v>96536</v>
      </c>
      <c r="C4347" s="710" t="s">
        <v>3906</v>
      </c>
      <c r="D4347" s="709" t="s">
        <v>168</v>
      </c>
      <c r="E4347" s="716">
        <v>68.819999999999993</v>
      </c>
      <c r="F4347" s="717">
        <v>0</v>
      </c>
      <c r="G4347">
        <f>VLOOKUP(B4347,'SINAPI-%MO'!B:E,4,0)</f>
        <v>0.70079999999999998</v>
      </c>
      <c r="H4347" s="225">
        <f t="shared" si="67"/>
        <v>20.59</v>
      </c>
    </row>
    <row r="4348" spans="1:8" x14ac:dyDescent="0.3">
      <c r="A4348" s="400"/>
      <c r="B4348" s="709">
        <v>105518</v>
      </c>
      <c r="C4348" s="710" t="s">
        <v>3907</v>
      </c>
      <c r="D4348" s="709" t="s">
        <v>168</v>
      </c>
      <c r="E4348" s="716">
        <v>0</v>
      </c>
      <c r="F4348" s="717"/>
      <c r="G4348" t="e">
        <f>VLOOKUP(B4348,'SINAPI-%MO'!B:E,4,0)</f>
        <v>#N/A</v>
      </c>
      <c r="H4348" s="225" t="str">
        <f t="shared" si="67"/>
        <v/>
      </c>
    </row>
    <row r="4349" spans="1:8" x14ac:dyDescent="0.3">
      <c r="A4349" s="400"/>
      <c r="B4349" s="709">
        <v>105517</v>
      </c>
      <c r="C4349" s="710" t="s">
        <v>3908</v>
      </c>
      <c r="D4349" s="709" t="s">
        <v>168</v>
      </c>
      <c r="E4349" s="716">
        <v>0</v>
      </c>
      <c r="F4349" s="717"/>
      <c r="G4349" t="e">
        <f>VLOOKUP(B4349,'SINAPI-%MO'!B:E,4,0)</f>
        <v>#N/A</v>
      </c>
      <c r="H4349" s="225" t="str">
        <f t="shared" si="67"/>
        <v/>
      </c>
    </row>
    <row r="4350" spans="1:8" x14ac:dyDescent="0.3">
      <c r="A4350" s="400"/>
      <c r="B4350" s="709">
        <v>105520</v>
      </c>
      <c r="C4350" s="710" t="s">
        <v>3909</v>
      </c>
      <c r="D4350" s="709" t="s">
        <v>168</v>
      </c>
      <c r="E4350" s="716">
        <v>0</v>
      </c>
      <c r="F4350" s="717"/>
      <c r="G4350" t="e">
        <f>VLOOKUP(B4350,'SINAPI-%MO'!B:E,4,0)</f>
        <v>#N/A</v>
      </c>
      <c r="H4350" s="225" t="str">
        <f t="shared" si="67"/>
        <v/>
      </c>
    </row>
    <row r="4351" spans="1:8" x14ac:dyDescent="0.3">
      <c r="A4351" s="400"/>
      <c r="B4351" s="709">
        <v>105519</v>
      </c>
      <c r="C4351" s="710" t="s">
        <v>3910</v>
      </c>
      <c r="D4351" s="709" t="s">
        <v>168</v>
      </c>
      <c r="E4351" s="716">
        <v>0</v>
      </c>
      <c r="F4351" s="717"/>
      <c r="G4351" t="e">
        <f>VLOOKUP(B4351,'SINAPI-%MO'!B:E,4,0)</f>
        <v>#N/A</v>
      </c>
      <c r="H4351" s="225" t="str">
        <f t="shared" si="67"/>
        <v/>
      </c>
    </row>
    <row r="4352" spans="1:8" x14ac:dyDescent="0.3">
      <c r="A4352" s="400"/>
      <c r="B4352" s="709">
        <v>101793</v>
      </c>
      <c r="C4352" s="710" t="s">
        <v>3911</v>
      </c>
      <c r="D4352" s="709" t="s">
        <v>170</v>
      </c>
      <c r="E4352" s="716">
        <v>25.36</v>
      </c>
      <c r="F4352" s="717">
        <v>0</v>
      </c>
      <c r="G4352">
        <f>VLOOKUP(B4352,'SINAPI-%MO'!B:E,4,0)</f>
        <v>0.46850000000000003</v>
      </c>
      <c r="H4352" s="225">
        <f t="shared" si="67"/>
        <v>13.47</v>
      </c>
    </row>
    <row r="4353" spans="1:8" x14ac:dyDescent="0.3">
      <c r="A4353" s="400"/>
      <c r="B4353" s="709">
        <v>101792</v>
      </c>
      <c r="C4353" s="710" t="s">
        <v>3912</v>
      </c>
      <c r="D4353" s="709" t="s">
        <v>170</v>
      </c>
      <c r="E4353" s="716">
        <v>17.010000000000002</v>
      </c>
      <c r="F4353" s="717">
        <v>0</v>
      </c>
      <c r="G4353">
        <f>VLOOKUP(B4353,'SINAPI-%MO'!B:E,4,0)</f>
        <v>0.51680000000000004</v>
      </c>
      <c r="H4353" s="225">
        <f t="shared" si="67"/>
        <v>8.2100000000000009</v>
      </c>
    </row>
    <row r="4354" spans="1:8" x14ac:dyDescent="0.3">
      <c r="A4354" s="400"/>
      <c r="B4354" s="709">
        <v>92272</v>
      </c>
      <c r="C4354" s="710" t="s">
        <v>3913</v>
      </c>
      <c r="D4354" s="709" t="s">
        <v>159</v>
      </c>
      <c r="E4354" s="716">
        <v>38.729999999999997</v>
      </c>
      <c r="F4354" s="717">
        <v>0</v>
      </c>
      <c r="G4354">
        <f>VLOOKUP(B4354,'SINAPI-%MO'!B:E,4,0)</f>
        <v>0.18820000000000001</v>
      </c>
      <c r="H4354" s="225">
        <f t="shared" si="67"/>
        <v>31.44</v>
      </c>
    </row>
    <row r="4355" spans="1:8" x14ac:dyDescent="0.3">
      <c r="A4355" s="400"/>
      <c r="B4355" s="709">
        <v>101791</v>
      </c>
      <c r="C4355" s="710" t="s">
        <v>3914</v>
      </c>
      <c r="D4355" s="709" t="s">
        <v>159</v>
      </c>
      <c r="E4355" s="716">
        <v>23.23</v>
      </c>
      <c r="F4355" s="717">
        <v>0</v>
      </c>
      <c r="G4355">
        <f>VLOOKUP(B4355,'SINAPI-%MO'!B:E,4,0)</f>
        <v>0.1128</v>
      </c>
      <c r="H4355" s="225">
        <f t="shared" si="67"/>
        <v>20.6</v>
      </c>
    </row>
    <row r="4356" spans="1:8" x14ac:dyDescent="0.3">
      <c r="A4356" s="400"/>
      <c r="B4356" s="709">
        <v>92273</v>
      </c>
      <c r="C4356" s="710" t="s">
        <v>3915</v>
      </c>
      <c r="D4356" s="709" t="s">
        <v>159</v>
      </c>
      <c r="E4356" s="716">
        <v>14.34</v>
      </c>
      <c r="F4356" s="717">
        <v>0</v>
      </c>
      <c r="G4356">
        <f>VLOOKUP(B4356,'SINAPI-%MO'!B:E,4,0)</f>
        <v>0.32429999999999998</v>
      </c>
      <c r="H4356" s="225">
        <f t="shared" si="67"/>
        <v>9.68</v>
      </c>
    </row>
    <row r="4357" spans="1:8" x14ac:dyDescent="0.3">
      <c r="A4357" s="400"/>
      <c r="B4357" s="709">
        <v>92268</v>
      </c>
      <c r="C4357" s="710" t="s">
        <v>3916</v>
      </c>
      <c r="D4357" s="709" t="s">
        <v>168</v>
      </c>
      <c r="E4357" s="716">
        <v>113.2</v>
      </c>
      <c r="F4357" s="717">
        <v>0</v>
      </c>
      <c r="G4357">
        <f>VLOOKUP(B4357,'SINAPI-%MO'!B:E,4,0)</f>
        <v>1.09E-2</v>
      </c>
      <c r="H4357" s="225">
        <f t="shared" si="67"/>
        <v>111.96</v>
      </c>
    </row>
    <row r="4358" spans="1:8" x14ac:dyDescent="0.3">
      <c r="A4358" s="400"/>
      <c r="B4358" s="709">
        <v>92267</v>
      </c>
      <c r="C4358" s="710" t="s">
        <v>3917</v>
      </c>
      <c r="D4358" s="709" t="s">
        <v>168</v>
      </c>
      <c r="E4358" s="716">
        <v>67.34</v>
      </c>
      <c r="F4358" s="717">
        <v>0</v>
      </c>
      <c r="G4358">
        <f>VLOOKUP(B4358,'SINAPI-%MO'!B:E,4,0)</f>
        <v>1.83E-2</v>
      </c>
      <c r="H4358" s="225">
        <f t="shared" si="67"/>
        <v>66.099999999999994</v>
      </c>
    </row>
    <row r="4359" spans="1:8" x14ac:dyDescent="0.3">
      <c r="A4359" s="400"/>
      <c r="B4359" s="709">
        <v>92271</v>
      </c>
      <c r="C4359" s="710" t="s">
        <v>3918</v>
      </c>
      <c r="D4359" s="709" t="s">
        <v>168</v>
      </c>
      <c r="E4359" s="716">
        <v>109.24</v>
      </c>
      <c r="F4359" s="717">
        <v>0</v>
      </c>
      <c r="G4359">
        <f>VLOOKUP(B4359,'SINAPI-%MO'!B:E,4,0)</f>
        <v>5.8999999999999999E-3</v>
      </c>
      <c r="H4359" s="225">
        <f t="shared" si="67"/>
        <v>108.59</v>
      </c>
    </row>
    <row r="4360" spans="1:8" x14ac:dyDescent="0.3">
      <c r="A4360" s="400"/>
      <c r="B4360" s="709">
        <v>92264</v>
      </c>
      <c r="C4360" s="710" t="s">
        <v>3919</v>
      </c>
      <c r="D4360" s="709" t="s">
        <v>168</v>
      </c>
      <c r="E4360" s="716">
        <v>239.17</v>
      </c>
      <c r="F4360" s="717">
        <v>0</v>
      </c>
      <c r="G4360">
        <f>VLOOKUP(B4360,'SINAPI-%MO'!B:E,4,0)</f>
        <v>0.22570000000000001</v>
      </c>
      <c r="H4360" s="225">
        <f t="shared" si="67"/>
        <v>185.18</v>
      </c>
    </row>
    <row r="4361" spans="1:8" x14ac:dyDescent="0.3">
      <c r="A4361" s="400"/>
      <c r="B4361" s="709">
        <v>92263</v>
      </c>
      <c r="C4361" s="710" t="s">
        <v>3920</v>
      </c>
      <c r="D4361" s="709" t="s">
        <v>168</v>
      </c>
      <c r="E4361" s="716">
        <v>180.83</v>
      </c>
      <c r="F4361" s="717">
        <v>0</v>
      </c>
      <c r="G4361">
        <f>VLOOKUP(B4361,'SINAPI-%MO'!B:E,4,0)</f>
        <v>0.29849999999999999</v>
      </c>
      <c r="H4361" s="225">
        <f t="shared" si="67"/>
        <v>126.85</v>
      </c>
    </row>
    <row r="4362" spans="1:8" x14ac:dyDescent="0.3">
      <c r="A4362" s="400"/>
      <c r="B4362" s="709">
        <v>92269</v>
      </c>
      <c r="C4362" s="710" t="s">
        <v>3921</v>
      </c>
      <c r="D4362" s="709" t="s">
        <v>168</v>
      </c>
      <c r="E4362" s="716">
        <v>121.08</v>
      </c>
      <c r="F4362" s="717">
        <v>0</v>
      </c>
      <c r="G4362">
        <f>VLOOKUP(B4362,'SINAPI-%MO'!B:E,4,0)</f>
        <v>0.25819999999999999</v>
      </c>
      <c r="H4362" s="225">
        <f t="shared" si="67"/>
        <v>89.81</v>
      </c>
    </row>
    <row r="4363" spans="1:8" x14ac:dyDescent="0.3">
      <c r="A4363" s="400"/>
      <c r="B4363" s="709">
        <v>92270</v>
      </c>
      <c r="C4363" s="710" t="s">
        <v>3922</v>
      </c>
      <c r="D4363" s="709" t="s">
        <v>168</v>
      </c>
      <c r="E4363" s="716">
        <v>176.77</v>
      </c>
      <c r="F4363" s="717">
        <v>0</v>
      </c>
      <c r="G4363">
        <f>VLOOKUP(B4363,'SINAPI-%MO'!B:E,4,0)</f>
        <v>0.22009999999999999</v>
      </c>
      <c r="H4363" s="225">
        <f t="shared" ref="H4363:H4426" si="68">IF(E4363&gt;0,TRUNC(E4363*(1-G4363),2),"")</f>
        <v>137.86000000000001</v>
      </c>
    </row>
    <row r="4364" spans="1:8" x14ac:dyDescent="0.3">
      <c r="A4364" s="400"/>
      <c r="B4364" s="709">
        <v>92266</v>
      </c>
      <c r="C4364" s="710" t="s">
        <v>3923</v>
      </c>
      <c r="D4364" s="709" t="s">
        <v>168</v>
      </c>
      <c r="E4364" s="716">
        <v>186.56</v>
      </c>
      <c r="F4364" s="717">
        <v>0</v>
      </c>
      <c r="G4364">
        <f>VLOOKUP(B4364,'SINAPI-%MO'!B:E,4,0)</f>
        <v>0.23250000000000001</v>
      </c>
      <c r="H4364" s="225">
        <f t="shared" si="68"/>
        <v>143.18</v>
      </c>
    </row>
    <row r="4365" spans="1:8" x14ac:dyDescent="0.3">
      <c r="A4365" s="400"/>
      <c r="B4365" s="709">
        <v>92265</v>
      </c>
      <c r="C4365" s="710" t="s">
        <v>3924</v>
      </c>
      <c r="D4365" s="709" t="s">
        <v>168</v>
      </c>
      <c r="E4365" s="716">
        <v>136.52000000000001</v>
      </c>
      <c r="F4365" s="717">
        <v>0</v>
      </c>
      <c r="G4365">
        <f>VLOOKUP(B4365,'SINAPI-%MO'!B:E,4,0)</f>
        <v>0.31769999999999998</v>
      </c>
      <c r="H4365" s="225">
        <f t="shared" si="68"/>
        <v>93.14</v>
      </c>
    </row>
    <row r="4366" spans="1:8" x14ac:dyDescent="0.3">
      <c r="A4366" s="400"/>
      <c r="B4366" s="709">
        <v>92524</v>
      </c>
      <c r="C4366" s="710" t="s">
        <v>3925</v>
      </c>
      <c r="D4366" s="709" t="s">
        <v>168</v>
      </c>
      <c r="E4366" s="716">
        <v>88.64</v>
      </c>
      <c r="F4366" s="717">
        <v>5.7000000000000002E-2</v>
      </c>
      <c r="G4366">
        <f>VLOOKUP(B4366,'SINAPI-%MO'!B:E,4,0)</f>
        <v>0.34789999999999999</v>
      </c>
      <c r="H4366" s="225">
        <f t="shared" si="68"/>
        <v>57.8</v>
      </c>
    </row>
    <row r="4367" spans="1:8" x14ac:dyDescent="0.3">
      <c r="A4367" s="400"/>
      <c r="B4367" s="709">
        <v>92528</v>
      </c>
      <c r="C4367" s="710" t="s">
        <v>3926</v>
      </c>
      <c r="D4367" s="709" t="s">
        <v>168</v>
      </c>
      <c r="E4367" s="716">
        <v>84.73</v>
      </c>
      <c r="F4367" s="717">
        <v>5.96E-2</v>
      </c>
      <c r="G4367">
        <f>VLOOKUP(B4367,'SINAPI-%MO'!B:E,4,0)</f>
        <v>0.33639999999999998</v>
      </c>
      <c r="H4367" s="225">
        <f t="shared" si="68"/>
        <v>56.22</v>
      </c>
    </row>
    <row r="4368" spans="1:8" x14ac:dyDescent="0.3">
      <c r="A4368" s="400"/>
      <c r="B4368" s="709">
        <v>92532</v>
      </c>
      <c r="C4368" s="710" t="s">
        <v>3927</v>
      </c>
      <c r="D4368" s="709" t="s">
        <v>168</v>
      </c>
      <c r="E4368" s="716">
        <v>81.349999999999994</v>
      </c>
      <c r="F4368" s="717">
        <v>6.2100000000000002E-2</v>
      </c>
      <c r="G4368">
        <f>VLOOKUP(B4368,'SINAPI-%MO'!B:E,4,0)</f>
        <v>0.32390000000000002</v>
      </c>
      <c r="H4368" s="225">
        <f t="shared" si="68"/>
        <v>55</v>
      </c>
    </row>
    <row r="4369" spans="1:8" x14ac:dyDescent="0.3">
      <c r="A4369" s="400"/>
      <c r="B4369" s="709">
        <v>92536</v>
      </c>
      <c r="C4369" s="710" t="s">
        <v>3928</v>
      </c>
      <c r="D4369" s="709" t="s">
        <v>168</v>
      </c>
      <c r="E4369" s="716">
        <v>74.81</v>
      </c>
      <c r="F4369" s="717">
        <v>6.7500000000000004E-2</v>
      </c>
      <c r="G4369">
        <f>VLOOKUP(B4369,'SINAPI-%MO'!B:E,4,0)</f>
        <v>0.30080000000000001</v>
      </c>
      <c r="H4369" s="225">
        <f t="shared" si="68"/>
        <v>52.3</v>
      </c>
    </row>
    <row r="4370" spans="1:8" x14ac:dyDescent="0.3">
      <c r="A4370" s="400"/>
      <c r="B4370" s="709">
        <v>92508</v>
      </c>
      <c r="C4370" s="710" t="s">
        <v>3929</v>
      </c>
      <c r="D4370" s="709" t="s">
        <v>168</v>
      </c>
      <c r="E4370" s="716">
        <v>123.47</v>
      </c>
      <c r="F4370" s="717">
        <v>4.0899999999999999E-2</v>
      </c>
      <c r="G4370">
        <f>VLOOKUP(B4370,'SINAPI-%MO'!B:E,4,0)</f>
        <v>0.3458</v>
      </c>
      <c r="H4370" s="225">
        <f t="shared" si="68"/>
        <v>80.77</v>
      </c>
    </row>
    <row r="4371" spans="1:8" x14ac:dyDescent="0.3">
      <c r="A4371" s="400"/>
      <c r="B4371" s="709">
        <v>92512</v>
      </c>
      <c r="C4371" s="710" t="s">
        <v>3930</v>
      </c>
      <c r="D4371" s="709" t="s">
        <v>168</v>
      </c>
      <c r="E4371" s="716">
        <v>104.41</v>
      </c>
      <c r="F4371" s="717">
        <v>4.8399999999999999E-2</v>
      </c>
      <c r="G4371">
        <f>VLOOKUP(B4371,'SINAPI-%MO'!B:E,4,0)</f>
        <v>0.37580000000000002</v>
      </c>
      <c r="H4371" s="225">
        <f t="shared" si="68"/>
        <v>65.17</v>
      </c>
    </row>
    <row r="4372" spans="1:8" x14ac:dyDescent="0.3">
      <c r="A4372" s="400"/>
      <c r="B4372" s="709">
        <v>92515</v>
      </c>
      <c r="C4372" s="710" t="s">
        <v>3931</v>
      </c>
      <c r="D4372" s="709" t="s">
        <v>168</v>
      </c>
      <c r="E4372" s="716">
        <v>95.01</v>
      </c>
      <c r="F4372" s="717">
        <v>5.3199999999999997E-2</v>
      </c>
      <c r="G4372">
        <f>VLOOKUP(B4372,'SINAPI-%MO'!B:E,4,0)</f>
        <v>0.38100000000000001</v>
      </c>
      <c r="H4372" s="225">
        <f t="shared" si="68"/>
        <v>58.81</v>
      </c>
    </row>
    <row r="4373" spans="1:8" x14ac:dyDescent="0.3">
      <c r="A4373" s="400"/>
      <c r="B4373" s="709">
        <v>92520</v>
      </c>
      <c r="C4373" s="710" t="s">
        <v>3932</v>
      </c>
      <c r="D4373" s="709" t="s">
        <v>168</v>
      </c>
      <c r="E4373" s="716">
        <v>88.94</v>
      </c>
      <c r="F4373" s="717">
        <v>5.6800000000000003E-2</v>
      </c>
      <c r="G4373">
        <f>VLOOKUP(B4373,'SINAPI-%MO'!B:E,4,0)</f>
        <v>0.37580000000000002</v>
      </c>
      <c r="H4373" s="225">
        <f t="shared" si="68"/>
        <v>55.51</v>
      </c>
    </row>
    <row r="4374" spans="1:8" x14ac:dyDescent="0.3">
      <c r="A4374" s="400"/>
      <c r="B4374" s="709">
        <v>92526</v>
      </c>
      <c r="C4374" s="710" t="s">
        <v>3933</v>
      </c>
      <c r="D4374" s="709" t="s">
        <v>168</v>
      </c>
      <c r="E4374" s="716">
        <v>48.76</v>
      </c>
      <c r="F4374" s="717">
        <v>0.1036</v>
      </c>
      <c r="G4374">
        <f>VLOOKUP(B4374,'SINAPI-%MO'!B:E,4,0)</f>
        <v>0.36709999999999998</v>
      </c>
      <c r="H4374" s="225">
        <f t="shared" si="68"/>
        <v>30.86</v>
      </c>
    </row>
    <row r="4375" spans="1:8" x14ac:dyDescent="0.3">
      <c r="A4375" s="400"/>
      <c r="B4375" s="709">
        <v>92530</v>
      </c>
      <c r="C4375" s="710" t="s">
        <v>3934</v>
      </c>
      <c r="D4375" s="709" t="s">
        <v>168</v>
      </c>
      <c r="E4375" s="716">
        <v>45.83</v>
      </c>
      <c r="F4375" s="717">
        <v>0.11020000000000001</v>
      </c>
      <c r="G4375">
        <f>VLOOKUP(B4375,'SINAPI-%MO'!B:E,4,0)</f>
        <v>0.3609</v>
      </c>
      <c r="H4375" s="225">
        <f t="shared" si="68"/>
        <v>29.28</v>
      </c>
    </row>
    <row r="4376" spans="1:8" x14ac:dyDescent="0.3">
      <c r="A4376" s="400"/>
      <c r="B4376" s="709">
        <v>92534</v>
      </c>
      <c r="C4376" s="710" t="s">
        <v>3935</v>
      </c>
      <c r="D4376" s="709" t="s">
        <v>168</v>
      </c>
      <c r="E4376" s="716">
        <v>43.36</v>
      </c>
      <c r="F4376" s="717">
        <v>0.11650000000000001</v>
      </c>
      <c r="G4376">
        <f>VLOOKUP(B4376,'SINAPI-%MO'!B:E,4,0)</f>
        <v>0.35289999999999999</v>
      </c>
      <c r="H4376" s="225">
        <f t="shared" si="68"/>
        <v>28.05</v>
      </c>
    </row>
    <row r="4377" spans="1:8" x14ac:dyDescent="0.3">
      <c r="A4377" s="400"/>
      <c r="B4377" s="709">
        <v>92538</v>
      </c>
      <c r="C4377" s="710" t="s">
        <v>3936</v>
      </c>
      <c r="D4377" s="709" t="s">
        <v>168</v>
      </c>
      <c r="E4377" s="716">
        <v>38.4</v>
      </c>
      <c r="F4377" s="717">
        <v>0.13150000000000001</v>
      </c>
      <c r="G4377">
        <f>VLOOKUP(B4377,'SINAPI-%MO'!B:E,4,0)</f>
        <v>0.33929999999999999</v>
      </c>
      <c r="H4377" s="225">
        <f t="shared" si="68"/>
        <v>25.37</v>
      </c>
    </row>
    <row r="4378" spans="1:8" x14ac:dyDescent="0.3">
      <c r="A4378" s="400"/>
      <c r="B4378" s="709">
        <v>103760</v>
      </c>
      <c r="C4378" s="710" t="s">
        <v>3937</v>
      </c>
      <c r="D4378" s="709" t="s">
        <v>168</v>
      </c>
      <c r="E4378" s="716">
        <v>127.96</v>
      </c>
      <c r="F4378" s="717">
        <v>0</v>
      </c>
      <c r="G4378">
        <f>VLOOKUP(B4378,'SINAPI-%MO'!B:E,4,0)</f>
        <v>0.31780000000000003</v>
      </c>
      <c r="H4378" s="225">
        <f t="shared" si="68"/>
        <v>87.29</v>
      </c>
    </row>
    <row r="4379" spans="1:8" x14ac:dyDescent="0.3">
      <c r="A4379" s="400"/>
      <c r="B4379" s="709">
        <v>103761</v>
      </c>
      <c r="C4379" s="710" t="s">
        <v>3938</v>
      </c>
      <c r="D4379" s="709" t="s">
        <v>168</v>
      </c>
      <c r="E4379" s="716">
        <v>86.74</v>
      </c>
      <c r="F4379" s="717">
        <v>0</v>
      </c>
      <c r="G4379">
        <f>VLOOKUP(B4379,'SINAPI-%MO'!B:E,4,0)</f>
        <v>0.43209999999999998</v>
      </c>
      <c r="H4379" s="225">
        <f t="shared" si="68"/>
        <v>49.25</v>
      </c>
    </row>
    <row r="4380" spans="1:8" x14ac:dyDescent="0.3">
      <c r="A4380" s="400"/>
      <c r="B4380" s="709">
        <v>103762</v>
      </c>
      <c r="C4380" s="710" t="s">
        <v>3939</v>
      </c>
      <c r="D4380" s="709" t="s">
        <v>168</v>
      </c>
      <c r="E4380" s="716">
        <v>73.56</v>
      </c>
      <c r="F4380" s="717">
        <v>0</v>
      </c>
      <c r="G4380">
        <f>VLOOKUP(B4380,'SINAPI-%MO'!B:E,4,0)</f>
        <v>0.46810000000000002</v>
      </c>
      <c r="H4380" s="225">
        <f t="shared" si="68"/>
        <v>39.119999999999997</v>
      </c>
    </row>
    <row r="4381" spans="1:8" x14ac:dyDescent="0.3">
      <c r="A4381" s="400"/>
      <c r="B4381" s="709">
        <v>103763</v>
      </c>
      <c r="C4381" s="710" t="s">
        <v>3940</v>
      </c>
      <c r="D4381" s="709" t="s">
        <v>168</v>
      </c>
      <c r="E4381" s="716">
        <v>64.58</v>
      </c>
      <c r="F4381" s="717">
        <v>0</v>
      </c>
      <c r="G4381">
        <f>VLOOKUP(B4381,'SINAPI-%MO'!B:E,4,0)</f>
        <v>0.49399999999999999</v>
      </c>
      <c r="H4381" s="225">
        <f t="shared" si="68"/>
        <v>32.67</v>
      </c>
    </row>
    <row r="4382" spans="1:8" x14ac:dyDescent="0.3">
      <c r="A4382" s="400"/>
      <c r="B4382" s="709">
        <v>92510</v>
      </c>
      <c r="C4382" s="710" t="s">
        <v>3941</v>
      </c>
      <c r="D4382" s="709" t="s">
        <v>168</v>
      </c>
      <c r="E4382" s="716">
        <v>78.81</v>
      </c>
      <c r="F4382" s="717">
        <v>6.4100000000000004E-2</v>
      </c>
      <c r="G4382">
        <f>VLOOKUP(B4382,'SINAPI-%MO'!B:E,4,0)</f>
        <v>0.317</v>
      </c>
      <c r="H4382" s="225">
        <f t="shared" si="68"/>
        <v>53.82</v>
      </c>
    </row>
    <row r="4383" spans="1:8" x14ac:dyDescent="0.3">
      <c r="A4383" s="400"/>
      <c r="B4383" s="709">
        <v>92514</v>
      </c>
      <c r="C4383" s="710" t="s">
        <v>3942</v>
      </c>
      <c r="D4383" s="709" t="s">
        <v>168</v>
      </c>
      <c r="E4383" s="716">
        <v>61.07</v>
      </c>
      <c r="F4383" s="717">
        <v>8.2699999999999996E-2</v>
      </c>
      <c r="G4383">
        <f>VLOOKUP(B4383,'SINAPI-%MO'!B:E,4,0)</f>
        <v>0.374</v>
      </c>
      <c r="H4383" s="225">
        <f t="shared" si="68"/>
        <v>38.22</v>
      </c>
    </row>
    <row r="4384" spans="1:8" x14ac:dyDescent="0.3">
      <c r="A4384" s="400"/>
      <c r="B4384" s="709">
        <v>92518</v>
      </c>
      <c r="C4384" s="710" t="s">
        <v>3943</v>
      </c>
      <c r="D4384" s="709" t="s">
        <v>168</v>
      </c>
      <c r="E4384" s="716">
        <v>52.93</v>
      </c>
      <c r="F4384" s="717">
        <v>9.5399999999999999E-2</v>
      </c>
      <c r="G4384">
        <f>VLOOKUP(B4384,'SINAPI-%MO'!B:E,4,0)</f>
        <v>0.39789999999999998</v>
      </c>
      <c r="H4384" s="225">
        <f t="shared" si="68"/>
        <v>31.86</v>
      </c>
    </row>
    <row r="4385" spans="1:8" x14ac:dyDescent="0.3">
      <c r="A4385" s="400"/>
      <c r="B4385" s="709">
        <v>92522</v>
      </c>
      <c r="C4385" s="710" t="s">
        <v>3944</v>
      </c>
      <c r="D4385" s="709" t="s">
        <v>168</v>
      </c>
      <c r="E4385" s="716">
        <v>47.98</v>
      </c>
      <c r="F4385" s="717">
        <v>0.1053</v>
      </c>
      <c r="G4385">
        <f>VLOOKUP(B4385,'SINAPI-%MO'!B:E,4,0)</f>
        <v>0.40429999999999999</v>
      </c>
      <c r="H4385" s="225">
        <f t="shared" si="68"/>
        <v>28.58</v>
      </c>
    </row>
    <row r="4386" spans="1:8" x14ac:dyDescent="0.3">
      <c r="A4386" s="400"/>
      <c r="B4386" s="709">
        <v>92482</v>
      </c>
      <c r="C4386" s="710" t="s">
        <v>3945</v>
      </c>
      <c r="D4386" s="709" t="s">
        <v>168</v>
      </c>
      <c r="E4386" s="716">
        <v>346.86</v>
      </c>
      <c r="F4386" s="717">
        <v>0</v>
      </c>
      <c r="G4386">
        <f>VLOOKUP(B4386,'SINAPI-%MO'!B:E,4,0)</f>
        <v>0.42549999999999999</v>
      </c>
      <c r="H4386" s="225">
        <f t="shared" si="68"/>
        <v>199.27</v>
      </c>
    </row>
    <row r="4387" spans="1:8" x14ac:dyDescent="0.3">
      <c r="A4387" s="400"/>
      <c r="B4387" s="709">
        <v>92484</v>
      </c>
      <c r="C4387" s="710" t="s">
        <v>3946</v>
      </c>
      <c r="D4387" s="709" t="s">
        <v>168</v>
      </c>
      <c r="E4387" s="716">
        <v>240.95</v>
      </c>
      <c r="F4387" s="717">
        <v>0</v>
      </c>
      <c r="G4387">
        <f>VLOOKUP(B4387,'SINAPI-%MO'!B:E,4,0)</f>
        <v>0.50639999999999996</v>
      </c>
      <c r="H4387" s="225">
        <f t="shared" si="68"/>
        <v>118.93</v>
      </c>
    </row>
    <row r="4388" spans="1:8" x14ac:dyDescent="0.3">
      <c r="A4388" s="400"/>
      <c r="B4388" s="709">
        <v>92486</v>
      </c>
      <c r="C4388" s="710" t="s">
        <v>3947</v>
      </c>
      <c r="D4388" s="709" t="s">
        <v>168</v>
      </c>
      <c r="E4388" s="716">
        <v>172.97</v>
      </c>
      <c r="F4388" s="717">
        <v>0</v>
      </c>
      <c r="G4388">
        <f>VLOOKUP(B4388,'SINAPI-%MO'!B:E,4,0)</f>
        <v>0.58289999999999997</v>
      </c>
      <c r="H4388" s="225">
        <f t="shared" si="68"/>
        <v>72.14</v>
      </c>
    </row>
    <row r="4389" spans="1:8" x14ac:dyDescent="0.3">
      <c r="A4389" s="400"/>
      <c r="B4389" s="709">
        <v>92492</v>
      </c>
      <c r="C4389" s="710" t="s">
        <v>3948</v>
      </c>
      <c r="D4389" s="709" t="s">
        <v>168</v>
      </c>
      <c r="E4389" s="716">
        <v>117.69</v>
      </c>
      <c r="F4389" s="717">
        <v>4.2900000000000001E-2</v>
      </c>
      <c r="G4389">
        <f>VLOOKUP(B4389,'SINAPI-%MO'!B:E,4,0)</f>
        <v>0.42949999999999999</v>
      </c>
      <c r="H4389" s="225">
        <f t="shared" si="68"/>
        <v>67.14</v>
      </c>
    </row>
    <row r="4390" spans="1:8" x14ac:dyDescent="0.3">
      <c r="A4390" s="400"/>
      <c r="B4390" s="709">
        <v>92496</v>
      </c>
      <c r="C4390" s="710" t="s">
        <v>3949</v>
      </c>
      <c r="D4390" s="709" t="s">
        <v>168</v>
      </c>
      <c r="E4390" s="716">
        <v>112.24</v>
      </c>
      <c r="F4390" s="717">
        <v>4.4999999999999998E-2</v>
      </c>
      <c r="G4390">
        <f>VLOOKUP(B4390,'SINAPI-%MO'!B:E,4,0)</f>
        <v>0.41649999999999998</v>
      </c>
      <c r="H4390" s="225">
        <f t="shared" si="68"/>
        <v>65.489999999999995</v>
      </c>
    </row>
    <row r="4391" spans="1:8" x14ac:dyDescent="0.3">
      <c r="A4391" s="400"/>
      <c r="B4391" s="709">
        <v>92500</v>
      </c>
      <c r="C4391" s="710" t="s">
        <v>3950</v>
      </c>
      <c r="D4391" s="709" t="s">
        <v>168</v>
      </c>
      <c r="E4391" s="716">
        <v>107.94</v>
      </c>
      <c r="F4391" s="717">
        <v>4.6800000000000001E-2</v>
      </c>
      <c r="G4391">
        <f>VLOOKUP(B4391,'SINAPI-%MO'!B:E,4,0)</f>
        <v>0.39989999999999998</v>
      </c>
      <c r="H4391" s="225">
        <f t="shared" si="68"/>
        <v>64.77</v>
      </c>
    </row>
    <row r="4392" spans="1:8" x14ac:dyDescent="0.3">
      <c r="A4392" s="400"/>
      <c r="B4392" s="709">
        <v>92504</v>
      </c>
      <c r="C4392" s="710" t="s">
        <v>3951</v>
      </c>
      <c r="D4392" s="709" t="s">
        <v>168</v>
      </c>
      <c r="E4392" s="716">
        <v>100.08</v>
      </c>
      <c r="F4392" s="717">
        <v>5.0500000000000003E-2</v>
      </c>
      <c r="G4392">
        <f>VLOOKUP(B4392,'SINAPI-%MO'!B:E,4,0)</f>
        <v>0.36870000000000003</v>
      </c>
      <c r="H4392" s="225">
        <f t="shared" si="68"/>
        <v>63.18</v>
      </c>
    </row>
    <row r="4393" spans="1:8" x14ac:dyDescent="0.3">
      <c r="A4393" s="400"/>
      <c r="B4393" s="709">
        <v>92488</v>
      </c>
      <c r="C4393" s="710" t="s">
        <v>3952</v>
      </c>
      <c r="D4393" s="709" t="s">
        <v>168</v>
      </c>
      <c r="E4393" s="716">
        <v>124.27</v>
      </c>
      <c r="F4393" s="717">
        <v>4.0599999999999997E-2</v>
      </c>
      <c r="G4393">
        <f>VLOOKUP(B4393,'SINAPI-%MO'!B:E,4,0)</f>
        <v>0.4405</v>
      </c>
      <c r="H4393" s="225">
        <f t="shared" si="68"/>
        <v>69.52</v>
      </c>
    </row>
    <row r="4394" spans="1:8" x14ac:dyDescent="0.3">
      <c r="A4394" s="400"/>
      <c r="B4394" s="709">
        <v>92494</v>
      </c>
      <c r="C4394" s="710" t="s">
        <v>3953</v>
      </c>
      <c r="D4394" s="709" t="s">
        <v>168</v>
      </c>
      <c r="E4394" s="716">
        <v>76.37</v>
      </c>
      <c r="F4394" s="717">
        <v>6.6100000000000006E-2</v>
      </c>
      <c r="G4394">
        <f>VLOOKUP(B4394,'SINAPI-%MO'!B:E,4,0)</f>
        <v>0.47360000000000002</v>
      </c>
      <c r="H4394" s="225">
        <f t="shared" si="68"/>
        <v>40.200000000000003</v>
      </c>
    </row>
    <row r="4395" spans="1:8" x14ac:dyDescent="0.3">
      <c r="A4395" s="400"/>
      <c r="B4395" s="709">
        <v>92498</v>
      </c>
      <c r="C4395" s="710" t="s">
        <v>3954</v>
      </c>
      <c r="D4395" s="709" t="s">
        <v>168</v>
      </c>
      <c r="E4395" s="716">
        <v>71.97</v>
      </c>
      <c r="F4395" s="717">
        <v>7.0199999999999999E-2</v>
      </c>
      <c r="G4395">
        <f>VLOOKUP(B4395,'SINAPI-%MO'!B:E,4,0)</f>
        <v>0.46439999999999998</v>
      </c>
      <c r="H4395" s="225">
        <f t="shared" si="68"/>
        <v>38.54</v>
      </c>
    </row>
    <row r="4396" spans="1:8" x14ac:dyDescent="0.3">
      <c r="A4396" s="400"/>
      <c r="B4396" s="709">
        <v>92502</v>
      </c>
      <c r="C4396" s="710" t="s">
        <v>3955</v>
      </c>
      <c r="D4396" s="709" t="s">
        <v>168</v>
      </c>
      <c r="E4396" s="716">
        <v>68.7</v>
      </c>
      <c r="F4396" s="717">
        <v>7.3499999999999996E-2</v>
      </c>
      <c r="G4396">
        <f>VLOOKUP(B4396,'SINAPI-%MO'!B:E,4,0)</f>
        <v>0.44929999999999998</v>
      </c>
      <c r="H4396" s="225">
        <f t="shared" si="68"/>
        <v>37.83</v>
      </c>
    </row>
    <row r="4397" spans="1:8" x14ac:dyDescent="0.3">
      <c r="A4397" s="400"/>
      <c r="B4397" s="709">
        <v>92506</v>
      </c>
      <c r="C4397" s="710" t="s">
        <v>3956</v>
      </c>
      <c r="D4397" s="709" t="s">
        <v>168</v>
      </c>
      <c r="E4397" s="716">
        <v>62.59</v>
      </c>
      <c r="F4397" s="717">
        <v>8.0699999999999994E-2</v>
      </c>
      <c r="G4397">
        <f>VLOOKUP(B4397,'SINAPI-%MO'!B:E,4,0)</f>
        <v>0.42099999999999999</v>
      </c>
      <c r="H4397" s="225">
        <f t="shared" si="68"/>
        <v>36.229999999999997</v>
      </c>
    </row>
    <row r="4398" spans="1:8" x14ac:dyDescent="0.3">
      <c r="A4398" s="400"/>
      <c r="B4398" s="709">
        <v>92490</v>
      </c>
      <c r="C4398" s="710" t="s">
        <v>3957</v>
      </c>
      <c r="D4398" s="709" t="s">
        <v>168</v>
      </c>
      <c r="E4398" s="716">
        <v>81.73</v>
      </c>
      <c r="F4398" s="717">
        <v>6.1800000000000001E-2</v>
      </c>
      <c r="G4398">
        <f>VLOOKUP(B4398,'SINAPI-%MO'!B:E,4,0)</f>
        <v>0.47889999999999999</v>
      </c>
      <c r="H4398" s="225">
        <f t="shared" si="68"/>
        <v>42.58</v>
      </c>
    </row>
    <row r="4399" spans="1:8" x14ac:dyDescent="0.3">
      <c r="A4399" s="400"/>
      <c r="B4399" s="709">
        <v>92433</v>
      </c>
      <c r="C4399" s="710" t="s">
        <v>3958</v>
      </c>
      <c r="D4399" s="709" t="s">
        <v>168</v>
      </c>
      <c r="E4399" s="716">
        <v>84.77</v>
      </c>
      <c r="F4399" s="717">
        <v>0</v>
      </c>
      <c r="G4399">
        <f>VLOOKUP(B4399,'SINAPI-%MO'!B:E,4,0)</f>
        <v>0.5202</v>
      </c>
      <c r="H4399" s="225">
        <f t="shared" si="68"/>
        <v>40.67</v>
      </c>
    </row>
    <row r="4400" spans="1:8" x14ac:dyDescent="0.3">
      <c r="A4400" s="400"/>
      <c r="B4400" s="709">
        <v>92437</v>
      </c>
      <c r="C4400" s="710" t="s">
        <v>3959</v>
      </c>
      <c r="D4400" s="709" t="s">
        <v>168</v>
      </c>
      <c r="E4400" s="716">
        <v>80.83</v>
      </c>
      <c r="F4400" s="717">
        <v>0</v>
      </c>
      <c r="G4400">
        <f>VLOOKUP(B4400,'SINAPI-%MO'!B:E,4,0)</f>
        <v>0.52210000000000001</v>
      </c>
      <c r="H4400" s="225">
        <f t="shared" si="68"/>
        <v>38.619999999999997</v>
      </c>
    </row>
    <row r="4401" spans="1:8" x14ac:dyDescent="0.3">
      <c r="A4401" s="400"/>
      <c r="B4401" s="709">
        <v>92441</v>
      </c>
      <c r="C4401" s="710" t="s">
        <v>3960</v>
      </c>
      <c r="D4401" s="709" t="s">
        <v>168</v>
      </c>
      <c r="E4401" s="716">
        <v>77.989999999999995</v>
      </c>
      <c r="F4401" s="717">
        <v>0</v>
      </c>
      <c r="G4401">
        <f>VLOOKUP(B4401,'SINAPI-%MO'!B:E,4,0)</f>
        <v>0.52380000000000004</v>
      </c>
      <c r="H4401" s="225">
        <f t="shared" si="68"/>
        <v>37.130000000000003</v>
      </c>
    </row>
    <row r="4402" spans="1:8" x14ac:dyDescent="0.3">
      <c r="A4402" s="400"/>
      <c r="B4402" s="709">
        <v>92445</v>
      </c>
      <c r="C4402" s="710" t="s">
        <v>3961</v>
      </c>
      <c r="D4402" s="709" t="s">
        <v>168</v>
      </c>
      <c r="E4402" s="716">
        <v>72.16</v>
      </c>
      <c r="F4402" s="717">
        <v>0</v>
      </c>
      <c r="G4402">
        <f>VLOOKUP(B4402,'SINAPI-%MO'!B:E,4,0)</f>
        <v>0.53400000000000003</v>
      </c>
      <c r="H4402" s="225">
        <f t="shared" si="68"/>
        <v>33.619999999999997</v>
      </c>
    </row>
    <row r="4403" spans="1:8" x14ac:dyDescent="0.3">
      <c r="A4403" s="400"/>
      <c r="B4403" s="709">
        <v>92417</v>
      </c>
      <c r="C4403" s="710" t="s">
        <v>3962</v>
      </c>
      <c r="D4403" s="709" t="s">
        <v>168</v>
      </c>
      <c r="E4403" s="716">
        <v>181.68</v>
      </c>
      <c r="F4403" s="717">
        <v>0</v>
      </c>
      <c r="G4403">
        <f>VLOOKUP(B4403,'SINAPI-%MO'!B:E,4,0)</f>
        <v>0.51629999999999998</v>
      </c>
      <c r="H4403" s="225">
        <f t="shared" si="68"/>
        <v>87.87</v>
      </c>
    </row>
    <row r="4404" spans="1:8" x14ac:dyDescent="0.3">
      <c r="A4404" s="400"/>
      <c r="B4404" s="709">
        <v>92421</v>
      </c>
      <c r="C4404" s="710" t="s">
        <v>3963</v>
      </c>
      <c r="D4404" s="709" t="s">
        <v>168</v>
      </c>
      <c r="E4404" s="716">
        <v>119.16</v>
      </c>
      <c r="F4404" s="717">
        <v>0</v>
      </c>
      <c r="G4404">
        <f>VLOOKUP(B4404,'SINAPI-%MO'!B:E,4,0)</f>
        <v>0.54149999999999998</v>
      </c>
      <c r="H4404" s="225">
        <f t="shared" si="68"/>
        <v>54.63</v>
      </c>
    </row>
    <row r="4405" spans="1:8" x14ac:dyDescent="0.3">
      <c r="A4405" s="400"/>
      <c r="B4405" s="709">
        <v>92425</v>
      </c>
      <c r="C4405" s="710" t="s">
        <v>3964</v>
      </c>
      <c r="D4405" s="709" t="s">
        <v>168</v>
      </c>
      <c r="E4405" s="716">
        <v>98.99</v>
      </c>
      <c r="F4405" s="717">
        <v>0</v>
      </c>
      <c r="G4405">
        <f>VLOOKUP(B4405,'SINAPI-%MO'!B:E,4,0)</f>
        <v>0.54420000000000002</v>
      </c>
      <c r="H4405" s="225">
        <f t="shared" si="68"/>
        <v>45.11</v>
      </c>
    </row>
    <row r="4406" spans="1:8" x14ac:dyDescent="0.3">
      <c r="A4406" s="400"/>
      <c r="B4406" s="709">
        <v>92429</v>
      </c>
      <c r="C4406" s="710" t="s">
        <v>3965</v>
      </c>
      <c r="D4406" s="709" t="s">
        <v>168</v>
      </c>
      <c r="E4406" s="716">
        <v>88.83</v>
      </c>
      <c r="F4406" s="717">
        <v>0</v>
      </c>
      <c r="G4406">
        <f>VLOOKUP(B4406,'SINAPI-%MO'!B:E,4,0)</f>
        <v>0.54630000000000001</v>
      </c>
      <c r="H4406" s="225">
        <f t="shared" si="68"/>
        <v>40.299999999999997</v>
      </c>
    </row>
    <row r="4407" spans="1:8" x14ac:dyDescent="0.3">
      <c r="A4407" s="400"/>
      <c r="B4407" s="709">
        <v>92431</v>
      </c>
      <c r="C4407" s="710" t="s">
        <v>3966</v>
      </c>
      <c r="D4407" s="709" t="s">
        <v>168</v>
      </c>
      <c r="E4407" s="716">
        <v>69.680000000000007</v>
      </c>
      <c r="F4407" s="717">
        <v>0</v>
      </c>
      <c r="G4407">
        <f>VLOOKUP(B4407,'SINAPI-%MO'!B:E,4,0)</f>
        <v>0.4163</v>
      </c>
      <c r="H4407" s="225">
        <f t="shared" si="68"/>
        <v>40.67</v>
      </c>
    </row>
    <row r="4408" spans="1:8" x14ac:dyDescent="0.3">
      <c r="A4408" s="400"/>
      <c r="B4408" s="709">
        <v>92435</v>
      </c>
      <c r="C4408" s="710" t="s">
        <v>3967</v>
      </c>
      <c r="D4408" s="709" t="s">
        <v>168</v>
      </c>
      <c r="E4408" s="716">
        <v>66.25</v>
      </c>
      <c r="F4408" s="717">
        <v>0</v>
      </c>
      <c r="G4408">
        <f>VLOOKUP(B4408,'SINAPI-%MO'!B:E,4,0)</f>
        <v>0.41689999999999999</v>
      </c>
      <c r="H4408" s="225">
        <f t="shared" si="68"/>
        <v>38.630000000000003</v>
      </c>
    </row>
    <row r="4409" spans="1:8" x14ac:dyDescent="0.3">
      <c r="A4409" s="400"/>
      <c r="B4409" s="709">
        <v>92439</v>
      </c>
      <c r="C4409" s="710" t="s">
        <v>3968</v>
      </c>
      <c r="D4409" s="709" t="s">
        <v>168</v>
      </c>
      <c r="E4409" s="716">
        <v>63.76</v>
      </c>
      <c r="F4409" s="717">
        <v>0</v>
      </c>
      <c r="G4409">
        <f>VLOOKUP(B4409,'SINAPI-%MO'!B:E,4,0)</f>
        <v>0.41749999999999998</v>
      </c>
      <c r="H4409" s="225">
        <f t="shared" si="68"/>
        <v>37.14</v>
      </c>
    </row>
    <row r="4410" spans="1:8" x14ac:dyDescent="0.3">
      <c r="A4410" s="400"/>
      <c r="B4410" s="709">
        <v>92443</v>
      </c>
      <c r="C4410" s="710" t="s">
        <v>3969</v>
      </c>
      <c r="D4410" s="709" t="s">
        <v>168</v>
      </c>
      <c r="E4410" s="716">
        <v>58.45</v>
      </c>
      <c r="F4410" s="717">
        <v>0</v>
      </c>
      <c r="G4410">
        <f>VLOOKUP(B4410,'SINAPI-%MO'!B:E,4,0)</f>
        <v>0.42459999999999998</v>
      </c>
      <c r="H4410" s="225">
        <f t="shared" si="68"/>
        <v>33.630000000000003</v>
      </c>
    </row>
    <row r="4411" spans="1:8" x14ac:dyDescent="0.3">
      <c r="A4411" s="400"/>
      <c r="B4411" s="709">
        <v>92415</v>
      </c>
      <c r="C4411" s="710" t="s">
        <v>3970</v>
      </c>
      <c r="D4411" s="709" t="s">
        <v>168</v>
      </c>
      <c r="E4411" s="716">
        <v>155.96</v>
      </c>
      <c r="F4411" s="717">
        <v>0</v>
      </c>
      <c r="G4411">
        <f>VLOOKUP(B4411,'SINAPI-%MO'!B:E,4,0)</f>
        <v>0.43659999999999999</v>
      </c>
      <c r="H4411" s="225">
        <f t="shared" si="68"/>
        <v>87.86</v>
      </c>
    </row>
    <row r="4412" spans="1:8" x14ac:dyDescent="0.3">
      <c r="A4412" s="400"/>
      <c r="B4412" s="709">
        <v>92419</v>
      </c>
      <c r="C4412" s="710" t="s">
        <v>3971</v>
      </c>
      <c r="D4412" s="709" t="s">
        <v>168</v>
      </c>
      <c r="E4412" s="716">
        <v>99.43</v>
      </c>
      <c r="F4412" s="717">
        <v>0</v>
      </c>
      <c r="G4412">
        <f>VLOOKUP(B4412,'SINAPI-%MO'!B:E,4,0)</f>
        <v>0.4506</v>
      </c>
      <c r="H4412" s="225">
        <f t="shared" si="68"/>
        <v>54.62</v>
      </c>
    </row>
    <row r="4413" spans="1:8" x14ac:dyDescent="0.3">
      <c r="A4413" s="400"/>
      <c r="B4413" s="709">
        <v>92423</v>
      </c>
      <c r="C4413" s="710" t="s">
        <v>3972</v>
      </c>
      <c r="D4413" s="709" t="s">
        <v>168</v>
      </c>
      <c r="E4413" s="716">
        <v>81.84</v>
      </c>
      <c r="F4413" s="717">
        <v>0</v>
      </c>
      <c r="G4413">
        <f>VLOOKUP(B4413,'SINAPI-%MO'!B:E,4,0)</f>
        <v>0.44869999999999999</v>
      </c>
      <c r="H4413" s="225">
        <f t="shared" si="68"/>
        <v>45.11</v>
      </c>
    </row>
    <row r="4414" spans="1:8" x14ac:dyDescent="0.3">
      <c r="A4414" s="400"/>
      <c r="B4414" s="709">
        <v>92427</v>
      </c>
      <c r="C4414" s="710" t="s">
        <v>3973</v>
      </c>
      <c r="D4414" s="709" t="s">
        <v>168</v>
      </c>
      <c r="E4414" s="716">
        <v>72.94</v>
      </c>
      <c r="F4414" s="717">
        <v>0</v>
      </c>
      <c r="G4414">
        <f>VLOOKUP(B4414,'SINAPI-%MO'!B:E,4,0)</f>
        <v>0.44750000000000001</v>
      </c>
      <c r="H4414" s="225">
        <f t="shared" si="68"/>
        <v>40.29</v>
      </c>
    </row>
    <row r="4415" spans="1:8" x14ac:dyDescent="0.3">
      <c r="A4415" s="400"/>
      <c r="B4415" s="709">
        <v>92409</v>
      </c>
      <c r="C4415" s="710" t="s">
        <v>3974</v>
      </c>
      <c r="D4415" s="709" t="s">
        <v>168</v>
      </c>
      <c r="E4415" s="716">
        <v>230.97</v>
      </c>
      <c r="F4415" s="717">
        <v>0</v>
      </c>
      <c r="G4415">
        <f>VLOOKUP(B4415,'SINAPI-%MO'!B:E,4,0)</f>
        <v>0.60070000000000001</v>
      </c>
      <c r="H4415" s="225">
        <f t="shared" si="68"/>
        <v>92.22</v>
      </c>
    </row>
    <row r="4416" spans="1:8" x14ac:dyDescent="0.3">
      <c r="A4416" s="400"/>
      <c r="B4416" s="709">
        <v>92411</v>
      </c>
      <c r="C4416" s="710" t="s">
        <v>3975</v>
      </c>
      <c r="D4416" s="709" t="s">
        <v>168</v>
      </c>
      <c r="E4416" s="716">
        <v>159.09</v>
      </c>
      <c r="F4416" s="717">
        <v>0</v>
      </c>
      <c r="G4416">
        <f>VLOOKUP(B4416,'SINAPI-%MO'!B:E,4,0)</f>
        <v>0.69699999999999995</v>
      </c>
      <c r="H4416" s="225">
        <f t="shared" si="68"/>
        <v>48.2</v>
      </c>
    </row>
    <row r="4417" spans="1:8" x14ac:dyDescent="0.3">
      <c r="A4417" s="400"/>
      <c r="B4417" s="709">
        <v>92413</v>
      </c>
      <c r="C4417" s="710" t="s">
        <v>3976</v>
      </c>
      <c r="D4417" s="709" t="s">
        <v>168</v>
      </c>
      <c r="E4417" s="716">
        <v>106.43</v>
      </c>
      <c r="F4417" s="717">
        <v>0</v>
      </c>
      <c r="G4417">
        <f>VLOOKUP(B4417,'SINAPI-%MO'!B:E,4,0)</f>
        <v>0.76229999999999998</v>
      </c>
      <c r="H4417" s="225">
        <f t="shared" si="68"/>
        <v>25.29</v>
      </c>
    </row>
    <row r="4418" spans="1:8" x14ac:dyDescent="0.3">
      <c r="A4418" s="400"/>
      <c r="B4418" s="709">
        <v>92465</v>
      </c>
      <c r="C4418" s="710" t="s">
        <v>3977</v>
      </c>
      <c r="D4418" s="709" t="s">
        <v>168</v>
      </c>
      <c r="E4418" s="716">
        <v>164.15</v>
      </c>
      <c r="F4418" s="717">
        <v>0</v>
      </c>
      <c r="G4418">
        <f>VLOOKUP(B4418,'SINAPI-%MO'!B:E,4,0)</f>
        <v>0.39610000000000001</v>
      </c>
      <c r="H4418" s="225">
        <f t="shared" si="68"/>
        <v>99.13</v>
      </c>
    </row>
    <row r="4419" spans="1:8" x14ac:dyDescent="0.3">
      <c r="A4419" s="400"/>
      <c r="B4419" s="709">
        <v>92469</v>
      </c>
      <c r="C4419" s="710" t="s">
        <v>3978</v>
      </c>
      <c r="D4419" s="709" t="s">
        <v>168</v>
      </c>
      <c r="E4419" s="716">
        <v>149.43</v>
      </c>
      <c r="F4419" s="717">
        <v>0</v>
      </c>
      <c r="G4419">
        <f>VLOOKUP(B4419,'SINAPI-%MO'!B:E,4,0)</f>
        <v>0.39789999999999998</v>
      </c>
      <c r="H4419" s="225">
        <f t="shared" si="68"/>
        <v>89.97</v>
      </c>
    </row>
    <row r="4420" spans="1:8" x14ac:dyDescent="0.3">
      <c r="A4420" s="400"/>
      <c r="B4420" s="709">
        <v>92473</v>
      </c>
      <c r="C4420" s="710" t="s">
        <v>3979</v>
      </c>
      <c r="D4420" s="709" t="s">
        <v>168</v>
      </c>
      <c r="E4420" s="716">
        <v>137.51</v>
      </c>
      <c r="F4420" s="717">
        <v>0</v>
      </c>
      <c r="G4420">
        <f>VLOOKUP(B4420,'SINAPI-%MO'!B:E,4,0)</f>
        <v>0.39750000000000002</v>
      </c>
      <c r="H4420" s="225">
        <f t="shared" si="68"/>
        <v>82.84</v>
      </c>
    </row>
    <row r="4421" spans="1:8" x14ac:dyDescent="0.3">
      <c r="A4421" s="400"/>
      <c r="B4421" s="709">
        <v>92477</v>
      </c>
      <c r="C4421" s="710" t="s">
        <v>3980</v>
      </c>
      <c r="D4421" s="709" t="s">
        <v>168</v>
      </c>
      <c r="E4421" s="716">
        <v>112.06</v>
      </c>
      <c r="F4421" s="717">
        <v>0</v>
      </c>
      <c r="G4421">
        <f>VLOOKUP(B4421,'SINAPI-%MO'!B:E,4,0)</f>
        <v>0.40450000000000003</v>
      </c>
      <c r="H4421" s="225">
        <f t="shared" si="68"/>
        <v>66.73</v>
      </c>
    </row>
    <row r="4422" spans="1:8" x14ac:dyDescent="0.3">
      <c r="A4422" s="400"/>
      <c r="B4422" s="709">
        <v>92449</v>
      </c>
      <c r="C4422" s="710" t="s">
        <v>3981</v>
      </c>
      <c r="D4422" s="709" t="s">
        <v>168</v>
      </c>
      <c r="E4422" s="716">
        <v>299.10000000000002</v>
      </c>
      <c r="F4422" s="717">
        <v>0</v>
      </c>
      <c r="G4422">
        <f>VLOOKUP(B4422,'SINAPI-%MO'!B:E,4,0)</f>
        <v>0.375</v>
      </c>
      <c r="H4422" s="225">
        <f t="shared" si="68"/>
        <v>186.93</v>
      </c>
    </row>
    <row r="4423" spans="1:8" x14ac:dyDescent="0.3">
      <c r="A4423" s="400"/>
      <c r="B4423" s="709">
        <v>92453</v>
      </c>
      <c r="C4423" s="710" t="s">
        <v>3982</v>
      </c>
      <c r="D4423" s="709" t="s">
        <v>168</v>
      </c>
      <c r="E4423" s="716">
        <v>254.86</v>
      </c>
      <c r="F4423" s="717">
        <v>0</v>
      </c>
      <c r="G4423">
        <f>VLOOKUP(B4423,'SINAPI-%MO'!B:E,4,0)</f>
        <v>0.38169999999999998</v>
      </c>
      <c r="H4423" s="225">
        <f t="shared" si="68"/>
        <v>157.57</v>
      </c>
    </row>
    <row r="4424" spans="1:8" x14ac:dyDescent="0.3">
      <c r="A4424" s="400"/>
      <c r="B4424" s="709">
        <v>92457</v>
      </c>
      <c r="C4424" s="710" t="s">
        <v>3983</v>
      </c>
      <c r="D4424" s="709" t="s">
        <v>168</v>
      </c>
      <c r="E4424" s="716">
        <v>221</v>
      </c>
      <c r="F4424" s="717">
        <v>0</v>
      </c>
      <c r="G4424">
        <f>VLOOKUP(B4424,'SINAPI-%MO'!B:E,4,0)</f>
        <v>0.38690000000000002</v>
      </c>
      <c r="H4424" s="225">
        <f t="shared" si="68"/>
        <v>135.49</v>
      </c>
    </row>
    <row r="4425" spans="1:8" x14ac:dyDescent="0.3">
      <c r="A4425" s="400"/>
      <c r="B4425" s="709">
        <v>92461</v>
      </c>
      <c r="C4425" s="710" t="s">
        <v>3984</v>
      </c>
      <c r="D4425" s="709" t="s">
        <v>168</v>
      </c>
      <c r="E4425" s="716">
        <v>203.55</v>
      </c>
      <c r="F4425" s="717">
        <v>0</v>
      </c>
      <c r="G4425">
        <f>VLOOKUP(B4425,'SINAPI-%MO'!B:E,4,0)</f>
        <v>0.38350000000000001</v>
      </c>
      <c r="H4425" s="225">
        <f t="shared" si="68"/>
        <v>125.48</v>
      </c>
    </row>
    <row r="4426" spans="1:8" x14ac:dyDescent="0.3">
      <c r="A4426" s="400"/>
      <c r="B4426" s="709">
        <v>92467</v>
      </c>
      <c r="C4426" s="710" t="s">
        <v>3985</v>
      </c>
      <c r="D4426" s="709" t="s">
        <v>168</v>
      </c>
      <c r="E4426" s="716">
        <v>107.09</v>
      </c>
      <c r="F4426" s="717">
        <v>0</v>
      </c>
      <c r="G4426">
        <f>VLOOKUP(B4426,'SINAPI-%MO'!B:E,4,0)</f>
        <v>0.40699999999999997</v>
      </c>
      <c r="H4426" s="225">
        <f t="shared" si="68"/>
        <v>63.5</v>
      </c>
    </row>
    <row r="4427" spans="1:8" x14ac:dyDescent="0.3">
      <c r="A4427" s="400"/>
      <c r="B4427" s="709">
        <v>92471</v>
      </c>
      <c r="C4427" s="710" t="s">
        <v>3986</v>
      </c>
      <c r="D4427" s="709" t="s">
        <v>168</v>
      </c>
      <c r="E4427" s="716">
        <v>97.58</v>
      </c>
      <c r="F4427" s="717">
        <v>0</v>
      </c>
      <c r="G4427">
        <f>VLOOKUP(B4427,'SINAPI-%MO'!B:E,4,0)</f>
        <v>0.40870000000000001</v>
      </c>
      <c r="H4427" s="225">
        <f t="shared" ref="H4427:H4490" si="69">IF(E4427&gt;0,TRUNC(E4427*(1-G4427),2),"")</f>
        <v>57.69</v>
      </c>
    </row>
    <row r="4428" spans="1:8" x14ac:dyDescent="0.3">
      <c r="A4428" s="400"/>
      <c r="B4428" s="709">
        <v>92475</v>
      </c>
      <c r="C4428" s="710" t="s">
        <v>3987</v>
      </c>
      <c r="D4428" s="709" t="s">
        <v>168</v>
      </c>
      <c r="E4428" s="716">
        <v>89.88</v>
      </c>
      <c r="F4428" s="717">
        <v>0</v>
      </c>
      <c r="G4428">
        <f>VLOOKUP(B4428,'SINAPI-%MO'!B:E,4,0)</f>
        <v>0.40820000000000001</v>
      </c>
      <c r="H4428" s="225">
        <f t="shared" si="69"/>
        <v>53.19</v>
      </c>
    </row>
    <row r="4429" spans="1:8" x14ac:dyDescent="0.3">
      <c r="A4429" s="400"/>
      <c r="B4429" s="709">
        <v>92479</v>
      </c>
      <c r="C4429" s="710" t="s">
        <v>3988</v>
      </c>
      <c r="D4429" s="709" t="s">
        <v>168</v>
      </c>
      <c r="E4429" s="716">
        <v>73.38</v>
      </c>
      <c r="F4429" s="717">
        <v>0</v>
      </c>
      <c r="G4429">
        <f>VLOOKUP(B4429,'SINAPI-%MO'!B:E,4,0)</f>
        <v>0.4143</v>
      </c>
      <c r="H4429" s="225">
        <f t="shared" si="69"/>
        <v>42.97</v>
      </c>
    </row>
    <row r="4430" spans="1:8" x14ac:dyDescent="0.3">
      <c r="A4430" s="400"/>
      <c r="B4430" s="709">
        <v>92451</v>
      </c>
      <c r="C4430" s="710" t="s">
        <v>3989</v>
      </c>
      <c r="D4430" s="709" t="s">
        <v>168</v>
      </c>
      <c r="E4430" s="716">
        <v>205.46</v>
      </c>
      <c r="F4430" s="717">
        <v>0</v>
      </c>
      <c r="G4430">
        <f>VLOOKUP(B4430,'SINAPI-%MO'!B:E,4,0)</f>
        <v>0.3891</v>
      </c>
      <c r="H4430" s="225">
        <f t="shared" si="69"/>
        <v>125.51</v>
      </c>
    </row>
    <row r="4431" spans="1:8" x14ac:dyDescent="0.3">
      <c r="A4431" s="400"/>
      <c r="B4431" s="709">
        <v>92455</v>
      </c>
      <c r="C4431" s="710" t="s">
        <v>3990</v>
      </c>
      <c r="D4431" s="709" t="s">
        <v>168</v>
      </c>
      <c r="E4431" s="716">
        <v>167.34</v>
      </c>
      <c r="F4431" s="717">
        <v>0</v>
      </c>
      <c r="G4431">
        <f>VLOOKUP(B4431,'SINAPI-%MO'!B:E,4,0)</f>
        <v>0.4012</v>
      </c>
      <c r="H4431" s="225">
        <f t="shared" si="69"/>
        <v>100.2</v>
      </c>
    </row>
    <row r="4432" spans="1:8" x14ac:dyDescent="0.3">
      <c r="A4432" s="400"/>
      <c r="B4432" s="709">
        <v>92459</v>
      </c>
      <c r="C4432" s="710" t="s">
        <v>3991</v>
      </c>
      <c r="D4432" s="709" t="s">
        <v>168</v>
      </c>
      <c r="E4432" s="716">
        <v>141.71</v>
      </c>
      <c r="F4432" s="717">
        <v>0</v>
      </c>
      <c r="G4432">
        <f>VLOOKUP(B4432,'SINAPI-%MO'!B:E,4,0)</f>
        <v>0.4093</v>
      </c>
      <c r="H4432" s="225">
        <f t="shared" si="69"/>
        <v>83.7</v>
      </c>
    </row>
    <row r="4433" spans="1:8" x14ac:dyDescent="0.3">
      <c r="A4433" s="400"/>
      <c r="B4433" s="709">
        <v>92463</v>
      </c>
      <c r="C4433" s="710" t="s">
        <v>3992</v>
      </c>
      <c r="D4433" s="709" t="s">
        <v>168</v>
      </c>
      <c r="E4433" s="716">
        <v>128.12</v>
      </c>
      <c r="F4433" s="717">
        <v>0</v>
      </c>
      <c r="G4433">
        <f>VLOOKUP(B4433,'SINAPI-%MO'!B:E,4,0)</f>
        <v>0.40799999999999997</v>
      </c>
      <c r="H4433" s="225">
        <f t="shared" si="69"/>
        <v>75.84</v>
      </c>
    </row>
    <row r="4434" spans="1:8" x14ac:dyDescent="0.3">
      <c r="A4434" s="400"/>
      <c r="B4434" s="709">
        <v>92446</v>
      </c>
      <c r="C4434" s="710" t="s">
        <v>3993</v>
      </c>
      <c r="D4434" s="709" t="s">
        <v>168</v>
      </c>
      <c r="E4434" s="716">
        <v>311.06</v>
      </c>
      <c r="F4434" s="717">
        <v>0</v>
      </c>
      <c r="G4434">
        <f>VLOOKUP(B4434,'SINAPI-%MO'!B:E,4,0)</f>
        <v>0.43469999999999998</v>
      </c>
      <c r="H4434" s="225">
        <f t="shared" si="69"/>
        <v>175.84</v>
      </c>
    </row>
    <row r="4435" spans="1:8" x14ac:dyDescent="0.3">
      <c r="A4435" s="400"/>
      <c r="B4435" s="709">
        <v>92447</v>
      </c>
      <c r="C4435" s="710" t="s">
        <v>3994</v>
      </c>
      <c r="D4435" s="709" t="s">
        <v>168</v>
      </c>
      <c r="E4435" s="716">
        <v>216.4</v>
      </c>
      <c r="F4435" s="717">
        <v>0</v>
      </c>
      <c r="G4435">
        <f>VLOOKUP(B4435,'SINAPI-%MO'!B:E,4,0)</f>
        <v>0.48060000000000003</v>
      </c>
      <c r="H4435" s="225">
        <f t="shared" si="69"/>
        <v>112.39</v>
      </c>
    </row>
    <row r="4436" spans="1:8" x14ac:dyDescent="0.3">
      <c r="A4436" s="400"/>
      <c r="B4436" s="709">
        <v>92448</v>
      </c>
      <c r="C4436" s="710" t="s">
        <v>3995</v>
      </c>
      <c r="D4436" s="709" t="s">
        <v>168</v>
      </c>
      <c r="E4436" s="716">
        <v>168.23</v>
      </c>
      <c r="F4436" s="717">
        <v>0</v>
      </c>
      <c r="G4436">
        <f>VLOOKUP(B4436,'SINAPI-%MO'!B:E,4,0)</f>
        <v>0.50290000000000001</v>
      </c>
      <c r="H4436" s="225">
        <f t="shared" si="69"/>
        <v>83.62</v>
      </c>
    </row>
    <row r="4437" spans="1:8" x14ac:dyDescent="0.3">
      <c r="A4437" s="400"/>
      <c r="B4437" s="709">
        <v>92466</v>
      </c>
      <c r="C4437" s="710" t="s">
        <v>3996</v>
      </c>
      <c r="D4437" s="709" t="s">
        <v>168</v>
      </c>
      <c r="E4437" s="716">
        <v>286.63</v>
      </c>
      <c r="F4437" s="717">
        <v>0</v>
      </c>
      <c r="G4437">
        <f>VLOOKUP(B4437,'SINAPI-%MO'!B:E,4,0)</f>
        <v>0.23710000000000001</v>
      </c>
      <c r="H4437" s="225">
        <f t="shared" si="69"/>
        <v>218.67</v>
      </c>
    </row>
    <row r="4438" spans="1:8" x14ac:dyDescent="0.3">
      <c r="A4438" s="400"/>
      <c r="B4438" s="709">
        <v>92470</v>
      </c>
      <c r="C4438" s="710" t="s">
        <v>3997</v>
      </c>
      <c r="D4438" s="709" t="s">
        <v>168</v>
      </c>
      <c r="E4438" s="716">
        <v>278.86</v>
      </c>
      <c r="F4438" s="717">
        <v>0</v>
      </c>
      <c r="G4438">
        <f>VLOOKUP(B4438,'SINAPI-%MO'!B:E,4,0)</f>
        <v>0.22459999999999999</v>
      </c>
      <c r="H4438" s="225">
        <f t="shared" si="69"/>
        <v>216.22</v>
      </c>
    </row>
    <row r="4439" spans="1:8" x14ac:dyDescent="0.3">
      <c r="A4439" s="400"/>
      <c r="B4439" s="709">
        <v>92474</v>
      </c>
      <c r="C4439" s="710" t="s">
        <v>3998</v>
      </c>
      <c r="D4439" s="709" t="s">
        <v>168</v>
      </c>
      <c r="E4439" s="716">
        <v>272.19</v>
      </c>
      <c r="F4439" s="717">
        <v>0</v>
      </c>
      <c r="G4439">
        <f>VLOOKUP(B4439,'SINAPI-%MO'!B:E,4,0)</f>
        <v>0.21249999999999999</v>
      </c>
      <c r="H4439" s="225">
        <f t="shared" si="69"/>
        <v>214.34</v>
      </c>
    </row>
    <row r="4440" spans="1:8" x14ac:dyDescent="0.3">
      <c r="A4440" s="400"/>
      <c r="B4440" s="709">
        <v>92478</v>
      </c>
      <c r="C4440" s="710" t="s">
        <v>3999</v>
      </c>
      <c r="D4440" s="709" t="s">
        <v>168</v>
      </c>
      <c r="E4440" s="716">
        <v>258.97000000000003</v>
      </c>
      <c r="F4440" s="717">
        <v>0</v>
      </c>
      <c r="G4440">
        <f>VLOOKUP(B4440,'SINAPI-%MO'!B:E,4,0)</f>
        <v>0.18890000000000001</v>
      </c>
      <c r="H4440" s="225">
        <f t="shared" si="69"/>
        <v>210.05</v>
      </c>
    </row>
    <row r="4441" spans="1:8" x14ac:dyDescent="0.3">
      <c r="A4441" s="400"/>
      <c r="B4441" s="709">
        <v>92450</v>
      </c>
      <c r="C4441" s="710" t="s">
        <v>4000</v>
      </c>
      <c r="D4441" s="709" t="s">
        <v>168</v>
      </c>
      <c r="E4441" s="716">
        <v>363.87</v>
      </c>
      <c r="F4441" s="717">
        <v>0</v>
      </c>
      <c r="G4441">
        <f>VLOOKUP(B4441,'SINAPI-%MO'!B:E,4,0)</f>
        <v>0.30359999999999998</v>
      </c>
      <c r="H4441" s="225">
        <f t="shared" si="69"/>
        <v>253.39</v>
      </c>
    </row>
    <row r="4442" spans="1:8" x14ac:dyDescent="0.3">
      <c r="A4442" s="400"/>
      <c r="B4442" s="709">
        <v>92454</v>
      </c>
      <c r="C4442" s="710" t="s">
        <v>4001</v>
      </c>
      <c r="D4442" s="709" t="s">
        <v>168</v>
      </c>
      <c r="E4442" s="716">
        <v>328.64</v>
      </c>
      <c r="F4442" s="717">
        <v>0</v>
      </c>
      <c r="G4442">
        <f>VLOOKUP(B4442,'SINAPI-%MO'!B:E,4,0)</f>
        <v>0.28910000000000002</v>
      </c>
      <c r="H4442" s="225">
        <f t="shared" si="69"/>
        <v>233.63</v>
      </c>
    </row>
    <row r="4443" spans="1:8" x14ac:dyDescent="0.3">
      <c r="A4443" s="400"/>
      <c r="B4443" s="709">
        <v>92458</v>
      </c>
      <c r="C4443" s="710" t="s">
        <v>4002</v>
      </c>
      <c r="D4443" s="709" t="s">
        <v>168</v>
      </c>
      <c r="E4443" s="716">
        <v>306.81</v>
      </c>
      <c r="F4443" s="717">
        <v>0</v>
      </c>
      <c r="G4443">
        <f>VLOOKUP(B4443,'SINAPI-%MO'!B:E,4,0)</f>
        <v>0.27400000000000002</v>
      </c>
      <c r="H4443" s="225">
        <f t="shared" si="69"/>
        <v>222.74</v>
      </c>
    </row>
    <row r="4444" spans="1:8" x14ac:dyDescent="0.3">
      <c r="A4444" s="400"/>
      <c r="B4444" s="709">
        <v>92462</v>
      </c>
      <c r="C4444" s="710" t="s">
        <v>4003</v>
      </c>
      <c r="D4444" s="709" t="s">
        <v>168</v>
      </c>
      <c r="E4444" s="716">
        <v>293.07</v>
      </c>
      <c r="F4444" s="717">
        <v>0</v>
      </c>
      <c r="G4444">
        <f>VLOOKUP(B4444,'SINAPI-%MO'!B:E,4,0)</f>
        <v>0.25940000000000002</v>
      </c>
      <c r="H4444" s="225">
        <f t="shared" si="69"/>
        <v>217.04</v>
      </c>
    </row>
    <row r="4445" spans="1:8" x14ac:dyDescent="0.3">
      <c r="A4445" s="400"/>
      <c r="B4445" s="709">
        <v>92468</v>
      </c>
      <c r="C4445" s="710" t="s">
        <v>4004</v>
      </c>
      <c r="D4445" s="709" t="s">
        <v>168</v>
      </c>
      <c r="E4445" s="716">
        <v>132.36000000000001</v>
      </c>
      <c r="F4445" s="717">
        <v>0</v>
      </c>
      <c r="G4445">
        <f>VLOOKUP(B4445,'SINAPI-%MO'!B:E,4,0)</f>
        <v>0.39889999999999998</v>
      </c>
      <c r="H4445" s="225">
        <f t="shared" si="69"/>
        <v>79.56</v>
      </c>
    </row>
    <row r="4446" spans="1:8" x14ac:dyDescent="0.3">
      <c r="A4446" s="400"/>
      <c r="B4446" s="709">
        <v>92472</v>
      </c>
      <c r="C4446" s="710" t="s">
        <v>4005</v>
      </c>
      <c r="D4446" s="709" t="s">
        <v>168</v>
      </c>
      <c r="E4446" s="716">
        <v>125.56</v>
      </c>
      <c r="F4446" s="717">
        <v>0</v>
      </c>
      <c r="G4446">
        <f>VLOOKUP(B4446,'SINAPI-%MO'!B:E,4,0)</f>
        <v>0.38700000000000001</v>
      </c>
      <c r="H4446" s="225">
        <f t="shared" si="69"/>
        <v>76.959999999999994</v>
      </c>
    </row>
    <row r="4447" spans="1:8" x14ac:dyDescent="0.3">
      <c r="A4447" s="400"/>
      <c r="B4447" s="709">
        <v>92476</v>
      </c>
      <c r="C4447" s="710" t="s">
        <v>4006</v>
      </c>
      <c r="D4447" s="709" t="s">
        <v>168</v>
      </c>
      <c r="E4447" s="716">
        <v>119.81</v>
      </c>
      <c r="F4447" s="717">
        <v>0</v>
      </c>
      <c r="G4447">
        <f>VLOOKUP(B4447,'SINAPI-%MO'!B:E,4,0)</f>
        <v>0.37419999999999998</v>
      </c>
      <c r="H4447" s="225">
        <f t="shared" si="69"/>
        <v>74.97</v>
      </c>
    </row>
    <row r="4448" spans="1:8" x14ac:dyDescent="0.3">
      <c r="A4448" s="400"/>
      <c r="B4448" s="709">
        <v>92480</v>
      </c>
      <c r="C4448" s="710" t="s">
        <v>4007</v>
      </c>
      <c r="D4448" s="709" t="s">
        <v>168</v>
      </c>
      <c r="E4448" s="716">
        <v>108.27</v>
      </c>
      <c r="F4448" s="717">
        <v>0</v>
      </c>
      <c r="G4448">
        <f>VLOOKUP(B4448,'SINAPI-%MO'!B:E,4,0)</f>
        <v>0.34960000000000002</v>
      </c>
      <c r="H4448" s="225">
        <f t="shared" si="69"/>
        <v>70.41</v>
      </c>
    </row>
    <row r="4449" spans="1:8" x14ac:dyDescent="0.3">
      <c r="A4449" s="400"/>
      <c r="B4449" s="709">
        <v>92452</v>
      </c>
      <c r="C4449" s="710" t="s">
        <v>4008</v>
      </c>
      <c r="D4449" s="709" t="s">
        <v>168</v>
      </c>
      <c r="E4449" s="716">
        <v>207.67</v>
      </c>
      <c r="F4449" s="717">
        <v>0</v>
      </c>
      <c r="G4449">
        <f>VLOOKUP(B4449,'SINAPI-%MO'!B:E,4,0)</f>
        <v>0.43180000000000002</v>
      </c>
      <c r="H4449" s="225">
        <f t="shared" si="69"/>
        <v>117.99</v>
      </c>
    </row>
    <row r="4450" spans="1:8" x14ac:dyDescent="0.3">
      <c r="A4450" s="400"/>
      <c r="B4450" s="709">
        <v>92456</v>
      </c>
      <c r="C4450" s="710" t="s">
        <v>4009</v>
      </c>
      <c r="D4450" s="709" t="s">
        <v>168</v>
      </c>
      <c r="E4450" s="716">
        <v>172.51</v>
      </c>
      <c r="F4450" s="717">
        <v>0</v>
      </c>
      <c r="G4450">
        <f>VLOOKUP(B4450,'SINAPI-%MO'!B:E,4,0)</f>
        <v>0.43909999999999999</v>
      </c>
      <c r="H4450" s="225">
        <f t="shared" si="69"/>
        <v>96.76</v>
      </c>
    </row>
    <row r="4451" spans="1:8" x14ac:dyDescent="0.3">
      <c r="A4451" s="400"/>
      <c r="B4451" s="709">
        <v>92460</v>
      </c>
      <c r="C4451" s="710" t="s">
        <v>4010</v>
      </c>
      <c r="D4451" s="709" t="s">
        <v>168</v>
      </c>
      <c r="E4451" s="716">
        <v>144.72999999999999</v>
      </c>
      <c r="F4451" s="717">
        <v>0</v>
      </c>
      <c r="G4451">
        <f>VLOOKUP(B4451,'SINAPI-%MO'!B:E,4,0)</f>
        <v>0.45800000000000002</v>
      </c>
      <c r="H4451" s="225">
        <f t="shared" si="69"/>
        <v>78.44</v>
      </c>
    </row>
    <row r="4452" spans="1:8" x14ac:dyDescent="0.3">
      <c r="A4452" s="400"/>
      <c r="B4452" s="709">
        <v>92464</v>
      </c>
      <c r="C4452" s="710" t="s">
        <v>4011</v>
      </c>
      <c r="D4452" s="709" t="s">
        <v>168</v>
      </c>
      <c r="E4452" s="716">
        <v>138.19999999999999</v>
      </c>
      <c r="F4452" s="717">
        <v>0</v>
      </c>
      <c r="G4452">
        <f>VLOOKUP(B4452,'SINAPI-%MO'!B:E,4,0)</f>
        <v>0.43130000000000002</v>
      </c>
      <c r="H4452" s="225">
        <f t="shared" si="69"/>
        <v>78.59</v>
      </c>
    </row>
    <row r="4453" spans="1:8" x14ac:dyDescent="0.3">
      <c r="A4453" s="400"/>
      <c r="B4453" s="709">
        <v>105403</v>
      </c>
      <c r="C4453" s="710" t="s">
        <v>4012</v>
      </c>
      <c r="D4453" s="709" t="s">
        <v>168</v>
      </c>
      <c r="E4453" s="716">
        <v>201.74</v>
      </c>
      <c r="F4453" s="717">
        <v>0</v>
      </c>
      <c r="G4453">
        <f>VLOOKUP(B4453,'SINAPI-%MO'!B:E,4,0)</f>
        <v>0.15970000000000001</v>
      </c>
      <c r="H4453" s="225">
        <f t="shared" si="69"/>
        <v>169.52</v>
      </c>
    </row>
    <row r="4454" spans="1:8" x14ac:dyDescent="0.3">
      <c r="A4454" s="400"/>
      <c r="B4454" s="709">
        <v>96252</v>
      </c>
      <c r="C4454" s="710" t="s">
        <v>4013</v>
      </c>
      <c r="D4454" s="709" t="s">
        <v>168</v>
      </c>
      <c r="E4454" s="716">
        <v>163.98</v>
      </c>
      <c r="F4454" s="717">
        <v>0</v>
      </c>
      <c r="G4454">
        <f>VLOOKUP(B4454,'SINAPI-%MO'!B:E,4,0)</f>
        <v>0.1789</v>
      </c>
      <c r="H4454" s="225">
        <f t="shared" si="69"/>
        <v>134.63999999999999</v>
      </c>
    </row>
    <row r="4455" spans="1:8" x14ac:dyDescent="0.3">
      <c r="A4455" s="400"/>
      <c r="B4455" s="709">
        <v>96254</v>
      </c>
      <c r="C4455" s="710" t="s">
        <v>4014</v>
      </c>
      <c r="D4455" s="709" t="s">
        <v>159</v>
      </c>
      <c r="E4455" s="716">
        <v>0</v>
      </c>
      <c r="F4455" s="717"/>
      <c r="G4455" t="e">
        <f>VLOOKUP(B4455,'SINAPI-%MO'!B:E,4,0)</f>
        <v>#N/A</v>
      </c>
      <c r="H4455" s="225" t="str">
        <f t="shared" si="69"/>
        <v/>
      </c>
    </row>
    <row r="4456" spans="1:8" x14ac:dyDescent="0.3">
      <c r="A4456" s="400"/>
      <c r="B4456" s="709">
        <v>96253</v>
      </c>
      <c r="C4456" s="710" t="s">
        <v>4015</v>
      </c>
      <c r="D4456" s="709" t="s">
        <v>159</v>
      </c>
      <c r="E4456" s="716">
        <v>0</v>
      </c>
      <c r="F4456" s="717"/>
      <c r="G4456" t="e">
        <f>VLOOKUP(B4456,'SINAPI-%MO'!B:E,4,0)</f>
        <v>#N/A</v>
      </c>
      <c r="H4456" s="225" t="str">
        <f t="shared" si="69"/>
        <v/>
      </c>
    </row>
    <row r="4457" spans="1:8" x14ac:dyDescent="0.3">
      <c r="A4457" s="400"/>
      <c r="B4457" s="709">
        <v>105406</v>
      </c>
      <c r="C4457" s="710" t="s">
        <v>4016</v>
      </c>
      <c r="D4457" s="709" t="s">
        <v>168</v>
      </c>
      <c r="E4457" s="716">
        <v>214.02</v>
      </c>
      <c r="F4457" s="717">
        <v>0</v>
      </c>
      <c r="G4457">
        <f>VLOOKUP(B4457,'SINAPI-%MO'!B:E,4,0)</f>
        <v>0.48359999999999997</v>
      </c>
      <c r="H4457" s="225">
        <f t="shared" si="69"/>
        <v>110.51</v>
      </c>
    </row>
    <row r="4458" spans="1:8" x14ac:dyDescent="0.3">
      <c r="A4458" s="400"/>
      <c r="B4458" s="709">
        <v>96264</v>
      </c>
      <c r="C4458" s="710" t="s">
        <v>4017</v>
      </c>
      <c r="D4458" s="709" t="s">
        <v>168</v>
      </c>
      <c r="E4458" s="716">
        <v>0</v>
      </c>
      <c r="F4458" s="717"/>
      <c r="G4458" t="e">
        <f>VLOOKUP(B4458,'SINAPI-%MO'!B:E,4,0)</f>
        <v>#N/A</v>
      </c>
      <c r="H4458" s="225" t="str">
        <f t="shared" si="69"/>
        <v/>
      </c>
    </row>
    <row r="4459" spans="1:8" x14ac:dyDescent="0.3">
      <c r="A4459" s="400"/>
      <c r="B4459" s="709">
        <v>105405</v>
      </c>
      <c r="C4459" s="710" t="s">
        <v>4018</v>
      </c>
      <c r="D4459" s="709" t="s">
        <v>168</v>
      </c>
      <c r="E4459" s="716">
        <v>0</v>
      </c>
      <c r="F4459" s="717"/>
      <c r="G4459" t="e">
        <f>VLOOKUP(B4459,'SINAPI-%MO'!B:E,4,0)</f>
        <v>#N/A</v>
      </c>
      <c r="H4459" s="225" t="str">
        <f t="shared" si="69"/>
        <v/>
      </c>
    </row>
    <row r="4460" spans="1:8" x14ac:dyDescent="0.3">
      <c r="A4460" s="400"/>
      <c r="B4460" s="709">
        <v>96258</v>
      </c>
      <c r="C4460" s="710" t="s">
        <v>4019</v>
      </c>
      <c r="D4460" s="709" t="s">
        <v>168</v>
      </c>
      <c r="E4460" s="716">
        <v>153.63999999999999</v>
      </c>
      <c r="F4460" s="717">
        <v>0</v>
      </c>
      <c r="G4460">
        <f>VLOOKUP(B4460,'SINAPI-%MO'!B:E,4,0)</f>
        <v>0.50019999999999998</v>
      </c>
      <c r="H4460" s="225">
        <f t="shared" si="69"/>
        <v>76.78</v>
      </c>
    </row>
    <row r="4461" spans="1:8" x14ac:dyDescent="0.3">
      <c r="A4461" s="400"/>
      <c r="B4461" s="709">
        <v>96262</v>
      </c>
      <c r="C4461" s="710" t="s">
        <v>4020</v>
      </c>
      <c r="D4461" s="709" t="s">
        <v>168</v>
      </c>
      <c r="E4461" s="716">
        <v>0</v>
      </c>
      <c r="F4461" s="717"/>
      <c r="G4461" t="e">
        <f>VLOOKUP(B4461,'SINAPI-%MO'!B:E,4,0)</f>
        <v>#N/A</v>
      </c>
      <c r="H4461" s="225" t="str">
        <f t="shared" si="69"/>
        <v/>
      </c>
    </row>
    <row r="4462" spans="1:8" x14ac:dyDescent="0.3">
      <c r="A4462" s="400"/>
      <c r="B4462" s="709">
        <v>105404</v>
      </c>
      <c r="C4462" s="710" t="s">
        <v>4021</v>
      </c>
      <c r="D4462" s="709" t="s">
        <v>168</v>
      </c>
      <c r="E4462" s="716">
        <v>0</v>
      </c>
      <c r="F4462" s="717"/>
      <c r="G4462" t="e">
        <f>VLOOKUP(B4462,'SINAPI-%MO'!B:E,4,0)</f>
        <v>#N/A</v>
      </c>
      <c r="H4462" s="225" t="str">
        <f t="shared" si="69"/>
        <v/>
      </c>
    </row>
    <row r="4463" spans="1:8" x14ac:dyDescent="0.3">
      <c r="A4463" s="400"/>
      <c r="B4463" s="709">
        <v>92751</v>
      </c>
      <c r="C4463" s="710" t="s">
        <v>4022</v>
      </c>
      <c r="D4463" s="709" t="s">
        <v>170</v>
      </c>
      <c r="E4463" s="716">
        <v>1916.1</v>
      </c>
      <c r="F4463" s="717">
        <v>0</v>
      </c>
      <c r="G4463">
        <f>VLOOKUP(B4463,'SINAPI-%MO'!B:E,4,0)</f>
        <v>0.19189999999999999</v>
      </c>
      <c r="H4463" s="225">
        <f t="shared" si="69"/>
        <v>1548.4</v>
      </c>
    </row>
    <row r="4464" spans="1:8" x14ac:dyDescent="0.3">
      <c r="A4464" s="400"/>
      <c r="B4464" s="709">
        <v>92752</v>
      </c>
      <c r="C4464" s="710" t="s">
        <v>4023</v>
      </c>
      <c r="D4464" s="709" t="s">
        <v>170</v>
      </c>
      <c r="E4464" s="716">
        <v>2271.91</v>
      </c>
      <c r="F4464" s="717">
        <v>0</v>
      </c>
      <c r="G4464">
        <f>VLOOKUP(B4464,'SINAPI-%MO'!B:E,4,0)</f>
        <v>0.1842</v>
      </c>
      <c r="H4464" s="225">
        <f t="shared" si="69"/>
        <v>1853.42</v>
      </c>
    </row>
    <row r="4465" spans="1:8" x14ac:dyDescent="0.3">
      <c r="A4465" s="400"/>
      <c r="B4465" s="709">
        <v>92750</v>
      </c>
      <c r="C4465" s="710" t="s">
        <v>4024</v>
      </c>
      <c r="D4465" s="709" t="s">
        <v>170</v>
      </c>
      <c r="E4465" s="716">
        <v>1557.63</v>
      </c>
      <c r="F4465" s="717">
        <v>0</v>
      </c>
      <c r="G4465">
        <f>VLOOKUP(B4465,'SINAPI-%MO'!B:E,4,0)</f>
        <v>0.20219999999999999</v>
      </c>
      <c r="H4465" s="225">
        <f t="shared" si="69"/>
        <v>1242.67</v>
      </c>
    </row>
    <row r="4466" spans="1:8" x14ac:dyDescent="0.3">
      <c r="A4466" s="400"/>
      <c r="B4466" s="709">
        <v>92749</v>
      </c>
      <c r="C4466" s="710" t="s">
        <v>4025</v>
      </c>
      <c r="D4466" s="709" t="s">
        <v>170</v>
      </c>
      <c r="E4466" s="716">
        <v>944.59</v>
      </c>
      <c r="F4466" s="717">
        <v>0</v>
      </c>
      <c r="G4466">
        <f>VLOOKUP(B4466,'SINAPI-%MO'!B:E,4,0)</f>
        <v>0.2392</v>
      </c>
      <c r="H4466" s="225">
        <f t="shared" si="69"/>
        <v>718.64</v>
      </c>
    </row>
    <row r="4467" spans="1:8" x14ac:dyDescent="0.3">
      <c r="A4467" s="400"/>
      <c r="B4467" s="709">
        <v>92745</v>
      </c>
      <c r="C4467" s="710" t="s">
        <v>4026</v>
      </c>
      <c r="D4467" s="709" t="s">
        <v>170</v>
      </c>
      <c r="E4467" s="716">
        <v>809.99</v>
      </c>
      <c r="F4467" s="717">
        <v>0</v>
      </c>
      <c r="G4467">
        <f>VLOOKUP(B4467,'SINAPI-%MO'!B:E,4,0)</f>
        <v>0.28220000000000001</v>
      </c>
      <c r="H4467" s="225">
        <f t="shared" si="69"/>
        <v>581.41</v>
      </c>
    </row>
    <row r="4468" spans="1:8" x14ac:dyDescent="0.3">
      <c r="A4468" s="400"/>
      <c r="B4468" s="709">
        <v>92747</v>
      </c>
      <c r="C4468" s="710" t="s">
        <v>4027</v>
      </c>
      <c r="D4468" s="709" t="s">
        <v>170</v>
      </c>
      <c r="E4468" s="716">
        <v>897.57</v>
      </c>
      <c r="F4468" s="717">
        <v>0</v>
      </c>
      <c r="G4468">
        <f>VLOOKUP(B4468,'SINAPI-%MO'!B:E,4,0)</f>
        <v>0.28220000000000001</v>
      </c>
      <c r="H4468" s="225">
        <f t="shared" si="69"/>
        <v>644.27</v>
      </c>
    </row>
    <row r="4469" spans="1:8" x14ac:dyDescent="0.3">
      <c r="A4469" s="400"/>
      <c r="B4469" s="709">
        <v>92743</v>
      </c>
      <c r="C4469" s="710" t="s">
        <v>4028</v>
      </c>
      <c r="D4469" s="709" t="s">
        <v>170</v>
      </c>
      <c r="E4469" s="716">
        <v>670.41</v>
      </c>
      <c r="F4469" s="717">
        <v>0</v>
      </c>
      <c r="G4469">
        <f>VLOOKUP(B4469,'SINAPI-%MO'!B:E,4,0)</f>
        <v>0.2928</v>
      </c>
      <c r="H4469" s="225">
        <f t="shared" si="69"/>
        <v>474.11</v>
      </c>
    </row>
    <row r="4470" spans="1:8" x14ac:dyDescent="0.3">
      <c r="A4470" s="400"/>
      <c r="B4470" s="709">
        <v>92746</v>
      </c>
      <c r="C4470" s="710" t="s">
        <v>4029</v>
      </c>
      <c r="D4470" s="709" t="s">
        <v>170</v>
      </c>
      <c r="E4470" s="716">
        <v>728.57</v>
      </c>
      <c r="F4470" s="717">
        <v>0</v>
      </c>
      <c r="G4470">
        <f>VLOOKUP(B4470,'SINAPI-%MO'!B:E,4,0)</f>
        <v>0.20219999999999999</v>
      </c>
      <c r="H4470" s="225">
        <f t="shared" si="69"/>
        <v>581.25</v>
      </c>
    </row>
    <row r="4471" spans="1:8" x14ac:dyDescent="0.3">
      <c r="A4471" s="400"/>
      <c r="B4471" s="709">
        <v>92748</v>
      </c>
      <c r="C4471" s="710" t="s">
        <v>4030</v>
      </c>
      <c r="D4471" s="709" t="s">
        <v>170</v>
      </c>
      <c r="E4471" s="716">
        <v>798.11</v>
      </c>
      <c r="F4471" s="717">
        <v>0</v>
      </c>
      <c r="G4471">
        <f>VLOOKUP(B4471,'SINAPI-%MO'!B:E,4,0)</f>
        <v>0.21609999999999999</v>
      </c>
      <c r="H4471" s="225">
        <f t="shared" si="69"/>
        <v>625.63</v>
      </c>
    </row>
    <row r="4472" spans="1:8" x14ac:dyDescent="0.3">
      <c r="A4472" s="400"/>
      <c r="B4472" s="709">
        <v>92744</v>
      </c>
      <c r="C4472" s="710" t="s">
        <v>4031</v>
      </c>
      <c r="D4472" s="709" t="s">
        <v>170</v>
      </c>
      <c r="E4472" s="716">
        <v>613.9</v>
      </c>
      <c r="F4472" s="717">
        <v>0</v>
      </c>
      <c r="G4472">
        <f>VLOOKUP(B4472,'SINAPI-%MO'!B:E,4,0)</f>
        <v>0.17780000000000001</v>
      </c>
      <c r="H4472" s="225">
        <f t="shared" si="69"/>
        <v>504.74</v>
      </c>
    </row>
    <row r="4473" spans="1:8" x14ac:dyDescent="0.3">
      <c r="A4473" s="400"/>
      <c r="B4473" s="709">
        <v>92754</v>
      </c>
      <c r="C4473" s="710" t="s">
        <v>4032</v>
      </c>
      <c r="D4473" s="709" t="s">
        <v>170</v>
      </c>
      <c r="E4473" s="716">
        <v>639.04</v>
      </c>
      <c r="F4473" s="717">
        <v>0.15260000000000001</v>
      </c>
      <c r="G4473">
        <f>VLOOKUP(B4473,'SINAPI-%MO'!B:E,4,0)</f>
        <v>0.27429999999999999</v>
      </c>
      <c r="H4473" s="225">
        <f t="shared" si="69"/>
        <v>463.75</v>
      </c>
    </row>
    <row r="4474" spans="1:8" x14ac:dyDescent="0.3">
      <c r="A4474" s="400"/>
      <c r="B4474" s="709">
        <v>92753</v>
      </c>
      <c r="C4474" s="710" t="s">
        <v>4033</v>
      </c>
      <c r="D4474" s="709" t="s">
        <v>170</v>
      </c>
      <c r="E4474" s="716">
        <v>650.76</v>
      </c>
      <c r="F4474" s="717">
        <v>0.14979999999999999</v>
      </c>
      <c r="G4474">
        <f>VLOOKUP(B4474,'SINAPI-%MO'!B:E,4,0)</f>
        <v>0.24510000000000001</v>
      </c>
      <c r="H4474" s="225">
        <f t="shared" si="69"/>
        <v>491.25</v>
      </c>
    </row>
    <row r="4475" spans="1:8" x14ac:dyDescent="0.3">
      <c r="A4475" s="400"/>
      <c r="B4475" s="709">
        <v>92755</v>
      </c>
      <c r="C4475" s="710" t="s">
        <v>4034</v>
      </c>
      <c r="D4475" s="709" t="s">
        <v>168</v>
      </c>
      <c r="E4475" s="716">
        <v>244.68</v>
      </c>
      <c r="F4475" s="717">
        <v>0</v>
      </c>
      <c r="G4475">
        <f>VLOOKUP(B4475,'SINAPI-%MO'!B:E,4,0)</f>
        <v>0.2858</v>
      </c>
      <c r="H4475" s="225">
        <f t="shared" si="69"/>
        <v>174.75</v>
      </c>
    </row>
    <row r="4476" spans="1:8" x14ac:dyDescent="0.3">
      <c r="A4476" s="400"/>
      <c r="B4476" s="709">
        <v>92756</v>
      </c>
      <c r="C4476" s="710" t="s">
        <v>4035</v>
      </c>
      <c r="D4476" s="709" t="s">
        <v>168</v>
      </c>
      <c r="E4476" s="716">
        <v>281.41000000000003</v>
      </c>
      <c r="F4476" s="717">
        <v>0</v>
      </c>
      <c r="G4476">
        <f>VLOOKUP(B4476,'SINAPI-%MO'!B:E,4,0)</f>
        <v>0.29649999999999999</v>
      </c>
      <c r="H4476" s="225">
        <f t="shared" si="69"/>
        <v>197.97</v>
      </c>
    </row>
    <row r="4477" spans="1:8" x14ac:dyDescent="0.3">
      <c r="A4477" s="400"/>
      <c r="B4477" s="709">
        <v>92757</v>
      </c>
      <c r="C4477" s="710" t="s">
        <v>4036</v>
      </c>
      <c r="D4477" s="709" t="s">
        <v>168</v>
      </c>
      <c r="E4477" s="716">
        <v>325.38</v>
      </c>
      <c r="F4477" s="717">
        <v>0</v>
      </c>
      <c r="G4477">
        <f>VLOOKUP(B4477,'SINAPI-%MO'!B:E,4,0)</f>
        <v>0.3049</v>
      </c>
      <c r="H4477" s="225">
        <f t="shared" si="69"/>
        <v>226.17</v>
      </c>
    </row>
    <row r="4478" spans="1:8" x14ac:dyDescent="0.3">
      <c r="A4478" s="400"/>
      <c r="B4478" s="709">
        <v>92758</v>
      </c>
      <c r="C4478" s="710" t="s">
        <v>4037</v>
      </c>
      <c r="D4478" s="709" t="s">
        <v>170</v>
      </c>
      <c r="E4478" s="716">
        <v>670.25</v>
      </c>
      <c r="F4478" s="717">
        <v>0</v>
      </c>
      <c r="G4478">
        <f>VLOOKUP(B4478,'SINAPI-%MO'!B:E,4,0)</f>
        <v>0.14349999999999999</v>
      </c>
      <c r="H4478" s="225">
        <f t="shared" si="69"/>
        <v>574.05999999999995</v>
      </c>
    </row>
    <row r="4479" spans="1:8" x14ac:dyDescent="0.3">
      <c r="A4479" s="400"/>
      <c r="B4479" s="709">
        <v>104500</v>
      </c>
      <c r="C4479" s="710" t="s">
        <v>4038</v>
      </c>
      <c r="D4479" s="709" t="s">
        <v>159</v>
      </c>
      <c r="E4479" s="716">
        <v>0</v>
      </c>
      <c r="F4479" s="717"/>
      <c r="G4479" t="e">
        <f>VLOOKUP(B4479,'SINAPI-%MO'!B:E,4,0)</f>
        <v>#N/A</v>
      </c>
      <c r="H4479" s="225" t="str">
        <f t="shared" si="69"/>
        <v/>
      </c>
    </row>
    <row r="4480" spans="1:8" x14ac:dyDescent="0.3">
      <c r="A4480" s="400"/>
      <c r="B4480" s="709">
        <v>104503</v>
      </c>
      <c r="C4480" s="710" t="s">
        <v>4039</v>
      </c>
      <c r="D4480" s="709" t="s">
        <v>159</v>
      </c>
      <c r="E4480" s="716">
        <v>0</v>
      </c>
      <c r="F4480" s="717"/>
      <c r="G4480" t="e">
        <f>VLOOKUP(B4480,'SINAPI-%MO'!B:E,4,0)</f>
        <v>#N/A</v>
      </c>
      <c r="H4480" s="225" t="str">
        <f t="shared" si="69"/>
        <v/>
      </c>
    </row>
    <row r="4481" spans="1:8" x14ac:dyDescent="0.3">
      <c r="A4481" s="400"/>
      <c r="B4481" s="709">
        <v>104504</v>
      </c>
      <c r="C4481" s="710" t="s">
        <v>4040</v>
      </c>
      <c r="D4481" s="709" t="s">
        <v>159</v>
      </c>
      <c r="E4481" s="716">
        <v>0</v>
      </c>
      <c r="F4481" s="717"/>
      <c r="G4481" t="e">
        <f>VLOOKUP(B4481,'SINAPI-%MO'!B:E,4,0)</f>
        <v>#N/A</v>
      </c>
      <c r="H4481" s="225" t="str">
        <f t="shared" si="69"/>
        <v/>
      </c>
    </row>
    <row r="4482" spans="1:8" x14ac:dyDescent="0.3">
      <c r="A4482" s="400"/>
      <c r="B4482" s="709">
        <v>104507</v>
      </c>
      <c r="C4482" s="710" t="s">
        <v>4041</v>
      </c>
      <c r="D4482" s="709" t="s">
        <v>159</v>
      </c>
      <c r="E4482" s="716">
        <v>0</v>
      </c>
      <c r="F4482" s="717"/>
      <c r="G4482" t="e">
        <f>VLOOKUP(B4482,'SINAPI-%MO'!B:E,4,0)</f>
        <v>#N/A</v>
      </c>
      <c r="H4482" s="225" t="str">
        <f t="shared" si="69"/>
        <v/>
      </c>
    </row>
    <row r="4483" spans="1:8" x14ac:dyDescent="0.3">
      <c r="A4483" s="400"/>
      <c r="B4483" s="709">
        <v>104508</v>
      </c>
      <c r="C4483" s="710" t="s">
        <v>4042</v>
      </c>
      <c r="D4483" s="709" t="s">
        <v>159</v>
      </c>
      <c r="E4483" s="716">
        <v>0</v>
      </c>
      <c r="F4483" s="717"/>
      <c r="G4483" t="e">
        <f>VLOOKUP(B4483,'SINAPI-%MO'!B:E,4,0)</f>
        <v>#N/A</v>
      </c>
      <c r="H4483" s="225" t="str">
        <f t="shared" si="69"/>
        <v/>
      </c>
    </row>
    <row r="4484" spans="1:8" x14ac:dyDescent="0.3">
      <c r="A4484" s="400"/>
      <c r="B4484" s="709">
        <v>104509</v>
      </c>
      <c r="C4484" s="710" t="s">
        <v>4043</v>
      </c>
      <c r="D4484" s="709" t="s">
        <v>159</v>
      </c>
      <c r="E4484" s="716">
        <v>0</v>
      </c>
      <c r="F4484" s="717"/>
      <c r="G4484" t="e">
        <f>VLOOKUP(B4484,'SINAPI-%MO'!B:E,4,0)</f>
        <v>#N/A</v>
      </c>
      <c r="H4484" s="225" t="str">
        <f t="shared" si="69"/>
        <v/>
      </c>
    </row>
    <row r="4485" spans="1:8" x14ac:dyDescent="0.3">
      <c r="A4485" s="400"/>
      <c r="B4485" s="709">
        <v>104512</v>
      </c>
      <c r="C4485" s="710" t="s">
        <v>4044</v>
      </c>
      <c r="D4485" s="709" t="s">
        <v>159</v>
      </c>
      <c r="E4485" s="716">
        <v>0</v>
      </c>
      <c r="F4485" s="717"/>
      <c r="G4485" t="e">
        <f>VLOOKUP(B4485,'SINAPI-%MO'!B:E,4,0)</f>
        <v>#N/A</v>
      </c>
      <c r="H4485" s="225" t="str">
        <f t="shared" si="69"/>
        <v/>
      </c>
    </row>
    <row r="4486" spans="1:8" x14ac:dyDescent="0.3">
      <c r="A4486" s="400"/>
      <c r="B4486" s="709">
        <v>104513</v>
      </c>
      <c r="C4486" s="710" t="s">
        <v>4045</v>
      </c>
      <c r="D4486" s="709" t="s">
        <v>159</v>
      </c>
      <c r="E4486" s="716">
        <v>0</v>
      </c>
      <c r="F4486" s="717"/>
      <c r="G4486" t="e">
        <f>VLOOKUP(B4486,'SINAPI-%MO'!B:E,4,0)</f>
        <v>#N/A</v>
      </c>
      <c r="H4486" s="225" t="str">
        <f t="shared" si="69"/>
        <v/>
      </c>
    </row>
    <row r="4487" spans="1:8" x14ac:dyDescent="0.3">
      <c r="A4487" s="400"/>
      <c r="B4487" s="709">
        <v>104514</v>
      </c>
      <c r="C4487" s="710" t="s">
        <v>4046</v>
      </c>
      <c r="D4487" s="709" t="s">
        <v>159</v>
      </c>
      <c r="E4487" s="716">
        <v>0</v>
      </c>
      <c r="F4487" s="717"/>
      <c r="G4487" t="e">
        <f>VLOOKUP(B4487,'SINAPI-%MO'!B:E,4,0)</f>
        <v>#N/A</v>
      </c>
      <c r="H4487" s="225" t="str">
        <f t="shared" si="69"/>
        <v/>
      </c>
    </row>
    <row r="4488" spans="1:8" x14ac:dyDescent="0.3">
      <c r="A4488" s="400"/>
      <c r="B4488" s="709">
        <v>104501</v>
      </c>
      <c r="C4488" s="710" t="s">
        <v>4047</v>
      </c>
      <c r="D4488" s="709" t="s">
        <v>159</v>
      </c>
      <c r="E4488" s="716">
        <v>0</v>
      </c>
      <c r="F4488" s="717"/>
      <c r="G4488" t="e">
        <f>VLOOKUP(B4488,'SINAPI-%MO'!B:E,4,0)</f>
        <v>#N/A</v>
      </c>
      <c r="H4488" s="225" t="str">
        <f t="shared" si="69"/>
        <v/>
      </c>
    </row>
    <row r="4489" spans="1:8" x14ac:dyDescent="0.3">
      <c r="A4489" s="400"/>
      <c r="B4489" s="709">
        <v>104502</v>
      </c>
      <c r="C4489" s="710" t="s">
        <v>4048</v>
      </c>
      <c r="D4489" s="709" t="s">
        <v>159</v>
      </c>
      <c r="E4489" s="716">
        <v>0</v>
      </c>
      <c r="F4489" s="717"/>
      <c r="G4489" t="e">
        <f>VLOOKUP(B4489,'SINAPI-%MO'!B:E,4,0)</f>
        <v>#N/A</v>
      </c>
      <c r="H4489" s="225" t="str">
        <f t="shared" si="69"/>
        <v/>
      </c>
    </row>
    <row r="4490" spans="1:8" x14ac:dyDescent="0.3">
      <c r="A4490" s="400"/>
      <c r="B4490" s="709">
        <v>104505</v>
      </c>
      <c r="C4490" s="710" t="s">
        <v>4049</v>
      </c>
      <c r="D4490" s="709" t="s">
        <v>159</v>
      </c>
      <c r="E4490" s="716">
        <v>0</v>
      </c>
      <c r="F4490" s="717"/>
      <c r="G4490" t="e">
        <f>VLOOKUP(B4490,'SINAPI-%MO'!B:E,4,0)</f>
        <v>#N/A</v>
      </c>
      <c r="H4490" s="225" t="str">
        <f t="shared" si="69"/>
        <v/>
      </c>
    </row>
    <row r="4491" spans="1:8" x14ac:dyDescent="0.3">
      <c r="A4491" s="400"/>
      <c r="B4491" s="709">
        <v>104506</v>
      </c>
      <c r="C4491" s="710" t="s">
        <v>4050</v>
      </c>
      <c r="D4491" s="709" t="s">
        <v>159</v>
      </c>
      <c r="E4491" s="716">
        <v>0</v>
      </c>
      <c r="F4491" s="717"/>
      <c r="G4491" t="e">
        <f>VLOOKUP(B4491,'SINAPI-%MO'!B:E,4,0)</f>
        <v>#N/A</v>
      </c>
      <c r="H4491" s="225" t="str">
        <f t="shared" ref="H4491:H4554" si="70">IF(E4491&gt;0,TRUNC(E4491*(1-G4491),2),"")</f>
        <v/>
      </c>
    </row>
    <row r="4492" spans="1:8" x14ac:dyDescent="0.3">
      <c r="A4492" s="400"/>
      <c r="B4492" s="709">
        <v>104510</v>
      </c>
      <c r="C4492" s="710" t="s">
        <v>4051</v>
      </c>
      <c r="D4492" s="709" t="s">
        <v>159</v>
      </c>
      <c r="E4492" s="716">
        <v>0</v>
      </c>
      <c r="F4492" s="717"/>
      <c r="G4492" t="e">
        <f>VLOOKUP(B4492,'SINAPI-%MO'!B:E,4,0)</f>
        <v>#N/A</v>
      </c>
      <c r="H4492" s="225" t="str">
        <f t="shared" si="70"/>
        <v/>
      </c>
    </row>
    <row r="4493" spans="1:8" x14ac:dyDescent="0.3">
      <c r="A4493" s="400"/>
      <c r="B4493" s="709">
        <v>104511</v>
      </c>
      <c r="C4493" s="710" t="s">
        <v>4052</v>
      </c>
      <c r="D4493" s="709" t="s">
        <v>159</v>
      </c>
      <c r="E4493" s="716">
        <v>0</v>
      </c>
      <c r="F4493" s="717"/>
      <c r="G4493" t="e">
        <f>VLOOKUP(B4493,'SINAPI-%MO'!B:E,4,0)</f>
        <v>#N/A</v>
      </c>
      <c r="H4493" s="225" t="str">
        <f t="shared" si="70"/>
        <v/>
      </c>
    </row>
    <row r="4494" spans="1:8" x14ac:dyDescent="0.3">
      <c r="A4494" s="400"/>
      <c r="B4494" s="709">
        <v>104491</v>
      </c>
      <c r="C4494" s="710" t="s">
        <v>4053</v>
      </c>
      <c r="D4494" s="709" t="s">
        <v>159</v>
      </c>
      <c r="E4494" s="716">
        <v>4754.17</v>
      </c>
      <c r="F4494" s="717">
        <v>0</v>
      </c>
      <c r="G4494">
        <f>VLOOKUP(B4494,'SINAPI-%MO'!B:E,4,0)</f>
        <v>1.7399999999999999E-2</v>
      </c>
      <c r="H4494" s="225">
        <f t="shared" si="70"/>
        <v>4671.4399999999996</v>
      </c>
    </row>
    <row r="4495" spans="1:8" x14ac:dyDescent="0.3">
      <c r="A4495" s="400"/>
      <c r="B4495" s="709">
        <v>104492</v>
      </c>
      <c r="C4495" s="710" t="s">
        <v>4054</v>
      </c>
      <c r="D4495" s="709" t="s">
        <v>159</v>
      </c>
      <c r="E4495" s="716">
        <v>5946</v>
      </c>
      <c r="F4495" s="717">
        <v>0</v>
      </c>
      <c r="G4495">
        <f>VLOOKUP(B4495,'SINAPI-%MO'!B:E,4,0)</f>
        <v>1.7100000000000001E-2</v>
      </c>
      <c r="H4495" s="225">
        <f t="shared" si="70"/>
        <v>5844.32</v>
      </c>
    </row>
    <row r="4496" spans="1:8" x14ac:dyDescent="0.3">
      <c r="A4496" s="400"/>
      <c r="B4496" s="709">
        <v>104493</v>
      </c>
      <c r="C4496" s="710" t="s">
        <v>4055</v>
      </c>
      <c r="D4496" s="709" t="s">
        <v>159</v>
      </c>
      <c r="E4496" s="716">
        <v>0</v>
      </c>
      <c r="F4496" s="717"/>
      <c r="G4496" t="e">
        <f>VLOOKUP(B4496,'SINAPI-%MO'!B:E,4,0)</f>
        <v>#N/A</v>
      </c>
      <c r="H4496" s="225" t="str">
        <f t="shared" si="70"/>
        <v/>
      </c>
    </row>
    <row r="4497" spans="1:8" x14ac:dyDescent="0.3">
      <c r="A4497" s="400"/>
      <c r="B4497" s="709">
        <v>104494</v>
      </c>
      <c r="C4497" s="710" t="s">
        <v>4056</v>
      </c>
      <c r="D4497" s="709" t="s">
        <v>159</v>
      </c>
      <c r="E4497" s="716">
        <v>8033.57</v>
      </c>
      <c r="F4497" s="717">
        <v>0</v>
      </c>
      <c r="G4497">
        <f>VLOOKUP(B4497,'SINAPI-%MO'!B:E,4,0)</f>
        <v>1.4999999999999999E-2</v>
      </c>
      <c r="H4497" s="225">
        <f t="shared" si="70"/>
        <v>7913.06</v>
      </c>
    </row>
    <row r="4498" spans="1:8" x14ac:dyDescent="0.3">
      <c r="A4498" s="400"/>
      <c r="B4498" s="709">
        <v>104495</v>
      </c>
      <c r="C4498" s="710" t="s">
        <v>4057</v>
      </c>
      <c r="D4498" s="709" t="s">
        <v>159</v>
      </c>
      <c r="E4498" s="716">
        <v>0</v>
      </c>
      <c r="F4498" s="717"/>
      <c r="G4498" t="e">
        <f>VLOOKUP(B4498,'SINAPI-%MO'!B:E,4,0)</f>
        <v>#N/A</v>
      </c>
      <c r="H4498" s="225" t="str">
        <f t="shared" si="70"/>
        <v/>
      </c>
    </row>
    <row r="4499" spans="1:8" x14ac:dyDescent="0.3">
      <c r="A4499" s="400"/>
      <c r="B4499" s="709">
        <v>104496</v>
      </c>
      <c r="C4499" s="710" t="s">
        <v>4058</v>
      </c>
      <c r="D4499" s="709" t="s">
        <v>159</v>
      </c>
      <c r="E4499" s="716">
        <v>0</v>
      </c>
      <c r="F4499" s="717"/>
      <c r="G4499" t="e">
        <f>VLOOKUP(B4499,'SINAPI-%MO'!B:E,4,0)</f>
        <v>#N/A</v>
      </c>
      <c r="H4499" s="225" t="str">
        <f t="shared" si="70"/>
        <v/>
      </c>
    </row>
    <row r="4500" spans="1:8" x14ac:dyDescent="0.3">
      <c r="A4500" s="400"/>
      <c r="B4500" s="709">
        <v>104497</v>
      </c>
      <c r="C4500" s="710" t="s">
        <v>4059</v>
      </c>
      <c r="D4500" s="709" t="s">
        <v>159</v>
      </c>
      <c r="E4500" s="716">
        <v>9622.74</v>
      </c>
      <c r="F4500" s="717">
        <v>0</v>
      </c>
      <c r="G4500">
        <f>VLOOKUP(B4500,'SINAPI-%MO'!B:E,4,0)</f>
        <v>1.6899999999999998E-2</v>
      </c>
      <c r="H4500" s="225">
        <f t="shared" si="70"/>
        <v>9460.11</v>
      </c>
    </row>
    <row r="4501" spans="1:8" x14ac:dyDescent="0.3">
      <c r="A4501" s="400"/>
      <c r="B4501" s="709">
        <v>104498</v>
      </c>
      <c r="C4501" s="710" t="s">
        <v>4060</v>
      </c>
      <c r="D4501" s="709" t="s">
        <v>159</v>
      </c>
      <c r="E4501" s="716">
        <v>0</v>
      </c>
      <c r="F4501" s="717"/>
      <c r="G4501" t="e">
        <f>VLOOKUP(B4501,'SINAPI-%MO'!B:E,4,0)</f>
        <v>#N/A</v>
      </c>
      <c r="H4501" s="225" t="str">
        <f t="shared" si="70"/>
        <v/>
      </c>
    </row>
    <row r="4502" spans="1:8" x14ac:dyDescent="0.3">
      <c r="A4502" s="400"/>
      <c r="B4502" s="709">
        <v>104499</v>
      </c>
      <c r="C4502" s="710" t="s">
        <v>4061</v>
      </c>
      <c r="D4502" s="709" t="s">
        <v>159</v>
      </c>
      <c r="E4502" s="716">
        <v>0</v>
      </c>
      <c r="F4502" s="717"/>
      <c r="G4502" t="e">
        <f>VLOOKUP(B4502,'SINAPI-%MO'!B:E,4,0)</f>
        <v>#N/A</v>
      </c>
      <c r="H4502" s="225" t="str">
        <f t="shared" si="70"/>
        <v/>
      </c>
    </row>
    <row r="4503" spans="1:8" x14ac:dyDescent="0.3">
      <c r="A4503" s="400"/>
      <c r="B4503" s="709">
        <v>104515</v>
      </c>
      <c r="C4503" s="710" t="s">
        <v>4062</v>
      </c>
      <c r="D4503" s="709" t="s">
        <v>168</v>
      </c>
      <c r="E4503" s="716">
        <v>27.47</v>
      </c>
      <c r="F4503" s="717">
        <v>0</v>
      </c>
      <c r="G4503">
        <f>VLOOKUP(B4503,'SINAPI-%MO'!B:E,4,0)</f>
        <v>1.7500000000000002E-2</v>
      </c>
      <c r="H4503" s="225">
        <f t="shared" si="70"/>
        <v>26.98</v>
      </c>
    </row>
    <row r="4504" spans="1:8" x14ac:dyDescent="0.3">
      <c r="A4504" s="400"/>
      <c r="B4504" s="709">
        <v>106549</v>
      </c>
      <c r="C4504" s="710" t="s">
        <v>15043</v>
      </c>
      <c r="D4504" s="709" t="s">
        <v>159</v>
      </c>
      <c r="E4504" s="716">
        <v>0</v>
      </c>
      <c r="F4504" s="717"/>
      <c r="G4504" t="e">
        <f>VLOOKUP(B4504,'SINAPI-%MO'!B:E,4,0)</f>
        <v>#N/A</v>
      </c>
      <c r="H4504" s="225" t="str">
        <f t="shared" si="70"/>
        <v/>
      </c>
    </row>
    <row r="4505" spans="1:8" x14ac:dyDescent="0.3">
      <c r="A4505" s="400"/>
      <c r="B4505" s="709">
        <v>106548</v>
      </c>
      <c r="C4505" s="710" t="s">
        <v>15044</v>
      </c>
      <c r="D4505" s="709" t="s">
        <v>159</v>
      </c>
      <c r="E4505" s="716">
        <v>0</v>
      </c>
      <c r="F4505" s="717"/>
      <c r="G4505" t="e">
        <f>VLOOKUP(B4505,'SINAPI-%MO'!B:E,4,0)</f>
        <v>#N/A</v>
      </c>
      <c r="H4505" s="225" t="str">
        <f t="shared" si="70"/>
        <v/>
      </c>
    </row>
    <row r="4506" spans="1:8" x14ac:dyDescent="0.3">
      <c r="A4506" s="400"/>
      <c r="B4506" s="709">
        <v>106550</v>
      </c>
      <c r="C4506" s="710" t="s">
        <v>13742</v>
      </c>
      <c r="D4506" s="709" t="s">
        <v>159</v>
      </c>
      <c r="E4506" s="716">
        <v>4.62</v>
      </c>
      <c r="F4506" s="717">
        <v>0</v>
      </c>
      <c r="G4506">
        <f>VLOOKUP(B4506,'SINAPI-%MO'!B:E,4,0)</f>
        <v>0.35930000000000001</v>
      </c>
      <c r="H4506" s="225">
        <f t="shared" si="70"/>
        <v>2.96</v>
      </c>
    </row>
    <row r="4507" spans="1:8" x14ac:dyDescent="0.3">
      <c r="A4507" s="400"/>
      <c r="B4507" s="709">
        <v>87430</v>
      </c>
      <c r="C4507" s="710" t="s">
        <v>4063</v>
      </c>
      <c r="D4507" s="709" t="s">
        <v>168</v>
      </c>
      <c r="E4507" s="716">
        <v>22.74</v>
      </c>
      <c r="F4507" s="717">
        <v>0</v>
      </c>
      <c r="G4507">
        <f>VLOOKUP(B4507,'SINAPI-%MO'!B:E,4,0)</f>
        <v>0.60909999999999997</v>
      </c>
      <c r="H4507" s="225">
        <f t="shared" si="70"/>
        <v>8.8800000000000008</v>
      </c>
    </row>
    <row r="4508" spans="1:8" x14ac:dyDescent="0.3">
      <c r="A4508" s="400"/>
      <c r="B4508" s="709">
        <v>87433</v>
      </c>
      <c r="C4508" s="710" t="s">
        <v>4064</v>
      </c>
      <c r="D4508" s="709" t="s">
        <v>168</v>
      </c>
      <c r="E4508" s="716">
        <v>33.31</v>
      </c>
      <c r="F4508" s="717">
        <v>0</v>
      </c>
      <c r="G4508">
        <f>VLOOKUP(B4508,'SINAPI-%MO'!B:E,4,0)</f>
        <v>0.52839999999999998</v>
      </c>
      <c r="H4508" s="225">
        <f t="shared" si="70"/>
        <v>15.7</v>
      </c>
    </row>
    <row r="4509" spans="1:8" x14ac:dyDescent="0.3">
      <c r="A4509" s="400"/>
      <c r="B4509" s="709">
        <v>87436</v>
      </c>
      <c r="C4509" s="710" t="s">
        <v>4065</v>
      </c>
      <c r="D4509" s="709" t="s">
        <v>168</v>
      </c>
      <c r="E4509" s="716">
        <v>37.56</v>
      </c>
      <c r="F4509" s="717">
        <v>0</v>
      </c>
      <c r="G4509">
        <f>VLOOKUP(B4509,'SINAPI-%MO'!B:E,4,0)</f>
        <v>0.58169999999999999</v>
      </c>
      <c r="H4509" s="225">
        <f t="shared" si="70"/>
        <v>15.71</v>
      </c>
    </row>
    <row r="4510" spans="1:8" x14ac:dyDescent="0.3">
      <c r="A4510" s="400"/>
      <c r="B4510" s="709">
        <v>87439</v>
      </c>
      <c r="C4510" s="710" t="s">
        <v>4066</v>
      </c>
      <c r="D4510" s="709" t="s">
        <v>168</v>
      </c>
      <c r="E4510" s="716">
        <v>46.19</v>
      </c>
      <c r="F4510" s="717">
        <v>0</v>
      </c>
      <c r="G4510">
        <f>VLOOKUP(B4510,'SINAPI-%MO'!B:E,4,0)</f>
        <v>0.55700000000000005</v>
      </c>
      <c r="H4510" s="225">
        <f t="shared" si="70"/>
        <v>20.46</v>
      </c>
    </row>
    <row r="4511" spans="1:8" x14ac:dyDescent="0.3">
      <c r="A4511" s="400"/>
      <c r="B4511" s="709">
        <v>104633</v>
      </c>
      <c r="C4511" s="710" t="s">
        <v>4067</v>
      </c>
      <c r="D4511" s="709" t="s">
        <v>168</v>
      </c>
      <c r="E4511" s="716">
        <v>31.05</v>
      </c>
      <c r="F4511" s="717">
        <v>0</v>
      </c>
      <c r="G4511">
        <f>VLOOKUP(B4511,'SINAPI-%MO'!B:E,4,0)</f>
        <v>0.67669999999999997</v>
      </c>
      <c r="H4511" s="225">
        <f t="shared" si="70"/>
        <v>10.029999999999999</v>
      </c>
    </row>
    <row r="4512" spans="1:8" x14ac:dyDescent="0.3">
      <c r="A4512" s="400"/>
      <c r="B4512" s="709">
        <v>104634</v>
      </c>
      <c r="C4512" s="710" t="s">
        <v>4068</v>
      </c>
      <c r="D4512" s="709" t="s">
        <v>168</v>
      </c>
      <c r="E4512" s="716">
        <v>46.19</v>
      </c>
      <c r="F4512" s="717">
        <v>0</v>
      </c>
      <c r="G4512">
        <f>VLOOKUP(B4512,'SINAPI-%MO'!B:E,4,0)</f>
        <v>0.61570000000000003</v>
      </c>
      <c r="H4512" s="225">
        <f t="shared" si="70"/>
        <v>17.75</v>
      </c>
    </row>
    <row r="4513" spans="1:8" x14ac:dyDescent="0.3">
      <c r="A4513" s="400"/>
      <c r="B4513" s="709">
        <v>87418</v>
      </c>
      <c r="C4513" s="710" t="s">
        <v>4069</v>
      </c>
      <c r="D4513" s="709" t="s">
        <v>168</v>
      </c>
      <c r="E4513" s="716">
        <v>22.91</v>
      </c>
      <c r="F4513" s="717">
        <v>0</v>
      </c>
      <c r="G4513">
        <f>VLOOKUP(B4513,'SINAPI-%MO'!B:E,4,0)</f>
        <v>0.56179999999999997</v>
      </c>
      <c r="H4513" s="225">
        <f t="shared" si="70"/>
        <v>10.029999999999999</v>
      </c>
    </row>
    <row r="4514" spans="1:8" x14ac:dyDescent="0.3">
      <c r="A4514" s="400"/>
      <c r="B4514" s="709">
        <v>87421</v>
      </c>
      <c r="C4514" s="710" t="s">
        <v>4070</v>
      </c>
      <c r="D4514" s="709" t="s">
        <v>168</v>
      </c>
      <c r="E4514" s="716">
        <v>35.35</v>
      </c>
      <c r="F4514" s="717">
        <v>0</v>
      </c>
      <c r="G4514">
        <f>VLOOKUP(B4514,'SINAPI-%MO'!B:E,4,0)</f>
        <v>0.49790000000000001</v>
      </c>
      <c r="H4514" s="225">
        <f t="shared" si="70"/>
        <v>17.739999999999998</v>
      </c>
    </row>
    <row r="4515" spans="1:8" x14ac:dyDescent="0.3">
      <c r="A4515" s="400"/>
      <c r="B4515" s="709">
        <v>104628</v>
      </c>
      <c r="C4515" s="710" t="s">
        <v>4071</v>
      </c>
      <c r="D4515" s="709" t="s">
        <v>168</v>
      </c>
      <c r="E4515" s="716">
        <v>35.04</v>
      </c>
      <c r="F4515" s="717">
        <v>0</v>
      </c>
      <c r="G4515">
        <f>VLOOKUP(B4515,'SINAPI-%MO'!B:E,4,0)</f>
        <v>0.71350000000000002</v>
      </c>
      <c r="H4515" s="225">
        <f t="shared" si="70"/>
        <v>10.029999999999999</v>
      </c>
    </row>
    <row r="4516" spans="1:8" x14ac:dyDescent="0.3">
      <c r="A4516" s="400"/>
      <c r="B4516" s="709">
        <v>104631</v>
      </c>
      <c r="C4516" s="710" t="s">
        <v>4072</v>
      </c>
      <c r="D4516" s="709" t="s">
        <v>168</v>
      </c>
      <c r="E4516" s="716">
        <v>48.34</v>
      </c>
      <c r="F4516" s="717">
        <v>0</v>
      </c>
      <c r="G4516">
        <f>VLOOKUP(B4516,'SINAPI-%MO'!B:E,4,0)</f>
        <v>0.63280000000000003</v>
      </c>
      <c r="H4516" s="225">
        <f t="shared" si="70"/>
        <v>17.75</v>
      </c>
    </row>
    <row r="4517" spans="1:8" x14ac:dyDescent="0.3">
      <c r="A4517" s="400"/>
      <c r="B4517" s="709">
        <v>104627</v>
      </c>
      <c r="C4517" s="710" t="s">
        <v>4073</v>
      </c>
      <c r="D4517" s="709" t="s">
        <v>168</v>
      </c>
      <c r="E4517" s="716">
        <v>22.9</v>
      </c>
      <c r="F4517" s="717">
        <v>0</v>
      </c>
      <c r="G4517">
        <f>VLOOKUP(B4517,'SINAPI-%MO'!B:E,4,0)</f>
        <v>0.56159999999999999</v>
      </c>
      <c r="H4517" s="225">
        <f t="shared" si="70"/>
        <v>10.029999999999999</v>
      </c>
    </row>
    <row r="4518" spans="1:8" x14ac:dyDescent="0.3">
      <c r="A4518" s="400"/>
      <c r="B4518" s="709">
        <v>104630</v>
      </c>
      <c r="C4518" s="710" t="s">
        <v>4074</v>
      </c>
      <c r="D4518" s="709" t="s">
        <v>168</v>
      </c>
      <c r="E4518" s="716">
        <v>36.19</v>
      </c>
      <c r="F4518" s="717">
        <v>0</v>
      </c>
      <c r="G4518">
        <f>VLOOKUP(B4518,'SINAPI-%MO'!B:E,4,0)</f>
        <v>0.50949999999999995</v>
      </c>
      <c r="H4518" s="225">
        <f t="shared" si="70"/>
        <v>17.75</v>
      </c>
    </row>
    <row r="4519" spans="1:8" x14ac:dyDescent="0.3">
      <c r="A4519" s="400"/>
      <c r="B4519" s="709">
        <v>104629</v>
      </c>
      <c r="C4519" s="710" t="s">
        <v>4075</v>
      </c>
      <c r="D4519" s="709" t="s">
        <v>168</v>
      </c>
      <c r="E4519" s="716">
        <v>42.02</v>
      </c>
      <c r="F4519" s="717">
        <v>0</v>
      </c>
      <c r="G4519">
        <f>VLOOKUP(B4519,'SINAPI-%MO'!B:E,4,0)</f>
        <v>0.7611</v>
      </c>
      <c r="H4519" s="225">
        <f t="shared" si="70"/>
        <v>10.029999999999999</v>
      </c>
    </row>
    <row r="4520" spans="1:8" x14ac:dyDescent="0.3">
      <c r="A4520" s="400"/>
      <c r="B4520" s="709">
        <v>104632</v>
      </c>
      <c r="C4520" s="710" t="s">
        <v>4076</v>
      </c>
      <c r="D4520" s="709" t="s">
        <v>168</v>
      </c>
      <c r="E4520" s="716">
        <v>55.31</v>
      </c>
      <c r="F4520" s="717">
        <v>0</v>
      </c>
      <c r="G4520">
        <f>VLOOKUP(B4520,'SINAPI-%MO'!B:E,4,0)</f>
        <v>0.67910000000000004</v>
      </c>
      <c r="H4520" s="225">
        <f t="shared" si="70"/>
        <v>17.739999999999998</v>
      </c>
    </row>
    <row r="4521" spans="1:8" x14ac:dyDescent="0.3">
      <c r="A4521" s="400"/>
      <c r="B4521" s="709">
        <v>87412</v>
      </c>
      <c r="C4521" s="710" t="s">
        <v>4077</v>
      </c>
      <c r="D4521" s="709" t="s">
        <v>168</v>
      </c>
      <c r="E4521" s="716">
        <v>29.3</v>
      </c>
      <c r="F4521" s="717">
        <v>0</v>
      </c>
      <c r="G4521">
        <f>VLOOKUP(B4521,'SINAPI-%MO'!B:E,4,0)</f>
        <v>0.6573</v>
      </c>
      <c r="H4521" s="225">
        <f t="shared" si="70"/>
        <v>10.039999999999999</v>
      </c>
    </row>
    <row r="4522" spans="1:8" x14ac:dyDescent="0.3">
      <c r="A4522" s="400"/>
      <c r="B4522" s="709">
        <v>87415</v>
      </c>
      <c r="C4522" s="710" t="s">
        <v>4078</v>
      </c>
      <c r="D4522" s="709" t="s">
        <v>168</v>
      </c>
      <c r="E4522" s="716">
        <v>41.32</v>
      </c>
      <c r="F4522" s="717">
        <v>0</v>
      </c>
      <c r="G4522">
        <f>VLOOKUP(B4522,'SINAPI-%MO'!B:E,4,0)</f>
        <v>0.57040000000000002</v>
      </c>
      <c r="H4522" s="225">
        <f t="shared" si="70"/>
        <v>17.75</v>
      </c>
    </row>
    <row r="4523" spans="1:8" x14ac:dyDescent="0.3">
      <c r="A4523" s="400"/>
      <c r="B4523" s="709">
        <v>87411</v>
      </c>
      <c r="C4523" s="710" t="s">
        <v>4079</v>
      </c>
      <c r="D4523" s="709" t="s">
        <v>168</v>
      </c>
      <c r="E4523" s="716">
        <v>19.940000000000001</v>
      </c>
      <c r="F4523" s="717">
        <v>0</v>
      </c>
      <c r="G4523">
        <f>VLOOKUP(B4523,'SINAPI-%MO'!B:E,4,0)</f>
        <v>0.4965</v>
      </c>
      <c r="H4523" s="225">
        <f t="shared" si="70"/>
        <v>10.029999999999999</v>
      </c>
    </row>
    <row r="4524" spans="1:8" x14ac:dyDescent="0.3">
      <c r="A4524" s="400"/>
      <c r="B4524" s="709">
        <v>87414</v>
      </c>
      <c r="C4524" s="710" t="s">
        <v>4080</v>
      </c>
      <c r="D4524" s="709" t="s">
        <v>168</v>
      </c>
      <c r="E4524" s="716">
        <v>31.96</v>
      </c>
      <c r="F4524" s="717">
        <v>0</v>
      </c>
      <c r="G4524">
        <f>VLOOKUP(B4524,'SINAPI-%MO'!B:E,4,0)</f>
        <v>0.4446</v>
      </c>
      <c r="H4524" s="225">
        <f t="shared" si="70"/>
        <v>17.75</v>
      </c>
    </row>
    <row r="4525" spans="1:8" x14ac:dyDescent="0.3">
      <c r="A4525" s="400"/>
      <c r="B4525" s="709">
        <v>87413</v>
      </c>
      <c r="C4525" s="710" t="s">
        <v>4081</v>
      </c>
      <c r="D4525" s="709" t="s">
        <v>168</v>
      </c>
      <c r="E4525" s="716">
        <v>34.67</v>
      </c>
      <c r="F4525" s="717">
        <v>0</v>
      </c>
      <c r="G4525">
        <f>VLOOKUP(B4525,'SINAPI-%MO'!B:E,4,0)</f>
        <v>0.71040000000000003</v>
      </c>
      <c r="H4525" s="225">
        <f t="shared" si="70"/>
        <v>10.039999999999999</v>
      </c>
    </row>
    <row r="4526" spans="1:8" x14ac:dyDescent="0.3">
      <c r="A4526" s="400"/>
      <c r="B4526" s="709">
        <v>87416</v>
      </c>
      <c r="C4526" s="710" t="s">
        <v>4082</v>
      </c>
      <c r="D4526" s="709" t="s">
        <v>168</v>
      </c>
      <c r="E4526" s="716">
        <v>46.69</v>
      </c>
      <c r="F4526" s="717">
        <v>0</v>
      </c>
      <c r="G4526">
        <f>VLOOKUP(B4526,'SINAPI-%MO'!B:E,4,0)</f>
        <v>0.61980000000000002</v>
      </c>
      <c r="H4526" s="225">
        <f t="shared" si="70"/>
        <v>17.75</v>
      </c>
    </row>
    <row r="4527" spans="1:8" x14ac:dyDescent="0.3">
      <c r="A4527" s="400"/>
      <c r="B4527" s="709">
        <v>104635</v>
      </c>
      <c r="C4527" s="710" t="s">
        <v>4083</v>
      </c>
      <c r="D4527" s="709" t="s">
        <v>168</v>
      </c>
      <c r="E4527" s="716">
        <v>63.1</v>
      </c>
      <c r="F4527" s="717">
        <v>0</v>
      </c>
      <c r="G4527">
        <f>VLOOKUP(B4527,'SINAPI-%MO'!B:E,4,0)</f>
        <v>0.71870000000000001</v>
      </c>
      <c r="H4527" s="225">
        <f t="shared" si="70"/>
        <v>17.75</v>
      </c>
    </row>
    <row r="4528" spans="1:8" x14ac:dyDescent="0.3">
      <c r="A4528" s="400"/>
      <c r="B4528" s="709">
        <v>104636</v>
      </c>
      <c r="C4528" s="710" t="s">
        <v>4084</v>
      </c>
      <c r="D4528" s="709" t="s">
        <v>168</v>
      </c>
      <c r="E4528" s="716">
        <v>73.64</v>
      </c>
      <c r="F4528" s="717">
        <v>0</v>
      </c>
      <c r="G4528">
        <f>VLOOKUP(B4528,'SINAPI-%MO'!B:E,4,0)</f>
        <v>0.68600000000000005</v>
      </c>
      <c r="H4528" s="225">
        <f t="shared" si="70"/>
        <v>23.12</v>
      </c>
    </row>
    <row r="4529" spans="1:8" x14ac:dyDescent="0.3">
      <c r="A4529" s="400"/>
      <c r="B4529" s="709">
        <v>87424</v>
      </c>
      <c r="C4529" s="710" t="s">
        <v>4085</v>
      </c>
      <c r="D4529" s="709" t="s">
        <v>168</v>
      </c>
      <c r="E4529" s="716">
        <v>45.81</v>
      </c>
      <c r="F4529" s="717">
        <v>0</v>
      </c>
      <c r="G4529">
        <f>VLOOKUP(B4529,'SINAPI-%MO'!B:E,4,0)</f>
        <v>0.61250000000000004</v>
      </c>
      <c r="H4529" s="225">
        <f t="shared" si="70"/>
        <v>17.75</v>
      </c>
    </row>
    <row r="4530" spans="1:8" x14ac:dyDescent="0.3">
      <c r="A4530" s="400"/>
      <c r="B4530" s="709">
        <v>87427</v>
      </c>
      <c r="C4530" s="710" t="s">
        <v>4086</v>
      </c>
      <c r="D4530" s="709" t="s">
        <v>168</v>
      </c>
      <c r="E4530" s="716">
        <v>54.47</v>
      </c>
      <c r="F4530" s="717">
        <v>0</v>
      </c>
      <c r="G4530">
        <f>VLOOKUP(B4530,'SINAPI-%MO'!B:E,4,0)</f>
        <v>0.57550000000000001</v>
      </c>
      <c r="H4530" s="225">
        <f t="shared" si="70"/>
        <v>23.12</v>
      </c>
    </row>
    <row r="4531" spans="1:8" x14ac:dyDescent="0.3">
      <c r="A4531" s="400"/>
      <c r="B4531" s="709">
        <v>89998</v>
      </c>
      <c r="C4531" s="710" t="s">
        <v>15851</v>
      </c>
      <c r="D4531" s="709" t="s">
        <v>175</v>
      </c>
      <c r="E4531" s="716">
        <v>10.54</v>
      </c>
      <c r="F4531" s="717">
        <v>0</v>
      </c>
      <c r="G4531">
        <f>VLOOKUP(B4531,'SINAPI-%MO'!B:E,4,0)</f>
        <v>0.2467</v>
      </c>
      <c r="H4531" s="225">
        <f t="shared" si="70"/>
        <v>7.93</v>
      </c>
    </row>
    <row r="4532" spans="1:8" x14ac:dyDescent="0.3">
      <c r="A4532" s="400"/>
      <c r="B4532" s="709">
        <v>102920</v>
      </c>
      <c r="C4532" s="710" t="s">
        <v>15852</v>
      </c>
      <c r="D4532" s="709" t="s">
        <v>175</v>
      </c>
      <c r="E4532" s="716">
        <v>8.52</v>
      </c>
      <c r="F4532" s="717">
        <v>0</v>
      </c>
      <c r="G4532">
        <f>VLOOKUP(B4532,'SINAPI-%MO'!B:E,4,0)</f>
        <v>0.1925</v>
      </c>
      <c r="H4532" s="225">
        <f t="shared" si="70"/>
        <v>6.87</v>
      </c>
    </row>
    <row r="4533" spans="1:8" x14ac:dyDescent="0.3">
      <c r="A4533" s="400"/>
      <c r="B4533" s="709">
        <v>102923</v>
      </c>
      <c r="C4533" s="710" t="s">
        <v>15853</v>
      </c>
      <c r="D4533" s="709" t="s">
        <v>175</v>
      </c>
      <c r="E4533" s="716">
        <v>7.84</v>
      </c>
      <c r="F4533" s="717">
        <v>0</v>
      </c>
      <c r="G4533">
        <f>VLOOKUP(B4533,'SINAPI-%MO'!B:E,4,0)</f>
        <v>0.12239999999999999</v>
      </c>
      <c r="H4533" s="225">
        <f t="shared" si="70"/>
        <v>6.88</v>
      </c>
    </row>
    <row r="4534" spans="1:8" x14ac:dyDescent="0.3">
      <c r="A4534" s="400"/>
      <c r="B4534" s="709">
        <v>107137</v>
      </c>
      <c r="C4534" s="710" t="s">
        <v>15854</v>
      </c>
      <c r="D4534" s="709" t="s">
        <v>175</v>
      </c>
      <c r="E4534" s="716">
        <v>12.6</v>
      </c>
      <c r="F4534" s="717">
        <v>0</v>
      </c>
      <c r="G4534">
        <f>VLOOKUP(B4534,'SINAPI-%MO'!B:E,4,0)</f>
        <v>0.33169999999999999</v>
      </c>
      <c r="H4534" s="225">
        <f t="shared" si="70"/>
        <v>8.42</v>
      </c>
    </row>
    <row r="4535" spans="1:8" x14ac:dyDescent="0.3">
      <c r="A4535" s="400"/>
      <c r="B4535" s="709">
        <v>90000</v>
      </c>
      <c r="C4535" s="710" t="s">
        <v>15855</v>
      </c>
      <c r="D4535" s="709" t="s">
        <v>175</v>
      </c>
      <c r="E4535" s="716">
        <v>19.93</v>
      </c>
      <c r="F4535" s="717">
        <v>0</v>
      </c>
      <c r="G4535">
        <f>VLOOKUP(B4535,'SINAPI-%MO'!B:E,4,0)</f>
        <v>0.60160000000000002</v>
      </c>
      <c r="H4535" s="225">
        <f t="shared" si="70"/>
        <v>7.94</v>
      </c>
    </row>
    <row r="4536" spans="1:8" x14ac:dyDescent="0.3">
      <c r="A4536" s="400"/>
      <c r="B4536" s="709">
        <v>103088</v>
      </c>
      <c r="C4536" s="710" t="s">
        <v>15856</v>
      </c>
      <c r="D4536" s="709" t="s">
        <v>175</v>
      </c>
      <c r="E4536" s="716">
        <v>14.53</v>
      </c>
      <c r="F4536" s="717">
        <v>0</v>
      </c>
      <c r="G4536">
        <f>VLOOKUP(B4536,'SINAPI-%MO'!B:E,4,0)</f>
        <v>0.52649999999999997</v>
      </c>
      <c r="H4536" s="225">
        <f t="shared" si="70"/>
        <v>6.87</v>
      </c>
    </row>
    <row r="4537" spans="1:8" x14ac:dyDescent="0.3">
      <c r="A4537" s="400"/>
      <c r="B4537" s="709">
        <v>102922</v>
      </c>
      <c r="C4537" s="710" t="s">
        <v>15857</v>
      </c>
      <c r="D4537" s="709" t="s">
        <v>175</v>
      </c>
      <c r="E4537" s="716">
        <v>11.52</v>
      </c>
      <c r="F4537" s="717">
        <v>0</v>
      </c>
      <c r="G4537">
        <f>VLOOKUP(B4537,'SINAPI-%MO'!B:E,4,0)</f>
        <v>0.40279999999999999</v>
      </c>
      <c r="H4537" s="225">
        <f t="shared" si="70"/>
        <v>6.87</v>
      </c>
    </row>
    <row r="4538" spans="1:8" x14ac:dyDescent="0.3">
      <c r="A4538" s="400"/>
      <c r="B4538" s="709">
        <v>107138</v>
      </c>
      <c r="C4538" s="710" t="s">
        <v>15858</v>
      </c>
      <c r="D4538" s="709" t="s">
        <v>175</v>
      </c>
      <c r="E4538" s="716">
        <v>38.61</v>
      </c>
      <c r="F4538" s="717">
        <v>0</v>
      </c>
      <c r="G4538">
        <f>VLOOKUP(B4538,'SINAPI-%MO'!B:E,4,0)</f>
        <v>0.79100000000000004</v>
      </c>
      <c r="H4538" s="225">
        <f t="shared" si="70"/>
        <v>8.06</v>
      </c>
    </row>
    <row r="4539" spans="1:8" x14ac:dyDescent="0.3">
      <c r="A4539" s="400"/>
      <c r="B4539" s="709">
        <v>89999</v>
      </c>
      <c r="C4539" s="710" t="s">
        <v>15859</v>
      </c>
      <c r="D4539" s="709" t="s">
        <v>175</v>
      </c>
      <c r="E4539" s="716">
        <v>27.25</v>
      </c>
      <c r="F4539" s="717">
        <v>0</v>
      </c>
      <c r="G4539">
        <f>VLOOKUP(B4539,'SINAPI-%MO'!B:E,4,0)</f>
        <v>0.69099999999999995</v>
      </c>
      <c r="H4539" s="225">
        <f t="shared" si="70"/>
        <v>8.42</v>
      </c>
    </row>
    <row r="4540" spans="1:8" x14ac:dyDescent="0.3">
      <c r="A4540" s="400"/>
      <c r="B4540" s="709">
        <v>89996</v>
      </c>
      <c r="C4540" s="710" t="s">
        <v>15860</v>
      </c>
      <c r="D4540" s="709" t="s">
        <v>175</v>
      </c>
      <c r="E4540" s="716">
        <v>10.97</v>
      </c>
      <c r="F4540" s="717">
        <v>0</v>
      </c>
      <c r="G4540">
        <f>VLOOKUP(B4540,'SINAPI-%MO'!B:E,4,0)</f>
        <v>0.2762</v>
      </c>
      <c r="H4540" s="225">
        <f t="shared" si="70"/>
        <v>7.94</v>
      </c>
    </row>
    <row r="4541" spans="1:8" x14ac:dyDescent="0.3">
      <c r="A4541" s="400"/>
      <c r="B4541" s="709">
        <v>89997</v>
      </c>
      <c r="C4541" s="710" t="s">
        <v>15861</v>
      </c>
      <c r="D4541" s="709" t="s">
        <v>175</v>
      </c>
      <c r="E4541" s="716">
        <v>8.7899999999999991</v>
      </c>
      <c r="F4541" s="717">
        <v>0</v>
      </c>
      <c r="G4541">
        <f>VLOOKUP(B4541,'SINAPI-%MO'!B:E,4,0)</f>
        <v>0.21729999999999999</v>
      </c>
      <c r="H4541" s="225">
        <f t="shared" si="70"/>
        <v>6.87</v>
      </c>
    </row>
    <row r="4542" spans="1:8" x14ac:dyDescent="0.3">
      <c r="A4542" s="400"/>
      <c r="B4542" s="709">
        <v>102921</v>
      </c>
      <c r="C4542" s="710" t="s">
        <v>15862</v>
      </c>
      <c r="D4542" s="709" t="s">
        <v>175</v>
      </c>
      <c r="E4542" s="716">
        <v>8.02</v>
      </c>
      <c r="F4542" s="717">
        <v>0</v>
      </c>
      <c r="G4542">
        <f>VLOOKUP(B4542,'SINAPI-%MO'!B:E,4,0)</f>
        <v>0.1421</v>
      </c>
      <c r="H4542" s="225">
        <f t="shared" si="70"/>
        <v>6.88</v>
      </c>
    </row>
    <row r="4543" spans="1:8" x14ac:dyDescent="0.3">
      <c r="A4543" s="400"/>
      <c r="B4543" s="709">
        <v>90278</v>
      </c>
      <c r="C4543" s="710" t="s">
        <v>15863</v>
      </c>
      <c r="D4543" s="709" t="s">
        <v>170</v>
      </c>
      <c r="E4543" s="716">
        <v>651.59</v>
      </c>
      <c r="F4543" s="717">
        <v>0</v>
      </c>
      <c r="G4543">
        <f>VLOOKUP(B4543,'SINAPI-%MO'!B:E,4,0)</f>
        <v>0.22140000000000001</v>
      </c>
      <c r="H4543" s="225">
        <f t="shared" si="70"/>
        <v>507.32</v>
      </c>
    </row>
    <row r="4544" spans="1:8" x14ac:dyDescent="0.3">
      <c r="A4544" s="400"/>
      <c r="B4544" s="709">
        <v>90282</v>
      </c>
      <c r="C4544" s="710" t="s">
        <v>15864</v>
      </c>
      <c r="D4544" s="709" t="s">
        <v>170</v>
      </c>
      <c r="E4544" s="716">
        <v>647.95000000000005</v>
      </c>
      <c r="F4544" s="717">
        <v>0</v>
      </c>
      <c r="G4544">
        <f>VLOOKUP(B4544,'SINAPI-%MO'!B:E,4,0)</f>
        <v>0.21829999999999999</v>
      </c>
      <c r="H4544" s="225">
        <f t="shared" si="70"/>
        <v>506.5</v>
      </c>
    </row>
    <row r="4545" spans="1:8" x14ac:dyDescent="0.3">
      <c r="A4545" s="400"/>
      <c r="B4545" s="709">
        <v>90279</v>
      </c>
      <c r="C4545" s="710" t="s">
        <v>15865</v>
      </c>
      <c r="D4545" s="709" t="s">
        <v>170</v>
      </c>
      <c r="E4545" s="716">
        <v>724.19</v>
      </c>
      <c r="F4545" s="717">
        <v>0</v>
      </c>
      <c r="G4545">
        <f>VLOOKUP(B4545,'SINAPI-%MO'!B:E,4,0)</f>
        <v>0.2185</v>
      </c>
      <c r="H4545" s="225">
        <f t="shared" si="70"/>
        <v>565.95000000000005</v>
      </c>
    </row>
    <row r="4546" spans="1:8" x14ac:dyDescent="0.3">
      <c r="A4546" s="400"/>
      <c r="B4546" s="709">
        <v>90283</v>
      </c>
      <c r="C4546" s="710" t="s">
        <v>15866</v>
      </c>
      <c r="D4546" s="709" t="s">
        <v>170</v>
      </c>
      <c r="E4546" s="716">
        <v>720.37</v>
      </c>
      <c r="F4546" s="717">
        <v>0</v>
      </c>
      <c r="G4546">
        <f>VLOOKUP(B4546,'SINAPI-%MO'!B:E,4,0)</f>
        <v>0.2152</v>
      </c>
      <c r="H4546" s="225">
        <f t="shared" si="70"/>
        <v>565.34</v>
      </c>
    </row>
    <row r="4547" spans="1:8" x14ac:dyDescent="0.3">
      <c r="A4547" s="400"/>
      <c r="B4547" s="709">
        <v>90280</v>
      </c>
      <c r="C4547" s="710" t="s">
        <v>15867</v>
      </c>
      <c r="D4547" s="709" t="s">
        <v>170</v>
      </c>
      <c r="E4547" s="716">
        <v>807.06</v>
      </c>
      <c r="F4547" s="717">
        <v>0</v>
      </c>
      <c r="G4547">
        <f>VLOOKUP(B4547,'SINAPI-%MO'!B:E,4,0)</f>
        <v>0.1966</v>
      </c>
      <c r="H4547" s="225">
        <f t="shared" si="70"/>
        <v>648.39</v>
      </c>
    </row>
    <row r="4548" spans="1:8" x14ac:dyDescent="0.3">
      <c r="A4548" s="400"/>
      <c r="B4548" s="709">
        <v>90284</v>
      </c>
      <c r="C4548" s="710" t="s">
        <v>15868</v>
      </c>
      <c r="D4548" s="709" t="s">
        <v>170</v>
      </c>
      <c r="E4548" s="716">
        <v>808.9</v>
      </c>
      <c r="F4548" s="717">
        <v>0</v>
      </c>
      <c r="G4548">
        <f>VLOOKUP(B4548,'SINAPI-%MO'!B:E,4,0)</f>
        <v>0.192</v>
      </c>
      <c r="H4548" s="225">
        <f t="shared" si="70"/>
        <v>653.59</v>
      </c>
    </row>
    <row r="4549" spans="1:8" x14ac:dyDescent="0.3">
      <c r="A4549" s="400"/>
      <c r="B4549" s="709">
        <v>90281</v>
      </c>
      <c r="C4549" s="710" t="s">
        <v>15869</v>
      </c>
      <c r="D4549" s="709" t="s">
        <v>170</v>
      </c>
      <c r="E4549" s="716">
        <v>941.36</v>
      </c>
      <c r="F4549" s="717">
        <v>0</v>
      </c>
      <c r="G4549">
        <f>VLOOKUP(B4549,'SINAPI-%MO'!B:E,4,0)</f>
        <v>0.16439999999999999</v>
      </c>
      <c r="H4549" s="225">
        <f t="shared" si="70"/>
        <v>786.6</v>
      </c>
    </row>
    <row r="4550" spans="1:8" x14ac:dyDescent="0.3">
      <c r="A4550" s="400"/>
      <c r="B4550" s="709">
        <v>90285</v>
      </c>
      <c r="C4550" s="710" t="s">
        <v>15870</v>
      </c>
      <c r="D4550" s="709" t="s">
        <v>170</v>
      </c>
      <c r="E4550" s="716">
        <v>946.15</v>
      </c>
      <c r="F4550" s="717">
        <v>0</v>
      </c>
      <c r="G4550">
        <f>VLOOKUP(B4550,'SINAPI-%MO'!B:E,4,0)</f>
        <v>0.16059999999999999</v>
      </c>
      <c r="H4550" s="225">
        <f t="shared" si="70"/>
        <v>794.19</v>
      </c>
    </row>
    <row r="4551" spans="1:8" x14ac:dyDescent="0.3">
      <c r="A4551" s="400"/>
      <c r="B4551" s="709">
        <v>106813</v>
      </c>
      <c r="C4551" s="710" t="s">
        <v>15871</v>
      </c>
      <c r="D4551" s="709" t="s">
        <v>170</v>
      </c>
      <c r="E4551" s="716">
        <v>677.54</v>
      </c>
      <c r="F4551" s="717">
        <v>0</v>
      </c>
      <c r="G4551">
        <f>VLOOKUP(B4551,'SINAPI-%MO'!B:E,4,0)</f>
        <v>0.21079999999999999</v>
      </c>
      <c r="H4551" s="225">
        <f t="shared" si="70"/>
        <v>534.71</v>
      </c>
    </row>
    <row r="4552" spans="1:8" x14ac:dyDescent="0.3">
      <c r="A4552" s="400"/>
      <c r="B4552" s="709">
        <v>106814</v>
      </c>
      <c r="C4552" s="710" t="s">
        <v>15872</v>
      </c>
      <c r="D4552" s="709" t="s">
        <v>170</v>
      </c>
      <c r="E4552" s="716">
        <v>4183.5600000000004</v>
      </c>
      <c r="F4552" s="717">
        <v>0</v>
      </c>
      <c r="G4552">
        <f>VLOOKUP(B4552,'SINAPI-%MO'!B:E,4,0)</f>
        <v>3.4799999999999998E-2</v>
      </c>
      <c r="H4552" s="225">
        <f t="shared" si="70"/>
        <v>4037.97</v>
      </c>
    </row>
    <row r="4553" spans="1:8" x14ac:dyDescent="0.3">
      <c r="A4553" s="400"/>
      <c r="B4553" s="709">
        <v>107140</v>
      </c>
      <c r="C4553" s="710" t="s">
        <v>15873</v>
      </c>
      <c r="D4553" s="709" t="s">
        <v>170</v>
      </c>
      <c r="E4553" s="716">
        <v>5812.83</v>
      </c>
      <c r="F4553" s="717">
        <v>0</v>
      </c>
      <c r="G4553">
        <f>VLOOKUP(B4553,'SINAPI-%MO'!B:E,4,0)</f>
        <v>0.1686</v>
      </c>
      <c r="H4553" s="225">
        <f t="shared" si="70"/>
        <v>4832.78</v>
      </c>
    </row>
    <row r="4554" spans="1:8" x14ac:dyDescent="0.3">
      <c r="A4554" s="400"/>
      <c r="B4554" s="709">
        <v>105800</v>
      </c>
      <c r="C4554" s="710" t="s">
        <v>15874</v>
      </c>
      <c r="D4554" s="709" t="s">
        <v>170</v>
      </c>
      <c r="E4554" s="716">
        <v>1585.81</v>
      </c>
      <c r="F4554" s="717">
        <v>0</v>
      </c>
      <c r="G4554">
        <f>VLOOKUP(B4554,'SINAPI-%MO'!B:E,4,0)</f>
        <v>0.61709999999999998</v>
      </c>
      <c r="H4554" s="225">
        <f t="shared" si="70"/>
        <v>607.20000000000005</v>
      </c>
    </row>
    <row r="4555" spans="1:8" x14ac:dyDescent="0.3">
      <c r="A4555" s="400"/>
      <c r="B4555" s="709">
        <v>89994</v>
      </c>
      <c r="C4555" s="710" t="s">
        <v>15875</v>
      </c>
      <c r="D4555" s="709" t="s">
        <v>170</v>
      </c>
      <c r="E4555" s="716">
        <v>1672.7</v>
      </c>
      <c r="F4555" s="717">
        <v>0</v>
      </c>
      <c r="G4555">
        <f>VLOOKUP(B4555,'SINAPI-%MO'!B:E,4,0)</f>
        <v>0.59509999999999996</v>
      </c>
      <c r="H4555" s="225">
        <f t="shared" ref="H4555:H4618" si="71">IF(E4555&gt;0,TRUNC(E4555*(1-G4555),2),"")</f>
        <v>677.27</v>
      </c>
    </row>
    <row r="4556" spans="1:8" x14ac:dyDescent="0.3">
      <c r="A4556" s="400"/>
      <c r="B4556" s="709">
        <v>105801</v>
      </c>
      <c r="C4556" s="710" t="s">
        <v>15876</v>
      </c>
      <c r="D4556" s="709" t="s">
        <v>170</v>
      </c>
      <c r="E4556" s="716">
        <v>1771.87</v>
      </c>
      <c r="F4556" s="717">
        <v>0</v>
      </c>
      <c r="G4556">
        <f>VLOOKUP(B4556,'SINAPI-%MO'!B:E,4,0)</f>
        <v>0.56200000000000006</v>
      </c>
      <c r="H4556" s="225">
        <f t="shared" si="71"/>
        <v>776.07</v>
      </c>
    </row>
    <row r="4557" spans="1:8" x14ac:dyDescent="0.3">
      <c r="A4557" s="400"/>
      <c r="B4557" s="709">
        <v>105802</v>
      </c>
      <c r="C4557" s="710" t="s">
        <v>15877</v>
      </c>
      <c r="D4557" s="709" t="s">
        <v>170</v>
      </c>
      <c r="E4557" s="716">
        <v>1932.6</v>
      </c>
      <c r="F4557" s="717">
        <v>0</v>
      </c>
      <c r="G4557">
        <f>VLOOKUP(B4557,'SINAPI-%MO'!B:E,4,0)</f>
        <v>0.51290000000000002</v>
      </c>
      <c r="H4557" s="225">
        <f t="shared" si="71"/>
        <v>941.36</v>
      </c>
    </row>
    <row r="4558" spans="1:8" x14ac:dyDescent="0.3">
      <c r="A4558" s="400"/>
      <c r="B4558" s="709">
        <v>105803</v>
      </c>
      <c r="C4558" s="710" t="s">
        <v>15878</v>
      </c>
      <c r="D4558" s="709" t="s">
        <v>170</v>
      </c>
      <c r="E4558" s="716">
        <v>1616.87</v>
      </c>
      <c r="F4558" s="717">
        <v>0</v>
      </c>
      <c r="G4558">
        <f>VLOOKUP(B4558,'SINAPI-%MO'!B:E,4,0)</f>
        <v>0.60419999999999996</v>
      </c>
      <c r="H4558" s="225">
        <f t="shared" si="71"/>
        <v>639.95000000000005</v>
      </c>
    </row>
    <row r="4559" spans="1:8" x14ac:dyDescent="0.3">
      <c r="A4559" s="400"/>
      <c r="B4559" s="709">
        <v>107141</v>
      </c>
      <c r="C4559" s="710" t="s">
        <v>15879</v>
      </c>
      <c r="D4559" s="709" t="s">
        <v>170</v>
      </c>
      <c r="E4559" s="716">
        <v>5324.42</v>
      </c>
      <c r="F4559" s="717">
        <v>0</v>
      </c>
      <c r="G4559">
        <f>VLOOKUP(B4559,'SINAPI-%MO'!B:E,4,0)</f>
        <v>9.2399999999999996E-2</v>
      </c>
      <c r="H4559" s="225">
        <f t="shared" si="71"/>
        <v>4832.4399999999996</v>
      </c>
    </row>
    <row r="4560" spans="1:8" x14ac:dyDescent="0.3">
      <c r="A4560" s="400"/>
      <c r="B4560" s="709">
        <v>105796</v>
      </c>
      <c r="C4560" s="710" t="s">
        <v>15880</v>
      </c>
      <c r="D4560" s="709" t="s">
        <v>170</v>
      </c>
      <c r="E4560" s="716">
        <v>1097.4000000000001</v>
      </c>
      <c r="F4560" s="717">
        <v>0</v>
      </c>
      <c r="G4560">
        <f>VLOOKUP(B4560,'SINAPI-%MO'!B:E,4,0)</f>
        <v>0.44669999999999999</v>
      </c>
      <c r="H4560" s="225">
        <f t="shared" si="71"/>
        <v>607.19000000000005</v>
      </c>
    </row>
    <row r="4561" spans="1:8" x14ac:dyDescent="0.3">
      <c r="A4561" s="400"/>
      <c r="B4561" s="709">
        <v>89995</v>
      </c>
      <c r="C4561" s="710" t="s">
        <v>15881</v>
      </c>
      <c r="D4561" s="709" t="s">
        <v>170</v>
      </c>
      <c r="E4561" s="716">
        <v>1184.29</v>
      </c>
      <c r="F4561" s="717">
        <v>0</v>
      </c>
      <c r="G4561">
        <f>VLOOKUP(B4561,'SINAPI-%MO'!B:E,4,0)</f>
        <v>0.42809999999999998</v>
      </c>
      <c r="H4561" s="225">
        <f t="shared" si="71"/>
        <v>677.29</v>
      </c>
    </row>
    <row r="4562" spans="1:8" x14ac:dyDescent="0.3">
      <c r="A4562" s="400"/>
      <c r="B4562" s="709">
        <v>105797</v>
      </c>
      <c r="C4562" s="710" t="s">
        <v>15882</v>
      </c>
      <c r="D4562" s="709" t="s">
        <v>170</v>
      </c>
      <c r="E4562" s="716">
        <v>1283.46</v>
      </c>
      <c r="F4562" s="717">
        <v>0</v>
      </c>
      <c r="G4562">
        <f>VLOOKUP(B4562,'SINAPI-%MO'!B:E,4,0)</f>
        <v>0.39539999999999997</v>
      </c>
      <c r="H4562" s="225">
        <f t="shared" si="71"/>
        <v>775.97</v>
      </c>
    </row>
    <row r="4563" spans="1:8" x14ac:dyDescent="0.3">
      <c r="A4563" s="400"/>
      <c r="B4563" s="709">
        <v>105798</v>
      </c>
      <c r="C4563" s="710" t="s">
        <v>15883</v>
      </c>
      <c r="D4563" s="709" t="s">
        <v>170</v>
      </c>
      <c r="E4563" s="716">
        <v>1444.19</v>
      </c>
      <c r="F4563" s="717">
        <v>0</v>
      </c>
      <c r="G4563">
        <f>VLOOKUP(B4563,'SINAPI-%MO'!B:E,4,0)</f>
        <v>0.34810000000000002</v>
      </c>
      <c r="H4563" s="225">
        <f t="shared" si="71"/>
        <v>941.46</v>
      </c>
    </row>
    <row r="4564" spans="1:8" x14ac:dyDescent="0.3">
      <c r="A4564" s="400"/>
      <c r="B4564" s="709">
        <v>105799</v>
      </c>
      <c r="C4564" s="710" t="s">
        <v>15884</v>
      </c>
      <c r="D4564" s="709" t="s">
        <v>170</v>
      </c>
      <c r="E4564" s="716">
        <v>1128.46</v>
      </c>
      <c r="F4564" s="717">
        <v>0</v>
      </c>
      <c r="G4564">
        <f>VLOOKUP(B4564,'SINAPI-%MO'!B:E,4,0)</f>
        <v>0.43290000000000001</v>
      </c>
      <c r="H4564" s="225">
        <f t="shared" si="71"/>
        <v>639.94000000000005</v>
      </c>
    </row>
    <row r="4565" spans="1:8" x14ac:dyDescent="0.3">
      <c r="A4565" s="400"/>
      <c r="B4565" s="709">
        <v>107139</v>
      </c>
      <c r="C4565" s="710" t="s">
        <v>15885</v>
      </c>
      <c r="D4565" s="709" t="s">
        <v>170</v>
      </c>
      <c r="E4565" s="716">
        <v>5382.02</v>
      </c>
      <c r="F4565" s="717">
        <v>0</v>
      </c>
      <c r="G4565">
        <f>VLOOKUP(B4565,'SINAPI-%MO'!B:E,4,0)</f>
        <v>0.1021</v>
      </c>
      <c r="H4565" s="225">
        <f t="shared" si="71"/>
        <v>4832.51</v>
      </c>
    </row>
    <row r="4566" spans="1:8" x14ac:dyDescent="0.3">
      <c r="A4566" s="400"/>
      <c r="B4566" s="709">
        <v>105792</v>
      </c>
      <c r="C4566" s="710" t="s">
        <v>15886</v>
      </c>
      <c r="D4566" s="709" t="s">
        <v>170</v>
      </c>
      <c r="E4566" s="716">
        <v>1155</v>
      </c>
      <c r="F4566" s="717">
        <v>0</v>
      </c>
      <c r="G4566">
        <f>VLOOKUP(B4566,'SINAPI-%MO'!B:E,4,0)</f>
        <v>0.4743</v>
      </c>
      <c r="H4566" s="225">
        <f t="shared" si="71"/>
        <v>607.17999999999995</v>
      </c>
    </row>
    <row r="4567" spans="1:8" x14ac:dyDescent="0.3">
      <c r="A4567" s="400"/>
      <c r="B4567" s="709">
        <v>89993</v>
      </c>
      <c r="C4567" s="710" t="s">
        <v>15887</v>
      </c>
      <c r="D4567" s="709" t="s">
        <v>170</v>
      </c>
      <c r="E4567" s="716">
        <v>1241.8900000000001</v>
      </c>
      <c r="F4567" s="717">
        <v>0</v>
      </c>
      <c r="G4567">
        <f>VLOOKUP(B4567,'SINAPI-%MO'!B:E,4,0)</f>
        <v>0.4546</v>
      </c>
      <c r="H4567" s="225">
        <f t="shared" si="71"/>
        <v>677.32</v>
      </c>
    </row>
    <row r="4568" spans="1:8" x14ac:dyDescent="0.3">
      <c r="A4568" s="400"/>
      <c r="B4568" s="709">
        <v>105793</v>
      </c>
      <c r="C4568" s="710" t="s">
        <v>15888</v>
      </c>
      <c r="D4568" s="709" t="s">
        <v>170</v>
      </c>
      <c r="E4568" s="716">
        <v>1341.06</v>
      </c>
      <c r="F4568" s="717">
        <v>0</v>
      </c>
      <c r="G4568">
        <f>VLOOKUP(B4568,'SINAPI-%MO'!B:E,4,0)</f>
        <v>0.4214</v>
      </c>
      <c r="H4568" s="225">
        <f t="shared" si="71"/>
        <v>775.93</v>
      </c>
    </row>
    <row r="4569" spans="1:8" x14ac:dyDescent="0.3">
      <c r="A4569" s="400"/>
      <c r="B4569" s="709">
        <v>105794</v>
      </c>
      <c r="C4569" s="710" t="s">
        <v>15889</v>
      </c>
      <c r="D4569" s="709" t="s">
        <v>170</v>
      </c>
      <c r="E4569" s="716">
        <v>1501.79</v>
      </c>
      <c r="F4569" s="717">
        <v>0</v>
      </c>
      <c r="G4569">
        <f>VLOOKUP(B4569,'SINAPI-%MO'!B:E,4,0)</f>
        <v>0.37309999999999999</v>
      </c>
      <c r="H4569" s="225">
        <f t="shared" si="71"/>
        <v>941.47</v>
      </c>
    </row>
    <row r="4570" spans="1:8" x14ac:dyDescent="0.3">
      <c r="A4570" s="400"/>
      <c r="B4570" s="709">
        <v>105795</v>
      </c>
      <c r="C4570" s="710" t="s">
        <v>15890</v>
      </c>
      <c r="D4570" s="709" t="s">
        <v>170</v>
      </c>
      <c r="E4570" s="716">
        <v>1186.06</v>
      </c>
      <c r="F4570" s="717">
        <v>0</v>
      </c>
      <c r="G4570">
        <f>VLOOKUP(B4570,'SINAPI-%MO'!B:E,4,0)</f>
        <v>0.46050000000000002</v>
      </c>
      <c r="H4570" s="225">
        <f t="shared" si="71"/>
        <v>639.87</v>
      </c>
    </row>
    <row r="4571" spans="1:8" x14ac:dyDescent="0.3">
      <c r="A4571" s="400"/>
      <c r="B4571" s="709">
        <v>106212</v>
      </c>
      <c r="C4571" s="710" t="s">
        <v>15045</v>
      </c>
      <c r="D4571" s="709" t="s">
        <v>159</v>
      </c>
      <c r="E4571" s="716">
        <v>0</v>
      </c>
      <c r="F4571" s="717"/>
      <c r="G4571" t="e">
        <f>VLOOKUP(B4571,'SINAPI-%MO'!B:E,4,0)</f>
        <v>#N/A</v>
      </c>
      <c r="H4571" s="225" t="str">
        <f t="shared" si="71"/>
        <v/>
      </c>
    </row>
    <row r="4572" spans="1:8" x14ac:dyDescent="0.3">
      <c r="A4572" s="400"/>
      <c r="B4572" s="709">
        <v>106216</v>
      </c>
      <c r="C4572" s="710" t="s">
        <v>15046</v>
      </c>
      <c r="D4572" s="709" t="s">
        <v>159</v>
      </c>
      <c r="E4572" s="716">
        <v>0</v>
      </c>
      <c r="F4572" s="717"/>
      <c r="G4572" t="e">
        <f>VLOOKUP(B4572,'SINAPI-%MO'!B:E,4,0)</f>
        <v>#N/A</v>
      </c>
      <c r="H4572" s="225" t="str">
        <f t="shared" si="71"/>
        <v/>
      </c>
    </row>
    <row r="4573" spans="1:8" x14ac:dyDescent="0.3">
      <c r="A4573" s="400"/>
      <c r="B4573" s="709">
        <v>99860</v>
      </c>
      <c r="C4573" s="710" t="s">
        <v>13743</v>
      </c>
      <c r="D4573" s="709" t="s">
        <v>159</v>
      </c>
      <c r="E4573" s="716">
        <v>140.58000000000001</v>
      </c>
      <c r="F4573" s="717">
        <v>0.13070000000000001</v>
      </c>
      <c r="G4573">
        <f>VLOOKUP(B4573,'SINAPI-%MO'!B:E,4,0)</f>
        <v>0.4572</v>
      </c>
      <c r="H4573" s="225">
        <f t="shared" si="71"/>
        <v>76.3</v>
      </c>
    </row>
    <row r="4574" spans="1:8" x14ac:dyDescent="0.3">
      <c r="A4574" s="400"/>
      <c r="B4574" s="709">
        <v>99858</v>
      </c>
      <c r="C4574" s="710" t="s">
        <v>13744</v>
      </c>
      <c r="D4574" s="709" t="s">
        <v>159</v>
      </c>
      <c r="E4574" s="716">
        <v>182.38</v>
      </c>
      <c r="F4574" s="717">
        <v>7.46E-2</v>
      </c>
      <c r="G4574">
        <f>VLOOKUP(B4574,'SINAPI-%MO'!B:E,4,0)</f>
        <v>0.28649999999999998</v>
      </c>
      <c r="H4574" s="225">
        <f t="shared" si="71"/>
        <v>130.12</v>
      </c>
    </row>
    <row r="4575" spans="1:8" x14ac:dyDescent="0.3">
      <c r="A4575" s="400"/>
      <c r="B4575" s="709">
        <v>99859</v>
      </c>
      <c r="C4575" s="710" t="s">
        <v>15047</v>
      </c>
      <c r="D4575" s="709" t="s">
        <v>159</v>
      </c>
      <c r="E4575" s="716">
        <v>0</v>
      </c>
      <c r="F4575" s="717"/>
      <c r="G4575" t="e">
        <f>VLOOKUP(B4575,'SINAPI-%MO'!B:E,4,0)</f>
        <v>#N/A</v>
      </c>
      <c r="H4575" s="225" t="str">
        <f t="shared" si="71"/>
        <v/>
      </c>
    </row>
    <row r="4576" spans="1:8" x14ac:dyDescent="0.3">
      <c r="A4576" s="400"/>
      <c r="B4576" s="709">
        <v>106211</v>
      </c>
      <c r="C4576" s="710" t="s">
        <v>15048</v>
      </c>
      <c r="D4576" s="709" t="s">
        <v>159</v>
      </c>
      <c r="E4576" s="716">
        <v>0</v>
      </c>
      <c r="F4576" s="717"/>
      <c r="G4576" t="e">
        <f>VLOOKUP(B4576,'SINAPI-%MO'!B:E,4,0)</f>
        <v>#N/A</v>
      </c>
      <c r="H4576" s="225" t="str">
        <f t="shared" si="71"/>
        <v/>
      </c>
    </row>
    <row r="4577" spans="1:8" x14ac:dyDescent="0.3">
      <c r="A4577" s="400"/>
      <c r="B4577" s="709">
        <v>106215</v>
      </c>
      <c r="C4577" s="710" t="s">
        <v>15049</v>
      </c>
      <c r="D4577" s="709" t="s">
        <v>159</v>
      </c>
      <c r="E4577" s="716">
        <v>0</v>
      </c>
      <c r="F4577" s="717"/>
      <c r="G4577" t="e">
        <f>VLOOKUP(B4577,'SINAPI-%MO'!B:E,4,0)</f>
        <v>#N/A</v>
      </c>
      <c r="H4577" s="225" t="str">
        <f t="shared" si="71"/>
        <v/>
      </c>
    </row>
    <row r="4578" spans="1:8" x14ac:dyDescent="0.3">
      <c r="A4578" s="400"/>
      <c r="B4578" s="709">
        <v>99857</v>
      </c>
      <c r="C4578" s="710" t="s">
        <v>16209</v>
      </c>
      <c r="D4578" s="709" t="s">
        <v>159</v>
      </c>
      <c r="E4578" s="716">
        <v>70.260000000000005</v>
      </c>
      <c r="F4578" s="717">
        <v>0.13070000000000001</v>
      </c>
      <c r="G4578">
        <f>VLOOKUP(B4578,'SINAPI-%MO'!B:E,4,0)</f>
        <v>0.4572</v>
      </c>
      <c r="H4578" s="225">
        <f t="shared" si="71"/>
        <v>38.130000000000003</v>
      </c>
    </row>
    <row r="4579" spans="1:8" x14ac:dyDescent="0.3">
      <c r="A4579" s="400"/>
      <c r="B4579" s="709">
        <v>99855</v>
      </c>
      <c r="C4579" s="710" t="s">
        <v>16210</v>
      </c>
      <c r="D4579" s="709" t="s">
        <v>159</v>
      </c>
      <c r="E4579" s="716">
        <v>92.2</v>
      </c>
      <c r="F4579" s="717">
        <v>7.3800000000000004E-2</v>
      </c>
      <c r="G4579">
        <f>VLOOKUP(B4579,'SINAPI-%MO'!B:E,4,0)</f>
        <v>0.29399999999999998</v>
      </c>
      <c r="H4579" s="225">
        <f t="shared" si="71"/>
        <v>65.09</v>
      </c>
    </row>
    <row r="4580" spans="1:8" x14ac:dyDescent="0.3">
      <c r="A4580" s="400"/>
      <c r="B4580" s="709">
        <v>99856</v>
      </c>
      <c r="C4580" s="710" t="s">
        <v>15050</v>
      </c>
      <c r="D4580" s="709" t="s">
        <v>159</v>
      </c>
      <c r="E4580" s="716">
        <v>0</v>
      </c>
      <c r="F4580" s="717"/>
      <c r="G4580" t="e">
        <f>VLOOKUP(B4580,'SINAPI-%MO'!B:E,4,0)</f>
        <v>#N/A</v>
      </c>
      <c r="H4580" s="225" t="str">
        <f t="shared" si="71"/>
        <v/>
      </c>
    </row>
    <row r="4581" spans="1:8" x14ac:dyDescent="0.3">
      <c r="A4581" s="400"/>
      <c r="B4581" s="709">
        <v>106210</v>
      </c>
      <c r="C4581" s="710" t="s">
        <v>15051</v>
      </c>
      <c r="D4581" s="709" t="s">
        <v>159</v>
      </c>
      <c r="E4581" s="716">
        <v>0</v>
      </c>
      <c r="F4581" s="717"/>
      <c r="G4581" t="e">
        <f>VLOOKUP(B4581,'SINAPI-%MO'!B:E,4,0)</f>
        <v>#N/A</v>
      </c>
      <c r="H4581" s="225" t="str">
        <f t="shared" si="71"/>
        <v/>
      </c>
    </row>
    <row r="4582" spans="1:8" x14ac:dyDescent="0.3">
      <c r="A4582" s="400"/>
      <c r="B4582" s="709">
        <v>106214</v>
      </c>
      <c r="C4582" s="710" t="s">
        <v>15052</v>
      </c>
      <c r="D4582" s="709" t="s">
        <v>159</v>
      </c>
      <c r="E4582" s="716">
        <v>0</v>
      </c>
      <c r="F4582" s="717"/>
      <c r="G4582" t="e">
        <f>VLOOKUP(B4582,'SINAPI-%MO'!B:E,4,0)</f>
        <v>#N/A</v>
      </c>
      <c r="H4582" s="225" t="str">
        <f t="shared" si="71"/>
        <v/>
      </c>
    </row>
    <row r="4583" spans="1:8" x14ac:dyDescent="0.3">
      <c r="A4583" s="400"/>
      <c r="B4583" s="709">
        <v>99862</v>
      </c>
      <c r="C4583" s="710" t="s">
        <v>13745</v>
      </c>
      <c r="D4583" s="709" t="s">
        <v>168</v>
      </c>
      <c r="E4583" s="716">
        <v>498.38</v>
      </c>
      <c r="F4583" s="717">
        <v>0</v>
      </c>
      <c r="G4583">
        <f>VLOOKUP(B4583,'SINAPI-%MO'!B:E,4,0)</f>
        <v>0.53990000000000005</v>
      </c>
      <c r="H4583" s="225">
        <f t="shared" si="71"/>
        <v>229.3</v>
      </c>
    </row>
    <row r="4584" spans="1:8" x14ac:dyDescent="0.3">
      <c r="A4584" s="400"/>
      <c r="B4584" s="709">
        <v>99861</v>
      </c>
      <c r="C4584" s="710" t="s">
        <v>13746</v>
      </c>
      <c r="D4584" s="709" t="s">
        <v>168</v>
      </c>
      <c r="E4584" s="716">
        <v>533.02</v>
      </c>
      <c r="F4584" s="717">
        <v>0</v>
      </c>
      <c r="G4584">
        <f>VLOOKUP(B4584,'SINAPI-%MO'!B:E,4,0)</f>
        <v>0.71379999999999999</v>
      </c>
      <c r="H4584" s="225">
        <f t="shared" si="71"/>
        <v>152.55000000000001</v>
      </c>
    </row>
    <row r="4585" spans="1:8" x14ac:dyDescent="0.3">
      <c r="A4585" s="400"/>
      <c r="B4585" s="709">
        <v>106213</v>
      </c>
      <c r="C4585" s="710" t="s">
        <v>15053</v>
      </c>
      <c r="D4585" s="709" t="s">
        <v>159</v>
      </c>
      <c r="E4585" s="716">
        <v>0</v>
      </c>
      <c r="F4585" s="717"/>
      <c r="G4585" t="e">
        <f>VLOOKUP(B4585,'SINAPI-%MO'!B:E,4,0)</f>
        <v>#N/A</v>
      </c>
      <c r="H4585" s="225" t="str">
        <f t="shared" si="71"/>
        <v/>
      </c>
    </row>
    <row r="4586" spans="1:8" x14ac:dyDescent="0.3">
      <c r="A4586" s="400"/>
      <c r="B4586" s="709">
        <v>106220</v>
      </c>
      <c r="C4586" s="710" t="s">
        <v>13747</v>
      </c>
      <c r="D4586" s="709" t="s">
        <v>159</v>
      </c>
      <c r="E4586" s="716">
        <v>413.79</v>
      </c>
      <c r="F4586" s="717">
        <v>9.4000000000000004E-3</v>
      </c>
      <c r="G4586">
        <f>VLOOKUP(B4586,'SINAPI-%MO'!B:E,4,0)</f>
        <v>0.4733</v>
      </c>
      <c r="H4586" s="225">
        <f t="shared" si="71"/>
        <v>217.94</v>
      </c>
    </row>
    <row r="4587" spans="1:8" x14ac:dyDescent="0.3">
      <c r="A4587" s="400"/>
      <c r="B4587" s="709">
        <v>106221</v>
      </c>
      <c r="C4587" s="710" t="s">
        <v>13748</v>
      </c>
      <c r="D4587" s="709" t="s">
        <v>159</v>
      </c>
      <c r="E4587" s="716">
        <v>201.25</v>
      </c>
      <c r="F4587" s="717">
        <v>1.9400000000000001E-2</v>
      </c>
      <c r="G4587">
        <f>VLOOKUP(B4587,'SINAPI-%MO'!B:E,4,0)</f>
        <v>0.26140000000000002</v>
      </c>
      <c r="H4587" s="225">
        <f t="shared" si="71"/>
        <v>148.63999999999999</v>
      </c>
    </row>
    <row r="4588" spans="1:8" x14ac:dyDescent="0.3">
      <c r="A4588" s="400"/>
      <c r="B4588" s="709">
        <v>99853</v>
      </c>
      <c r="C4588" s="710" t="s">
        <v>15054</v>
      </c>
      <c r="D4588" s="709" t="s">
        <v>159</v>
      </c>
      <c r="E4588" s="716">
        <v>0</v>
      </c>
      <c r="F4588" s="717"/>
      <c r="G4588" t="e">
        <f>VLOOKUP(B4588,'SINAPI-%MO'!B:E,4,0)</f>
        <v>#N/A</v>
      </c>
      <c r="H4588" s="225" t="str">
        <f t="shared" si="71"/>
        <v/>
      </c>
    </row>
    <row r="4589" spans="1:8" x14ac:dyDescent="0.3">
      <c r="A4589" s="400"/>
      <c r="B4589" s="709">
        <v>99851</v>
      </c>
      <c r="C4589" s="710" t="s">
        <v>15055</v>
      </c>
      <c r="D4589" s="709" t="s">
        <v>159</v>
      </c>
      <c r="E4589" s="716">
        <v>0</v>
      </c>
      <c r="F4589" s="717"/>
      <c r="G4589" t="e">
        <f>VLOOKUP(B4589,'SINAPI-%MO'!B:E,4,0)</f>
        <v>#N/A</v>
      </c>
      <c r="H4589" s="225" t="str">
        <f t="shared" si="71"/>
        <v/>
      </c>
    </row>
    <row r="4590" spans="1:8" x14ac:dyDescent="0.3">
      <c r="A4590" s="400"/>
      <c r="B4590" s="709">
        <v>99854</v>
      </c>
      <c r="C4590" s="710" t="s">
        <v>15056</v>
      </c>
      <c r="D4590" s="709" t="s">
        <v>159</v>
      </c>
      <c r="E4590" s="716">
        <v>0</v>
      </c>
      <c r="F4590" s="717"/>
      <c r="G4590" t="e">
        <f>VLOOKUP(B4590,'SINAPI-%MO'!B:E,4,0)</f>
        <v>#N/A</v>
      </c>
      <c r="H4590" s="225" t="str">
        <f t="shared" si="71"/>
        <v/>
      </c>
    </row>
    <row r="4591" spans="1:8" x14ac:dyDescent="0.3">
      <c r="A4591" s="400"/>
      <c r="B4591" s="709">
        <v>99852</v>
      </c>
      <c r="C4591" s="710" t="s">
        <v>15057</v>
      </c>
      <c r="D4591" s="709" t="s">
        <v>159</v>
      </c>
      <c r="E4591" s="716">
        <v>0</v>
      </c>
      <c r="F4591" s="717"/>
      <c r="G4591" t="e">
        <f>VLOOKUP(B4591,'SINAPI-%MO'!B:E,4,0)</f>
        <v>#N/A</v>
      </c>
      <c r="H4591" s="225" t="str">
        <f t="shared" si="71"/>
        <v/>
      </c>
    </row>
    <row r="4592" spans="1:8" x14ac:dyDescent="0.3">
      <c r="A4592" s="400"/>
      <c r="B4592" s="709">
        <v>99844</v>
      </c>
      <c r="C4592" s="710" t="s">
        <v>13749</v>
      </c>
      <c r="D4592" s="709" t="s">
        <v>159</v>
      </c>
      <c r="E4592" s="716">
        <v>420.81</v>
      </c>
      <c r="F4592" s="717">
        <v>1.3899999999999999E-2</v>
      </c>
      <c r="G4592">
        <f>VLOOKUP(B4592,'SINAPI-%MO'!B:E,4,0)</f>
        <v>0.51080000000000003</v>
      </c>
      <c r="H4592" s="225">
        <f t="shared" si="71"/>
        <v>205.86</v>
      </c>
    </row>
    <row r="4593" spans="1:8" x14ac:dyDescent="0.3">
      <c r="A4593" s="400"/>
      <c r="B4593" s="709">
        <v>99842</v>
      </c>
      <c r="C4593" s="710" t="s">
        <v>16211</v>
      </c>
      <c r="D4593" s="709" t="s">
        <v>159</v>
      </c>
      <c r="E4593" s="716">
        <v>521.87</v>
      </c>
      <c r="F4593" s="717">
        <v>1.12E-2</v>
      </c>
      <c r="G4593">
        <f>VLOOKUP(B4593,'SINAPI-%MO'!B:E,4,0)</f>
        <v>0.38169999999999998</v>
      </c>
      <c r="H4593" s="225">
        <f t="shared" si="71"/>
        <v>322.67</v>
      </c>
    </row>
    <row r="4594" spans="1:8" x14ac:dyDescent="0.3">
      <c r="A4594" s="400"/>
      <c r="B4594" s="709">
        <v>99845</v>
      </c>
      <c r="C4594" s="710" t="s">
        <v>15058</v>
      </c>
      <c r="D4594" s="709" t="s">
        <v>159</v>
      </c>
      <c r="E4594" s="716">
        <v>0</v>
      </c>
      <c r="F4594" s="717"/>
      <c r="G4594" t="e">
        <f>VLOOKUP(B4594,'SINAPI-%MO'!B:E,4,0)</f>
        <v>#N/A</v>
      </c>
      <c r="H4594" s="225" t="str">
        <f t="shared" si="71"/>
        <v/>
      </c>
    </row>
    <row r="4595" spans="1:8" x14ac:dyDescent="0.3">
      <c r="A4595" s="400"/>
      <c r="B4595" s="709">
        <v>99843</v>
      </c>
      <c r="C4595" s="710" t="s">
        <v>15059</v>
      </c>
      <c r="D4595" s="709" t="s">
        <v>159</v>
      </c>
      <c r="E4595" s="716">
        <v>0</v>
      </c>
      <c r="F4595" s="717"/>
      <c r="G4595" t="e">
        <f>VLOOKUP(B4595,'SINAPI-%MO'!B:E,4,0)</f>
        <v>#N/A</v>
      </c>
      <c r="H4595" s="225" t="str">
        <f t="shared" si="71"/>
        <v/>
      </c>
    </row>
    <row r="4596" spans="1:8" x14ac:dyDescent="0.3">
      <c r="A4596" s="400"/>
      <c r="B4596" s="709">
        <v>106217</v>
      </c>
      <c r="C4596" s="710" t="s">
        <v>15060</v>
      </c>
      <c r="D4596" s="709" t="s">
        <v>159</v>
      </c>
      <c r="E4596" s="716">
        <v>0</v>
      </c>
      <c r="F4596" s="717"/>
      <c r="G4596" t="e">
        <f>VLOOKUP(B4596,'SINAPI-%MO'!B:E,4,0)</f>
        <v>#N/A</v>
      </c>
      <c r="H4596" s="225" t="str">
        <f t="shared" si="71"/>
        <v/>
      </c>
    </row>
    <row r="4597" spans="1:8" x14ac:dyDescent="0.3">
      <c r="A4597" s="400"/>
      <c r="B4597" s="709">
        <v>106218</v>
      </c>
      <c r="C4597" s="710" t="s">
        <v>15061</v>
      </c>
      <c r="D4597" s="709" t="s">
        <v>159</v>
      </c>
      <c r="E4597" s="716">
        <v>0</v>
      </c>
      <c r="F4597" s="717"/>
      <c r="G4597" t="e">
        <f>VLOOKUP(B4597,'SINAPI-%MO'!B:E,4,0)</f>
        <v>#N/A</v>
      </c>
      <c r="H4597" s="225" t="str">
        <f t="shared" si="71"/>
        <v/>
      </c>
    </row>
    <row r="4598" spans="1:8" x14ac:dyDescent="0.3">
      <c r="A4598" s="400"/>
      <c r="B4598" s="709">
        <v>106219</v>
      </c>
      <c r="C4598" s="710" t="s">
        <v>15062</v>
      </c>
      <c r="D4598" s="709" t="s">
        <v>159</v>
      </c>
      <c r="E4598" s="716">
        <v>0</v>
      </c>
      <c r="F4598" s="717"/>
      <c r="G4598" t="e">
        <f>VLOOKUP(B4598,'SINAPI-%MO'!B:E,4,0)</f>
        <v>#N/A</v>
      </c>
      <c r="H4598" s="225" t="str">
        <f t="shared" si="71"/>
        <v/>
      </c>
    </row>
    <row r="4599" spans="1:8" x14ac:dyDescent="0.3">
      <c r="A4599" s="400"/>
      <c r="B4599" s="709">
        <v>99846</v>
      </c>
      <c r="C4599" s="710" t="s">
        <v>15063</v>
      </c>
      <c r="D4599" s="709" t="s">
        <v>159</v>
      </c>
      <c r="E4599" s="716">
        <v>0</v>
      </c>
      <c r="F4599" s="717"/>
      <c r="G4599" t="e">
        <f>VLOOKUP(B4599,'SINAPI-%MO'!B:E,4,0)</f>
        <v>#N/A</v>
      </c>
      <c r="H4599" s="225" t="str">
        <f t="shared" si="71"/>
        <v/>
      </c>
    </row>
    <row r="4600" spans="1:8" x14ac:dyDescent="0.3">
      <c r="A4600" s="400"/>
      <c r="B4600" s="709">
        <v>94276</v>
      </c>
      <c r="C4600" s="710" t="s">
        <v>4087</v>
      </c>
      <c r="D4600" s="709" t="s">
        <v>159</v>
      </c>
      <c r="E4600" s="716">
        <v>51.62</v>
      </c>
      <c r="F4600" s="717">
        <v>0</v>
      </c>
      <c r="G4600">
        <f>VLOOKUP(B4600,'SINAPI-%MO'!B:E,4,0)</f>
        <v>0.30649999999999999</v>
      </c>
      <c r="H4600" s="225">
        <f t="shared" si="71"/>
        <v>35.79</v>
      </c>
    </row>
    <row r="4601" spans="1:8" x14ac:dyDescent="0.3">
      <c r="A4601" s="400"/>
      <c r="B4601" s="709">
        <v>94274</v>
      </c>
      <c r="C4601" s="710" t="s">
        <v>4088</v>
      </c>
      <c r="D4601" s="709" t="s">
        <v>159</v>
      </c>
      <c r="E4601" s="716">
        <v>56.56</v>
      </c>
      <c r="F4601" s="717">
        <v>0</v>
      </c>
      <c r="G4601">
        <f>VLOOKUP(B4601,'SINAPI-%MO'!B:E,4,0)</f>
        <v>0.29770000000000002</v>
      </c>
      <c r="H4601" s="225">
        <f t="shared" si="71"/>
        <v>39.72</v>
      </c>
    </row>
    <row r="4602" spans="1:8" x14ac:dyDescent="0.3">
      <c r="A4602" s="400"/>
      <c r="B4602" s="709">
        <v>94280</v>
      </c>
      <c r="C4602" s="710" t="s">
        <v>4089</v>
      </c>
      <c r="D4602" s="709" t="s">
        <v>159</v>
      </c>
      <c r="E4602" s="716">
        <v>54.63</v>
      </c>
      <c r="F4602" s="717">
        <v>0</v>
      </c>
      <c r="G4602">
        <f>VLOOKUP(B4602,'SINAPI-%MO'!B:E,4,0)</f>
        <v>0.26600000000000001</v>
      </c>
      <c r="H4602" s="225">
        <f t="shared" si="71"/>
        <v>40.090000000000003</v>
      </c>
    </row>
    <row r="4603" spans="1:8" x14ac:dyDescent="0.3">
      <c r="A4603" s="400"/>
      <c r="B4603" s="709">
        <v>94278</v>
      </c>
      <c r="C4603" s="710" t="s">
        <v>4090</v>
      </c>
      <c r="D4603" s="709" t="s">
        <v>159</v>
      </c>
      <c r="E4603" s="716">
        <v>45.83</v>
      </c>
      <c r="F4603" s="717">
        <v>0</v>
      </c>
      <c r="G4603">
        <f>VLOOKUP(B4603,'SINAPI-%MO'!B:E,4,0)</f>
        <v>0.32879999999999998</v>
      </c>
      <c r="H4603" s="225">
        <f t="shared" si="71"/>
        <v>30.76</v>
      </c>
    </row>
    <row r="4604" spans="1:8" x14ac:dyDescent="0.3">
      <c r="A4604" s="400"/>
      <c r="B4604" s="709">
        <v>94275</v>
      </c>
      <c r="C4604" s="710" t="s">
        <v>4091</v>
      </c>
      <c r="D4604" s="709" t="s">
        <v>159</v>
      </c>
      <c r="E4604" s="716">
        <v>48.42</v>
      </c>
      <c r="F4604" s="717">
        <v>0</v>
      </c>
      <c r="G4604">
        <f>VLOOKUP(B4604,'SINAPI-%MO'!B:E,4,0)</f>
        <v>0.2606</v>
      </c>
      <c r="H4604" s="225">
        <f t="shared" si="71"/>
        <v>35.799999999999997</v>
      </c>
    </row>
    <row r="4605" spans="1:8" x14ac:dyDescent="0.3">
      <c r="A4605" s="400"/>
      <c r="B4605" s="709">
        <v>94273</v>
      </c>
      <c r="C4605" s="710" t="s">
        <v>4092</v>
      </c>
      <c r="D4605" s="709" t="s">
        <v>159</v>
      </c>
      <c r="E4605" s="716">
        <v>53.35</v>
      </c>
      <c r="F4605" s="717">
        <v>0</v>
      </c>
      <c r="G4605">
        <f>VLOOKUP(B4605,'SINAPI-%MO'!B:E,4,0)</f>
        <v>0.2555</v>
      </c>
      <c r="H4605" s="225">
        <f t="shared" si="71"/>
        <v>39.71</v>
      </c>
    </row>
    <row r="4606" spans="1:8" x14ac:dyDescent="0.3">
      <c r="A4606" s="400"/>
      <c r="B4606" s="709">
        <v>94279</v>
      </c>
      <c r="C4606" s="710" t="s">
        <v>4093</v>
      </c>
      <c r="D4606" s="709" t="s">
        <v>159</v>
      </c>
      <c r="E4606" s="716">
        <v>51.43</v>
      </c>
      <c r="F4606" s="717">
        <v>0</v>
      </c>
      <c r="G4606">
        <f>VLOOKUP(B4606,'SINAPI-%MO'!B:E,4,0)</f>
        <v>0.2203</v>
      </c>
      <c r="H4606" s="225">
        <f t="shared" si="71"/>
        <v>40.090000000000003</v>
      </c>
    </row>
    <row r="4607" spans="1:8" x14ac:dyDescent="0.3">
      <c r="A4607" s="400"/>
      <c r="B4607" s="709">
        <v>94277</v>
      </c>
      <c r="C4607" s="710" t="s">
        <v>4094</v>
      </c>
      <c r="D4607" s="709" t="s">
        <v>159</v>
      </c>
      <c r="E4607" s="716">
        <v>42.63</v>
      </c>
      <c r="F4607" s="717">
        <v>0</v>
      </c>
      <c r="G4607">
        <f>VLOOKUP(B4607,'SINAPI-%MO'!B:E,4,0)</f>
        <v>0.27839999999999998</v>
      </c>
      <c r="H4607" s="225">
        <f t="shared" si="71"/>
        <v>30.76</v>
      </c>
    </row>
    <row r="4608" spans="1:8" x14ac:dyDescent="0.3">
      <c r="A4608" s="400"/>
      <c r="B4608" s="709">
        <v>104930</v>
      </c>
      <c r="C4608" s="710" t="s">
        <v>4095</v>
      </c>
      <c r="D4608" s="709" t="s">
        <v>159</v>
      </c>
      <c r="E4608" s="716">
        <v>0</v>
      </c>
      <c r="F4608" s="717"/>
      <c r="G4608" t="e">
        <f>VLOOKUP(B4608,'SINAPI-%MO'!B:E,4,0)</f>
        <v>#N/A</v>
      </c>
      <c r="H4608" s="225" t="str">
        <f t="shared" si="71"/>
        <v/>
      </c>
    </row>
    <row r="4609" spans="1:8" x14ac:dyDescent="0.3">
      <c r="A4609" s="400"/>
      <c r="B4609" s="709">
        <v>104931</v>
      </c>
      <c r="C4609" s="710" t="s">
        <v>4096</v>
      </c>
      <c r="D4609" s="709" t="s">
        <v>159</v>
      </c>
      <c r="E4609" s="716">
        <v>0</v>
      </c>
      <c r="F4609" s="717"/>
      <c r="G4609" t="e">
        <f>VLOOKUP(B4609,'SINAPI-%MO'!B:E,4,0)</f>
        <v>#N/A</v>
      </c>
      <c r="H4609" s="225" t="str">
        <f t="shared" si="71"/>
        <v/>
      </c>
    </row>
    <row r="4610" spans="1:8" x14ac:dyDescent="0.3">
      <c r="A4610" s="400"/>
      <c r="B4610" s="709">
        <v>94294</v>
      </c>
      <c r="C4610" s="710" t="s">
        <v>4097</v>
      </c>
      <c r="D4610" s="709" t="s">
        <v>159</v>
      </c>
      <c r="E4610" s="716">
        <v>9.1999999999999993</v>
      </c>
      <c r="F4610" s="717">
        <v>0</v>
      </c>
      <c r="G4610">
        <f>VLOOKUP(B4610,'SINAPI-%MO'!B:E,4,0)</f>
        <v>0.313</v>
      </c>
      <c r="H4610" s="225">
        <f t="shared" si="71"/>
        <v>6.32</v>
      </c>
    </row>
    <row r="4611" spans="1:8" x14ac:dyDescent="0.3">
      <c r="A4611" s="400"/>
      <c r="B4611" s="709">
        <v>94288</v>
      </c>
      <c r="C4611" s="710" t="s">
        <v>4098</v>
      </c>
      <c r="D4611" s="709" t="s">
        <v>159</v>
      </c>
      <c r="E4611" s="716">
        <v>46.92</v>
      </c>
      <c r="F4611" s="717">
        <v>0</v>
      </c>
      <c r="G4611">
        <f>VLOOKUP(B4611,'SINAPI-%MO'!B:E,4,0)</f>
        <v>0.44269999999999998</v>
      </c>
      <c r="H4611" s="225">
        <f t="shared" si="71"/>
        <v>26.14</v>
      </c>
    </row>
    <row r="4612" spans="1:8" x14ac:dyDescent="0.3">
      <c r="A4612" s="400"/>
      <c r="B4612" s="709">
        <v>94282</v>
      </c>
      <c r="C4612" s="710" t="s">
        <v>4099</v>
      </c>
      <c r="D4612" s="709" t="s">
        <v>159</v>
      </c>
      <c r="E4612" s="716">
        <v>61.14</v>
      </c>
      <c r="F4612" s="717">
        <v>0</v>
      </c>
      <c r="G4612">
        <f>VLOOKUP(B4612,'SINAPI-%MO'!B:E,4,0)</f>
        <v>0.37140000000000001</v>
      </c>
      <c r="H4612" s="225">
        <f t="shared" si="71"/>
        <v>38.43</v>
      </c>
    </row>
    <row r="4613" spans="1:8" x14ac:dyDescent="0.3">
      <c r="A4613" s="400"/>
      <c r="B4613" s="709">
        <v>94290</v>
      </c>
      <c r="C4613" s="710" t="s">
        <v>4100</v>
      </c>
      <c r="D4613" s="709" t="s">
        <v>159</v>
      </c>
      <c r="E4613" s="716">
        <v>59.51</v>
      </c>
      <c r="F4613" s="717">
        <v>0</v>
      </c>
      <c r="G4613">
        <f>VLOOKUP(B4613,'SINAPI-%MO'!B:E,4,0)</f>
        <v>0.35420000000000001</v>
      </c>
      <c r="H4613" s="225">
        <f t="shared" si="71"/>
        <v>38.43</v>
      </c>
    </row>
    <row r="4614" spans="1:8" x14ac:dyDescent="0.3">
      <c r="A4614" s="400"/>
      <c r="B4614" s="709">
        <v>94284</v>
      </c>
      <c r="C4614" s="710" t="s">
        <v>4101</v>
      </c>
      <c r="D4614" s="709" t="s">
        <v>159</v>
      </c>
      <c r="E4614" s="716">
        <v>80.98</v>
      </c>
      <c r="F4614" s="717">
        <v>0</v>
      </c>
      <c r="G4614">
        <f>VLOOKUP(B4614,'SINAPI-%MO'!B:E,4,0)</f>
        <v>0.29980000000000001</v>
      </c>
      <c r="H4614" s="225">
        <f t="shared" si="71"/>
        <v>56.7</v>
      </c>
    </row>
    <row r="4615" spans="1:8" x14ac:dyDescent="0.3">
      <c r="A4615" s="400"/>
      <c r="B4615" s="709">
        <v>94292</v>
      </c>
      <c r="C4615" s="710" t="s">
        <v>4102</v>
      </c>
      <c r="D4615" s="709" t="s">
        <v>159</v>
      </c>
      <c r="E4615" s="716">
        <v>72.680000000000007</v>
      </c>
      <c r="F4615" s="717">
        <v>0</v>
      </c>
      <c r="G4615">
        <f>VLOOKUP(B4615,'SINAPI-%MO'!B:E,4,0)</f>
        <v>0.30149999999999999</v>
      </c>
      <c r="H4615" s="225">
        <f t="shared" si="71"/>
        <v>50.76</v>
      </c>
    </row>
    <row r="4616" spans="1:8" x14ac:dyDescent="0.3">
      <c r="A4616" s="400"/>
      <c r="B4616" s="709">
        <v>94286</v>
      </c>
      <c r="C4616" s="710" t="s">
        <v>4103</v>
      </c>
      <c r="D4616" s="709" t="s">
        <v>159</v>
      </c>
      <c r="E4616" s="716">
        <v>103.44</v>
      </c>
      <c r="F4616" s="717">
        <v>0</v>
      </c>
      <c r="G4616">
        <f>VLOOKUP(B4616,'SINAPI-%MO'!B:E,4,0)</f>
        <v>0.27529999999999999</v>
      </c>
      <c r="H4616" s="225">
        <f t="shared" si="71"/>
        <v>74.959999999999994</v>
      </c>
    </row>
    <row r="4617" spans="1:8" x14ac:dyDescent="0.3">
      <c r="A4617" s="400"/>
      <c r="B4617" s="709">
        <v>94287</v>
      </c>
      <c r="C4617" s="710" t="s">
        <v>4104</v>
      </c>
      <c r="D4617" s="709" t="s">
        <v>159</v>
      </c>
      <c r="E4617" s="716">
        <v>39.380000000000003</v>
      </c>
      <c r="F4617" s="717">
        <v>0</v>
      </c>
      <c r="G4617">
        <f>VLOOKUP(B4617,'SINAPI-%MO'!B:E,4,0)</f>
        <v>0.33600000000000002</v>
      </c>
      <c r="H4617" s="225">
        <f t="shared" si="71"/>
        <v>26.14</v>
      </c>
    </row>
    <row r="4618" spans="1:8" x14ac:dyDescent="0.3">
      <c r="A4618" s="400"/>
      <c r="B4618" s="709">
        <v>94281</v>
      </c>
      <c r="C4618" s="710" t="s">
        <v>4105</v>
      </c>
      <c r="D4618" s="709" t="s">
        <v>159</v>
      </c>
      <c r="E4618" s="716">
        <v>52.66</v>
      </c>
      <c r="F4618" s="717">
        <v>0</v>
      </c>
      <c r="G4618">
        <f>VLOOKUP(B4618,'SINAPI-%MO'!B:E,4,0)</f>
        <v>0.2702</v>
      </c>
      <c r="H4618" s="225">
        <f t="shared" si="71"/>
        <v>38.43</v>
      </c>
    </row>
    <row r="4619" spans="1:8" x14ac:dyDescent="0.3">
      <c r="A4619" s="400"/>
      <c r="B4619" s="709">
        <v>94289</v>
      </c>
      <c r="C4619" s="710" t="s">
        <v>4106</v>
      </c>
      <c r="D4619" s="709" t="s">
        <v>159</v>
      </c>
      <c r="E4619" s="716">
        <v>51.97</v>
      </c>
      <c r="F4619" s="717">
        <v>0</v>
      </c>
      <c r="G4619">
        <f>VLOOKUP(B4619,'SINAPI-%MO'!B:E,4,0)</f>
        <v>0.26050000000000001</v>
      </c>
      <c r="H4619" s="225">
        <f t="shared" ref="H4619:H4682" si="72">IF(E4619&gt;0,TRUNC(E4619*(1-G4619),2),"")</f>
        <v>38.43</v>
      </c>
    </row>
    <row r="4620" spans="1:8" x14ac:dyDescent="0.3">
      <c r="A4620" s="400"/>
      <c r="B4620" s="709">
        <v>94283</v>
      </c>
      <c r="C4620" s="710" t="s">
        <v>4107</v>
      </c>
      <c r="D4620" s="709" t="s">
        <v>159</v>
      </c>
      <c r="E4620" s="716">
        <v>72.489999999999995</v>
      </c>
      <c r="F4620" s="717">
        <v>0</v>
      </c>
      <c r="G4620">
        <f>VLOOKUP(B4620,'SINAPI-%MO'!B:E,4,0)</f>
        <v>0.21779999999999999</v>
      </c>
      <c r="H4620" s="225">
        <f t="shared" si="72"/>
        <v>56.7</v>
      </c>
    </row>
    <row r="4621" spans="1:8" x14ac:dyDescent="0.3">
      <c r="A4621" s="400"/>
      <c r="B4621" s="709">
        <v>94291</v>
      </c>
      <c r="C4621" s="710" t="s">
        <v>4108</v>
      </c>
      <c r="D4621" s="709" t="s">
        <v>159</v>
      </c>
      <c r="E4621" s="716">
        <v>65.13</v>
      </c>
      <c r="F4621" s="717">
        <v>0</v>
      </c>
      <c r="G4621">
        <f>VLOOKUP(B4621,'SINAPI-%MO'!B:E,4,0)</f>
        <v>0.2205</v>
      </c>
      <c r="H4621" s="225">
        <f t="shared" si="72"/>
        <v>50.76</v>
      </c>
    </row>
    <row r="4622" spans="1:8" x14ac:dyDescent="0.3">
      <c r="A4622" s="400"/>
      <c r="B4622" s="709">
        <v>94285</v>
      </c>
      <c r="C4622" s="710" t="s">
        <v>4109</v>
      </c>
      <c r="D4622" s="709" t="s">
        <v>159</v>
      </c>
      <c r="E4622" s="716">
        <v>94.96</v>
      </c>
      <c r="F4622" s="717">
        <v>0</v>
      </c>
      <c r="G4622">
        <f>VLOOKUP(B4622,'SINAPI-%MO'!B:E,4,0)</f>
        <v>0.21060000000000001</v>
      </c>
      <c r="H4622" s="225">
        <f t="shared" si="72"/>
        <v>74.959999999999994</v>
      </c>
    </row>
    <row r="4623" spans="1:8" x14ac:dyDescent="0.3">
      <c r="A4623" s="400"/>
      <c r="B4623" s="709">
        <v>94293</v>
      </c>
      <c r="C4623" s="710" t="s">
        <v>4110</v>
      </c>
      <c r="D4623" s="709" t="s">
        <v>159</v>
      </c>
      <c r="E4623" s="716">
        <v>212.01</v>
      </c>
      <c r="F4623" s="717">
        <v>0</v>
      </c>
      <c r="G4623">
        <f>VLOOKUP(B4623,'SINAPI-%MO'!B:E,4,0)</f>
        <v>0.2077</v>
      </c>
      <c r="H4623" s="225">
        <f t="shared" si="72"/>
        <v>167.97</v>
      </c>
    </row>
    <row r="4624" spans="1:8" x14ac:dyDescent="0.3">
      <c r="A4624" s="400"/>
      <c r="B4624" s="709">
        <v>94264</v>
      </c>
      <c r="C4624" s="710" t="s">
        <v>4111</v>
      </c>
      <c r="D4624" s="709" t="s">
        <v>159</v>
      </c>
      <c r="E4624" s="716">
        <v>46.93</v>
      </c>
      <c r="F4624" s="717">
        <v>1.9599999999999999E-2</v>
      </c>
      <c r="G4624">
        <f>VLOOKUP(B4624,'SINAPI-%MO'!B:E,4,0)</f>
        <v>0.5242</v>
      </c>
      <c r="H4624" s="225">
        <f t="shared" si="72"/>
        <v>22.32</v>
      </c>
    </row>
    <row r="4625" spans="1:8" x14ac:dyDescent="0.3">
      <c r="A4625" s="400"/>
      <c r="B4625" s="709">
        <v>94266</v>
      </c>
      <c r="C4625" s="710" t="s">
        <v>4112</v>
      </c>
      <c r="D4625" s="709" t="s">
        <v>159</v>
      </c>
      <c r="E4625" s="716">
        <v>63.44</v>
      </c>
      <c r="F4625" s="717">
        <v>1.6400000000000001E-2</v>
      </c>
      <c r="G4625">
        <f>VLOOKUP(B4625,'SINAPI-%MO'!B:E,4,0)</f>
        <v>0.42349999999999999</v>
      </c>
      <c r="H4625" s="225">
        <f t="shared" si="72"/>
        <v>36.57</v>
      </c>
    </row>
    <row r="4626" spans="1:8" x14ac:dyDescent="0.3">
      <c r="A4626" s="400"/>
      <c r="B4626" s="709">
        <v>94263</v>
      </c>
      <c r="C4626" s="710" t="s">
        <v>4113</v>
      </c>
      <c r="D4626" s="709" t="s">
        <v>159</v>
      </c>
      <c r="E4626" s="716">
        <v>41.61</v>
      </c>
      <c r="F4626" s="717">
        <v>1.44E-2</v>
      </c>
      <c r="G4626">
        <f>VLOOKUP(B4626,'SINAPI-%MO'!B:E,4,0)</f>
        <v>0.47270000000000001</v>
      </c>
      <c r="H4626" s="225">
        <f t="shared" si="72"/>
        <v>21.94</v>
      </c>
    </row>
    <row r="4627" spans="1:8" x14ac:dyDescent="0.3">
      <c r="A4627" s="400"/>
      <c r="B4627" s="709">
        <v>94265</v>
      </c>
      <c r="C4627" s="710" t="s">
        <v>4114</v>
      </c>
      <c r="D4627" s="709" t="s">
        <v>159</v>
      </c>
      <c r="E4627" s="716">
        <v>57.35</v>
      </c>
      <c r="F4627" s="717">
        <v>1.2E-2</v>
      </c>
      <c r="G4627">
        <f>VLOOKUP(B4627,'SINAPI-%MO'!B:E,4,0)</f>
        <v>0.37019999999999997</v>
      </c>
      <c r="H4627" s="225">
        <f t="shared" si="72"/>
        <v>36.11</v>
      </c>
    </row>
    <row r="4628" spans="1:8" x14ac:dyDescent="0.3">
      <c r="A4628" s="400"/>
      <c r="B4628" s="709">
        <v>94268</v>
      </c>
      <c r="C4628" s="710" t="s">
        <v>4115</v>
      </c>
      <c r="D4628" s="709" t="s">
        <v>159</v>
      </c>
      <c r="E4628" s="716">
        <v>75.75</v>
      </c>
      <c r="F4628" s="717">
        <v>1.52E-2</v>
      </c>
      <c r="G4628">
        <f>VLOOKUP(B4628,'SINAPI-%MO'!B:E,4,0)</f>
        <v>0.38129999999999997</v>
      </c>
      <c r="H4628" s="225">
        <f t="shared" si="72"/>
        <v>46.86</v>
      </c>
    </row>
    <row r="4629" spans="1:8" x14ac:dyDescent="0.3">
      <c r="A4629" s="400"/>
      <c r="B4629" s="709">
        <v>94270</v>
      </c>
      <c r="C4629" s="710" t="s">
        <v>4116</v>
      </c>
      <c r="D4629" s="709" t="s">
        <v>159</v>
      </c>
      <c r="E4629" s="716">
        <v>109.1</v>
      </c>
      <c r="F4629" s="717">
        <v>1.4800000000000001E-2</v>
      </c>
      <c r="G4629">
        <f>VLOOKUP(B4629,'SINAPI-%MO'!B:E,4,0)</f>
        <v>0.33310000000000001</v>
      </c>
      <c r="H4629" s="225">
        <f t="shared" si="72"/>
        <v>72.75</v>
      </c>
    </row>
    <row r="4630" spans="1:8" x14ac:dyDescent="0.3">
      <c r="A4630" s="400"/>
      <c r="B4630" s="709">
        <v>94272</v>
      </c>
      <c r="C4630" s="710" t="s">
        <v>4117</v>
      </c>
      <c r="D4630" s="709" t="s">
        <v>159</v>
      </c>
      <c r="E4630" s="716">
        <v>134.44999999999999</v>
      </c>
      <c r="F4630" s="717">
        <v>1.6E-2</v>
      </c>
      <c r="G4630">
        <f>VLOOKUP(B4630,'SINAPI-%MO'!B:E,4,0)</f>
        <v>0.33450000000000002</v>
      </c>
      <c r="H4630" s="225">
        <f t="shared" si="72"/>
        <v>89.47</v>
      </c>
    </row>
    <row r="4631" spans="1:8" x14ac:dyDescent="0.3">
      <c r="A4631" s="400"/>
      <c r="B4631" s="709">
        <v>94267</v>
      </c>
      <c r="C4631" s="710" t="s">
        <v>4118</v>
      </c>
      <c r="D4631" s="709" t="s">
        <v>159</v>
      </c>
      <c r="E4631" s="716">
        <v>69.040000000000006</v>
      </c>
      <c r="F4631" s="717">
        <v>1.0999999999999999E-2</v>
      </c>
      <c r="G4631">
        <f>VLOOKUP(B4631,'SINAPI-%MO'!B:E,4,0)</f>
        <v>0.32819999999999999</v>
      </c>
      <c r="H4631" s="225">
        <f t="shared" si="72"/>
        <v>46.38</v>
      </c>
    </row>
    <row r="4632" spans="1:8" x14ac:dyDescent="0.3">
      <c r="A4632" s="400"/>
      <c r="B4632" s="709">
        <v>94269</v>
      </c>
      <c r="C4632" s="710" t="s">
        <v>4119</v>
      </c>
      <c r="D4632" s="709" t="s">
        <v>159</v>
      </c>
      <c r="E4632" s="716">
        <v>99.77</v>
      </c>
      <c r="F4632" s="717">
        <v>1.06E-2</v>
      </c>
      <c r="G4632">
        <f>VLOOKUP(B4632,'SINAPI-%MO'!B:E,4,0)</f>
        <v>0.27750000000000002</v>
      </c>
      <c r="H4632" s="225">
        <f t="shared" si="72"/>
        <v>72.08</v>
      </c>
    </row>
    <row r="4633" spans="1:8" x14ac:dyDescent="0.3">
      <c r="A4633" s="400"/>
      <c r="B4633" s="709">
        <v>94271</v>
      </c>
      <c r="C4633" s="710" t="s">
        <v>4120</v>
      </c>
      <c r="D4633" s="709" t="s">
        <v>159</v>
      </c>
      <c r="E4633" s="716">
        <v>121.98</v>
      </c>
      <c r="F4633" s="717">
        <v>1.1599999999999999E-2</v>
      </c>
      <c r="G4633">
        <f>VLOOKUP(B4633,'SINAPI-%MO'!B:E,4,0)</f>
        <v>0.27400000000000002</v>
      </c>
      <c r="H4633" s="225">
        <f t="shared" si="72"/>
        <v>88.55</v>
      </c>
    </row>
    <row r="4634" spans="1:8" x14ac:dyDescent="0.3">
      <c r="A4634" s="400"/>
      <c r="B4634" s="709">
        <v>105555</v>
      </c>
      <c r="C4634" s="710" t="s">
        <v>4121</v>
      </c>
      <c r="D4634" s="709" t="s">
        <v>136</v>
      </c>
      <c r="E4634" s="716">
        <v>0</v>
      </c>
      <c r="F4634" s="717"/>
      <c r="G4634" t="e">
        <f>VLOOKUP(B4634,'SINAPI-%MO'!B:E,4,0)</f>
        <v>#N/A</v>
      </c>
      <c r="H4634" s="225" t="str">
        <f t="shared" si="72"/>
        <v/>
      </c>
    </row>
    <row r="4635" spans="1:8" x14ac:dyDescent="0.3">
      <c r="A4635" s="400"/>
      <c r="B4635" s="709">
        <v>97603</v>
      </c>
      <c r="C4635" s="710" t="s">
        <v>4122</v>
      </c>
      <c r="D4635" s="709" t="s">
        <v>136</v>
      </c>
      <c r="E4635" s="716">
        <v>0</v>
      </c>
      <c r="F4635" s="717"/>
      <c r="G4635" t="e">
        <f>VLOOKUP(B4635,'SINAPI-%MO'!B:E,4,0)</f>
        <v>#N/A</v>
      </c>
      <c r="H4635" s="225" t="str">
        <f t="shared" si="72"/>
        <v/>
      </c>
    </row>
    <row r="4636" spans="1:8" x14ac:dyDescent="0.3">
      <c r="A4636" s="400"/>
      <c r="B4636" s="709">
        <v>97602</v>
      </c>
      <c r="C4636" s="710" t="s">
        <v>4123</v>
      </c>
      <c r="D4636" s="709" t="s">
        <v>136</v>
      </c>
      <c r="E4636" s="716">
        <v>0</v>
      </c>
      <c r="F4636" s="717"/>
      <c r="G4636" t="e">
        <f>VLOOKUP(B4636,'SINAPI-%MO'!B:E,4,0)</f>
        <v>#N/A</v>
      </c>
      <c r="H4636" s="225" t="str">
        <f t="shared" si="72"/>
        <v/>
      </c>
    </row>
    <row r="4637" spans="1:8" x14ac:dyDescent="0.3">
      <c r="A4637" s="400"/>
      <c r="B4637" s="709">
        <v>97604</v>
      </c>
      <c r="C4637" s="710" t="s">
        <v>4124</v>
      </c>
      <c r="D4637" s="709" t="s">
        <v>136</v>
      </c>
      <c r="E4637" s="716">
        <v>0</v>
      </c>
      <c r="F4637" s="717"/>
      <c r="G4637" t="e">
        <f>VLOOKUP(B4637,'SINAPI-%MO'!B:E,4,0)</f>
        <v>#N/A</v>
      </c>
      <c r="H4637" s="225" t="str">
        <f t="shared" si="72"/>
        <v/>
      </c>
    </row>
    <row r="4638" spans="1:8" x14ac:dyDescent="0.3">
      <c r="A4638" s="400"/>
      <c r="B4638" s="709">
        <v>105553</v>
      </c>
      <c r="C4638" s="710" t="s">
        <v>4125</v>
      </c>
      <c r="D4638" s="709" t="s">
        <v>136</v>
      </c>
      <c r="E4638" s="716">
        <v>0</v>
      </c>
      <c r="F4638" s="717"/>
      <c r="G4638" t="e">
        <f>VLOOKUP(B4638,'SINAPI-%MO'!B:E,4,0)</f>
        <v>#N/A</v>
      </c>
      <c r="H4638" s="225" t="str">
        <f t="shared" si="72"/>
        <v/>
      </c>
    </row>
    <row r="4639" spans="1:8" x14ac:dyDescent="0.3">
      <c r="A4639" s="400"/>
      <c r="B4639" s="709">
        <v>105552</v>
      </c>
      <c r="C4639" s="710" t="s">
        <v>4126</v>
      </c>
      <c r="D4639" s="709" t="s">
        <v>136</v>
      </c>
      <c r="E4639" s="716">
        <v>0</v>
      </c>
      <c r="F4639" s="717"/>
      <c r="G4639" t="e">
        <f>VLOOKUP(B4639,'SINAPI-%MO'!B:E,4,0)</f>
        <v>#N/A</v>
      </c>
      <c r="H4639" s="225" t="str">
        <f t="shared" si="72"/>
        <v/>
      </c>
    </row>
    <row r="4640" spans="1:8" x14ac:dyDescent="0.3">
      <c r="A4640" s="400"/>
      <c r="B4640" s="709">
        <v>105550</v>
      </c>
      <c r="C4640" s="710" t="s">
        <v>4127</v>
      </c>
      <c r="D4640" s="709" t="s">
        <v>136</v>
      </c>
      <c r="E4640" s="716">
        <v>0</v>
      </c>
      <c r="F4640" s="717"/>
      <c r="G4640" t="e">
        <f>VLOOKUP(B4640,'SINAPI-%MO'!B:E,4,0)</f>
        <v>#N/A</v>
      </c>
      <c r="H4640" s="225" t="str">
        <f t="shared" si="72"/>
        <v/>
      </c>
    </row>
    <row r="4641" spans="1:8" x14ac:dyDescent="0.3">
      <c r="A4641" s="400"/>
      <c r="B4641" s="709">
        <v>105551</v>
      </c>
      <c r="C4641" s="710" t="s">
        <v>4128</v>
      </c>
      <c r="D4641" s="709" t="s">
        <v>136</v>
      </c>
      <c r="E4641" s="716">
        <v>0</v>
      </c>
      <c r="F4641" s="717"/>
      <c r="G4641" t="e">
        <f>VLOOKUP(B4641,'SINAPI-%MO'!B:E,4,0)</f>
        <v>#N/A</v>
      </c>
      <c r="H4641" s="225" t="str">
        <f t="shared" si="72"/>
        <v/>
      </c>
    </row>
    <row r="4642" spans="1:8" x14ac:dyDescent="0.3">
      <c r="A4642" s="400"/>
      <c r="B4642" s="709">
        <v>105549</v>
      </c>
      <c r="C4642" s="710" t="s">
        <v>4129</v>
      </c>
      <c r="D4642" s="709" t="s">
        <v>136</v>
      </c>
      <c r="E4642" s="716">
        <v>0</v>
      </c>
      <c r="F4642" s="717"/>
      <c r="G4642" t="e">
        <f>VLOOKUP(B4642,'SINAPI-%MO'!B:E,4,0)</f>
        <v>#N/A</v>
      </c>
      <c r="H4642" s="225" t="str">
        <f t="shared" si="72"/>
        <v/>
      </c>
    </row>
    <row r="4643" spans="1:8" x14ac:dyDescent="0.3">
      <c r="A4643" s="400"/>
      <c r="B4643" s="709">
        <v>105547</v>
      </c>
      <c r="C4643" s="710" t="s">
        <v>4130</v>
      </c>
      <c r="D4643" s="709" t="s">
        <v>159</v>
      </c>
      <c r="E4643" s="716">
        <v>0</v>
      </c>
      <c r="F4643" s="717"/>
      <c r="G4643" t="e">
        <f>VLOOKUP(B4643,'SINAPI-%MO'!B:E,4,0)</f>
        <v>#N/A</v>
      </c>
      <c r="H4643" s="225" t="str">
        <f t="shared" si="72"/>
        <v/>
      </c>
    </row>
    <row r="4644" spans="1:8" x14ac:dyDescent="0.3">
      <c r="A4644" s="400"/>
      <c r="B4644" s="709">
        <v>97605</v>
      </c>
      <c r="C4644" s="710" t="s">
        <v>4131</v>
      </c>
      <c r="D4644" s="709" t="s">
        <v>136</v>
      </c>
      <c r="E4644" s="716">
        <v>69.41</v>
      </c>
      <c r="F4644" s="717">
        <v>0.72189999999999999</v>
      </c>
      <c r="G4644">
        <f>VLOOKUP(B4644,'SINAPI-%MO'!B:E,4,0)</f>
        <v>0.22450000000000001</v>
      </c>
      <c r="H4644" s="225">
        <f t="shared" si="72"/>
        <v>53.82</v>
      </c>
    </row>
    <row r="4645" spans="1:8" x14ac:dyDescent="0.3">
      <c r="A4645" s="400"/>
      <c r="B4645" s="709">
        <v>97607</v>
      </c>
      <c r="C4645" s="710" t="s">
        <v>4132</v>
      </c>
      <c r="D4645" s="709" t="s">
        <v>136</v>
      </c>
      <c r="E4645" s="716">
        <v>89.19</v>
      </c>
      <c r="F4645" s="717">
        <v>0.69550000000000001</v>
      </c>
      <c r="G4645">
        <f>VLOOKUP(B4645,'SINAPI-%MO'!B:E,4,0)</f>
        <v>0.26279999999999998</v>
      </c>
      <c r="H4645" s="225">
        <f t="shared" si="72"/>
        <v>65.75</v>
      </c>
    </row>
    <row r="4646" spans="1:8" x14ac:dyDescent="0.3">
      <c r="A4646" s="400"/>
      <c r="B4646" s="709">
        <v>97599</v>
      </c>
      <c r="C4646" s="710" t="s">
        <v>4133</v>
      </c>
      <c r="D4646" s="709" t="s">
        <v>136</v>
      </c>
      <c r="E4646" s="716">
        <v>17.940000000000001</v>
      </c>
      <c r="F4646" s="717">
        <v>0</v>
      </c>
      <c r="G4646">
        <f>VLOOKUP(B4646,'SINAPI-%MO'!B:E,4,0)</f>
        <v>0.3997</v>
      </c>
      <c r="H4646" s="225">
        <f t="shared" si="72"/>
        <v>10.76</v>
      </c>
    </row>
    <row r="4647" spans="1:8" x14ac:dyDescent="0.3">
      <c r="A4647" s="400"/>
      <c r="B4647" s="709">
        <v>105542</v>
      </c>
      <c r="C4647" s="710" t="s">
        <v>4134</v>
      </c>
      <c r="D4647" s="709" t="s">
        <v>136</v>
      </c>
      <c r="E4647" s="716">
        <v>0</v>
      </c>
      <c r="F4647" s="717"/>
      <c r="G4647" t="e">
        <f>VLOOKUP(B4647,'SINAPI-%MO'!B:E,4,0)</f>
        <v>#N/A</v>
      </c>
      <c r="H4647" s="225" t="str">
        <f t="shared" si="72"/>
        <v/>
      </c>
    </row>
    <row r="4648" spans="1:8" x14ac:dyDescent="0.3">
      <c r="A4648" s="400"/>
      <c r="B4648" s="709">
        <v>105543</v>
      </c>
      <c r="C4648" s="710" t="s">
        <v>4135</v>
      </c>
      <c r="D4648" s="709" t="s">
        <v>136</v>
      </c>
      <c r="E4648" s="716">
        <v>0</v>
      </c>
      <c r="F4648" s="717"/>
      <c r="G4648" t="e">
        <f>VLOOKUP(B4648,'SINAPI-%MO'!B:E,4,0)</f>
        <v>#N/A</v>
      </c>
      <c r="H4648" s="225" t="str">
        <f t="shared" si="72"/>
        <v/>
      </c>
    </row>
    <row r="4649" spans="1:8" x14ac:dyDescent="0.3">
      <c r="A4649" s="400"/>
      <c r="B4649" s="709">
        <v>105544</v>
      </c>
      <c r="C4649" s="710" t="s">
        <v>4136</v>
      </c>
      <c r="D4649" s="709" t="s">
        <v>136</v>
      </c>
      <c r="E4649" s="716">
        <v>0</v>
      </c>
      <c r="F4649" s="717"/>
      <c r="G4649" t="e">
        <f>VLOOKUP(B4649,'SINAPI-%MO'!B:E,4,0)</f>
        <v>#N/A</v>
      </c>
      <c r="H4649" s="225" t="str">
        <f t="shared" si="72"/>
        <v/>
      </c>
    </row>
    <row r="4650" spans="1:8" x14ac:dyDescent="0.3">
      <c r="A4650" s="400"/>
      <c r="B4650" s="709">
        <v>100913</v>
      </c>
      <c r="C4650" s="710" t="s">
        <v>4137</v>
      </c>
      <c r="D4650" s="709" t="s">
        <v>136</v>
      </c>
      <c r="E4650" s="716">
        <v>0</v>
      </c>
      <c r="F4650" s="717"/>
      <c r="G4650" t="e">
        <f>VLOOKUP(B4650,'SINAPI-%MO'!B:E,4,0)</f>
        <v>#N/A</v>
      </c>
      <c r="H4650" s="225" t="str">
        <f t="shared" si="72"/>
        <v/>
      </c>
    </row>
    <row r="4651" spans="1:8" x14ac:dyDescent="0.3">
      <c r="A4651" s="400"/>
      <c r="B4651" s="709">
        <v>100916</v>
      </c>
      <c r="C4651" s="710" t="s">
        <v>4138</v>
      </c>
      <c r="D4651" s="709" t="s">
        <v>136</v>
      </c>
      <c r="E4651" s="716">
        <v>0</v>
      </c>
      <c r="F4651" s="717"/>
      <c r="G4651" t="e">
        <f>VLOOKUP(B4651,'SINAPI-%MO'!B:E,4,0)</f>
        <v>#N/A</v>
      </c>
      <c r="H4651" s="225" t="str">
        <f t="shared" si="72"/>
        <v/>
      </c>
    </row>
    <row r="4652" spans="1:8" x14ac:dyDescent="0.3">
      <c r="A4652" s="400"/>
      <c r="B4652" s="709">
        <v>100918</v>
      </c>
      <c r="C4652" s="710" t="s">
        <v>4139</v>
      </c>
      <c r="D4652" s="709" t="s">
        <v>136</v>
      </c>
      <c r="E4652" s="716">
        <v>0</v>
      </c>
      <c r="F4652" s="717"/>
      <c r="G4652" t="e">
        <f>VLOOKUP(B4652,'SINAPI-%MO'!B:E,4,0)</f>
        <v>#N/A</v>
      </c>
      <c r="H4652" s="225" t="str">
        <f t="shared" si="72"/>
        <v/>
      </c>
    </row>
    <row r="4653" spans="1:8" x14ac:dyDescent="0.3">
      <c r="A4653" s="400"/>
      <c r="B4653" s="709">
        <v>100914</v>
      </c>
      <c r="C4653" s="710" t="s">
        <v>4140</v>
      </c>
      <c r="D4653" s="709" t="s">
        <v>136</v>
      </c>
      <c r="E4653" s="716">
        <v>0</v>
      </c>
      <c r="F4653" s="717"/>
      <c r="G4653" t="e">
        <f>VLOOKUP(B4653,'SINAPI-%MO'!B:E,4,0)</f>
        <v>#N/A</v>
      </c>
      <c r="H4653" s="225" t="str">
        <f t="shared" si="72"/>
        <v/>
      </c>
    </row>
    <row r="4654" spans="1:8" x14ac:dyDescent="0.3">
      <c r="A4654" s="400"/>
      <c r="B4654" s="709">
        <v>100917</v>
      </c>
      <c r="C4654" s="710" t="s">
        <v>4141</v>
      </c>
      <c r="D4654" s="709" t="s">
        <v>136</v>
      </c>
      <c r="E4654" s="716">
        <v>0</v>
      </c>
      <c r="F4654" s="717"/>
      <c r="G4654" t="e">
        <f>VLOOKUP(B4654,'SINAPI-%MO'!B:E,4,0)</f>
        <v>#N/A</v>
      </c>
      <c r="H4654" s="225" t="str">
        <f t="shared" si="72"/>
        <v/>
      </c>
    </row>
    <row r="4655" spans="1:8" x14ac:dyDescent="0.3">
      <c r="A4655" s="400"/>
      <c r="B4655" s="709">
        <v>100907</v>
      </c>
      <c r="C4655" s="710" t="s">
        <v>4142</v>
      </c>
      <c r="D4655" s="709" t="s">
        <v>136</v>
      </c>
      <c r="E4655" s="716">
        <v>0</v>
      </c>
      <c r="F4655" s="717"/>
      <c r="G4655" t="e">
        <f>VLOOKUP(B4655,'SINAPI-%MO'!B:E,4,0)</f>
        <v>#N/A</v>
      </c>
      <c r="H4655" s="225" t="str">
        <f t="shared" si="72"/>
        <v/>
      </c>
    </row>
    <row r="4656" spans="1:8" x14ac:dyDescent="0.3">
      <c r="A4656" s="400"/>
      <c r="B4656" s="709">
        <v>102467</v>
      </c>
      <c r="C4656" s="710" t="s">
        <v>4143</v>
      </c>
      <c r="D4656" s="709" t="s">
        <v>136</v>
      </c>
      <c r="E4656" s="716">
        <v>0</v>
      </c>
      <c r="F4656" s="717"/>
      <c r="G4656" t="e">
        <f>VLOOKUP(B4656,'SINAPI-%MO'!B:E,4,0)</f>
        <v>#N/A</v>
      </c>
      <c r="H4656" s="225" t="str">
        <f t="shared" si="72"/>
        <v/>
      </c>
    </row>
    <row r="4657" spans="1:8" x14ac:dyDescent="0.3">
      <c r="A4657" s="400"/>
      <c r="B4657" s="709">
        <v>100910</v>
      </c>
      <c r="C4657" s="710" t="s">
        <v>4144</v>
      </c>
      <c r="D4657" s="709" t="s">
        <v>136</v>
      </c>
      <c r="E4657" s="716">
        <v>0</v>
      </c>
      <c r="F4657" s="717"/>
      <c r="G4657" t="e">
        <f>VLOOKUP(B4657,'SINAPI-%MO'!B:E,4,0)</f>
        <v>#N/A</v>
      </c>
      <c r="H4657" s="225" t="str">
        <f t="shared" si="72"/>
        <v/>
      </c>
    </row>
    <row r="4658" spans="1:8" x14ac:dyDescent="0.3">
      <c r="A4658" s="400"/>
      <c r="B4658" s="709">
        <v>105541</v>
      </c>
      <c r="C4658" s="710" t="s">
        <v>4145</v>
      </c>
      <c r="D4658" s="709" t="s">
        <v>136</v>
      </c>
      <c r="E4658" s="716">
        <v>0</v>
      </c>
      <c r="F4658" s="717"/>
      <c r="G4658" t="e">
        <f>VLOOKUP(B4658,'SINAPI-%MO'!B:E,4,0)</f>
        <v>#N/A</v>
      </c>
      <c r="H4658" s="225" t="str">
        <f t="shared" si="72"/>
        <v/>
      </c>
    </row>
    <row r="4659" spans="1:8" x14ac:dyDescent="0.3">
      <c r="A4659" s="400"/>
      <c r="B4659" s="709">
        <v>100908</v>
      </c>
      <c r="C4659" s="710" t="s">
        <v>4146</v>
      </c>
      <c r="D4659" s="709" t="s">
        <v>136</v>
      </c>
      <c r="E4659" s="716">
        <v>0</v>
      </c>
      <c r="F4659" s="717"/>
      <c r="G4659" t="e">
        <f>VLOOKUP(B4659,'SINAPI-%MO'!B:E,4,0)</f>
        <v>#N/A</v>
      </c>
      <c r="H4659" s="225" t="str">
        <f t="shared" si="72"/>
        <v/>
      </c>
    </row>
    <row r="4660" spans="1:8" x14ac:dyDescent="0.3">
      <c r="A4660" s="400"/>
      <c r="B4660" s="709">
        <v>100911</v>
      </c>
      <c r="C4660" s="710" t="s">
        <v>4147</v>
      </c>
      <c r="D4660" s="709" t="s">
        <v>136</v>
      </c>
      <c r="E4660" s="716">
        <v>0</v>
      </c>
      <c r="F4660" s="717"/>
      <c r="G4660" t="e">
        <f>VLOOKUP(B4660,'SINAPI-%MO'!B:E,4,0)</f>
        <v>#N/A</v>
      </c>
      <c r="H4660" s="225" t="str">
        <f t="shared" si="72"/>
        <v/>
      </c>
    </row>
    <row r="4661" spans="1:8" x14ac:dyDescent="0.3">
      <c r="A4661" s="400"/>
      <c r="B4661" s="709">
        <v>103782</v>
      </c>
      <c r="C4661" s="710" t="s">
        <v>4148</v>
      </c>
      <c r="D4661" s="709" t="s">
        <v>136</v>
      </c>
      <c r="E4661" s="716">
        <v>29.48</v>
      </c>
      <c r="F4661" s="717">
        <v>0</v>
      </c>
      <c r="G4661">
        <f>VLOOKUP(B4661,'SINAPI-%MO'!B:E,4,0)</f>
        <v>0.66590000000000005</v>
      </c>
      <c r="H4661" s="225">
        <f t="shared" si="72"/>
        <v>9.84</v>
      </c>
    </row>
    <row r="4662" spans="1:8" x14ac:dyDescent="0.3">
      <c r="A4662" s="400"/>
      <c r="B4662" s="709">
        <v>103786</v>
      </c>
      <c r="C4662" s="710" t="s">
        <v>4149</v>
      </c>
      <c r="D4662" s="709" t="s">
        <v>136</v>
      </c>
      <c r="E4662" s="716">
        <v>0</v>
      </c>
      <c r="F4662" s="717"/>
      <c r="G4662" t="e">
        <f>VLOOKUP(B4662,'SINAPI-%MO'!B:E,4,0)</f>
        <v>#N/A</v>
      </c>
      <c r="H4662" s="225" t="str">
        <f t="shared" si="72"/>
        <v/>
      </c>
    </row>
    <row r="4663" spans="1:8" x14ac:dyDescent="0.3">
      <c r="A4663" s="400"/>
      <c r="B4663" s="709">
        <v>103787</v>
      </c>
      <c r="C4663" s="710" t="s">
        <v>4150</v>
      </c>
      <c r="D4663" s="709" t="s">
        <v>136</v>
      </c>
      <c r="E4663" s="716">
        <v>0</v>
      </c>
      <c r="F4663" s="717"/>
      <c r="G4663" t="e">
        <f>VLOOKUP(B4663,'SINAPI-%MO'!B:E,4,0)</f>
        <v>#N/A</v>
      </c>
      <c r="H4663" s="225" t="str">
        <f t="shared" si="72"/>
        <v/>
      </c>
    </row>
    <row r="4664" spans="1:8" x14ac:dyDescent="0.3">
      <c r="A4664" s="400"/>
      <c r="B4664" s="709">
        <v>103788</v>
      </c>
      <c r="C4664" s="710" t="s">
        <v>4151</v>
      </c>
      <c r="D4664" s="709" t="s">
        <v>136</v>
      </c>
      <c r="E4664" s="716">
        <v>0</v>
      </c>
      <c r="F4664" s="717"/>
      <c r="G4664" t="e">
        <f>VLOOKUP(B4664,'SINAPI-%MO'!B:E,4,0)</f>
        <v>#N/A</v>
      </c>
      <c r="H4664" s="225" t="str">
        <f t="shared" si="72"/>
        <v/>
      </c>
    </row>
    <row r="4665" spans="1:8" x14ac:dyDescent="0.3">
      <c r="A4665" s="400"/>
      <c r="B4665" s="709">
        <v>103783</v>
      </c>
      <c r="C4665" s="710" t="s">
        <v>4152</v>
      </c>
      <c r="D4665" s="709" t="s">
        <v>136</v>
      </c>
      <c r="E4665" s="716">
        <v>0</v>
      </c>
      <c r="F4665" s="717"/>
      <c r="G4665" t="e">
        <f>VLOOKUP(B4665,'SINAPI-%MO'!B:E,4,0)</f>
        <v>#N/A</v>
      </c>
      <c r="H4665" s="225" t="str">
        <f t="shared" si="72"/>
        <v/>
      </c>
    </row>
    <row r="4666" spans="1:8" x14ac:dyDescent="0.3">
      <c r="A4666" s="400"/>
      <c r="B4666" s="709">
        <v>103784</v>
      </c>
      <c r="C4666" s="710" t="s">
        <v>4153</v>
      </c>
      <c r="D4666" s="709" t="s">
        <v>136</v>
      </c>
      <c r="E4666" s="716">
        <v>0</v>
      </c>
      <c r="F4666" s="717"/>
      <c r="G4666" t="e">
        <f>VLOOKUP(B4666,'SINAPI-%MO'!B:E,4,0)</f>
        <v>#N/A</v>
      </c>
      <c r="H4666" s="225" t="str">
        <f t="shared" si="72"/>
        <v/>
      </c>
    </row>
    <row r="4667" spans="1:8" x14ac:dyDescent="0.3">
      <c r="A4667" s="400"/>
      <c r="B4667" s="709">
        <v>103785</v>
      </c>
      <c r="C4667" s="710" t="s">
        <v>4154</v>
      </c>
      <c r="D4667" s="709" t="s">
        <v>136</v>
      </c>
      <c r="E4667" s="716">
        <v>0</v>
      </c>
      <c r="F4667" s="717"/>
      <c r="G4667" t="e">
        <f>VLOOKUP(B4667,'SINAPI-%MO'!B:E,4,0)</f>
        <v>#N/A</v>
      </c>
      <c r="H4667" s="225" t="str">
        <f t="shared" si="72"/>
        <v/>
      </c>
    </row>
    <row r="4668" spans="1:8" x14ac:dyDescent="0.3">
      <c r="A4668" s="400"/>
      <c r="B4668" s="709">
        <v>105546</v>
      </c>
      <c r="C4668" s="710" t="s">
        <v>4155</v>
      </c>
      <c r="D4668" s="709" t="s">
        <v>136</v>
      </c>
      <c r="E4668" s="716">
        <v>0</v>
      </c>
      <c r="F4668" s="717"/>
      <c r="G4668" t="e">
        <f>VLOOKUP(B4668,'SINAPI-%MO'!B:E,4,0)</f>
        <v>#N/A</v>
      </c>
      <c r="H4668" s="225" t="str">
        <f t="shared" si="72"/>
        <v/>
      </c>
    </row>
    <row r="4669" spans="1:8" x14ac:dyDescent="0.3">
      <c r="A4669" s="400"/>
      <c r="B4669" s="709">
        <v>105545</v>
      </c>
      <c r="C4669" s="710" t="s">
        <v>4156</v>
      </c>
      <c r="D4669" s="709" t="s">
        <v>136</v>
      </c>
      <c r="E4669" s="716">
        <v>0</v>
      </c>
      <c r="F4669" s="717"/>
      <c r="G4669" t="e">
        <f>VLOOKUP(B4669,'SINAPI-%MO'!B:E,4,0)</f>
        <v>#N/A</v>
      </c>
      <c r="H4669" s="225" t="str">
        <f t="shared" si="72"/>
        <v/>
      </c>
    </row>
    <row r="4670" spans="1:8" x14ac:dyDescent="0.3">
      <c r="A4670" s="400"/>
      <c r="B4670" s="709">
        <v>97610</v>
      </c>
      <c r="C4670" s="710" t="s">
        <v>4157</v>
      </c>
      <c r="D4670" s="709" t="s">
        <v>136</v>
      </c>
      <c r="E4670" s="716">
        <v>15.28</v>
      </c>
      <c r="F4670" s="717">
        <v>0</v>
      </c>
      <c r="G4670">
        <f>VLOOKUP(B4670,'SINAPI-%MO'!B:E,4,0)</f>
        <v>0.43259999999999998</v>
      </c>
      <c r="H4670" s="225">
        <f t="shared" si="72"/>
        <v>8.66</v>
      </c>
    </row>
    <row r="4671" spans="1:8" x14ac:dyDescent="0.3">
      <c r="A4671" s="400"/>
      <c r="B4671" s="709">
        <v>97609</v>
      </c>
      <c r="C4671" s="710" t="s">
        <v>4158</v>
      </c>
      <c r="D4671" s="709" t="s">
        <v>136</v>
      </c>
      <c r="E4671" s="716">
        <v>14.71</v>
      </c>
      <c r="F4671" s="717">
        <v>0</v>
      </c>
      <c r="G4671">
        <f>VLOOKUP(B4671,'SINAPI-%MO'!B:E,4,0)</f>
        <v>0.44940000000000002</v>
      </c>
      <c r="H4671" s="225">
        <f t="shared" si="72"/>
        <v>8.09</v>
      </c>
    </row>
    <row r="4672" spans="1:8" x14ac:dyDescent="0.3">
      <c r="A4672" s="400"/>
      <c r="B4672" s="709">
        <v>105554</v>
      </c>
      <c r="C4672" s="710" t="s">
        <v>4159</v>
      </c>
      <c r="D4672" s="709" t="s">
        <v>136</v>
      </c>
      <c r="E4672" s="716">
        <v>15.45</v>
      </c>
      <c r="F4672" s="717">
        <v>0</v>
      </c>
      <c r="G4672">
        <f>VLOOKUP(B4672,'SINAPI-%MO'!B:E,4,0)</f>
        <v>0.62909999999999999</v>
      </c>
      <c r="H4672" s="225">
        <f t="shared" si="72"/>
        <v>5.73</v>
      </c>
    </row>
    <row r="4673" spans="1:8" x14ac:dyDescent="0.3">
      <c r="A4673" s="400"/>
      <c r="B4673" s="709">
        <v>100903</v>
      </c>
      <c r="C4673" s="710" t="s">
        <v>4160</v>
      </c>
      <c r="D4673" s="709" t="s">
        <v>136</v>
      </c>
      <c r="E4673" s="716">
        <v>33.229999999999997</v>
      </c>
      <c r="F4673" s="717">
        <v>0</v>
      </c>
      <c r="G4673">
        <f>VLOOKUP(B4673,'SINAPI-%MO'!B:E,4,0)</f>
        <v>0.48899999999999999</v>
      </c>
      <c r="H4673" s="225">
        <f t="shared" si="72"/>
        <v>16.98</v>
      </c>
    </row>
    <row r="4674" spans="1:8" x14ac:dyDescent="0.3">
      <c r="A4674" s="400"/>
      <c r="B4674" s="709">
        <v>100902</v>
      </c>
      <c r="C4674" s="710" t="s">
        <v>4161</v>
      </c>
      <c r="D4674" s="709" t="s">
        <v>136</v>
      </c>
      <c r="E4674" s="716">
        <v>30.74</v>
      </c>
      <c r="F4674" s="717">
        <v>0</v>
      </c>
      <c r="G4674">
        <f>VLOOKUP(B4674,'SINAPI-%MO'!B:E,4,0)</f>
        <v>0.52859999999999996</v>
      </c>
      <c r="H4674" s="225">
        <f t="shared" si="72"/>
        <v>14.49</v>
      </c>
    </row>
    <row r="4675" spans="1:8" x14ac:dyDescent="0.3">
      <c r="A4675" s="400"/>
      <c r="B4675" s="709">
        <v>105548</v>
      </c>
      <c r="C4675" s="710" t="s">
        <v>4162</v>
      </c>
      <c r="D4675" s="709" t="s">
        <v>159</v>
      </c>
      <c r="E4675" s="716">
        <v>0</v>
      </c>
      <c r="F4675" s="717"/>
      <c r="G4675" t="e">
        <f>VLOOKUP(B4675,'SINAPI-%MO'!B:E,4,0)</f>
        <v>#N/A</v>
      </c>
      <c r="H4675" s="225" t="str">
        <f t="shared" si="72"/>
        <v/>
      </c>
    </row>
    <row r="4676" spans="1:8" x14ac:dyDescent="0.3">
      <c r="A4676" s="400"/>
      <c r="B4676" s="709">
        <v>97595</v>
      </c>
      <c r="C4676" s="710" t="s">
        <v>4163</v>
      </c>
      <c r="D4676" s="709" t="s">
        <v>136</v>
      </c>
      <c r="E4676" s="716">
        <v>85.68</v>
      </c>
      <c r="F4676" s="717">
        <v>0.70199999999999996</v>
      </c>
      <c r="G4676">
        <f>VLOOKUP(B4676,'SINAPI-%MO'!B:E,4,0)</f>
        <v>0.29799999999999999</v>
      </c>
      <c r="H4676" s="225">
        <f t="shared" si="72"/>
        <v>60.14</v>
      </c>
    </row>
    <row r="4677" spans="1:8" x14ac:dyDescent="0.3">
      <c r="A4677" s="400"/>
      <c r="B4677" s="709">
        <v>97597</v>
      </c>
      <c r="C4677" s="710" t="s">
        <v>4164</v>
      </c>
      <c r="D4677" s="709" t="s">
        <v>136</v>
      </c>
      <c r="E4677" s="716">
        <v>60.59</v>
      </c>
      <c r="F4677" s="717">
        <v>0.69089999999999996</v>
      </c>
      <c r="G4677">
        <f>VLOOKUP(B4677,'SINAPI-%MO'!B:E,4,0)</f>
        <v>0.30909999999999999</v>
      </c>
      <c r="H4677" s="225">
        <f t="shared" si="72"/>
        <v>41.86</v>
      </c>
    </row>
    <row r="4678" spans="1:8" x14ac:dyDescent="0.3">
      <c r="A4678" s="400"/>
      <c r="B4678" s="709">
        <v>97596</v>
      </c>
      <c r="C4678" s="710" t="s">
        <v>4165</v>
      </c>
      <c r="D4678" s="709" t="s">
        <v>136</v>
      </c>
      <c r="E4678" s="716">
        <v>62.72</v>
      </c>
      <c r="F4678" s="717">
        <v>0.59299999999999997</v>
      </c>
      <c r="G4678">
        <f>VLOOKUP(B4678,'SINAPI-%MO'!B:E,4,0)</f>
        <v>0.40699999999999997</v>
      </c>
      <c r="H4678" s="225">
        <f t="shared" si="72"/>
        <v>37.19</v>
      </c>
    </row>
    <row r="4679" spans="1:8" x14ac:dyDescent="0.3">
      <c r="A4679" s="400"/>
      <c r="B4679" s="709">
        <v>97598</v>
      </c>
      <c r="C4679" s="710" t="s">
        <v>4166</v>
      </c>
      <c r="D4679" s="709" t="s">
        <v>136</v>
      </c>
      <c r="E4679" s="716">
        <v>57.66</v>
      </c>
      <c r="F4679" s="717">
        <v>0.67520000000000002</v>
      </c>
      <c r="G4679">
        <f>VLOOKUP(B4679,'SINAPI-%MO'!B:E,4,0)</f>
        <v>0.32479999999999998</v>
      </c>
      <c r="H4679" s="225">
        <f t="shared" si="72"/>
        <v>38.93</v>
      </c>
    </row>
    <row r="4680" spans="1:8" x14ac:dyDescent="0.3">
      <c r="A4680" s="400"/>
      <c r="B4680" s="709">
        <v>98549</v>
      </c>
      <c r="C4680" s="710" t="s">
        <v>4167</v>
      </c>
      <c r="D4680" s="709" t="s">
        <v>168</v>
      </c>
      <c r="E4680" s="716">
        <v>0</v>
      </c>
      <c r="F4680" s="717"/>
      <c r="G4680" t="e">
        <f>VLOOKUP(B4680,'SINAPI-%MO'!B:E,4,0)</f>
        <v>#N/A</v>
      </c>
      <c r="H4680" s="225" t="str">
        <f t="shared" si="72"/>
        <v/>
      </c>
    </row>
    <row r="4681" spans="1:8" x14ac:dyDescent="0.3">
      <c r="A4681" s="400"/>
      <c r="B4681" s="709">
        <v>98562</v>
      </c>
      <c r="C4681" s="710" t="s">
        <v>4168</v>
      </c>
      <c r="D4681" s="709" t="s">
        <v>168</v>
      </c>
      <c r="E4681" s="716">
        <v>56.27</v>
      </c>
      <c r="F4681" s="717">
        <v>0</v>
      </c>
      <c r="G4681">
        <f>VLOOKUP(B4681,'SINAPI-%MO'!B:E,4,0)</f>
        <v>0.7</v>
      </c>
      <c r="H4681" s="225">
        <f t="shared" si="72"/>
        <v>16.88</v>
      </c>
    </row>
    <row r="4682" spans="1:8" x14ac:dyDescent="0.3">
      <c r="A4682" s="400"/>
      <c r="B4682" s="709">
        <v>98555</v>
      </c>
      <c r="C4682" s="710" t="s">
        <v>4169</v>
      </c>
      <c r="D4682" s="709" t="s">
        <v>168</v>
      </c>
      <c r="E4682" s="716">
        <v>35.43</v>
      </c>
      <c r="F4682" s="717">
        <v>0</v>
      </c>
      <c r="G4682">
        <f>VLOOKUP(B4682,'SINAPI-%MO'!B:E,4,0)</f>
        <v>0.66220000000000001</v>
      </c>
      <c r="H4682" s="225">
        <f t="shared" si="72"/>
        <v>11.96</v>
      </c>
    </row>
    <row r="4683" spans="1:8" x14ac:dyDescent="0.3">
      <c r="A4683" s="400"/>
      <c r="B4683" s="709">
        <v>98556</v>
      </c>
      <c r="C4683" s="710" t="s">
        <v>13750</v>
      </c>
      <c r="D4683" s="709" t="s">
        <v>168</v>
      </c>
      <c r="E4683" s="716">
        <v>65.09</v>
      </c>
      <c r="F4683" s="717">
        <v>0</v>
      </c>
      <c r="G4683">
        <f>VLOOKUP(B4683,'SINAPI-%MO'!B:E,4,0)</f>
        <v>0.58960000000000001</v>
      </c>
      <c r="H4683" s="225">
        <f t="shared" ref="H4683:H4746" si="73">IF(E4683&gt;0,TRUNC(E4683*(1-G4683),2),"")</f>
        <v>26.71</v>
      </c>
    </row>
    <row r="4684" spans="1:8" x14ac:dyDescent="0.3">
      <c r="A4684" s="400"/>
      <c r="B4684" s="709">
        <v>98557</v>
      </c>
      <c r="C4684" s="710" t="s">
        <v>4170</v>
      </c>
      <c r="D4684" s="709" t="s">
        <v>168</v>
      </c>
      <c r="E4684" s="716">
        <v>47.36</v>
      </c>
      <c r="F4684" s="717">
        <v>0</v>
      </c>
      <c r="G4684">
        <f>VLOOKUP(B4684,'SINAPI-%MO'!B:E,4,0)</f>
        <v>0.35260000000000002</v>
      </c>
      <c r="H4684" s="225">
        <f t="shared" si="73"/>
        <v>30.66</v>
      </c>
    </row>
    <row r="4685" spans="1:8" x14ac:dyDescent="0.3">
      <c r="A4685" s="400"/>
      <c r="B4685" s="709">
        <v>98548</v>
      </c>
      <c r="C4685" s="710" t="s">
        <v>4171</v>
      </c>
      <c r="D4685" s="709" t="s">
        <v>168</v>
      </c>
      <c r="E4685" s="716">
        <v>0</v>
      </c>
      <c r="F4685" s="717"/>
      <c r="G4685" t="e">
        <f>VLOOKUP(B4685,'SINAPI-%MO'!B:E,4,0)</f>
        <v>#N/A</v>
      </c>
      <c r="H4685" s="225" t="str">
        <f t="shared" si="73"/>
        <v/>
      </c>
    </row>
    <row r="4686" spans="1:8" x14ac:dyDescent="0.3">
      <c r="A4686" s="400"/>
      <c r="B4686" s="709">
        <v>98547</v>
      </c>
      <c r="C4686" s="710" t="s">
        <v>4172</v>
      </c>
      <c r="D4686" s="709" t="s">
        <v>168</v>
      </c>
      <c r="E4686" s="716">
        <v>228.35</v>
      </c>
      <c r="F4686" s="717">
        <v>0</v>
      </c>
      <c r="G4686">
        <f>VLOOKUP(B4686,'SINAPI-%MO'!B:E,4,0)</f>
        <v>0.25259999999999999</v>
      </c>
      <c r="H4686" s="225">
        <f t="shared" si="73"/>
        <v>170.66</v>
      </c>
    </row>
    <row r="4687" spans="1:8" x14ac:dyDescent="0.3">
      <c r="A4687" s="400"/>
      <c r="B4687" s="709">
        <v>98546</v>
      </c>
      <c r="C4687" s="710" t="s">
        <v>4173</v>
      </c>
      <c r="D4687" s="709" t="s">
        <v>168</v>
      </c>
      <c r="E4687" s="716">
        <v>135.72999999999999</v>
      </c>
      <c r="F4687" s="717">
        <v>0</v>
      </c>
      <c r="G4687">
        <f>VLOOKUP(B4687,'SINAPI-%MO'!B:E,4,0)</f>
        <v>0.26690000000000003</v>
      </c>
      <c r="H4687" s="225">
        <f t="shared" si="73"/>
        <v>99.5</v>
      </c>
    </row>
    <row r="4688" spans="1:8" x14ac:dyDescent="0.3">
      <c r="A4688" s="400"/>
      <c r="B4688" s="709">
        <v>98552</v>
      </c>
      <c r="C4688" s="710" t="s">
        <v>4174</v>
      </c>
      <c r="D4688" s="709" t="s">
        <v>168</v>
      </c>
      <c r="E4688" s="716">
        <v>0</v>
      </c>
      <c r="F4688" s="717"/>
      <c r="G4688" t="e">
        <f>VLOOKUP(B4688,'SINAPI-%MO'!B:E,4,0)</f>
        <v>#N/A</v>
      </c>
      <c r="H4688" s="225" t="str">
        <f t="shared" si="73"/>
        <v/>
      </c>
    </row>
    <row r="4689" spans="1:8" x14ac:dyDescent="0.3">
      <c r="A4689" s="400"/>
      <c r="B4689" s="709">
        <v>98553</v>
      </c>
      <c r="C4689" s="710" t="s">
        <v>4175</v>
      </c>
      <c r="D4689" s="709" t="s">
        <v>168</v>
      </c>
      <c r="E4689" s="716">
        <v>184.72</v>
      </c>
      <c r="F4689" s="717">
        <v>0</v>
      </c>
      <c r="G4689">
        <f>VLOOKUP(B4689,'SINAPI-%MO'!B:E,4,0)</f>
        <v>0.1048</v>
      </c>
      <c r="H4689" s="225">
        <f t="shared" si="73"/>
        <v>165.36</v>
      </c>
    </row>
    <row r="4690" spans="1:8" x14ac:dyDescent="0.3">
      <c r="A4690" s="400"/>
      <c r="B4690" s="709">
        <v>98554</v>
      </c>
      <c r="C4690" s="710" t="s">
        <v>4176</v>
      </c>
      <c r="D4690" s="709" t="s">
        <v>168</v>
      </c>
      <c r="E4690" s="716">
        <v>51.37</v>
      </c>
      <c r="F4690" s="717">
        <v>0</v>
      </c>
      <c r="G4690">
        <f>VLOOKUP(B4690,'SINAPI-%MO'!B:E,4,0)</f>
        <v>0.43120000000000003</v>
      </c>
      <c r="H4690" s="225">
        <f t="shared" si="73"/>
        <v>29.21</v>
      </c>
    </row>
    <row r="4691" spans="1:8" x14ac:dyDescent="0.3">
      <c r="A4691" s="400"/>
      <c r="B4691" s="709">
        <v>98565</v>
      </c>
      <c r="C4691" s="710" t="s">
        <v>4177</v>
      </c>
      <c r="D4691" s="709" t="s">
        <v>168</v>
      </c>
      <c r="E4691" s="716">
        <v>62.55</v>
      </c>
      <c r="F4691" s="717">
        <v>0</v>
      </c>
      <c r="G4691">
        <f>VLOOKUP(B4691,'SINAPI-%MO'!B:E,4,0)</f>
        <v>0.59140000000000004</v>
      </c>
      <c r="H4691" s="225">
        <f t="shared" si="73"/>
        <v>25.55</v>
      </c>
    </row>
    <row r="4692" spans="1:8" x14ac:dyDescent="0.3">
      <c r="A4692" s="400"/>
      <c r="B4692" s="709">
        <v>98567</v>
      </c>
      <c r="C4692" s="710" t="s">
        <v>4178</v>
      </c>
      <c r="D4692" s="709" t="s">
        <v>168</v>
      </c>
      <c r="E4692" s="716">
        <v>80.2</v>
      </c>
      <c r="F4692" s="717">
        <v>0</v>
      </c>
      <c r="G4692">
        <f>VLOOKUP(B4692,'SINAPI-%MO'!B:E,4,0)</f>
        <v>0.60709999999999997</v>
      </c>
      <c r="H4692" s="225">
        <f t="shared" si="73"/>
        <v>31.51</v>
      </c>
    </row>
    <row r="4693" spans="1:8" x14ac:dyDescent="0.3">
      <c r="A4693" s="400"/>
      <c r="B4693" s="709">
        <v>98569</v>
      </c>
      <c r="C4693" s="710" t="s">
        <v>4179</v>
      </c>
      <c r="D4693" s="709" t="s">
        <v>168</v>
      </c>
      <c r="E4693" s="716">
        <v>98.84</v>
      </c>
      <c r="F4693" s="717">
        <v>0</v>
      </c>
      <c r="G4693">
        <f>VLOOKUP(B4693,'SINAPI-%MO'!B:E,4,0)</f>
        <v>0.61439999999999995</v>
      </c>
      <c r="H4693" s="225">
        <f t="shared" si="73"/>
        <v>38.11</v>
      </c>
    </row>
    <row r="4694" spans="1:8" x14ac:dyDescent="0.3">
      <c r="A4694" s="400"/>
      <c r="B4694" s="709">
        <v>98571</v>
      </c>
      <c r="C4694" s="710" t="s">
        <v>4180</v>
      </c>
      <c r="D4694" s="709" t="s">
        <v>168</v>
      </c>
      <c r="E4694" s="716">
        <v>53.62</v>
      </c>
      <c r="F4694" s="717">
        <v>0</v>
      </c>
      <c r="G4694">
        <f>VLOOKUP(B4694,'SINAPI-%MO'!B:E,4,0)</f>
        <v>0.45839999999999997</v>
      </c>
      <c r="H4694" s="225">
        <f t="shared" si="73"/>
        <v>29.04</v>
      </c>
    </row>
    <row r="4695" spans="1:8" x14ac:dyDescent="0.3">
      <c r="A4695" s="400"/>
      <c r="B4695" s="709">
        <v>98572</v>
      </c>
      <c r="C4695" s="710" t="s">
        <v>4181</v>
      </c>
      <c r="D4695" s="709" t="s">
        <v>168</v>
      </c>
      <c r="E4695" s="716">
        <v>65.8</v>
      </c>
      <c r="F4695" s="717">
        <v>0</v>
      </c>
      <c r="G4695">
        <f>VLOOKUP(B4695,'SINAPI-%MO'!B:E,4,0)</f>
        <v>0.46689999999999998</v>
      </c>
      <c r="H4695" s="225">
        <f t="shared" si="73"/>
        <v>35.07</v>
      </c>
    </row>
    <row r="4696" spans="1:8" x14ac:dyDescent="0.3">
      <c r="A4696" s="400"/>
      <c r="B4696" s="709">
        <v>98563</v>
      </c>
      <c r="C4696" s="710" t="s">
        <v>4182</v>
      </c>
      <c r="D4696" s="709" t="s">
        <v>168</v>
      </c>
      <c r="E4696" s="716">
        <v>43.91</v>
      </c>
      <c r="F4696" s="717">
        <v>0</v>
      </c>
      <c r="G4696">
        <f>VLOOKUP(B4696,'SINAPI-%MO'!B:E,4,0)</f>
        <v>0.56820000000000004</v>
      </c>
      <c r="H4696" s="225">
        <f t="shared" si="73"/>
        <v>18.96</v>
      </c>
    </row>
    <row r="4697" spans="1:8" x14ac:dyDescent="0.3">
      <c r="A4697" s="400"/>
      <c r="B4697" s="709">
        <v>98564</v>
      </c>
      <c r="C4697" s="710" t="s">
        <v>4183</v>
      </c>
      <c r="D4697" s="709" t="s">
        <v>168</v>
      </c>
      <c r="E4697" s="716">
        <v>59.04</v>
      </c>
      <c r="F4697" s="717">
        <v>0</v>
      </c>
      <c r="G4697">
        <f>VLOOKUP(B4697,'SINAPI-%MO'!B:E,4,0)</f>
        <v>0.46089999999999998</v>
      </c>
      <c r="H4697" s="225">
        <f t="shared" si="73"/>
        <v>31.82</v>
      </c>
    </row>
    <row r="4698" spans="1:8" x14ac:dyDescent="0.3">
      <c r="A4698" s="400"/>
      <c r="B4698" s="709">
        <v>98566</v>
      </c>
      <c r="C4698" s="710" t="s">
        <v>4184</v>
      </c>
      <c r="D4698" s="709" t="s">
        <v>168</v>
      </c>
      <c r="E4698" s="716">
        <v>77.680000000000007</v>
      </c>
      <c r="F4698" s="717">
        <v>0</v>
      </c>
      <c r="G4698">
        <f>VLOOKUP(B4698,'SINAPI-%MO'!B:E,4,0)</f>
        <v>0.50529999999999997</v>
      </c>
      <c r="H4698" s="225">
        <f t="shared" si="73"/>
        <v>38.42</v>
      </c>
    </row>
    <row r="4699" spans="1:8" x14ac:dyDescent="0.3">
      <c r="A4699" s="400"/>
      <c r="B4699" s="709">
        <v>98568</v>
      </c>
      <c r="C4699" s="710" t="s">
        <v>4185</v>
      </c>
      <c r="D4699" s="709" t="s">
        <v>168</v>
      </c>
      <c r="E4699" s="716">
        <v>95.33</v>
      </c>
      <c r="F4699" s="717">
        <v>0</v>
      </c>
      <c r="G4699">
        <f>VLOOKUP(B4699,'SINAPI-%MO'!B:E,4,0)</f>
        <v>0.53449999999999998</v>
      </c>
      <c r="H4699" s="225">
        <f t="shared" si="73"/>
        <v>44.37</v>
      </c>
    </row>
    <row r="4700" spans="1:8" x14ac:dyDescent="0.3">
      <c r="A4700" s="400"/>
      <c r="B4700" s="709">
        <v>98570</v>
      </c>
      <c r="C4700" s="710" t="s">
        <v>4186</v>
      </c>
      <c r="D4700" s="709" t="s">
        <v>168</v>
      </c>
      <c r="E4700" s="716">
        <v>113.97</v>
      </c>
      <c r="F4700" s="717">
        <v>0</v>
      </c>
      <c r="G4700">
        <f>VLOOKUP(B4700,'SINAPI-%MO'!B:E,4,0)</f>
        <v>0.55269999999999997</v>
      </c>
      <c r="H4700" s="225">
        <f t="shared" si="73"/>
        <v>50.97</v>
      </c>
    </row>
    <row r="4701" spans="1:8" x14ac:dyDescent="0.3">
      <c r="A4701" s="400"/>
      <c r="B4701" s="709">
        <v>98573</v>
      </c>
      <c r="C4701" s="710" t="s">
        <v>4187</v>
      </c>
      <c r="D4701" s="709" t="s">
        <v>168</v>
      </c>
      <c r="E4701" s="716">
        <v>80.3</v>
      </c>
      <c r="F4701" s="717">
        <v>0</v>
      </c>
      <c r="G4701">
        <f>VLOOKUP(B4701,'SINAPI-%MO'!B:E,4,0)</f>
        <v>0.40289999999999998</v>
      </c>
      <c r="H4701" s="225">
        <f t="shared" si="73"/>
        <v>47.94</v>
      </c>
    </row>
    <row r="4702" spans="1:8" x14ac:dyDescent="0.3">
      <c r="A4702" s="400"/>
      <c r="B4702" s="709">
        <v>98576</v>
      </c>
      <c r="C4702" s="710" t="s">
        <v>4188</v>
      </c>
      <c r="D4702" s="709" t="s">
        <v>159</v>
      </c>
      <c r="E4702" s="716">
        <v>25.55</v>
      </c>
      <c r="F4702" s="717">
        <v>0</v>
      </c>
      <c r="G4702">
        <f>VLOOKUP(B4702,'SINAPI-%MO'!B:E,4,0)</f>
        <v>4.3099999999999999E-2</v>
      </c>
      <c r="H4702" s="225">
        <f t="shared" si="73"/>
        <v>24.44</v>
      </c>
    </row>
    <row r="4703" spans="1:8" x14ac:dyDescent="0.3">
      <c r="A4703" s="400"/>
      <c r="B4703" s="709">
        <v>98575</v>
      </c>
      <c r="C4703" s="710" t="s">
        <v>4189</v>
      </c>
      <c r="D4703" s="709" t="s">
        <v>159</v>
      </c>
      <c r="E4703" s="716">
        <v>75.94</v>
      </c>
      <c r="F4703" s="717">
        <v>0</v>
      </c>
      <c r="G4703">
        <f>VLOOKUP(B4703,'SINAPI-%MO'!B:E,4,0)</f>
        <v>0.6351</v>
      </c>
      <c r="H4703" s="225">
        <f t="shared" si="73"/>
        <v>27.71</v>
      </c>
    </row>
    <row r="4704" spans="1:8" x14ac:dyDescent="0.3">
      <c r="A4704" s="400"/>
      <c r="B4704" s="709">
        <v>98577</v>
      </c>
      <c r="C4704" s="710" t="s">
        <v>260</v>
      </c>
      <c r="D4704" s="709" t="s">
        <v>159</v>
      </c>
      <c r="E4704" s="716">
        <v>52.03</v>
      </c>
      <c r="F4704" s="717">
        <v>0</v>
      </c>
      <c r="G4704">
        <f>VLOOKUP(B4704,'SINAPI-%MO'!B:E,4,0)</f>
        <v>0.81359999999999999</v>
      </c>
      <c r="H4704" s="225">
        <f t="shared" si="73"/>
        <v>9.69</v>
      </c>
    </row>
    <row r="4705" spans="1:8" x14ac:dyDescent="0.3">
      <c r="A4705" s="400"/>
      <c r="B4705" s="709">
        <v>98558</v>
      </c>
      <c r="C4705" s="710" t="s">
        <v>13751</v>
      </c>
      <c r="D4705" s="709" t="s">
        <v>136</v>
      </c>
      <c r="E4705" s="716">
        <v>10.67</v>
      </c>
      <c r="F4705" s="717">
        <v>0</v>
      </c>
      <c r="G4705">
        <f>VLOOKUP(B4705,'SINAPI-%MO'!B:E,4,0)</f>
        <v>0.49480000000000002</v>
      </c>
      <c r="H4705" s="225">
        <f t="shared" si="73"/>
        <v>5.39</v>
      </c>
    </row>
    <row r="4706" spans="1:8" x14ac:dyDescent="0.3">
      <c r="A4706" s="400"/>
      <c r="B4706" s="709">
        <v>106110</v>
      </c>
      <c r="C4706" s="710" t="s">
        <v>4190</v>
      </c>
      <c r="D4706" s="709" t="s">
        <v>136</v>
      </c>
      <c r="E4706" s="716">
        <v>0</v>
      </c>
      <c r="F4706" s="717"/>
      <c r="G4706" t="e">
        <f>VLOOKUP(B4706,'SINAPI-%MO'!B:E,4,0)</f>
        <v>#N/A</v>
      </c>
      <c r="H4706" s="225" t="str">
        <f t="shared" si="73"/>
        <v/>
      </c>
    </row>
    <row r="4707" spans="1:8" x14ac:dyDescent="0.3">
      <c r="A4707" s="400"/>
      <c r="B4707" s="709">
        <v>98551</v>
      </c>
      <c r="C4707" s="710" t="s">
        <v>4191</v>
      </c>
      <c r="D4707" s="709" t="s">
        <v>159</v>
      </c>
      <c r="E4707" s="716">
        <v>0</v>
      </c>
      <c r="F4707" s="717"/>
      <c r="G4707" t="e">
        <f>VLOOKUP(B4707,'SINAPI-%MO'!B:E,4,0)</f>
        <v>#N/A</v>
      </c>
      <c r="H4707" s="225" t="str">
        <f t="shared" si="73"/>
        <v/>
      </c>
    </row>
    <row r="4708" spans="1:8" x14ac:dyDescent="0.3">
      <c r="A4708" s="400"/>
      <c r="B4708" s="709">
        <v>98559</v>
      </c>
      <c r="C4708" s="710" t="s">
        <v>13752</v>
      </c>
      <c r="D4708" s="709" t="s">
        <v>159</v>
      </c>
      <c r="E4708" s="716">
        <v>5.55</v>
      </c>
      <c r="F4708" s="717">
        <v>0</v>
      </c>
      <c r="G4708">
        <f>VLOOKUP(B4708,'SINAPI-%MO'!B:E,4,0)</f>
        <v>0.41980000000000001</v>
      </c>
      <c r="H4708" s="225">
        <f t="shared" si="73"/>
        <v>3.22</v>
      </c>
    </row>
    <row r="4709" spans="1:8" x14ac:dyDescent="0.3">
      <c r="A4709" s="400"/>
      <c r="B4709" s="709">
        <v>91925</v>
      </c>
      <c r="C4709" s="710" t="s">
        <v>4192</v>
      </c>
      <c r="D4709" s="709" t="s">
        <v>159</v>
      </c>
      <c r="E4709" s="716">
        <v>4.16</v>
      </c>
      <c r="F4709" s="717">
        <v>0</v>
      </c>
      <c r="G4709">
        <f>VLOOKUP(B4709,'SINAPI-%MO'!B:E,4,0)</f>
        <v>0.32690000000000002</v>
      </c>
      <c r="H4709" s="225">
        <f t="shared" si="73"/>
        <v>2.8</v>
      </c>
    </row>
    <row r="4710" spans="1:8" x14ac:dyDescent="0.3">
      <c r="A4710" s="400"/>
      <c r="B4710" s="709">
        <v>91924</v>
      </c>
      <c r="C4710" s="710" t="s">
        <v>4193</v>
      </c>
      <c r="D4710" s="709" t="s">
        <v>159</v>
      </c>
      <c r="E4710" s="716">
        <v>3.45</v>
      </c>
      <c r="F4710" s="717">
        <v>0</v>
      </c>
      <c r="G4710">
        <f>VLOOKUP(B4710,'SINAPI-%MO'!B:E,4,0)</f>
        <v>0.39419999999999999</v>
      </c>
      <c r="H4710" s="225">
        <f t="shared" si="73"/>
        <v>2.09</v>
      </c>
    </row>
    <row r="4711" spans="1:8" x14ac:dyDescent="0.3">
      <c r="A4711" s="400"/>
      <c r="B4711" s="709">
        <v>91933</v>
      </c>
      <c r="C4711" s="710" t="s">
        <v>4194</v>
      </c>
      <c r="D4711" s="709" t="s">
        <v>159</v>
      </c>
      <c r="E4711" s="716">
        <v>18.62</v>
      </c>
      <c r="F4711" s="717">
        <v>0</v>
      </c>
      <c r="G4711">
        <f>VLOOKUP(B4711,'SINAPI-%MO'!B:E,4,0)</f>
        <v>0.24329999999999999</v>
      </c>
      <c r="H4711" s="225">
        <f t="shared" si="73"/>
        <v>14.08</v>
      </c>
    </row>
    <row r="4712" spans="1:8" x14ac:dyDescent="0.3">
      <c r="A4712" s="400"/>
      <c r="B4712" s="709">
        <v>91932</v>
      </c>
      <c r="C4712" s="710" t="s">
        <v>4195</v>
      </c>
      <c r="D4712" s="709" t="s">
        <v>159</v>
      </c>
      <c r="E4712" s="716">
        <v>19.309999999999999</v>
      </c>
      <c r="F4712" s="717">
        <v>0</v>
      </c>
      <c r="G4712">
        <f>VLOOKUP(B4712,'SINAPI-%MO'!B:E,4,0)</f>
        <v>0.2346</v>
      </c>
      <c r="H4712" s="225">
        <f t="shared" si="73"/>
        <v>14.77</v>
      </c>
    </row>
    <row r="4713" spans="1:8" x14ac:dyDescent="0.3">
      <c r="A4713" s="400"/>
      <c r="B4713" s="709">
        <v>91935</v>
      </c>
      <c r="C4713" s="710" t="s">
        <v>4196</v>
      </c>
      <c r="D4713" s="709" t="s">
        <v>159</v>
      </c>
      <c r="E4713" s="716">
        <v>29.21</v>
      </c>
      <c r="F4713" s="717">
        <v>0</v>
      </c>
      <c r="G4713">
        <f>VLOOKUP(B4713,'SINAPI-%MO'!B:E,4,0)</f>
        <v>0.23280000000000001</v>
      </c>
      <c r="H4713" s="225">
        <f t="shared" si="73"/>
        <v>22.4</v>
      </c>
    </row>
    <row r="4714" spans="1:8" x14ac:dyDescent="0.3">
      <c r="A4714" s="400"/>
      <c r="B4714" s="709">
        <v>91934</v>
      </c>
      <c r="C4714" s="710" t="s">
        <v>4197</v>
      </c>
      <c r="D4714" s="709" t="s">
        <v>159</v>
      </c>
      <c r="E4714" s="716">
        <v>27.89</v>
      </c>
      <c r="F4714" s="717">
        <v>0</v>
      </c>
      <c r="G4714">
        <f>VLOOKUP(B4714,'SINAPI-%MO'!B:E,4,0)</f>
        <v>0.24379999999999999</v>
      </c>
      <c r="H4714" s="225">
        <f t="shared" si="73"/>
        <v>21.09</v>
      </c>
    </row>
    <row r="4715" spans="1:8" x14ac:dyDescent="0.3">
      <c r="A4715" s="400"/>
      <c r="B4715" s="709">
        <v>91927</v>
      </c>
      <c r="C4715" s="710" t="s">
        <v>4198</v>
      </c>
      <c r="D4715" s="709" t="s">
        <v>159</v>
      </c>
      <c r="E4715" s="716">
        <v>5.62</v>
      </c>
      <c r="F4715" s="717">
        <v>0</v>
      </c>
      <c r="G4715">
        <f>VLOOKUP(B4715,'SINAPI-%MO'!B:E,4,0)</f>
        <v>0.30599999999999999</v>
      </c>
      <c r="H4715" s="225">
        <f t="shared" si="73"/>
        <v>3.9</v>
      </c>
    </row>
    <row r="4716" spans="1:8" x14ac:dyDescent="0.3">
      <c r="A4716" s="400"/>
      <c r="B4716" s="709">
        <v>91926</v>
      </c>
      <c r="C4716" s="710" t="s">
        <v>4199</v>
      </c>
      <c r="D4716" s="709" t="s">
        <v>159</v>
      </c>
      <c r="E4716" s="716">
        <v>5.01</v>
      </c>
      <c r="F4716" s="717">
        <v>0</v>
      </c>
      <c r="G4716">
        <f>VLOOKUP(B4716,'SINAPI-%MO'!B:E,4,0)</f>
        <v>0.34329999999999999</v>
      </c>
      <c r="H4716" s="225">
        <f t="shared" si="73"/>
        <v>3.29</v>
      </c>
    </row>
    <row r="4717" spans="1:8" x14ac:dyDescent="0.3">
      <c r="A4717" s="400"/>
      <c r="B4717" s="709">
        <v>91929</v>
      </c>
      <c r="C4717" s="710" t="s">
        <v>4200</v>
      </c>
      <c r="D4717" s="709" t="s">
        <v>159</v>
      </c>
      <c r="E4717" s="716">
        <v>8.27</v>
      </c>
      <c r="F4717" s="717">
        <v>0</v>
      </c>
      <c r="G4717">
        <f>VLOOKUP(B4717,'SINAPI-%MO'!B:E,4,0)</f>
        <v>0.28050000000000003</v>
      </c>
      <c r="H4717" s="225">
        <f t="shared" si="73"/>
        <v>5.95</v>
      </c>
    </row>
    <row r="4718" spans="1:8" x14ac:dyDescent="0.3">
      <c r="A4718" s="400"/>
      <c r="B4718" s="709">
        <v>91928</v>
      </c>
      <c r="C4718" s="710" t="s">
        <v>4201</v>
      </c>
      <c r="D4718" s="709" t="s">
        <v>159</v>
      </c>
      <c r="E4718" s="716">
        <v>7.73</v>
      </c>
      <c r="F4718" s="717">
        <v>0</v>
      </c>
      <c r="G4718">
        <f>VLOOKUP(B4718,'SINAPI-%MO'!B:E,4,0)</f>
        <v>0.30009999999999998</v>
      </c>
      <c r="H4718" s="225">
        <f t="shared" si="73"/>
        <v>5.41</v>
      </c>
    </row>
    <row r="4719" spans="1:8" x14ac:dyDescent="0.3">
      <c r="A4719" s="400"/>
      <c r="B4719" s="709">
        <v>91931</v>
      </c>
      <c r="C4719" s="710" t="s">
        <v>4202</v>
      </c>
      <c r="D4719" s="709" t="s">
        <v>159</v>
      </c>
      <c r="E4719" s="716">
        <v>11.66</v>
      </c>
      <c r="F4719" s="717">
        <v>0</v>
      </c>
      <c r="G4719">
        <f>VLOOKUP(B4719,'SINAPI-%MO'!B:E,4,0)</f>
        <v>0.26069999999999999</v>
      </c>
      <c r="H4719" s="225">
        <f t="shared" si="73"/>
        <v>8.6199999999999992</v>
      </c>
    </row>
    <row r="4720" spans="1:8" x14ac:dyDescent="0.3">
      <c r="A4720" s="400"/>
      <c r="B4720" s="709">
        <v>91930</v>
      </c>
      <c r="C4720" s="710" t="s">
        <v>4203</v>
      </c>
      <c r="D4720" s="709" t="s">
        <v>159</v>
      </c>
      <c r="E4720" s="716">
        <v>10.79</v>
      </c>
      <c r="F4720" s="717">
        <v>0</v>
      </c>
      <c r="G4720">
        <f>VLOOKUP(B4720,'SINAPI-%MO'!B:E,4,0)</f>
        <v>0.28170000000000001</v>
      </c>
      <c r="H4720" s="225">
        <f t="shared" si="73"/>
        <v>7.75</v>
      </c>
    </row>
    <row r="4721" spans="1:8" x14ac:dyDescent="0.3">
      <c r="A4721" s="400"/>
      <c r="B4721" s="709">
        <v>104620</v>
      </c>
      <c r="C4721" s="710" t="s">
        <v>4204</v>
      </c>
      <c r="D4721" s="709" t="s">
        <v>136</v>
      </c>
      <c r="E4721" s="716">
        <v>0</v>
      </c>
      <c r="F4721" s="717"/>
      <c r="G4721" t="e">
        <f>VLOOKUP(B4721,'SINAPI-%MO'!B:E,4,0)</f>
        <v>#N/A</v>
      </c>
      <c r="H4721" s="225" t="str">
        <f t="shared" si="73"/>
        <v/>
      </c>
    </row>
    <row r="4722" spans="1:8" x14ac:dyDescent="0.3">
      <c r="A4722" s="400"/>
      <c r="B4722" s="709">
        <v>104624</v>
      </c>
      <c r="C4722" s="710" t="s">
        <v>4205</v>
      </c>
      <c r="D4722" s="709" t="s">
        <v>136</v>
      </c>
      <c r="E4722" s="716">
        <v>0</v>
      </c>
      <c r="F4722" s="717"/>
      <c r="G4722" t="e">
        <f>VLOOKUP(B4722,'SINAPI-%MO'!B:E,4,0)</f>
        <v>#N/A</v>
      </c>
      <c r="H4722" s="225" t="str">
        <f t="shared" si="73"/>
        <v/>
      </c>
    </row>
    <row r="4723" spans="1:8" x14ac:dyDescent="0.3">
      <c r="A4723" s="400"/>
      <c r="B4723" s="709">
        <v>104622</v>
      </c>
      <c r="C4723" s="710" t="s">
        <v>4206</v>
      </c>
      <c r="D4723" s="709" t="s">
        <v>136</v>
      </c>
      <c r="E4723" s="716">
        <v>0</v>
      </c>
      <c r="F4723" s="717"/>
      <c r="G4723" t="e">
        <f>VLOOKUP(B4723,'SINAPI-%MO'!B:E,4,0)</f>
        <v>#N/A</v>
      </c>
      <c r="H4723" s="225" t="str">
        <f t="shared" si="73"/>
        <v/>
      </c>
    </row>
    <row r="4724" spans="1:8" x14ac:dyDescent="0.3">
      <c r="A4724" s="400"/>
      <c r="B4724" s="709">
        <v>104621</v>
      </c>
      <c r="C4724" s="710" t="s">
        <v>4207</v>
      </c>
      <c r="D4724" s="709" t="s">
        <v>136</v>
      </c>
      <c r="E4724" s="716">
        <v>0</v>
      </c>
      <c r="F4724" s="717"/>
      <c r="G4724" t="e">
        <f>VLOOKUP(B4724,'SINAPI-%MO'!B:E,4,0)</f>
        <v>#N/A</v>
      </c>
      <c r="H4724" s="225" t="str">
        <f t="shared" si="73"/>
        <v/>
      </c>
    </row>
    <row r="4725" spans="1:8" x14ac:dyDescent="0.3">
      <c r="A4725" s="400"/>
      <c r="B4725" s="709">
        <v>104625</v>
      </c>
      <c r="C4725" s="710" t="s">
        <v>4208</v>
      </c>
      <c r="D4725" s="709" t="s">
        <v>136</v>
      </c>
      <c r="E4725" s="716">
        <v>0</v>
      </c>
      <c r="F4725" s="717"/>
      <c r="G4725" t="e">
        <f>VLOOKUP(B4725,'SINAPI-%MO'!B:E,4,0)</f>
        <v>#N/A</v>
      </c>
      <c r="H4725" s="225" t="str">
        <f t="shared" si="73"/>
        <v/>
      </c>
    </row>
    <row r="4726" spans="1:8" x14ac:dyDescent="0.3">
      <c r="A4726" s="400"/>
      <c r="B4726" s="709">
        <v>104623</v>
      </c>
      <c r="C4726" s="710" t="s">
        <v>4209</v>
      </c>
      <c r="D4726" s="709" t="s">
        <v>136</v>
      </c>
      <c r="E4726" s="716">
        <v>0</v>
      </c>
      <c r="F4726" s="717"/>
      <c r="G4726" t="e">
        <f>VLOOKUP(B4726,'SINAPI-%MO'!B:E,4,0)</f>
        <v>#N/A</v>
      </c>
      <c r="H4726" s="225" t="str">
        <f t="shared" si="73"/>
        <v/>
      </c>
    </row>
    <row r="4727" spans="1:8" x14ac:dyDescent="0.3">
      <c r="A4727" s="400"/>
      <c r="B4727" s="709">
        <v>91937</v>
      </c>
      <c r="C4727" s="710" t="s">
        <v>4210</v>
      </c>
      <c r="D4727" s="709" t="s">
        <v>136</v>
      </c>
      <c r="E4727" s="716">
        <v>18.72</v>
      </c>
      <c r="F4727" s="717">
        <v>0</v>
      </c>
      <c r="G4727">
        <f>VLOOKUP(B4727,'SINAPI-%MO'!B:E,4,0)</f>
        <v>0.70830000000000004</v>
      </c>
      <c r="H4727" s="225">
        <f t="shared" si="73"/>
        <v>5.46</v>
      </c>
    </row>
    <row r="4728" spans="1:8" x14ac:dyDescent="0.3">
      <c r="A4728" s="400"/>
      <c r="B4728" s="709">
        <v>92865</v>
      </c>
      <c r="C4728" s="710" t="s">
        <v>4211</v>
      </c>
      <c r="D4728" s="709" t="s">
        <v>136</v>
      </c>
      <c r="E4728" s="716">
        <v>16.43</v>
      </c>
      <c r="F4728" s="717">
        <v>0</v>
      </c>
      <c r="G4728">
        <f>VLOOKUP(B4728,'SINAPI-%MO'!B:E,4,0)</f>
        <v>0.80710000000000004</v>
      </c>
      <c r="H4728" s="225">
        <f t="shared" si="73"/>
        <v>3.16</v>
      </c>
    </row>
    <row r="4729" spans="1:8" x14ac:dyDescent="0.3">
      <c r="A4729" s="400"/>
      <c r="B4729" s="709">
        <v>91936</v>
      </c>
      <c r="C4729" s="710" t="s">
        <v>4212</v>
      </c>
      <c r="D4729" s="709" t="s">
        <v>136</v>
      </c>
      <c r="E4729" s="716">
        <v>21.15</v>
      </c>
      <c r="F4729" s="717">
        <v>0</v>
      </c>
      <c r="G4729">
        <f>VLOOKUP(B4729,'SINAPI-%MO'!B:E,4,0)</f>
        <v>0.627</v>
      </c>
      <c r="H4729" s="225">
        <f t="shared" si="73"/>
        <v>7.88</v>
      </c>
    </row>
    <row r="4730" spans="1:8" x14ac:dyDescent="0.3">
      <c r="A4730" s="400"/>
      <c r="B4730" s="709">
        <v>92867</v>
      </c>
      <c r="C4730" s="710" t="s">
        <v>4213</v>
      </c>
      <c r="D4730" s="709" t="s">
        <v>136</v>
      </c>
      <c r="E4730" s="716">
        <v>35.130000000000003</v>
      </c>
      <c r="F4730" s="717">
        <v>0</v>
      </c>
      <c r="G4730">
        <f>VLOOKUP(B4730,'SINAPI-%MO'!B:E,4,0)</f>
        <v>0.94310000000000005</v>
      </c>
      <c r="H4730" s="225">
        <f t="shared" si="73"/>
        <v>1.99</v>
      </c>
    </row>
    <row r="4731" spans="1:8" x14ac:dyDescent="0.3">
      <c r="A4731" s="400"/>
      <c r="B4731" s="709">
        <v>91939</v>
      </c>
      <c r="C4731" s="710" t="s">
        <v>4214</v>
      </c>
      <c r="D4731" s="709" t="s">
        <v>136</v>
      </c>
      <c r="E4731" s="716">
        <v>36.68</v>
      </c>
      <c r="F4731" s="717">
        <v>0</v>
      </c>
      <c r="G4731">
        <f>VLOOKUP(B4731,'SINAPI-%MO'!B:E,4,0)</f>
        <v>0.9032</v>
      </c>
      <c r="H4731" s="225">
        <f t="shared" si="73"/>
        <v>3.55</v>
      </c>
    </row>
    <row r="4732" spans="1:8" x14ac:dyDescent="0.3">
      <c r="A4732" s="400"/>
      <c r="B4732" s="709">
        <v>92869</v>
      </c>
      <c r="C4732" s="710" t="s">
        <v>4215</v>
      </c>
      <c r="D4732" s="709" t="s">
        <v>136</v>
      </c>
      <c r="E4732" s="716">
        <v>12.07</v>
      </c>
      <c r="F4732" s="717">
        <v>0</v>
      </c>
      <c r="G4732">
        <f>VLOOKUP(B4732,'SINAPI-%MO'!B:E,4,0)</f>
        <v>0.83430000000000004</v>
      </c>
      <c r="H4732" s="225">
        <f t="shared" si="73"/>
        <v>1.99</v>
      </c>
    </row>
    <row r="4733" spans="1:8" x14ac:dyDescent="0.3">
      <c r="A4733" s="400"/>
      <c r="B4733" s="709">
        <v>91941</v>
      </c>
      <c r="C4733" s="710" t="s">
        <v>4216</v>
      </c>
      <c r="D4733" s="709" t="s">
        <v>136</v>
      </c>
      <c r="E4733" s="716">
        <v>13.62</v>
      </c>
      <c r="F4733" s="717">
        <v>0</v>
      </c>
      <c r="G4733">
        <f>VLOOKUP(B4733,'SINAPI-%MO'!B:E,4,0)</f>
        <v>0.73939999999999995</v>
      </c>
      <c r="H4733" s="225">
        <f t="shared" si="73"/>
        <v>3.54</v>
      </c>
    </row>
    <row r="4734" spans="1:8" x14ac:dyDescent="0.3">
      <c r="A4734" s="400"/>
      <c r="B4734" s="709">
        <v>92868</v>
      </c>
      <c r="C4734" s="710" t="s">
        <v>4217</v>
      </c>
      <c r="D4734" s="709" t="s">
        <v>136</v>
      </c>
      <c r="E4734" s="716">
        <v>19.649999999999999</v>
      </c>
      <c r="F4734" s="717">
        <v>0</v>
      </c>
      <c r="G4734">
        <f>VLOOKUP(B4734,'SINAPI-%MO'!B:E,4,0)</f>
        <v>0.8982</v>
      </c>
      <c r="H4734" s="225">
        <f t="shared" si="73"/>
        <v>2</v>
      </c>
    </row>
    <row r="4735" spans="1:8" x14ac:dyDescent="0.3">
      <c r="A4735" s="400"/>
      <c r="B4735" s="709">
        <v>91940</v>
      </c>
      <c r="C4735" s="710" t="s">
        <v>4218</v>
      </c>
      <c r="D4735" s="709" t="s">
        <v>136</v>
      </c>
      <c r="E4735" s="716">
        <v>21.2</v>
      </c>
      <c r="F4735" s="717">
        <v>0</v>
      </c>
      <c r="G4735">
        <f>VLOOKUP(B4735,'SINAPI-%MO'!B:E,4,0)</f>
        <v>0.83250000000000002</v>
      </c>
      <c r="H4735" s="225">
        <f t="shared" si="73"/>
        <v>3.55</v>
      </c>
    </row>
    <row r="4736" spans="1:8" x14ac:dyDescent="0.3">
      <c r="A4736" s="400"/>
      <c r="B4736" s="709">
        <v>92870</v>
      </c>
      <c r="C4736" s="710" t="s">
        <v>4219</v>
      </c>
      <c r="D4736" s="709" t="s">
        <v>136</v>
      </c>
      <c r="E4736" s="716">
        <v>38.19</v>
      </c>
      <c r="F4736" s="717">
        <v>0</v>
      </c>
      <c r="G4736">
        <f>VLOOKUP(B4736,'SINAPI-%MO'!B:E,4,0)</f>
        <v>0.89970000000000006</v>
      </c>
      <c r="H4736" s="225">
        <f t="shared" si="73"/>
        <v>3.83</v>
      </c>
    </row>
    <row r="4737" spans="1:8" x14ac:dyDescent="0.3">
      <c r="A4737" s="400"/>
      <c r="B4737" s="709">
        <v>91942</v>
      </c>
      <c r="C4737" s="710" t="s">
        <v>4220</v>
      </c>
      <c r="D4737" s="709" t="s">
        <v>136</v>
      </c>
      <c r="E4737" s="716">
        <v>41.08</v>
      </c>
      <c r="F4737" s="717">
        <v>0</v>
      </c>
      <c r="G4737">
        <f>VLOOKUP(B4737,'SINAPI-%MO'!B:E,4,0)</f>
        <v>0.83640000000000003</v>
      </c>
      <c r="H4737" s="225">
        <f t="shared" si="73"/>
        <v>6.72</v>
      </c>
    </row>
    <row r="4738" spans="1:8" x14ac:dyDescent="0.3">
      <c r="A4738" s="400"/>
      <c r="B4738" s="709">
        <v>92872</v>
      </c>
      <c r="C4738" s="710" t="s">
        <v>4221</v>
      </c>
      <c r="D4738" s="709" t="s">
        <v>136</v>
      </c>
      <c r="E4738" s="716">
        <v>14.29</v>
      </c>
      <c r="F4738" s="717">
        <v>0</v>
      </c>
      <c r="G4738">
        <f>VLOOKUP(B4738,'SINAPI-%MO'!B:E,4,0)</f>
        <v>0.73199999999999998</v>
      </c>
      <c r="H4738" s="225">
        <f t="shared" si="73"/>
        <v>3.82</v>
      </c>
    </row>
    <row r="4739" spans="1:8" x14ac:dyDescent="0.3">
      <c r="A4739" s="400"/>
      <c r="B4739" s="709">
        <v>91944</v>
      </c>
      <c r="C4739" s="710" t="s">
        <v>4222</v>
      </c>
      <c r="D4739" s="709" t="s">
        <v>136</v>
      </c>
      <c r="E4739" s="716">
        <v>17.18</v>
      </c>
      <c r="F4739" s="717">
        <v>0</v>
      </c>
      <c r="G4739">
        <f>VLOOKUP(B4739,'SINAPI-%MO'!B:E,4,0)</f>
        <v>0.60880000000000001</v>
      </c>
      <c r="H4739" s="225">
        <f t="shared" si="73"/>
        <v>6.72</v>
      </c>
    </row>
    <row r="4740" spans="1:8" x14ac:dyDescent="0.3">
      <c r="A4740" s="400"/>
      <c r="B4740" s="709">
        <v>92871</v>
      </c>
      <c r="C4740" s="710" t="s">
        <v>4223</v>
      </c>
      <c r="D4740" s="709" t="s">
        <v>136</v>
      </c>
      <c r="E4740" s="716">
        <v>22.18</v>
      </c>
      <c r="F4740" s="717">
        <v>0</v>
      </c>
      <c r="G4740">
        <f>VLOOKUP(B4740,'SINAPI-%MO'!B:E,4,0)</f>
        <v>0.82730000000000004</v>
      </c>
      <c r="H4740" s="225">
        <f t="shared" si="73"/>
        <v>3.83</v>
      </c>
    </row>
    <row r="4741" spans="1:8" x14ac:dyDescent="0.3">
      <c r="A4741" s="400"/>
      <c r="B4741" s="709">
        <v>91943</v>
      </c>
      <c r="C4741" s="710" t="s">
        <v>4224</v>
      </c>
      <c r="D4741" s="709" t="s">
        <v>136</v>
      </c>
      <c r="E4741" s="716">
        <v>25.07</v>
      </c>
      <c r="F4741" s="717">
        <v>0</v>
      </c>
      <c r="G4741">
        <f>VLOOKUP(B4741,'SINAPI-%MO'!B:E,4,0)</f>
        <v>0.73199999999999998</v>
      </c>
      <c r="H4741" s="225">
        <f t="shared" si="73"/>
        <v>6.71</v>
      </c>
    </row>
    <row r="4742" spans="1:8" x14ac:dyDescent="0.3">
      <c r="A4742" s="400"/>
      <c r="B4742" s="709">
        <v>92866</v>
      </c>
      <c r="C4742" s="710" t="s">
        <v>4225</v>
      </c>
      <c r="D4742" s="709" t="s">
        <v>136</v>
      </c>
      <c r="E4742" s="716">
        <v>14.71</v>
      </c>
      <c r="F4742" s="717">
        <v>0</v>
      </c>
      <c r="G4742">
        <f>VLOOKUP(B4742,'SINAPI-%MO'!B:E,4,0)</f>
        <v>0.90139999999999998</v>
      </c>
      <c r="H4742" s="225">
        <f t="shared" si="73"/>
        <v>1.45</v>
      </c>
    </row>
    <row r="4743" spans="1:8" x14ac:dyDescent="0.3">
      <c r="A4743" s="400"/>
      <c r="B4743" s="709">
        <v>91987</v>
      </c>
      <c r="C4743" s="710" t="s">
        <v>4226</v>
      </c>
      <c r="D4743" s="709" t="s">
        <v>136</v>
      </c>
      <c r="E4743" s="716">
        <v>54.91</v>
      </c>
      <c r="F4743" s="717">
        <v>0</v>
      </c>
      <c r="G4743">
        <f>VLOOKUP(B4743,'SINAPI-%MO'!B:E,4,0)</f>
        <v>0.53159999999999996</v>
      </c>
      <c r="H4743" s="225">
        <f t="shared" si="73"/>
        <v>25.71</v>
      </c>
    </row>
    <row r="4744" spans="1:8" x14ac:dyDescent="0.3">
      <c r="A4744" s="400"/>
      <c r="B4744" s="709">
        <v>91986</v>
      </c>
      <c r="C4744" s="710" t="s">
        <v>4227</v>
      </c>
      <c r="D4744" s="709" t="s">
        <v>136</v>
      </c>
      <c r="E4744" s="716">
        <v>42.29</v>
      </c>
      <c r="F4744" s="717">
        <v>0</v>
      </c>
      <c r="G4744">
        <f>VLOOKUP(B4744,'SINAPI-%MO'!B:E,4,0)</f>
        <v>0.50960000000000005</v>
      </c>
      <c r="H4744" s="225">
        <f t="shared" si="73"/>
        <v>20.73</v>
      </c>
    </row>
    <row r="4745" spans="1:8" x14ac:dyDescent="0.3">
      <c r="A4745" s="400"/>
      <c r="B4745" s="709">
        <v>97559</v>
      </c>
      <c r="C4745" s="710" t="s">
        <v>4228</v>
      </c>
      <c r="D4745" s="709" t="s">
        <v>136</v>
      </c>
      <c r="E4745" s="716">
        <v>15.54</v>
      </c>
      <c r="F4745" s="717">
        <v>0</v>
      </c>
      <c r="G4745">
        <f>VLOOKUP(B4745,'SINAPI-%MO'!B:E,4,0)</f>
        <v>0.79090000000000005</v>
      </c>
      <c r="H4745" s="225">
        <f t="shared" si="73"/>
        <v>3.24</v>
      </c>
    </row>
    <row r="4746" spans="1:8" x14ac:dyDescent="0.3">
      <c r="A4746" s="400"/>
      <c r="B4746" s="709">
        <v>97562</v>
      </c>
      <c r="C4746" s="710" t="s">
        <v>4229</v>
      </c>
      <c r="D4746" s="709" t="s">
        <v>136</v>
      </c>
      <c r="E4746" s="716">
        <v>12.92</v>
      </c>
      <c r="F4746" s="717">
        <v>0</v>
      </c>
      <c r="G4746">
        <f>VLOOKUP(B4746,'SINAPI-%MO'!B:E,4,0)</f>
        <v>0.74850000000000005</v>
      </c>
      <c r="H4746" s="225">
        <f t="shared" si="73"/>
        <v>3.24</v>
      </c>
    </row>
    <row r="4747" spans="1:8" x14ac:dyDescent="0.3">
      <c r="A4747" s="400"/>
      <c r="B4747" s="709">
        <v>97564</v>
      </c>
      <c r="C4747" s="710" t="s">
        <v>4230</v>
      </c>
      <c r="D4747" s="709" t="s">
        <v>136</v>
      </c>
      <c r="E4747" s="716">
        <v>20.86</v>
      </c>
      <c r="F4747" s="717">
        <v>0</v>
      </c>
      <c r="G4747">
        <f>VLOOKUP(B4747,'SINAPI-%MO'!B:E,4,0)</f>
        <v>0.84419999999999995</v>
      </c>
      <c r="H4747" s="225">
        <f t="shared" ref="H4747:H4810" si="74">IF(E4747&gt;0,TRUNC(E4747*(1-G4747),2),"")</f>
        <v>3.24</v>
      </c>
    </row>
    <row r="4748" spans="1:8" x14ac:dyDescent="0.3">
      <c r="A4748" s="400"/>
      <c r="B4748" s="709">
        <v>91889</v>
      </c>
      <c r="C4748" s="710" t="s">
        <v>4231</v>
      </c>
      <c r="D4748" s="709" t="s">
        <v>136</v>
      </c>
      <c r="E4748" s="716">
        <v>13.98</v>
      </c>
      <c r="F4748" s="717">
        <v>0</v>
      </c>
      <c r="G4748">
        <f>VLOOKUP(B4748,'SINAPI-%MO'!B:E,4,0)</f>
        <v>0.77749999999999997</v>
      </c>
      <c r="H4748" s="225">
        <f t="shared" si="74"/>
        <v>3.11</v>
      </c>
    </row>
    <row r="4749" spans="1:8" x14ac:dyDescent="0.3">
      <c r="A4749" s="400"/>
      <c r="B4749" s="709">
        <v>91901</v>
      </c>
      <c r="C4749" s="710" t="s">
        <v>4232</v>
      </c>
      <c r="D4749" s="709" t="s">
        <v>136</v>
      </c>
      <c r="E4749" s="716">
        <v>11.34</v>
      </c>
      <c r="F4749" s="717">
        <v>0</v>
      </c>
      <c r="G4749">
        <f>VLOOKUP(B4749,'SINAPI-%MO'!B:E,4,0)</f>
        <v>0.72570000000000001</v>
      </c>
      <c r="H4749" s="225">
        <f t="shared" si="74"/>
        <v>3.11</v>
      </c>
    </row>
    <row r="4750" spans="1:8" x14ac:dyDescent="0.3">
      <c r="A4750" s="400"/>
      <c r="B4750" s="709">
        <v>91913</v>
      </c>
      <c r="C4750" s="710" t="s">
        <v>4233</v>
      </c>
      <c r="D4750" s="709" t="s">
        <v>136</v>
      </c>
      <c r="E4750" s="716">
        <v>19.350000000000001</v>
      </c>
      <c r="F4750" s="717">
        <v>0</v>
      </c>
      <c r="G4750">
        <f>VLOOKUP(B4750,'SINAPI-%MO'!B:E,4,0)</f>
        <v>0.83930000000000005</v>
      </c>
      <c r="H4750" s="225">
        <f t="shared" si="74"/>
        <v>3.1</v>
      </c>
    </row>
    <row r="4751" spans="1:8" x14ac:dyDescent="0.3">
      <c r="A4751" s="400"/>
      <c r="B4751" s="709">
        <v>91892</v>
      </c>
      <c r="C4751" s="710" t="s">
        <v>4234</v>
      </c>
      <c r="D4751" s="709" t="s">
        <v>136</v>
      </c>
      <c r="E4751" s="716">
        <v>18.350000000000001</v>
      </c>
      <c r="F4751" s="717">
        <v>0</v>
      </c>
      <c r="G4751">
        <f>VLOOKUP(B4751,'SINAPI-%MO'!B:E,4,0)</f>
        <v>0.66979999999999995</v>
      </c>
      <c r="H4751" s="225">
        <f t="shared" si="74"/>
        <v>6.05</v>
      </c>
    </row>
    <row r="4752" spans="1:8" x14ac:dyDescent="0.3">
      <c r="A4752" s="400"/>
      <c r="B4752" s="709">
        <v>91904</v>
      </c>
      <c r="C4752" s="710" t="s">
        <v>4235</v>
      </c>
      <c r="D4752" s="709" t="s">
        <v>136</v>
      </c>
      <c r="E4752" s="716">
        <v>15.73</v>
      </c>
      <c r="F4752" s="717">
        <v>0</v>
      </c>
      <c r="G4752">
        <f>VLOOKUP(B4752,'SINAPI-%MO'!B:E,4,0)</f>
        <v>0.61470000000000002</v>
      </c>
      <c r="H4752" s="225">
        <f t="shared" si="74"/>
        <v>6.06</v>
      </c>
    </row>
    <row r="4753" spans="1:8" x14ac:dyDescent="0.3">
      <c r="A4753" s="400"/>
      <c r="B4753" s="709">
        <v>91916</v>
      </c>
      <c r="C4753" s="710" t="s">
        <v>4236</v>
      </c>
      <c r="D4753" s="709" t="s">
        <v>136</v>
      </c>
      <c r="E4753" s="716">
        <v>23.67</v>
      </c>
      <c r="F4753" s="717">
        <v>0</v>
      </c>
      <c r="G4753">
        <f>VLOOKUP(B4753,'SINAPI-%MO'!B:E,4,0)</f>
        <v>0.74399999999999999</v>
      </c>
      <c r="H4753" s="225">
        <f t="shared" si="74"/>
        <v>6.05</v>
      </c>
    </row>
    <row r="4754" spans="1:8" x14ac:dyDescent="0.3">
      <c r="A4754" s="400"/>
      <c r="B4754" s="709">
        <v>91895</v>
      </c>
      <c r="C4754" s="710" t="s">
        <v>4237</v>
      </c>
      <c r="D4754" s="709" t="s">
        <v>136</v>
      </c>
      <c r="E4754" s="716">
        <v>22.26</v>
      </c>
      <c r="F4754" s="717">
        <v>0</v>
      </c>
      <c r="G4754">
        <f>VLOOKUP(B4754,'SINAPI-%MO'!B:E,4,0)</f>
        <v>0.64380000000000004</v>
      </c>
      <c r="H4754" s="225">
        <f t="shared" si="74"/>
        <v>7.92</v>
      </c>
    </row>
    <row r="4755" spans="1:8" x14ac:dyDescent="0.3">
      <c r="A4755" s="400"/>
      <c r="B4755" s="709">
        <v>91907</v>
      </c>
      <c r="C4755" s="710" t="s">
        <v>4238</v>
      </c>
      <c r="D4755" s="709" t="s">
        <v>136</v>
      </c>
      <c r="E4755" s="716">
        <v>19.63</v>
      </c>
      <c r="F4755" s="717">
        <v>0</v>
      </c>
      <c r="G4755">
        <f>VLOOKUP(B4755,'SINAPI-%MO'!B:E,4,0)</f>
        <v>0.59599999999999997</v>
      </c>
      <c r="H4755" s="225">
        <f t="shared" si="74"/>
        <v>7.93</v>
      </c>
    </row>
    <row r="4756" spans="1:8" x14ac:dyDescent="0.3">
      <c r="A4756" s="400"/>
      <c r="B4756" s="709">
        <v>91919</v>
      </c>
      <c r="C4756" s="710" t="s">
        <v>4239</v>
      </c>
      <c r="D4756" s="709" t="s">
        <v>136</v>
      </c>
      <c r="E4756" s="716">
        <v>27.52</v>
      </c>
      <c r="F4756" s="717">
        <v>0</v>
      </c>
      <c r="G4756">
        <f>VLOOKUP(B4756,'SINAPI-%MO'!B:E,4,0)</f>
        <v>0.71179999999999999</v>
      </c>
      <c r="H4756" s="225">
        <f t="shared" si="74"/>
        <v>7.93</v>
      </c>
    </row>
    <row r="4757" spans="1:8" x14ac:dyDescent="0.3">
      <c r="A4757" s="400"/>
      <c r="B4757" s="709">
        <v>91898</v>
      </c>
      <c r="C4757" s="710" t="s">
        <v>4240</v>
      </c>
      <c r="D4757" s="709" t="s">
        <v>136</v>
      </c>
      <c r="E4757" s="716">
        <v>25.4</v>
      </c>
      <c r="F4757" s="717">
        <v>0</v>
      </c>
      <c r="G4757">
        <f>VLOOKUP(B4757,'SINAPI-%MO'!B:E,4,0)</f>
        <v>0.65349999999999997</v>
      </c>
      <c r="H4757" s="225">
        <f t="shared" si="74"/>
        <v>8.8000000000000007</v>
      </c>
    </row>
    <row r="4758" spans="1:8" x14ac:dyDescent="0.3">
      <c r="A4758" s="400"/>
      <c r="B4758" s="709">
        <v>91910</v>
      </c>
      <c r="C4758" s="710" t="s">
        <v>4241</v>
      </c>
      <c r="D4758" s="709" t="s">
        <v>136</v>
      </c>
      <c r="E4758" s="716">
        <v>22.83</v>
      </c>
      <c r="F4758" s="717">
        <v>0</v>
      </c>
      <c r="G4758">
        <f>VLOOKUP(B4758,'SINAPI-%MO'!B:E,4,0)</f>
        <v>0.61450000000000005</v>
      </c>
      <c r="H4758" s="225">
        <f t="shared" si="74"/>
        <v>8.8000000000000007</v>
      </c>
    </row>
    <row r="4759" spans="1:8" x14ac:dyDescent="0.3">
      <c r="A4759" s="400"/>
      <c r="B4759" s="709">
        <v>91922</v>
      </c>
      <c r="C4759" s="710" t="s">
        <v>4242</v>
      </c>
      <c r="D4759" s="709" t="s">
        <v>136</v>
      </c>
      <c r="E4759" s="716">
        <v>30.59</v>
      </c>
      <c r="F4759" s="717">
        <v>0</v>
      </c>
      <c r="G4759">
        <f>VLOOKUP(B4759,'SINAPI-%MO'!B:E,4,0)</f>
        <v>0.71230000000000004</v>
      </c>
      <c r="H4759" s="225">
        <f t="shared" si="74"/>
        <v>8.8000000000000007</v>
      </c>
    </row>
    <row r="4760" spans="1:8" x14ac:dyDescent="0.3">
      <c r="A4760" s="400"/>
      <c r="B4760" s="709">
        <v>91887</v>
      </c>
      <c r="C4760" s="710" t="s">
        <v>4243</v>
      </c>
      <c r="D4760" s="709" t="s">
        <v>136</v>
      </c>
      <c r="E4760" s="716">
        <v>14.36</v>
      </c>
      <c r="F4760" s="717">
        <v>0</v>
      </c>
      <c r="G4760">
        <f>VLOOKUP(B4760,'SINAPI-%MO'!B:E,4,0)</f>
        <v>0.75700000000000001</v>
      </c>
      <c r="H4760" s="225">
        <f t="shared" si="74"/>
        <v>3.48</v>
      </c>
    </row>
    <row r="4761" spans="1:8" x14ac:dyDescent="0.3">
      <c r="A4761" s="400"/>
      <c r="B4761" s="709">
        <v>91899</v>
      </c>
      <c r="C4761" s="710" t="s">
        <v>4244</v>
      </c>
      <c r="D4761" s="709" t="s">
        <v>136</v>
      </c>
      <c r="E4761" s="716">
        <v>11.72</v>
      </c>
      <c r="F4761" s="717">
        <v>0</v>
      </c>
      <c r="G4761">
        <f>VLOOKUP(B4761,'SINAPI-%MO'!B:E,4,0)</f>
        <v>0.70220000000000005</v>
      </c>
      <c r="H4761" s="225">
        <f t="shared" si="74"/>
        <v>3.49</v>
      </c>
    </row>
    <row r="4762" spans="1:8" x14ac:dyDescent="0.3">
      <c r="A4762" s="400"/>
      <c r="B4762" s="709">
        <v>91911</v>
      </c>
      <c r="C4762" s="710" t="s">
        <v>4245</v>
      </c>
      <c r="D4762" s="709" t="s">
        <v>136</v>
      </c>
      <c r="E4762" s="716">
        <v>19.73</v>
      </c>
      <c r="F4762" s="717">
        <v>0</v>
      </c>
      <c r="G4762">
        <f>VLOOKUP(B4762,'SINAPI-%MO'!B:E,4,0)</f>
        <v>0.82310000000000005</v>
      </c>
      <c r="H4762" s="225">
        <f t="shared" si="74"/>
        <v>3.49</v>
      </c>
    </row>
    <row r="4763" spans="1:8" x14ac:dyDescent="0.3">
      <c r="A4763" s="400"/>
      <c r="B4763" s="709">
        <v>91890</v>
      </c>
      <c r="C4763" s="710" t="s">
        <v>4246</v>
      </c>
      <c r="D4763" s="709" t="s">
        <v>136</v>
      </c>
      <c r="E4763" s="716">
        <v>15.83</v>
      </c>
      <c r="F4763" s="717">
        <v>0</v>
      </c>
      <c r="G4763">
        <f>VLOOKUP(B4763,'SINAPI-%MO'!B:E,4,0)</f>
        <v>0.77639999999999998</v>
      </c>
      <c r="H4763" s="225">
        <f t="shared" si="74"/>
        <v>3.53</v>
      </c>
    </row>
    <row r="4764" spans="1:8" x14ac:dyDescent="0.3">
      <c r="A4764" s="400"/>
      <c r="B4764" s="709">
        <v>91902</v>
      </c>
      <c r="C4764" s="710" t="s">
        <v>4247</v>
      </c>
      <c r="D4764" s="709" t="s">
        <v>136</v>
      </c>
      <c r="E4764" s="716">
        <v>13.21</v>
      </c>
      <c r="F4764" s="717">
        <v>0</v>
      </c>
      <c r="G4764">
        <f>VLOOKUP(B4764,'SINAPI-%MO'!B:E,4,0)</f>
        <v>0.73199999999999998</v>
      </c>
      <c r="H4764" s="225">
        <f t="shared" si="74"/>
        <v>3.54</v>
      </c>
    </row>
    <row r="4765" spans="1:8" x14ac:dyDescent="0.3">
      <c r="A4765" s="400"/>
      <c r="B4765" s="709">
        <v>91914</v>
      </c>
      <c r="C4765" s="710" t="s">
        <v>4248</v>
      </c>
      <c r="D4765" s="709" t="s">
        <v>136</v>
      </c>
      <c r="E4765" s="716">
        <v>21.15</v>
      </c>
      <c r="F4765" s="717">
        <v>0</v>
      </c>
      <c r="G4765">
        <f>VLOOKUP(B4765,'SINAPI-%MO'!B:E,4,0)</f>
        <v>0.83260000000000001</v>
      </c>
      <c r="H4765" s="225">
        <f t="shared" si="74"/>
        <v>3.54</v>
      </c>
    </row>
    <row r="4766" spans="1:8" x14ac:dyDescent="0.3">
      <c r="A4766" s="400"/>
      <c r="B4766" s="709">
        <v>91893</v>
      </c>
      <c r="C4766" s="710" t="s">
        <v>4249</v>
      </c>
      <c r="D4766" s="709" t="s">
        <v>136</v>
      </c>
      <c r="E4766" s="716">
        <v>19.690000000000001</v>
      </c>
      <c r="F4766" s="717">
        <v>0</v>
      </c>
      <c r="G4766">
        <f>VLOOKUP(B4766,'SINAPI-%MO'!B:E,4,0)</f>
        <v>0.7278</v>
      </c>
      <c r="H4766" s="225">
        <f t="shared" si="74"/>
        <v>5.35</v>
      </c>
    </row>
    <row r="4767" spans="1:8" x14ac:dyDescent="0.3">
      <c r="A4767" s="400"/>
      <c r="B4767" s="709">
        <v>91905</v>
      </c>
      <c r="C4767" s="710" t="s">
        <v>4250</v>
      </c>
      <c r="D4767" s="709" t="s">
        <v>136</v>
      </c>
      <c r="E4767" s="716">
        <v>17.059999999999999</v>
      </c>
      <c r="F4767" s="717">
        <v>0</v>
      </c>
      <c r="G4767">
        <f>VLOOKUP(B4767,'SINAPI-%MO'!B:E,4,0)</f>
        <v>0.68579999999999997</v>
      </c>
      <c r="H4767" s="225">
        <f t="shared" si="74"/>
        <v>5.36</v>
      </c>
    </row>
    <row r="4768" spans="1:8" x14ac:dyDescent="0.3">
      <c r="A4768" s="400"/>
      <c r="B4768" s="709">
        <v>91917</v>
      </c>
      <c r="C4768" s="710" t="s">
        <v>4251</v>
      </c>
      <c r="D4768" s="709" t="s">
        <v>136</v>
      </c>
      <c r="E4768" s="716">
        <v>24.95</v>
      </c>
      <c r="F4768" s="717">
        <v>0</v>
      </c>
      <c r="G4768">
        <f>VLOOKUP(B4768,'SINAPI-%MO'!B:E,4,0)</f>
        <v>0.78520000000000001</v>
      </c>
      <c r="H4768" s="225">
        <f t="shared" si="74"/>
        <v>5.35</v>
      </c>
    </row>
    <row r="4769" spans="1:8" x14ac:dyDescent="0.3">
      <c r="A4769" s="400"/>
      <c r="B4769" s="709">
        <v>91896</v>
      </c>
      <c r="C4769" s="710" t="s">
        <v>4252</v>
      </c>
      <c r="D4769" s="709" t="s">
        <v>136</v>
      </c>
      <c r="E4769" s="716">
        <v>22.64</v>
      </c>
      <c r="F4769" s="717">
        <v>0</v>
      </c>
      <c r="G4769">
        <f>VLOOKUP(B4769,'SINAPI-%MO'!B:E,4,0)</f>
        <v>0.73319999999999996</v>
      </c>
      <c r="H4769" s="225">
        <f t="shared" si="74"/>
        <v>6.04</v>
      </c>
    </row>
    <row r="4770" spans="1:8" x14ac:dyDescent="0.3">
      <c r="A4770" s="400"/>
      <c r="B4770" s="709">
        <v>91908</v>
      </c>
      <c r="C4770" s="710" t="s">
        <v>4253</v>
      </c>
      <c r="D4770" s="709" t="s">
        <v>136</v>
      </c>
      <c r="E4770" s="716">
        <v>20.07</v>
      </c>
      <c r="F4770" s="717">
        <v>0</v>
      </c>
      <c r="G4770">
        <f>VLOOKUP(B4770,'SINAPI-%MO'!B:E,4,0)</f>
        <v>0.69910000000000005</v>
      </c>
      <c r="H4770" s="225">
        <f t="shared" si="74"/>
        <v>6.03</v>
      </c>
    </row>
    <row r="4771" spans="1:8" x14ac:dyDescent="0.3">
      <c r="A4771" s="400"/>
      <c r="B4771" s="709">
        <v>91920</v>
      </c>
      <c r="C4771" s="710" t="s">
        <v>4254</v>
      </c>
      <c r="D4771" s="709" t="s">
        <v>136</v>
      </c>
      <c r="E4771" s="716">
        <v>27.83</v>
      </c>
      <c r="F4771" s="717">
        <v>0</v>
      </c>
      <c r="G4771">
        <f>VLOOKUP(B4771,'SINAPI-%MO'!B:E,4,0)</f>
        <v>0.78300000000000003</v>
      </c>
      <c r="H4771" s="225">
        <f t="shared" si="74"/>
        <v>6.03</v>
      </c>
    </row>
    <row r="4772" spans="1:8" x14ac:dyDescent="0.3">
      <c r="A4772" s="400"/>
      <c r="B4772" s="709">
        <v>91983</v>
      </c>
      <c r="C4772" s="710" t="s">
        <v>4255</v>
      </c>
      <c r="D4772" s="709" t="s">
        <v>136</v>
      </c>
      <c r="E4772" s="716">
        <v>112.62</v>
      </c>
      <c r="F4772" s="717">
        <v>0</v>
      </c>
      <c r="G4772">
        <f>VLOOKUP(B4772,'SINAPI-%MO'!B:E,4,0)</f>
        <v>0.1908</v>
      </c>
      <c r="H4772" s="225">
        <f t="shared" si="74"/>
        <v>91.13</v>
      </c>
    </row>
    <row r="4773" spans="1:8" x14ac:dyDescent="0.3">
      <c r="A4773" s="400"/>
      <c r="B4773" s="709">
        <v>91982</v>
      </c>
      <c r="C4773" s="710" t="s">
        <v>4256</v>
      </c>
      <c r="D4773" s="709" t="s">
        <v>136</v>
      </c>
      <c r="E4773" s="716">
        <v>100</v>
      </c>
      <c r="F4773" s="717">
        <v>0</v>
      </c>
      <c r="G4773">
        <f>VLOOKUP(B4773,'SINAPI-%MO'!B:E,4,0)</f>
        <v>0.13850000000000001</v>
      </c>
      <c r="H4773" s="225">
        <f t="shared" si="74"/>
        <v>86.15</v>
      </c>
    </row>
    <row r="4774" spans="1:8" x14ac:dyDescent="0.3">
      <c r="A4774" s="400"/>
      <c r="B4774" s="709">
        <v>91833</v>
      </c>
      <c r="C4774" s="710" t="s">
        <v>4257</v>
      </c>
      <c r="D4774" s="709" t="s">
        <v>159</v>
      </c>
      <c r="E4774" s="716">
        <v>18.89</v>
      </c>
      <c r="F4774" s="717">
        <v>0</v>
      </c>
      <c r="G4774">
        <f>VLOOKUP(B4774,'SINAPI-%MO'!B:E,4,0)</f>
        <v>0.66379999999999995</v>
      </c>
      <c r="H4774" s="225">
        <f t="shared" si="74"/>
        <v>6.35</v>
      </c>
    </row>
    <row r="4775" spans="1:8" x14ac:dyDescent="0.3">
      <c r="A4775" s="400"/>
      <c r="B4775" s="709">
        <v>91843</v>
      </c>
      <c r="C4775" s="710" t="s">
        <v>4258</v>
      </c>
      <c r="D4775" s="709" t="s">
        <v>159</v>
      </c>
      <c r="E4775" s="716">
        <v>7.72</v>
      </c>
      <c r="F4775" s="717">
        <v>0</v>
      </c>
      <c r="G4775">
        <f>VLOOKUP(B4775,'SINAPI-%MO'!B:E,4,0)</f>
        <v>0.47149999999999997</v>
      </c>
      <c r="H4775" s="225">
        <f t="shared" si="74"/>
        <v>4.08</v>
      </c>
    </row>
    <row r="4776" spans="1:8" x14ac:dyDescent="0.3">
      <c r="A4776" s="400"/>
      <c r="B4776" s="709">
        <v>91853</v>
      </c>
      <c r="C4776" s="710" t="s">
        <v>4259</v>
      </c>
      <c r="D4776" s="709" t="s">
        <v>159</v>
      </c>
      <c r="E4776" s="716">
        <v>11.15</v>
      </c>
      <c r="F4776" s="717">
        <v>0</v>
      </c>
      <c r="G4776">
        <f>VLOOKUP(B4776,'SINAPI-%MO'!B:E,4,0)</f>
        <v>0.66369999999999996</v>
      </c>
      <c r="H4776" s="225">
        <f t="shared" si="74"/>
        <v>3.74</v>
      </c>
    </row>
    <row r="4777" spans="1:8" x14ac:dyDescent="0.3">
      <c r="A4777" s="400"/>
      <c r="B4777" s="709">
        <v>91835</v>
      </c>
      <c r="C4777" s="710" t="s">
        <v>4260</v>
      </c>
      <c r="D4777" s="709" t="s">
        <v>159</v>
      </c>
      <c r="E4777" s="716">
        <v>20.98</v>
      </c>
      <c r="F4777" s="717">
        <v>0</v>
      </c>
      <c r="G4777">
        <f>VLOOKUP(B4777,'SINAPI-%MO'!B:E,4,0)</f>
        <v>0.62919999999999998</v>
      </c>
      <c r="H4777" s="225">
        <f t="shared" si="74"/>
        <v>7.77</v>
      </c>
    </row>
    <row r="4778" spans="1:8" x14ac:dyDescent="0.3">
      <c r="A4778" s="400"/>
      <c r="B4778" s="709">
        <v>91845</v>
      </c>
      <c r="C4778" s="710" t="s">
        <v>4261</v>
      </c>
      <c r="D4778" s="709" t="s">
        <v>159</v>
      </c>
      <c r="E4778" s="716">
        <v>9.75</v>
      </c>
      <c r="F4778" s="717">
        <v>0</v>
      </c>
      <c r="G4778">
        <f>VLOOKUP(B4778,'SINAPI-%MO'!B:E,4,0)</f>
        <v>0.43490000000000001</v>
      </c>
      <c r="H4778" s="225">
        <f t="shared" si="74"/>
        <v>5.5</v>
      </c>
    </row>
    <row r="4779" spans="1:8" x14ac:dyDescent="0.3">
      <c r="A4779" s="400"/>
      <c r="B4779" s="709">
        <v>91855</v>
      </c>
      <c r="C4779" s="710" t="s">
        <v>4262</v>
      </c>
      <c r="D4779" s="709" t="s">
        <v>159</v>
      </c>
      <c r="E4779" s="716">
        <v>13.06</v>
      </c>
      <c r="F4779" s="717">
        <v>0</v>
      </c>
      <c r="G4779">
        <f>VLOOKUP(B4779,'SINAPI-%MO'!B:E,4,0)</f>
        <v>0.61180000000000001</v>
      </c>
      <c r="H4779" s="225">
        <f t="shared" si="74"/>
        <v>5.0599999999999996</v>
      </c>
    </row>
    <row r="4780" spans="1:8" x14ac:dyDescent="0.3">
      <c r="A4780" s="400"/>
      <c r="B4780" s="709">
        <v>91837</v>
      </c>
      <c r="C4780" s="710" t="s">
        <v>4263</v>
      </c>
      <c r="D4780" s="709" t="s">
        <v>159</v>
      </c>
      <c r="E4780" s="716">
        <v>26.89</v>
      </c>
      <c r="F4780" s="717">
        <v>0</v>
      </c>
      <c r="G4780">
        <f>VLOOKUP(B4780,'SINAPI-%MO'!B:E,4,0)</f>
        <v>0.52180000000000004</v>
      </c>
      <c r="H4780" s="225">
        <f t="shared" si="74"/>
        <v>12.85</v>
      </c>
    </row>
    <row r="4781" spans="1:8" x14ac:dyDescent="0.3">
      <c r="A4781" s="400"/>
      <c r="B4781" s="709">
        <v>91847</v>
      </c>
      <c r="C4781" s="710" t="s">
        <v>4264</v>
      </c>
      <c r="D4781" s="709" t="s">
        <v>159</v>
      </c>
      <c r="E4781" s="716">
        <v>15.73</v>
      </c>
      <c r="F4781" s="717">
        <v>0</v>
      </c>
      <c r="G4781">
        <f>VLOOKUP(B4781,'SINAPI-%MO'!B:E,4,0)</f>
        <v>0.3261</v>
      </c>
      <c r="H4781" s="225">
        <f t="shared" si="74"/>
        <v>10.6</v>
      </c>
    </row>
    <row r="4782" spans="1:8" x14ac:dyDescent="0.3">
      <c r="A4782" s="400"/>
      <c r="B4782" s="709">
        <v>91857</v>
      </c>
      <c r="C4782" s="710" t="s">
        <v>4265</v>
      </c>
      <c r="D4782" s="709" t="s">
        <v>159</v>
      </c>
      <c r="E4782" s="716">
        <v>18.649999999999999</v>
      </c>
      <c r="F4782" s="717">
        <v>0</v>
      </c>
      <c r="G4782">
        <f>VLOOKUP(B4782,'SINAPI-%MO'!B:E,4,0)</f>
        <v>0.47670000000000001</v>
      </c>
      <c r="H4782" s="225">
        <f t="shared" si="74"/>
        <v>9.75</v>
      </c>
    </row>
    <row r="4783" spans="1:8" x14ac:dyDescent="0.3">
      <c r="A4783" s="400"/>
      <c r="B4783" s="709">
        <v>91838</v>
      </c>
      <c r="C4783" s="710" t="s">
        <v>4266</v>
      </c>
      <c r="D4783" s="709" t="s">
        <v>159</v>
      </c>
      <c r="E4783" s="716">
        <v>0</v>
      </c>
      <c r="F4783" s="717"/>
      <c r="G4783" t="e">
        <f>VLOOKUP(B4783,'SINAPI-%MO'!B:E,4,0)</f>
        <v>#N/A</v>
      </c>
      <c r="H4783" s="225" t="str">
        <f t="shared" si="74"/>
        <v/>
      </c>
    </row>
    <row r="4784" spans="1:8" x14ac:dyDescent="0.3">
      <c r="A4784" s="400"/>
      <c r="B4784" s="709">
        <v>91848</v>
      </c>
      <c r="C4784" s="710" t="s">
        <v>4267</v>
      </c>
      <c r="D4784" s="709" t="s">
        <v>159</v>
      </c>
      <c r="E4784" s="716">
        <v>0</v>
      </c>
      <c r="F4784" s="717"/>
      <c r="G4784" t="e">
        <f>VLOOKUP(B4784,'SINAPI-%MO'!B:E,4,0)</f>
        <v>#N/A</v>
      </c>
      <c r="H4784" s="225" t="str">
        <f t="shared" si="74"/>
        <v/>
      </c>
    </row>
    <row r="4785" spans="1:8" x14ac:dyDescent="0.3">
      <c r="A4785" s="400"/>
      <c r="B4785" s="709">
        <v>91858</v>
      </c>
      <c r="C4785" s="710" t="s">
        <v>4268</v>
      </c>
      <c r="D4785" s="709" t="s">
        <v>159</v>
      </c>
      <c r="E4785" s="716">
        <v>0</v>
      </c>
      <c r="F4785" s="717"/>
      <c r="G4785" t="e">
        <f>VLOOKUP(B4785,'SINAPI-%MO'!B:E,4,0)</f>
        <v>#N/A</v>
      </c>
      <c r="H4785" s="225" t="str">
        <f t="shared" si="74"/>
        <v/>
      </c>
    </row>
    <row r="4786" spans="1:8" x14ac:dyDescent="0.3">
      <c r="A4786" s="400"/>
      <c r="B4786" s="709">
        <v>91840</v>
      </c>
      <c r="C4786" s="710" t="s">
        <v>4269</v>
      </c>
      <c r="D4786" s="709" t="s">
        <v>159</v>
      </c>
      <c r="E4786" s="716">
        <v>24.05</v>
      </c>
      <c r="F4786" s="717">
        <v>0</v>
      </c>
      <c r="G4786">
        <f>VLOOKUP(B4786,'SINAPI-%MO'!B:E,4,0)</f>
        <v>0.62829999999999997</v>
      </c>
      <c r="H4786" s="225">
        <f t="shared" si="74"/>
        <v>8.93</v>
      </c>
    </row>
    <row r="4787" spans="1:8" x14ac:dyDescent="0.3">
      <c r="A4787" s="400"/>
      <c r="B4787" s="709">
        <v>91850</v>
      </c>
      <c r="C4787" s="710" t="s">
        <v>4270</v>
      </c>
      <c r="D4787" s="709" t="s">
        <v>159</v>
      </c>
      <c r="E4787" s="716">
        <v>12.82</v>
      </c>
      <c r="F4787" s="717">
        <v>0</v>
      </c>
      <c r="G4787">
        <f>VLOOKUP(B4787,'SINAPI-%MO'!B:E,4,0)</f>
        <v>0.47889999999999999</v>
      </c>
      <c r="H4787" s="225">
        <f t="shared" si="74"/>
        <v>6.68</v>
      </c>
    </row>
    <row r="4788" spans="1:8" x14ac:dyDescent="0.3">
      <c r="A4788" s="400"/>
      <c r="B4788" s="709">
        <v>91860</v>
      </c>
      <c r="C4788" s="710" t="s">
        <v>4271</v>
      </c>
      <c r="D4788" s="709" t="s">
        <v>159</v>
      </c>
      <c r="E4788" s="716">
        <v>16.05</v>
      </c>
      <c r="F4788" s="717">
        <v>0</v>
      </c>
      <c r="G4788">
        <f>VLOOKUP(B4788,'SINAPI-%MO'!B:E,4,0)</f>
        <v>0.61739999999999995</v>
      </c>
      <c r="H4788" s="225">
        <f t="shared" si="74"/>
        <v>6.14</v>
      </c>
    </row>
    <row r="4789" spans="1:8" x14ac:dyDescent="0.3">
      <c r="A4789" s="400"/>
      <c r="B4789" s="709">
        <v>91831</v>
      </c>
      <c r="C4789" s="710" t="s">
        <v>4272</v>
      </c>
      <c r="D4789" s="709" t="s">
        <v>159</v>
      </c>
      <c r="E4789" s="716">
        <v>18.16</v>
      </c>
      <c r="F4789" s="717">
        <v>0</v>
      </c>
      <c r="G4789">
        <f>VLOOKUP(B4789,'SINAPI-%MO'!B:E,4,0)</f>
        <v>0.6905</v>
      </c>
      <c r="H4789" s="225">
        <f t="shared" si="74"/>
        <v>5.62</v>
      </c>
    </row>
    <row r="4790" spans="1:8" x14ac:dyDescent="0.3">
      <c r="A4790" s="400"/>
      <c r="B4790" s="709">
        <v>91852</v>
      </c>
      <c r="C4790" s="710" t="s">
        <v>4273</v>
      </c>
      <c r="D4790" s="709" t="s">
        <v>159</v>
      </c>
      <c r="E4790" s="716">
        <v>10.47</v>
      </c>
      <c r="F4790" s="717">
        <v>0</v>
      </c>
      <c r="G4790">
        <f>VLOOKUP(B4790,'SINAPI-%MO'!B:E,4,0)</f>
        <v>0.70679999999999998</v>
      </c>
      <c r="H4790" s="225">
        <f t="shared" si="74"/>
        <v>3.06</v>
      </c>
    </row>
    <row r="4791" spans="1:8" x14ac:dyDescent="0.3">
      <c r="A4791" s="400"/>
      <c r="B4791" s="709">
        <v>91834</v>
      </c>
      <c r="C4791" s="710" t="s">
        <v>4274</v>
      </c>
      <c r="D4791" s="709" t="s">
        <v>159</v>
      </c>
      <c r="E4791" s="716">
        <v>19.09</v>
      </c>
      <c r="F4791" s="717">
        <v>0</v>
      </c>
      <c r="G4791">
        <f>VLOOKUP(B4791,'SINAPI-%MO'!B:E,4,0)</f>
        <v>0.6915</v>
      </c>
      <c r="H4791" s="225">
        <f t="shared" si="74"/>
        <v>5.88</v>
      </c>
    </row>
    <row r="4792" spans="1:8" x14ac:dyDescent="0.3">
      <c r="A4792" s="400"/>
      <c r="B4792" s="709">
        <v>91854</v>
      </c>
      <c r="C4792" s="710" t="s">
        <v>4275</v>
      </c>
      <c r="D4792" s="709" t="s">
        <v>159</v>
      </c>
      <c r="E4792" s="716">
        <v>11.31</v>
      </c>
      <c r="F4792" s="717">
        <v>0</v>
      </c>
      <c r="G4792">
        <f>VLOOKUP(B4792,'SINAPI-%MO'!B:E,4,0)</f>
        <v>0.70650000000000002</v>
      </c>
      <c r="H4792" s="225">
        <f t="shared" si="74"/>
        <v>3.31</v>
      </c>
    </row>
    <row r="4793" spans="1:8" x14ac:dyDescent="0.3">
      <c r="A4793" s="400"/>
      <c r="B4793" s="709">
        <v>91836</v>
      </c>
      <c r="C4793" s="710" t="s">
        <v>4276</v>
      </c>
      <c r="D4793" s="709" t="s">
        <v>159</v>
      </c>
      <c r="E4793" s="716">
        <v>22.49</v>
      </c>
      <c r="F4793" s="717">
        <v>0</v>
      </c>
      <c r="G4793">
        <f>VLOOKUP(B4793,'SINAPI-%MO'!B:E,4,0)</f>
        <v>0.62380000000000002</v>
      </c>
      <c r="H4793" s="225">
        <f t="shared" si="74"/>
        <v>8.4600000000000009</v>
      </c>
    </row>
    <row r="4794" spans="1:8" x14ac:dyDescent="0.3">
      <c r="A4794" s="400"/>
      <c r="B4794" s="709">
        <v>91856</v>
      </c>
      <c r="C4794" s="710" t="s">
        <v>4277</v>
      </c>
      <c r="D4794" s="709" t="s">
        <v>159</v>
      </c>
      <c r="E4794" s="716">
        <v>14.58</v>
      </c>
      <c r="F4794" s="717">
        <v>0</v>
      </c>
      <c r="G4794">
        <f>VLOOKUP(B4794,'SINAPI-%MO'!B:E,4,0)</f>
        <v>0.60970000000000002</v>
      </c>
      <c r="H4794" s="225">
        <f t="shared" si="74"/>
        <v>5.69</v>
      </c>
    </row>
    <row r="4795" spans="1:8" x14ac:dyDescent="0.3">
      <c r="A4795" s="400"/>
      <c r="B4795" s="709">
        <v>91839</v>
      </c>
      <c r="C4795" s="710" t="s">
        <v>4278</v>
      </c>
      <c r="D4795" s="709" t="s">
        <v>159</v>
      </c>
      <c r="E4795" s="716">
        <v>20.71</v>
      </c>
      <c r="F4795" s="717">
        <v>0</v>
      </c>
      <c r="G4795">
        <f>VLOOKUP(B4795,'SINAPI-%MO'!B:E,4,0)</f>
        <v>0.67749999999999999</v>
      </c>
      <c r="H4795" s="225">
        <f t="shared" si="74"/>
        <v>6.67</v>
      </c>
    </row>
    <row r="4796" spans="1:8" x14ac:dyDescent="0.3">
      <c r="A4796" s="400"/>
      <c r="B4796" s="709">
        <v>91849</v>
      </c>
      <c r="C4796" s="710" t="s">
        <v>4279</v>
      </c>
      <c r="D4796" s="709" t="s">
        <v>159</v>
      </c>
      <c r="E4796" s="716">
        <v>9.5500000000000007</v>
      </c>
      <c r="F4796" s="717">
        <v>0</v>
      </c>
      <c r="G4796">
        <f>VLOOKUP(B4796,'SINAPI-%MO'!B:E,4,0)</f>
        <v>0.53720000000000001</v>
      </c>
      <c r="H4796" s="225">
        <f t="shared" si="74"/>
        <v>4.41</v>
      </c>
    </row>
    <row r="4797" spans="1:8" x14ac:dyDescent="0.3">
      <c r="A4797" s="400"/>
      <c r="B4797" s="709">
        <v>91859</v>
      </c>
      <c r="C4797" s="710" t="s">
        <v>4280</v>
      </c>
      <c r="D4797" s="709" t="s">
        <v>159</v>
      </c>
      <c r="E4797" s="716">
        <v>12.94</v>
      </c>
      <c r="F4797" s="717">
        <v>0</v>
      </c>
      <c r="G4797">
        <f>VLOOKUP(B4797,'SINAPI-%MO'!B:E,4,0)</f>
        <v>0.68700000000000006</v>
      </c>
      <c r="H4797" s="225">
        <f t="shared" si="74"/>
        <v>4.05</v>
      </c>
    </row>
    <row r="4798" spans="1:8" x14ac:dyDescent="0.3">
      <c r="A4798" s="400"/>
      <c r="B4798" s="709">
        <v>91841</v>
      </c>
      <c r="C4798" s="710" t="s">
        <v>4281</v>
      </c>
      <c r="D4798" s="709" t="s">
        <v>159</v>
      </c>
      <c r="E4798" s="716">
        <v>23.04</v>
      </c>
      <c r="F4798" s="717">
        <v>0</v>
      </c>
      <c r="G4798">
        <f>VLOOKUP(B4798,'SINAPI-%MO'!B:E,4,0)</f>
        <v>0.65580000000000005</v>
      </c>
      <c r="H4798" s="225">
        <f t="shared" si="74"/>
        <v>7.93</v>
      </c>
    </row>
    <row r="4799" spans="1:8" x14ac:dyDescent="0.3">
      <c r="A4799" s="400"/>
      <c r="B4799" s="709">
        <v>91851</v>
      </c>
      <c r="C4799" s="710" t="s">
        <v>4282</v>
      </c>
      <c r="D4799" s="709" t="s">
        <v>159</v>
      </c>
      <c r="E4799" s="716">
        <v>11.81</v>
      </c>
      <c r="F4799" s="717">
        <v>0</v>
      </c>
      <c r="G4799">
        <f>VLOOKUP(B4799,'SINAPI-%MO'!B:E,4,0)</f>
        <v>0.51990000000000003</v>
      </c>
      <c r="H4799" s="225">
        <f t="shared" si="74"/>
        <v>5.66</v>
      </c>
    </row>
    <row r="4800" spans="1:8" x14ac:dyDescent="0.3">
      <c r="A4800" s="400"/>
      <c r="B4800" s="709">
        <v>91861</v>
      </c>
      <c r="C4800" s="710" t="s">
        <v>4283</v>
      </c>
      <c r="D4800" s="709" t="s">
        <v>159</v>
      </c>
      <c r="E4800" s="716">
        <v>15.11</v>
      </c>
      <c r="F4800" s="717">
        <v>0</v>
      </c>
      <c r="G4800">
        <f>VLOOKUP(B4800,'SINAPI-%MO'!B:E,4,0)</f>
        <v>0.65590000000000004</v>
      </c>
      <c r="H4800" s="225">
        <f t="shared" si="74"/>
        <v>5.19</v>
      </c>
    </row>
    <row r="4801" spans="1:8" x14ac:dyDescent="0.3">
      <c r="A4801" s="400"/>
      <c r="B4801" s="709">
        <v>91862</v>
      </c>
      <c r="C4801" s="710" t="s">
        <v>4284</v>
      </c>
      <c r="D4801" s="709" t="s">
        <v>159</v>
      </c>
      <c r="E4801" s="716">
        <v>11.34</v>
      </c>
      <c r="F4801" s="717">
        <v>0</v>
      </c>
      <c r="G4801">
        <f>VLOOKUP(B4801,'SINAPI-%MO'!B:E,4,0)</f>
        <v>0.55200000000000005</v>
      </c>
      <c r="H4801" s="225">
        <f t="shared" si="74"/>
        <v>5.08</v>
      </c>
    </row>
    <row r="4802" spans="1:8" x14ac:dyDescent="0.3">
      <c r="A4802" s="400"/>
      <c r="B4802" s="709">
        <v>91866</v>
      </c>
      <c r="C4802" s="710" t="s">
        <v>4285</v>
      </c>
      <c r="D4802" s="709" t="s">
        <v>159</v>
      </c>
      <c r="E4802" s="716">
        <v>9.8800000000000008</v>
      </c>
      <c r="F4802" s="717">
        <v>0</v>
      </c>
      <c r="G4802">
        <f>VLOOKUP(B4802,'SINAPI-%MO'!B:E,4,0)</f>
        <v>0.48280000000000001</v>
      </c>
      <c r="H4802" s="225">
        <f t="shared" si="74"/>
        <v>5.0999999999999996</v>
      </c>
    </row>
    <row r="4803" spans="1:8" x14ac:dyDescent="0.3">
      <c r="A4803" s="400"/>
      <c r="B4803" s="709">
        <v>91870</v>
      </c>
      <c r="C4803" s="710" t="s">
        <v>4286</v>
      </c>
      <c r="D4803" s="709" t="s">
        <v>159</v>
      </c>
      <c r="E4803" s="716">
        <v>14.81</v>
      </c>
      <c r="F4803" s="717">
        <v>0</v>
      </c>
      <c r="G4803">
        <f>VLOOKUP(B4803,'SINAPI-%MO'!B:E,4,0)</f>
        <v>0.65700000000000003</v>
      </c>
      <c r="H4803" s="225">
        <f t="shared" si="74"/>
        <v>5.07</v>
      </c>
    </row>
    <row r="4804" spans="1:8" x14ac:dyDescent="0.3">
      <c r="A4804" s="400"/>
      <c r="B4804" s="709">
        <v>91863</v>
      </c>
      <c r="C4804" s="710" t="s">
        <v>4287</v>
      </c>
      <c r="D4804" s="709" t="s">
        <v>159</v>
      </c>
      <c r="E4804" s="716">
        <v>13.42</v>
      </c>
      <c r="F4804" s="717">
        <v>0</v>
      </c>
      <c r="G4804">
        <f>VLOOKUP(B4804,'SINAPI-%MO'!B:E,4,0)</f>
        <v>0.52910000000000001</v>
      </c>
      <c r="H4804" s="225">
        <f t="shared" si="74"/>
        <v>6.31</v>
      </c>
    </row>
    <row r="4805" spans="1:8" x14ac:dyDescent="0.3">
      <c r="A4805" s="400"/>
      <c r="B4805" s="709">
        <v>91867</v>
      </c>
      <c r="C4805" s="710" t="s">
        <v>4288</v>
      </c>
      <c r="D4805" s="709" t="s">
        <v>159</v>
      </c>
      <c r="E4805" s="716">
        <v>11.95</v>
      </c>
      <c r="F4805" s="717">
        <v>0</v>
      </c>
      <c r="G4805">
        <f>VLOOKUP(B4805,'SINAPI-%MO'!B:E,4,0)</f>
        <v>0.46860000000000002</v>
      </c>
      <c r="H4805" s="225">
        <f t="shared" si="74"/>
        <v>6.35</v>
      </c>
    </row>
    <row r="4806" spans="1:8" x14ac:dyDescent="0.3">
      <c r="A4806" s="400"/>
      <c r="B4806" s="709">
        <v>91871</v>
      </c>
      <c r="C4806" s="710" t="s">
        <v>4289</v>
      </c>
      <c r="D4806" s="709" t="s">
        <v>159</v>
      </c>
      <c r="E4806" s="716">
        <v>16.89</v>
      </c>
      <c r="F4806" s="717">
        <v>0</v>
      </c>
      <c r="G4806">
        <f>VLOOKUP(B4806,'SINAPI-%MO'!B:E,4,0)</f>
        <v>0.62580000000000002</v>
      </c>
      <c r="H4806" s="225">
        <f t="shared" si="74"/>
        <v>6.32</v>
      </c>
    </row>
    <row r="4807" spans="1:8" x14ac:dyDescent="0.3">
      <c r="A4807" s="400"/>
      <c r="B4807" s="709">
        <v>91864</v>
      </c>
      <c r="C4807" s="710" t="s">
        <v>4290</v>
      </c>
      <c r="D4807" s="709" t="s">
        <v>159</v>
      </c>
      <c r="E4807" s="716">
        <v>18.18</v>
      </c>
      <c r="F4807" s="717">
        <v>0</v>
      </c>
      <c r="G4807">
        <f>VLOOKUP(B4807,'SINAPI-%MO'!B:E,4,0)</f>
        <v>0.45600000000000002</v>
      </c>
      <c r="H4807" s="225">
        <f t="shared" si="74"/>
        <v>9.8800000000000008</v>
      </c>
    </row>
    <row r="4808" spans="1:8" x14ac:dyDescent="0.3">
      <c r="A4808" s="400"/>
      <c r="B4808" s="709">
        <v>91868</v>
      </c>
      <c r="C4808" s="710" t="s">
        <v>4291</v>
      </c>
      <c r="D4808" s="709" t="s">
        <v>159</v>
      </c>
      <c r="E4808" s="716">
        <v>16.73</v>
      </c>
      <c r="F4808" s="717">
        <v>0</v>
      </c>
      <c r="G4808">
        <f>VLOOKUP(B4808,'SINAPI-%MO'!B:E,4,0)</f>
        <v>0.40649999999999997</v>
      </c>
      <c r="H4808" s="225">
        <f t="shared" si="74"/>
        <v>9.92</v>
      </c>
    </row>
    <row r="4809" spans="1:8" x14ac:dyDescent="0.3">
      <c r="A4809" s="400"/>
      <c r="B4809" s="709">
        <v>91872</v>
      </c>
      <c r="C4809" s="710" t="s">
        <v>4292</v>
      </c>
      <c r="D4809" s="709" t="s">
        <v>159</v>
      </c>
      <c r="E4809" s="716">
        <v>21.65</v>
      </c>
      <c r="F4809" s="717">
        <v>0</v>
      </c>
      <c r="G4809">
        <f>VLOOKUP(B4809,'SINAPI-%MO'!B:E,4,0)</f>
        <v>0.54320000000000002</v>
      </c>
      <c r="H4809" s="225">
        <f t="shared" si="74"/>
        <v>9.8800000000000008</v>
      </c>
    </row>
    <row r="4810" spans="1:8" x14ac:dyDescent="0.3">
      <c r="A4810" s="400"/>
      <c r="B4810" s="709">
        <v>91865</v>
      </c>
      <c r="C4810" s="710" t="s">
        <v>4293</v>
      </c>
      <c r="D4810" s="709" t="s">
        <v>159</v>
      </c>
      <c r="E4810" s="716">
        <v>22.84</v>
      </c>
      <c r="F4810" s="717">
        <v>0</v>
      </c>
      <c r="G4810">
        <f>VLOOKUP(B4810,'SINAPI-%MO'!B:E,4,0)</f>
        <v>0.4234</v>
      </c>
      <c r="H4810" s="225">
        <f t="shared" si="74"/>
        <v>13.16</v>
      </c>
    </row>
    <row r="4811" spans="1:8" x14ac:dyDescent="0.3">
      <c r="A4811" s="400"/>
      <c r="B4811" s="709">
        <v>91869</v>
      </c>
      <c r="C4811" s="710" t="s">
        <v>4294</v>
      </c>
      <c r="D4811" s="709" t="s">
        <v>159</v>
      </c>
      <c r="E4811" s="716">
        <v>21.33</v>
      </c>
      <c r="F4811" s="717">
        <v>0</v>
      </c>
      <c r="G4811">
        <f>VLOOKUP(B4811,'SINAPI-%MO'!B:E,4,0)</f>
        <v>0.38069999999999998</v>
      </c>
      <c r="H4811" s="225">
        <f t="shared" ref="H4811:H4874" si="75">IF(E4811&gt;0,TRUNC(E4811*(1-G4811),2),"")</f>
        <v>13.2</v>
      </c>
    </row>
    <row r="4812" spans="1:8" x14ac:dyDescent="0.3">
      <c r="A4812" s="400"/>
      <c r="B4812" s="709">
        <v>91873</v>
      </c>
      <c r="C4812" s="710" t="s">
        <v>4295</v>
      </c>
      <c r="D4812" s="709" t="s">
        <v>159</v>
      </c>
      <c r="E4812" s="716">
        <v>26.24</v>
      </c>
      <c r="F4812" s="717">
        <v>0</v>
      </c>
      <c r="G4812">
        <f>VLOOKUP(B4812,'SINAPI-%MO'!B:E,4,0)</f>
        <v>0.49809999999999999</v>
      </c>
      <c r="H4812" s="225">
        <f t="shared" si="75"/>
        <v>13.16</v>
      </c>
    </row>
    <row r="4813" spans="1:8" x14ac:dyDescent="0.3">
      <c r="A4813" s="400"/>
      <c r="B4813" s="709">
        <v>91981</v>
      </c>
      <c r="C4813" s="710" t="s">
        <v>4296</v>
      </c>
      <c r="D4813" s="709" t="s">
        <v>136</v>
      </c>
      <c r="E4813" s="716">
        <v>56.67</v>
      </c>
      <c r="F4813" s="717">
        <v>0</v>
      </c>
      <c r="G4813">
        <f>VLOOKUP(B4813,'SINAPI-%MO'!B:E,4,0)</f>
        <v>0.55830000000000002</v>
      </c>
      <c r="H4813" s="225">
        <f t="shared" si="75"/>
        <v>25.03</v>
      </c>
    </row>
    <row r="4814" spans="1:8" x14ac:dyDescent="0.3">
      <c r="A4814" s="400"/>
      <c r="B4814" s="709">
        <v>91980</v>
      </c>
      <c r="C4814" s="710" t="s">
        <v>4297</v>
      </c>
      <c r="D4814" s="709" t="s">
        <v>136</v>
      </c>
      <c r="E4814" s="716">
        <v>44.05</v>
      </c>
      <c r="F4814" s="717">
        <v>0</v>
      </c>
      <c r="G4814">
        <f>VLOOKUP(B4814,'SINAPI-%MO'!B:E,4,0)</f>
        <v>0.54479999999999995</v>
      </c>
      <c r="H4814" s="225">
        <f t="shared" si="75"/>
        <v>20.05</v>
      </c>
    </row>
    <row r="4815" spans="1:8" x14ac:dyDescent="0.3">
      <c r="A4815" s="400"/>
      <c r="B4815" s="709">
        <v>91979</v>
      </c>
      <c r="C4815" s="710" t="s">
        <v>4298</v>
      </c>
      <c r="D4815" s="709" t="s">
        <v>136</v>
      </c>
      <c r="E4815" s="716">
        <v>58.03</v>
      </c>
      <c r="F4815" s="717">
        <v>0</v>
      </c>
      <c r="G4815">
        <f>VLOOKUP(B4815,'SINAPI-%MO'!B:E,4,0)</f>
        <v>0.54520000000000002</v>
      </c>
      <c r="H4815" s="225">
        <f t="shared" si="75"/>
        <v>26.39</v>
      </c>
    </row>
    <row r="4816" spans="1:8" x14ac:dyDescent="0.3">
      <c r="A4816" s="400"/>
      <c r="B4816" s="709">
        <v>91978</v>
      </c>
      <c r="C4816" s="710" t="s">
        <v>4299</v>
      </c>
      <c r="D4816" s="709" t="s">
        <v>136</v>
      </c>
      <c r="E4816" s="716">
        <v>45.41</v>
      </c>
      <c r="F4816" s="717">
        <v>0</v>
      </c>
      <c r="G4816">
        <f>VLOOKUP(B4816,'SINAPI-%MO'!B:E,4,0)</f>
        <v>0.52849999999999997</v>
      </c>
      <c r="H4816" s="225">
        <f t="shared" si="75"/>
        <v>21.41</v>
      </c>
    </row>
    <row r="4817" spans="1:8" x14ac:dyDescent="0.3">
      <c r="A4817" s="400"/>
      <c r="B4817" s="709">
        <v>92029</v>
      </c>
      <c r="C4817" s="710" t="s">
        <v>4300</v>
      </c>
      <c r="D4817" s="709" t="s">
        <v>136</v>
      </c>
      <c r="E4817" s="716">
        <v>65.67</v>
      </c>
      <c r="F4817" s="717">
        <v>0</v>
      </c>
      <c r="G4817">
        <f>VLOOKUP(B4817,'SINAPI-%MO'!B:E,4,0)</f>
        <v>0.63649999999999995</v>
      </c>
      <c r="H4817" s="225">
        <f t="shared" si="75"/>
        <v>23.87</v>
      </c>
    </row>
    <row r="4818" spans="1:8" x14ac:dyDescent="0.3">
      <c r="A4818" s="400"/>
      <c r="B4818" s="709">
        <v>92028</v>
      </c>
      <c r="C4818" s="710" t="s">
        <v>4301</v>
      </c>
      <c r="D4818" s="709" t="s">
        <v>136</v>
      </c>
      <c r="E4818" s="716">
        <v>53.05</v>
      </c>
      <c r="F4818" s="717">
        <v>0</v>
      </c>
      <c r="G4818">
        <f>VLOOKUP(B4818,'SINAPI-%MO'!B:E,4,0)</f>
        <v>0.64390000000000003</v>
      </c>
      <c r="H4818" s="225">
        <f t="shared" si="75"/>
        <v>18.89</v>
      </c>
    </row>
    <row r="4819" spans="1:8" x14ac:dyDescent="0.3">
      <c r="A4819" s="400"/>
      <c r="B4819" s="709">
        <v>92031</v>
      </c>
      <c r="C4819" s="710" t="s">
        <v>4302</v>
      </c>
      <c r="D4819" s="709" t="s">
        <v>136</v>
      </c>
      <c r="E4819" s="716">
        <v>89.66</v>
      </c>
      <c r="F4819" s="717">
        <v>0</v>
      </c>
      <c r="G4819">
        <f>VLOOKUP(B4819,'SINAPI-%MO'!B:E,4,0)</f>
        <v>0.63549999999999995</v>
      </c>
      <c r="H4819" s="225">
        <f t="shared" si="75"/>
        <v>32.68</v>
      </c>
    </row>
    <row r="4820" spans="1:8" x14ac:dyDescent="0.3">
      <c r="A4820" s="400"/>
      <c r="B4820" s="709">
        <v>92030</v>
      </c>
      <c r="C4820" s="710" t="s">
        <v>4303</v>
      </c>
      <c r="D4820" s="709" t="s">
        <v>136</v>
      </c>
      <c r="E4820" s="716">
        <v>77.040000000000006</v>
      </c>
      <c r="F4820" s="717">
        <v>0</v>
      </c>
      <c r="G4820">
        <f>VLOOKUP(B4820,'SINAPI-%MO'!B:E,4,0)</f>
        <v>0.64039999999999997</v>
      </c>
      <c r="H4820" s="225">
        <f t="shared" si="75"/>
        <v>27.7</v>
      </c>
    </row>
    <row r="4821" spans="1:8" x14ac:dyDescent="0.3">
      <c r="A4821" s="400"/>
      <c r="B4821" s="709">
        <v>91955</v>
      </c>
      <c r="C4821" s="710" t="s">
        <v>4304</v>
      </c>
      <c r="D4821" s="709" t="s">
        <v>136</v>
      </c>
      <c r="E4821" s="716">
        <v>41.63</v>
      </c>
      <c r="F4821" s="717">
        <v>0</v>
      </c>
      <c r="G4821">
        <f>VLOOKUP(B4821,'SINAPI-%MO'!B:E,4,0)</f>
        <v>0.63819999999999999</v>
      </c>
      <c r="H4821" s="225">
        <f t="shared" si="75"/>
        <v>15.06</v>
      </c>
    </row>
    <row r="4822" spans="1:8" x14ac:dyDescent="0.3">
      <c r="A4822" s="400"/>
      <c r="B4822" s="709">
        <v>91954</v>
      </c>
      <c r="C4822" s="710" t="s">
        <v>4305</v>
      </c>
      <c r="D4822" s="709" t="s">
        <v>136</v>
      </c>
      <c r="E4822" s="716">
        <v>29.01</v>
      </c>
      <c r="F4822" s="717">
        <v>0</v>
      </c>
      <c r="G4822">
        <f>VLOOKUP(B4822,'SINAPI-%MO'!B:E,4,0)</f>
        <v>0.65249999999999997</v>
      </c>
      <c r="H4822" s="225">
        <f t="shared" si="75"/>
        <v>10.08</v>
      </c>
    </row>
    <row r="4823" spans="1:8" x14ac:dyDescent="0.3">
      <c r="A4823" s="400"/>
      <c r="B4823" s="709">
        <v>92033</v>
      </c>
      <c r="C4823" s="710" t="s">
        <v>4306</v>
      </c>
      <c r="D4823" s="709" t="s">
        <v>136</v>
      </c>
      <c r="E4823" s="716">
        <v>90.93</v>
      </c>
      <c r="F4823" s="717">
        <v>0</v>
      </c>
      <c r="G4823">
        <f>VLOOKUP(B4823,'SINAPI-%MO'!B:E,4,0)</f>
        <v>0.62660000000000005</v>
      </c>
      <c r="H4823" s="225">
        <f t="shared" si="75"/>
        <v>33.950000000000003</v>
      </c>
    </row>
    <row r="4824" spans="1:8" x14ac:dyDescent="0.3">
      <c r="A4824" s="400"/>
      <c r="B4824" s="709">
        <v>92032</v>
      </c>
      <c r="C4824" s="710" t="s">
        <v>4307</v>
      </c>
      <c r="D4824" s="709" t="s">
        <v>136</v>
      </c>
      <c r="E4824" s="716">
        <v>78.31</v>
      </c>
      <c r="F4824" s="717">
        <v>0</v>
      </c>
      <c r="G4824">
        <f>VLOOKUP(B4824,'SINAPI-%MO'!B:E,4,0)</f>
        <v>0.63009999999999999</v>
      </c>
      <c r="H4824" s="225">
        <f t="shared" si="75"/>
        <v>28.96</v>
      </c>
    </row>
    <row r="4825" spans="1:8" x14ac:dyDescent="0.3">
      <c r="A4825" s="400"/>
      <c r="B4825" s="709">
        <v>91961</v>
      </c>
      <c r="C4825" s="710" t="s">
        <v>4308</v>
      </c>
      <c r="D4825" s="709" t="s">
        <v>136</v>
      </c>
      <c r="E4825" s="716">
        <v>66.94</v>
      </c>
      <c r="F4825" s="717">
        <v>0</v>
      </c>
      <c r="G4825">
        <f>VLOOKUP(B4825,'SINAPI-%MO'!B:E,4,0)</f>
        <v>0.62439999999999996</v>
      </c>
      <c r="H4825" s="225">
        <f t="shared" si="75"/>
        <v>25.14</v>
      </c>
    </row>
    <row r="4826" spans="1:8" x14ac:dyDescent="0.3">
      <c r="A4826" s="400"/>
      <c r="B4826" s="709">
        <v>91960</v>
      </c>
      <c r="C4826" s="710" t="s">
        <v>4309</v>
      </c>
      <c r="D4826" s="709" t="s">
        <v>136</v>
      </c>
      <c r="E4826" s="716">
        <v>54.32</v>
      </c>
      <c r="F4826" s="717">
        <v>0</v>
      </c>
      <c r="G4826">
        <f>VLOOKUP(B4826,'SINAPI-%MO'!B:E,4,0)</f>
        <v>0.62890000000000001</v>
      </c>
      <c r="H4826" s="225">
        <f t="shared" si="75"/>
        <v>20.149999999999999</v>
      </c>
    </row>
    <row r="4827" spans="1:8" x14ac:dyDescent="0.3">
      <c r="A4827" s="400"/>
      <c r="B4827" s="709">
        <v>91969</v>
      </c>
      <c r="C4827" s="710" t="s">
        <v>4310</v>
      </c>
      <c r="D4827" s="709" t="s">
        <v>136</v>
      </c>
      <c r="E4827" s="716">
        <v>92.2</v>
      </c>
      <c r="F4827" s="717">
        <v>0</v>
      </c>
      <c r="G4827">
        <f>VLOOKUP(B4827,'SINAPI-%MO'!B:E,4,0)</f>
        <v>0.61799999999999999</v>
      </c>
      <c r="H4827" s="225">
        <f t="shared" si="75"/>
        <v>35.22</v>
      </c>
    </row>
    <row r="4828" spans="1:8" x14ac:dyDescent="0.3">
      <c r="A4828" s="400"/>
      <c r="B4828" s="709">
        <v>91968</v>
      </c>
      <c r="C4828" s="710" t="s">
        <v>4311</v>
      </c>
      <c r="D4828" s="709" t="s">
        <v>136</v>
      </c>
      <c r="E4828" s="716">
        <v>79.58</v>
      </c>
      <c r="F4828" s="717">
        <v>0</v>
      </c>
      <c r="G4828">
        <f>VLOOKUP(B4828,'SINAPI-%MO'!B:E,4,0)</f>
        <v>0.62</v>
      </c>
      <c r="H4828" s="225">
        <f t="shared" si="75"/>
        <v>30.24</v>
      </c>
    </row>
    <row r="4829" spans="1:8" x14ac:dyDescent="0.3">
      <c r="A4829" s="400"/>
      <c r="B4829" s="709">
        <v>91985</v>
      </c>
      <c r="C4829" s="710" t="s">
        <v>4312</v>
      </c>
      <c r="D4829" s="709" t="s">
        <v>136</v>
      </c>
      <c r="E4829" s="716">
        <v>32.950000000000003</v>
      </c>
      <c r="F4829" s="717">
        <v>0</v>
      </c>
      <c r="G4829">
        <f>VLOOKUP(B4829,'SINAPI-%MO'!B:E,4,0)</f>
        <v>0.6522</v>
      </c>
      <c r="H4829" s="225">
        <f t="shared" si="75"/>
        <v>11.46</v>
      </c>
    </row>
    <row r="4830" spans="1:8" x14ac:dyDescent="0.3">
      <c r="A4830" s="400"/>
      <c r="B4830" s="709">
        <v>91984</v>
      </c>
      <c r="C4830" s="710" t="s">
        <v>4313</v>
      </c>
      <c r="D4830" s="709" t="s">
        <v>136</v>
      </c>
      <c r="E4830" s="716">
        <v>20.329999999999998</v>
      </c>
      <c r="F4830" s="717">
        <v>0</v>
      </c>
      <c r="G4830">
        <f>VLOOKUP(B4830,'SINAPI-%MO'!B:E,4,0)</f>
        <v>0.68130000000000002</v>
      </c>
      <c r="H4830" s="225">
        <f t="shared" si="75"/>
        <v>6.47</v>
      </c>
    </row>
    <row r="4831" spans="1:8" x14ac:dyDescent="0.3">
      <c r="A4831" s="400"/>
      <c r="B4831" s="709">
        <v>91989</v>
      </c>
      <c r="C4831" s="710" t="s">
        <v>4314</v>
      </c>
      <c r="D4831" s="709" t="s">
        <v>136</v>
      </c>
      <c r="E4831" s="716">
        <v>37.51</v>
      </c>
      <c r="F4831" s="717">
        <v>0</v>
      </c>
      <c r="G4831">
        <f>VLOOKUP(B4831,'SINAPI-%MO'!B:E,4,0)</f>
        <v>0.57289999999999996</v>
      </c>
      <c r="H4831" s="225">
        <f t="shared" si="75"/>
        <v>16.02</v>
      </c>
    </row>
    <row r="4832" spans="1:8" x14ac:dyDescent="0.3">
      <c r="A4832" s="400"/>
      <c r="B4832" s="709">
        <v>91988</v>
      </c>
      <c r="C4832" s="710" t="s">
        <v>4315</v>
      </c>
      <c r="D4832" s="709" t="s">
        <v>136</v>
      </c>
      <c r="E4832" s="716">
        <v>24.89</v>
      </c>
      <c r="F4832" s="717">
        <v>0</v>
      </c>
      <c r="G4832">
        <f>VLOOKUP(B4832,'SINAPI-%MO'!B:E,4,0)</f>
        <v>0.55640000000000001</v>
      </c>
      <c r="H4832" s="225">
        <f t="shared" si="75"/>
        <v>11.04</v>
      </c>
    </row>
    <row r="4833" spans="1:8" x14ac:dyDescent="0.3">
      <c r="A4833" s="400"/>
      <c r="B4833" s="709">
        <v>92023</v>
      </c>
      <c r="C4833" s="710" t="s">
        <v>4316</v>
      </c>
      <c r="D4833" s="709" t="s">
        <v>136</v>
      </c>
      <c r="E4833" s="716">
        <v>58.19</v>
      </c>
      <c r="F4833" s="717">
        <v>0</v>
      </c>
      <c r="G4833">
        <f>VLOOKUP(B4833,'SINAPI-%MO'!B:E,4,0)</f>
        <v>0.63</v>
      </c>
      <c r="H4833" s="225">
        <f t="shared" si="75"/>
        <v>21.53</v>
      </c>
    </row>
    <row r="4834" spans="1:8" x14ac:dyDescent="0.3">
      <c r="A4834" s="400"/>
      <c r="B4834" s="709">
        <v>92022</v>
      </c>
      <c r="C4834" s="710" t="s">
        <v>4317</v>
      </c>
      <c r="D4834" s="709" t="s">
        <v>136</v>
      </c>
      <c r="E4834" s="716">
        <v>45.57</v>
      </c>
      <c r="F4834" s="717">
        <v>0</v>
      </c>
      <c r="G4834">
        <f>VLOOKUP(B4834,'SINAPI-%MO'!B:E,4,0)</f>
        <v>0.63680000000000003</v>
      </c>
      <c r="H4834" s="225">
        <f t="shared" si="75"/>
        <v>16.55</v>
      </c>
    </row>
    <row r="4835" spans="1:8" x14ac:dyDescent="0.3">
      <c r="A4835" s="400"/>
      <c r="B4835" s="709">
        <v>92025</v>
      </c>
      <c r="C4835" s="710" t="s">
        <v>4318</v>
      </c>
      <c r="D4835" s="709" t="s">
        <v>136</v>
      </c>
      <c r="E4835" s="716">
        <v>82.24</v>
      </c>
      <c r="F4835" s="717">
        <v>0</v>
      </c>
      <c r="G4835">
        <f>VLOOKUP(B4835,'SINAPI-%MO'!B:E,4,0)</f>
        <v>0.63109999999999999</v>
      </c>
      <c r="H4835" s="225">
        <f t="shared" si="75"/>
        <v>30.33</v>
      </c>
    </row>
    <row r="4836" spans="1:8" x14ac:dyDescent="0.3">
      <c r="A4836" s="400"/>
      <c r="B4836" s="709">
        <v>92024</v>
      </c>
      <c r="C4836" s="710" t="s">
        <v>4319</v>
      </c>
      <c r="D4836" s="709" t="s">
        <v>136</v>
      </c>
      <c r="E4836" s="716">
        <v>69.62</v>
      </c>
      <c r="F4836" s="717">
        <v>0</v>
      </c>
      <c r="G4836">
        <f>VLOOKUP(B4836,'SINAPI-%MO'!B:E,4,0)</f>
        <v>0.63570000000000004</v>
      </c>
      <c r="H4836" s="225">
        <f t="shared" si="75"/>
        <v>25.36</v>
      </c>
    </row>
    <row r="4837" spans="1:8" x14ac:dyDescent="0.3">
      <c r="A4837" s="400"/>
      <c r="B4837" s="709">
        <v>91957</v>
      </c>
      <c r="C4837" s="710" t="s">
        <v>4320</v>
      </c>
      <c r="D4837" s="709" t="s">
        <v>136</v>
      </c>
      <c r="E4837" s="716">
        <v>59.46</v>
      </c>
      <c r="F4837" s="717">
        <v>0</v>
      </c>
      <c r="G4837">
        <f>VLOOKUP(B4837,'SINAPI-%MO'!B:E,4,0)</f>
        <v>0.61650000000000005</v>
      </c>
      <c r="H4837" s="225">
        <f t="shared" si="75"/>
        <v>22.8</v>
      </c>
    </row>
    <row r="4838" spans="1:8" x14ac:dyDescent="0.3">
      <c r="A4838" s="400"/>
      <c r="B4838" s="709">
        <v>91956</v>
      </c>
      <c r="C4838" s="710" t="s">
        <v>4321</v>
      </c>
      <c r="D4838" s="709" t="s">
        <v>136</v>
      </c>
      <c r="E4838" s="716">
        <v>46.84</v>
      </c>
      <c r="F4838" s="717">
        <v>0</v>
      </c>
      <c r="G4838">
        <f>VLOOKUP(B4838,'SINAPI-%MO'!B:E,4,0)</f>
        <v>0.61960000000000004</v>
      </c>
      <c r="H4838" s="225">
        <f t="shared" si="75"/>
        <v>17.809999999999999</v>
      </c>
    </row>
    <row r="4839" spans="1:8" x14ac:dyDescent="0.3">
      <c r="A4839" s="400"/>
      <c r="B4839" s="709">
        <v>91963</v>
      </c>
      <c r="C4839" s="710" t="s">
        <v>4322</v>
      </c>
      <c r="D4839" s="709" t="s">
        <v>136</v>
      </c>
      <c r="E4839" s="716">
        <v>84.78</v>
      </c>
      <c r="F4839" s="717">
        <v>0</v>
      </c>
      <c r="G4839">
        <f>VLOOKUP(B4839,'SINAPI-%MO'!B:E,4,0)</f>
        <v>0.61219999999999997</v>
      </c>
      <c r="H4839" s="225">
        <f t="shared" si="75"/>
        <v>32.869999999999997</v>
      </c>
    </row>
    <row r="4840" spans="1:8" x14ac:dyDescent="0.3">
      <c r="A4840" s="400"/>
      <c r="B4840" s="709">
        <v>91962</v>
      </c>
      <c r="C4840" s="710" t="s">
        <v>4323</v>
      </c>
      <c r="D4840" s="709" t="s">
        <v>136</v>
      </c>
      <c r="E4840" s="716">
        <v>72.16</v>
      </c>
      <c r="F4840" s="717">
        <v>0</v>
      </c>
      <c r="G4840">
        <f>VLOOKUP(B4840,'SINAPI-%MO'!B:E,4,0)</f>
        <v>0.61339999999999995</v>
      </c>
      <c r="H4840" s="225">
        <f t="shared" si="75"/>
        <v>27.89</v>
      </c>
    </row>
    <row r="4841" spans="1:8" x14ac:dyDescent="0.3">
      <c r="A4841" s="400"/>
      <c r="B4841" s="709">
        <v>91953</v>
      </c>
      <c r="C4841" s="710" t="s">
        <v>4324</v>
      </c>
      <c r="D4841" s="709" t="s">
        <v>136</v>
      </c>
      <c r="E4841" s="716">
        <v>34.21</v>
      </c>
      <c r="F4841" s="717">
        <v>0</v>
      </c>
      <c r="G4841">
        <f>VLOOKUP(B4841,'SINAPI-%MO'!B:E,4,0)</f>
        <v>0.62819999999999998</v>
      </c>
      <c r="H4841" s="225">
        <f t="shared" si="75"/>
        <v>12.71</v>
      </c>
    </row>
    <row r="4842" spans="1:8" x14ac:dyDescent="0.3">
      <c r="A4842" s="400"/>
      <c r="B4842" s="709">
        <v>91952</v>
      </c>
      <c r="C4842" s="710" t="s">
        <v>4325</v>
      </c>
      <c r="D4842" s="709" t="s">
        <v>136</v>
      </c>
      <c r="E4842" s="716">
        <v>21.59</v>
      </c>
      <c r="F4842" s="717">
        <v>0</v>
      </c>
      <c r="G4842">
        <f>VLOOKUP(B4842,'SINAPI-%MO'!B:E,4,0)</f>
        <v>0.64149999999999996</v>
      </c>
      <c r="H4842" s="225">
        <f t="shared" si="75"/>
        <v>7.74</v>
      </c>
    </row>
    <row r="4843" spans="1:8" x14ac:dyDescent="0.3">
      <c r="A4843" s="400"/>
      <c r="B4843" s="709">
        <v>92035</v>
      </c>
      <c r="C4843" s="710" t="s">
        <v>4326</v>
      </c>
      <c r="D4843" s="709" t="s">
        <v>136</v>
      </c>
      <c r="E4843" s="716">
        <v>83.51</v>
      </c>
      <c r="F4843" s="717">
        <v>0</v>
      </c>
      <c r="G4843">
        <f>VLOOKUP(B4843,'SINAPI-%MO'!B:E,4,0)</f>
        <v>0.62150000000000005</v>
      </c>
      <c r="H4843" s="225">
        <f t="shared" si="75"/>
        <v>31.6</v>
      </c>
    </row>
    <row r="4844" spans="1:8" x14ac:dyDescent="0.3">
      <c r="A4844" s="400"/>
      <c r="B4844" s="709">
        <v>92034</v>
      </c>
      <c r="C4844" s="710" t="s">
        <v>4327</v>
      </c>
      <c r="D4844" s="709" t="s">
        <v>136</v>
      </c>
      <c r="E4844" s="716">
        <v>70.89</v>
      </c>
      <c r="F4844" s="717">
        <v>0</v>
      </c>
      <c r="G4844">
        <f>VLOOKUP(B4844,'SINAPI-%MO'!B:E,4,0)</f>
        <v>0.62429999999999997</v>
      </c>
      <c r="H4844" s="225">
        <f t="shared" si="75"/>
        <v>26.63</v>
      </c>
    </row>
    <row r="4845" spans="1:8" x14ac:dyDescent="0.3">
      <c r="A4845" s="400"/>
      <c r="B4845" s="709">
        <v>92027</v>
      </c>
      <c r="C4845" s="710" t="s">
        <v>4328</v>
      </c>
      <c r="D4845" s="709" t="s">
        <v>136</v>
      </c>
      <c r="E4845" s="716">
        <v>76.09</v>
      </c>
      <c r="F4845" s="717">
        <v>0</v>
      </c>
      <c r="G4845">
        <f>VLOOKUP(B4845,'SINAPI-%MO'!B:E,4,0)</f>
        <v>0.61529999999999996</v>
      </c>
      <c r="H4845" s="225">
        <f t="shared" si="75"/>
        <v>29.27</v>
      </c>
    </row>
    <row r="4846" spans="1:8" x14ac:dyDescent="0.3">
      <c r="A4846" s="400"/>
      <c r="B4846" s="709">
        <v>92026</v>
      </c>
      <c r="C4846" s="710" t="s">
        <v>4329</v>
      </c>
      <c r="D4846" s="709" t="s">
        <v>136</v>
      </c>
      <c r="E4846" s="716">
        <v>63.47</v>
      </c>
      <c r="F4846" s="717">
        <v>0</v>
      </c>
      <c r="G4846">
        <f>VLOOKUP(B4846,'SINAPI-%MO'!B:E,4,0)</f>
        <v>0.61729999999999996</v>
      </c>
      <c r="H4846" s="225">
        <f t="shared" si="75"/>
        <v>24.28</v>
      </c>
    </row>
    <row r="4847" spans="1:8" x14ac:dyDescent="0.3">
      <c r="A4847" s="400"/>
      <c r="B4847" s="709">
        <v>91965</v>
      </c>
      <c r="C4847" s="710" t="s">
        <v>4330</v>
      </c>
      <c r="D4847" s="709" t="s">
        <v>136</v>
      </c>
      <c r="E4847" s="716">
        <v>77.36</v>
      </c>
      <c r="F4847" s="717">
        <v>0</v>
      </c>
      <c r="G4847">
        <f>VLOOKUP(B4847,'SINAPI-%MO'!B:E,4,0)</f>
        <v>0.60519999999999996</v>
      </c>
      <c r="H4847" s="225">
        <f t="shared" si="75"/>
        <v>30.54</v>
      </c>
    </row>
    <row r="4848" spans="1:8" x14ac:dyDescent="0.3">
      <c r="A4848" s="400"/>
      <c r="B4848" s="709">
        <v>91964</v>
      </c>
      <c r="C4848" s="710" t="s">
        <v>4331</v>
      </c>
      <c r="D4848" s="709" t="s">
        <v>136</v>
      </c>
      <c r="E4848" s="716">
        <v>64.739999999999995</v>
      </c>
      <c r="F4848" s="717">
        <v>0</v>
      </c>
      <c r="G4848">
        <f>VLOOKUP(B4848,'SINAPI-%MO'!B:E,4,0)</f>
        <v>0.60519999999999996</v>
      </c>
      <c r="H4848" s="225">
        <f t="shared" si="75"/>
        <v>25.55</v>
      </c>
    </row>
    <row r="4849" spans="1:8" x14ac:dyDescent="0.3">
      <c r="A4849" s="400"/>
      <c r="B4849" s="709">
        <v>91973</v>
      </c>
      <c r="C4849" s="710" t="s">
        <v>4332</v>
      </c>
      <c r="D4849" s="709" t="s">
        <v>136</v>
      </c>
      <c r="E4849" s="716">
        <v>108.92</v>
      </c>
      <c r="F4849" s="717">
        <v>0</v>
      </c>
      <c r="G4849">
        <f>VLOOKUP(B4849,'SINAPI-%MO'!B:E,4,0)</f>
        <v>0.58609999999999995</v>
      </c>
      <c r="H4849" s="225">
        <f t="shared" si="75"/>
        <v>45.08</v>
      </c>
    </row>
    <row r="4850" spans="1:8" x14ac:dyDescent="0.3">
      <c r="A4850" s="400"/>
      <c r="B4850" s="709">
        <v>91972</v>
      </c>
      <c r="C4850" s="710" t="s">
        <v>4333</v>
      </c>
      <c r="D4850" s="709" t="s">
        <v>136</v>
      </c>
      <c r="E4850" s="716">
        <v>90.53</v>
      </c>
      <c r="F4850" s="717">
        <v>0</v>
      </c>
      <c r="G4850">
        <f>VLOOKUP(B4850,'SINAPI-%MO'!B:E,4,0)</f>
        <v>0.60629999999999995</v>
      </c>
      <c r="H4850" s="225">
        <f t="shared" si="75"/>
        <v>35.64</v>
      </c>
    </row>
    <row r="4851" spans="1:8" x14ac:dyDescent="0.3">
      <c r="A4851" s="400"/>
      <c r="B4851" s="709">
        <v>91959</v>
      </c>
      <c r="C4851" s="710" t="s">
        <v>4334</v>
      </c>
      <c r="D4851" s="709" t="s">
        <v>136</v>
      </c>
      <c r="E4851" s="716">
        <v>52.1</v>
      </c>
      <c r="F4851" s="717">
        <v>0</v>
      </c>
      <c r="G4851">
        <f>VLOOKUP(B4851,'SINAPI-%MO'!B:E,4,0)</f>
        <v>0.60729999999999995</v>
      </c>
      <c r="H4851" s="225">
        <f t="shared" si="75"/>
        <v>20.45</v>
      </c>
    </row>
    <row r="4852" spans="1:8" x14ac:dyDescent="0.3">
      <c r="A4852" s="400"/>
      <c r="B4852" s="709">
        <v>91958</v>
      </c>
      <c r="C4852" s="710" t="s">
        <v>4335</v>
      </c>
      <c r="D4852" s="709" t="s">
        <v>136</v>
      </c>
      <c r="E4852" s="716">
        <v>39.479999999999997</v>
      </c>
      <c r="F4852" s="717">
        <v>0</v>
      </c>
      <c r="G4852">
        <f>VLOOKUP(B4852,'SINAPI-%MO'!B:E,4,0)</f>
        <v>0.6079</v>
      </c>
      <c r="H4852" s="225">
        <f t="shared" si="75"/>
        <v>15.48</v>
      </c>
    </row>
    <row r="4853" spans="1:8" x14ac:dyDescent="0.3">
      <c r="A4853" s="400"/>
      <c r="B4853" s="709">
        <v>91971</v>
      </c>
      <c r="C4853" s="710" t="s">
        <v>4336</v>
      </c>
      <c r="D4853" s="709" t="s">
        <v>136</v>
      </c>
      <c r="E4853" s="716">
        <v>101.44</v>
      </c>
      <c r="F4853" s="717">
        <v>0</v>
      </c>
      <c r="G4853">
        <f>VLOOKUP(B4853,'SINAPI-%MO'!B:E,4,0)</f>
        <v>0.57869999999999999</v>
      </c>
      <c r="H4853" s="225">
        <f t="shared" si="75"/>
        <v>42.73</v>
      </c>
    </row>
    <row r="4854" spans="1:8" x14ac:dyDescent="0.3">
      <c r="A4854" s="400"/>
      <c r="B4854" s="709">
        <v>91970</v>
      </c>
      <c r="C4854" s="710" t="s">
        <v>4337</v>
      </c>
      <c r="D4854" s="709" t="s">
        <v>136</v>
      </c>
      <c r="E4854" s="716">
        <v>83.05</v>
      </c>
      <c r="F4854" s="717">
        <v>0</v>
      </c>
      <c r="G4854">
        <f>VLOOKUP(B4854,'SINAPI-%MO'!B:E,4,0)</f>
        <v>0.59899999999999998</v>
      </c>
      <c r="H4854" s="225">
        <f t="shared" si="75"/>
        <v>33.299999999999997</v>
      </c>
    </row>
    <row r="4855" spans="1:8" x14ac:dyDescent="0.3">
      <c r="A4855" s="400"/>
      <c r="B4855" s="709">
        <v>91967</v>
      </c>
      <c r="C4855" s="710" t="s">
        <v>4338</v>
      </c>
      <c r="D4855" s="709" t="s">
        <v>136</v>
      </c>
      <c r="E4855" s="716">
        <v>70</v>
      </c>
      <c r="F4855" s="717">
        <v>0</v>
      </c>
      <c r="G4855">
        <f>VLOOKUP(B4855,'SINAPI-%MO'!B:E,4,0)</f>
        <v>0.59709999999999996</v>
      </c>
      <c r="H4855" s="225">
        <f t="shared" si="75"/>
        <v>28.2</v>
      </c>
    </row>
    <row r="4856" spans="1:8" x14ac:dyDescent="0.3">
      <c r="A4856" s="400"/>
      <c r="B4856" s="709">
        <v>91966</v>
      </c>
      <c r="C4856" s="710" t="s">
        <v>4339</v>
      </c>
      <c r="D4856" s="709" t="s">
        <v>136</v>
      </c>
      <c r="E4856" s="716">
        <v>57.38</v>
      </c>
      <c r="F4856" s="717">
        <v>0</v>
      </c>
      <c r="G4856">
        <f>VLOOKUP(B4856,'SINAPI-%MO'!B:E,4,0)</f>
        <v>0.59530000000000005</v>
      </c>
      <c r="H4856" s="225">
        <f t="shared" si="75"/>
        <v>23.22</v>
      </c>
    </row>
    <row r="4857" spans="1:8" x14ac:dyDescent="0.3">
      <c r="A4857" s="400"/>
      <c r="B4857" s="709">
        <v>91975</v>
      </c>
      <c r="C4857" s="710" t="s">
        <v>4340</v>
      </c>
      <c r="D4857" s="709" t="s">
        <v>136</v>
      </c>
      <c r="E4857" s="716">
        <v>94.02</v>
      </c>
      <c r="F4857" s="717">
        <v>0</v>
      </c>
      <c r="G4857">
        <f>VLOOKUP(B4857,'SINAPI-%MO'!B:E,4,0)</f>
        <v>0.57030000000000003</v>
      </c>
      <c r="H4857" s="225">
        <f t="shared" si="75"/>
        <v>40.4</v>
      </c>
    </row>
    <row r="4858" spans="1:8" x14ac:dyDescent="0.3">
      <c r="A4858" s="400"/>
      <c r="B4858" s="709">
        <v>91974</v>
      </c>
      <c r="C4858" s="710" t="s">
        <v>4341</v>
      </c>
      <c r="D4858" s="709" t="s">
        <v>136</v>
      </c>
      <c r="E4858" s="716">
        <v>75.63</v>
      </c>
      <c r="F4858" s="717">
        <v>0</v>
      </c>
      <c r="G4858">
        <f>VLOOKUP(B4858,'SINAPI-%MO'!B:E,4,0)</f>
        <v>0.59060000000000001</v>
      </c>
      <c r="H4858" s="225">
        <f t="shared" si="75"/>
        <v>30.96</v>
      </c>
    </row>
    <row r="4859" spans="1:8" x14ac:dyDescent="0.3">
      <c r="A4859" s="400"/>
      <c r="B4859" s="709">
        <v>91977</v>
      </c>
      <c r="C4859" s="710" t="s">
        <v>4342</v>
      </c>
      <c r="D4859" s="709" t="s">
        <v>136</v>
      </c>
      <c r="E4859" s="716">
        <v>129.87</v>
      </c>
      <c r="F4859" s="717">
        <v>0</v>
      </c>
      <c r="G4859">
        <f>VLOOKUP(B4859,'SINAPI-%MO'!B:E,4,0)</f>
        <v>0.56969999999999998</v>
      </c>
      <c r="H4859" s="225">
        <f t="shared" si="75"/>
        <v>55.88</v>
      </c>
    </row>
    <row r="4860" spans="1:8" x14ac:dyDescent="0.3">
      <c r="A4860" s="400"/>
      <c r="B4860" s="709">
        <v>91976</v>
      </c>
      <c r="C4860" s="710" t="s">
        <v>4343</v>
      </c>
      <c r="D4860" s="709" t="s">
        <v>136</v>
      </c>
      <c r="E4860" s="716">
        <v>111.48</v>
      </c>
      <c r="F4860" s="717">
        <v>0</v>
      </c>
      <c r="G4860">
        <f>VLOOKUP(B4860,'SINAPI-%MO'!B:E,4,0)</f>
        <v>0.58340000000000003</v>
      </c>
      <c r="H4860" s="225">
        <f t="shared" si="75"/>
        <v>46.44</v>
      </c>
    </row>
    <row r="4861" spans="1:8" x14ac:dyDescent="0.3">
      <c r="A4861" s="400"/>
      <c r="B4861" s="709">
        <v>91874</v>
      </c>
      <c r="C4861" s="710" t="s">
        <v>4344</v>
      </c>
      <c r="D4861" s="709" t="s">
        <v>136</v>
      </c>
      <c r="E4861" s="716">
        <v>8.26</v>
      </c>
      <c r="F4861" s="717">
        <v>0</v>
      </c>
      <c r="G4861">
        <f>VLOOKUP(B4861,'SINAPI-%MO'!B:E,4,0)</f>
        <v>0.87409999999999999</v>
      </c>
      <c r="H4861" s="225">
        <f t="shared" si="75"/>
        <v>1.03</v>
      </c>
    </row>
    <row r="4862" spans="1:8" x14ac:dyDescent="0.3">
      <c r="A4862" s="400"/>
      <c r="B4862" s="709">
        <v>91878</v>
      </c>
      <c r="C4862" s="710" t="s">
        <v>4345</v>
      </c>
      <c r="D4862" s="709" t="s">
        <v>136</v>
      </c>
      <c r="E4862" s="716">
        <v>6.53</v>
      </c>
      <c r="F4862" s="717">
        <v>0</v>
      </c>
      <c r="G4862">
        <f>VLOOKUP(B4862,'SINAPI-%MO'!B:E,4,0)</f>
        <v>0.8407</v>
      </c>
      <c r="H4862" s="225">
        <f t="shared" si="75"/>
        <v>1.04</v>
      </c>
    </row>
    <row r="4863" spans="1:8" x14ac:dyDescent="0.3">
      <c r="A4863" s="400"/>
      <c r="B4863" s="709">
        <v>91882</v>
      </c>
      <c r="C4863" s="710" t="s">
        <v>4346</v>
      </c>
      <c r="D4863" s="709" t="s">
        <v>136</v>
      </c>
      <c r="E4863" s="716">
        <v>11.85</v>
      </c>
      <c r="F4863" s="717">
        <v>0</v>
      </c>
      <c r="G4863">
        <f>VLOOKUP(B4863,'SINAPI-%MO'!B:E,4,0)</f>
        <v>0.91220000000000001</v>
      </c>
      <c r="H4863" s="225">
        <f t="shared" si="75"/>
        <v>1.04</v>
      </c>
    </row>
    <row r="4864" spans="1:8" x14ac:dyDescent="0.3">
      <c r="A4864" s="400"/>
      <c r="B4864" s="709">
        <v>91875</v>
      </c>
      <c r="C4864" s="710" t="s">
        <v>4347</v>
      </c>
      <c r="D4864" s="709" t="s">
        <v>136</v>
      </c>
      <c r="E4864" s="716">
        <v>9.7100000000000009</v>
      </c>
      <c r="F4864" s="717">
        <v>0</v>
      </c>
      <c r="G4864">
        <f>VLOOKUP(B4864,'SINAPI-%MO'!B:E,4,0)</f>
        <v>0.84240000000000004</v>
      </c>
      <c r="H4864" s="225">
        <f t="shared" si="75"/>
        <v>1.53</v>
      </c>
    </row>
    <row r="4865" spans="1:8" x14ac:dyDescent="0.3">
      <c r="A4865" s="400"/>
      <c r="B4865" s="709">
        <v>91879</v>
      </c>
      <c r="C4865" s="710" t="s">
        <v>4348</v>
      </c>
      <c r="D4865" s="709" t="s">
        <v>136</v>
      </c>
      <c r="E4865" s="716">
        <v>7.97</v>
      </c>
      <c r="F4865" s="717">
        <v>0</v>
      </c>
      <c r="G4865">
        <f>VLOOKUP(B4865,'SINAPI-%MO'!B:E,4,0)</f>
        <v>0.80800000000000005</v>
      </c>
      <c r="H4865" s="225">
        <f t="shared" si="75"/>
        <v>1.53</v>
      </c>
    </row>
    <row r="4866" spans="1:8" x14ac:dyDescent="0.3">
      <c r="A4866" s="400"/>
      <c r="B4866" s="709">
        <v>91884</v>
      </c>
      <c r="C4866" s="710" t="s">
        <v>4349</v>
      </c>
      <c r="D4866" s="709" t="s">
        <v>136</v>
      </c>
      <c r="E4866" s="716">
        <v>13.29</v>
      </c>
      <c r="F4866" s="717">
        <v>0</v>
      </c>
      <c r="G4866">
        <f>VLOOKUP(B4866,'SINAPI-%MO'!B:E,4,0)</f>
        <v>0.88490000000000002</v>
      </c>
      <c r="H4866" s="225">
        <f t="shared" si="75"/>
        <v>1.52</v>
      </c>
    </row>
    <row r="4867" spans="1:8" x14ac:dyDescent="0.3">
      <c r="A4867" s="400"/>
      <c r="B4867" s="709">
        <v>91876</v>
      </c>
      <c r="C4867" s="710" t="s">
        <v>4350</v>
      </c>
      <c r="D4867" s="709" t="s">
        <v>136</v>
      </c>
      <c r="E4867" s="716">
        <v>11.69</v>
      </c>
      <c r="F4867" s="717">
        <v>0</v>
      </c>
      <c r="G4867">
        <f>VLOOKUP(B4867,'SINAPI-%MO'!B:E,4,0)</f>
        <v>0.81689999999999996</v>
      </c>
      <c r="H4867" s="225">
        <f t="shared" si="75"/>
        <v>2.14</v>
      </c>
    </row>
    <row r="4868" spans="1:8" x14ac:dyDescent="0.3">
      <c r="A4868" s="400"/>
      <c r="B4868" s="709">
        <v>91880</v>
      </c>
      <c r="C4868" s="710" t="s">
        <v>4351</v>
      </c>
      <c r="D4868" s="709" t="s">
        <v>136</v>
      </c>
      <c r="E4868" s="716">
        <v>9.9600000000000009</v>
      </c>
      <c r="F4868" s="717">
        <v>0</v>
      </c>
      <c r="G4868">
        <f>VLOOKUP(B4868,'SINAPI-%MO'!B:E,4,0)</f>
        <v>0.78510000000000002</v>
      </c>
      <c r="H4868" s="225">
        <f t="shared" si="75"/>
        <v>2.14</v>
      </c>
    </row>
    <row r="4869" spans="1:8" x14ac:dyDescent="0.3">
      <c r="A4869" s="400"/>
      <c r="B4869" s="709">
        <v>91885</v>
      </c>
      <c r="C4869" s="710" t="s">
        <v>4352</v>
      </c>
      <c r="D4869" s="709" t="s">
        <v>136</v>
      </c>
      <c r="E4869" s="716">
        <v>15.21</v>
      </c>
      <c r="F4869" s="717">
        <v>0</v>
      </c>
      <c r="G4869">
        <f>VLOOKUP(B4869,'SINAPI-%MO'!B:E,4,0)</f>
        <v>0.85929999999999995</v>
      </c>
      <c r="H4869" s="225">
        <f t="shared" si="75"/>
        <v>2.14</v>
      </c>
    </row>
    <row r="4870" spans="1:8" x14ac:dyDescent="0.3">
      <c r="A4870" s="400"/>
      <c r="B4870" s="709">
        <v>91877</v>
      </c>
      <c r="C4870" s="710" t="s">
        <v>4353</v>
      </c>
      <c r="D4870" s="709" t="s">
        <v>136</v>
      </c>
      <c r="E4870" s="716">
        <v>14.43</v>
      </c>
      <c r="F4870" s="717">
        <v>0</v>
      </c>
      <c r="G4870">
        <f>VLOOKUP(B4870,'SINAPI-%MO'!B:E,4,0)</f>
        <v>0.76990000000000003</v>
      </c>
      <c r="H4870" s="225">
        <f t="shared" si="75"/>
        <v>3.32</v>
      </c>
    </row>
    <row r="4871" spans="1:8" x14ac:dyDescent="0.3">
      <c r="A4871" s="400"/>
      <c r="B4871" s="709">
        <v>91881</v>
      </c>
      <c r="C4871" s="710" t="s">
        <v>4354</v>
      </c>
      <c r="D4871" s="709" t="s">
        <v>136</v>
      </c>
      <c r="E4871" s="716">
        <v>12.69</v>
      </c>
      <c r="F4871" s="717">
        <v>0</v>
      </c>
      <c r="G4871">
        <f>VLOOKUP(B4871,'SINAPI-%MO'!B:E,4,0)</f>
        <v>0.73839999999999995</v>
      </c>
      <c r="H4871" s="225">
        <f t="shared" si="75"/>
        <v>3.31</v>
      </c>
    </row>
    <row r="4872" spans="1:8" x14ac:dyDescent="0.3">
      <c r="A4872" s="400"/>
      <c r="B4872" s="709">
        <v>91886</v>
      </c>
      <c r="C4872" s="710" t="s">
        <v>4355</v>
      </c>
      <c r="D4872" s="709" t="s">
        <v>136</v>
      </c>
      <c r="E4872" s="716">
        <v>17.89</v>
      </c>
      <c r="F4872" s="717">
        <v>0</v>
      </c>
      <c r="G4872">
        <f>VLOOKUP(B4872,'SINAPI-%MO'!B:E,4,0)</f>
        <v>0.81440000000000001</v>
      </c>
      <c r="H4872" s="225">
        <f t="shared" si="75"/>
        <v>3.32</v>
      </c>
    </row>
    <row r="4873" spans="1:8" x14ac:dyDescent="0.3">
      <c r="A4873" s="400"/>
      <c r="B4873" s="709">
        <v>91945</v>
      </c>
      <c r="C4873" s="710" t="s">
        <v>4356</v>
      </c>
      <c r="D4873" s="709" t="s">
        <v>136</v>
      </c>
      <c r="E4873" s="716">
        <v>16.14</v>
      </c>
      <c r="F4873" s="717">
        <v>0</v>
      </c>
      <c r="G4873">
        <f>VLOOKUP(B4873,'SINAPI-%MO'!B:E,4,0)</f>
        <v>0.69140000000000001</v>
      </c>
      <c r="H4873" s="225">
        <f t="shared" si="75"/>
        <v>4.9800000000000004</v>
      </c>
    </row>
    <row r="4874" spans="1:8" x14ac:dyDescent="0.3">
      <c r="A4874" s="400"/>
      <c r="B4874" s="709">
        <v>91947</v>
      </c>
      <c r="C4874" s="710" t="s">
        <v>4357</v>
      </c>
      <c r="D4874" s="709" t="s">
        <v>136</v>
      </c>
      <c r="E4874" s="716">
        <v>10.41</v>
      </c>
      <c r="F4874" s="717">
        <v>0</v>
      </c>
      <c r="G4874">
        <f>VLOOKUP(B4874,'SINAPI-%MO'!B:E,4,0)</f>
        <v>0.52159999999999995</v>
      </c>
      <c r="H4874" s="225">
        <f t="shared" si="75"/>
        <v>4.9800000000000004</v>
      </c>
    </row>
    <row r="4875" spans="1:8" x14ac:dyDescent="0.3">
      <c r="A4875" s="400"/>
      <c r="B4875" s="709">
        <v>91946</v>
      </c>
      <c r="C4875" s="710" t="s">
        <v>4358</v>
      </c>
      <c r="D4875" s="709" t="s">
        <v>136</v>
      </c>
      <c r="E4875" s="716">
        <v>12.62</v>
      </c>
      <c r="F4875" s="717">
        <v>0</v>
      </c>
      <c r="G4875">
        <f>VLOOKUP(B4875,'SINAPI-%MO'!B:E,4,0)</f>
        <v>0.60540000000000005</v>
      </c>
      <c r="H4875" s="225">
        <f t="shared" ref="H4875:H4938" si="76">IF(E4875&gt;0,TRUNC(E4875*(1-G4875),2),"")</f>
        <v>4.97</v>
      </c>
    </row>
    <row r="4876" spans="1:8" x14ac:dyDescent="0.3">
      <c r="A4876" s="400"/>
      <c r="B4876" s="709">
        <v>91949</v>
      </c>
      <c r="C4876" s="710" t="s">
        <v>4359</v>
      </c>
      <c r="D4876" s="709" t="s">
        <v>136</v>
      </c>
      <c r="E4876" s="716">
        <v>22.7</v>
      </c>
      <c r="F4876" s="717">
        <v>0</v>
      </c>
      <c r="G4876">
        <f>VLOOKUP(B4876,'SINAPI-%MO'!B:E,4,0)</f>
        <v>0.58409999999999995</v>
      </c>
      <c r="H4876" s="225">
        <f t="shared" si="76"/>
        <v>9.44</v>
      </c>
    </row>
    <row r="4877" spans="1:8" x14ac:dyDescent="0.3">
      <c r="A4877" s="400"/>
      <c r="B4877" s="709">
        <v>91951</v>
      </c>
      <c r="C4877" s="710" t="s">
        <v>4360</v>
      </c>
      <c r="D4877" s="709" t="s">
        <v>136</v>
      </c>
      <c r="E4877" s="716">
        <v>15.82</v>
      </c>
      <c r="F4877" s="717">
        <v>0</v>
      </c>
      <c r="G4877">
        <f>VLOOKUP(B4877,'SINAPI-%MO'!B:E,4,0)</f>
        <v>0.40329999999999999</v>
      </c>
      <c r="H4877" s="225">
        <f t="shared" si="76"/>
        <v>9.43</v>
      </c>
    </row>
    <row r="4878" spans="1:8" x14ac:dyDescent="0.3">
      <c r="A4878" s="400"/>
      <c r="B4878" s="709">
        <v>91950</v>
      </c>
      <c r="C4878" s="710" t="s">
        <v>4361</v>
      </c>
      <c r="D4878" s="709" t="s">
        <v>136</v>
      </c>
      <c r="E4878" s="716">
        <v>18.39</v>
      </c>
      <c r="F4878" s="717">
        <v>0</v>
      </c>
      <c r="G4878">
        <f>VLOOKUP(B4878,'SINAPI-%MO'!B:E,4,0)</f>
        <v>0.48670000000000002</v>
      </c>
      <c r="H4878" s="225">
        <f t="shared" si="76"/>
        <v>9.43</v>
      </c>
    </row>
    <row r="4879" spans="1:8" x14ac:dyDescent="0.3">
      <c r="A4879" s="400"/>
      <c r="B4879" s="709">
        <v>91992</v>
      </c>
      <c r="C4879" s="710" t="s">
        <v>4362</v>
      </c>
      <c r="D4879" s="709" t="s">
        <v>136</v>
      </c>
      <c r="E4879" s="716">
        <v>51.95</v>
      </c>
      <c r="F4879" s="717">
        <v>0</v>
      </c>
      <c r="G4879">
        <f>VLOOKUP(B4879,'SINAPI-%MO'!B:E,4,0)</f>
        <v>0.73460000000000003</v>
      </c>
      <c r="H4879" s="225">
        <f t="shared" si="76"/>
        <v>13.78</v>
      </c>
    </row>
    <row r="4880" spans="1:8" x14ac:dyDescent="0.3">
      <c r="A4880" s="400"/>
      <c r="B4880" s="709">
        <v>91990</v>
      </c>
      <c r="C4880" s="710" t="s">
        <v>4363</v>
      </c>
      <c r="D4880" s="709" t="s">
        <v>136</v>
      </c>
      <c r="E4880" s="716">
        <v>39.33</v>
      </c>
      <c r="F4880" s="717">
        <v>0</v>
      </c>
      <c r="G4880">
        <f>VLOOKUP(B4880,'SINAPI-%MO'!B:E,4,0)</f>
        <v>0.77600000000000002</v>
      </c>
      <c r="H4880" s="225">
        <f t="shared" si="76"/>
        <v>8.8000000000000007</v>
      </c>
    </row>
    <row r="4881" spans="1:8" x14ac:dyDescent="0.3">
      <c r="A4881" s="400"/>
      <c r="B4881" s="709">
        <v>91993</v>
      </c>
      <c r="C4881" s="710" t="s">
        <v>4364</v>
      </c>
      <c r="D4881" s="709" t="s">
        <v>136</v>
      </c>
      <c r="E4881" s="716">
        <v>54.41</v>
      </c>
      <c r="F4881" s="717">
        <v>0</v>
      </c>
      <c r="G4881">
        <f>VLOOKUP(B4881,'SINAPI-%MO'!B:E,4,0)</f>
        <v>0.70130000000000003</v>
      </c>
      <c r="H4881" s="225">
        <f t="shared" si="76"/>
        <v>16.25</v>
      </c>
    </row>
    <row r="4882" spans="1:8" x14ac:dyDescent="0.3">
      <c r="A4882" s="400"/>
      <c r="B4882" s="709">
        <v>91991</v>
      </c>
      <c r="C4882" s="710" t="s">
        <v>4365</v>
      </c>
      <c r="D4882" s="709" t="s">
        <v>136</v>
      </c>
      <c r="E4882" s="716">
        <v>41.79</v>
      </c>
      <c r="F4882" s="717">
        <v>0</v>
      </c>
      <c r="G4882">
        <f>VLOOKUP(B4882,'SINAPI-%MO'!B:E,4,0)</f>
        <v>0.73029999999999995</v>
      </c>
      <c r="H4882" s="225">
        <f t="shared" si="76"/>
        <v>11.27</v>
      </c>
    </row>
    <row r="4883" spans="1:8" x14ac:dyDescent="0.3">
      <c r="A4883" s="400"/>
      <c r="B4883" s="709">
        <v>92000</v>
      </c>
      <c r="C4883" s="710" t="s">
        <v>4366</v>
      </c>
      <c r="D4883" s="709" t="s">
        <v>136</v>
      </c>
      <c r="E4883" s="716">
        <v>35.880000000000003</v>
      </c>
      <c r="F4883" s="717">
        <v>0</v>
      </c>
      <c r="G4883">
        <f>VLOOKUP(B4883,'SINAPI-%MO'!B:E,4,0)</f>
        <v>0.61570000000000003</v>
      </c>
      <c r="H4883" s="225">
        <f t="shared" si="76"/>
        <v>13.78</v>
      </c>
    </row>
    <row r="4884" spans="1:8" x14ac:dyDescent="0.3">
      <c r="A4884" s="400"/>
      <c r="B4884" s="709">
        <v>91998</v>
      </c>
      <c r="C4884" s="710" t="s">
        <v>4367</v>
      </c>
      <c r="D4884" s="709" t="s">
        <v>136</v>
      </c>
      <c r="E4884" s="716">
        <v>23.26</v>
      </c>
      <c r="F4884" s="717">
        <v>0</v>
      </c>
      <c r="G4884">
        <f>VLOOKUP(B4884,'SINAPI-%MO'!B:E,4,0)</f>
        <v>0.62119999999999997</v>
      </c>
      <c r="H4884" s="225">
        <f t="shared" si="76"/>
        <v>8.81</v>
      </c>
    </row>
    <row r="4885" spans="1:8" x14ac:dyDescent="0.3">
      <c r="A4885" s="400"/>
      <c r="B4885" s="709">
        <v>92001</v>
      </c>
      <c r="C4885" s="710" t="s">
        <v>4368</v>
      </c>
      <c r="D4885" s="709" t="s">
        <v>136</v>
      </c>
      <c r="E4885" s="716">
        <v>38.340000000000003</v>
      </c>
      <c r="F4885" s="717">
        <v>0</v>
      </c>
      <c r="G4885">
        <f>VLOOKUP(B4885,'SINAPI-%MO'!B:E,4,0)</f>
        <v>0.57620000000000005</v>
      </c>
      <c r="H4885" s="225">
        <f t="shared" si="76"/>
        <v>16.239999999999998</v>
      </c>
    </row>
    <row r="4886" spans="1:8" x14ac:dyDescent="0.3">
      <c r="A4886" s="400"/>
      <c r="B4886" s="709">
        <v>91999</v>
      </c>
      <c r="C4886" s="710" t="s">
        <v>4369</v>
      </c>
      <c r="D4886" s="709" t="s">
        <v>136</v>
      </c>
      <c r="E4886" s="716">
        <v>25.72</v>
      </c>
      <c r="F4886" s="717">
        <v>0</v>
      </c>
      <c r="G4886">
        <f>VLOOKUP(B4886,'SINAPI-%MO'!B:E,4,0)</f>
        <v>0.56179999999999997</v>
      </c>
      <c r="H4886" s="225">
        <f t="shared" si="76"/>
        <v>11.27</v>
      </c>
    </row>
    <row r="4887" spans="1:8" x14ac:dyDescent="0.3">
      <c r="A4887" s="400"/>
      <c r="B4887" s="709">
        <v>92008</v>
      </c>
      <c r="C4887" s="710" t="s">
        <v>4370</v>
      </c>
      <c r="D4887" s="709" t="s">
        <v>136</v>
      </c>
      <c r="E4887" s="716">
        <v>55.38</v>
      </c>
      <c r="F4887" s="717">
        <v>0</v>
      </c>
      <c r="G4887">
        <f>VLOOKUP(B4887,'SINAPI-%MO'!B:E,4,0)</f>
        <v>0.59189999999999998</v>
      </c>
      <c r="H4887" s="225">
        <f t="shared" si="76"/>
        <v>22.6</v>
      </c>
    </row>
    <row r="4888" spans="1:8" x14ac:dyDescent="0.3">
      <c r="A4888" s="400"/>
      <c r="B4888" s="709">
        <v>92006</v>
      </c>
      <c r="C4888" s="710" t="s">
        <v>4371</v>
      </c>
      <c r="D4888" s="709" t="s">
        <v>136</v>
      </c>
      <c r="E4888" s="716">
        <v>42.76</v>
      </c>
      <c r="F4888" s="717">
        <v>0</v>
      </c>
      <c r="G4888">
        <f>VLOOKUP(B4888,'SINAPI-%MO'!B:E,4,0)</f>
        <v>0.58789999999999998</v>
      </c>
      <c r="H4888" s="225">
        <f t="shared" si="76"/>
        <v>17.62</v>
      </c>
    </row>
    <row r="4889" spans="1:8" x14ac:dyDescent="0.3">
      <c r="A4889" s="400"/>
      <c r="B4889" s="709">
        <v>92009</v>
      </c>
      <c r="C4889" s="710" t="s">
        <v>4372</v>
      </c>
      <c r="D4889" s="709" t="s">
        <v>136</v>
      </c>
      <c r="E4889" s="716">
        <v>60.3</v>
      </c>
      <c r="F4889" s="717">
        <v>0</v>
      </c>
      <c r="G4889">
        <f>VLOOKUP(B4889,'SINAPI-%MO'!B:E,4,0)</f>
        <v>0.54359999999999997</v>
      </c>
      <c r="H4889" s="225">
        <f t="shared" si="76"/>
        <v>27.52</v>
      </c>
    </row>
    <row r="4890" spans="1:8" x14ac:dyDescent="0.3">
      <c r="A4890" s="400"/>
      <c r="B4890" s="709">
        <v>92007</v>
      </c>
      <c r="C4890" s="710" t="s">
        <v>4373</v>
      </c>
      <c r="D4890" s="709" t="s">
        <v>136</v>
      </c>
      <c r="E4890" s="716">
        <v>47.68</v>
      </c>
      <c r="F4890" s="717">
        <v>0</v>
      </c>
      <c r="G4890">
        <f>VLOOKUP(B4890,'SINAPI-%MO'!B:E,4,0)</f>
        <v>0.52729999999999999</v>
      </c>
      <c r="H4890" s="225">
        <f t="shared" si="76"/>
        <v>22.53</v>
      </c>
    </row>
    <row r="4891" spans="1:8" x14ac:dyDescent="0.3">
      <c r="A4891" s="400"/>
      <c r="B4891" s="709">
        <v>92016</v>
      </c>
      <c r="C4891" s="710" t="s">
        <v>4374</v>
      </c>
      <c r="D4891" s="709" t="s">
        <v>136</v>
      </c>
      <c r="E4891" s="716">
        <v>74.89</v>
      </c>
      <c r="F4891" s="717">
        <v>0</v>
      </c>
      <c r="G4891">
        <f>VLOOKUP(B4891,'SINAPI-%MO'!B:E,4,0)</f>
        <v>0.5806</v>
      </c>
      <c r="H4891" s="225">
        <f t="shared" si="76"/>
        <v>31.4</v>
      </c>
    </row>
    <row r="4892" spans="1:8" x14ac:dyDescent="0.3">
      <c r="A4892" s="400"/>
      <c r="B4892" s="709">
        <v>92014</v>
      </c>
      <c r="C4892" s="710" t="s">
        <v>4375</v>
      </c>
      <c r="D4892" s="709" t="s">
        <v>136</v>
      </c>
      <c r="E4892" s="716">
        <v>62.27</v>
      </c>
      <c r="F4892" s="717">
        <v>0</v>
      </c>
      <c r="G4892">
        <f>VLOOKUP(B4892,'SINAPI-%MO'!B:E,4,0)</f>
        <v>0.5756</v>
      </c>
      <c r="H4892" s="225">
        <f t="shared" si="76"/>
        <v>26.42</v>
      </c>
    </row>
    <row r="4893" spans="1:8" x14ac:dyDescent="0.3">
      <c r="A4893" s="400"/>
      <c r="B4893" s="709">
        <v>92017</v>
      </c>
      <c r="C4893" s="710" t="s">
        <v>4376</v>
      </c>
      <c r="D4893" s="709" t="s">
        <v>136</v>
      </c>
      <c r="E4893" s="716">
        <v>82.27</v>
      </c>
      <c r="F4893" s="717">
        <v>0</v>
      </c>
      <c r="G4893">
        <f>VLOOKUP(B4893,'SINAPI-%MO'!B:E,4,0)</f>
        <v>0.52849999999999997</v>
      </c>
      <c r="H4893" s="225">
        <f t="shared" si="76"/>
        <v>38.79</v>
      </c>
    </row>
    <row r="4894" spans="1:8" x14ac:dyDescent="0.3">
      <c r="A4894" s="400"/>
      <c r="B4894" s="709">
        <v>92015</v>
      </c>
      <c r="C4894" s="710" t="s">
        <v>4377</v>
      </c>
      <c r="D4894" s="709" t="s">
        <v>136</v>
      </c>
      <c r="E4894" s="716">
        <v>69.650000000000006</v>
      </c>
      <c r="F4894" s="717">
        <v>0</v>
      </c>
      <c r="G4894">
        <f>VLOOKUP(B4894,'SINAPI-%MO'!B:E,4,0)</f>
        <v>0.51459999999999995</v>
      </c>
      <c r="H4894" s="225">
        <f t="shared" si="76"/>
        <v>33.799999999999997</v>
      </c>
    </row>
    <row r="4895" spans="1:8" x14ac:dyDescent="0.3">
      <c r="A4895" s="400"/>
      <c r="B4895" s="709">
        <v>92019</v>
      </c>
      <c r="C4895" s="710" t="s">
        <v>4378</v>
      </c>
      <c r="D4895" s="709" t="s">
        <v>136</v>
      </c>
      <c r="E4895" s="716">
        <v>100.82</v>
      </c>
      <c r="F4895" s="717">
        <v>0</v>
      </c>
      <c r="G4895">
        <f>VLOOKUP(B4895,'SINAPI-%MO'!B:E,4,0)</f>
        <v>0.55679999999999996</v>
      </c>
      <c r="H4895" s="225">
        <f t="shared" si="76"/>
        <v>44.68</v>
      </c>
    </row>
    <row r="4896" spans="1:8" x14ac:dyDescent="0.3">
      <c r="A4896" s="400"/>
      <c r="B4896" s="709">
        <v>92018</v>
      </c>
      <c r="C4896" s="710" t="s">
        <v>4379</v>
      </c>
      <c r="D4896" s="709" t="s">
        <v>136</v>
      </c>
      <c r="E4896" s="716">
        <v>82.43</v>
      </c>
      <c r="F4896" s="717">
        <v>0</v>
      </c>
      <c r="G4896">
        <f>VLOOKUP(B4896,'SINAPI-%MO'!B:E,4,0)</f>
        <v>0.57250000000000001</v>
      </c>
      <c r="H4896" s="225">
        <f t="shared" si="76"/>
        <v>35.229999999999997</v>
      </c>
    </row>
    <row r="4897" spans="1:8" x14ac:dyDescent="0.3">
      <c r="A4897" s="400"/>
      <c r="B4897" s="709">
        <v>92021</v>
      </c>
      <c r="C4897" s="710" t="s">
        <v>4380</v>
      </c>
      <c r="D4897" s="709" t="s">
        <v>136</v>
      </c>
      <c r="E4897" s="716">
        <v>140.12</v>
      </c>
      <c r="F4897" s="717">
        <v>0</v>
      </c>
      <c r="G4897">
        <f>VLOOKUP(B4897,'SINAPI-%MO'!B:E,4,0)</f>
        <v>0.5554</v>
      </c>
      <c r="H4897" s="225">
        <f t="shared" si="76"/>
        <v>62.29</v>
      </c>
    </row>
    <row r="4898" spans="1:8" x14ac:dyDescent="0.3">
      <c r="A4898" s="400"/>
      <c r="B4898" s="709">
        <v>92020</v>
      </c>
      <c r="C4898" s="710" t="s">
        <v>4381</v>
      </c>
      <c r="D4898" s="709" t="s">
        <v>136</v>
      </c>
      <c r="E4898" s="716">
        <v>121.73</v>
      </c>
      <c r="F4898" s="717">
        <v>0</v>
      </c>
      <c r="G4898">
        <f>VLOOKUP(B4898,'SINAPI-%MO'!B:E,4,0)</f>
        <v>0.56579999999999997</v>
      </c>
      <c r="H4898" s="225">
        <f t="shared" si="76"/>
        <v>52.85</v>
      </c>
    </row>
    <row r="4899" spans="1:8" x14ac:dyDescent="0.3">
      <c r="A4899" s="400"/>
      <c r="B4899" s="709">
        <v>91996</v>
      </c>
      <c r="C4899" s="710" t="s">
        <v>4382</v>
      </c>
      <c r="D4899" s="709" t="s">
        <v>136</v>
      </c>
      <c r="E4899" s="716">
        <v>40.36</v>
      </c>
      <c r="F4899" s="717">
        <v>0</v>
      </c>
      <c r="G4899">
        <f>VLOOKUP(B4899,'SINAPI-%MO'!B:E,4,0)</f>
        <v>0.6583</v>
      </c>
      <c r="H4899" s="225">
        <f t="shared" si="76"/>
        <v>13.79</v>
      </c>
    </row>
    <row r="4900" spans="1:8" x14ac:dyDescent="0.3">
      <c r="A4900" s="400"/>
      <c r="B4900" s="709">
        <v>91994</v>
      </c>
      <c r="C4900" s="710" t="s">
        <v>4383</v>
      </c>
      <c r="D4900" s="709" t="s">
        <v>136</v>
      </c>
      <c r="E4900" s="716">
        <v>27.74</v>
      </c>
      <c r="F4900" s="717">
        <v>0</v>
      </c>
      <c r="G4900">
        <f>VLOOKUP(B4900,'SINAPI-%MO'!B:E,4,0)</f>
        <v>0.68240000000000001</v>
      </c>
      <c r="H4900" s="225">
        <f t="shared" si="76"/>
        <v>8.81</v>
      </c>
    </row>
    <row r="4901" spans="1:8" x14ac:dyDescent="0.3">
      <c r="A4901" s="400"/>
      <c r="B4901" s="709">
        <v>91997</v>
      </c>
      <c r="C4901" s="710" t="s">
        <v>4384</v>
      </c>
      <c r="D4901" s="709" t="s">
        <v>136</v>
      </c>
      <c r="E4901" s="716">
        <v>42.82</v>
      </c>
      <c r="F4901" s="717">
        <v>0</v>
      </c>
      <c r="G4901">
        <f>VLOOKUP(B4901,'SINAPI-%MO'!B:E,4,0)</f>
        <v>0.62050000000000005</v>
      </c>
      <c r="H4901" s="225">
        <f t="shared" si="76"/>
        <v>16.25</v>
      </c>
    </row>
    <row r="4902" spans="1:8" x14ac:dyDescent="0.3">
      <c r="A4902" s="400"/>
      <c r="B4902" s="709">
        <v>91995</v>
      </c>
      <c r="C4902" s="710" t="s">
        <v>4385</v>
      </c>
      <c r="D4902" s="709" t="s">
        <v>136</v>
      </c>
      <c r="E4902" s="716">
        <v>30.2</v>
      </c>
      <c r="F4902" s="717">
        <v>0</v>
      </c>
      <c r="G4902">
        <f>VLOOKUP(B4902,'SINAPI-%MO'!B:E,4,0)</f>
        <v>0.62680000000000002</v>
      </c>
      <c r="H4902" s="225">
        <f t="shared" si="76"/>
        <v>11.27</v>
      </c>
    </row>
    <row r="4903" spans="1:8" x14ac:dyDescent="0.3">
      <c r="A4903" s="400"/>
      <c r="B4903" s="709">
        <v>92004</v>
      </c>
      <c r="C4903" s="710" t="s">
        <v>4386</v>
      </c>
      <c r="D4903" s="709" t="s">
        <v>136</v>
      </c>
      <c r="E4903" s="716">
        <v>64.400000000000006</v>
      </c>
      <c r="F4903" s="717">
        <v>0</v>
      </c>
      <c r="G4903">
        <f>VLOOKUP(B4903,'SINAPI-%MO'!B:E,4,0)</f>
        <v>0.64910000000000001</v>
      </c>
      <c r="H4903" s="225">
        <f t="shared" si="76"/>
        <v>22.59</v>
      </c>
    </row>
    <row r="4904" spans="1:8" x14ac:dyDescent="0.3">
      <c r="A4904" s="400"/>
      <c r="B4904" s="709">
        <v>92002</v>
      </c>
      <c r="C4904" s="710" t="s">
        <v>4387</v>
      </c>
      <c r="D4904" s="709" t="s">
        <v>136</v>
      </c>
      <c r="E4904" s="716">
        <v>51.78</v>
      </c>
      <c r="F4904" s="717">
        <v>0</v>
      </c>
      <c r="G4904">
        <f>VLOOKUP(B4904,'SINAPI-%MO'!B:E,4,0)</f>
        <v>0.65969999999999995</v>
      </c>
      <c r="H4904" s="225">
        <f t="shared" si="76"/>
        <v>17.62</v>
      </c>
    </row>
    <row r="4905" spans="1:8" x14ac:dyDescent="0.3">
      <c r="A4905" s="400"/>
      <c r="B4905" s="709">
        <v>92005</v>
      </c>
      <c r="C4905" s="710" t="s">
        <v>4388</v>
      </c>
      <c r="D4905" s="709" t="s">
        <v>136</v>
      </c>
      <c r="E4905" s="716">
        <v>69.319999999999993</v>
      </c>
      <c r="F4905" s="717">
        <v>0</v>
      </c>
      <c r="G4905">
        <f>VLOOKUP(B4905,'SINAPI-%MO'!B:E,4,0)</f>
        <v>0.60299999999999998</v>
      </c>
      <c r="H4905" s="225">
        <f t="shared" si="76"/>
        <v>27.52</v>
      </c>
    </row>
    <row r="4906" spans="1:8" x14ac:dyDescent="0.3">
      <c r="A4906" s="400"/>
      <c r="B4906" s="709">
        <v>92003</v>
      </c>
      <c r="C4906" s="710" t="s">
        <v>4389</v>
      </c>
      <c r="D4906" s="709" t="s">
        <v>136</v>
      </c>
      <c r="E4906" s="716">
        <v>56.7</v>
      </c>
      <c r="F4906" s="717">
        <v>0</v>
      </c>
      <c r="G4906">
        <f>VLOOKUP(B4906,'SINAPI-%MO'!B:E,4,0)</f>
        <v>0.60250000000000004</v>
      </c>
      <c r="H4906" s="225">
        <f t="shared" si="76"/>
        <v>22.53</v>
      </c>
    </row>
    <row r="4907" spans="1:8" x14ac:dyDescent="0.3">
      <c r="A4907" s="400"/>
      <c r="B4907" s="709">
        <v>92012</v>
      </c>
      <c r="C4907" s="710" t="s">
        <v>4390</v>
      </c>
      <c r="D4907" s="709" t="s">
        <v>136</v>
      </c>
      <c r="E4907" s="716">
        <v>88.39</v>
      </c>
      <c r="F4907" s="717">
        <v>0</v>
      </c>
      <c r="G4907">
        <f>VLOOKUP(B4907,'SINAPI-%MO'!B:E,4,0)</f>
        <v>0.64459999999999995</v>
      </c>
      <c r="H4907" s="225">
        <f t="shared" si="76"/>
        <v>31.41</v>
      </c>
    </row>
    <row r="4908" spans="1:8" x14ac:dyDescent="0.3">
      <c r="A4908" s="400"/>
      <c r="B4908" s="709">
        <v>92010</v>
      </c>
      <c r="C4908" s="710" t="s">
        <v>4391</v>
      </c>
      <c r="D4908" s="709" t="s">
        <v>136</v>
      </c>
      <c r="E4908" s="716">
        <v>75.77</v>
      </c>
      <c r="F4908" s="717">
        <v>0</v>
      </c>
      <c r="G4908">
        <f>VLOOKUP(B4908,'SINAPI-%MO'!B:E,4,0)</f>
        <v>0.6512</v>
      </c>
      <c r="H4908" s="225">
        <f t="shared" si="76"/>
        <v>26.42</v>
      </c>
    </row>
    <row r="4909" spans="1:8" x14ac:dyDescent="0.3">
      <c r="A4909" s="400"/>
      <c r="B4909" s="709">
        <v>92013</v>
      </c>
      <c r="C4909" s="710" t="s">
        <v>4392</v>
      </c>
      <c r="D4909" s="709" t="s">
        <v>136</v>
      </c>
      <c r="E4909" s="716">
        <v>95.77</v>
      </c>
      <c r="F4909" s="717">
        <v>0</v>
      </c>
      <c r="G4909">
        <f>VLOOKUP(B4909,'SINAPI-%MO'!B:E,4,0)</f>
        <v>0.59499999999999997</v>
      </c>
      <c r="H4909" s="225">
        <f t="shared" si="76"/>
        <v>38.78</v>
      </c>
    </row>
    <row r="4910" spans="1:8" x14ac:dyDescent="0.3">
      <c r="A4910" s="400"/>
      <c r="B4910" s="709">
        <v>92011</v>
      </c>
      <c r="C4910" s="710" t="s">
        <v>4393</v>
      </c>
      <c r="D4910" s="709" t="s">
        <v>136</v>
      </c>
      <c r="E4910" s="716">
        <v>83.15</v>
      </c>
      <c r="F4910" s="717">
        <v>0</v>
      </c>
      <c r="G4910">
        <f>VLOOKUP(B4910,'SINAPI-%MO'!B:E,4,0)</f>
        <v>0.59340000000000004</v>
      </c>
      <c r="H4910" s="225">
        <f t="shared" si="76"/>
        <v>33.799999999999997</v>
      </c>
    </row>
    <row r="4911" spans="1:8" x14ac:dyDescent="0.3">
      <c r="A4911" s="400"/>
      <c r="B4911" s="709">
        <v>95777</v>
      </c>
      <c r="C4911" s="710" t="s">
        <v>13753</v>
      </c>
      <c r="D4911" s="709" t="s">
        <v>136</v>
      </c>
      <c r="E4911" s="716">
        <v>31.3</v>
      </c>
      <c r="F4911" s="717">
        <v>0</v>
      </c>
      <c r="G4911">
        <f>VLOOKUP(B4911,'SINAPI-%MO'!B:E,4,0)</f>
        <v>0.38019999999999998</v>
      </c>
      <c r="H4911" s="225">
        <f t="shared" si="76"/>
        <v>19.39</v>
      </c>
    </row>
    <row r="4912" spans="1:8" x14ac:dyDescent="0.3">
      <c r="A4912" s="400"/>
      <c r="B4912" s="709">
        <v>95780</v>
      </c>
      <c r="C4912" s="710" t="s">
        <v>13754</v>
      </c>
      <c r="D4912" s="709" t="s">
        <v>136</v>
      </c>
      <c r="E4912" s="716">
        <v>36.67</v>
      </c>
      <c r="F4912" s="717">
        <v>0</v>
      </c>
      <c r="G4912">
        <f>VLOOKUP(B4912,'SINAPI-%MO'!B:E,4,0)</f>
        <v>0.32919999999999999</v>
      </c>
      <c r="H4912" s="225">
        <f t="shared" si="76"/>
        <v>24.59</v>
      </c>
    </row>
    <row r="4913" spans="1:8" x14ac:dyDescent="0.3">
      <c r="A4913" s="400"/>
      <c r="B4913" s="709">
        <v>95783</v>
      </c>
      <c r="C4913" s="710" t="s">
        <v>15064</v>
      </c>
      <c r="D4913" s="709" t="s">
        <v>136</v>
      </c>
      <c r="E4913" s="716">
        <v>0</v>
      </c>
      <c r="F4913" s="717"/>
      <c r="G4913" t="e">
        <f>VLOOKUP(B4913,'SINAPI-%MO'!B:E,4,0)</f>
        <v>#N/A</v>
      </c>
      <c r="H4913" s="225" t="str">
        <f t="shared" si="76"/>
        <v/>
      </c>
    </row>
    <row r="4914" spans="1:8" x14ac:dyDescent="0.3">
      <c r="A4914" s="400"/>
      <c r="B4914" s="709">
        <v>95778</v>
      </c>
      <c r="C4914" s="710" t="s">
        <v>13755</v>
      </c>
      <c r="D4914" s="709" t="s">
        <v>136</v>
      </c>
      <c r="E4914" s="716">
        <v>35.75</v>
      </c>
      <c r="F4914" s="717">
        <v>0</v>
      </c>
      <c r="G4914">
        <f>VLOOKUP(B4914,'SINAPI-%MO'!B:E,4,0)</f>
        <v>0.42630000000000001</v>
      </c>
      <c r="H4914" s="225">
        <f t="shared" si="76"/>
        <v>20.5</v>
      </c>
    </row>
    <row r="4915" spans="1:8" x14ac:dyDescent="0.3">
      <c r="A4915" s="400"/>
      <c r="B4915" s="709">
        <v>95781</v>
      </c>
      <c r="C4915" s="710" t="s">
        <v>13756</v>
      </c>
      <c r="D4915" s="709" t="s">
        <v>136</v>
      </c>
      <c r="E4915" s="716">
        <v>41.01</v>
      </c>
      <c r="F4915" s="717">
        <v>0</v>
      </c>
      <c r="G4915">
        <f>VLOOKUP(B4915,'SINAPI-%MO'!B:E,4,0)</f>
        <v>0.37990000000000002</v>
      </c>
      <c r="H4915" s="225">
        <f t="shared" si="76"/>
        <v>25.43</v>
      </c>
    </row>
    <row r="4916" spans="1:8" x14ac:dyDescent="0.3">
      <c r="A4916" s="400"/>
      <c r="B4916" s="709">
        <v>95784</v>
      </c>
      <c r="C4916" s="710" t="s">
        <v>15065</v>
      </c>
      <c r="D4916" s="709" t="s">
        <v>136</v>
      </c>
      <c r="E4916" s="716">
        <v>0</v>
      </c>
      <c r="F4916" s="717"/>
      <c r="G4916" t="e">
        <f>VLOOKUP(B4916,'SINAPI-%MO'!B:E,4,0)</f>
        <v>#N/A</v>
      </c>
      <c r="H4916" s="225" t="str">
        <f t="shared" si="76"/>
        <v/>
      </c>
    </row>
    <row r="4917" spans="1:8" x14ac:dyDescent="0.3">
      <c r="A4917" s="400"/>
      <c r="B4917" s="709">
        <v>95782</v>
      </c>
      <c r="C4917" s="710" t="s">
        <v>13757</v>
      </c>
      <c r="D4917" s="709" t="s">
        <v>136</v>
      </c>
      <c r="E4917" s="716">
        <v>39.67</v>
      </c>
      <c r="F4917" s="717">
        <v>0</v>
      </c>
      <c r="G4917">
        <f>VLOOKUP(B4917,'SINAPI-%MO'!B:E,4,0)</f>
        <v>0.30430000000000001</v>
      </c>
      <c r="H4917" s="225">
        <f t="shared" si="76"/>
        <v>27.59</v>
      </c>
    </row>
    <row r="4918" spans="1:8" x14ac:dyDescent="0.3">
      <c r="A4918" s="400"/>
      <c r="B4918" s="709">
        <v>95779</v>
      </c>
      <c r="C4918" s="710" t="s">
        <v>13758</v>
      </c>
      <c r="D4918" s="709" t="s">
        <v>136</v>
      </c>
      <c r="E4918" s="716">
        <v>28.68</v>
      </c>
      <c r="F4918" s="717">
        <v>0</v>
      </c>
      <c r="G4918">
        <f>VLOOKUP(B4918,'SINAPI-%MO'!B:E,4,0)</f>
        <v>0.41489999999999999</v>
      </c>
      <c r="H4918" s="225">
        <f t="shared" si="76"/>
        <v>16.78</v>
      </c>
    </row>
    <row r="4919" spans="1:8" x14ac:dyDescent="0.3">
      <c r="A4919" s="400"/>
      <c r="B4919" s="709">
        <v>95785</v>
      </c>
      <c r="C4919" s="710" t="s">
        <v>13759</v>
      </c>
      <c r="D4919" s="709" t="s">
        <v>136</v>
      </c>
      <c r="E4919" s="716">
        <v>45.94</v>
      </c>
      <c r="F4919" s="717">
        <v>0</v>
      </c>
      <c r="G4919">
        <f>VLOOKUP(B4919,'SINAPI-%MO'!B:E,4,0)</f>
        <v>0.26769999999999999</v>
      </c>
      <c r="H4919" s="225">
        <f t="shared" si="76"/>
        <v>33.64</v>
      </c>
    </row>
    <row r="4920" spans="1:8" x14ac:dyDescent="0.3">
      <c r="A4920" s="400"/>
      <c r="B4920" s="709">
        <v>95792</v>
      </c>
      <c r="C4920" s="710" t="s">
        <v>15066</v>
      </c>
      <c r="D4920" s="709" t="s">
        <v>136</v>
      </c>
      <c r="E4920" s="716">
        <v>0</v>
      </c>
      <c r="F4920" s="717"/>
      <c r="G4920" t="e">
        <f>VLOOKUP(B4920,'SINAPI-%MO'!B:E,4,0)</f>
        <v>#N/A</v>
      </c>
      <c r="H4920" s="225" t="str">
        <f t="shared" si="76"/>
        <v/>
      </c>
    </row>
    <row r="4921" spans="1:8" x14ac:dyDescent="0.3">
      <c r="A4921" s="400"/>
      <c r="B4921" s="709">
        <v>95793</v>
      </c>
      <c r="C4921" s="710" t="s">
        <v>15067</v>
      </c>
      <c r="D4921" s="709" t="s">
        <v>136</v>
      </c>
      <c r="E4921" s="716">
        <v>0</v>
      </c>
      <c r="F4921" s="717"/>
      <c r="G4921" t="e">
        <f>VLOOKUP(B4921,'SINAPI-%MO'!B:E,4,0)</f>
        <v>#N/A</v>
      </c>
      <c r="H4921" s="225" t="str">
        <f t="shared" si="76"/>
        <v/>
      </c>
    </row>
    <row r="4922" spans="1:8" x14ac:dyDescent="0.3">
      <c r="A4922" s="400"/>
      <c r="B4922" s="709">
        <v>95794</v>
      </c>
      <c r="C4922" s="710" t="s">
        <v>15068</v>
      </c>
      <c r="D4922" s="709" t="s">
        <v>136</v>
      </c>
      <c r="E4922" s="716">
        <v>0</v>
      </c>
      <c r="F4922" s="717"/>
      <c r="G4922" t="e">
        <f>VLOOKUP(B4922,'SINAPI-%MO'!B:E,4,0)</f>
        <v>#N/A</v>
      </c>
      <c r="H4922" s="225" t="str">
        <f t="shared" si="76"/>
        <v/>
      </c>
    </row>
    <row r="4923" spans="1:8" x14ac:dyDescent="0.3">
      <c r="A4923" s="400"/>
      <c r="B4923" s="709">
        <v>95786</v>
      </c>
      <c r="C4923" s="710" t="s">
        <v>15069</v>
      </c>
      <c r="D4923" s="709" t="s">
        <v>136</v>
      </c>
      <c r="E4923" s="716">
        <v>0</v>
      </c>
      <c r="F4923" s="717"/>
      <c r="G4923" t="e">
        <f>VLOOKUP(B4923,'SINAPI-%MO'!B:E,4,0)</f>
        <v>#N/A</v>
      </c>
      <c r="H4923" s="225" t="str">
        <f t="shared" si="76"/>
        <v/>
      </c>
    </row>
    <row r="4924" spans="1:8" x14ac:dyDescent="0.3">
      <c r="A4924" s="400"/>
      <c r="B4924" s="709">
        <v>95788</v>
      </c>
      <c r="C4924" s="710" t="s">
        <v>15070</v>
      </c>
      <c r="D4924" s="709" t="s">
        <v>136</v>
      </c>
      <c r="E4924" s="716">
        <v>0</v>
      </c>
      <c r="F4924" s="717"/>
      <c r="G4924" t="e">
        <f>VLOOKUP(B4924,'SINAPI-%MO'!B:E,4,0)</f>
        <v>#N/A</v>
      </c>
      <c r="H4924" s="225" t="str">
        <f t="shared" si="76"/>
        <v/>
      </c>
    </row>
    <row r="4925" spans="1:8" x14ac:dyDescent="0.3">
      <c r="A4925" s="400"/>
      <c r="B4925" s="709">
        <v>95790</v>
      </c>
      <c r="C4925" s="710" t="s">
        <v>15071</v>
      </c>
      <c r="D4925" s="709" t="s">
        <v>136</v>
      </c>
      <c r="E4925" s="716">
        <v>0</v>
      </c>
      <c r="F4925" s="717"/>
      <c r="G4925" t="e">
        <f>VLOOKUP(B4925,'SINAPI-%MO'!B:E,4,0)</f>
        <v>#N/A</v>
      </c>
      <c r="H4925" s="225" t="str">
        <f t="shared" si="76"/>
        <v/>
      </c>
    </row>
    <row r="4926" spans="1:8" x14ac:dyDescent="0.3">
      <c r="A4926" s="400"/>
      <c r="B4926" s="709">
        <v>95787</v>
      </c>
      <c r="C4926" s="710" t="s">
        <v>13760</v>
      </c>
      <c r="D4926" s="709" t="s">
        <v>136</v>
      </c>
      <c r="E4926" s="716">
        <v>35.89</v>
      </c>
      <c r="F4926" s="717">
        <v>0</v>
      </c>
      <c r="G4926">
        <f>VLOOKUP(B4926,'SINAPI-%MO'!B:E,4,0)</f>
        <v>0.51800000000000002</v>
      </c>
      <c r="H4926" s="225">
        <f t="shared" si="76"/>
        <v>17.29</v>
      </c>
    </row>
    <row r="4927" spans="1:8" x14ac:dyDescent="0.3">
      <c r="A4927" s="400"/>
      <c r="B4927" s="709">
        <v>95789</v>
      </c>
      <c r="C4927" s="710" t="s">
        <v>13761</v>
      </c>
      <c r="D4927" s="709" t="s">
        <v>136</v>
      </c>
      <c r="E4927" s="716">
        <v>45.8</v>
      </c>
      <c r="F4927" s="717">
        <v>0</v>
      </c>
      <c r="G4927">
        <f>VLOOKUP(B4927,'SINAPI-%MO'!B:E,4,0)</f>
        <v>0.4168</v>
      </c>
      <c r="H4927" s="225">
        <f t="shared" si="76"/>
        <v>26.71</v>
      </c>
    </row>
    <row r="4928" spans="1:8" x14ac:dyDescent="0.3">
      <c r="A4928" s="400"/>
      <c r="B4928" s="709">
        <v>95791</v>
      </c>
      <c r="C4928" s="710" t="s">
        <v>13762</v>
      </c>
      <c r="D4928" s="709" t="s">
        <v>136</v>
      </c>
      <c r="E4928" s="716">
        <v>60.7</v>
      </c>
      <c r="F4928" s="717">
        <v>0</v>
      </c>
      <c r="G4928">
        <f>VLOOKUP(B4928,'SINAPI-%MO'!B:E,4,0)</f>
        <v>0.32640000000000002</v>
      </c>
      <c r="H4928" s="225">
        <f t="shared" si="76"/>
        <v>40.880000000000003</v>
      </c>
    </row>
    <row r="4929" spans="1:8" x14ac:dyDescent="0.3">
      <c r="A4929" s="400"/>
      <c r="B4929" s="709">
        <v>95795</v>
      </c>
      <c r="C4929" s="710" t="s">
        <v>13763</v>
      </c>
      <c r="D4929" s="709" t="s">
        <v>136</v>
      </c>
      <c r="E4929" s="716">
        <v>41.76</v>
      </c>
      <c r="F4929" s="717">
        <v>0</v>
      </c>
      <c r="G4929">
        <f>VLOOKUP(B4929,'SINAPI-%MO'!B:E,4,0)</f>
        <v>0.52510000000000001</v>
      </c>
      <c r="H4929" s="225">
        <f t="shared" si="76"/>
        <v>19.829999999999998</v>
      </c>
    </row>
    <row r="4930" spans="1:8" x14ac:dyDescent="0.3">
      <c r="A4930" s="400"/>
      <c r="B4930" s="709">
        <v>95796</v>
      </c>
      <c r="C4930" s="710" t="s">
        <v>13764</v>
      </c>
      <c r="D4930" s="709" t="s">
        <v>136</v>
      </c>
      <c r="E4930" s="716">
        <v>54.02</v>
      </c>
      <c r="F4930" s="717">
        <v>0</v>
      </c>
      <c r="G4930">
        <f>VLOOKUP(B4930,'SINAPI-%MO'!B:E,4,0)</f>
        <v>0.41849999999999998</v>
      </c>
      <c r="H4930" s="225">
        <f t="shared" si="76"/>
        <v>31.41</v>
      </c>
    </row>
    <row r="4931" spans="1:8" x14ac:dyDescent="0.3">
      <c r="A4931" s="400"/>
      <c r="B4931" s="709">
        <v>95797</v>
      </c>
      <c r="C4931" s="710" t="s">
        <v>13765</v>
      </c>
      <c r="D4931" s="709" t="s">
        <v>136</v>
      </c>
      <c r="E4931" s="716">
        <v>69.790000000000006</v>
      </c>
      <c r="F4931" s="717">
        <v>0</v>
      </c>
      <c r="G4931">
        <f>VLOOKUP(B4931,'SINAPI-%MO'!B:E,4,0)</f>
        <v>0.33739999999999998</v>
      </c>
      <c r="H4931" s="225">
        <f t="shared" si="76"/>
        <v>46.24</v>
      </c>
    </row>
    <row r="4932" spans="1:8" x14ac:dyDescent="0.3">
      <c r="A4932" s="400"/>
      <c r="B4932" s="709">
        <v>95798</v>
      </c>
      <c r="C4932" s="710" t="s">
        <v>15072</v>
      </c>
      <c r="D4932" s="709" t="s">
        <v>136</v>
      </c>
      <c r="E4932" s="716">
        <v>0</v>
      </c>
      <c r="F4932" s="717"/>
      <c r="G4932" t="e">
        <f>VLOOKUP(B4932,'SINAPI-%MO'!B:E,4,0)</f>
        <v>#N/A</v>
      </c>
      <c r="H4932" s="225" t="str">
        <f t="shared" si="76"/>
        <v/>
      </c>
    </row>
    <row r="4933" spans="1:8" x14ac:dyDescent="0.3">
      <c r="A4933" s="400"/>
      <c r="B4933" s="709">
        <v>95799</v>
      </c>
      <c r="C4933" s="710" t="s">
        <v>15073</v>
      </c>
      <c r="D4933" s="709" t="s">
        <v>136</v>
      </c>
      <c r="E4933" s="716">
        <v>0</v>
      </c>
      <c r="F4933" s="717"/>
      <c r="G4933" t="e">
        <f>VLOOKUP(B4933,'SINAPI-%MO'!B:E,4,0)</f>
        <v>#N/A</v>
      </c>
      <c r="H4933" s="225" t="str">
        <f t="shared" si="76"/>
        <v/>
      </c>
    </row>
    <row r="4934" spans="1:8" x14ac:dyDescent="0.3">
      <c r="A4934" s="400"/>
      <c r="B4934" s="709">
        <v>95800</v>
      </c>
      <c r="C4934" s="710" t="s">
        <v>15074</v>
      </c>
      <c r="D4934" s="709" t="s">
        <v>136</v>
      </c>
      <c r="E4934" s="716">
        <v>0</v>
      </c>
      <c r="F4934" s="717"/>
      <c r="G4934" t="e">
        <f>VLOOKUP(B4934,'SINAPI-%MO'!B:E,4,0)</f>
        <v>#N/A</v>
      </c>
      <c r="H4934" s="225" t="str">
        <f t="shared" si="76"/>
        <v/>
      </c>
    </row>
    <row r="4935" spans="1:8" x14ac:dyDescent="0.3">
      <c r="A4935" s="400"/>
      <c r="B4935" s="709">
        <v>95801</v>
      </c>
      <c r="C4935" s="710" t="s">
        <v>13766</v>
      </c>
      <c r="D4935" s="709" t="s">
        <v>136</v>
      </c>
      <c r="E4935" s="716">
        <v>51.17</v>
      </c>
      <c r="F4935" s="717">
        <v>0</v>
      </c>
      <c r="G4935">
        <f>VLOOKUP(B4935,'SINAPI-%MO'!B:E,4,0)</f>
        <v>0.49380000000000002</v>
      </c>
      <c r="H4935" s="225">
        <f t="shared" si="76"/>
        <v>25.9</v>
      </c>
    </row>
    <row r="4936" spans="1:8" x14ac:dyDescent="0.3">
      <c r="A4936" s="400"/>
      <c r="B4936" s="709">
        <v>95802</v>
      </c>
      <c r="C4936" s="710" t="s">
        <v>13767</v>
      </c>
      <c r="D4936" s="709" t="s">
        <v>136</v>
      </c>
      <c r="E4936" s="716">
        <v>56.22</v>
      </c>
      <c r="F4936" s="717">
        <v>0</v>
      </c>
      <c r="G4936">
        <f>VLOOKUP(B4936,'SINAPI-%MO'!B:E,4,0)</f>
        <v>0.46460000000000001</v>
      </c>
      <c r="H4936" s="225">
        <f t="shared" si="76"/>
        <v>30.1</v>
      </c>
    </row>
    <row r="4937" spans="1:8" x14ac:dyDescent="0.3">
      <c r="A4937" s="400"/>
      <c r="B4937" s="709">
        <v>95803</v>
      </c>
      <c r="C4937" s="710" t="s">
        <v>13768</v>
      </c>
      <c r="D4937" s="709" t="s">
        <v>136</v>
      </c>
      <c r="E4937" s="716">
        <v>76.16</v>
      </c>
      <c r="F4937" s="717">
        <v>0</v>
      </c>
      <c r="G4937">
        <f>VLOOKUP(B4937,'SINAPI-%MO'!B:E,4,0)</f>
        <v>0.35859999999999997</v>
      </c>
      <c r="H4937" s="225">
        <f t="shared" si="76"/>
        <v>48.84</v>
      </c>
    </row>
    <row r="4938" spans="1:8" x14ac:dyDescent="0.3">
      <c r="A4938" s="400"/>
      <c r="B4938" s="709">
        <v>95804</v>
      </c>
      <c r="C4938" s="710" t="s">
        <v>13769</v>
      </c>
      <c r="D4938" s="709" t="s">
        <v>136</v>
      </c>
      <c r="E4938" s="716">
        <v>23.79</v>
      </c>
      <c r="F4938" s="717">
        <v>0</v>
      </c>
      <c r="G4938">
        <f>VLOOKUP(B4938,'SINAPI-%MO'!B:E,4,0)</f>
        <v>0.42499999999999999</v>
      </c>
      <c r="H4938" s="225">
        <f t="shared" si="76"/>
        <v>13.67</v>
      </c>
    </row>
    <row r="4939" spans="1:8" x14ac:dyDescent="0.3">
      <c r="A4939" s="400"/>
      <c r="B4939" s="709">
        <v>95805</v>
      </c>
      <c r="C4939" s="710" t="s">
        <v>13770</v>
      </c>
      <c r="D4939" s="709" t="s">
        <v>136</v>
      </c>
      <c r="E4939" s="716">
        <v>23.96</v>
      </c>
      <c r="F4939" s="717">
        <v>0</v>
      </c>
      <c r="G4939">
        <f>VLOOKUP(B4939,'SINAPI-%MO'!B:E,4,0)</f>
        <v>0.42899999999999999</v>
      </c>
      <c r="H4939" s="225">
        <f t="shared" ref="H4939:H5002" si="77">IF(E4939&gt;0,TRUNC(E4939*(1-G4939),2),"")</f>
        <v>13.68</v>
      </c>
    </row>
    <row r="4940" spans="1:8" x14ac:dyDescent="0.3">
      <c r="A4940" s="400"/>
      <c r="B4940" s="709">
        <v>95806</v>
      </c>
      <c r="C4940" s="710" t="s">
        <v>13771</v>
      </c>
      <c r="D4940" s="709" t="s">
        <v>136</v>
      </c>
      <c r="E4940" s="716">
        <v>24.79</v>
      </c>
      <c r="F4940" s="717">
        <v>0</v>
      </c>
      <c r="G4940">
        <f>VLOOKUP(B4940,'SINAPI-%MO'!B:E,4,0)</f>
        <v>0.4244</v>
      </c>
      <c r="H4940" s="225">
        <f t="shared" si="77"/>
        <v>14.26</v>
      </c>
    </row>
    <row r="4941" spans="1:8" x14ac:dyDescent="0.3">
      <c r="A4941" s="400"/>
      <c r="B4941" s="709">
        <v>104401</v>
      </c>
      <c r="C4941" s="710" t="s">
        <v>13772</v>
      </c>
      <c r="D4941" s="709" t="s">
        <v>136</v>
      </c>
      <c r="E4941" s="716">
        <v>26.64</v>
      </c>
      <c r="F4941" s="717">
        <v>0</v>
      </c>
      <c r="G4941">
        <f>VLOOKUP(B4941,'SINAPI-%MO'!B:E,4,0)</f>
        <v>0.43809999999999999</v>
      </c>
      <c r="H4941" s="225">
        <f t="shared" si="77"/>
        <v>14.96</v>
      </c>
    </row>
    <row r="4942" spans="1:8" x14ac:dyDescent="0.3">
      <c r="A4942" s="400"/>
      <c r="B4942" s="709">
        <v>104402</v>
      </c>
      <c r="C4942" s="710" t="s">
        <v>13773</v>
      </c>
      <c r="D4942" s="709" t="s">
        <v>136</v>
      </c>
      <c r="E4942" s="716">
        <v>25.42</v>
      </c>
      <c r="F4942" s="717">
        <v>0</v>
      </c>
      <c r="G4942">
        <f>VLOOKUP(B4942,'SINAPI-%MO'!B:E,4,0)</f>
        <v>0.47249999999999998</v>
      </c>
      <c r="H4942" s="225">
        <f t="shared" si="77"/>
        <v>13.4</v>
      </c>
    </row>
    <row r="4943" spans="1:8" x14ac:dyDescent="0.3">
      <c r="A4943" s="400"/>
      <c r="B4943" s="709">
        <v>104403</v>
      </c>
      <c r="C4943" s="710" t="s">
        <v>13774</v>
      </c>
      <c r="D4943" s="709" t="s">
        <v>136</v>
      </c>
      <c r="E4943" s="716">
        <v>29.11</v>
      </c>
      <c r="F4943" s="717">
        <v>0</v>
      </c>
      <c r="G4943">
        <f>VLOOKUP(B4943,'SINAPI-%MO'!B:E,4,0)</f>
        <v>0.42870000000000003</v>
      </c>
      <c r="H4943" s="225">
        <f t="shared" si="77"/>
        <v>16.63</v>
      </c>
    </row>
    <row r="4944" spans="1:8" x14ac:dyDescent="0.3">
      <c r="A4944" s="400"/>
      <c r="B4944" s="709">
        <v>104395</v>
      </c>
      <c r="C4944" s="710" t="s">
        <v>13775</v>
      </c>
      <c r="D4944" s="709" t="s">
        <v>136</v>
      </c>
      <c r="E4944" s="716">
        <v>23.21</v>
      </c>
      <c r="F4944" s="717">
        <v>0</v>
      </c>
      <c r="G4944">
        <f>VLOOKUP(B4944,'SINAPI-%MO'!B:E,4,0)</f>
        <v>0.43559999999999999</v>
      </c>
      <c r="H4944" s="225">
        <f t="shared" si="77"/>
        <v>13.09</v>
      </c>
    </row>
    <row r="4945" spans="1:8" x14ac:dyDescent="0.3">
      <c r="A4945" s="400"/>
      <c r="B4945" s="709">
        <v>104396</v>
      </c>
      <c r="C4945" s="710" t="s">
        <v>13776</v>
      </c>
      <c r="D4945" s="709" t="s">
        <v>136</v>
      </c>
      <c r="E4945" s="716">
        <v>22.39</v>
      </c>
      <c r="F4945" s="717">
        <v>0</v>
      </c>
      <c r="G4945">
        <f>VLOOKUP(B4945,'SINAPI-%MO'!B:E,4,0)</f>
        <v>0.45910000000000001</v>
      </c>
      <c r="H4945" s="225">
        <f t="shared" si="77"/>
        <v>12.11</v>
      </c>
    </row>
    <row r="4946" spans="1:8" x14ac:dyDescent="0.3">
      <c r="A4946" s="400"/>
      <c r="B4946" s="709">
        <v>104397</v>
      </c>
      <c r="C4946" s="710" t="s">
        <v>13777</v>
      </c>
      <c r="D4946" s="709" t="s">
        <v>136</v>
      </c>
      <c r="E4946" s="716">
        <v>25.54</v>
      </c>
      <c r="F4946" s="717">
        <v>0</v>
      </c>
      <c r="G4946">
        <f>VLOOKUP(B4946,'SINAPI-%MO'!B:E,4,0)</f>
        <v>0.41189999999999999</v>
      </c>
      <c r="H4946" s="225">
        <f t="shared" si="77"/>
        <v>15.02</v>
      </c>
    </row>
    <row r="4947" spans="1:8" x14ac:dyDescent="0.3">
      <c r="A4947" s="400"/>
      <c r="B4947" s="709">
        <v>95810</v>
      </c>
      <c r="C4947" s="710" t="s">
        <v>13778</v>
      </c>
      <c r="D4947" s="709" t="s">
        <v>136</v>
      </c>
      <c r="E4947" s="716">
        <v>18.79</v>
      </c>
      <c r="F4947" s="717">
        <v>0</v>
      </c>
      <c r="G4947">
        <f>VLOOKUP(B4947,'SINAPI-%MO'!B:E,4,0)</f>
        <v>0.248</v>
      </c>
      <c r="H4947" s="225">
        <f t="shared" si="77"/>
        <v>14.13</v>
      </c>
    </row>
    <row r="4948" spans="1:8" x14ac:dyDescent="0.3">
      <c r="A4948" s="400"/>
      <c r="B4948" s="709">
        <v>95811</v>
      </c>
      <c r="C4948" s="710" t="s">
        <v>13779</v>
      </c>
      <c r="D4948" s="709" t="s">
        <v>136</v>
      </c>
      <c r="E4948" s="716">
        <v>19.3</v>
      </c>
      <c r="F4948" s="717">
        <v>0</v>
      </c>
      <c r="G4948">
        <f>VLOOKUP(B4948,'SINAPI-%MO'!B:E,4,0)</f>
        <v>0.26790000000000003</v>
      </c>
      <c r="H4948" s="225">
        <f t="shared" si="77"/>
        <v>14.12</v>
      </c>
    </row>
    <row r="4949" spans="1:8" x14ac:dyDescent="0.3">
      <c r="A4949" s="400"/>
      <c r="B4949" s="709">
        <v>95812</v>
      </c>
      <c r="C4949" s="710" t="s">
        <v>13780</v>
      </c>
      <c r="D4949" s="709" t="s">
        <v>136</v>
      </c>
      <c r="E4949" s="716">
        <v>22.32</v>
      </c>
      <c r="F4949" s="717">
        <v>0</v>
      </c>
      <c r="G4949">
        <f>VLOOKUP(B4949,'SINAPI-%MO'!B:E,4,0)</f>
        <v>0.26340000000000002</v>
      </c>
      <c r="H4949" s="225">
        <f t="shared" si="77"/>
        <v>16.440000000000001</v>
      </c>
    </row>
    <row r="4950" spans="1:8" x14ac:dyDescent="0.3">
      <c r="A4950" s="400"/>
      <c r="B4950" s="709">
        <v>95807</v>
      </c>
      <c r="C4950" s="710" t="s">
        <v>13781</v>
      </c>
      <c r="D4950" s="709" t="s">
        <v>136</v>
      </c>
      <c r="E4950" s="716">
        <v>28.22</v>
      </c>
      <c r="F4950" s="717">
        <v>0</v>
      </c>
      <c r="G4950">
        <f>VLOOKUP(B4950,'SINAPI-%MO'!B:E,4,0)</f>
        <v>0.46879999999999999</v>
      </c>
      <c r="H4950" s="225">
        <f t="shared" si="77"/>
        <v>14.99</v>
      </c>
    </row>
    <row r="4951" spans="1:8" x14ac:dyDescent="0.3">
      <c r="A4951" s="400"/>
      <c r="B4951" s="709">
        <v>95808</v>
      </c>
      <c r="C4951" s="710" t="s">
        <v>13782</v>
      </c>
      <c r="D4951" s="709" t="s">
        <v>136</v>
      </c>
      <c r="E4951" s="716">
        <v>28.72</v>
      </c>
      <c r="F4951" s="717">
        <v>0</v>
      </c>
      <c r="G4951">
        <f>VLOOKUP(B4951,'SINAPI-%MO'!B:E,4,0)</f>
        <v>0.47810000000000002</v>
      </c>
      <c r="H4951" s="225">
        <f t="shared" si="77"/>
        <v>14.98</v>
      </c>
    </row>
    <row r="4952" spans="1:8" x14ac:dyDescent="0.3">
      <c r="A4952" s="400"/>
      <c r="B4952" s="709">
        <v>95809</v>
      </c>
      <c r="C4952" s="710" t="s">
        <v>13783</v>
      </c>
      <c r="D4952" s="709" t="s">
        <v>136</v>
      </c>
      <c r="E4952" s="716">
        <v>31.75</v>
      </c>
      <c r="F4952" s="717">
        <v>0</v>
      </c>
      <c r="G4952">
        <f>VLOOKUP(B4952,'SINAPI-%MO'!B:E,4,0)</f>
        <v>0.4551</v>
      </c>
      <c r="H4952" s="225">
        <f t="shared" si="77"/>
        <v>17.3</v>
      </c>
    </row>
    <row r="4953" spans="1:8" x14ac:dyDescent="0.3">
      <c r="A4953" s="400"/>
      <c r="B4953" s="709">
        <v>104398</v>
      </c>
      <c r="C4953" s="710" t="s">
        <v>13784</v>
      </c>
      <c r="D4953" s="709" t="s">
        <v>136</v>
      </c>
      <c r="E4953" s="716">
        <v>28.2</v>
      </c>
      <c r="F4953" s="717">
        <v>0</v>
      </c>
      <c r="G4953">
        <f>VLOOKUP(B4953,'SINAPI-%MO'!B:E,4,0)</f>
        <v>0.46910000000000002</v>
      </c>
      <c r="H4953" s="225">
        <f t="shared" si="77"/>
        <v>14.97</v>
      </c>
    </row>
    <row r="4954" spans="1:8" x14ac:dyDescent="0.3">
      <c r="A4954" s="400"/>
      <c r="B4954" s="709">
        <v>104399</v>
      </c>
      <c r="C4954" s="710" t="s">
        <v>13785</v>
      </c>
      <c r="D4954" s="709" t="s">
        <v>136</v>
      </c>
      <c r="E4954" s="716">
        <v>27.14</v>
      </c>
      <c r="F4954" s="717">
        <v>0</v>
      </c>
      <c r="G4954">
        <f>VLOOKUP(B4954,'SINAPI-%MO'!B:E,4,0)</f>
        <v>0.50590000000000002</v>
      </c>
      <c r="H4954" s="225">
        <f t="shared" si="77"/>
        <v>13.4</v>
      </c>
    </row>
    <row r="4955" spans="1:8" x14ac:dyDescent="0.3">
      <c r="A4955" s="400"/>
      <c r="B4955" s="709">
        <v>104400</v>
      </c>
      <c r="C4955" s="710" t="s">
        <v>13786</v>
      </c>
      <c r="D4955" s="709" t="s">
        <v>136</v>
      </c>
      <c r="E4955" s="716">
        <v>31.08</v>
      </c>
      <c r="F4955" s="717">
        <v>0</v>
      </c>
      <c r="G4955">
        <f>VLOOKUP(B4955,'SINAPI-%MO'!B:E,4,0)</f>
        <v>0.46489999999999998</v>
      </c>
      <c r="H4955" s="225">
        <f t="shared" si="77"/>
        <v>16.63</v>
      </c>
    </row>
    <row r="4956" spans="1:8" x14ac:dyDescent="0.3">
      <c r="A4956" s="400"/>
      <c r="B4956" s="709">
        <v>104404</v>
      </c>
      <c r="C4956" s="710" t="s">
        <v>13787</v>
      </c>
      <c r="D4956" s="709" t="s">
        <v>136</v>
      </c>
      <c r="E4956" s="716">
        <v>31.42</v>
      </c>
      <c r="F4956" s="717">
        <v>0</v>
      </c>
      <c r="G4956">
        <f>VLOOKUP(B4956,'SINAPI-%MO'!B:E,4,0)</f>
        <v>0.4924</v>
      </c>
      <c r="H4956" s="225">
        <f t="shared" si="77"/>
        <v>15.94</v>
      </c>
    </row>
    <row r="4957" spans="1:8" x14ac:dyDescent="0.3">
      <c r="A4957" s="400"/>
      <c r="B4957" s="709">
        <v>104405</v>
      </c>
      <c r="C4957" s="710" t="s">
        <v>13788</v>
      </c>
      <c r="D4957" s="709" t="s">
        <v>136</v>
      </c>
      <c r="E4957" s="716">
        <v>37.82</v>
      </c>
      <c r="F4957" s="717">
        <v>0</v>
      </c>
      <c r="G4957">
        <f>VLOOKUP(B4957,'SINAPI-%MO'!B:E,4,0)</f>
        <v>0.43390000000000001</v>
      </c>
      <c r="H4957" s="225">
        <f t="shared" si="77"/>
        <v>21.4</v>
      </c>
    </row>
    <row r="4958" spans="1:8" x14ac:dyDescent="0.3">
      <c r="A4958" s="400"/>
      <c r="B4958" s="709">
        <v>95813</v>
      </c>
      <c r="C4958" s="710" t="s">
        <v>13789</v>
      </c>
      <c r="D4958" s="709" t="s">
        <v>136</v>
      </c>
      <c r="E4958" s="716">
        <v>21.8</v>
      </c>
      <c r="F4958" s="717">
        <v>0</v>
      </c>
      <c r="G4958">
        <f>VLOOKUP(B4958,'SINAPI-%MO'!B:E,4,0)</f>
        <v>0.2853</v>
      </c>
      <c r="H4958" s="225">
        <f t="shared" si="77"/>
        <v>15.58</v>
      </c>
    </row>
    <row r="4959" spans="1:8" x14ac:dyDescent="0.3">
      <c r="A4959" s="400"/>
      <c r="B4959" s="709">
        <v>95814</v>
      </c>
      <c r="C4959" s="710" t="s">
        <v>13790</v>
      </c>
      <c r="D4959" s="709" t="s">
        <v>136</v>
      </c>
      <c r="E4959" s="716">
        <v>22.47</v>
      </c>
      <c r="F4959" s="717">
        <v>0</v>
      </c>
      <c r="G4959">
        <f>VLOOKUP(B4959,'SINAPI-%MO'!B:E,4,0)</f>
        <v>0.30659999999999998</v>
      </c>
      <c r="H4959" s="225">
        <f t="shared" si="77"/>
        <v>15.58</v>
      </c>
    </row>
    <row r="4960" spans="1:8" x14ac:dyDescent="0.3">
      <c r="A4960" s="400"/>
      <c r="B4960" s="709">
        <v>95815</v>
      </c>
      <c r="C4960" s="710" t="s">
        <v>13791</v>
      </c>
      <c r="D4960" s="709" t="s">
        <v>136</v>
      </c>
      <c r="E4960" s="716">
        <v>28.39</v>
      </c>
      <c r="F4960" s="717">
        <v>0</v>
      </c>
      <c r="G4960">
        <f>VLOOKUP(B4960,'SINAPI-%MO'!B:E,4,0)</f>
        <v>0.2762</v>
      </c>
      <c r="H4960" s="225">
        <f t="shared" si="77"/>
        <v>20.54</v>
      </c>
    </row>
    <row r="4961" spans="1:8" x14ac:dyDescent="0.3">
      <c r="A4961" s="400"/>
      <c r="B4961" s="709">
        <v>95816</v>
      </c>
      <c r="C4961" s="710" t="s">
        <v>13792</v>
      </c>
      <c r="D4961" s="709" t="s">
        <v>136</v>
      </c>
      <c r="E4961" s="716">
        <v>34.549999999999997</v>
      </c>
      <c r="F4961" s="717">
        <v>0</v>
      </c>
      <c r="G4961">
        <f>VLOOKUP(B4961,'SINAPI-%MO'!B:E,4,0)</f>
        <v>0.47289999999999999</v>
      </c>
      <c r="H4961" s="225">
        <f t="shared" si="77"/>
        <v>18.21</v>
      </c>
    </row>
    <row r="4962" spans="1:8" x14ac:dyDescent="0.3">
      <c r="A4962" s="400"/>
      <c r="B4962" s="709">
        <v>95817</v>
      </c>
      <c r="C4962" s="710" t="s">
        <v>13793</v>
      </c>
      <c r="D4962" s="709" t="s">
        <v>136</v>
      </c>
      <c r="E4962" s="716">
        <v>34.83</v>
      </c>
      <c r="F4962" s="717">
        <v>0</v>
      </c>
      <c r="G4962">
        <f>VLOOKUP(B4962,'SINAPI-%MO'!B:E,4,0)</f>
        <v>0.49349999999999999</v>
      </c>
      <c r="H4962" s="225">
        <f t="shared" si="77"/>
        <v>17.64</v>
      </c>
    </row>
    <row r="4963" spans="1:8" x14ac:dyDescent="0.3">
      <c r="A4963" s="400"/>
      <c r="B4963" s="709">
        <v>95818</v>
      </c>
      <c r="C4963" s="710" t="s">
        <v>13794</v>
      </c>
      <c r="D4963" s="709" t="s">
        <v>136</v>
      </c>
      <c r="E4963" s="716">
        <v>42.72</v>
      </c>
      <c r="F4963" s="717">
        <v>0</v>
      </c>
      <c r="G4963">
        <f>VLOOKUP(B4963,'SINAPI-%MO'!B:E,4,0)</f>
        <v>0.43020000000000003</v>
      </c>
      <c r="H4963" s="225">
        <f t="shared" si="77"/>
        <v>24.34</v>
      </c>
    </row>
    <row r="4964" spans="1:8" x14ac:dyDescent="0.3">
      <c r="A4964" s="400"/>
      <c r="B4964" s="709">
        <v>106668</v>
      </c>
      <c r="C4964" s="710" t="s">
        <v>15075</v>
      </c>
      <c r="D4964" s="709" t="s">
        <v>136</v>
      </c>
      <c r="E4964" s="716">
        <v>0</v>
      </c>
      <c r="F4964" s="717"/>
      <c r="G4964" t="e">
        <f>VLOOKUP(B4964,'SINAPI-%MO'!B:E,4,0)</f>
        <v>#N/A</v>
      </c>
      <c r="H4964" s="225" t="str">
        <f t="shared" si="77"/>
        <v/>
      </c>
    </row>
    <row r="4965" spans="1:8" x14ac:dyDescent="0.3">
      <c r="A4965" s="400"/>
      <c r="B4965" s="709">
        <v>106667</v>
      </c>
      <c r="C4965" s="710" t="s">
        <v>15076</v>
      </c>
      <c r="D4965" s="709" t="s">
        <v>136</v>
      </c>
      <c r="E4965" s="716">
        <v>0</v>
      </c>
      <c r="F4965" s="717"/>
      <c r="G4965" t="e">
        <f>VLOOKUP(B4965,'SINAPI-%MO'!B:E,4,0)</f>
        <v>#N/A</v>
      </c>
      <c r="H4965" s="225" t="str">
        <f t="shared" si="77"/>
        <v/>
      </c>
    </row>
    <row r="4966" spans="1:8" x14ac:dyDescent="0.3">
      <c r="A4966" s="400"/>
      <c r="B4966" s="709">
        <v>106666</v>
      </c>
      <c r="C4966" s="710" t="s">
        <v>15077</v>
      </c>
      <c r="D4966" s="709" t="s">
        <v>136</v>
      </c>
      <c r="E4966" s="716">
        <v>0</v>
      </c>
      <c r="F4966" s="717"/>
      <c r="G4966" t="e">
        <f>VLOOKUP(B4966,'SINAPI-%MO'!B:E,4,0)</f>
        <v>#N/A</v>
      </c>
      <c r="H4966" s="225" t="str">
        <f t="shared" si="77"/>
        <v/>
      </c>
    </row>
    <row r="4967" spans="1:8" x14ac:dyDescent="0.3">
      <c r="A4967" s="400"/>
      <c r="B4967" s="709">
        <v>104391</v>
      </c>
      <c r="C4967" s="710" t="s">
        <v>13795</v>
      </c>
      <c r="D4967" s="709" t="s">
        <v>136</v>
      </c>
      <c r="E4967" s="716">
        <v>22.71</v>
      </c>
      <c r="F4967" s="717">
        <v>0</v>
      </c>
      <c r="G4967">
        <f>VLOOKUP(B4967,'SINAPI-%MO'!B:E,4,0)</f>
        <v>0.44119999999999998</v>
      </c>
      <c r="H4967" s="225">
        <f t="shared" si="77"/>
        <v>12.69</v>
      </c>
    </row>
    <row r="4968" spans="1:8" x14ac:dyDescent="0.3">
      <c r="A4968" s="400"/>
      <c r="B4968" s="709">
        <v>104392</v>
      </c>
      <c r="C4968" s="710" t="s">
        <v>13796</v>
      </c>
      <c r="D4968" s="709" t="s">
        <v>136</v>
      </c>
      <c r="E4968" s="716">
        <v>28.67</v>
      </c>
      <c r="F4968" s="717">
        <v>0</v>
      </c>
      <c r="G4968">
        <f>VLOOKUP(B4968,'SINAPI-%MO'!B:E,4,0)</f>
        <v>0.36730000000000002</v>
      </c>
      <c r="H4968" s="225">
        <f t="shared" si="77"/>
        <v>18.13</v>
      </c>
    </row>
    <row r="4969" spans="1:8" x14ac:dyDescent="0.3">
      <c r="A4969" s="400"/>
      <c r="B4969" s="709">
        <v>104393</v>
      </c>
      <c r="C4969" s="710" t="s">
        <v>13797</v>
      </c>
      <c r="D4969" s="709" t="s">
        <v>136</v>
      </c>
      <c r="E4969" s="716">
        <v>47.7</v>
      </c>
      <c r="F4969" s="717">
        <v>0</v>
      </c>
      <c r="G4969">
        <f>VLOOKUP(B4969,'SINAPI-%MO'!B:E,4,0)</f>
        <v>0.2356</v>
      </c>
      <c r="H4969" s="225">
        <f t="shared" si="77"/>
        <v>36.46</v>
      </c>
    </row>
    <row r="4970" spans="1:8" x14ac:dyDescent="0.3">
      <c r="A4970" s="400"/>
      <c r="B4970" s="709">
        <v>104394</v>
      </c>
      <c r="C4970" s="710" t="s">
        <v>13798</v>
      </c>
      <c r="D4970" s="709" t="s">
        <v>136</v>
      </c>
      <c r="E4970" s="716">
        <v>65.28</v>
      </c>
      <c r="F4970" s="717">
        <v>0</v>
      </c>
      <c r="G4970">
        <f>VLOOKUP(B4970,'SINAPI-%MO'!B:E,4,0)</f>
        <v>0.18459999999999999</v>
      </c>
      <c r="H4970" s="225">
        <f t="shared" si="77"/>
        <v>53.22</v>
      </c>
    </row>
    <row r="4971" spans="1:8" x14ac:dyDescent="0.3">
      <c r="A4971" s="400"/>
      <c r="B4971" s="709">
        <v>95761</v>
      </c>
      <c r="C4971" s="710" t="s">
        <v>13799</v>
      </c>
      <c r="D4971" s="709" t="s">
        <v>136</v>
      </c>
      <c r="E4971" s="716">
        <v>20.96</v>
      </c>
      <c r="F4971" s="717">
        <v>0</v>
      </c>
      <c r="G4971">
        <f>VLOOKUP(B4971,'SINAPI-%MO'!B:E,4,0)</f>
        <v>0.47810000000000002</v>
      </c>
      <c r="H4971" s="225">
        <f t="shared" si="77"/>
        <v>10.93</v>
      </c>
    </row>
    <row r="4972" spans="1:8" x14ac:dyDescent="0.3">
      <c r="A4972" s="400"/>
      <c r="B4972" s="709">
        <v>95763</v>
      </c>
      <c r="C4972" s="710" t="s">
        <v>13800</v>
      </c>
      <c r="D4972" s="709" t="s">
        <v>136</v>
      </c>
      <c r="E4972" s="716">
        <v>24.18</v>
      </c>
      <c r="F4972" s="717">
        <v>0</v>
      </c>
      <c r="G4972">
        <f>VLOOKUP(B4972,'SINAPI-%MO'!B:E,4,0)</f>
        <v>0.4355</v>
      </c>
      <c r="H4972" s="225">
        <f t="shared" si="77"/>
        <v>13.64</v>
      </c>
    </row>
    <row r="4973" spans="1:8" x14ac:dyDescent="0.3">
      <c r="A4973" s="400"/>
      <c r="B4973" s="709">
        <v>95765</v>
      </c>
      <c r="C4973" s="710" t="s">
        <v>15078</v>
      </c>
      <c r="D4973" s="709" t="s">
        <v>136</v>
      </c>
      <c r="E4973" s="716">
        <v>0</v>
      </c>
      <c r="F4973" s="717"/>
      <c r="G4973" t="e">
        <f>VLOOKUP(B4973,'SINAPI-%MO'!B:E,4,0)</f>
        <v>#N/A</v>
      </c>
      <c r="H4973" s="225" t="str">
        <f t="shared" si="77"/>
        <v/>
      </c>
    </row>
    <row r="4974" spans="1:8" x14ac:dyDescent="0.3">
      <c r="A4974" s="400"/>
      <c r="B4974" s="709">
        <v>95767</v>
      </c>
      <c r="C4974" s="710" t="s">
        <v>13801</v>
      </c>
      <c r="D4974" s="709" t="s">
        <v>136</v>
      </c>
      <c r="E4974" s="716">
        <v>49.15</v>
      </c>
      <c r="F4974" s="717">
        <v>0</v>
      </c>
      <c r="G4974">
        <f>VLOOKUP(B4974,'SINAPI-%MO'!B:E,4,0)</f>
        <v>0.2452</v>
      </c>
      <c r="H4974" s="225">
        <f t="shared" si="77"/>
        <v>37.090000000000003</v>
      </c>
    </row>
    <row r="4975" spans="1:8" x14ac:dyDescent="0.3">
      <c r="A4975" s="400"/>
      <c r="B4975" s="709">
        <v>95762</v>
      </c>
      <c r="C4975" s="710" t="s">
        <v>13802</v>
      </c>
      <c r="D4975" s="709" t="s">
        <v>136</v>
      </c>
      <c r="E4975" s="716">
        <v>21.05</v>
      </c>
      <c r="F4975" s="717">
        <v>0</v>
      </c>
      <c r="G4975">
        <f>VLOOKUP(B4975,'SINAPI-%MO'!B:E,4,0)</f>
        <v>0.47599999999999998</v>
      </c>
      <c r="H4975" s="225">
        <f t="shared" si="77"/>
        <v>11.03</v>
      </c>
    </row>
    <row r="4976" spans="1:8" x14ac:dyDescent="0.3">
      <c r="A4976" s="400"/>
      <c r="B4976" s="709">
        <v>95764</v>
      </c>
      <c r="C4976" s="710" t="s">
        <v>13803</v>
      </c>
      <c r="D4976" s="709" t="s">
        <v>136</v>
      </c>
      <c r="E4976" s="716">
        <v>24.58</v>
      </c>
      <c r="F4976" s="717">
        <v>0</v>
      </c>
      <c r="G4976">
        <f>VLOOKUP(B4976,'SINAPI-%MO'!B:E,4,0)</f>
        <v>0.4284</v>
      </c>
      <c r="H4976" s="225">
        <f t="shared" si="77"/>
        <v>14.04</v>
      </c>
    </row>
    <row r="4977" spans="1:8" x14ac:dyDescent="0.3">
      <c r="A4977" s="400"/>
      <c r="B4977" s="709">
        <v>95766</v>
      </c>
      <c r="C4977" s="710" t="s">
        <v>13804</v>
      </c>
      <c r="D4977" s="709" t="s">
        <v>136</v>
      </c>
      <c r="E4977" s="716">
        <v>40.479999999999997</v>
      </c>
      <c r="F4977" s="717">
        <v>0</v>
      </c>
      <c r="G4977">
        <f>VLOOKUP(B4977,'SINAPI-%MO'!B:E,4,0)</f>
        <v>0.2777</v>
      </c>
      <c r="H4977" s="225">
        <f t="shared" si="77"/>
        <v>29.23</v>
      </c>
    </row>
    <row r="4978" spans="1:8" x14ac:dyDescent="0.3">
      <c r="A4978" s="400"/>
      <c r="B4978" s="709">
        <v>95768</v>
      </c>
      <c r="C4978" s="710" t="s">
        <v>13805</v>
      </c>
      <c r="D4978" s="709" t="s">
        <v>136</v>
      </c>
      <c r="E4978" s="716">
        <v>49.92</v>
      </c>
      <c r="F4978" s="717">
        <v>0</v>
      </c>
      <c r="G4978">
        <f>VLOOKUP(B4978,'SINAPI-%MO'!B:E,4,0)</f>
        <v>0.2414</v>
      </c>
      <c r="H4978" s="225">
        <f t="shared" si="77"/>
        <v>37.86</v>
      </c>
    </row>
    <row r="4979" spans="1:8" x14ac:dyDescent="0.3">
      <c r="A4979" s="400"/>
      <c r="B4979" s="709">
        <v>95739</v>
      </c>
      <c r="C4979" s="710" t="s">
        <v>15079</v>
      </c>
      <c r="D4979" s="709" t="s">
        <v>136</v>
      </c>
      <c r="E4979" s="716">
        <v>0</v>
      </c>
      <c r="F4979" s="717"/>
      <c r="G4979" t="e">
        <f>VLOOKUP(B4979,'SINAPI-%MO'!B:E,4,0)</f>
        <v>#N/A</v>
      </c>
      <c r="H4979" s="225" t="str">
        <f t="shared" si="77"/>
        <v/>
      </c>
    </row>
    <row r="4980" spans="1:8" x14ac:dyDescent="0.3">
      <c r="A4980" s="400"/>
      <c r="B4980" s="709">
        <v>95740</v>
      </c>
      <c r="C4980" s="710" t="s">
        <v>15080</v>
      </c>
      <c r="D4980" s="709" t="s">
        <v>136</v>
      </c>
      <c r="E4980" s="716">
        <v>0</v>
      </c>
      <c r="F4980" s="717"/>
      <c r="G4980" t="e">
        <f>VLOOKUP(B4980,'SINAPI-%MO'!B:E,4,0)</f>
        <v>#N/A</v>
      </c>
      <c r="H4980" s="225" t="str">
        <f t="shared" si="77"/>
        <v/>
      </c>
    </row>
    <row r="4981" spans="1:8" x14ac:dyDescent="0.3">
      <c r="A4981" s="400"/>
      <c r="B4981" s="709">
        <v>95741</v>
      </c>
      <c r="C4981" s="710" t="s">
        <v>15081</v>
      </c>
      <c r="D4981" s="709" t="s">
        <v>136</v>
      </c>
      <c r="E4981" s="716">
        <v>0</v>
      </c>
      <c r="F4981" s="717"/>
      <c r="G4981" t="e">
        <f>VLOOKUP(B4981,'SINAPI-%MO'!B:E,4,0)</f>
        <v>#N/A</v>
      </c>
      <c r="H4981" s="225" t="str">
        <f t="shared" si="77"/>
        <v/>
      </c>
    </row>
    <row r="4982" spans="1:8" x14ac:dyDescent="0.3">
      <c r="A4982" s="400"/>
      <c r="B4982" s="709">
        <v>106671</v>
      </c>
      <c r="C4982" s="710" t="s">
        <v>13806</v>
      </c>
      <c r="D4982" s="709" t="s">
        <v>159</v>
      </c>
      <c r="E4982" s="716">
        <v>30.77</v>
      </c>
      <c r="F4982" s="717">
        <v>0</v>
      </c>
      <c r="G4982">
        <f>VLOOKUP(B4982,'SINAPI-%MO'!B:E,4,0)</f>
        <v>6.6900000000000001E-2</v>
      </c>
      <c r="H4982" s="225">
        <f t="shared" si="77"/>
        <v>28.71</v>
      </c>
    </row>
    <row r="4983" spans="1:8" x14ac:dyDescent="0.3">
      <c r="A4983" s="400"/>
      <c r="B4983" s="709">
        <v>106670</v>
      </c>
      <c r="C4983" s="710" t="s">
        <v>13807</v>
      </c>
      <c r="D4983" s="709" t="s">
        <v>159</v>
      </c>
      <c r="E4983" s="716">
        <v>20.84</v>
      </c>
      <c r="F4983" s="717">
        <v>0</v>
      </c>
      <c r="G4983">
        <f>VLOOKUP(B4983,'SINAPI-%MO'!B:E,4,0)</f>
        <v>8.7300000000000003E-2</v>
      </c>
      <c r="H4983" s="225">
        <f t="shared" si="77"/>
        <v>19.02</v>
      </c>
    </row>
    <row r="4984" spans="1:8" x14ac:dyDescent="0.3">
      <c r="A4984" s="400"/>
      <c r="B4984" s="709">
        <v>106669</v>
      </c>
      <c r="C4984" s="710" t="s">
        <v>13808</v>
      </c>
      <c r="D4984" s="709" t="s">
        <v>159</v>
      </c>
      <c r="E4984" s="716">
        <v>16.13</v>
      </c>
      <c r="F4984" s="717">
        <v>0</v>
      </c>
      <c r="G4984">
        <f>VLOOKUP(B4984,'SINAPI-%MO'!B:E,4,0)</f>
        <v>0.1011</v>
      </c>
      <c r="H4984" s="225">
        <f t="shared" si="77"/>
        <v>14.49</v>
      </c>
    </row>
    <row r="4985" spans="1:8" x14ac:dyDescent="0.3">
      <c r="A4985" s="400"/>
      <c r="B4985" s="709">
        <v>95726</v>
      </c>
      <c r="C4985" s="710" t="s">
        <v>13809</v>
      </c>
      <c r="D4985" s="709" t="s">
        <v>159</v>
      </c>
      <c r="E4985" s="716">
        <v>17.28</v>
      </c>
      <c r="F4985" s="717">
        <v>0</v>
      </c>
      <c r="G4985">
        <f>VLOOKUP(B4985,'SINAPI-%MO'!B:E,4,0)</f>
        <v>0.68920000000000003</v>
      </c>
      <c r="H4985" s="225">
        <f t="shared" si="77"/>
        <v>5.37</v>
      </c>
    </row>
    <row r="4986" spans="1:8" x14ac:dyDescent="0.3">
      <c r="A4986" s="400"/>
      <c r="B4986" s="709">
        <v>95727</v>
      </c>
      <c r="C4986" s="710" t="s">
        <v>13810</v>
      </c>
      <c r="D4986" s="709" t="s">
        <v>159</v>
      </c>
      <c r="E4986" s="716">
        <v>18.510000000000002</v>
      </c>
      <c r="F4986" s="717">
        <v>0</v>
      </c>
      <c r="G4986">
        <f>VLOOKUP(B4986,'SINAPI-%MO'!B:E,4,0)</f>
        <v>0.66830000000000001</v>
      </c>
      <c r="H4986" s="225">
        <f t="shared" si="77"/>
        <v>6.13</v>
      </c>
    </row>
    <row r="4987" spans="1:8" x14ac:dyDescent="0.3">
      <c r="A4987" s="400"/>
      <c r="B4987" s="709">
        <v>95728</v>
      </c>
      <c r="C4987" s="710" t="s">
        <v>13811</v>
      </c>
      <c r="D4987" s="709" t="s">
        <v>159</v>
      </c>
      <c r="E4987" s="716">
        <v>21.22</v>
      </c>
      <c r="F4987" s="717">
        <v>0</v>
      </c>
      <c r="G4987">
        <f>VLOOKUP(B4987,'SINAPI-%MO'!B:E,4,0)</f>
        <v>0.61260000000000003</v>
      </c>
      <c r="H4987" s="225">
        <f t="shared" si="77"/>
        <v>8.2200000000000006</v>
      </c>
    </row>
    <row r="4988" spans="1:8" x14ac:dyDescent="0.3">
      <c r="A4988" s="400"/>
      <c r="B4988" s="709">
        <v>104409</v>
      </c>
      <c r="C4988" s="710" t="s">
        <v>15082</v>
      </c>
      <c r="D4988" s="709" t="s">
        <v>159</v>
      </c>
      <c r="E4988" s="716">
        <v>0</v>
      </c>
      <c r="F4988" s="717"/>
      <c r="G4988" t="e">
        <f>VLOOKUP(B4988,'SINAPI-%MO'!B:E,4,0)</f>
        <v>#N/A</v>
      </c>
      <c r="H4988" s="225" t="str">
        <f t="shared" si="77"/>
        <v/>
      </c>
    </row>
    <row r="4989" spans="1:8" x14ac:dyDescent="0.3">
      <c r="A4989" s="400"/>
      <c r="B4989" s="709">
        <v>104408</v>
      </c>
      <c r="C4989" s="710" t="s">
        <v>15083</v>
      </c>
      <c r="D4989" s="709" t="s">
        <v>159</v>
      </c>
      <c r="E4989" s="716">
        <v>0</v>
      </c>
      <c r="F4989" s="717"/>
      <c r="G4989" t="e">
        <f>VLOOKUP(B4989,'SINAPI-%MO'!B:E,4,0)</f>
        <v>#N/A</v>
      </c>
      <c r="H4989" s="225" t="str">
        <f t="shared" si="77"/>
        <v/>
      </c>
    </row>
    <row r="4990" spans="1:8" x14ac:dyDescent="0.3">
      <c r="A4990" s="400"/>
      <c r="B4990" s="709">
        <v>104407</v>
      </c>
      <c r="C4990" s="710" t="s">
        <v>15084</v>
      </c>
      <c r="D4990" s="709" t="s">
        <v>159</v>
      </c>
      <c r="E4990" s="716">
        <v>0</v>
      </c>
      <c r="F4990" s="717"/>
      <c r="G4990" t="e">
        <f>VLOOKUP(B4990,'SINAPI-%MO'!B:E,4,0)</f>
        <v>#N/A</v>
      </c>
      <c r="H4990" s="225" t="str">
        <f t="shared" si="77"/>
        <v/>
      </c>
    </row>
    <row r="4991" spans="1:8" x14ac:dyDescent="0.3">
      <c r="A4991" s="400"/>
      <c r="B4991" s="709">
        <v>104406</v>
      </c>
      <c r="C4991" s="710" t="s">
        <v>15085</v>
      </c>
      <c r="D4991" s="709" t="s">
        <v>159</v>
      </c>
      <c r="E4991" s="716">
        <v>0</v>
      </c>
      <c r="F4991" s="717"/>
      <c r="G4991" t="e">
        <f>VLOOKUP(B4991,'SINAPI-%MO'!B:E,4,0)</f>
        <v>#N/A</v>
      </c>
      <c r="H4991" s="225" t="str">
        <f t="shared" si="77"/>
        <v/>
      </c>
    </row>
    <row r="4992" spans="1:8" x14ac:dyDescent="0.3">
      <c r="A4992" s="400"/>
      <c r="B4992" s="709">
        <v>104452</v>
      </c>
      <c r="C4992" s="710" t="s">
        <v>13812</v>
      </c>
      <c r="D4992" s="709" t="s">
        <v>136</v>
      </c>
      <c r="E4992" s="716">
        <v>9.0500000000000007</v>
      </c>
      <c r="F4992" s="717">
        <v>0</v>
      </c>
      <c r="G4992">
        <f>VLOOKUP(B4992,'SINAPI-%MO'!B:E,4,0)</f>
        <v>0.73809999999999998</v>
      </c>
      <c r="H4992" s="225">
        <f t="shared" si="77"/>
        <v>2.37</v>
      </c>
    </row>
    <row r="4993" spans="1:8" x14ac:dyDescent="0.3">
      <c r="A4993" s="400"/>
      <c r="B4993" s="709">
        <v>104448</v>
      </c>
      <c r="C4993" s="710" t="s">
        <v>13813</v>
      </c>
      <c r="D4993" s="709" t="s">
        <v>136</v>
      </c>
      <c r="E4993" s="716">
        <v>9.77</v>
      </c>
      <c r="F4993" s="717">
        <v>0</v>
      </c>
      <c r="G4993">
        <f>VLOOKUP(B4993,'SINAPI-%MO'!B:E,4,0)</f>
        <v>0.71850000000000003</v>
      </c>
      <c r="H4993" s="225">
        <f t="shared" si="77"/>
        <v>2.75</v>
      </c>
    </row>
    <row r="4994" spans="1:8" x14ac:dyDescent="0.3">
      <c r="A4994" s="400"/>
      <c r="B4994" s="709">
        <v>104449</v>
      </c>
      <c r="C4994" s="710" t="s">
        <v>13814</v>
      </c>
      <c r="D4994" s="709" t="s">
        <v>136</v>
      </c>
      <c r="E4994" s="716">
        <v>12.38</v>
      </c>
      <c r="F4994" s="717">
        <v>0</v>
      </c>
      <c r="G4994">
        <f>VLOOKUP(B4994,'SINAPI-%MO'!B:E,4,0)</f>
        <v>0.60499999999999998</v>
      </c>
      <c r="H4994" s="225">
        <f t="shared" si="77"/>
        <v>4.8899999999999997</v>
      </c>
    </row>
    <row r="4995" spans="1:8" x14ac:dyDescent="0.3">
      <c r="A4995" s="400"/>
      <c r="B4995" s="709">
        <v>104450</v>
      </c>
      <c r="C4995" s="710" t="s">
        <v>13815</v>
      </c>
      <c r="D4995" s="709" t="s">
        <v>136</v>
      </c>
      <c r="E4995" s="716">
        <v>15.1</v>
      </c>
      <c r="F4995" s="717">
        <v>0</v>
      </c>
      <c r="G4995">
        <f>VLOOKUP(B4995,'SINAPI-%MO'!B:E,4,0)</f>
        <v>0.53180000000000005</v>
      </c>
      <c r="H4995" s="225">
        <f t="shared" si="77"/>
        <v>7.06</v>
      </c>
    </row>
    <row r="4996" spans="1:8" x14ac:dyDescent="0.3">
      <c r="A4996" s="400"/>
      <c r="B4996" s="709">
        <v>104445</v>
      </c>
      <c r="C4996" s="710" t="s">
        <v>15086</v>
      </c>
      <c r="D4996" s="709" t="s">
        <v>136</v>
      </c>
      <c r="E4996" s="716">
        <v>0</v>
      </c>
      <c r="F4996" s="717"/>
      <c r="G4996" t="e">
        <f>VLOOKUP(B4996,'SINAPI-%MO'!B:E,4,0)</f>
        <v>#N/A</v>
      </c>
      <c r="H4996" s="225" t="str">
        <f t="shared" si="77"/>
        <v/>
      </c>
    </row>
    <row r="4997" spans="1:8" x14ac:dyDescent="0.3">
      <c r="A4997" s="400"/>
      <c r="B4997" s="709">
        <v>104446</v>
      </c>
      <c r="C4997" s="710" t="s">
        <v>15087</v>
      </c>
      <c r="D4997" s="709" t="s">
        <v>136</v>
      </c>
      <c r="E4997" s="716">
        <v>0</v>
      </c>
      <c r="F4997" s="717"/>
      <c r="G4997" t="e">
        <f>VLOOKUP(B4997,'SINAPI-%MO'!B:E,4,0)</f>
        <v>#N/A</v>
      </c>
      <c r="H4997" s="225" t="str">
        <f t="shared" si="77"/>
        <v/>
      </c>
    </row>
    <row r="4998" spans="1:8" x14ac:dyDescent="0.3">
      <c r="A4998" s="400"/>
      <c r="B4998" s="709">
        <v>104447</v>
      </c>
      <c r="C4998" s="710" t="s">
        <v>15088</v>
      </c>
      <c r="D4998" s="709" t="s">
        <v>136</v>
      </c>
      <c r="E4998" s="716">
        <v>0</v>
      </c>
      <c r="F4998" s="717"/>
      <c r="G4998" t="e">
        <f>VLOOKUP(B4998,'SINAPI-%MO'!B:E,4,0)</f>
        <v>#N/A</v>
      </c>
      <c r="H4998" s="225" t="str">
        <f t="shared" si="77"/>
        <v/>
      </c>
    </row>
    <row r="4999" spans="1:8" x14ac:dyDescent="0.3">
      <c r="A4999" s="400"/>
      <c r="B4999" s="709">
        <v>101884</v>
      </c>
      <c r="C4999" s="710" t="s">
        <v>4394</v>
      </c>
      <c r="D4999" s="709" t="s">
        <v>159</v>
      </c>
      <c r="E4999" s="716">
        <v>12.42</v>
      </c>
      <c r="F4999" s="717">
        <v>0</v>
      </c>
      <c r="G4999">
        <f>VLOOKUP(B4999,'SINAPI-%MO'!B:E,4,0)</f>
        <v>1.6899999999999998E-2</v>
      </c>
      <c r="H4999" s="225">
        <f t="shared" si="77"/>
        <v>12.21</v>
      </c>
    </row>
    <row r="5000" spans="1:8" x14ac:dyDescent="0.3">
      <c r="A5000" s="400"/>
      <c r="B5000" s="709">
        <v>101886</v>
      </c>
      <c r="C5000" s="710" t="s">
        <v>4395</v>
      </c>
      <c r="D5000" s="709" t="s">
        <v>159</v>
      </c>
      <c r="E5000" s="716">
        <v>17.82</v>
      </c>
      <c r="F5000" s="717">
        <v>0</v>
      </c>
      <c r="G5000">
        <f>VLOOKUP(B5000,'SINAPI-%MO'!B:E,4,0)</f>
        <v>2.1899999999999999E-2</v>
      </c>
      <c r="H5000" s="225">
        <f t="shared" si="77"/>
        <v>17.420000000000002</v>
      </c>
    </row>
    <row r="5001" spans="1:8" x14ac:dyDescent="0.3">
      <c r="A5001" s="400"/>
      <c r="B5001" s="709">
        <v>101888</v>
      </c>
      <c r="C5001" s="710" t="s">
        <v>4396</v>
      </c>
      <c r="D5001" s="709" t="s">
        <v>159</v>
      </c>
      <c r="E5001" s="716">
        <v>28.45</v>
      </c>
      <c r="F5001" s="717">
        <v>0</v>
      </c>
      <c r="G5001">
        <f>VLOOKUP(B5001,'SINAPI-%MO'!B:E,4,0)</f>
        <v>4.1799999999999997E-2</v>
      </c>
      <c r="H5001" s="225">
        <f t="shared" si="77"/>
        <v>27.26</v>
      </c>
    </row>
    <row r="5002" spans="1:8" x14ac:dyDescent="0.3">
      <c r="A5002" s="400"/>
      <c r="B5002" s="709">
        <v>101938</v>
      </c>
      <c r="C5002" s="710" t="s">
        <v>4397</v>
      </c>
      <c r="D5002" s="709" t="s">
        <v>136</v>
      </c>
      <c r="E5002" s="716">
        <v>165.72</v>
      </c>
      <c r="F5002" s="717">
        <v>0</v>
      </c>
      <c r="G5002">
        <f>VLOOKUP(B5002,'SINAPI-%MO'!B:E,4,0)</f>
        <v>0.42</v>
      </c>
      <c r="H5002" s="225">
        <f t="shared" si="77"/>
        <v>96.11</v>
      </c>
    </row>
    <row r="5003" spans="1:8" x14ac:dyDescent="0.3">
      <c r="A5003" s="400"/>
      <c r="B5003" s="709">
        <v>101904</v>
      </c>
      <c r="C5003" s="710" t="s">
        <v>4398</v>
      </c>
      <c r="D5003" s="709" t="s">
        <v>136</v>
      </c>
      <c r="E5003" s="716">
        <v>1725.82</v>
      </c>
      <c r="F5003" s="717">
        <v>0</v>
      </c>
      <c r="G5003">
        <f>VLOOKUP(B5003,'SINAPI-%MO'!B:E,4,0)</f>
        <v>2.52E-2</v>
      </c>
      <c r="H5003" s="225">
        <f t="shared" ref="H5003:H5066" si="78">IF(E5003&gt;0,TRUNC(E5003*(1-G5003),2),"")</f>
        <v>1682.32</v>
      </c>
    </row>
    <row r="5004" spans="1:8" x14ac:dyDescent="0.3">
      <c r="A5004" s="400"/>
      <c r="B5004" s="709">
        <v>101901</v>
      </c>
      <c r="C5004" s="710" t="s">
        <v>4399</v>
      </c>
      <c r="D5004" s="709" t="s">
        <v>136</v>
      </c>
      <c r="E5004" s="716">
        <v>180.25</v>
      </c>
      <c r="F5004" s="717">
        <v>0</v>
      </c>
      <c r="G5004">
        <f>VLOOKUP(B5004,'SINAPI-%MO'!B:E,4,0)</f>
        <v>3.5200000000000002E-2</v>
      </c>
      <c r="H5004" s="225">
        <f t="shared" si="78"/>
        <v>173.9</v>
      </c>
    </row>
    <row r="5005" spans="1:8" x14ac:dyDescent="0.3">
      <c r="A5005" s="400"/>
      <c r="B5005" s="709">
        <v>101902</v>
      </c>
      <c r="C5005" s="710" t="s">
        <v>4400</v>
      </c>
      <c r="D5005" s="709" t="s">
        <v>136</v>
      </c>
      <c r="E5005" s="716">
        <v>221.89</v>
      </c>
      <c r="F5005" s="717">
        <v>0</v>
      </c>
      <c r="G5005">
        <f>VLOOKUP(B5005,'SINAPI-%MO'!B:E,4,0)</f>
        <v>3.78E-2</v>
      </c>
      <c r="H5005" s="225">
        <f t="shared" si="78"/>
        <v>213.5</v>
      </c>
    </row>
    <row r="5006" spans="1:8" x14ac:dyDescent="0.3">
      <c r="A5006" s="400"/>
      <c r="B5006" s="709">
        <v>101903</v>
      </c>
      <c r="C5006" s="710" t="s">
        <v>4401</v>
      </c>
      <c r="D5006" s="709" t="s">
        <v>136</v>
      </c>
      <c r="E5006" s="716">
        <v>461.55</v>
      </c>
      <c r="F5006" s="717">
        <v>0</v>
      </c>
      <c r="G5006">
        <f>VLOOKUP(B5006,'SINAPI-%MO'!B:E,4,0)</f>
        <v>3.4099999999999998E-2</v>
      </c>
      <c r="H5006" s="225">
        <f t="shared" si="78"/>
        <v>445.81</v>
      </c>
    </row>
    <row r="5007" spans="1:8" x14ac:dyDescent="0.3">
      <c r="A5007" s="400"/>
      <c r="B5007" s="709">
        <v>97414</v>
      </c>
      <c r="C5007" s="710" t="s">
        <v>4402</v>
      </c>
      <c r="D5007" s="709" t="s">
        <v>136</v>
      </c>
      <c r="E5007" s="716">
        <v>0</v>
      </c>
      <c r="F5007" s="717"/>
      <c r="G5007" t="e">
        <f>VLOOKUP(B5007,'SINAPI-%MO'!B:E,4,0)</f>
        <v>#N/A</v>
      </c>
      <c r="H5007" s="225" t="str">
        <f t="shared" si="78"/>
        <v/>
      </c>
    </row>
    <row r="5008" spans="1:8" x14ac:dyDescent="0.3">
      <c r="A5008" s="400"/>
      <c r="B5008" s="709">
        <v>97415</v>
      </c>
      <c r="C5008" s="710" t="s">
        <v>4403</v>
      </c>
      <c r="D5008" s="709" t="s">
        <v>136</v>
      </c>
      <c r="E5008" s="716">
        <v>0</v>
      </c>
      <c r="F5008" s="717"/>
      <c r="G5008" t="e">
        <f>VLOOKUP(B5008,'SINAPI-%MO'!B:E,4,0)</f>
        <v>#N/A</v>
      </c>
      <c r="H5008" s="225" t="str">
        <f t="shared" si="78"/>
        <v/>
      </c>
    </row>
    <row r="5009" spans="1:8" x14ac:dyDescent="0.3">
      <c r="A5009" s="400"/>
      <c r="B5009" s="709">
        <v>97416</v>
      </c>
      <c r="C5009" s="710" t="s">
        <v>4404</v>
      </c>
      <c r="D5009" s="709" t="s">
        <v>136</v>
      </c>
      <c r="E5009" s="716">
        <v>0</v>
      </c>
      <c r="F5009" s="717"/>
      <c r="G5009" t="e">
        <f>VLOOKUP(B5009,'SINAPI-%MO'!B:E,4,0)</f>
        <v>#N/A</v>
      </c>
      <c r="H5009" s="225" t="str">
        <f t="shared" si="78"/>
        <v/>
      </c>
    </row>
    <row r="5010" spans="1:8" x14ac:dyDescent="0.3">
      <c r="A5010" s="400"/>
      <c r="B5010" s="709">
        <v>97417</v>
      </c>
      <c r="C5010" s="710" t="s">
        <v>4405</v>
      </c>
      <c r="D5010" s="709" t="s">
        <v>136</v>
      </c>
      <c r="E5010" s="716">
        <v>0</v>
      </c>
      <c r="F5010" s="717"/>
      <c r="G5010" t="e">
        <f>VLOOKUP(B5010,'SINAPI-%MO'!B:E,4,0)</f>
        <v>#N/A</v>
      </c>
      <c r="H5010" s="225" t="str">
        <f t="shared" si="78"/>
        <v/>
      </c>
    </row>
    <row r="5011" spans="1:8" x14ac:dyDescent="0.3">
      <c r="A5011" s="400"/>
      <c r="B5011" s="709">
        <v>97418</v>
      </c>
      <c r="C5011" s="710" t="s">
        <v>4406</v>
      </c>
      <c r="D5011" s="709" t="s">
        <v>136</v>
      </c>
      <c r="E5011" s="716">
        <v>0</v>
      </c>
      <c r="F5011" s="717"/>
      <c r="G5011" t="e">
        <f>VLOOKUP(B5011,'SINAPI-%MO'!B:E,4,0)</f>
        <v>#N/A</v>
      </c>
      <c r="H5011" s="225" t="str">
        <f t="shared" si="78"/>
        <v/>
      </c>
    </row>
    <row r="5012" spans="1:8" x14ac:dyDescent="0.3">
      <c r="A5012" s="400"/>
      <c r="B5012" s="709">
        <v>97409</v>
      </c>
      <c r="C5012" s="710" t="s">
        <v>4407</v>
      </c>
      <c r="D5012" s="709" t="s">
        <v>136</v>
      </c>
      <c r="E5012" s="716">
        <v>0</v>
      </c>
      <c r="F5012" s="717"/>
      <c r="G5012" t="e">
        <f>VLOOKUP(B5012,'SINAPI-%MO'!B:E,4,0)</f>
        <v>#N/A</v>
      </c>
      <c r="H5012" s="225" t="str">
        <f t="shared" si="78"/>
        <v/>
      </c>
    </row>
    <row r="5013" spans="1:8" x14ac:dyDescent="0.3">
      <c r="A5013" s="400"/>
      <c r="B5013" s="709">
        <v>97410</v>
      </c>
      <c r="C5013" s="710" t="s">
        <v>4408</v>
      </c>
      <c r="D5013" s="709" t="s">
        <v>136</v>
      </c>
      <c r="E5013" s="716">
        <v>0</v>
      </c>
      <c r="F5013" s="717"/>
      <c r="G5013" t="e">
        <f>VLOOKUP(B5013,'SINAPI-%MO'!B:E,4,0)</f>
        <v>#N/A</v>
      </c>
      <c r="H5013" s="225" t="str">
        <f t="shared" si="78"/>
        <v/>
      </c>
    </row>
    <row r="5014" spans="1:8" x14ac:dyDescent="0.3">
      <c r="A5014" s="400"/>
      <c r="B5014" s="709">
        <v>97411</v>
      </c>
      <c r="C5014" s="710" t="s">
        <v>4409</v>
      </c>
      <c r="D5014" s="709" t="s">
        <v>136</v>
      </c>
      <c r="E5014" s="716">
        <v>0</v>
      </c>
      <c r="F5014" s="717"/>
      <c r="G5014" t="e">
        <f>VLOOKUP(B5014,'SINAPI-%MO'!B:E,4,0)</f>
        <v>#N/A</v>
      </c>
      <c r="H5014" s="225" t="str">
        <f t="shared" si="78"/>
        <v/>
      </c>
    </row>
    <row r="5015" spans="1:8" x14ac:dyDescent="0.3">
      <c r="A5015" s="400"/>
      <c r="B5015" s="709">
        <v>97412</v>
      </c>
      <c r="C5015" s="710" t="s">
        <v>4410</v>
      </c>
      <c r="D5015" s="709" t="s">
        <v>136</v>
      </c>
      <c r="E5015" s="716">
        <v>0</v>
      </c>
      <c r="F5015" s="717"/>
      <c r="G5015" t="e">
        <f>VLOOKUP(B5015,'SINAPI-%MO'!B:E,4,0)</f>
        <v>#N/A</v>
      </c>
      <c r="H5015" s="225" t="str">
        <f t="shared" si="78"/>
        <v/>
      </c>
    </row>
    <row r="5016" spans="1:8" x14ac:dyDescent="0.3">
      <c r="A5016" s="400"/>
      <c r="B5016" s="709">
        <v>97413</v>
      </c>
      <c r="C5016" s="710" t="s">
        <v>4411</v>
      </c>
      <c r="D5016" s="709" t="s">
        <v>136</v>
      </c>
      <c r="E5016" s="716">
        <v>0</v>
      </c>
      <c r="F5016" s="717"/>
      <c r="G5016" t="e">
        <f>VLOOKUP(B5016,'SINAPI-%MO'!B:E,4,0)</f>
        <v>#N/A</v>
      </c>
      <c r="H5016" s="225" t="str">
        <f t="shared" si="78"/>
        <v/>
      </c>
    </row>
    <row r="5017" spans="1:8" x14ac:dyDescent="0.3">
      <c r="A5017" s="400"/>
      <c r="B5017" s="709">
        <v>101900</v>
      </c>
      <c r="C5017" s="710" t="s">
        <v>4412</v>
      </c>
      <c r="D5017" s="709" t="s">
        <v>136</v>
      </c>
      <c r="E5017" s="716">
        <v>3812.21</v>
      </c>
      <c r="F5017" s="717">
        <v>0</v>
      </c>
      <c r="G5017">
        <f>VLOOKUP(B5017,'SINAPI-%MO'!B:E,4,0)</f>
        <v>1.9199999999999998E-2</v>
      </c>
      <c r="H5017" s="225">
        <f t="shared" si="78"/>
        <v>3739.01</v>
      </c>
    </row>
    <row r="5018" spans="1:8" x14ac:dyDescent="0.3">
      <c r="A5018" s="400"/>
      <c r="B5018" s="709">
        <v>106030</v>
      </c>
      <c r="C5018" s="710" t="s">
        <v>4413</v>
      </c>
      <c r="D5018" s="709" t="s">
        <v>136</v>
      </c>
      <c r="E5018" s="716">
        <v>151.41</v>
      </c>
      <c r="F5018" s="717">
        <v>0</v>
      </c>
      <c r="G5018">
        <f>VLOOKUP(B5018,'SINAPI-%MO'!B:E,4,0)</f>
        <v>0.13930000000000001</v>
      </c>
      <c r="H5018" s="225">
        <f t="shared" si="78"/>
        <v>130.31</v>
      </c>
    </row>
    <row r="5019" spans="1:8" x14ac:dyDescent="0.3">
      <c r="A5019" s="400"/>
      <c r="B5019" s="709">
        <v>93660</v>
      </c>
      <c r="C5019" s="710" t="s">
        <v>4414</v>
      </c>
      <c r="D5019" s="709" t="s">
        <v>136</v>
      </c>
      <c r="E5019" s="716">
        <v>49.58</v>
      </c>
      <c r="F5019" s="717">
        <v>0</v>
      </c>
      <c r="G5019">
        <f>VLOOKUP(B5019,'SINAPI-%MO'!B:E,4,0)</f>
        <v>8.5099999999999995E-2</v>
      </c>
      <c r="H5019" s="225">
        <f t="shared" si="78"/>
        <v>45.36</v>
      </c>
    </row>
    <row r="5020" spans="1:8" x14ac:dyDescent="0.3">
      <c r="A5020" s="400"/>
      <c r="B5020" s="709">
        <v>93661</v>
      </c>
      <c r="C5020" s="710" t="s">
        <v>4415</v>
      </c>
      <c r="D5020" s="709" t="s">
        <v>136</v>
      </c>
      <c r="E5020" s="716">
        <v>49.58</v>
      </c>
      <c r="F5020" s="717">
        <v>0</v>
      </c>
      <c r="G5020">
        <f>VLOOKUP(B5020,'SINAPI-%MO'!B:E,4,0)</f>
        <v>8.5099999999999995E-2</v>
      </c>
      <c r="H5020" s="225">
        <f t="shared" si="78"/>
        <v>45.36</v>
      </c>
    </row>
    <row r="5021" spans="1:8" x14ac:dyDescent="0.3">
      <c r="A5021" s="400"/>
      <c r="B5021" s="709">
        <v>93662</v>
      </c>
      <c r="C5021" s="710" t="s">
        <v>4416</v>
      </c>
      <c r="D5021" s="709" t="s">
        <v>136</v>
      </c>
      <c r="E5021" s="716">
        <v>51.68</v>
      </c>
      <c r="F5021" s="717">
        <v>0</v>
      </c>
      <c r="G5021">
        <f>VLOOKUP(B5021,'SINAPI-%MO'!B:E,4,0)</f>
        <v>0.108</v>
      </c>
      <c r="H5021" s="225">
        <f t="shared" si="78"/>
        <v>46.09</v>
      </c>
    </row>
    <row r="5022" spans="1:8" x14ac:dyDescent="0.3">
      <c r="A5022" s="400"/>
      <c r="B5022" s="709">
        <v>93663</v>
      </c>
      <c r="C5022" s="710" t="s">
        <v>4417</v>
      </c>
      <c r="D5022" s="709" t="s">
        <v>136</v>
      </c>
      <c r="E5022" s="716">
        <v>53.74</v>
      </c>
      <c r="F5022" s="717">
        <v>0</v>
      </c>
      <c r="G5022">
        <f>VLOOKUP(B5022,'SINAPI-%MO'!B:E,4,0)</f>
        <v>0.14219999999999999</v>
      </c>
      <c r="H5022" s="225">
        <f t="shared" si="78"/>
        <v>46.09</v>
      </c>
    </row>
    <row r="5023" spans="1:8" x14ac:dyDescent="0.3">
      <c r="A5023" s="400"/>
      <c r="B5023" s="709">
        <v>93664</v>
      </c>
      <c r="C5023" s="710" t="s">
        <v>4418</v>
      </c>
      <c r="D5023" s="709" t="s">
        <v>136</v>
      </c>
      <c r="E5023" s="716">
        <v>57.1</v>
      </c>
      <c r="F5023" s="717">
        <v>0</v>
      </c>
      <c r="G5023">
        <f>VLOOKUP(B5023,'SINAPI-%MO'!B:E,4,0)</f>
        <v>0.18140000000000001</v>
      </c>
      <c r="H5023" s="225">
        <f t="shared" si="78"/>
        <v>46.74</v>
      </c>
    </row>
    <row r="5024" spans="1:8" x14ac:dyDescent="0.3">
      <c r="A5024" s="400"/>
      <c r="B5024" s="709">
        <v>93665</v>
      </c>
      <c r="C5024" s="710" t="s">
        <v>4419</v>
      </c>
      <c r="D5024" s="709" t="s">
        <v>136</v>
      </c>
      <c r="E5024" s="716">
        <v>61.57</v>
      </c>
      <c r="F5024" s="717">
        <v>0</v>
      </c>
      <c r="G5024">
        <f>VLOOKUP(B5024,'SINAPI-%MO'!B:E,4,0)</f>
        <v>0.2465</v>
      </c>
      <c r="H5024" s="225">
        <f t="shared" si="78"/>
        <v>46.39</v>
      </c>
    </row>
    <row r="5025" spans="1:8" x14ac:dyDescent="0.3">
      <c r="A5025" s="400"/>
      <c r="B5025" s="709">
        <v>93666</v>
      </c>
      <c r="C5025" s="710" t="s">
        <v>4420</v>
      </c>
      <c r="D5025" s="709" t="s">
        <v>136</v>
      </c>
      <c r="E5025" s="716">
        <v>68.260000000000005</v>
      </c>
      <c r="F5025" s="717">
        <v>0</v>
      </c>
      <c r="G5025">
        <f>VLOOKUP(B5025,'SINAPI-%MO'!B:E,4,0)</f>
        <v>0.309</v>
      </c>
      <c r="H5025" s="225">
        <f t="shared" si="78"/>
        <v>47.16</v>
      </c>
    </row>
    <row r="5026" spans="1:8" x14ac:dyDescent="0.3">
      <c r="A5026" s="400"/>
      <c r="B5026" s="709">
        <v>93674</v>
      </c>
      <c r="C5026" s="710" t="s">
        <v>4421</v>
      </c>
      <c r="D5026" s="709" t="s">
        <v>136</v>
      </c>
      <c r="E5026" s="716">
        <v>126.06</v>
      </c>
      <c r="F5026" s="717">
        <v>0</v>
      </c>
      <c r="G5026">
        <f>VLOOKUP(B5026,'SINAPI-%MO'!B:E,4,0)</f>
        <v>6.0600000000000001E-2</v>
      </c>
      <c r="H5026" s="225">
        <f t="shared" si="78"/>
        <v>118.42</v>
      </c>
    </row>
    <row r="5027" spans="1:8" x14ac:dyDescent="0.3">
      <c r="A5027" s="400"/>
      <c r="B5027" s="709">
        <v>93675</v>
      </c>
      <c r="C5027" s="710" t="s">
        <v>4422</v>
      </c>
      <c r="D5027" s="709" t="s">
        <v>136</v>
      </c>
      <c r="E5027" s="716">
        <v>136.59</v>
      </c>
      <c r="F5027" s="717">
        <v>0</v>
      </c>
      <c r="G5027">
        <f>VLOOKUP(B5027,'SINAPI-%MO'!B:E,4,0)</f>
        <v>0.1111</v>
      </c>
      <c r="H5027" s="225">
        <f t="shared" si="78"/>
        <v>121.41</v>
      </c>
    </row>
    <row r="5028" spans="1:8" x14ac:dyDescent="0.3">
      <c r="A5028" s="400"/>
      <c r="B5028" s="709">
        <v>101892</v>
      </c>
      <c r="C5028" s="710" t="s">
        <v>4423</v>
      </c>
      <c r="D5028" s="709" t="s">
        <v>136</v>
      </c>
      <c r="E5028" s="716">
        <v>63.01</v>
      </c>
      <c r="F5028" s="717">
        <v>0</v>
      </c>
      <c r="G5028">
        <f>VLOOKUP(B5028,'SINAPI-%MO'!B:E,4,0)</f>
        <v>0.12130000000000001</v>
      </c>
      <c r="H5028" s="225">
        <f t="shared" si="78"/>
        <v>55.36</v>
      </c>
    </row>
    <row r="5029" spans="1:8" x14ac:dyDescent="0.3">
      <c r="A5029" s="400"/>
      <c r="B5029" s="709">
        <v>93653</v>
      </c>
      <c r="C5029" s="710" t="s">
        <v>4424</v>
      </c>
      <c r="D5029" s="709" t="s">
        <v>136</v>
      </c>
      <c r="E5029" s="716">
        <v>10.83</v>
      </c>
      <c r="F5029" s="717">
        <v>0</v>
      </c>
      <c r="G5029">
        <f>VLOOKUP(B5029,'SINAPI-%MO'!B:E,4,0)</f>
        <v>0.1948</v>
      </c>
      <c r="H5029" s="225">
        <f t="shared" si="78"/>
        <v>8.7200000000000006</v>
      </c>
    </row>
    <row r="5030" spans="1:8" x14ac:dyDescent="0.3">
      <c r="A5030" s="400"/>
      <c r="B5030" s="709">
        <v>93654</v>
      </c>
      <c r="C5030" s="710" t="s">
        <v>4425</v>
      </c>
      <c r="D5030" s="709" t="s">
        <v>136</v>
      </c>
      <c r="E5030" s="716">
        <v>10.83</v>
      </c>
      <c r="F5030" s="717">
        <v>0</v>
      </c>
      <c r="G5030">
        <f>VLOOKUP(B5030,'SINAPI-%MO'!B:E,4,0)</f>
        <v>0.1948</v>
      </c>
      <c r="H5030" s="225">
        <f t="shared" si="78"/>
        <v>8.7200000000000006</v>
      </c>
    </row>
    <row r="5031" spans="1:8" x14ac:dyDescent="0.3">
      <c r="A5031" s="400"/>
      <c r="B5031" s="709">
        <v>93655</v>
      </c>
      <c r="C5031" s="710" t="s">
        <v>4426</v>
      </c>
      <c r="D5031" s="709" t="s">
        <v>136</v>
      </c>
      <c r="E5031" s="716">
        <v>11.87</v>
      </c>
      <c r="F5031" s="717">
        <v>0</v>
      </c>
      <c r="G5031">
        <f>VLOOKUP(B5031,'SINAPI-%MO'!B:E,4,0)</f>
        <v>0.23419999999999999</v>
      </c>
      <c r="H5031" s="225">
        <f t="shared" si="78"/>
        <v>9.09</v>
      </c>
    </row>
    <row r="5032" spans="1:8" x14ac:dyDescent="0.3">
      <c r="A5032" s="400"/>
      <c r="B5032" s="709">
        <v>93656</v>
      </c>
      <c r="C5032" s="710" t="s">
        <v>4427</v>
      </c>
      <c r="D5032" s="709" t="s">
        <v>136</v>
      </c>
      <c r="E5032" s="716">
        <v>12.9</v>
      </c>
      <c r="F5032" s="717">
        <v>0</v>
      </c>
      <c r="G5032">
        <f>VLOOKUP(B5032,'SINAPI-%MO'!B:E,4,0)</f>
        <v>0.29530000000000001</v>
      </c>
      <c r="H5032" s="225">
        <f t="shared" si="78"/>
        <v>9.09</v>
      </c>
    </row>
    <row r="5033" spans="1:8" x14ac:dyDescent="0.3">
      <c r="A5033" s="400"/>
      <c r="B5033" s="709">
        <v>93657</v>
      </c>
      <c r="C5033" s="710" t="s">
        <v>4428</v>
      </c>
      <c r="D5033" s="709" t="s">
        <v>136</v>
      </c>
      <c r="E5033" s="716">
        <v>14.64</v>
      </c>
      <c r="F5033" s="717">
        <v>0</v>
      </c>
      <c r="G5033">
        <f>VLOOKUP(B5033,'SINAPI-%MO'!B:E,4,0)</f>
        <v>0.35720000000000002</v>
      </c>
      <c r="H5033" s="225">
        <f t="shared" si="78"/>
        <v>9.41</v>
      </c>
    </row>
    <row r="5034" spans="1:8" x14ac:dyDescent="0.3">
      <c r="A5034" s="400"/>
      <c r="B5034" s="709">
        <v>93658</v>
      </c>
      <c r="C5034" s="710" t="s">
        <v>4429</v>
      </c>
      <c r="D5034" s="709" t="s">
        <v>136</v>
      </c>
      <c r="E5034" s="716">
        <v>20.75</v>
      </c>
      <c r="F5034" s="717">
        <v>0</v>
      </c>
      <c r="G5034">
        <f>VLOOKUP(B5034,'SINAPI-%MO'!B:E,4,0)</f>
        <v>0.36530000000000001</v>
      </c>
      <c r="H5034" s="225">
        <f t="shared" si="78"/>
        <v>13.17</v>
      </c>
    </row>
    <row r="5035" spans="1:8" x14ac:dyDescent="0.3">
      <c r="A5035" s="400"/>
      <c r="B5035" s="709">
        <v>93659</v>
      </c>
      <c r="C5035" s="710" t="s">
        <v>4430</v>
      </c>
      <c r="D5035" s="709" t="s">
        <v>136</v>
      </c>
      <c r="E5035" s="716">
        <v>24.1</v>
      </c>
      <c r="F5035" s="717">
        <v>0</v>
      </c>
      <c r="G5035">
        <f>VLOOKUP(B5035,'SINAPI-%MO'!B:E,4,0)</f>
        <v>0.43730000000000002</v>
      </c>
      <c r="H5035" s="225">
        <f t="shared" si="78"/>
        <v>13.56</v>
      </c>
    </row>
    <row r="5036" spans="1:8" x14ac:dyDescent="0.3">
      <c r="A5036" s="400"/>
      <c r="B5036" s="709">
        <v>101890</v>
      </c>
      <c r="C5036" s="710" t="s">
        <v>4431</v>
      </c>
      <c r="D5036" s="709" t="s">
        <v>136</v>
      </c>
      <c r="E5036" s="716">
        <v>14.08</v>
      </c>
      <c r="F5036" s="717">
        <v>0</v>
      </c>
      <c r="G5036">
        <f>VLOOKUP(B5036,'SINAPI-%MO'!B:E,4,0)</f>
        <v>0.19739999999999999</v>
      </c>
      <c r="H5036" s="225">
        <f t="shared" si="78"/>
        <v>11.3</v>
      </c>
    </row>
    <row r="5037" spans="1:8" x14ac:dyDescent="0.3">
      <c r="A5037" s="400"/>
      <c r="B5037" s="709">
        <v>101891</v>
      </c>
      <c r="C5037" s="710" t="s">
        <v>4432</v>
      </c>
      <c r="D5037" s="709" t="s">
        <v>136</v>
      </c>
      <c r="E5037" s="716">
        <v>25.91</v>
      </c>
      <c r="F5037" s="717">
        <v>0</v>
      </c>
      <c r="G5037">
        <f>VLOOKUP(B5037,'SINAPI-%MO'!B:E,4,0)</f>
        <v>0.29260000000000003</v>
      </c>
      <c r="H5037" s="225">
        <f t="shared" si="78"/>
        <v>18.32</v>
      </c>
    </row>
    <row r="5038" spans="1:8" x14ac:dyDescent="0.3">
      <c r="A5038" s="400"/>
      <c r="B5038" s="709">
        <v>101895</v>
      </c>
      <c r="C5038" s="710" t="s">
        <v>4433</v>
      </c>
      <c r="D5038" s="709" t="s">
        <v>136</v>
      </c>
      <c r="E5038" s="716">
        <v>379.69</v>
      </c>
      <c r="F5038" s="717">
        <v>0</v>
      </c>
      <c r="G5038">
        <f>VLOOKUP(B5038,'SINAPI-%MO'!B:E,4,0)</f>
        <v>0.1923</v>
      </c>
      <c r="H5038" s="225">
        <f t="shared" si="78"/>
        <v>306.67</v>
      </c>
    </row>
    <row r="5039" spans="1:8" x14ac:dyDescent="0.3">
      <c r="A5039" s="400"/>
      <c r="B5039" s="709">
        <v>101896</v>
      </c>
      <c r="C5039" s="710" t="s">
        <v>4434</v>
      </c>
      <c r="D5039" s="709" t="s">
        <v>136</v>
      </c>
      <c r="E5039" s="716">
        <v>560.14</v>
      </c>
      <c r="F5039" s="717">
        <v>0</v>
      </c>
      <c r="G5039">
        <f>VLOOKUP(B5039,'SINAPI-%MO'!B:E,4,0)</f>
        <v>0.13039999999999999</v>
      </c>
      <c r="H5039" s="225">
        <f t="shared" si="78"/>
        <v>487.09</v>
      </c>
    </row>
    <row r="5040" spans="1:8" x14ac:dyDescent="0.3">
      <c r="A5040" s="400"/>
      <c r="B5040" s="709">
        <v>101897</v>
      </c>
      <c r="C5040" s="710" t="s">
        <v>4435</v>
      </c>
      <c r="D5040" s="709" t="s">
        <v>136</v>
      </c>
      <c r="E5040" s="716">
        <v>880.52</v>
      </c>
      <c r="F5040" s="717">
        <v>0</v>
      </c>
      <c r="G5040">
        <f>VLOOKUP(B5040,'SINAPI-%MO'!B:E,4,0)</f>
        <v>8.2900000000000001E-2</v>
      </c>
      <c r="H5040" s="225">
        <f t="shared" si="78"/>
        <v>807.52</v>
      </c>
    </row>
    <row r="5041" spans="1:8" x14ac:dyDescent="0.3">
      <c r="A5041" s="400"/>
      <c r="B5041" s="709">
        <v>101898</v>
      </c>
      <c r="C5041" s="710" t="s">
        <v>4436</v>
      </c>
      <c r="D5041" s="709" t="s">
        <v>136</v>
      </c>
      <c r="E5041" s="716">
        <v>1166.03</v>
      </c>
      <c r="F5041" s="717">
        <v>0</v>
      </c>
      <c r="G5041">
        <f>VLOOKUP(B5041,'SINAPI-%MO'!B:E,4,0)</f>
        <v>6.2600000000000003E-2</v>
      </c>
      <c r="H5041" s="225">
        <f t="shared" si="78"/>
        <v>1093.03</v>
      </c>
    </row>
    <row r="5042" spans="1:8" x14ac:dyDescent="0.3">
      <c r="A5042" s="400"/>
      <c r="B5042" s="709">
        <v>101899</v>
      </c>
      <c r="C5042" s="710" t="s">
        <v>4437</v>
      </c>
      <c r="D5042" s="709" t="s">
        <v>136</v>
      </c>
      <c r="E5042" s="716">
        <v>1845.16</v>
      </c>
      <c r="F5042" s="717">
        <v>0</v>
      </c>
      <c r="G5042">
        <f>VLOOKUP(B5042,'SINAPI-%MO'!B:E,4,0)</f>
        <v>3.9600000000000003E-2</v>
      </c>
      <c r="H5042" s="225">
        <f t="shared" si="78"/>
        <v>1772.09</v>
      </c>
    </row>
    <row r="5043" spans="1:8" x14ac:dyDescent="0.3">
      <c r="A5043" s="400"/>
      <c r="B5043" s="709">
        <v>93676</v>
      </c>
      <c r="C5043" s="710" t="s">
        <v>4438</v>
      </c>
      <c r="D5043" s="709" t="s">
        <v>136</v>
      </c>
      <c r="E5043" s="716">
        <v>152.97</v>
      </c>
      <c r="F5043" s="717">
        <v>0</v>
      </c>
      <c r="G5043">
        <f>VLOOKUP(B5043,'SINAPI-%MO'!B:E,4,0)</f>
        <v>9.9900000000000003E-2</v>
      </c>
      <c r="H5043" s="225">
        <f t="shared" si="78"/>
        <v>137.68</v>
      </c>
    </row>
    <row r="5044" spans="1:8" x14ac:dyDescent="0.3">
      <c r="A5044" s="400"/>
      <c r="B5044" s="709">
        <v>97711</v>
      </c>
      <c r="C5044" s="710" t="s">
        <v>4439</v>
      </c>
      <c r="D5044" s="709" t="s">
        <v>136</v>
      </c>
      <c r="E5044" s="716">
        <v>170.04</v>
      </c>
      <c r="F5044" s="717">
        <v>0</v>
      </c>
      <c r="G5044">
        <f>VLOOKUP(B5044,'SINAPI-%MO'!B:E,4,0)</f>
        <v>0.17860000000000001</v>
      </c>
      <c r="H5044" s="225">
        <f t="shared" si="78"/>
        <v>139.66999999999999</v>
      </c>
    </row>
    <row r="5045" spans="1:8" x14ac:dyDescent="0.3">
      <c r="A5045" s="400"/>
      <c r="B5045" s="709">
        <v>106020</v>
      </c>
      <c r="C5045" s="710" t="s">
        <v>4440</v>
      </c>
      <c r="D5045" s="709" t="s">
        <v>136</v>
      </c>
      <c r="E5045" s="716">
        <v>101.8</v>
      </c>
      <c r="F5045" s="717">
        <v>0</v>
      </c>
      <c r="G5045">
        <f>VLOOKUP(B5045,'SINAPI-%MO'!B:E,4,0)</f>
        <v>0.31080000000000002</v>
      </c>
      <c r="H5045" s="225">
        <f t="shared" si="78"/>
        <v>70.16</v>
      </c>
    </row>
    <row r="5046" spans="1:8" x14ac:dyDescent="0.3">
      <c r="A5046" s="400"/>
      <c r="B5046" s="709">
        <v>106031</v>
      </c>
      <c r="C5046" s="710" t="s">
        <v>4441</v>
      </c>
      <c r="D5046" s="709" t="s">
        <v>136</v>
      </c>
      <c r="E5046" s="716">
        <v>0</v>
      </c>
      <c r="F5046" s="717"/>
      <c r="G5046" t="e">
        <f>VLOOKUP(B5046,'SINAPI-%MO'!B:E,4,0)</f>
        <v>#N/A</v>
      </c>
      <c r="H5046" s="225" t="str">
        <f t="shared" si="78"/>
        <v/>
      </c>
    </row>
    <row r="5047" spans="1:8" x14ac:dyDescent="0.3">
      <c r="A5047" s="400"/>
      <c r="B5047" s="709">
        <v>93667</v>
      </c>
      <c r="C5047" s="710" t="s">
        <v>4442</v>
      </c>
      <c r="D5047" s="709" t="s">
        <v>136</v>
      </c>
      <c r="E5047" s="716">
        <v>62.6</v>
      </c>
      <c r="F5047" s="717">
        <v>0</v>
      </c>
      <c r="G5047">
        <f>VLOOKUP(B5047,'SINAPI-%MO'!B:E,4,0)</f>
        <v>0.1013</v>
      </c>
      <c r="H5047" s="225">
        <f t="shared" si="78"/>
        <v>56.25</v>
      </c>
    </row>
    <row r="5048" spans="1:8" x14ac:dyDescent="0.3">
      <c r="A5048" s="400"/>
      <c r="B5048" s="709">
        <v>93668</v>
      </c>
      <c r="C5048" s="710" t="s">
        <v>4443</v>
      </c>
      <c r="D5048" s="709" t="s">
        <v>136</v>
      </c>
      <c r="E5048" s="716">
        <v>62.6</v>
      </c>
      <c r="F5048" s="717">
        <v>0</v>
      </c>
      <c r="G5048">
        <f>VLOOKUP(B5048,'SINAPI-%MO'!B:E,4,0)</f>
        <v>0.1013</v>
      </c>
      <c r="H5048" s="225">
        <f t="shared" si="78"/>
        <v>56.25</v>
      </c>
    </row>
    <row r="5049" spans="1:8" x14ac:dyDescent="0.3">
      <c r="A5049" s="400"/>
      <c r="B5049" s="709">
        <v>93669</v>
      </c>
      <c r="C5049" s="710" t="s">
        <v>4444</v>
      </c>
      <c r="D5049" s="709" t="s">
        <v>136</v>
      </c>
      <c r="E5049" s="716">
        <v>65.75</v>
      </c>
      <c r="F5049" s="717">
        <v>0</v>
      </c>
      <c r="G5049">
        <f>VLOOKUP(B5049,'SINAPI-%MO'!B:E,4,0)</f>
        <v>0.1275</v>
      </c>
      <c r="H5049" s="225">
        <f t="shared" si="78"/>
        <v>57.36</v>
      </c>
    </row>
    <row r="5050" spans="1:8" x14ac:dyDescent="0.3">
      <c r="A5050" s="400"/>
      <c r="B5050" s="709">
        <v>93670</v>
      </c>
      <c r="C5050" s="710" t="s">
        <v>4445</v>
      </c>
      <c r="D5050" s="709" t="s">
        <v>136</v>
      </c>
      <c r="E5050" s="716">
        <v>68.819999999999993</v>
      </c>
      <c r="F5050" s="717">
        <v>0</v>
      </c>
      <c r="G5050">
        <f>VLOOKUP(B5050,'SINAPI-%MO'!B:E,4,0)</f>
        <v>0.16639999999999999</v>
      </c>
      <c r="H5050" s="225">
        <f t="shared" si="78"/>
        <v>57.36</v>
      </c>
    </row>
    <row r="5051" spans="1:8" x14ac:dyDescent="0.3">
      <c r="A5051" s="400"/>
      <c r="B5051" s="709">
        <v>93671</v>
      </c>
      <c r="C5051" s="710" t="s">
        <v>4446</v>
      </c>
      <c r="D5051" s="709" t="s">
        <v>136</v>
      </c>
      <c r="E5051" s="716">
        <v>73.87</v>
      </c>
      <c r="F5051" s="717">
        <v>0</v>
      </c>
      <c r="G5051">
        <f>VLOOKUP(B5051,'SINAPI-%MO'!B:E,4,0)</f>
        <v>0.2104</v>
      </c>
      <c r="H5051" s="225">
        <f t="shared" si="78"/>
        <v>58.32</v>
      </c>
    </row>
    <row r="5052" spans="1:8" x14ac:dyDescent="0.3">
      <c r="A5052" s="400"/>
      <c r="B5052" s="709">
        <v>93672</v>
      </c>
      <c r="C5052" s="710" t="s">
        <v>4447</v>
      </c>
      <c r="D5052" s="709" t="s">
        <v>136</v>
      </c>
      <c r="E5052" s="716">
        <v>81.56</v>
      </c>
      <c r="F5052" s="717">
        <v>0</v>
      </c>
      <c r="G5052">
        <f>VLOOKUP(B5052,'SINAPI-%MO'!B:E,4,0)</f>
        <v>0.27929999999999999</v>
      </c>
      <c r="H5052" s="225">
        <f t="shared" si="78"/>
        <v>58.78</v>
      </c>
    </row>
    <row r="5053" spans="1:8" x14ac:dyDescent="0.3">
      <c r="A5053" s="400"/>
      <c r="B5053" s="709">
        <v>93673</v>
      </c>
      <c r="C5053" s="710" t="s">
        <v>4448</v>
      </c>
      <c r="D5053" s="709" t="s">
        <v>136</v>
      </c>
      <c r="E5053" s="716">
        <v>91.59</v>
      </c>
      <c r="F5053" s="717">
        <v>0</v>
      </c>
      <c r="G5053">
        <f>VLOOKUP(B5053,'SINAPI-%MO'!B:E,4,0)</f>
        <v>0.34549999999999997</v>
      </c>
      <c r="H5053" s="225">
        <f t="shared" si="78"/>
        <v>59.94</v>
      </c>
    </row>
    <row r="5054" spans="1:8" x14ac:dyDescent="0.3">
      <c r="A5054" s="400"/>
      <c r="B5054" s="709">
        <v>101893</v>
      </c>
      <c r="C5054" s="710" t="s">
        <v>4449</v>
      </c>
      <c r="D5054" s="709" t="s">
        <v>136</v>
      </c>
      <c r="E5054" s="716">
        <v>81.319999999999993</v>
      </c>
      <c r="F5054" s="717">
        <v>0</v>
      </c>
      <c r="G5054">
        <f>VLOOKUP(B5054,'SINAPI-%MO'!B:E,4,0)</f>
        <v>0.14080000000000001</v>
      </c>
      <c r="H5054" s="225">
        <f t="shared" si="78"/>
        <v>69.87</v>
      </c>
    </row>
    <row r="5055" spans="1:8" x14ac:dyDescent="0.3">
      <c r="A5055" s="400"/>
      <c r="B5055" s="709">
        <v>101894</v>
      </c>
      <c r="C5055" s="710" t="s">
        <v>4450</v>
      </c>
      <c r="D5055" s="709" t="s">
        <v>136</v>
      </c>
      <c r="E5055" s="716">
        <v>145.33000000000001</v>
      </c>
      <c r="F5055" s="717">
        <v>0</v>
      </c>
      <c r="G5055">
        <f>VLOOKUP(B5055,'SINAPI-%MO'!B:E,4,0)</f>
        <v>0.29880000000000001</v>
      </c>
      <c r="H5055" s="225">
        <f t="shared" si="78"/>
        <v>101.9</v>
      </c>
    </row>
    <row r="5056" spans="1:8" x14ac:dyDescent="0.3">
      <c r="A5056" s="400"/>
      <c r="B5056" s="709">
        <v>106027</v>
      </c>
      <c r="C5056" s="710" t="s">
        <v>4451</v>
      </c>
      <c r="D5056" s="709" t="s">
        <v>136</v>
      </c>
      <c r="E5056" s="716">
        <v>65.81</v>
      </c>
      <c r="F5056" s="717">
        <v>0</v>
      </c>
      <c r="G5056">
        <f>VLOOKUP(B5056,'SINAPI-%MO'!B:E,4,0)</f>
        <v>0.12</v>
      </c>
      <c r="H5056" s="225">
        <f t="shared" si="78"/>
        <v>57.91</v>
      </c>
    </row>
    <row r="5057" spans="1:8" x14ac:dyDescent="0.3">
      <c r="A5057" s="400"/>
      <c r="B5057" s="709">
        <v>106028</v>
      </c>
      <c r="C5057" s="710" t="s">
        <v>4452</v>
      </c>
      <c r="D5057" s="709" t="s">
        <v>136</v>
      </c>
      <c r="E5057" s="716">
        <v>0</v>
      </c>
      <c r="F5057" s="717"/>
      <c r="G5057" t="e">
        <f>VLOOKUP(B5057,'SINAPI-%MO'!B:E,4,0)</f>
        <v>#N/A</v>
      </c>
      <c r="H5057" s="225" t="str">
        <f t="shared" si="78"/>
        <v/>
      </c>
    </row>
    <row r="5058" spans="1:8" x14ac:dyDescent="0.3">
      <c r="A5058" s="400"/>
      <c r="B5058" s="709">
        <v>106029</v>
      </c>
      <c r="C5058" s="710" t="s">
        <v>4453</v>
      </c>
      <c r="D5058" s="709" t="s">
        <v>136</v>
      </c>
      <c r="E5058" s="716">
        <v>0</v>
      </c>
      <c r="F5058" s="717"/>
      <c r="G5058" t="e">
        <f>VLOOKUP(B5058,'SINAPI-%MO'!B:E,4,0)</f>
        <v>#N/A</v>
      </c>
      <c r="H5058" s="225" t="str">
        <f t="shared" si="78"/>
        <v/>
      </c>
    </row>
    <row r="5059" spans="1:8" x14ac:dyDescent="0.3">
      <c r="A5059" s="400"/>
      <c r="B5059" s="709">
        <v>97421</v>
      </c>
      <c r="C5059" s="710" t="s">
        <v>4454</v>
      </c>
      <c r="D5059" s="709" t="s">
        <v>136</v>
      </c>
      <c r="E5059" s="716">
        <v>0</v>
      </c>
      <c r="F5059" s="717"/>
      <c r="G5059" t="e">
        <f>VLOOKUP(B5059,'SINAPI-%MO'!B:E,4,0)</f>
        <v>#N/A</v>
      </c>
      <c r="H5059" s="225" t="str">
        <f t="shared" si="78"/>
        <v/>
      </c>
    </row>
    <row r="5060" spans="1:8" x14ac:dyDescent="0.3">
      <c r="A5060" s="400"/>
      <c r="B5060" s="709">
        <v>97373</v>
      </c>
      <c r="C5060" s="710" t="s">
        <v>4455</v>
      </c>
      <c r="D5060" s="709" t="s">
        <v>159</v>
      </c>
      <c r="E5060" s="716">
        <v>0</v>
      </c>
      <c r="F5060" s="717"/>
      <c r="G5060" t="e">
        <f>VLOOKUP(B5060,'SINAPI-%MO'!B:E,4,0)</f>
        <v>#N/A</v>
      </c>
      <c r="H5060" s="225" t="str">
        <f t="shared" si="78"/>
        <v/>
      </c>
    </row>
    <row r="5061" spans="1:8" x14ac:dyDescent="0.3">
      <c r="A5061" s="400"/>
      <c r="B5061" s="709">
        <v>97374</v>
      </c>
      <c r="C5061" s="710" t="s">
        <v>4456</v>
      </c>
      <c r="D5061" s="709" t="s">
        <v>159</v>
      </c>
      <c r="E5061" s="716">
        <v>0</v>
      </c>
      <c r="F5061" s="717"/>
      <c r="G5061" t="e">
        <f>VLOOKUP(B5061,'SINAPI-%MO'!B:E,4,0)</f>
        <v>#N/A</v>
      </c>
      <c r="H5061" s="225" t="str">
        <f t="shared" si="78"/>
        <v/>
      </c>
    </row>
    <row r="5062" spans="1:8" x14ac:dyDescent="0.3">
      <c r="A5062" s="400"/>
      <c r="B5062" s="709">
        <v>97375</v>
      </c>
      <c r="C5062" s="710" t="s">
        <v>4457</v>
      </c>
      <c r="D5062" s="709" t="s">
        <v>159</v>
      </c>
      <c r="E5062" s="716">
        <v>0</v>
      </c>
      <c r="F5062" s="717"/>
      <c r="G5062" t="e">
        <f>VLOOKUP(B5062,'SINAPI-%MO'!B:E,4,0)</f>
        <v>#N/A</v>
      </c>
      <c r="H5062" s="225" t="str">
        <f t="shared" si="78"/>
        <v/>
      </c>
    </row>
    <row r="5063" spans="1:8" x14ac:dyDescent="0.3">
      <c r="A5063" s="400"/>
      <c r="B5063" s="709">
        <v>97376</v>
      </c>
      <c r="C5063" s="710" t="s">
        <v>4458</v>
      </c>
      <c r="D5063" s="709" t="s">
        <v>159</v>
      </c>
      <c r="E5063" s="716">
        <v>0</v>
      </c>
      <c r="F5063" s="717"/>
      <c r="G5063" t="e">
        <f>VLOOKUP(B5063,'SINAPI-%MO'!B:E,4,0)</f>
        <v>#N/A</v>
      </c>
      <c r="H5063" s="225" t="str">
        <f t="shared" si="78"/>
        <v/>
      </c>
    </row>
    <row r="5064" spans="1:8" x14ac:dyDescent="0.3">
      <c r="A5064" s="400"/>
      <c r="B5064" s="709">
        <v>97377</v>
      </c>
      <c r="C5064" s="710" t="s">
        <v>4459</v>
      </c>
      <c r="D5064" s="709" t="s">
        <v>159</v>
      </c>
      <c r="E5064" s="716">
        <v>0</v>
      </c>
      <c r="F5064" s="717"/>
      <c r="G5064" t="e">
        <f>VLOOKUP(B5064,'SINAPI-%MO'!B:E,4,0)</f>
        <v>#N/A</v>
      </c>
      <c r="H5064" s="225" t="str">
        <f t="shared" si="78"/>
        <v/>
      </c>
    </row>
    <row r="5065" spans="1:8" x14ac:dyDescent="0.3">
      <c r="A5065" s="400"/>
      <c r="B5065" s="709">
        <v>97368</v>
      </c>
      <c r="C5065" s="710" t="s">
        <v>4460</v>
      </c>
      <c r="D5065" s="709" t="s">
        <v>159</v>
      </c>
      <c r="E5065" s="716">
        <v>0</v>
      </c>
      <c r="F5065" s="717"/>
      <c r="G5065" t="e">
        <f>VLOOKUP(B5065,'SINAPI-%MO'!B:E,4,0)</f>
        <v>#N/A</v>
      </c>
      <c r="H5065" s="225" t="str">
        <f t="shared" si="78"/>
        <v/>
      </c>
    </row>
    <row r="5066" spans="1:8" x14ac:dyDescent="0.3">
      <c r="A5066" s="400"/>
      <c r="B5066" s="709">
        <v>97369</v>
      </c>
      <c r="C5066" s="710" t="s">
        <v>4461</v>
      </c>
      <c r="D5066" s="709" t="s">
        <v>159</v>
      </c>
      <c r="E5066" s="716">
        <v>0</v>
      </c>
      <c r="F5066" s="717"/>
      <c r="G5066" t="e">
        <f>VLOOKUP(B5066,'SINAPI-%MO'!B:E,4,0)</f>
        <v>#N/A</v>
      </c>
      <c r="H5066" s="225" t="str">
        <f t="shared" si="78"/>
        <v/>
      </c>
    </row>
    <row r="5067" spans="1:8" x14ac:dyDescent="0.3">
      <c r="A5067" s="400"/>
      <c r="B5067" s="709">
        <v>97370</v>
      </c>
      <c r="C5067" s="710" t="s">
        <v>4462</v>
      </c>
      <c r="D5067" s="709" t="s">
        <v>159</v>
      </c>
      <c r="E5067" s="716">
        <v>0</v>
      </c>
      <c r="F5067" s="717"/>
      <c r="G5067" t="e">
        <f>VLOOKUP(B5067,'SINAPI-%MO'!B:E,4,0)</f>
        <v>#N/A</v>
      </c>
      <c r="H5067" s="225" t="str">
        <f t="shared" ref="H5067:H5130" si="79">IF(E5067&gt;0,TRUNC(E5067*(1-G5067),2),"")</f>
        <v/>
      </c>
    </row>
    <row r="5068" spans="1:8" x14ac:dyDescent="0.3">
      <c r="A5068" s="400"/>
      <c r="B5068" s="709">
        <v>97371</v>
      </c>
      <c r="C5068" s="710" t="s">
        <v>4463</v>
      </c>
      <c r="D5068" s="709" t="s">
        <v>159</v>
      </c>
      <c r="E5068" s="716">
        <v>0</v>
      </c>
      <c r="F5068" s="717"/>
      <c r="G5068" t="e">
        <f>VLOOKUP(B5068,'SINAPI-%MO'!B:E,4,0)</f>
        <v>#N/A</v>
      </c>
      <c r="H5068" s="225" t="str">
        <f t="shared" si="79"/>
        <v/>
      </c>
    </row>
    <row r="5069" spans="1:8" x14ac:dyDescent="0.3">
      <c r="A5069" s="400"/>
      <c r="B5069" s="709">
        <v>97372</v>
      </c>
      <c r="C5069" s="710" t="s">
        <v>4464</v>
      </c>
      <c r="D5069" s="709" t="s">
        <v>159</v>
      </c>
      <c r="E5069" s="716">
        <v>0</v>
      </c>
      <c r="F5069" s="717"/>
      <c r="G5069" t="e">
        <f>VLOOKUP(B5069,'SINAPI-%MO'!B:E,4,0)</f>
        <v>#N/A</v>
      </c>
      <c r="H5069" s="225" t="str">
        <f t="shared" si="79"/>
        <v/>
      </c>
    </row>
    <row r="5070" spans="1:8" x14ac:dyDescent="0.3">
      <c r="A5070" s="400"/>
      <c r="B5070" s="709">
        <v>101875</v>
      </c>
      <c r="C5070" s="710" t="s">
        <v>4465</v>
      </c>
      <c r="D5070" s="709" t="s">
        <v>136</v>
      </c>
      <c r="E5070" s="716">
        <v>435.9</v>
      </c>
      <c r="F5070" s="717">
        <v>0</v>
      </c>
      <c r="G5070">
        <f>VLOOKUP(B5070,'SINAPI-%MO'!B:E,4,0)</f>
        <v>0.2074</v>
      </c>
      <c r="H5070" s="225">
        <f t="shared" si="79"/>
        <v>345.49</v>
      </c>
    </row>
    <row r="5071" spans="1:8" x14ac:dyDescent="0.3">
      <c r="A5071" s="400"/>
      <c r="B5071" s="709">
        <v>101883</v>
      </c>
      <c r="C5071" s="710" t="s">
        <v>4466</v>
      </c>
      <c r="D5071" s="709" t="s">
        <v>136</v>
      </c>
      <c r="E5071" s="716">
        <v>585.73</v>
      </c>
      <c r="F5071" s="717">
        <v>0</v>
      </c>
      <c r="G5071">
        <f>VLOOKUP(B5071,'SINAPI-%MO'!B:E,4,0)</f>
        <v>0.17580000000000001</v>
      </c>
      <c r="H5071" s="225">
        <f t="shared" si="79"/>
        <v>482.75</v>
      </c>
    </row>
    <row r="5072" spans="1:8" x14ac:dyDescent="0.3">
      <c r="A5072" s="400"/>
      <c r="B5072" s="709">
        <v>101879</v>
      </c>
      <c r="C5072" s="710" t="s">
        <v>4467</v>
      </c>
      <c r="D5072" s="709" t="s">
        <v>136</v>
      </c>
      <c r="E5072" s="716">
        <v>611.02</v>
      </c>
      <c r="F5072" s="717">
        <v>0</v>
      </c>
      <c r="G5072">
        <f>VLOOKUP(B5072,'SINAPI-%MO'!B:E,4,0)</f>
        <v>0.16950000000000001</v>
      </c>
      <c r="H5072" s="225">
        <f t="shared" si="79"/>
        <v>507.45</v>
      </c>
    </row>
    <row r="5073" spans="1:8" x14ac:dyDescent="0.3">
      <c r="A5073" s="400"/>
      <c r="B5073" s="709">
        <v>106021</v>
      </c>
      <c r="C5073" s="710" t="s">
        <v>4468</v>
      </c>
      <c r="D5073" s="709" t="s">
        <v>136</v>
      </c>
      <c r="E5073" s="716">
        <v>0</v>
      </c>
      <c r="F5073" s="717"/>
      <c r="G5073" t="e">
        <f>VLOOKUP(B5073,'SINAPI-%MO'!B:E,4,0)</f>
        <v>#N/A</v>
      </c>
      <c r="H5073" s="225" t="str">
        <f t="shared" si="79"/>
        <v/>
      </c>
    </row>
    <row r="5074" spans="1:8" x14ac:dyDescent="0.3">
      <c r="A5074" s="400"/>
      <c r="B5074" s="709">
        <v>101880</v>
      </c>
      <c r="C5074" s="710" t="s">
        <v>4469</v>
      </c>
      <c r="D5074" s="709" t="s">
        <v>136</v>
      </c>
      <c r="E5074" s="716">
        <v>711.06</v>
      </c>
      <c r="F5074" s="717">
        <v>0</v>
      </c>
      <c r="G5074">
        <f>VLOOKUP(B5074,'SINAPI-%MO'!B:E,4,0)</f>
        <v>0.17979999999999999</v>
      </c>
      <c r="H5074" s="225">
        <f t="shared" si="79"/>
        <v>583.21</v>
      </c>
    </row>
    <row r="5075" spans="1:8" x14ac:dyDescent="0.3">
      <c r="A5075" s="400"/>
      <c r="B5075" s="709">
        <v>101882</v>
      </c>
      <c r="C5075" s="710" t="s">
        <v>4470</v>
      </c>
      <c r="D5075" s="709" t="s">
        <v>136</v>
      </c>
      <c r="E5075" s="716">
        <v>1349.36</v>
      </c>
      <c r="F5075" s="717">
        <v>0</v>
      </c>
      <c r="G5075">
        <f>VLOOKUP(B5075,'SINAPI-%MO'!B:E,4,0)</f>
        <v>9.4899999999999998E-2</v>
      </c>
      <c r="H5075" s="225">
        <f t="shared" si="79"/>
        <v>1221.3</v>
      </c>
    </row>
    <row r="5076" spans="1:8" x14ac:dyDescent="0.3">
      <c r="A5076" s="400"/>
      <c r="B5076" s="709">
        <v>106022</v>
      </c>
      <c r="C5076" s="710" t="s">
        <v>4471</v>
      </c>
      <c r="D5076" s="709" t="s">
        <v>136</v>
      </c>
      <c r="E5076" s="716">
        <v>0</v>
      </c>
      <c r="F5076" s="717"/>
      <c r="G5076" t="e">
        <f>VLOOKUP(B5076,'SINAPI-%MO'!B:E,4,0)</f>
        <v>#N/A</v>
      </c>
      <c r="H5076" s="225" t="str">
        <f t="shared" si="79"/>
        <v/>
      </c>
    </row>
    <row r="5077" spans="1:8" x14ac:dyDescent="0.3">
      <c r="A5077" s="400"/>
      <c r="B5077" s="709">
        <v>101881</v>
      </c>
      <c r="C5077" s="710" t="s">
        <v>4472</v>
      </c>
      <c r="D5077" s="709" t="s">
        <v>136</v>
      </c>
      <c r="E5077" s="716">
        <v>980.22</v>
      </c>
      <c r="F5077" s="717">
        <v>0</v>
      </c>
      <c r="G5077">
        <f>VLOOKUP(B5077,'SINAPI-%MO'!B:E,4,0)</f>
        <v>0.13139999999999999</v>
      </c>
      <c r="H5077" s="225">
        <f t="shared" si="79"/>
        <v>851.41</v>
      </c>
    </row>
    <row r="5078" spans="1:8" x14ac:dyDescent="0.3">
      <c r="A5078" s="400"/>
      <c r="B5078" s="709">
        <v>106023</v>
      </c>
      <c r="C5078" s="710" t="s">
        <v>4473</v>
      </c>
      <c r="D5078" s="709" t="s">
        <v>136</v>
      </c>
      <c r="E5078" s="716">
        <v>0</v>
      </c>
      <c r="F5078" s="717"/>
      <c r="G5078" t="e">
        <f>VLOOKUP(B5078,'SINAPI-%MO'!B:E,4,0)</f>
        <v>#N/A</v>
      </c>
      <c r="H5078" s="225" t="str">
        <f t="shared" si="79"/>
        <v/>
      </c>
    </row>
    <row r="5079" spans="1:8" x14ac:dyDescent="0.3">
      <c r="A5079" s="400"/>
      <c r="B5079" s="709">
        <v>101878</v>
      </c>
      <c r="C5079" s="710" t="s">
        <v>4474</v>
      </c>
      <c r="D5079" s="709" t="s">
        <v>136</v>
      </c>
      <c r="E5079" s="716">
        <v>459.83</v>
      </c>
      <c r="F5079" s="717">
        <v>0</v>
      </c>
      <c r="G5079">
        <f>VLOOKUP(B5079,'SINAPI-%MO'!B:E,4,0)</f>
        <v>4.1200000000000001E-2</v>
      </c>
      <c r="H5079" s="225">
        <f t="shared" si="79"/>
        <v>440.88</v>
      </c>
    </row>
    <row r="5080" spans="1:8" x14ac:dyDescent="0.3">
      <c r="A5080" s="400"/>
      <c r="B5080" s="709">
        <v>106024</v>
      </c>
      <c r="C5080" s="710" t="s">
        <v>4475</v>
      </c>
      <c r="D5080" s="709" t="s">
        <v>136</v>
      </c>
      <c r="E5080" s="716">
        <v>0</v>
      </c>
      <c r="F5080" s="717"/>
      <c r="G5080" t="e">
        <f>VLOOKUP(B5080,'SINAPI-%MO'!B:E,4,0)</f>
        <v>#N/A</v>
      </c>
      <c r="H5080" s="225" t="str">
        <f t="shared" si="79"/>
        <v/>
      </c>
    </row>
    <row r="5081" spans="1:8" x14ac:dyDescent="0.3">
      <c r="A5081" s="400"/>
      <c r="B5081" s="709">
        <v>106025</v>
      </c>
      <c r="C5081" s="710" t="s">
        <v>4476</v>
      </c>
      <c r="D5081" s="709" t="s">
        <v>136</v>
      </c>
      <c r="E5081" s="716">
        <v>0</v>
      </c>
      <c r="F5081" s="717"/>
      <c r="G5081" t="e">
        <f>VLOOKUP(B5081,'SINAPI-%MO'!B:E,4,0)</f>
        <v>#N/A</v>
      </c>
      <c r="H5081" s="225" t="str">
        <f t="shared" si="79"/>
        <v/>
      </c>
    </row>
    <row r="5082" spans="1:8" x14ac:dyDescent="0.3">
      <c r="A5082" s="400"/>
      <c r="B5082" s="709">
        <v>106026</v>
      </c>
      <c r="C5082" s="710" t="s">
        <v>4477</v>
      </c>
      <c r="D5082" s="709" t="s">
        <v>136</v>
      </c>
      <c r="E5082" s="716">
        <v>0</v>
      </c>
      <c r="F5082" s="717"/>
      <c r="G5082" t="e">
        <f>VLOOKUP(B5082,'SINAPI-%MO'!B:E,4,0)</f>
        <v>#N/A</v>
      </c>
      <c r="H5082" s="225" t="str">
        <f t="shared" si="79"/>
        <v/>
      </c>
    </row>
    <row r="5083" spans="1:8" x14ac:dyDescent="0.3">
      <c r="A5083" s="400"/>
      <c r="B5083" s="709">
        <v>101877</v>
      </c>
      <c r="C5083" s="710" t="s">
        <v>4478</v>
      </c>
      <c r="D5083" s="709" t="s">
        <v>136</v>
      </c>
      <c r="E5083" s="716">
        <v>89.1</v>
      </c>
      <c r="F5083" s="717">
        <v>0</v>
      </c>
      <c r="G5083">
        <f>VLOOKUP(B5083,'SINAPI-%MO'!B:E,4,0)</f>
        <v>0.4965</v>
      </c>
      <c r="H5083" s="225">
        <f t="shared" si="79"/>
        <v>44.86</v>
      </c>
    </row>
    <row r="5084" spans="1:8" x14ac:dyDescent="0.3">
      <c r="A5084" s="400"/>
      <c r="B5084" s="709">
        <v>101876</v>
      </c>
      <c r="C5084" s="710" t="s">
        <v>4479</v>
      </c>
      <c r="D5084" s="709" t="s">
        <v>136</v>
      </c>
      <c r="E5084" s="716">
        <v>122.87</v>
      </c>
      <c r="F5084" s="717">
        <v>0</v>
      </c>
      <c r="G5084">
        <f>VLOOKUP(B5084,'SINAPI-%MO'!B:E,4,0)</f>
        <v>0.42699999999999999</v>
      </c>
      <c r="H5084" s="225">
        <f t="shared" si="79"/>
        <v>70.400000000000006</v>
      </c>
    </row>
    <row r="5085" spans="1:8" x14ac:dyDescent="0.3">
      <c r="A5085" s="400"/>
      <c r="B5085" s="709">
        <v>101873</v>
      </c>
      <c r="C5085" s="710" t="s">
        <v>4480</v>
      </c>
      <c r="D5085" s="709" t="s">
        <v>136</v>
      </c>
      <c r="E5085" s="716">
        <v>0</v>
      </c>
      <c r="F5085" s="717"/>
      <c r="G5085" t="e">
        <f>VLOOKUP(B5085,'SINAPI-%MO'!B:E,4,0)</f>
        <v>#N/A</v>
      </c>
      <c r="H5085" s="225" t="str">
        <f t="shared" si="79"/>
        <v/>
      </c>
    </row>
    <row r="5086" spans="1:8" x14ac:dyDescent="0.3">
      <c r="A5086" s="400"/>
      <c r="B5086" s="709">
        <v>101874</v>
      </c>
      <c r="C5086" s="710" t="s">
        <v>4481</v>
      </c>
      <c r="D5086" s="709" t="s">
        <v>136</v>
      </c>
      <c r="E5086" s="716">
        <v>0</v>
      </c>
      <c r="F5086" s="717"/>
      <c r="G5086" t="e">
        <f>VLOOKUP(B5086,'SINAPI-%MO'!B:E,4,0)</f>
        <v>#N/A</v>
      </c>
      <c r="H5086" s="225" t="str">
        <f t="shared" si="79"/>
        <v/>
      </c>
    </row>
    <row r="5087" spans="1:8" x14ac:dyDescent="0.3">
      <c r="A5087" s="400"/>
      <c r="B5087" s="709">
        <v>101871</v>
      </c>
      <c r="C5087" s="710" t="s">
        <v>4482</v>
      </c>
      <c r="D5087" s="709" t="s">
        <v>136</v>
      </c>
      <c r="E5087" s="716">
        <v>0</v>
      </c>
      <c r="F5087" s="717"/>
      <c r="G5087" t="e">
        <f>VLOOKUP(B5087,'SINAPI-%MO'!B:E,4,0)</f>
        <v>#N/A</v>
      </c>
      <c r="H5087" s="225" t="str">
        <f t="shared" si="79"/>
        <v/>
      </c>
    </row>
    <row r="5088" spans="1:8" x14ac:dyDescent="0.3">
      <c r="A5088" s="400"/>
      <c r="B5088" s="709">
        <v>101872</v>
      </c>
      <c r="C5088" s="710" t="s">
        <v>4483</v>
      </c>
      <c r="D5088" s="709" t="s">
        <v>136</v>
      </c>
      <c r="E5088" s="716">
        <v>0</v>
      </c>
      <c r="F5088" s="717"/>
      <c r="G5088" t="e">
        <f>VLOOKUP(B5088,'SINAPI-%MO'!B:E,4,0)</f>
        <v>#N/A</v>
      </c>
      <c r="H5088" s="225" t="str">
        <f t="shared" si="79"/>
        <v/>
      </c>
    </row>
    <row r="5089" spans="1:8" x14ac:dyDescent="0.3">
      <c r="A5089" s="400"/>
      <c r="B5089" s="709">
        <v>97360</v>
      </c>
      <c r="C5089" s="710" t="s">
        <v>4484</v>
      </c>
      <c r="D5089" s="709" t="s">
        <v>136</v>
      </c>
      <c r="E5089" s="716">
        <v>7674.03</v>
      </c>
      <c r="F5089" s="717">
        <v>0</v>
      </c>
      <c r="G5089">
        <f>VLOOKUP(B5089,'SINAPI-%MO'!B:E,4,0)</f>
        <v>4.07E-2</v>
      </c>
      <c r="H5089" s="225">
        <f t="shared" si="79"/>
        <v>7361.69</v>
      </c>
    </row>
    <row r="5090" spans="1:8" x14ac:dyDescent="0.3">
      <c r="A5090" s="400"/>
      <c r="B5090" s="709">
        <v>97361</v>
      </c>
      <c r="C5090" s="710" t="s">
        <v>4485</v>
      </c>
      <c r="D5090" s="709" t="s">
        <v>136</v>
      </c>
      <c r="E5090" s="716">
        <v>10232.049999999999</v>
      </c>
      <c r="F5090" s="717">
        <v>0</v>
      </c>
      <c r="G5090">
        <f>VLOOKUP(B5090,'SINAPI-%MO'!B:E,4,0)</f>
        <v>4.07E-2</v>
      </c>
      <c r="H5090" s="225">
        <f t="shared" si="79"/>
        <v>9815.6</v>
      </c>
    </row>
    <row r="5091" spans="1:8" x14ac:dyDescent="0.3">
      <c r="A5091" s="400"/>
      <c r="B5091" s="709">
        <v>97359</v>
      </c>
      <c r="C5091" s="710" t="s">
        <v>4486</v>
      </c>
      <c r="D5091" s="709" t="s">
        <v>136</v>
      </c>
      <c r="E5091" s="716">
        <v>3983.4</v>
      </c>
      <c r="F5091" s="717">
        <v>0</v>
      </c>
      <c r="G5091">
        <f>VLOOKUP(B5091,'SINAPI-%MO'!B:E,4,0)</f>
        <v>5.2200000000000003E-2</v>
      </c>
      <c r="H5091" s="225">
        <f t="shared" si="79"/>
        <v>3775.46</v>
      </c>
    </row>
    <row r="5092" spans="1:8" x14ac:dyDescent="0.3">
      <c r="A5092" s="400"/>
      <c r="B5092" s="709">
        <v>101946</v>
      </c>
      <c r="C5092" s="710" t="s">
        <v>4487</v>
      </c>
      <c r="D5092" s="709" t="s">
        <v>136</v>
      </c>
      <c r="E5092" s="716">
        <v>124.89</v>
      </c>
      <c r="F5092" s="717">
        <v>0</v>
      </c>
      <c r="G5092">
        <f>VLOOKUP(B5092,'SINAPI-%MO'!B:E,4,0)</f>
        <v>0.24940000000000001</v>
      </c>
      <c r="H5092" s="225">
        <f t="shared" si="79"/>
        <v>93.74</v>
      </c>
    </row>
    <row r="5093" spans="1:8" x14ac:dyDescent="0.3">
      <c r="A5093" s="400"/>
      <c r="B5093" s="709">
        <v>97362</v>
      </c>
      <c r="C5093" s="710" t="s">
        <v>4488</v>
      </c>
      <c r="D5093" s="709" t="s">
        <v>136</v>
      </c>
      <c r="E5093" s="716">
        <v>1725.93</v>
      </c>
      <c r="F5093" s="717">
        <v>0</v>
      </c>
      <c r="G5093">
        <f>VLOOKUP(B5093,'SINAPI-%MO'!B:E,4,0)</f>
        <v>2.7900000000000001E-2</v>
      </c>
      <c r="H5093" s="225">
        <f t="shared" si="79"/>
        <v>1677.77</v>
      </c>
    </row>
    <row r="5094" spans="1:8" x14ac:dyDescent="0.3">
      <c r="A5094" s="400"/>
      <c r="B5094" s="709">
        <v>101553</v>
      </c>
      <c r="C5094" s="710" t="s">
        <v>13816</v>
      </c>
      <c r="D5094" s="709" t="s">
        <v>136</v>
      </c>
      <c r="E5094" s="716">
        <v>14.88</v>
      </c>
      <c r="F5094" s="717">
        <v>0.64380000000000004</v>
      </c>
      <c r="G5094">
        <f>VLOOKUP(B5094,'SINAPI-%MO'!B:E,4,0)</f>
        <v>0.35620000000000002</v>
      </c>
      <c r="H5094" s="225">
        <f t="shared" si="79"/>
        <v>9.57</v>
      </c>
    </row>
    <row r="5095" spans="1:8" x14ac:dyDescent="0.3">
      <c r="A5095" s="400"/>
      <c r="B5095" s="709">
        <v>101554</v>
      </c>
      <c r="C5095" s="710" t="s">
        <v>13817</v>
      </c>
      <c r="D5095" s="709" t="s">
        <v>136</v>
      </c>
      <c r="E5095" s="716">
        <v>11.08</v>
      </c>
      <c r="F5095" s="717">
        <v>0.52170000000000005</v>
      </c>
      <c r="G5095">
        <f>VLOOKUP(B5095,'SINAPI-%MO'!B:E,4,0)</f>
        <v>0.4783</v>
      </c>
      <c r="H5095" s="225">
        <f t="shared" si="79"/>
        <v>5.78</v>
      </c>
    </row>
    <row r="5096" spans="1:8" x14ac:dyDescent="0.3">
      <c r="A5096" s="400"/>
      <c r="B5096" s="709">
        <v>101555</v>
      </c>
      <c r="C5096" s="710" t="s">
        <v>13818</v>
      </c>
      <c r="D5096" s="709" t="s">
        <v>136</v>
      </c>
      <c r="E5096" s="716">
        <v>7.62</v>
      </c>
      <c r="F5096" s="717">
        <v>0.30449999999999999</v>
      </c>
      <c r="G5096">
        <f>VLOOKUP(B5096,'SINAPI-%MO'!B:E,4,0)</f>
        <v>0.69550000000000001</v>
      </c>
      <c r="H5096" s="225">
        <f t="shared" si="79"/>
        <v>2.3199999999999998</v>
      </c>
    </row>
    <row r="5097" spans="1:8" x14ac:dyDescent="0.3">
      <c r="A5097" s="400"/>
      <c r="B5097" s="709">
        <v>101556</v>
      </c>
      <c r="C5097" s="710" t="s">
        <v>13819</v>
      </c>
      <c r="D5097" s="709" t="s">
        <v>136</v>
      </c>
      <c r="E5097" s="716">
        <v>7.07</v>
      </c>
      <c r="F5097" s="717">
        <v>0.25040000000000001</v>
      </c>
      <c r="G5097">
        <f>VLOOKUP(B5097,'SINAPI-%MO'!B:E,4,0)</f>
        <v>0.74960000000000004</v>
      </c>
      <c r="H5097" s="225">
        <f t="shared" si="79"/>
        <v>1.77</v>
      </c>
    </row>
    <row r="5098" spans="1:8" x14ac:dyDescent="0.3">
      <c r="A5098" s="400"/>
      <c r="B5098" s="709">
        <v>101537</v>
      </c>
      <c r="C5098" s="710" t="s">
        <v>13820</v>
      </c>
      <c r="D5098" s="709" t="s">
        <v>136</v>
      </c>
      <c r="E5098" s="716">
        <v>92.41</v>
      </c>
      <c r="F5098" s="717">
        <v>0</v>
      </c>
      <c r="G5098">
        <f>VLOOKUP(B5098,'SINAPI-%MO'!B:E,4,0)</f>
        <v>0.4869</v>
      </c>
      <c r="H5098" s="225">
        <f t="shared" si="79"/>
        <v>47.41</v>
      </c>
    </row>
    <row r="5099" spans="1:8" x14ac:dyDescent="0.3">
      <c r="A5099" s="400"/>
      <c r="B5099" s="709">
        <v>101538</v>
      </c>
      <c r="C5099" s="710" t="s">
        <v>13821</v>
      </c>
      <c r="D5099" s="709" t="s">
        <v>136</v>
      </c>
      <c r="E5099" s="716">
        <v>42.3</v>
      </c>
      <c r="F5099" s="717">
        <v>0.68559999999999999</v>
      </c>
      <c r="G5099">
        <f>VLOOKUP(B5099,'SINAPI-%MO'!B:E,4,0)</f>
        <v>0.2979</v>
      </c>
      <c r="H5099" s="225">
        <f t="shared" si="79"/>
        <v>29.69</v>
      </c>
    </row>
    <row r="5100" spans="1:8" x14ac:dyDescent="0.3">
      <c r="A5100" s="400"/>
      <c r="B5100" s="709">
        <v>101542</v>
      </c>
      <c r="C5100" s="710" t="s">
        <v>13822</v>
      </c>
      <c r="D5100" s="709" t="s">
        <v>136</v>
      </c>
      <c r="E5100" s="716">
        <v>32.369999999999997</v>
      </c>
      <c r="F5100" s="717">
        <v>0.65369999999999995</v>
      </c>
      <c r="G5100">
        <f>VLOOKUP(B5100,'SINAPI-%MO'!B:E,4,0)</f>
        <v>0.32469999999999999</v>
      </c>
      <c r="H5100" s="225">
        <f t="shared" si="79"/>
        <v>21.85</v>
      </c>
    </row>
    <row r="5101" spans="1:8" x14ac:dyDescent="0.3">
      <c r="A5101" s="400"/>
      <c r="B5101" s="709">
        <v>101539</v>
      </c>
      <c r="C5101" s="710" t="s">
        <v>13823</v>
      </c>
      <c r="D5101" s="709" t="s">
        <v>136</v>
      </c>
      <c r="E5101" s="716">
        <v>71.25</v>
      </c>
      <c r="F5101" s="717">
        <v>0.62609999999999999</v>
      </c>
      <c r="G5101">
        <f>VLOOKUP(B5101,'SINAPI-%MO'!B:E,4,0)</f>
        <v>0.35410000000000003</v>
      </c>
      <c r="H5101" s="225">
        <f t="shared" si="79"/>
        <v>46.02</v>
      </c>
    </row>
    <row r="5102" spans="1:8" x14ac:dyDescent="0.3">
      <c r="A5102" s="400"/>
      <c r="B5102" s="709">
        <v>101543</v>
      </c>
      <c r="C5102" s="710" t="s">
        <v>13824</v>
      </c>
      <c r="D5102" s="709" t="s">
        <v>136</v>
      </c>
      <c r="E5102" s="716">
        <v>58.29</v>
      </c>
      <c r="F5102" s="717">
        <v>0.6149</v>
      </c>
      <c r="G5102">
        <f>VLOOKUP(B5102,'SINAPI-%MO'!B:E,4,0)</f>
        <v>0.36099999999999999</v>
      </c>
      <c r="H5102" s="225">
        <f t="shared" si="79"/>
        <v>37.24</v>
      </c>
    </row>
    <row r="5103" spans="1:8" x14ac:dyDescent="0.3">
      <c r="A5103" s="400"/>
      <c r="B5103" s="709">
        <v>101540</v>
      </c>
      <c r="C5103" s="710" t="s">
        <v>13825</v>
      </c>
      <c r="D5103" s="709" t="s">
        <v>136</v>
      </c>
      <c r="E5103" s="716">
        <v>118.77</v>
      </c>
      <c r="F5103" s="717">
        <v>0.66359999999999997</v>
      </c>
      <c r="G5103">
        <f>VLOOKUP(B5103,'SINAPI-%MO'!B:E,4,0)</f>
        <v>0.31850000000000001</v>
      </c>
      <c r="H5103" s="225">
        <f t="shared" si="79"/>
        <v>80.94</v>
      </c>
    </row>
    <row r="5104" spans="1:8" x14ac:dyDescent="0.3">
      <c r="A5104" s="400"/>
      <c r="B5104" s="709">
        <v>101544</v>
      </c>
      <c r="C5104" s="710" t="s">
        <v>13826</v>
      </c>
      <c r="D5104" s="709" t="s">
        <v>136</v>
      </c>
      <c r="E5104" s="716">
        <v>92.6</v>
      </c>
      <c r="F5104" s="717">
        <v>0.63629999999999998</v>
      </c>
      <c r="G5104">
        <f>VLOOKUP(B5104,'SINAPI-%MO'!B:E,4,0)</f>
        <v>0.34079999999999999</v>
      </c>
      <c r="H5104" s="225">
        <f t="shared" si="79"/>
        <v>61.04</v>
      </c>
    </row>
    <row r="5105" spans="1:8" x14ac:dyDescent="0.3">
      <c r="A5105" s="400"/>
      <c r="B5105" s="709">
        <v>101541</v>
      </c>
      <c r="C5105" s="710" t="s">
        <v>13827</v>
      </c>
      <c r="D5105" s="709" t="s">
        <v>136</v>
      </c>
      <c r="E5105" s="716">
        <v>155.22999999999999</v>
      </c>
      <c r="F5105" s="717">
        <v>0.65680000000000005</v>
      </c>
      <c r="G5105">
        <f>VLOOKUP(B5105,'SINAPI-%MO'!B:E,4,0)</f>
        <v>0.3251</v>
      </c>
      <c r="H5105" s="225">
        <f t="shared" si="79"/>
        <v>104.76</v>
      </c>
    </row>
    <row r="5106" spans="1:8" x14ac:dyDescent="0.3">
      <c r="A5106" s="400"/>
      <c r="B5106" s="709">
        <v>101545</v>
      </c>
      <c r="C5106" s="710" t="s">
        <v>13828</v>
      </c>
      <c r="D5106" s="709" t="s">
        <v>136</v>
      </c>
      <c r="E5106" s="716">
        <v>133.22</v>
      </c>
      <c r="F5106" s="717">
        <v>0.66290000000000004</v>
      </c>
      <c r="G5106">
        <f>VLOOKUP(B5106,'SINAPI-%MO'!B:E,4,0)</f>
        <v>0.31590000000000001</v>
      </c>
      <c r="H5106" s="225">
        <f t="shared" si="79"/>
        <v>91.13</v>
      </c>
    </row>
    <row r="5107" spans="1:8" x14ac:dyDescent="0.3">
      <c r="A5107" s="400"/>
      <c r="B5107" s="709">
        <v>106502</v>
      </c>
      <c r="C5107" s="710" t="s">
        <v>13829</v>
      </c>
      <c r="D5107" s="709" t="s">
        <v>159</v>
      </c>
      <c r="E5107" s="716">
        <v>12.99</v>
      </c>
      <c r="F5107" s="717">
        <v>0</v>
      </c>
      <c r="G5107">
        <f>VLOOKUP(B5107,'SINAPI-%MO'!B:E,4,0)</f>
        <v>2.0799999999999999E-2</v>
      </c>
      <c r="H5107" s="225">
        <f t="shared" si="79"/>
        <v>12.71</v>
      </c>
    </row>
    <row r="5108" spans="1:8" x14ac:dyDescent="0.3">
      <c r="A5108" s="400"/>
      <c r="B5108" s="709">
        <v>106503</v>
      </c>
      <c r="C5108" s="710" t="s">
        <v>13830</v>
      </c>
      <c r="D5108" s="709" t="s">
        <v>159</v>
      </c>
      <c r="E5108" s="716">
        <v>8.17</v>
      </c>
      <c r="F5108" s="717">
        <v>0</v>
      </c>
      <c r="G5108">
        <f>VLOOKUP(B5108,'SINAPI-%MO'!B:E,4,0)</f>
        <v>2.3300000000000001E-2</v>
      </c>
      <c r="H5108" s="225">
        <f t="shared" si="79"/>
        <v>7.97</v>
      </c>
    </row>
    <row r="5109" spans="1:8" x14ac:dyDescent="0.3">
      <c r="A5109" s="400"/>
      <c r="B5109" s="709">
        <v>106504</v>
      </c>
      <c r="C5109" s="710" t="s">
        <v>13831</v>
      </c>
      <c r="D5109" s="709" t="s">
        <v>159</v>
      </c>
      <c r="E5109" s="716">
        <v>16.37</v>
      </c>
      <c r="F5109" s="717">
        <v>0</v>
      </c>
      <c r="G5109">
        <f>VLOOKUP(B5109,'SINAPI-%MO'!B:E,4,0)</f>
        <v>2.1999999999999999E-2</v>
      </c>
      <c r="H5109" s="225">
        <f t="shared" si="79"/>
        <v>16</v>
      </c>
    </row>
    <row r="5110" spans="1:8" x14ac:dyDescent="0.3">
      <c r="A5110" s="400"/>
      <c r="B5110" s="709">
        <v>106505</v>
      </c>
      <c r="C5110" s="710" t="s">
        <v>13832</v>
      </c>
      <c r="D5110" s="709" t="s">
        <v>159</v>
      </c>
      <c r="E5110" s="716">
        <v>5.28</v>
      </c>
      <c r="F5110" s="717">
        <v>0</v>
      </c>
      <c r="G5110">
        <f>VLOOKUP(B5110,'SINAPI-%MO'!B:E,4,0)</f>
        <v>3.5999999999999997E-2</v>
      </c>
      <c r="H5110" s="225">
        <f t="shared" si="79"/>
        <v>5.08</v>
      </c>
    </row>
    <row r="5111" spans="1:8" x14ac:dyDescent="0.3">
      <c r="A5111" s="400"/>
      <c r="B5111" s="709">
        <v>106526</v>
      </c>
      <c r="C5111" s="710" t="s">
        <v>15089</v>
      </c>
      <c r="D5111" s="709" t="s">
        <v>159</v>
      </c>
      <c r="E5111" s="716">
        <v>0</v>
      </c>
      <c r="F5111" s="717"/>
      <c r="G5111" t="e">
        <f>VLOOKUP(B5111,'SINAPI-%MO'!B:E,4,0)</f>
        <v>#N/A</v>
      </c>
      <c r="H5111" s="225" t="str">
        <f t="shared" si="79"/>
        <v/>
      </c>
    </row>
    <row r="5112" spans="1:8" x14ac:dyDescent="0.3">
      <c r="A5112" s="400"/>
      <c r="B5112" s="709">
        <v>106506</v>
      </c>
      <c r="C5112" s="710" t="s">
        <v>13833</v>
      </c>
      <c r="D5112" s="709" t="s">
        <v>159</v>
      </c>
      <c r="E5112" s="716">
        <v>9.9600000000000009</v>
      </c>
      <c r="F5112" s="717">
        <v>0</v>
      </c>
      <c r="G5112">
        <f>VLOOKUP(B5112,'SINAPI-%MO'!B:E,4,0)</f>
        <v>4.3200000000000002E-2</v>
      </c>
      <c r="H5112" s="225">
        <f t="shared" si="79"/>
        <v>9.52</v>
      </c>
    </row>
    <row r="5113" spans="1:8" x14ac:dyDescent="0.3">
      <c r="A5113" s="400"/>
      <c r="B5113" s="709">
        <v>106507</v>
      </c>
      <c r="C5113" s="710" t="s">
        <v>13834</v>
      </c>
      <c r="D5113" s="709" t="s">
        <v>159</v>
      </c>
      <c r="E5113" s="716">
        <v>6.37</v>
      </c>
      <c r="F5113" s="717">
        <v>0</v>
      </c>
      <c r="G5113">
        <f>VLOOKUP(B5113,'SINAPI-%MO'!B:E,4,0)</f>
        <v>4.87E-2</v>
      </c>
      <c r="H5113" s="225">
        <f t="shared" si="79"/>
        <v>6.05</v>
      </c>
    </row>
    <row r="5114" spans="1:8" x14ac:dyDescent="0.3">
      <c r="A5114" s="400"/>
      <c r="B5114" s="709">
        <v>106508</v>
      </c>
      <c r="C5114" s="710" t="s">
        <v>13835</v>
      </c>
      <c r="D5114" s="709" t="s">
        <v>159</v>
      </c>
      <c r="E5114" s="716">
        <v>12.57</v>
      </c>
      <c r="F5114" s="717">
        <v>0</v>
      </c>
      <c r="G5114">
        <f>VLOOKUP(B5114,'SINAPI-%MO'!B:E,4,0)</f>
        <v>4.6100000000000002E-2</v>
      </c>
      <c r="H5114" s="225">
        <f t="shared" si="79"/>
        <v>11.99</v>
      </c>
    </row>
    <row r="5115" spans="1:8" x14ac:dyDescent="0.3">
      <c r="A5115" s="400"/>
      <c r="B5115" s="709">
        <v>106509</v>
      </c>
      <c r="C5115" s="710" t="s">
        <v>13836</v>
      </c>
      <c r="D5115" s="709" t="s">
        <v>159</v>
      </c>
      <c r="E5115" s="716">
        <v>4.12</v>
      </c>
      <c r="F5115" s="717">
        <v>0</v>
      </c>
      <c r="G5115">
        <f>VLOOKUP(B5115,'SINAPI-%MO'!B:E,4,0)</f>
        <v>7.5200000000000003E-2</v>
      </c>
      <c r="H5115" s="225">
        <f t="shared" si="79"/>
        <v>3.81</v>
      </c>
    </row>
    <row r="5116" spans="1:8" x14ac:dyDescent="0.3">
      <c r="A5116" s="400"/>
      <c r="B5116" s="709">
        <v>106527</v>
      </c>
      <c r="C5116" s="710" t="s">
        <v>15090</v>
      </c>
      <c r="D5116" s="709" t="s">
        <v>159</v>
      </c>
      <c r="E5116" s="716">
        <v>0</v>
      </c>
      <c r="F5116" s="717"/>
      <c r="G5116" t="e">
        <f>VLOOKUP(B5116,'SINAPI-%MO'!B:E,4,0)</f>
        <v>#N/A</v>
      </c>
      <c r="H5116" s="225" t="str">
        <f t="shared" si="79"/>
        <v/>
      </c>
    </row>
    <row r="5117" spans="1:8" x14ac:dyDescent="0.3">
      <c r="A5117" s="400"/>
      <c r="B5117" s="709">
        <v>106499</v>
      </c>
      <c r="C5117" s="710" t="s">
        <v>15091</v>
      </c>
      <c r="D5117" s="709" t="s">
        <v>159</v>
      </c>
      <c r="E5117" s="716">
        <v>0</v>
      </c>
      <c r="F5117" s="717"/>
      <c r="G5117" t="e">
        <f>VLOOKUP(B5117,'SINAPI-%MO'!B:E,4,0)</f>
        <v>#N/A</v>
      </c>
      <c r="H5117" s="225" t="str">
        <f t="shared" si="79"/>
        <v/>
      </c>
    </row>
    <row r="5118" spans="1:8" x14ac:dyDescent="0.3">
      <c r="A5118" s="400"/>
      <c r="B5118" s="709">
        <v>106500</v>
      </c>
      <c r="C5118" s="710" t="s">
        <v>15092</v>
      </c>
      <c r="D5118" s="709" t="s">
        <v>159</v>
      </c>
      <c r="E5118" s="716">
        <v>0</v>
      </c>
      <c r="F5118" s="717"/>
      <c r="G5118" t="e">
        <f>VLOOKUP(B5118,'SINAPI-%MO'!B:E,4,0)</f>
        <v>#N/A</v>
      </c>
      <c r="H5118" s="225" t="str">
        <f t="shared" si="79"/>
        <v/>
      </c>
    </row>
    <row r="5119" spans="1:8" x14ac:dyDescent="0.3">
      <c r="A5119" s="400"/>
      <c r="B5119" s="709">
        <v>106501</v>
      </c>
      <c r="C5119" s="710" t="s">
        <v>15093</v>
      </c>
      <c r="D5119" s="709" t="s">
        <v>159</v>
      </c>
      <c r="E5119" s="716">
        <v>0</v>
      </c>
      <c r="F5119" s="717"/>
      <c r="G5119" t="e">
        <f>VLOOKUP(B5119,'SINAPI-%MO'!B:E,4,0)</f>
        <v>#N/A</v>
      </c>
      <c r="H5119" s="225" t="str">
        <f t="shared" si="79"/>
        <v/>
      </c>
    </row>
    <row r="5120" spans="1:8" x14ac:dyDescent="0.3">
      <c r="A5120" s="400"/>
      <c r="B5120" s="709">
        <v>101560</v>
      </c>
      <c r="C5120" s="710" t="s">
        <v>13837</v>
      </c>
      <c r="D5120" s="709" t="s">
        <v>159</v>
      </c>
      <c r="E5120" s="716">
        <v>11.83</v>
      </c>
      <c r="F5120" s="717">
        <v>0</v>
      </c>
      <c r="G5120">
        <f>VLOOKUP(B5120,'SINAPI-%MO'!B:E,4,0)</f>
        <v>7.6E-3</v>
      </c>
      <c r="H5120" s="225">
        <f t="shared" si="79"/>
        <v>11.74</v>
      </c>
    </row>
    <row r="5121" spans="1:8" x14ac:dyDescent="0.3">
      <c r="A5121" s="400"/>
      <c r="B5121" s="709">
        <v>101568</v>
      </c>
      <c r="C5121" s="710" t="s">
        <v>13838</v>
      </c>
      <c r="D5121" s="709" t="s">
        <v>159</v>
      </c>
      <c r="E5121" s="716">
        <v>144.01</v>
      </c>
      <c r="F5121" s="717">
        <v>0</v>
      </c>
      <c r="G5121">
        <f>VLOOKUP(B5121,'SINAPI-%MO'!B:E,4,0)</f>
        <v>6.9999999999999999E-4</v>
      </c>
      <c r="H5121" s="225">
        <f t="shared" si="79"/>
        <v>143.9</v>
      </c>
    </row>
    <row r="5122" spans="1:8" x14ac:dyDescent="0.3">
      <c r="A5122" s="400"/>
      <c r="B5122" s="709">
        <v>101561</v>
      </c>
      <c r="C5122" s="710" t="s">
        <v>13839</v>
      </c>
      <c r="D5122" s="709" t="s">
        <v>159</v>
      </c>
      <c r="E5122" s="716">
        <v>18.79</v>
      </c>
      <c r="F5122" s="717">
        <v>0</v>
      </c>
      <c r="G5122">
        <f>VLOOKUP(B5122,'SINAPI-%MO'!B:E,4,0)</f>
        <v>4.7999999999999996E-3</v>
      </c>
      <c r="H5122" s="225">
        <f t="shared" si="79"/>
        <v>18.690000000000001</v>
      </c>
    </row>
    <row r="5123" spans="1:8" x14ac:dyDescent="0.3">
      <c r="A5123" s="400"/>
      <c r="B5123" s="709">
        <v>101562</v>
      </c>
      <c r="C5123" s="710" t="s">
        <v>13840</v>
      </c>
      <c r="D5123" s="709" t="s">
        <v>159</v>
      </c>
      <c r="E5123" s="716">
        <v>29.08</v>
      </c>
      <c r="F5123" s="717">
        <v>0</v>
      </c>
      <c r="G5123">
        <f>VLOOKUP(B5123,'SINAPI-%MO'!B:E,4,0)</f>
        <v>3.0999999999999999E-3</v>
      </c>
      <c r="H5123" s="225">
        <f t="shared" si="79"/>
        <v>28.98</v>
      </c>
    </row>
    <row r="5124" spans="1:8" x14ac:dyDescent="0.3">
      <c r="A5124" s="400"/>
      <c r="B5124" s="709">
        <v>101563</v>
      </c>
      <c r="C5124" s="710" t="s">
        <v>13841</v>
      </c>
      <c r="D5124" s="709" t="s">
        <v>159</v>
      </c>
      <c r="E5124" s="716">
        <v>41.05</v>
      </c>
      <c r="F5124" s="717">
        <v>0</v>
      </c>
      <c r="G5124">
        <f>VLOOKUP(B5124,'SINAPI-%MO'!B:E,4,0)</f>
        <v>2.2000000000000001E-3</v>
      </c>
      <c r="H5124" s="225">
        <f t="shared" si="79"/>
        <v>40.950000000000003</v>
      </c>
    </row>
    <row r="5125" spans="1:8" x14ac:dyDescent="0.3">
      <c r="A5125" s="400"/>
      <c r="B5125" s="709">
        <v>101564</v>
      </c>
      <c r="C5125" s="710" t="s">
        <v>13842</v>
      </c>
      <c r="D5125" s="709" t="s">
        <v>159</v>
      </c>
      <c r="E5125" s="716">
        <v>60.67</v>
      </c>
      <c r="F5125" s="717">
        <v>0</v>
      </c>
      <c r="G5125">
        <f>VLOOKUP(B5125,'SINAPI-%MO'!B:E,4,0)</f>
        <v>1.5E-3</v>
      </c>
      <c r="H5125" s="225">
        <f t="shared" si="79"/>
        <v>60.57</v>
      </c>
    </row>
    <row r="5126" spans="1:8" x14ac:dyDescent="0.3">
      <c r="A5126" s="400"/>
      <c r="B5126" s="709">
        <v>101565</v>
      </c>
      <c r="C5126" s="710" t="s">
        <v>13843</v>
      </c>
      <c r="D5126" s="709" t="s">
        <v>159</v>
      </c>
      <c r="E5126" s="716">
        <v>84.84</v>
      </c>
      <c r="F5126" s="717">
        <v>0</v>
      </c>
      <c r="G5126">
        <f>VLOOKUP(B5126,'SINAPI-%MO'!B:E,4,0)</f>
        <v>1.1000000000000001E-3</v>
      </c>
      <c r="H5126" s="225">
        <f t="shared" si="79"/>
        <v>84.74</v>
      </c>
    </row>
    <row r="5127" spans="1:8" x14ac:dyDescent="0.3">
      <c r="A5127" s="400"/>
      <c r="B5127" s="709">
        <v>101567</v>
      </c>
      <c r="C5127" s="710" t="s">
        <v>13844</v>
      </c>
      <c r="D5127" s="709" t="s">
        <v>159</v>
      </c>
      <c r="E5127" s="716">
        <v>110.15</v>
      </c>
      <c r="F5127" s="717">
        <v>0</v>
      </c>
      <c r="G5127">
        <f>VLOOKUP(B5127,'SINAPI-%MO'!B:E,4,0)</f>
        <v>8.9999999999999998E-4</v>
      </c>
      <c r="H5127" s="225">
        <f t="shared" si="79"/>
        <v>110.05</v>
      </c>
    </row>
    <row r="5128" spans="1:8" x14ac:dyDescent="0.3">
      <c r="A5128" s="400"/>
      <c r="B5128" s="709">
        <v>106524</v>
      </c>
      <c r="C5128" s="710" t="s">
        <v>15094</v>
      </c>
      <c r="D5128" s="709" t="s">
        <v>159</v>
      </c>
      <c r="E5128" s="716">
        <v>0</v>
      </c>
      <c r="F5128" s="717"/>
      <c r="G5128" t="e">
        <f>VLOOKUP(B5128,'SINAPI-%MO'!B:E,4,0)</f>
        <v>#N/A</v>
      </c>
      <c r="H5128" s="225" t="str">
        <f t="shared" si="79"/>
        <v/>
      </c>
    </row>
    <row r="5129" spans="1:8" x14ac:dyDescent="0.3">
      <c r="A5129" s="400"/>
      <c r="B5129" s="709">
        <v>106525</v>
      </c>
      <c r="C5129" s="710" t="s">
        <v>15095</v>
      </c>
      <c r="D5129" s="709" t="s">
        <v>136</v>
      </c>
      <c r="E5129" s="716">
        <v>0</v>
      </c>
      <c r="F5129" s="717"/>
      <c r="G5129" t="e">
        <f>VLOOKUP(B5129,'SINAPI-%MO'!B:E,4,0)</f>
        <v>#N/A</v>
      </c>
      <c r="H5129" s="225" t="str">
        <f t="shared" si="79"/>
        <v/>
      </c>
    </row>
    <row r="5130" spans="1:8" x14ac:dyDescent="0.3">
      <c r="A5130" s="400"/>
      <c r="B5130" s="709">
        <v>101551</v>
      </c>
      <c r="C5130" s="710" t="s">
        <v>15096</v>
      </c>
      <c r="D5130" s="709" t="s">
        <v>136</v>
      </c>
      <c r="E5130" s="716">
        <v>0</v>
      </c>
      <c r="F5130" s="717"/>
      <c r="G5130" t="e">
        <f>VLOOKUP(B5130,'SINAPI-%MO'!B:E,4,0)</f>
        <v>#N/A</v>
      </c>
      <c r="H5130" s="225" t="str">
        <f t="shared" si="79"/>
        <v/>
      </c>
    </row>
    <row r="5131" spans="1:8" x14ac:dyDescent="0.3">
      <c r="A5131" s="400"/>
      <c r="B5131" s="709">
        <v>101552</v>
      </c>
      <c r="C5131" s="710" t="s">
        <v>15097</v>
      </c>
      <c r="D5131" s="709" t="s">
        <v>136</v>
      </c>
      <c r="E5131" s="716">
        <v>0</v>
      </c>
      <c r="F5131" s="717"/>
      <c r="G5131" t="e">
        <f>VLOOKUP(B5131,'SINAPI-%MO'!B:E,4,0)</f>
        <v>#N/A</v>
      </c>
      <c r="H5131" s="225" t="str">
        <f t="shared" ref="H5131:H5194" si="80">IF(E5131&gt;0,TRUNC(E5131*(1-G5131),2),"")</f>
        <v/>
      </c>
    </row>
    <row r="5132" spans="1:8" x14ac:dyDescent="0.3">
      <c r="A5132" s="400"/>
      <c r="B5132" s="709">
        <v>101550</v>
      </c>
      <c r="C5132" s="710" t="s">
        <v>15098</v>
      </c>
      <c r="D5132" s="709" t="s">
        <v>136</v>
      </c>
      <c r="E5132" s="716">
        <v>0</v>
      </c>
      <c r="F5132" s="717"/>
      <c r="G5132" t="e">
        <f>VLOOKUP(B5132,'SINAPI-%MO'!B:E,4,0)</f>
        <v>#N/A</v>
      </c>
      <c r="H5132" s="225" t="str">
        <f t="shared" si="80"/>
        <v/>
      </c>
    </row>
    <row r="5133" spans="1:8" x14ac:dyDescent="0.3">
      <c r="A5133" s="400"/>
      <c r="B5133" s="709">
        <v>101501</v>
      </c>
      <c r="C5133" s="710" t="s">
        <v>13845</v>
      </c>
      <c r="D5133" s="709" t="s">
        <v>136</v>
      </c>
      <c r="E5133" s="716">
        <v>1999.85</v>
      </c>
      <c r="F5133" s="717">
        <v>2.7300000000000001E-2</v>
      </c>
      <c r="G5133">
        <f>VLOOKUP(B5133,'SINAPI-%MO'!B:E,4,0)</f>
        <v>0.27700000000000002</v>
      </c>
      <c r="H5133" s="225">
        <f t="shared" si="80"/>
        <v>1445.89</v>
      </c>
    </row>
    <row r="5134" spans="1:8" x14ac:dyDescent="0.3">
      <c r="A5134" s="400"/>
      <c r="B5134" s="709">
        <v>101502</v>
      </c>
      <c r="C5134" s="710" t="s">
        <v>13846</v>
      </c>
      <c r="D5134" s="709" t="s">
        <v>136</v>
      </c>
      <c r="E5134" s="716">
        <v>2176.17</v>
      </c>
      <c r="F5134" s="717">
        <v>2.5100000000000001E-2</v>
      </c>
      <c r="G5134">
        <f>VLOOKUP(B5134,'SINAPI-%MO'!B:E,4,0)</f>
        <v>0.27189999999999998</v>
      </c>
      <c r="H5134" s="225">
        <f t="shared" si="80"/>
        <v>1584.46</v>
      </c>
    </row>
    <row r="5135" spans="1:8" x14ac:dyDescent="0.3">
      <c r="A5135" s="400"/>
      <c r="B5135" s="709">
        <v>101503</v>
      </c>
      <c r="C5135" s="710" t="s">
        <v>13847</v>
      </c>
      <c r="D5135" s="709" t="s">
        <v>136</v>
      </c>
      <c r="E5135" s="716">
        <v>2221.96</v>
      </c>
      <c r="F5135" s="717">
        <v>2.46E-2</v>
      </c>
      <c r="G5135">
        <f>VLOOKUP(B5135,'SINAPI-%MO'!B:E,4,0)</f>
        <v>0.24249999999999999</v>
      </c>
      <c r="H5135" s="225">
        <f t="shared" si="80"/>
        <v>1683.13</v>
      </c>
    </row>
    <row r="5136" spans="1:8" x14ac:dyDescent="0.3">
      <c r="A5136" s="400"/>
      <c r="B5136" s="709">
        <v>101504</v>
      </c>
      <c r="C5136" s="710" t="s">
        <v>13848</v>
      </c>
      <c r="D5136" s="709" t="s">
        <v>136</v>
      </c>
      <c r="E5136" s="716">
        <v>2461.8200000000002</v>
      </c>
      <c r="F5136" s="717">
        <v>2.2200000000000001E-2</v>
      </c>
      <c r="G5136">
        <f>VLOOKUP(B5136,'SINAPI-%MO'!B:E,4,0)</f>
        <v>0.2281</v>
      </c>
      <c r="H5136" s="225">
        <f t="shared" si="80"/>
        <v>1900.27</v>
      </c>
    </row>
    <row r="5137" spans="1:8" x14ac:dyDescent="0.3">
      <c r="A5137" s="400"/>
      <c r="B5137" s="709">
        <v>101497</v>
      </c>
      <c r="C5137" s="710" t="s">
        <v>13849</v>
      </c>
      <c r="D5137" s="709" t="s">
        <v>136</v>
      </c>
      <c r="E5137" s="716">
        <v>2008.57</v>
      </c>
      <c r="F5137" s="717">
        <v>2.7199999999999998E-2</v>
      </c>
      <c r="G5137">
        <f>VLOOKUP(B5137,'SINAPI-%MO'!B:E,4,0)</f>
        <v>0.28320000000000001</v>
      </c>
      <c r="H5137" s="225">
        <f t="shared" si="80"/>
        <v>1439.74</v>
      </c>
    </row>
    <row r="5138" spans="1:8" x14ac:dyDescent="0.3">
      <c r="A5138" s="400"/>
      <c r="B5138" s="709">
        <v>101498</v>
      </c>
      <c r="C5138" s="710" t="s">
        <v>13850</v>
      </c>
      <c r="D5138" s="709" t="s">
        <v>136</v>
      </c>
      <c r="E5138" s="716">
        <v>2184.89</v>
      </c>
      <c r="F5138" s="717">
        <v>2.5000000000000001E-2</v>
      </c>
      <c r="G5138">
        <f>VLOOKUP(B5138,'SINAPI-%MO'!B:E,4,0)</f>
        <v>0.2777</v>
      </c>
      <c r="H5138" s="225">
        <f t="shared" si="80"/>
        <v>1578.14</v>
      </c>
    </row>
    <row r="5139" spans="1:8" x14ac:dyDescent="0.3">
      <c r="A5139" s="400"/>
      <c r="B5139" s="709">
        <v>101499</v>
      </c>
      <c r="C5139" s="710" t="s">
        <v>13851</v>
      </c>
      <c r="D5139" s="709" t="s">
        <v>136</v>
      </c>
      <c r="E5139" s="716">
        <v>2230.6799999999998</v>
      </c>
      <c r="F5139" s="717">
        <v>2.4500000000000001E-2</v>
      </c>
      <c r="G5139">
        <f>VLOOKUP(B5139,'SINAPI-%MO'!B:E,4,0)</f>
        <v>0.2482</v>
      </c>
      <c r="H5139" s="225">
        <f t="shared" si="80"/>
        <v>1677.02</v>
      </c>
    </row>
    <row r="5140" spans="1:8" x14ac:dyDescent="0.3">
      <c r="A5140" s="400"/>
      <c r="B5140" s="709">
        <v>101500</v>
      </c>
      <c r="C5140" s="710" t="s">
        <v>13852</v>
      </c>
      <c r="D5140" s="709" t="s">
        <v>136</v>
      </c>
      <c r="E5140" s="716">
        <v>2470.54</v>
      </c>
      <c r="F5140" s="717">
        <v>2.2100000000000002E-2</v>
      </c>
      <c r="G5140">
        <f>VLOOKUP(B5140,'SINAPI-%MO'!B:E,4,0)</f>
        <v>0.23330000000000001</v>
      </c>
      <c r="H5140" s="225">
        <f t="shared" si="80"/>
        <v>1894.16</v>
      </c>
    </row>
    <row r="5141" spans="1:8" x14ac:dyDescent="0.3">
      <c r="A5141" s="400"/>
      <c r="B5141" s="709">
        <v>101493</v>
      </c>
      <c r="C5141" s="710" t="s">
        <v>13853</v>
      </c>
      <c r="D5141" s="709" t="s">
        <v>136</v>
      </c>
      <c r="E5141" s="716">
        <v>1715.24</v>
      </c>
      <c r="F5141" s="717">
        <v>3.1800000000000002E-2</v>
      </c>
      <c r="G5141">
        <f>VLOOKUP(B5141,'SINAPI-%MO'!B:E,4,0)</f>
        <v>0.29899999999999999</v>
      </c>
      <c r="H5141" s="225">
        <f t="shared" si="80"/>
        <v>1202.3800000000001</v>
      </c>
    </row>
    <row r="5142" spans="1:8" x14ac:dyDescent="0.3">
      <c r="A5142" s="400"/>
      <c r="B5142" s="709">
        <v>101494</v>
      </c>
      <c r="C5142" s="710" t="s">
        <v>13854</v>
      </c>
      <c r="D5142" s="709" t="s">
        <v>136</v>
      </c>
      <c r="E5142" s="716">
        <v>1831.73</v>
      </c>
      <c r="F5142" s="717">
        <v>2.98E-2</v>
      </c>
      <c r="G5142">
        <f>VLOOKUP(B5142,'SINAPI-%MO'!B:E,4,0)</f>
        <v>0.29360000000000003</v>
      </c>
      <c r="H5142" s="225">
        <f t="shared" si="80"/>
        <v>1293.93</v>
      </c>
    </row>
    <row r="5143" spans="1:8" x14ac:dyDescent="0.3">
      <c r="A5143" s="400"/>
      <c r="B5143" s="709">
        <v>101495</v>
      </c>
      <c r="C5143" s="710" t="s">
        <v>13855</v>
      </c>
      <c r="D5143" s="709" t="s">
        <v>136</v>
      </c>
      <c r="E5143" s="716">
        <v>1861.98</v>
      </c>
      <c r="F5143" s="717">
        <v>2.93E-2</v>
      </c>
      <c r="G5143">
        <f>VLOOKUP(B5143,'SINAPI-%MO'!B:E,4,0)</f>
        <v>0.27010000000000001</v>
      </c>
      <c r="H5143" s="225">
        <f t="shared" si="80"/>
        <v>1359.05</v>
      </c>
    </row>
    <row r="5144" spans="1:8" x14ac:dyDescent="0.3">
      <c r="A5144" s="400"/>
      <c r="B5144" s="709">
        <v>101496</v>
      </c>
      <c r="C5144" s="710" t="s">
        <v>13856</v>
      </c>
      <c r="D5144" s="709" t="s">
        <v>136</v>
      </c>
      <c r="E5144" s="716">
        <v>2032.8</v>
      </c>
      <c r="F5144" s="717">
        <v>2.69E-2</v>
      </c>
      <c r="G5144">
        <f>VLOOKUP(B5144,'SINAPI-%MO'!B:E,4,0)</f>
        <v>0.2571</v>
      </c>
      <c r="H5144" s="225">
        <f t="shared" si="80"/>
        <v>1510.16</v>
      </c>
    </row>
    <row r="5145" spans="1:8" x14ac:dyDescent="0.3">
      <c r="A5145" s="400"/>
      <c r="B5145" s="709">
        <v>101489</v>
      </c>
      <c r="C5145" s="710" t="s">
        <v>13857</v>
      </c>
      <c r="D5145" s="709" t="s">
        <v>136</v>
      </c>
      <c r="E5145" s="716">
        <v>1732.97</v>
      </c>
      <c r="F5145" s="717">
        <v>3.15E-2</v>
      </c>
      <c r="G5145">
        <f>VLOOKUP(B5145,'SINAPI-%MO'!B:E,4,0)</f>
        <v>0.30740000000000001</v>
      </c>
      <c r="H5145" s="225">
        <f t="shared" si="80"/>
        <v>1200.25</v>
      </c>
    </row>
    <row r="5146" spans="1:8" x14ac:dyDescent="0.3">
      <c r="A5146" s="400"/>
      <c r="B5146" s="709">
        <v>101490</v>
      </c>
      <c r="C5146" s="710" t="s">
        <v>13858</v>
      </c>
      <c r="D5146" s="709" t="s">
        <v>136</v>
      </c>
      <c r="E5146" s="716">
        <v>1849.46</v>
      </c>
      <c r="F5146" s="717">
        <v>2.9499999999999998E-2</v>
      </c>
      <c r="G5146">
        <f>VLOOKUP(B5146,'SINAPI-%MO'!B:E,4,0)</f>
        <v>0.30149999999999999</v>
      </c>
      <c r="H5146" s="225">
        <f t="shared" si="80"/>
        <v>1291.8399999999999</v>
      </c>
    </row>
    <row r="5147" spans="1:8" x14ac:dyDescent="0.3">
      <c r="A5147" s="400"/>
      <c r="B5147" s="709">
        <v>101491</v>
      </c>
      <c r="C5147" s="710" t="s">
        <v>13859</v>
      </c>
      <c r="D5147" s="709" t="s">
        <v>136</v>
      </c>
      <c r="E5147" s="716">
        <v>1879.71</v>
      </c>
      <c r="F5147" s="717">
        <v>2.9000000000000001E-2</v>
      </c>
      <c r="G5147">
        <f>VLOOKUP(B5147,'SINAPI-%MO'!B:E,4,0)</f>
        <v>0.27810000000000001</v>
      </c>
      <c r="H5147" s="225">
        <f t="shared" si="80"/>
        <v>1356.96</v>
      </c>
    </row>
    <row r="5148" spans="1:8" x14ac:dyDescent="0.3">
      <c r="A5148" s="400"/>
      <c r="B5148" s="709">
        <v>101492</v>
      </c>
      <c r="C5148" s="710" t="s">
        <v>13860</v>
      </c>
      <c r="D5148" s="709" t="s">
        <v>136</v>
      </c>
      <c r="E5148" s="716">
        <v>2050.5300000000002</v>
      </c>
      <c r="F5148" s="717">
        <v>2.6599999999999999E-2</v>
      </c>
      <c r="G5148">
        <f>VLOOKUP(B5148,'SINAPI-%MO'!B:E,4,0)</f>
        <v>0.26450000000000001</v>
      </c>
      <c r="H5148" s="225">
        <f t="shared" si="80"/>
        <v>1508.16</v>
      </c>
    </row>
    <row r="5149" spans="1:8" x14ac:dyDescent="0.3">
      <c r="A5149" s="400"/>
      <c r="B5149" s="709">
        <v>101509</v>
      </c>
      <c r="C5149" s="710" t="s">
        <v>13861</v>
      </c>
      <c r="D5149" s="709" t="s">
        <v>136</v>
      </c>
      <c r="E5149" s="716">
        <v>2164.83</v>
      </c>
      <c r="F5149" s="717">
        <v>2.52E-2</v>
      </c>
      <c r="G5149">
        <f>VLOOKUP(B5149,'SINAPI-%MO'!B:E,4,0)</f>
        <v>0.27279999999999999</v>
      </c>
      <c r="H5149" s="225">
        <f t="shared" si="80"/>
        <v>1574.26</v>
      </c>
    </row>
    <row r="5150" spans="1:8" x14ac:dyDescent="0.3">
      <c r="A5150" s="400"/>
      <c r="B5150" s="709">
        <v>101510</v>
      </c>
      <c r="C5150" s="710" t="s">
        <v>13862</v>
      </c>
      <c r="D5150" s="709" t="s">
        <v>136</v>
      </c>
      <c r="E5150" s="716">
        <v>2399.9299999999998</v>
      </c>
      <c r="F5150" s="717">
        <v>2.2700000000000001E-2</v>
      </c>
      <c r="G5150">
        <f>VLOOKUP(B5150,'SINAPI-%MO'!B:E,4,0)</f>
        <v>0.2671</v>
      </c>
      <c r="H5150" s="225">
        <f t="shared" si="80"/>
        <v>1758.9</v>
      </c>
    </row>
    <row r="5151" spans="1:8" x14ac:dyDescent="0.3">
      <c r="A5151" s="400"/>
      <c r="B5151" s="709">
        <v>101511</v>
      </c>
      <c r="C5151" s="710" t="s">
        <v>13863</v>
      </c>
      <c r="D5151" s="709" t="s">
        <v>136</v>
      </c>
      <c r="E5151" s="716">
        <v>2460.98</v>
      </c>
      <c r="F5151" s="717">
        <v>2.2200000000000001E-2</v>
      </c>
      <c r="G5151">
        <f>VLOOKUP(B5151,'SINAPI-%MO'!B:E,4,0)</f>
        <v>0.23169999999999999</v>
      </c>
      <c r="H5151" s="225">
        <f t="shared" si="80"/>
        <v>1890.77</v>
      </c>
    </row>
    <row r="5152" spans="1:8" x14ac:dyDescent="0.3">
      <c r="A5152" s="400"/>
      <c r="B5152" s="709">
        <v>101512</v>
      </c>
      <c r="C5152" s="710" t="s">
        <v>13864</v>
      </c>
      <c r="D5152" s="709" t="s">
        <v>136</v>
      </c>
      <c r="E5152" s="716">
        <v>2768.66</v>
      </c>
      <c r="F5152" s="717">
        <v>1.9699999999999999E-2</v>
      </c>
      <c r="G5152">
        <f>VLOOKUP(B5152,'SINAPI-%MO'!B:E,4,0)</f>
        <v>0.2152</v>
      </c>
      <c r="H5152" s="225">
        <f t="shared" si="80"/>
        <v>2172.84</v>
      </c>
    </row>
    <row r="5153" spans="1:8" x14ac:dyDescent="0.3">
      <c r="A5153" s="400"/>
      <c r="B5153" s="709">
        <v>101505</v>
      </c>
      <c r="C5153" s="710" t="s">
        <v>13865</v>
      </c>
      <c r="D5153" s="709" t="s">
        <v>136</v>
      </c>
      <c r="E5153" s="716">
        <v>2135.2399999999998</v>
      </c>
      <c r="F5153" s="717">
        <v>2.5600000000000001E-2</v>
      </c>
      <c r="G5153">
        <f>VLOOKUP(B5153,'SINAPI-%MO'!B:E,4,0)</f>
        <v>0.28310000000000002</v>
      </c>
      <c r="H5153" s="225">
        <f t="shared" si="80"/>
        <v>1530.75</v>
      </c>
    </row>
    <row r="5154" spans="1:8" x14ac:dyDescent="0.3">
      <c r="A5154" s="400"/>
      <c r="B5154" s="709">
        <v>101506</v>
      </c>
      <c r="C5154" s="710" t="s">
        <v>13866</v>
      </c>
      <c r="D5154" s="709" t="s">
        <v>136</v>
      </c>
      <c r="E5154" s="716">
        <v>2370.34</v>
      </c>
      <c r="F5154" s="717">
        <v>2.3E-2</v>
      </c>
      <c r="G5154">
        <f>VLOOKUP(B5154,'SINAPI-%MO'!B:E,4,0)</f>
        <v>0.27629999999999999</v>
      </c>
      <c r="H5154" s="225">
        <f t="shared" si="80"/>
        <v>1715.41</v>
      </c>
    </row>
    <row r="5155" spans="1:8" x14ac:dyDescent="0.3">
      <c r="A5155" s="400"/>
      <c r="B5155" s="709">
        <v>101507</v>
      </c>
      <c r="C5155" s="710" t="s">
        <v>13867</v>
      </c>
      <c r="D5155" s="709" t="s">
        <v>136</v>
      </c>
      <c r="E5155" s="716">
        <v>2431.39</v>
      </c>
      <c r="F5155" s="717">
        <v>2.2499999999999999E-2</v>
      </c>
      <c r="G5155">
        <f>VLOOKUP(B5155,'SINAPI-%MO'!B:E,4,0)</f>
        <v>0.24030000000000001</v>
      </c>
      <c r="H5155" s="225">
        <f t="shared" si="80"/>
        <v>1847.12</v>
      </c>
    </row>
    <row r="5156" spans="1:8" x14ac:dyDescent="0.3">
      <c r="A5156" s="400"/>
      <c r="B5156" s="709">
        <v>101508</v>
      </c>
      <c r="C5156" s="710" t="s">
        <v>13868</v>
      </c>
      <c r="D5156" s="709" t="s">
        <v>136</v>
      </c>
      <c r="E5156" s="716">
        <v>2739.07</v>
      </c>
      <c r="F5156" s="717">
        <v>1.9900000000000001E-2</v>
      </c>
      <c r="G5156">
        <f>VLOOKUP(B5156,'SINAPI-%MO'!B:E,4,0)</f>
        <v>0.22270000000000001</v>
      </c>
      <c r="H5156" s="225">
        <f t="shared" si="80"/>
        <v>2129.0700000000002</v>
      </c>
    </row>
    <row r="5157" spans="1:8" x14ac:dyDescent="0.3">
      <c r="A5157" s="400"/>
      <c r="B5157" s="709">
        <v>101525</v>
      </c>
      <c r="C5157" s="710" t="s">
        <v>13869</v>
      </c>
      <c r="D5157" s="709" t="s">
        <v>136</v>
      </c>
      <c r="E5157" s="716">
        <v>1236.3800000000001</v>
      </c>
      <c r="F5157" s="717">
        <v>0</v>
      </c>
      <c r="G5157">
        <f>VLOOKUP(B5157,'SINAPI-%MO'!B:E,4,0)</f>
        <v>0.20230000000000001</v>
      </c>
      <c r="H5157" s="225">
        <f t="shared" si="80"/>
        <v>986.26</v>
      </c>
    </row>
    <row r="5158" spans="1:8" x14ac:dyDescent="0.3">
      <c r="A5158" s="400"/>
      <c r="B5158" s="709">
        <v>101526</v>
      </c>
      <c r="C5158" s="710" t="s">
        <v>13870</v>
      </c>
      <c r="D5158" s="709" t="s">
        <v>136</v>
      </c>
      <c r="E5158" s="716">
        <v>1446.06</v>
      </c>
      <c r="F5158" s="717">
        <v>0</v>
      </c>
      <c r="G5158">
        <f>VLOOKUP(B5158,'SINAPI-%MO'!B:E,4,0)</f>
        <v>0.2041</v>
      </c>
      <c r="H5158" s="225">
        <f t="shared" si="80"/>
        <v>1150.9100000000001</v>
      </c>
    </row>
    <row r="5159" spans="1:8" x14ac:dyDescent="0.3">
      <c r="A5159" s="400"/>
      <c r="B5159" s="709">
        <v>101527</v>
      </c>
      <c r="C5159" s="710" t="s">
        <v>13871</v>
      </c>
      <c r="D5159" s="709" t="s">
        <v>136</v>
      </c>
      <c r="E5159" s="716">
        <v>1500.51</v>
      </c>
      <c r="F5159" s="717">
        <v>0</v>
      </c>
      <c r="G5159">
        <f>VLOOKUP(B5159,'SINAPI-%MO'!B:E,4,0)</f>
        <v>0.1547</v>
      </c>
      <c r="H5159" s="225">
        <f t="shared" si="80"/>
        <v>1268.3800000000001</v>
      </c>
    </row>
    <row r="5160" spans="1:8" x14ac:dyDescent="0.3">
      <c r="A5160" s="400"/>
      <c r="B5160" s="709">
        <v>101528</v>
      </c>
      <c r="C5160" s="710" t="s">
        <v>13872</v>
      </c>
      <c r="D5160" s="709" t="s">
        <v>136</v>
      </c>
      <c r="E5160" s="716">
        <v>1742.47</v>
      </c>
      <c r="F5160" s="717">
        <v>0</v>
      </c>
      <c r="G5160">
        <f>VLOOKUP(B5160,'SINAPI-%MO'!B:E,4,0)</f>
        <v>0.13930000000000001</v>
      </c>
      <c r="H5160" s="225">
        <f t="shared" si="80"/>
        <v>1499.74</v>
      </c>
    </row>
    <row r="5161" spans="1:8" x14ac:dyDescent="0.3">
      <c r="A5161" s="400"/>
      <c r="B5161" s="709">
        <v>101521</v>
      </c>
      <c r="C5161" s="710" t="s">
        <v>13873</v>
      </c>
      <c r="D5161" s="709" t="s">
        <v>136</v>
      </c>
      <c r="E5161" s="716">
        <v>1245.0999999999999</v>
      </c>
      <c r="F5161" s="717">
        <v>0</v>
      </c>
      <c r="G5161">
        <f>VLOOKUP(B5161,'SINAPI-%MO'!B:E,4,0)</f>
        <v>0.21290000000000001</v>
      </c>
      <c r="H5161" s="225">
        <f t="shared" si="80"/>
        <v>980.01</v>
      </c>
    </row>
    <row r="5162" spans="1:8" x14ac:dyDescent="0.3">
      <c r="A5162" s="400"/>
      <c r="B5162" s="709">
        <v>101522</v>
      </c>
      <c r="C5162" s="710" t="s">
        <v>13874</v>
      </c>
      <c r="D5162" s="709" t="s">
        <v>136</v>
      </c>
      <c r="E5162" s="716">
        <v>1454.78</v>
      </c>
      <c r="F5162" s="717">
        <v>0</v>
      </c>
      <c r="G5162">
        <f>VLOOKUP(B5162,'SINAPI-%MO'!B:E,4,0)</f>
        <v>0.21310000000000001</v>
      </c>
      <c r="H5162" s="225">
        <f t="shared" si="80"/>
        <v>1144.76</v>
      </c>
    </row>
    <row r="5163" spans="1:8" x14ac:dyDescent="0.3">
      <c r="A5163" s="400"/>
      <c r="B5163" s="709">
        <v>101523</v>
      </c>
      <c r="C5163" s="710" t="s">
        <v>13875</v>
      </c>
      <c r="D5163" s="709" t="s">
        <v>136</v>
      </c>
      <c r="E5163" s="716">
        <v>1509.23</v>
      </c>
      <c r="F5163" s="717">
        <v>0</v>
      </c>
      <c r="G5163">
        <f>VLOOKUP(B5163,'SINAPI-%MO'!B:E,4,0)</f>
        <v>0.16370000000000001</v>
      </c>
      <c r="H5163" s="225">
        <f t="shared" si="80"/>
        <v>1262.1600000000001</v>
      </c>
    </row>
    <row r="5164" spans="1:8" x14ac:dyDescent="0.3">
      <c r="A5164" s="400"/>
      <c r="B5164" s="709">
        <v>101524</v>
      </c>
      <c r="C5164" s="710" t="s">
        <v>13876</v>
      </c>
      <c r="D5164" s="709" t="s">
        <v>136</v>
      </c>
      <c r="E5164" s="716">
        <v>1751.19</v>
      </c>
      <c r="F5164" s="717">
        <v>0</v>
      </c>
      <c r="G5164">
        <f>VLOOKUP(B5164,'SINAPI-%MO'!B:E,4,0)</f>
        <v>0.14710000000000001</v>
      </c>
      <c r="H5164" s="225">
        <f t="shared" si="80"/>
        <v>1493.58</v>
      </c>
    </row>
    <row r="5165" spans="1:8" x14ac:dyDescent="0.3">
      <c r="A5165" s="400"/>
      <c r="B5165" s="709">
        <v>101517</v>
      </c>
      <c r="C5165" s="710" t="s">
        <v>13877</v>
      </c>
      <c r="D5165" s="709" t="s">
        <v>136</v>
      </c>
      <c r="E5165" s="716">
        <v>934.09</v>
      </c>
      <c r="F5165" s="717">
        <v>0</v>
      </c>
      <c r="G5165">
        <f>VLOOKUP(B5165,'SINAPI-%MO'!B:E,4,0)</f>
        <v>0.21929999999999999</v>
      </c>
      <c r="H5165" s="225">
        <f t="shared" si="80"/>
        <v>729.24</v>
      </c>
    </row>
    <row r="5166" spans="1:8" x14ac:dyDescent="0.3">
      <c r="A5166" s="400"/>
      <c r="B5166" s="709">
        <v>101518</v>
      </c>
      <c r="C5166" s="710" t="s">
        <v>13878</v>
      </c>
      <c r="D5166" s="709" t="s">
        <v>136</v>
      </c>
      <c r="E5166" s="716">
        <v>1073.8800000000001</v>
      </c>
      <c r="F5166" s="717">
        <v>0</v>
      </c>
      <c r="G5166">
        <f>VLOOKUP(B5166,'SINAPI-%MO'!B:E,4,0)</f>
        <v>0.21859999999999999</v>
      </c>
      <c r="H5166" s="225">
        <f t="shared" si="80"/>
        <v>839.12</v>
      </c>
    </row>
    <row r="5167" spans="1:8" x14ac:dyDescent="0.3">
      <c r="A5167" s="400"/>
      <c r="B5167" s="709">
        <v>101519</v>
      </c>
      <c r="C5167" s="710" t="s">
        <v>13879</v>
      </c>
      <c r="D5167" s="709" t="s">
        <v>136</v>
      </c>
      <c r="E5167" s="716">
        <v>1110.18</v>
      </c>
      <c r="F5167" s="717">
        <v>0</v>
      </c>
      <c r="G5167">
        <f>VLOOKUP(B5167,'SINAPI-%MO'!B:E,4,0)</f>
        <v>0.17369999999999999</v>
      </c>
      <c r="H5167" s="225">
        <f t="shared" si="80"/>
        <v>917.34</v>
      </c>
    </row>
    <row r="5168" spans="1:8" x14ac:dyDescent="0.3">
      <c r="A5168" s="400"/>
      <c r="B5168" s="709">
        <v>101520</v>
      </c>
      <c r="C5168" s="710" t="s">
        <v>13880</v>
      </c>
      <c r="D5168" s="709" t="s">
        <v>136</v>
      </c>
      <c r="E5168" s="716">
        <v>1271.48</v>
      </c>
      <c r="F5168" s="717">
        <v>0</v>
      </c>
      <c r="G5168">
        <f>VLOOKUP(B5168,'SINAPI-%MO'!B:E,4,0)</f>
        <v>0.15709999999999999</v>
      </c>
      <c r="H5168" s="225">
        <f t="shared" si="80"/>
        <v>1071.73</v>
      </c>
    </row>
    <row r="5169" spans="1:8" x14ac:dyDescent="0.3">
      <c r="A5169" s="400"/>
      <c r="B5169" s="709">
        <v>101513</v>
      </c>
      <c r="C5169" s="710" t="s">
        <v>13881</v>
      </c>
      <c r="D5169" s="709" t="s">
        <v>136</v>
      </c>
      <c r="E5169" s="716">
        <v>951.81</v>
      </c>
      <c r="F5169" s="717">
        <v>0</v>
      </c>
      <c r="G5169">
        <f>VLOOKUP(B5169,'SINAPI-%MO'!B:E,4,0)</f>
        <v>0.23599999999999999</v>
      </c>
      <c r="H5169" s="225">
        <f t="shared" si="80"/>
        <v>727.18</v>
      </c>
    </row>
    <row r="5170" spans="1:8" x14ac:dyDescent="0.3">
      <c r="A5170" s="400"/>
      <c r="B5170" s="709">
        <v>101514</v>
      </c>
      <c r="C5170" s="710" t="s">
        <v>13882</v>
      </c>
      <c r="D5170" s="709" t="s">
        <v>136</v>
      </c>
      <c r="E5170" s="716">
        <v>1091.5999999999999</v>
      </c>
      <c r="F5170" s="717">
        <v>0</v>
      </c>
      <c r="G5170">
        <f>VLOOKUP(B5170,'SINAPI-%MO'!B:E,4,0)</f>
        <v>0.23319999999999999</v>
      </c>
      <c r="H5170" s="225">
        <f t="shared" si="80"/>
        <v>837.03</v>
      </c>
    </row>
    <row r="5171" spans="1:8" x14ac:dyDescent="0.3">
      <c r="A5171" s="400"/>
      <c r="B5171" s="709">
        <v>101515</v>
      </c>
      <c r="C5171" s="710" t="s">
        <v>13883</v>
      </c>
      <c r="D5171" s="709" t="s">
        <v>136</v>
      </c>
      <c r="E5171" s="716">
        <v>1127.9000000000001</v>
      </c>
      <c r="F5171" s="717">
        <v>0</v>
      </c>
      <c r="G5171">
        <f>VLOOKUP(B5171,'SINAPI-%MO'!B:E,4,0)</f>
        <v>0.1885</v>
      </c>
      <c r="H5171" s="225">
        <f t="shared" si="80"/>
        <v>915.29</v>
      </c>
    </row>
    <row r="5172" spans="1:8" x14ac:dyDescent="0.3">
      <c r="A5172" s="400"/>
      <c r="B5172" s="709">
        <v>101516</v>
      </c>
      <c r="C5172" s="710" t="s">
        <v>13884</v>
      </c>
      <c r="D5172" s="709" t="s">
        <v>136</v>
      </c>
      <c r="E5172" s="716">
        <v>1289.2</v>
      </c>
      <c r="F5172" s="717">
        <v>0</v>
      </c>
      <c r="G5172">
        <f>VLOOKUP(B5172,'SINAPI-%MO'!B:E,4,0)</f>
        <v>0.1704</v>
      </c>
      <c r="H5172" s="225">
        <f t="shared" si="80"/>
        <v>1069.52</v>
      </c>
    </row>
    <row r="5173" spans="1:8" x14ac:dyDescent="0.3">
      <c r="A5173" s="400"/>
      <c r="B5173" s="709">
        <v>101533</v>
      </c>
      <c r="C5173" s="710" t="s">
        <v>13885</v>
      </c>
      <c r="D5173" s="709" t="s">
        <v>136</v>
      </c>
      <c r="E5173" s="716">
        <v>1420.91</v>
      </c>
      <c r="F5173" s="717">
        <v>0</v>
      </c>
      <c r="G5173">
        <f>VLOOKUP(B5173,'SINAPI-%MO'!B:E,4,0)</f>
        <v>0.20519999999999999</v>
      </c>
      <c r="H5173" s="225">
        <f t="shared" si="80"/>
        <v>1129.33</v>
      </c>
    </row>
    <row r="5174" spans="1:8" x14ac:dyDescent="0.3">
      <c r="A5174" s="400"/>
      <c r="B5174" s="709">
        <v>101534</v>
      </c>
      <c r="C5174" s="710" t="s">
        <v>13886</v>
      </c>
      <c r="D5174" s="709" t="s">
        <v>136</v>
      </c>
      <c r="E5174" s="716">
        <v>1700.49</v>
      </c>
      <c r="F5174" s="717">
        <v>0</v>
      </c>
      <c r="G5174">
        <f>VLOOKUP(B5174,'SINAPI-%MO'!B:E,4,0)</f>
        <v>0.20669999999999999</v>
      </c>
      <c r="H5174" s="225">
        <f t="shared" si="80"/>
        <v>1348.99</v>
      </c>
    </row>
    <row r="5175" spans="1:8" x14ac:dyDescent="0.3">
      <c r="A5175" s="400"/>
      <c r="B5175" s="709">
        <v>101535</v>
      </c>
      <c r="C5175" s="710" t="s">
        <v>13887</v>
      </c>
      <c r="D5175" s="709" t="s">
        <v>136</v>
      </c>
      <c r="E5175" s="716">
        <v>1773.09</v>
      </c>
      <c r="F5175" s="717">
        <v>0</v>
      </c>
      <c r="G5175">
        <f>VLOOKUP(B5175,'SINAPI-%MO'!B:E,4,0)</f>
        <v>0.15079999999999999</v>
      </c>
      <c r="H5175" s="225">
        <f t="shared" si="80"/>
        <v>1505.7</v>
      </c>
    </row>
    <row r="5176" spans="1:8" x14ac:dyDescent="0.3">
      <c r="A5176" s="400"/>
      <c r="B5176" s="709">
        <v>101536</v>
      </c>
      <c r="C5176" s="710" t="s">
        <v>13888</v>
      </c>
      <c r="D5176" s="709" t="s">
        <v>136</v>
      </c>
      <c r="E5176" s="716">
        <v>2095.6999999999998</v>
      </c>
      <c r="F5176" s="717">
        <v>0</v>
      </c>
      <c r="G5176">
        <f>VLOOKUP(B5176,'SINAPI-%MO'!B:E,4,0)</f>
        <v>0.1343</v>
      </c>
      <c r="H5176" s="225">
        <f t="shared" si="80"/>
        <v>1814.24</v>
      </c>
    </row>
    <row r="5177" spans="1:8" x14ac:dyDescent="0.3">
      <c r="A5177" s="400"/>
      <c r="B5177" s="709">
        <v>101529</v>
      </c>
      <c r="C5177" s="710" t="s">
        <v>13889</v>
      </c>
      <c r="D5177" s="709" t="s">
        <v>136</v>
      </c>
      <c r="E5177" s="716">
        <v>1391.32</v>
      </c>
      <c r="F5177" s="717">
        <v>0</v>
      </c>
      <c r="G5177">
        <f>VLOOKUP(B5177,'SINAPI-%MO'!B:E,4,0)</f>
        <v>0.21959999999999999</v>
      </c>
      <c r="H5177" s="225">
        <f t="shared" si="80"/>
        <v>1085.78</v>
      </c>
    </row>
    <row r="5178" spans="1:8" x14ac:dyDescent="0.3">
      <c r="A5178" s="400"/>
      <c r="B5178" s="709">
        <v>101530</v>
      </c>
      <c r="C5178" s="710" t="s">
        <v>13890</v>
      </c>
      <c r="D5178" s="709" t="s">
        <v>136</v>
      </c>
      <c r="E5178" s="716">
        <v>1670.9</v>
      </c>
      <c r="F5178" s="717">
        <v>0</v>
      </c>
      <c r="G5178">
        <f>VLOOKUP(B5178,'SINAPI-%MO'!B:E,4,0)</f>
        <v>0.21870000000000001</v>
      </c>
      <c r="H5178" s="225">
        <f t="shared" si="80"/>
        <v>1305.47</v>
      </c>
    </row>
    <row r="5179" spans="1:8" x14ac:dyDescent="0.3">
      <c r="A5179" s="400"/>
      <c r="B5179" s="709">
        <v>101531</v>
      </c>
      <c r="C5179" s="710" t="s">
        <v>13891</v>
      </c>
      <c r="D5179" s="709" t="s">
        <v>136</v>
      </c>
      <c r="E5179" s="716">
        <v>1743.5</v>
      </c>
      <c r="F5179" s="717">
        <v>0</v>
      </c>
      <c r="G5179">
        <f>VLOOKUP(B5179,'SINAPI-%MO'!B:E,4,0)</f>
        <v>0.1615</v>
      </c>
      <c r="H5179" s="225">
        <f t="shared" si="80"/>
        <v>1461.92</v>
      </c>
    </row>
    <row r="5180" spans="1:8" x14ac:dyDescent="0.3">
      <c r="A5180" s="400"/>
      <c r="B5180" s="709">
        <v>101532</v>
      </c>
      <c r="C5180" s="710" t="s">
        <v>13892</v>
      </c>
      <c r="D5180" s="709" t="s">
        <v>136</v>
      </c>
      <c r="E5180" s="716">
        <v>2066.11</v>
      </c>
      <c r="F5180" s="717">
        <v>0</v>
      </c>
      <c r="G5180">
        <f>VLOOKUP(B5180,'SINAPI-%MO'!B:E,4,0)</f>
        <v>0.14299999999999999</v>
      </c>
      <c r="H5180" s="225">
        <f t="shared" si="80"/>
        <v>1770.65</v>
      </c>
    </row>
    <row r="5181" spans="1:8" x14ac:dyDescent="0.3">
      <c r="A5181" s="400"/>
      <c r="B5181" s="709">
        <v>106510</v>
      </c>
      <c r="C5181" s="710" t="s">
        <v>15099</v>
      </c>
      <c r="D5181" s="709" t="s">
        <v>136</v>
      </c>
      <c r="E5181" s="716">
        <v>0</v>
      </c>
      <c r="F5181" s="717"/>
      <c r="G5181" t="e">
        <f>VLOOKUP(B5181,'SINAPI-%MO'!B:E,4,0)</f>
        <v>#N/A</v>
      </c>
      <c r="H5181" s="225" t="str">
        <f t="shared" si="80"/>
        <v/>
      </c>
    </row>
    <row r="5182" spans="1:8" x14ac:dyDescent="0.3">
      <c r="A5182" s="400"/>
      <c r="B5182" s="709">
        <v>106514</v>
      </c>
      <c r="C5182" s="710" t="s">
        <v>15100</v>
      </c>
      <c r="D5182" s="709" t="s">
        <v>136</v>
      </c>
      <c r="E5182" s="716">
        <v>0</v>
      </c>
      <c r="F5182" s="717"/>
      <c r="G5182" t="e">
        <f>VLOOKUP(B5182,'SINAPI-%MO'!B:E,4,0)</f>
        <v>#N/A</v>
      </c>
      <c r="H5182" s="225" t="str">
        <f t="shared" si="80"/>
        <v/>
      </c>
    </row>
    <row r="5183" spans="1:8" x14ac:dyDescent="0.3">
      <c r="A5183" s="400"/>
      <c r="B5183" s="709">
        <v>106511</v>
      </c>
      <c r="C5183" s="710" t="s">
        <v>15101</v>
      </c>
      <c r="D5183" s="709" t="s">
        <v>136</v>
      </c>
      <c r="E5183" s="716">
        <v>0</v>
      </c>
      <c r="F5183" s="717"/>
      <c r="G5183" t="e">
        <f>VLOOKUP(B5183,'SINAPI-%MO'!B:E,4,0)</f>
        <v>#N/A</v>
      </c>
      <c r="H5183" s="225" t="str">
        <f t="shared" si="80"/>
        <v/>
      </c>
    </row>
    <row r="5184" spans="1:8" x14ac:dyDescent="0.3">
      <c r="A5184" s="400"/>
      <c r="B5184" s="709">
        <v>106515</v>
      </c>
      <c r="C5184" s="710" t="s">
        <v>15102</v>
      </c>
      <c r="D5184" s="709" t="s">
        <v>136</v>
      </c>
      <c r="E5184" s="716">
        <v>0</v>
      </c>
      <c r="F5184" s="717"/>
      <c r="G5184" t="e">
        <f>VLOOKUP(B5184,'SINAPI-%MO'!B:E,4,0)</f>
        <v>#N/A</v>
      </c>
      <c r="H5184" s="225" t="str">
        <f t="shared" si="80"/>
        <v/>
      </c>
    </row>
    <row r="5185" spans="1:8" x14ac:dyDescent="0.3">
      <c r="A5185" s="400"/>
      <c r="B5185" s="709">
        <v>106512</v>
      </c>
      <c r="C5185" s="710" t="s">
        <v>15103</v>
      </c>
      <c r="D5185" s="709" t="s">
        <v>136</v>
      </c>
      <c r="E5185" s="716">
        <v>0</v>
      </c>
      <c r="F5185" s="717"/>
      <c r="G5185" t="e">
        <f>VLOOKUP(B5185,'SINAPI-%MO'!B:E,4,0)</f>
        <v>#N/A</v>
      </c>
      <c r="H5185" s="225" t="str">
        <f t="shared" si="80"/>
        <v/>
      </c>
    </row>
    <row r="5186" spans="1:8" x14ac:dyDescent="0.3">
      <c r="A5186" s="400"/>
      <c r="B5186" s="709">
        <v>106516</v>
      </c>
      <c r="C5186" s="710" t="s">
        <v>15104</v>
      </c>
      <c r="D5186" s="709" t="s">
        <v>136</v>
      </c>
      <c r="E5186" s="716">
        <v>0</v>
      </c>
      <c r="F5186" s="717"/>
      <c r="G5186" t="e">
        <f>VLOOKUP(B5186,'SINAPI-%MO'!B:E,4,0)</f>
        <v>#N/A</v>
      </c>
      <c r="H5186" s="225" t="str">
        <f t="shared" si="80"/>
        <v/>
      </c>
    </row>
    <row r="5187" spans="1:8" x14ac:dyDescent="0.3">
      <c r="A5187" s="400"/>
      <c r="B5187" s="709">
        <v>106513</v>
      </c>
      <c r="C5187" s="710" t="s">
        <v>15105</v>
      </c>
      <c r="D5187" s="709" t="s">
        <v>136</v>
      </c>
      <c r="E5187" s="716">
        <v>0</v>
      </c>
      <c r="F5187" s="717"/>
      <c r="G5187" t="e">
        <f>VLOOKUP(B5187,'SINAPI-%MO'!B:E,4,0)</f>
        <v>#N/A</v>
      </c>
      <c r="H5187" s="225" t="str">
        <f t="shared" si="80"/>
        <v/>
      </c>
    </row>
    <row r="5188" spans="1:8" x14ac:dyDescent="0.3">
      <c r="A5188" s="400"/>
      <c r="B5188" s="709">
        <v>106517</v>
      </c>
      <c r="C5188" s="710" t="s">
        <v>15106</v>
      </c>
      <c r="D5188" s="709" t="s">
        <v>136</v>
      </c>
      <c r="E5188" s="716">
        <v>0</v>
      </c>
      <c r="F5188" s="717"/>
      <c r="G5188" t="e">
        <f>VLOOKUP(B5188,'SINAPI-%MO'!B:E,4,0)</f>
        <v>#N/A</v>
      </c>
      <c r="H5188" s="225" t="str">
        <f t="shared" si="80"/>
        <v/>
      </c>
    </row>
    <row r="5189" spans="1:8" x14ac:dyDescent="0.3">
      <c r="A5189" s="400"/>
      <c r="B5189" s="709">
        <v>106518</v>
      </c>
      <c r="C5189" s="710" t="s">
        <v>15107</v>
      </c>
      <c r="D5189" s="709" t="s">
        <v>136</v>
      </c>
      <c r="E5189" s="716">
        <v>0</v>
      </c>
      <c r="F5189" s="717"/>
      <c r="G5189" t="e">
        <f>VLOOKUP(B5189,'SINAPI-%MO'!B:E,4,0)</f>
        <v>#N/A</v>
      </c>
      <c r="H5189" s="225" t="str">
        <f t="shared" si="80"/>
        <v/>
      </c>
    </row>
    <row r="5190" spans="1:8" x14ac:dyDescent="0.3">
      <c r="A5190" s="400"/>
      <c r="B5190" s="709">
        <v>106519</v>
      </c>
      <c r="C5190" s="710" t="s">
        <v>15108</v>
      </c>
      <c r="D5190" s="709" t="s">
        <v>136</v>
      </c>
      <c r="E5190" s="716">
        <v>0</v>
      </c>
      <c r="F5190" s="717"/>
      <c r="G5190" t="e">
        <f>VLOOKUP(B5190,'SINAPI-%MO'!B:E,4,0)</f>
        <v>#N/A</v>
      </c>
      <c r="H5190" s="225" t="str">
        <f t="shared" si="80"/>
        <v/>
      </c>
    </row>
    <row r="5191" spans="1:8" x14ac:dyDescent="0.3">
      <c r="A5191" s="400"/>
      <c r="B5191" s="709">
        <v>106520</v>
      </c>
      <c r="C5191" s="710" t="s">
        <v>15109</v>
      </c>
      <c r="D5191" s="709" t="s">
        <v>136</v>
      </c>
      <c r="E5191" s="716">
        <v>0</v>
      </c>
      <c r="F5191" s="717"/>
      <c r="G5191" t="e">
        <f>VLOOKUP(B5191,'SINAPI-%MO'!B:E,4,0)</f>
        <v>#N/A</v>
      </c>
      <c r="H5191" s="225" t="str">
        <f t="shared" si="80"/>
        <v/>
      </c>
    </row>
    <row r="5192" spans="1:8" x14ac:dyDescent="0.3">
      <c r="A5192" s="400"/>
      <c r="B5192" s="709">
        <v>106521</v>
      </c>
      <c r="C5192" s="710" t="s">
        <v>15110</v>
      </c>
      <c r="D5192" s="709" t="s">
        <v>136</v>
      </c>
      <c r="E5192" s="716">
        <v>0</v>
      </c>
      <c r="F5192" s="717"/>
      <c r="G5192" t="e">
        <f>VLOOKUP(B5192,'SINAPI-%MO'!B:E,4,0)</f>
        <v>#N/A</v>
      </c>
      <c r="H5192" s="225" t="str">
        <f t="shared" si="80"/>
        <v/>
      </c>
    </row>
    <row r="5193" spans="1:8" x14ac:dyDescent="0.3">
      <c r="A5193" s="400"/>
      <c r="B5193" s="709">
        <v>106522</v>
      </c>
      <c r="C5193" s="710" t="s">
        <v>15111</v>
      </c>
      <c r="D5193" s="709" t="s">
        <v>136</v>
      </c>
      <c r="E5193" s="716">
        <v>0</v>
      </c>
      <c r="F5193" s="717"/>
      <c r="G5193" t="e">
        <f>VLOOKUP(B5193,'SINAPI-%MO'!B:E,4,0)</f>
        <v>#N/A</v>
      </c>
      <c r="H5193" s="225" t="str">
        <f t="shared" si="80"/>
        <v/>
      </c>
    </row>
    <row r="5194" spans="1:8" x14ac:dyDescent="0.3">
      <c r="A5194" s="400"/>
      <c r="B5194" s="709">
        <v>106523</v>
      </c>
      <c r="C5194" s="710" t="s">
        <v>15112</v>
      </c>
      <c r="D5194" s="709" t="s">
        <v>136</v>
      </c>
      <c r="E5194" s="716">
        <v>0</v>
      </c>
      <c r="F5194" s="717"/>
      <c r="G5194" t="e">
        <f>VLOOKUP(B5194,'SINAPI-%MO'!B:E,4,0)</f>
        <v>#N/A</v>
      </c>
      <c r="H5194" s="225" t="str">
        <f t="shared" si="80"/>
        <v/>
      </c>
    </row>
    <row r="5195" spans="1:8" x14ac:dyDescent="0.3">
      <c r="A5195" s="400"/>
      <c r="B5195" s="709">
        <v>101549</v>
      </c>
      <c r="C5195" s="710" t="s">
        <v>13893</v>
      </c>
      <c r="D5195" s="709" t="s">
        <v>136</v>
      </c>
      <c r="E5195" s="716">
        <v>26.28</v>
      </c>
      <c r="F5195" s="717">
        <v>0</v>
      </c>
      <c r="G5195">
        <f>VLOOKUP(B5195,'SINAPI-%MO'!B:E,4,0)</f>
        <v>0.2576</v>
      </c>
      <c r="H5195" s="225">
        <f t="shared" ref="H5195:H5258" si="81">IF(E5195&gt;0,TRUNC(E5195*(1-G5195),2),"")</f>
        <v>19.510000000000002</v>
      </c>
    </row>
    <row r="5196" spans="1:8" x14ac:dyDescent="0.3">
      <c r="A5196" s="400"/>
      <c r="B5196" s="709">
        <v>101547</v>
      </c>
      <c r="C5196" s="710" t="s">
        <v>13894</v>
      </c>
      <c r="D5196" s="709" t="s">
        <v>136</v>
      </c>
      <c r="E5196" s="716">
        <v>88.88</v>
      </c>
      <c r="F5196" s="717">
        <v>0.97660000000000002</v>
      </c>
      <c r="G5196">
        <f>VLOOKUP(B5196,'SINAPI-%MO'!B:E,4,0)</f>
        <v>2.3400000000000001E-2</v>
      </c>
      <c r="H5196" s="225">
        <f t="shared" si="81"/>
        <v>86.8</v>
      </c>
    </row>
    <row r="5197" spans="1:8" x14ac:dyDescent="0.3">
      <c r="A5197" s="400"/>
      <c r="B5197" s="709">
        <v>101546</v>
      </c>
      <c r="C5197" s="710" t="s">
        <v>13895</v>
      </c>
      <c r="D5197" s="709" t="s">
        <v>136</v>
      </c>
      <c r="E5197" s="716">
        <v>28.65</v>
      </c>
      <c r="F5197" s="717">
        <v>0.9274</v>
      </c>
      <c r="G5197">
        <f>VLOOKUP(B5197,'SINAPI-%MO'!B:E,4,0)</f>
        <v>7.2599999999999998E-2</v>
      </c>
      <c r="H5197" s="225">
        <f t="shared" si="81"/>
        <v>26.57</v>
      </c>
    </row>
    <row r="5198" spans="1:8" x14ac:dyDescent="0.3">
      <c r="A5198" s="400"/>
      <c r="B5198" s="709">
        <v>101548</v>
      </c>
      <c r="C5198" s="710" t="s">
        <v>13896</v>
      </c>
      <c r="D5198" s="709" t="s">
        <v>136</v>
      </c>
      <c r="E5198" s="716">
        <v>7.4</v>
      </c>
      <c r="F5198" s="717">
        <v>0.71889999999999998</v>
      </c>
      <c r="G5198">
        <f>VLOOKUP(B5198,'SINAPI-%MO'!B:E,4,0)</f>
        <v>0.28110000000000002</v>
      </c>
      <c r="H5198" s="225">
        <f t="shared" si="81"/>
        <v>5.31</v>
      </c>
    </row>
    <row r="5199" spans="1:8" x14ac:dyDescent="0.3">
      <c r="A5199" s="400"/>
      <c r="B5199" s="709">
        <v>106528</v>
      </c>
      <c r="C5199" s="710" t="s">
        <v>15113</v>
      </c>
      <c r="D5199" s="709" t="s">
        <v>136</v>
      </c>
      <c r="E5199" s="716">
        <v>0</v>
      </c>
      <c r="F5199" s="717"/>
      <c r="G5199" t="e">
        <f>VLOOKUP(B5199,'SINAPI-%MO'!B:E,4,0)</f>
        <v>#N/A</v>
      </c>
      <c r="H5199" s="225" t="str">
        <f t="shared" si="81"/>
        <v/>
      </c>
    </row>
    <row r="5200" spans="1:8" x14ac:dyDescent="0.3">
      <c r="A5200" s="400"/>
      <c r="B5200" s="709">
        <v>94764</v>
      </c>
      <c r="C5200" s="710" t="s">
        <v>4489</v>
      </c>
      <c r="D5200" s="709" t="s">
        <v>136</v>
      </c>
      <c r="E5200" s="716">
        <v>49.57</v>
      </c>
      <c r="F5200" s="717">
        <v>0</v>
      </c>
      <c r="G5200">
        <f>VLOOKUP(B5200,'SINAPI-%MO'!B:E,4,0)</f>
        <v>0.1487</v>
      </c>
      <c r="H5200" s="225">
        <f t="shared" si="81"/>
        <v>42.19</v>
      </c>
    </row>
    <row r="5201" spans="1:8" x14ac:dyDescent="0.3">
      <c r="A5201" s="400"/>
      <c r="B5201" s="709">
        <v>94765</v>
      </c>
      <c r="C5201" s="710" t="s">
        <v>4490</v>
      </c>
      <c r="D5201" s="709" t="s">
        <v>136</v>
      </c>
      <c r="E5201" s="716">
        <v>54.77</v>
      </c>
      <c r="F5201" s="717">
        <v>0</v>
      </c>
      <c r="G5201">
        <f>VLOOKUP(B5201,'SINAPI-%MO'!B:E,4,0)</f>
        <v>0.13730000000000001</v>
      </c>
      <c r="H5201" s="225">
        <f t="shared" si="81"/>
        <v>47.25</v>
      </c>
    </row>
    <row r="5202" spans="1:8" x14ac:dyDescent="0.3">
      <c r="A5202" s="400"/>
      <c r="B5202" s="709">
        <v>94766</v>
      </c>
      <c r="C5202" s="710" t="s">
        <v>4491</v>
      </c>
      <c r="D5202" s="709" t="s">
        <v>136</v>
      </c>
      <c r="E5202" s="716">
        <v>61.42</v>
      </c>
      <c r="F5202" s="717">
        <v>0</v>
      </c>
      <c r="G5202">
        <f>VLOOKUP(B5202,'SINAPI-%MO'!B:E,4,0)</f>
        <v>0.12520000000000001</v>
      </c>
      <c r="H5202" s="225">
        <f t="shared" si="81"/>
        <v>53.73</v>
      </c>
    </row>
    <row r="5203" spans="1:8" x14ac:dyDescent="0.3">
      <c r="A5203" s="400"/>
      <c r="B5203" s="709">
        <v>94767</v>
      </c>
      <c r="C5203" s="710" t="s">
        <v>4492</v>
      </c>
      <c r="D5203" s="709" t="s">
        <v>136</v>
      </c>
      <c r="E5203" s="716">
        <v>92.1</v>
      </c>
      <c r="F5203" s="717">
        <v>0</v>
      </c>
      <c r="G5203">
        <f>VLOOKUP(B5203,'SINAPI-%MO'!B:E,4,0)</f>
        <v>8.5699999999999998E-2</v>
      </c>
      <c r="H5203" s="225">
        <f t="shared" si="81"/>
        <v>84.2</v>
      </c>
    </row>
    <row r="5204" spans="1:8" x14ac:dyDescent="0.3">
      <c r="A5204" s="400"/>
      <c r="B5204" s="709">
        <v>94768</v>
      </c>
      <c r="C5204" s="710" t="s">
        <v>4493</v>
      </c>
      <c r="D5204" s="709" t="s">
        <v>136</v>
      </c>
      <c r="E5204" s="716">
        <v>104.56</v>
      </c>
      <c r="F5204" s="717">
        <v>0</v>
      </c>
      <c r="G5204">
        <f>VLOOKUP(B5204,'SINAPI-%MO'!B:E,4,0)</f>
        <v>7.7899999999999997E-2</v>
      </c>
      <c r="H5204" s="225">
        <f t="shared" si="81"/>
        <v>96.41</v>
      </c>
    </row>
    <row r="5205" spans="1:8" x14ac:dyDescent="0.3">
      <c r="A5205" s="400"/>
      <c r="B5205" s="709">
        <v>94769</v>
      </c>
      <c r="C5205" s="710" t="s">
        <v>4494</v>
      </c>
      <c r="D5205" s="709" t="s">
        <v>136</v>
      </c>
      <c r="E5205" s="716">
        <v>140.35</v>
      </c>
      <c r="F5205" s="717">
        <v>0</v>
      </c>
      <c r="G5205">
        <f>VLOOKUP(B5205,'SINAPI-%MO'!B:E,4,0)</f>
        <v>6.0199999999999997E-2</v>
      </c>
      <c r="H5205" s="225">
        <f t="shared" si="81"/>
        <v>131.9</v>
      </c>
    </row>
    <row r="5206" spans="1:8" x14ac:dyDescent="0.3">
      <c r="A5206" s="400"/>
      <c r="B5206" s="709">
        <v>94783</v>
      </c>
      <c r="C5206" s="710" t="s">
        <v>4495</v>
      </c>
      <c r="D5206" s="709" t="s">
        <v>136</v>
      </c>
      <c r="E5206" s="716">
        <v>21.98</v>
      </c>
      <c r="F5206" s="717">
        <v>0</v>
      </c>
      <c r="G5206">
        <f>VLOOKUP(B5206,'SINAPI-%MO'!B:E,4,0)</f>
        <v>0.34210000000000002</v>
      </c>
      <c r="H5206" s="225">
        <f t="shared" si="81"/>
        <v>14.46</v>
      </c>
    </row>
    <row r="5207" spans="1:8" x14ac:dyDescent="0.3">
      <c r="A5207" s="400"/>
      <c r="B5207" s="709">
        <v>94703</v>
      </c>
      <c r="C5207" s="710" t="s">
        <v>4496</v>
      </c>
      <c r="D5207" s="709" t="s">
        <v>136</v>
      </c>
      <c r="E5207" s="716">
        <v>23.57</v>
      </c>
      <c r="F5207" s="717">
        <v>0</v>
      </c>
      <c r="G5207">
        <f>VLOOKUP(B5207,'SINAPI-%MO'!B:E,4,0)</f>
        <v>0.32629999999999998</v>
      </c>
      <c r="H5207" s="225">
        <f t="shared" si="81"/>
        <v>15.87</v>
      </c>
    </row>
    <row r="5208" spans="1:8" x14ac:dyDescent="0.3">
      <c r="A5208" s="400"/>
      <c r="B5208" s="709">
        <v>94704</v>
      </c>
      <c r="C5208" s="710" t="s">
        <v>4497</v>
      </c>
      <c r="D5208" s="709" t="s">
        <v>136</v>
      </c>
      <c r="E5208" s="716">
        <v>31.69</v>
      </c>
      <c r="F5208" s="717">
        <v>0</v>
      </c>
      <c r="G5208">
        <f>VLOOKUP(B5208,'SINAPI-%MO'!B:E,4,0)</f>
        <v>0.249</v>
      </c>
      <c r="H5208" s="225">
        <f t="shared" si="81"/>
        <v>23.79</v>
      </c>
    </row>
    <row r="5209" spans="1:8" x14ac:dyDescent="0.3">
      <c r="A5209" s="400"/>
      <c r="B5209" s="709">
        <v>94705</v>
      </c>
      <c r="C5209" s="710" t="s">
        <v>4498</v>
      </c>
      <c r="D5209" s="709" t="s">
        <v>136</v>
      </c>
      <c r="E5209" s="716">
        <v>43.56</v>
      </c>
      <c r="F5209" s="717">
        <v>0</v>
      </c>
      <c r="G5209">
        <f>VLOOKUP(B5209,'SINAPI-%MO'!B:E,4,0)</f>
        <v>0.18690000000000001</v>
      </c>
      <c r="H5209" s="225">
        <f t="shared" si="81"/>
        <v>35.409999999999997</v>
      </c>
    </row>
    <row r="5210" spans="1:8" x14ac:dyDescent="0.3">
      <c r="A5210" s="400"/>
      <c r="B5210" s="709">
        <v>94706</v>
      </c>
      <c r="C5210" s="710" t="s">
        <v>4499</v>
      </c>
      <c r="D5210" s="709" t="s">
        <v>136</v>
      </c>
      <c r="E5210" s="716">
        <v>42.59</v>
      </c>
      <c r="F5210" s="717">
        <v>0</v>
      </c>
      <c r="G5210">
        <f>VLOOKUP(B5210,'SINAPI-%MO'!B:E,4,0)</f>
        <v>0.19839999999999999</v>
      </c>
      <c r="H5210" s="225">
        <f t="shared" si="81"/>
        <v>34.14</v>
      </c>
    </row>
    <row r="5211" spans="1:8" x14ac:dyDescent="0.3">
      <c r="A5211" s="400"/>
      <c r="B5211" s="709">
        <v>94707</v>
      </c>
      <c r="C5211" s="710" t="s">
        <v>4500</v>
      </c>
      <c r="D5211" s="709" t="s">
        <v>136</v>
      </c>
      <c r="E5211" s="716">
        <v>67.67</v>
      </c>
      <c r="F5211" s="717">
        <v>0</v>
      </c>
      <c r="G5211">
        <f>VLOOKUP(B5211,'SINAPI-%MO'!B:E,4,0)</f>
        <v>0.1295</v>
      </c>
      <c r="H5211" s="225">
        <f t="shared" si="81"/>
        <v>58.9</v>
      </c>
    </row>
    <row r="5212" spans="1:8" x14ac:dyDescent="0.3">
      <c r="A5212" s="400"/>
      <c r="B5212" s="709">
        <v>94715</v>
      </c>
      <c r="C5212" s="710" t="s">
        <v>4501</v>
      </c>
      <c r="D5212" s="709" t="s">
        <v>136</v>
      </c>
      <c r="E5212" s="716">
        <v>352.89</v>
      </c>
      <c r="F5212" s="717">
        <v>0</v>
      </c>
      <c r="G5212">
        <f>VLOOKUP(B5212,'SINAPI-%MO'!B:E,4,0)</f>
        <v>4.9599999999999998E-2</v>
      </c>
      <c r="H5212" s="225">
        <f t="shared" si="81"/>
        <v>335.38</v>
      </c>
    </row>
    <row r="5213" spans="1:8" x14ac:dyDescent="0.3">
      <c r="A5213" s="400"/>
      <c r="B5213" s="709">
        <v>94713</v>
      </c>
      <c r="C5213" s="710" t="s">
        <v>4502</v>
      </c>
      <c r="D5213" s="709" t="s">
        <v>136</v>
      </c>
      <c r="E5213" s="716">
        <v>282.57</v>
      </c>
      <c r="F5213" s="717">
        <v>0</v>
      </c>
      <c r="G5213">
        <f>VLOOKUP(B5213,'SINAPI-%MO'!B:E,4,0)</f>
        <v>5.5399999999999998E-2</v>
      </c>
      <c r="H5213" s="225">
        <f t="shared" si="81"/>
        <v>266.91000000000003</v>
      </c>
    </row>
    <row r="5214" spans="1:8" x14ac:dyDescent="0.3">
      <c r="A5214" s="400"/>
      <c r="B5214" s="709">
        <v>94714</v>
      </c>
      <c r="C5214" s="710" t="s">
        <v>4503</v>
      </c>
      <c r="D5214" s="709" t="s">
        <v>136</v>
      </c>
      <c r="E5214" s="716">
        <v>397.15</v>
      </c>
      <c r="F5214" s="717">
        <v>0</v>
      </c>
      <c r="G5214">
        <f>VLOOKUP(B5214,'SINAPI-%MO'!B:E,4,0)</f>
        <v>4.07E-2</v>
      </c>
      <c r="H5214" s="225">
        <f t="shared" si="81"/>
        <v>380.98</v>
      </c>
    </row>
    <row r="5215" spans="1:8" x14ac:dyDescent="0.3">
      <c r="A5215" s="400"/>
      <c r="B5215" s="709">
        <v>94670</v>
      </c>
      <c r="C5215" s="710" t="s">
        <v>4504</v>
      </c>
      <c r="D5215" s="709" t="s">
        <v>136</v>
      </c>
      <c r="E5215" s="716">
        <v>81.319999999999993</v>
      </c>
      <c r="F5215" s="717">
        <v>0</v>
      </c>
      <c r="G5215">
        <f>VLOOKUP(B5215,'SINAPI-%MO'!B:E,4,0)</f>
        <v>0.26500000000000001</v>
      </c>
      <c r="H5215" s="225">
        <f t="shared" si="81"/>
        <v>59.77</v>
      </c>
    </row>
    <row r="5216" spans="1:8" x14ac:dyDescent="0.3">
      <c r="A5216" s="400"/>
      <c r="B5216" s="709">
        <v>94656</v>
      </c>
      <c r="C5216" s="710" t="s">
        <v>4505</v>
      </c>
      <c r="D5216" s="709" t="s">
        <v>136</v>
      </c>
      <c r="E5216" s="716">
        <v>4.07</v>
      </c>
      <c r="F5216" s="717">
        <v>0</v>
      </c>
      <c r="G5216">
        <f>VLOOKUP(B5216,'SINAPI-%MO'!B:E,4,0)</f>
        <v>0.54049999999999998</v>
      </c>
      <c r="H5216" s="225">
        <f t="shared" si="81"/>
        <v>1.87</v>
      </c>
    </row>
    <row r="5217" spans="1:8" x14ac:dyDescent="0.3">
      <c r="A5217" s="400"/>
      <c r="B5217" s="709">
        <v>94658</v>
      </c>
      <c r="C5217" s="710" t="s">
        <v>4506</v>
      </c>
      <c r="D5217" s="709" t="s">
        <v>136</v>
      </c>
      <c r="E5217" s="716">
        <v>6.13</v>
      </c>
      <c r="F5217" s="717">
        <v>0</v>
      </c>
      <c r="G5217">
        <f>VLOOKUP(B5217,'SINAPI-%MO'!B:E,4,0)</f>
        <v>0.46820000000000001</v>
      </c>
      <c r="H5217" s="225">
        <f t="shared" si="81"/>
        <v>3.25</v>
      </c>
    </row>
    <row r="5218" spans="1:8" x14ac:dyDescent="0.3">
      <c r="A5218" s="400"/>
      <c r="B5218" s="709">
        <v>94660</v>
      </c>
      <c r="C5218" s="710" t="s">
        <v>4507</v>
      </c>
      <c r="D5218" s="709" t="s">
        <v>136</v>
      </c>
      <c r="E5218" s="716">
        <v>9.75</v>
      </c>
      <c r="F5218" s="717">
        <v>0</v>
      </c>
      <c r="G5218">
        <f>VLOOKUP(B5218,'SINAPI-%MO'!B:E,4,0)</f>
        <v>0.39379999999999998</v>
      </c>
      <c r="H5218" s="225">
        <f t="shared" si="81"/>
        <v>5.91</v>
      </c>
    </row>
    <row r="5219" spans="1:8" x14ac:dyDescent="0.3">
      <c r="A5219" s="400"/>
      <c r="B5219" s="709">
        <v>94662</v>
      </c>
      <c r="C5219" s="710" t="s">
        <v>4508</v>
      </c>
      <c r="D5219" s="709" t="s">
        <v>136</v>
      </c>
      <c r="E5219" s="716">
        <v>12.82</v>
      </c>
      <c r="F5219" s="717">
        <v>0</v>
      </c>
      <c r="G5219">
        <f>VLOOKUP(B5219,'SINAPI-%MO'!B:E,4,0)</f>
        <v>0.41810000000000003</v>
      </c>
      <c r="H5219" s="225">
        <f t="shared" si="81"/>
        <v>7.45</v>
      </c>
    </row>
    <row r="5220" spans="1:8" x14ac:dyDescent="0.3">
      <c r="A5220" s="400"/>
      <c r="B5220" s="709">
        <v>94664</v>
      </c>
      <c r="C5220" s="710" t="s">
        <v>4509</v>
      </c>
      <c r="D5220" s="709" t="s">
        <v>136</v>
      </c>
      <c r="E5220" s="716">
        <v>23.59</v>
      </c>
      <c r="F5220" s="717">
        <v>0</v>
      </c>
      <c r="G5220">
        <f>VLOOKUP(B5220,'SINAPI-%MO'!B:E,4,0)</f>
        <v>0.30559999999999998</v>
      </c>
      <c r="H5220" s="225">
        <f t="shared" si="81"/>
        <v>16.38</v>
      </c>
    </row>
    <row r="5221" spans="1:8" x14ac:dyDescent="0.3">
      <c r="A5221" s="400"/>
      <c r="B5221" s="709">
        <v>94666</v>
      </c>
      <c r="C5221" s="710" t="s">
        <v>4510</v>
      </c>
      <c r="D5221" s="709" t="s">
        <v>136</v>
      </c>
      <c r="E5221" s="716">
        <v>38.47</v>
      </c>
      <c r="F5221" s="717">
        <v>0</v>
      </c>
      <c r="G5221">
        <f>VLOOKUP(B5221,'SINAPI-%MO'!B:E,4,0)</f>
        <v>0.27629999999999999</v>
      </c>
      <c r="H5221" s="225">
        <f t="shared" si="81"/>
        <v>27.84</v>
      </c>
    </row>
    <row r="5222" spans="1:8" x14ac:dyDescent="0.3">
      <c r="A5222" s="400"/>
      <c r="B5222" s="709">
        <v>94668</v>
      </c>
      <c r="C5222" s="710" t="s">
        <v>4511</v>
      </c>
      <c r="D5222" s="709" t="s">
        <v>136</v>
      </c>
      <c r="E5222" s="716">
        <v>51.19</v>
      </c>
      <c r="F5222" s="717">
        <v>0</v>
      </c>
      <c r="G5222">
        <f>VLOOKUP(B5222,'SINAPI-%MO'!B:E,4,0)</f>
        <v>0.26019999999999999</v>
      </c>
      <c r="H5222" s="225">
        <f t="shared" si="81"/>
        <v>37.869999999999997</v>
      </c>
    </row>
    <row r="5223" spans="1:8" x14ac:dyDescent="0.3">
      <c r="A5223" s="400"/>
      <c r="B5223" s="709">
        <v>105215</v>
      </c>
      <c r="C5223" s="710" t="s">
        <v>4512</v>
      </c>
      <c r="D5223" s="709" t="s">
        <v>136</v>
      </c>
      <c r="E5223" s="716">
        <v>12.25</v>
      </c>
      <c r="F5223" s="717">
        <v>0</v>
      </c>
      <c r="G5223">
        <f>VLOOKUP(B5223,'SINAPI-%MO'!B:E,4,0)</f>
        <v>0.1804</v>
      </c>
      <c r="H5223" s="225">
        <f t="shared" si="81"/>
        <v>10.039999999999999</v>
      </c>
    </row>
    <row r="5224" spans="1:8" x14ac:dyDescent="0.3">
      <c r="A5224" s="400"/>
      <c r="B5224" s="709">
        <v>105216</v>
      </c>
      <c r="C5224" s="710" t="s">
        <v>4513</v>
      </c>
      <c r="D5224" s="709" t="s">
        <v>136</v>
      </c>
      <c r="E5224" s="716">
        <v>48.15</v>
      </c>
      <c r="F5224" s="717">
        <v>0</v>
      </c>
      <c r="G5224">
        <f>VLOOKUP(B5224,'SINAPI-%MO'!B:E,4,0)</f>
        <v>5.8999999999999997E-2</v>
      </c>
      <c r="H5224" s="225">
        <f t="shared" si="81"/>
        <v>45.3</v>
      </c>
    </row>
    <row r="5225" spans="1:8" x14ac:dyDescent="0.3">
      <c r="A5225" s="400"/>
      <c r="B5225" s="709">
        <v>105217</v>
      </c>
      <c r="C5225" s="710" t="s">
        <v>4514</v>
      </c>
      <c r="D5225" s="709" t="s">
        <v>136</v>
      </c>
      <c r="E5225" s="716">
        <v>54.33</v>
      </c>
      <c r="F5225" s="717">
        <v>0</v>
      </c>
      <c r="G5225">
        <f>VLOOKUP(B5225,'SINAPI-%MO'!B:E,4,0)</f>
        <v>5.5800000000000002E-2</v>
      </c>
      <c r="H5225" s="225">
        <f t="shared" si="81"/>
        <v>51.29</v>
      </c>
    </row>
    <row r="5226" spans="1:8" x14ac:dyDescent="0.3">
      <c r="A5226" s="400"/>
      <c r="B5226" s="709">
        <v>105214</v>
      </c>
      <c r="C5226" s="710" t="s">
        <v>4515</v>
      </c>
      <c r="D5226" s="709" t="s">
        <v>136</v>
      </c>
      <c r="E5226" s="716">
        <v>56.43</v>
      </c>
      <c r="F5226" s="717">
        <v>0</v>
      </c>
      <c r="G5226">
        <f>VLOOKUP(B5226,'SINAPI-%MO'!B:E,4,0)</f>
        <v>7.5499999999999998E-2</v>
      </c>
      <c r="H5226" s="225">
        <f t="shared" si="81"/>
        <v>52.16</v>
      </c>
    </row>
    <row r="5227" spans="1:8" x14ac:dyDescent="0.3">
      <c r="A5227" s="400"/>
      <c r="B5227" s="709">
        <v>105218</v>
      </c>
      <c r="C5227" s="710" t="s">
        <v>4516</v>
      </c>
      <c r="D5227" s="709" t="s">
        <v>136</v>
      </c>
      <c r="E5227" s="716">
        <v>94.57</v>
      </c>
      <c r="F5227" s="717">
        <v>0</v>
      </c>
      <c r="G5227">
        <f>VLOOKUP(B5227,'SINAPI-%MO'!B:E,4,0)</f>
        <v>4.9099999999999998E-2</v>
      </c>
      <c r="H5227" s="225">
        <f t="shared" si="81"/>
        <v>89.92</v>
      </c>
    </row>
    <row r="5228" spans="1:8" x14ac:dyDescent="0.3">
      <c r="A5228" s="400"/>
      <c r="B5228" s="709">
        <v>105213</v>
      </c>
      <c r="C5228" s="710" t="s">
        <v>4517</v>
      </c>
      <c r="D5228" s="709" t="s">
        <v>136</v>
      </c>
      <c r="E5228" s="716">
        <v>245.85</v>
      </c>
      <c r="F5228" s="717">
        <v>0.90169999999999995</v>
      </c>
      <c r="G5228">
        <f>VLOOKUP(B5228,'SINAPI-%MO'!B:E,4,0)</f>
        <v>9.7299999999999998E-2</v>
      </c>
      <c r="H5228" s="225">
        <f t="shared" si="81"/>
        <v>221.92</v>
      </c>
    </row>
    <row r="5229" spans="1:8" x14ac:dyDescent="0.3">
      <c r="A5229" s="400"/>
      <c r="B5229" s="709">
        <v>105233</v>
      </c>
      <c r="C5229" s="710" t="s">
        <v>4518</v>
      </c>
      <c r="D5229" s="709" t="s">
        <v>136</v>
      </c>
      <c r="E5229" s="716">
        <v>9.4499999999999993</v>
      </c>
      <c r="F5229" s="717">
        <v>0</v>
      </c>
      <c r="G5229">
        <f>VLOOKUP(B5229,'SINAPI-%MO'!B:E,4,0)</f>
        <v>0.3196</v>
      </c>
      <c r="H5229" s="225">
        <f t="shared" si="81"/>
        <v>6.42</v>
      </c>
    </row>
    <row r="5230" spans="1:8" x14ac:dyDescent="0.3">
      <c r="A5230" s="400"/>
      <c r="B5230" s="709">
        <v>105234</v>
      </c>
      <c r="C5230" s="710" t="s">
        <v>4519</v>
      </c>
      <c r="D5230" s="709" t="s">
        <v>136</v>
      </c>
      <c r="E5230" s="716">
        <v>11.54</v>
      </c>
      <c r="F5230" s="717">
        <v>0</v>
      </c>
      <c r="G5230">
        <f>VLOOKUP(B5230,'SINAPI-%MO'!B:E,4,0)</f>
        <v>0.3276</v>
      </c>
      <c r="H5230" s="225">
        <f t="shared" si="81"/>
        <v>7.75</v>
      </c>
    </row>
    <row r="5231" spans="1:8" x14ac:dyDescent="0.3">
      <c r="A5231" s="400"/>
      <c r="B5231" s="709">
        <v>105228</v>
      </c>
      <c r="C5231" s="710" t="s">
        <v>4520</v>
      </c>
      <c r="D5231" s="709" t="s">
        <v>136</v>
      </c>
      <c r="E5231" s="716">
        <v>13.94</v>
      </c>
      <c r="F5231" s="717">
        <v>0</v>
      </c>
      <c r="G5231">
        <f>VLOOKUP(B5231,'SINAPI-%MO'!B:E,4,0)</f>
        <v>0.29559999999999997</v>
      </c>
      <c r="H5231" s="225">
        <f t="shared" si="81"/>
        <v>9.81</v>
      </c>
    </row>
    <row r="5232" spans="1:8" x14ac:dyDescent="0.3">
      <c r="A5232" s="400"/>
      <c r="B5232" s="709">
        <v>105138</v>
      </c>
      <c r="C5232" s="710" t="s">
        <v>4521</v>
      </c>
      <c r="D5232" s="709" t="s">
        <v>136</v>
      </c>
      <c r="E5232" s="716">
        <v>20.399999999999999</v>
      </c>
      <c r="F5232" s="717">
        <v>0</v>
      </c>
      <c r="G5232">
        <f>VLOOKUP(B5232,'SINAPI-%MO'!B:E,4,0)</f>
        <v>0.23039999999999999</v>
      </c>
      <c r="H5232" s="225">
        <f t="shared" si="81"/>
        <v>15.69</v>
      </c>
    </row>
    <row r="5233" spans="1:8" x14ac:dyDescent="0.3">
      <c r="A5233" s="400"/>
      <c r="B5233" s="709">
        <v>105139</v>
      </c>
      <c r="C5233" s="710" t="s">
        <v>4522</v>
      </c>
      <c r="D5233" s="709" t="s">
        <v>136</v>
      </c>
      <c r="E5233" s="716">
        <v>24.02</v>
      </c>
      <c r="F5233" s="717">
        <v>0</v>
      </c>
      <c r="G5233">
        <f>VLOOKUP(B5233,'SINAPI-%MO'!B:E,4,0)</f>
        <v>0.2102</v>
      </c>
      <c r="H5233" s="225">
        <f t="shared" si="81"/>
        <v>18.97</v>
      </c>
    </row>
    <row r="5234" spans="1:8" x14ac:dyDescent="0.3">
      <c r="A5234" s="400"/>
      <c r="B5234" s="709">
        <v>105140</v>
      </c>
      <c r="C5234" s="710" t="s">
        <v>4523</v>
      </c>
      <c r="D5234" s="709" t="s">
        <v>136</v>
      </c>
      <c r="E5234" s="716">
        <v>30.89</v>
      </c>
      <c r="F5234" s="717">
        <v>0</v>
      </c>
      <c r="G5234">
        <f>VLOOKUP(B5234,'SINAPI-%MO'!B:E,4,0)</f>
        <v>0.2036</v>
      </c>
      <c r="H5234" s="225">
        <f t="shared" si="81"/>
        <v>24.6</v>
      </c>
    </row>
    <row r="5235" spans="1:8" x14ac:dyDescent="0.3">
      <c r="A5235" s="400"/>
      <c r="B5235" s="709">
        <v>105141</v>
      </c>
      <c r="C5235" s="710" t="s">
        <v>4524</v>
      </c>
      <c r="D5235" s="709" t="s">
        <v>136</v>
      </c>
      <c r="E5235" s="716">
        <v>36.729999999999997</v>
      </c>
      <c r="F5235" s="717">
        <v>0</v>
      </c>
      <c r="G5235">
        <f>VLOOKUP(B5235,'SINAPI-%MO'!B:E,4,0)</f>
        <v>0.2175</v>
      </c>
      <c r="H5235" s="225">
        <f t="shared" si="81"/>
        <v>28.74</v>
      </c>
    </row>
    <row r="5236" spans="1:8" x14ac:dyDescent="0.3">
      <c r="A5236" s="400"/>
      <c r="B5236" s="709">
        <v>105172</v>
      </c>
      <c r="C5236" s="710" t="s">
        <v>4525</v>
      </c>
      <c r="D5236" s="709" t="s">
        <v>136</v>
      </c>
      <c r="E5236" s="716">
        <v>74.55</v>
      </c>
      <c r="F5236" s="717">
        <v>0</v>
      </c>
      <c r="G5236">
        <f>VLOOKUP(B5236,'SINAPI-%MO'!B:E,4,0)</f>
        <v>0.28720000000000001</v>
      </c>
      <c r="H5236" s="225">
        <f t="shared" si="81"/>
        <v>53.13</v>
      </c>
    </row>
    <row r="5237" spans="1:8" x14ac:dyDescent="0.3">
      <c r="A5237" s="400"/>
      <c r="B5237" s="709">
        <v>105169</v>
      </c>
      <c r="C5237" s="710" t="s">
        <v>4526</v>
      </c>
      <c r="D5237" s="709" t="s">
        <v>136</v>
      </c>
      <c r="E5237" s="716">
        <v>74.930000000000007</v>
      </c>
      <c r="F5237" s="717">
        <v>0</v>
      </c>
      <c r="G5237">
        <f>VLOOKUP(B5237,'SINAPI-%MO'!B:E,4,0)</f>
        <v>0.30590000000000001</v>
      </c>
      <c r="H5237" s="225">
        <f t="shared" si="81"/>
        <v>52</v>
      </c>
    </row>
    <row r="5238" spans="1:8" x14ac:dyDescent="0.3">
      <c r="A5238" s="400"/>
      <c r="B5238" s="709">
        <v>105230</v>
      </c>
      <c r="C5238" s="710" t="s">
        <v>4527</v>
      </c>
      <c r="D5238" s="709" t="s">
        <v>136</v>
      </c>
      <c r="E5238" s="716">
        <v>8.43</v>
      </c>
      <c r="F5238" s="717">
        <v>0</v>
      </c>
      <c r="G5238">
        <f>VLOOKUP(B5238,'SINAPI-%MO'!B:E,4,0)</f>
        <v>0.47920000000000001</v>
      </c>
      <c r="H5238" s="225">
        <f t="shared" si="81"/>
        <v>4.3899999999999997</v>
      </c>
    </row>
    <row r="5239" spans="1:8" x14ac:dyDescent="0.3">
      <c r="A5239" s="400"/>
      <c r="B5239" s="709">
        <v>105231</v>
      </c>
      <c r="C5239" s="710" t="s">
        <v>4528</v>
      </c>
      <c r="D5239" s="709" t="s">
        <v>136</v>
      </c>
      <c r="E5239" s="716">
        <v>9.91</v>
      </c>
      <c r="F5239" s="717">
        <v>0</v>
      </c>
      <c r="G5239">
        <f>VLOOKUP(B5239,'SINAPI-%MO'!B:E,4,0)</f>
        <v>0.4612</v>
      </c>
      <c r="H5239" s="225">
        <f t="shared" si="81"/>
        <v>5.33</v>
      </c>
    </row>
    <row r="5240" spans="1:8" x14ac:dyDescent="0.3">
      <c r="A5240" s="400"/>
      <c r="B5240" s="709">
        <v>105232</v>
      </c>
      <c r="C5240" s="710" t="s">
        <v>4529</v>
      </c>
      <c r="D5240" s="709" t="s">
        <v>136</v>
      </c>
      <c r="E5240" s="716">
        <v>18.88</v>
      </c>
      <c r="F5240" s="717">
        <v>0</v>
      </c>
      <c r="G5240">
        <f>VLOOKUP(B5240,'SINAPI-%MO'!B:E,4,0)</f>
        <v>0.26750000000000002</v>
      </c>
      <c r="H5240" s="225">
        <f t="shared" si="81"/>
        <v>13.82</v>
      </c>
    </row>
    <row r="5241" spans="1:8" x14ac:dyDescent="0.3">
      <c r="A5241" s="400"/>
      <c r="B5241" s="709">
        <v>105229</v>
      </c>
      <c r="C5241" s="710" t="s">
        <v>4530</v>
      </c>
      <c r="D5241" s="709" t="s">
        <v>136</v>
      </c>
      <c r="E5241" s="716">
        <v>29.92</v>
      </c>
      <c r="F5241" s="717">
        <v>0</v>
      </c>
      <c r="G5241">
        <f>VLOOKUP(B5241,'SINAPI-%MO'!B:E,4,0)</f>
        <v>0.19450000000000001</v>
      </c>
      <c r="H5241" s="225">
        <f t="shared" si="81"/>
        <v>24.1</v>
      </c>
    </row>
    <row r="5242" spans="1:8" x14ac:dyDescent="0.3">
      <c r="A5242" s="400"/>
      <c r="B5242" s="709">
        <v>105146</v>
      </c>
      <c r="C5242" s="710" t="s">
        <v>4531</v>
      </c>
      <c r="D5242" s="709" t="s">
        <v>136</v>
      </c>
      <c r="E5242" s="716">
        <v>24.17</v>
      </c>
      <c r="F5242" s="717">
        <v>0</v>
      </c>
      <c r="G5242">
        <f>VLOOKUP(B5242,'SINAPI-%MO'!B:E,4,0)</f>
        <v>0.25440000000000002</v>
      </c>
      <c r="H5242" s="225">
        <f t="shared" si="81"/>
        <v>18.02</v>
      </c>
    </row>
    <row r="5243" spans="1:8" x14ac:dyDescent="0.3">
      <c r="A5243" s="400"/>
      <c r="B5243" s="709">
        <v>94613</v>
      </c>
      <c r="C5243" s="710" t="s">
        <v>4532</v>
      </c>
      <c r="D5243" s="709" t="s">
        <v>136</v>
      </c>
      <c r="E5243" s="716">
        <v>0</v>
      </c>
      <c r="F5243" s="717"/>
      <c r="G5243" t="e">
        <f>VLOOKUP(B5243,'SINAPI-%MO'!B:E,4,0)</f>
        <v>#N/A</v>
      </c>
      <c r="H5243" s="225" t="str">
        <f t="shared" si="81"/>
        <v/>
      </c>
    </row>
    <row r="5244" spans="1:8" x14ac:dyDescent="0.3">
      <c r="A5244" s="400"/>
      <c r="B5244" s="709">
        <v>94607</v>
      </c>
      <c r="C5244" s="710" t="s">
        <v>4533</v>
      </c>
      <c r="D5244" s="709" t="s">
        <v>136</v>
      </c>
      <c r="E5244" s="716">
        <v>0</v>
      </c>
      <c r="F5244" s="717"/>
      <c r="G5244" t="e">
        <f>VLOOKUP(B5244,'SINAPI-%MO'!B:E,4,0)</f>
        <v>#N/A</v>
      </c>
      <c r="H5244" s="225" t="str">
        <f t="shared" si="81"/>
        <v/>
      </c>
    </row>
    <row r="5245" spans="1:8" x14ac:dyDescent="0.3">
      <c r="A5245" s="400"/>
      <c r="B5245" s="709">
        <v>94609</v>
      </c>
      <c r="C5245" s="710" t="s">
        <v>4534</v>
      </c>
      <c r="D5245" s="709" t="s">
        <v>136</v>
      </c>
      <c r="E5245" s="716">
        <v>0</v>
      </c>
      <c r="F5245" s="717"/>
      <c r="G5245" t="e">
        <f>VLOOKUP(B5245,'SINAPI-%MO'!B:E,4,0)</f>
        <v>#N/A</v>
      </c>
      <c r="H5245" s="225" t="str">
        <f t="shared" si="81"/>
        <v/>
      </c>
    </row>
    <row r="5246" spans="1:8" x14ac:dyDescent="0.3">
      <c r="A5246" s="400"/>
      <c r="B5246" s="709">
        <v>94611</v>
      </c>
      <c r="C5246" s="710" t="s">
        <v>4535</v>
      </c>
      <c r="D5246" s="709" t="s">
        <v>136</v>
      </c>
      <c r="E5246" s="716">
        <v>0</v>
      </c>
      <c r="F5246" s="717"/>
      <c r="G5246" t="e">
        <f>VLOOKUP(B5246,'SINAPI-%MO'!B:E,4,0)</f>
        <v>#N/A</v>
      </c>
      <c r="H5246" s="225" t="str">
        <f t="shared" si="81"/>
        <v/>
      </c>
    </row>
    <row r="5247" spans="1:8" x14ac:dyDescent="0.3">
      <c r="A5247" s="400"/>
      <c r="B5247" s="709">
        <v>96738</v>
      </c>
      <c r="C5247" s="710" t="s">
        <v>4536</v>
      </c>
      <c r="D5247" s="709" t="s">
        <v>136</v>
      </c>
      <c r="E5247" s="716">
        <v>25.03</v>
      </c>
      <c r="F5247" s="717">
        <v>0</v>
      </c>
      <c r="G5247">
        <f>VLOOKUP(B5247,'SINAPI-%MO'!B:E,4,0)</f>
        <v>0.16900000000000001</v>
      </c>
      <c r="H5247" s="225">
        <f t="shared" si="81"/>
        <v>20.79</v>
      </c>
    </row>
    <row r="5248" spans="1:8" x14ac:dyDescent="0.3">
      <c r="A5248" s="400"/>
      <c r="B5248" s="709">
        <v>96740</v>
      </c>
      <c r="C5248" s="710" t="s">
        <v>4537</v>
      </c>
      <c r="D5248" s="709" t="s">
        <v>136</v>
      </c>
      <c r="E5248" s="716">
        <v>34.65</v>
      </c>
      <c r="F5248" s="717">
        <v>0</v>
      </c>
      <c r="G5248">
        <f>VLOOKUP(B5248,'SINAPI-%MO'!B:E,4,0)</f>
        <v>0.1414</v>
      </c>
      <c r="H5248" s="225">
        <f t="shared" si="81"/>
        <v>29.75</v>
      </c>
    </row>
    <row r="5249" spans="1:8" x14ac:dyDescent="0.3">
      <c r="A5249" s="400"/>
      <c r="B5249" s="709">
        <v>94738</v>
      </c>
      <c r="C5249" s="710" t="s">
        <v>4538</v>
      </c>
      <c r="D5249" s="709" t="s">
        <v>136</v>
      </c>
      <c r="E5249" s="716">
        <v>2290.7399999999998</v>
      </c>
      <c r="F5249" s="717">
        <v>0</v>
      </c>
      <c r="G5249">
        <f>VLOOKUP(B5249,'SINAPI-%MO'!B:E,4,0)</f>
        <v>1.01E-2</v>
      </c>
      <c r="H5249" s="225">
        <f t="shared" si="81"/>
        <v>2267.6</v>
      </c>
    </row>
    <row r="5250" spans="1:8" x14ac:dyDescent="0.3">
      <c r="A5250" s="400"/>
      <c r="B5250" s="709">
        <v>94724</v>
      </c>
      <c r="C5250" s="710" t="s">
        <v>4539</v>
      </c>
      <c r="D5250" s="709" t="s">
        <v>136</v>
      </c>
      <c r="E5250" s="716">
        <v>35.700000000000003</v>
      </c>
      <c r="F5250" s="717">
        <v>0</v>
      </c>
      <c r="G5250">
        <f>VLOOKUP(B5250,'SINAPI-%MO'!B:E,4,0)</f>
        <v>5.4899999999999997E-2</v>
      </c>
      <c r="H5250" s="225">
        <f t="shared" si="81"/>
        <v>33.74</v>
      </c>
    </row>
    <row r="5251" spans="1:8" x14ac:dyDescent="0.3">
      <c r="A5251" s="400"/>
      <c r="B5251" s="709">
        <v>94726</v>
      </c>
      <c r="C5251" s="710" t="s">
        <v>4540</v>
      </c>
      <c r="D5251" s="709" t="s">
        <v>136</v>
      </c>
      <c r="E5251" s="716">
        <v>46.02</v>
      </c>
      <c r="F5251" s="717">
        <v>0</v>
      </c>
      <c r="G5251">
        <f>VLOOKUP(B5251,'SINAPI-%MO'!B:E,4,0)</f>
        <v>5.3699999999999998E-2</v>
      </c>
      <c r="H5251" s="225">
        <f t="shared" si="81"/>
        <v>43.54</v>
      </c>
    </row>
    <row r="5252" spans="1:8" x14ac:dyDescent="0.3">
      <c r="A5252" s="400"/>
      <c r="B5252" s="709">
        <v>94728</v>
      </c>
      <c r="C5252" s="710" t="s">
        <v>4541</v>
      </c>
      <c r="D5252" s="709" t="s">
        <v>136</v>
      </c>
      <c r="E5252" s="716">
        <v>72.03</v>
      </c>
      <c r="F5252" s="717">
        <v>0</v>
      </c>
      <c r="G5252">
        <f>VLOOKUP(B5252,'SINAPI-%MO'!B:E,4,0)</f>
        <v>4.4600000000000001E-2</v>
      </c>
      <c r="H5252" s="225">
        <f t="shared" si="81"/>
        <v>68.81</v>
      </c>
    </row>
    <row r="5253" spans="1:8" x14ac:dyDescent="0.3">
      <c r="A5253" s="400"/>
      <c r="B5253" s="709">
        <v>94730</v>
      </c>
      <c r="C5253" s="710" t="s">
        <v>4542</v>
      </c>
      <c r="D5253" s="709" t="s">
        <v>136</v>
      </c>
      <c r="E5253" s="716">
        <v>88.3</v>
      </c>
      <c r="F5253" s="717">
        <v>0</v>
      </c>
      <c r="G5253">
        <f>VLOOKUP(B5253,'SINAPI-%MO'!B:E,4,0)</f>
        <v>4.6699999999999998E-2</v>
      </c>
      <c r="H5253" s="225">
        <f t="shared" si="81"/>
        <v>84.17</v>
      </c>
    </row>
    <row r="5254" spans="1:8" x14ac:dyDescent="0.3">
      <c r="A5254" s="400"/>
      <c r="B5254" s="709">
        <v>94732</v>
      </c>
      <c r="C5254" s="710" t="s">
        <v>4543</v>
      </c>
      <c r="D5254" s="709" t="s">
        <v>136</v>
      </c>
      <c r="E5254" s="716">
        <v>141.85</v>
      </c>
      <c r="F5254" s="717">
        <v>0</v>
      </c>
      <c r="G5254">
        <f>VLOOKUP(B5254,'SINAPI-%MO'!B:E,4,0)</f>
        <v>4.2700000000000002E-2</v>
      </c>
      <c r="H5254" s="225">
        <f t="shared" si="81"/>
        <v>135.79</v>
      </c>
    </row>
    <row r="5255" spans="1:8" x14ac:dyDescent="0.3">
      <c r="A5255" s="400"/>
      <c r="B5255" s="709">
        <v>94734</v>
      </c>
      <c r="C5255" s="710" t="s">
        <v>4544</v>
      </c>
      <c r="D5255" s="709" t="s">
        <v>136</v>
      </c>
      <c r="E5255" s="716">
        <v>521.61</v>
      </c>
      <c r="F5255" s="717">
        <v>0</v>
      </c>
      <c r="G5255">
        <f>VLOOKUP(B5255,'SINAPI-%MO'!B:E,4,0)</f>
        <v>1.9400000000000001E-2</v>
      </c>
      <c r="H5255" s="225">
        <f t="shared" si="81"/>
        <v>511.49</v>
      </c>
    </row>
    <row r="5256" spans="1:8" x14ac:dyDescent="0.3">
      <c r="A5256" s="400"/>
      <c r="B5256" s="709">
        <v>94736</v>
      </c>
      <c r="C5256" s="710" t="s">
        <v>4545</v>
      </c>
      <c r="D5256" s="709" t="s">
        <v>136</v>
      </c>
      <c r="E5256" s="716">
        <v>758.37</v>
      </c>
      <c r="F5256" s="717">
        <v>0</v>
      </c>
      <c r="G5256">
        <f>VLOOKUP(B5256,'SINAPI-%MO'!B:E,4,0)</f>
        <v>1.9099999999999999E-2</v>
      </c>
      <c r="H5256" s="225">
        <f t="shared" si="81"/>
        <v>743.88</v>
      </c>
    </row>
    <row r="5257" spans="1:8" x14ac:dyDescent="0.3">
      <c r="A5257" s="400"/>
      <c r="B5257" s="709">
        <v>94483</v>
      </c>
      <c r="C5257" s="710" t="s">
        <v>4546</v>
      </c>
      <c r="D5257" s="709" t="s">
        <v>136</v>
      </c>
      <c r="E5257" s="716">
        <v>1343.17</v>
      </c>
      <c r="F5257" s="717">
        <v>0</v>
      </c>
      <c r="G5257">
        <f>VLOOKUP(B5257,'SINAPI-%MO'!B:E,4,0)</f>
        <v>0.37519999999999998</v>
      </c>
      <c r="H5257" s="225">
        <f t="shared" si="81"/>
        <v>839.21</v>
      </c>
    </row>
    <row r="5258" spans="1:8" x14ac:dyDescent="0.3">
      <c r="A5258" s="400"/>
      <c r="B5258" s="709">
        <v>94482</v>
      </c>
      <c r="C5258" s="710" t="s">
        <v>4547</v>
      </c>
      <c r="D5258" s="709" t="s">
        <v>136</v>
      </c>
      <c r="E5258" s="716">
        <v>1596.68</v>
      </c>
      <c r="F5258" s="717">
        <v>0</v>
      </c>
      <c r="G5258">
        <f>VLOOKUP(B5258,'SINAPI-%MO'!B:E,4,0)</f>
        <v>0.33040000000000003</v>
      </c>
      <c r="H5258" s="225">
        <f t="shared" si="81"/>
        <v>1069.1300000000001</v>
      </c>
    </row>
    <row r="5259" spans="1:8" x14ac:dyDescent="0.3">
      <c r="A5259" s="400"/>
      <c r="B5259" s="709">
        <v>94481</v>
      </c>
      <c r="C5259" s="710" t="s">
        <v>4548</v>
      </c>
      <c r="D5259" s="709" t="s">
        <v>136</v>
      </c>
      <c r="E5259" s="716">
        <v>2018.43</v>
      </c>
      <c r="F5259" s="717">
        <v>0</v>
      </c>
      <c r="G5259">
        <f>VLOOKUP(B5259,'SINAPI-%MO'!B:E,4,0)</f>
        <v>0.27560000000000001</v>
      </c>
      <c r="H5259" s="225">
        <f t="shared" ref="H5259:H5322" si="82">IF(E5259&gt;0,TRUNC(E5259*(1-G5259),2),"")</f>
        <v>1462.15</v>
      </c>
    </row>
    <row r="5260" spans="1:8" x14ac:dyDescent="0.3">
      <c r="A5260" s="400"/>
      <c r="B5260" s="709">
        <v>94480</v>
      </c>
      <c r="C5260" s="710" t="s">
        <v>4549</v>
      </c>
      <c r="D5260" s="709" t="s">
        <v>136</v>
      </c>
      <c r="E5260" s="716">
        <v>2873.87</v>
      </c>
      <c r="F5260" s="717">
        <v>0</v>
      </c>
      <c r="G5260">
        <f>VLOOKUP(B5260,'SINAPI-%MO'!B:E,4,0)</f>
        <v>0.2074</v>
      </c>
      <c r="H5260" s="225">
        <f t="shared" si="82"/>
        <v>2277.8200000000002</v>
      </c>
    </row>
    <row r="5261" spans="1:8" x14ac:dyDescent="0.3">
      <c r="A5261" s="400"/>
      <c r="B5261" s="709">
        <v>94472</v>
      </c>
      <c r="C5261" s="710" t="s">
        <v>4550</v>
      </c>
      <c r="D5261" s="709" t="s">
        <v>136</v>
      </c>
      <c r="E5261" s="716">
        <v>69.09</v>
      </c>
      <c r="F5261" s="717">
        <v>0</v>
      </c>
      <c r="G5261">
        <f>VLOOKUP(B5261,'SINAPI-%MO'!B:E,4,0)</f>
        <v>0.39079999999999998</v>
      </c>
      <c r="H5261" s="225">
        <f t="shared" si="82"/>
        <v>42.08</v>
      </c>
    </row>
    <row r="5262" spans="1:8" x14ac:dyDescent="0.3">
      <c r="A5262" s="400"/>
      <c r="B5262" s="709">
        <v>94474</v>
      </c>
      <c r="C5262" s="710" t="s">
        <v>4551</v>
      </c>
      <c r="D5262" s="709" t="s">
        <v>136</v>
      </c>
      <c r="E5262" s="716">
        <v>112.49</v>
      </c>
      <c r="F5262" s="717">
        <v>0</v>
      </c>
      <c r="G5262">
        <f>VLOOKUP(B5262,'SINAPI-%MO'!B:E,4,0)</f>
        <v>0.28039999999999998</v>
      </c>
      <c r="H5262" s="225">
        <f t="shared" si="82"/>
        <v>80.94</v>
      </c>
    </row>
    <row r="5263" spans="1:8" x14ac:dyDescent="0.3">
      <c r="A5263" s="400"/>
      <c r="B5263" s="709">
        <v>94476</v>
      </c>
      <c r="C5263" s="710" t="s">
        <v>4552</v>
      </c>
      <c r="D5263" s="709" t="s">
        <v>136</v>
      </c>
      <c r="E5263" s="716">
        <v>155.33000000000001</v>
      </c>
      <c r="F5263" s="717">
        <v>0</v>
      </c>
      <c r="G5263">
        <f>VLOOKUP(B5263,'SINAPI-%MO'!B:E,4,0)</f>
        <v>0.2397</v>
      </c>
      <c r="H5263" s="225">
        <f t="shared" si="82"/>
        <v>118.09</v>
      </c>
    </row>
    <row r="5264" spans="1:8" x14ac:dyDescent="0.3">
      <c r="A5264" s="400"/>
      <c r="B5264" s="709">
        <v>94471</v>
      </c>
      <c r="C5264" s="710" t="s">
        <v>4553</v>
      </c>
      <c r="D5264" s="709" t="s">
        <v>136</v>
      </c>
      <c r="E5264" s="716">
        <v>67.27</v>
      </c>
      <c r="F5264" s="717">
        <v>0</v>
      </c>
      <c r="G5264">
        <f>VLOOKUP(B5264,'SINAPI-%MO'!B:E,4,0)</f>
        <v>0.40139999999999998</v>
      </c>
      <c r="H5264" s="225">
        <f t="shared" si="82"/>
        <v>40.26</v>
      </c>
    </row>
    <row r="5265" spans="1:8" x14ac:dyDescent="0.3">
      <c r="A5265" s="400"/>
      <c r="B5265" s="709">
        <v>94473</v>
      </c>
      <c r="C5265" s="710" t="s">
        <v>4554</v>
      </c>
      <c r="D5265" s="709" t="s">
        <v>136</v>
      </c>
      <c r="E5265" s="716">
        <v>104.5</v>
      </c>
      <c r="F5265" s="717">
        <v>0</v>
      </c>
      <c r="G5265">
        <f>VLOOKUP(B5265,'SINAPI-%MO'!B:E,4,0)</f>
        <v>0.30180000000000001</v>
      </c>
      <c r="H5265" s="225">
        <f t="shared" si="82"/>
        <v>72.959999999999994</v>
      </c>
    </row>
    <row r="5266" spans="1:8" x14ac:dyDescent="0.3">
      <c r="A5266" s="400"/>
      <c r="B5266" s="709">
        <v>94475</v>
      </c>
      <c r="C5266" s="710" t="s">
        <v>4555</v>
      </c>
      <c r="D5266" s="709" t="s">
        <v>136</v>
      </c>
      <c r="E5266" s="716">
        <v>139.93</v>
      </c>
      <c r="F5266" s="717">
        <v>0</v>
      </c>
      <c r="G5266">
        <f>VLOOKUP(B5266,'SINAPI-%MO'!B:E,4,0)</f>
        <v>0.2661</v>
      </c>
      <c r="H5266" s="225">
        <f t="shared" si="82"/>
        <v>102.69</v>
      </c>
    </row>
    <row r="5267" spans="1:8" x14ac:dyDescent="0.3">
      <c r="A5267" s="400"/>
      <c r="B5267" s="709">
        <v>105194</v>
      </c>
      <c r="C5267" s="710" t="s">
        <v>4556</v>
      </c>
      <c r="D5267" s="709" t="s">
        <v>136</v>
      </c>
      <c r="E5267" s="716">
        <v>74.069999999999993</v>
      </c>
      <c r="F5267" s="717">
        <v>0</v>
      </c>
      <c r="G5267">
        <f>VLOOKUP(B5267,'SINAPI-%MO'!B:E,4,0)</f>
        <v>0.36449999999999999</v>
      </c>
      <c r="H5267" s="225">
        <f t="shared" si="82"/>
        <v>47.07</v>
      </c>
    </row>
    <row r="5268" spans="1:8" x14ac:dyDescent="0.3">
      <c r="A5268" s="400"/>
      <c r="B5268" s="709">
        <v>105195</v>
      </c>
      <c r="C5268" s="710" t="s">
        <v>4557</v>
      </c>
      <c r="D5268" s="709" t="s">
        <v>136</v>
      </c>
      <c r="E5268" s="716">
        <v>181.28</v>
      </c>
      <c r="F5268" s="717">
        <v>0</v>
      </c>
      <c r="G5268">
        <f>VLOOKUP(B5268,'SINAPI-%MO'!B:E,4,0)</f>
        <v>0.2054</v>
      </c>
      <c r="H5268" s="225">
        <f t="shared" si="82"/>
        <v>144.04</v>
      </c>
    </row>
    <row r="5269" spans="1:8" x14ac:dyDescent="0.3">
      <c r="A5269" s="400"/>
      <c r="B5269" s="709">
        <v>105178</v>
      </c>
      <c r="C5269" s="710" t="s">
        <v>4558</v>
      </c>
      <c r="D5269" s="709" t="s">
        <v>136</v>
      </c>
      <c r="E5269" s="716">
        <v>115.63</v>
      </c>
      <c r="F5269" s="717">
        <v>0</v>
      </c>
      <c r="G5269">
        <f>VLOOKUP(B5269,'SINAPI-%MO'!B:E,4,0)</f>
        <v>0.25319999999999998</v>
      </c>
      <c r="H5269" s="225">
        <f t="shared" si="82"/>
        <v>86.35</v>
      </c>
    </row>
    <row r="5270" spans="1:8" x14ac:dyDescent="0.3">
      <c r="A5270" s="400"/>
      <c r="B5270" s="709">
        <v>94620</v>
      </c>
      <c r="C5270" s="710" t="s">
        <v>4559</v>
      </c>
      <c r="D5270" s="709" t="s">
        <v>136</v>
      </c>
      <c r="E5270" s="716">
        <v>1149.25</v>
      </c>
      <c r="F5270" s="717">
        <v>0.9637</v>
      </c>
      <c r="G5270">
        <f>VLOOKUP(B5270,'SINAPI-%MO'!B:E,4,0)</f>
        <v>3.61E-2</v>
      </c>
      <c r="H5270" s="225">
        <f t="shared" si="82"/>
        <v>1107.76</v>
      </c>
    </row>
    <row r="5271" spans="1:8" x14ac:dyDescent="0.3">
      <c r="A5271" s="400"/>
      <c r="B5271" s="709">
        <v>94614</v>
      </c>
      <c r="C5271" s="710" t="s">
        <v>4560</v>
      </c>
      <c r="D5271" s="709" t="s">
        <v>136</v>
      </c>
      <c r="E5271" s="716">
        <v>177.37</v>
      </c>
      <c r="F5271" s="717">
        <v>0.80059999999999998</v>
      </c>
      <c r="G5271">
        <f>VLOOKUP(B5271,'SINAPI-%MO'!B:E,4,0)</f>
        <v>0.1981</v>
      </c>
      <c r="H5271" s="225">
        <f t="shared" si="82"/>
        <v>142.22999999999999</v>
      </c>
    </row>
    <row r="5272" spans="1:8" x14ac:dyDescent="0.3">
      <c r="A5272" s="400"/>
      <c r="B5272" s="709">
        <v>94616</v>
      </c>
      <c r="C5272" s="710" t="s">
        <v>4561</v>
      </c>
      <c r="D5272" s="709" t="s">
        <v>136</v>
      </c>
      <c r="E5272" s="716">
        <v>508.9</v>
      </c>
      <c r="F5272" s="717">
        <v>0.92749999999999999</v>
      </c>
      <c r="G5272">
        <f>VLOOKUP(B5272,'SINAPI-%MO'!B:E,4,0)</f>
        <v>7.1999999999999995E-2</v>
      </c>
      <c r="H5272" s="225">
        <f t="shared" si="82"/>
        <v>472.25</v>
      </c>
    </row>
    <row r="5273" spans="1:8" x14ac:dyDescent="0.3">
      <c r="A5273" s="400"/>
      <c r="B5273" s="709">
        <v>94618</v>
      </c>
      <c r="C5273" s="710" t="s">
        <v>4562</v>
      </c>
      <c r="D5273" s="709" t="s">
        <v>136</v>
      </c>
      <c r="E5273" s="716">
        <v>494.13</v>
      </c>
      <c r="F5273" s="717">
        <v>0.92200000000000004</v>
      </c>
      <c r="G5273">
        <f>VLOOKUP(B5273,'SINAPI-%MO'!B:E,4,0)</f>
        <v>7.7499999999999999E-2</v>
      </c>
      <c r="H5273" s="225">
        <f t="shared" si="82"/>
        <v>455.83</v>
      </c>
    </row>
    <row r="5274" spans="1:8" x14ac:dyDescent="0.3">
      <c r="A5274" s="400"/>
      <c r="B5274" s="709">
        <v>105193</v>
      </c>
      <c r="C5274" s="710" t="s">
        <v>4563</v>
      </c>
      <c r="D5274" s="709" t="s">
        <v>136</v>
      </c>
      <c r="E5274" s="716">
        <v>126.44</v>
      </c>
      <c r="F5274" s="717">
        <v>0</v>
      </c>
      <c r="G5274">
        <f>VLOOKUP(B5274,'SINAPI-%MO'!B:E,4,0)</f>
        <v>0.24940000000000001</v>
      </c>
      <c r="H5274" s="225">
        <f t="shared" si="82"/>
        <v>94.9</v>
      </c>
    </row>
    <row r="5275" spans="1:8" x14ac:dyDescent="0.3">
      <c r="A5275" s="400"/>
      <c r="B5275" s="709">
        <v>105197</v>
      </c>
      <c r="C5275" s="710" t="s">
        <v>4564</v>
      </c>
      <c r="D5275" s="709" t="s">
        <v>136</v>
      </c>
      <c r="E5275" s="716">
        <v>133.19</v>
      </c>
      <c r="F5275" s="717">
        <v>0</v>
      </c>
      <c r="G5275">
        <f>VLOOKUP(B5275,'SINAPI-%MO'!B:E,4,0)</f>
        <v>0.20269999999999999</v>
      </c>
      <c r="H5275" s="225">
        <f t="shared" si="82"/>
        <v>106.19</v>
      </c>
    </row>
    <row r="5276" spans="1:8" x14ac:dyDescent="0.3">
      <c r="A5276" s="400"/>
      <c r="B5276" s="709">
        <v>105196</v>
      </c>
      <c r="C5276" s="710" t="s">
        <v>4565</v>
      </c>
      <c r="D5276" s="709" t="s">
        <v>136</v>
      </c>
      <c r="E5276" s="716">
        <v>191.38</v>
      </c>
      <c r="F5276" s="717">
        <v>0</v>
      </c>
      <c r="G5276">
        <f>VLOOKUP(B5276,'SINAPI-%MO'!B:E,4,0)</f>
        <v>0.1648</v>
      </c>
      <c r="H5276" s="225">
        <f t="shared" si="82"/>
        <v>159.84</v>
      </c>
    </row>
    <row r="5277" spans="1:8" x14ac:dyDescent="0.3">
      <c r="A5277" s="400"/>
      <c r="B5277" s="709">
        <v>105198</v>
      </c>
      <c r="C5277" s="710" t="s">
        <v>4566</v>
      </c>
      <c r="D5277" s="709" t="s">
        <v>136</v>
      </c>
      <c r="E5277" s="716">
        <v>269.45</v>
      </c>
      <c r="F5277" s="717">
        <v>0</v>
      </c>
      <c r="G5277">
        <f>VLOOKUP(B5277,'SINAPI-%MO'!B:E,4,0)</f>
        <v>0.13819999999999999</v>
      </c>
      <c r="H5277" s="225">
        <f t="shared" si="82"/>
        <v>232.21</v>
      </c>
    </row>
    <row r="5278" spans="1:8" x14ac:dyDescent="0.3">
      <c r="A5278" s="400"/>
      <c r="B5278" s="709">
        <v>105200</v>
      </c>
      <c r="C5278" s="710" t="s">
        <v>4567</v>
      </c>
      <c r="D5278" s="709" t="s">
        <v>136</v>
      </c>
      <c r="E5278" s="716">
        <v>106.58</v>
      </c>
      <c r="F5278" s="717">
        <v>0</v>
      </c>
      <c r="G5278">
        <f>VLOOKUP(B5278,'SINAPI-%MO'!B:E,4,0)</f>
        <v>0.25330000000000003</v>
      </c>
      <c r="H5278" s="225">
        <f t="shared" si="82"/>
        <v>79.58</v>
      </c>
    </row>
    <row r="5279" spans="1:8" x14ac:dyDescent="0.3">
      <c r="A5279" s="400"/>
      <c r="B5279" s="709">
        <v>105199</v>
      </c>
      <c r="C5279" s="710" t="s">
        <v>4568</v>
      </c>
      <c r="D5279" s="709" t="s">
        <v>136</v>
      </c>
      <c r="E5279" s="716">
        <v>174.7</v>
      </c>
      <c r="F5279" s="717">
        <v>0</v>
      </c>
      <c r="G5279">
        <f>VLOOKUP(B5279,'SINAPI-%MO'!B:E,4,0)</f>
        <v>0.18049999999999999</v>
      </c>
      <c r="H5279" s="225">
        <f t="shared" si="82"/>
        <v>143.16</v>
      </c>
    </row>
    <row r="5280" spans="1:8" x14ac:dyDescent="0.3">
      <c r="A5280" s="400"/>
      <c r="B5280" s="709">
        <v>105201</v>
      </c>
      <c r="C5280" s="710" t="s">
        <v>4569</v>
      </c>
      <c r="D5280" s="709" t="s">
        <v>136</v>
      </c>
      <c r="E5280" s="716">
        <v>237.49</v>
      </c>
      <c r="F5280" s="717">
        <v>0</v>
      </c>
      <c r="G5280">
        <f>VLOOKUP(B5280,'SINAPI-%MO'!B:E,4,0)</f>
        <v>0.15679999999999999</v>
      </c>
      <c r="H5280" s="225">
        <f t="shared" si="82"/>
        <v>200.25</v>
      </c>
    </row>
    <row r="5281" spans="1:8" x14ac:dyDescent="0.3">
      <c r="A5281" s="400"/>
      <c r="B5281" s="709">
        <v>94755</v>
      </c>
      <c r="C5281" s="710" t="s">
        <v>4570</v>
      </c>
      <c r="D5281" s="709" t="s">
        <v>136</v>
      </c>
      <c r="E5281" s="716">
        <v>0</v>
      </c>
      <c r="F5281" s="717"/>
      <c r="G5281" t="e">
        <f>VLOOKUP(B5281,'SINAPI-%MO'!B:E,4,0)</f>
        <v>#N/A</v>
      </c>
      <c r="H5281" s="225" t="str">
        <f t="shared" si="82"/>
        <v/>
      </c>
    </row>
    <row r="5282" spans="1:8" x14ac:dyDescent="0.3">
      <c r="A5282" s="400"/>
      <c r="B5282" s="709">
        <v>94741</v>
      </c>
      <c r="C5282" s="710" t="s">
        <v>4571</v>
      </c>
      <c r="D5282" s="709" t="s">
        <v>136</v>
      </c>
      <c r="E5282" s="716">
        <v>16.850000000000001</v>
      </c>
      <c r="F5282" s="717">
        <v>0</v>
      </c>
      <c r="G5282">
        <f>VLOOKUP(B5282,'SINAPI-%MO'!B:E,4,0)</f>
        <v>0.17449999999999999</v>
      </c>
      <c r="H5282" s="225">
        <f t="shared" si="82"/>
        <v>13.9</v>
      </c>
    </row>
    <row r="5283" spans="1:8" x14ac:dyDescent="0.3">
      <c r="A5283" s="400"/>
      <c r="B5283" s="709">
        <v>94743</v>
      </c>
      <c r="C5283" s="710" t="s">
        <v>4572</v>
      </c>
      <c r="D5283" s="709" t="s">
        <v>136</v>
      </c>
      <c r="E5283" s="716">
        <v>27.89</v>
      </c>
      <c r="F5283" s="717">
        <v>0</v>
      </c>
      <c r="G5283">
        <f>VLOOKUP(B5283,'SINAPI-%MO'!B:E,4,0)</f>
        <v>0.13270000000000001</v>
      </c>
      <c r="H5283" s="225">
        <f t="shared" si="82"/>
        <v>24.18</v>
      </c>
    </row>
    <row r="5284" spans="1:8" x14ac:dyDescent="0.3">
      <c r="A5284" s="400"/>
      <c r="B5284" s="709">
        <v>94745</v>
      </c>
      <c r="C5284" s="710" t="s">
        <v>4573</v>
      </c>
      <c r="D5284" s="709" t="s">
        <v>136</v>
      </c>
      <c r="E5284" s="716">
        <v>0</v>
      </c>
      <c r="F5284" s="717"/>
      <c r="G5284" t="e">
        <f>VLOOKUP(B5284,'SINAPI-%MO'!B:E,4,0)</f>
        <v>#N/A</v>
      </c>
      <c r="H5284" s="225" t="str">
        <f t="shared" si="82"/>
        <v/>
      </c>
    </row>
    <row r="5285" spans="1:8" x14ac:dyDescent="0.3">
      <c r="A5285" s="400"/>
      <c r="B5285" s="709">
        <v>94747</v>
      </c>
      <c r="C5285" s="710" t="s">
        <v>4574</v>
      </c>
      <c r="D5285" s="709" t="s">
        <v>136</v>
      </c>
      <c r="E5285" s="716">
        <v>0</v>
      </c>
      <c r="F5285" s="717"/>
      <c r="G5285" t="e">
        <f>VLOOKUP(B5285,'SINAPI-%MO'!B:E,4,0)</f>
        <v>#N/A</v>
      </c>
      <c r="H5285" s="225" t="str">
        <f t="shared" si="82"/>
        <v/>
      </c>
    </row>
    <row r="5286" spans="1:8" x14ac:dyDescent="0.3">
      <c r="A5286" s="400"/>
      <c r="B5286" s="709">
        <v>94749</v>
      </c>
      <c r="C5286" s="710" t="s">
        <v>4575</v>
      </c>
      <c r="D5286" s="709" t="s">
        <v>136</v>
      </c>
      <c r="E5286" s="716">
        <v>0</v>
      </c>
      <c r="F5286" s="717"/>
      <c r="G5286" t="e">
        <f>VLOOKUP(B5286,'SINAPI-%MO'!B:E,4,0)</f>
        <v>#N/A</v>
      </c>
      <c r="H5286" s="225" t="str">
        <f t="shared" si="82"/>
        <v/>
      </c>
    </row>
    <row r="5287" spans="1:8" x14ac:dyDescent="0.3">
      <c r="A5287" s="400"/>
      <c r="B5287" s="709">
        <v>94751</v>
      </c>
      <c r="C5287" s="710" t="s">
        <v>4576</v>
      </c>
      <c r="D5287" s="709" t="s">
        <v>136</v>
      </c>
      <c r="E5287" s="716">
        <v>0</v>
      </c>
      <c r="F5287" s="717"/>
      <c r="G5287" t="e">
        <f>VLOOKUP(B5287,'SINAPI-%MO'!B:E,4,0)</f>
        <v>#N/A</v>
      </c>
      <c r="H5287" s="225" t="str">
        <f t="shared" si="82"/>
        <v/>
      </c>
    </row>
    <row r="5288" spans="1:8" x14ac:dyDescent="0.3">
      <c r="A5288" s="400"/>
      <c r="B5288" s="709">
        <v>94753</v>
      </c>
      <c r="C5288" s="710" t="s">
        <v>4577</v>
      </c>
      <c r="D5288" s="709" t="s">
        <v>136</v>
      </c>
      <c r="E5288" s="716">
        <v>0</v>
      </c>
      <c r="F5288" s="717"/>
      <c r="G5288" t="e">
        <f>VLOOKUP(B5288,'SINAPI-%MO'!B:E,4,0)</f>
        <v>#N/A</v>
      </c>
      <c r="H5288" s="225" t="str">
        <f t="shared" si="82"/>
        <v/>
      </c>
    </row>
    <row r="5289" spans="1:8" x14ac:dyDescent="0.3">
      <c r="A5289" s="400"/>
      <c r="B5289" s="709">
        <v>105209</v>
      </c>
      <c r="C5289" s="710" t="s">
        <v>4578</v>
      </c>
      <c r="D5289" s="709" t="s">
        <v>136</v>
      </c>
      <c r="E5289" s="716">
        <v>129.21</v>
      </c>
      <c r="F5289" s="717">
        <v>0</v>
      </c>
      <c r="G5289">
        <f>VLOOKUP(B5289,'SINAPI-%MO'!B:E,4,0)</f>
        <v>0.20899999999999999</v>
      </c>
      <c r="H5289" s="225">
        <f t="shared" si="82"/>
        <v>102.2</v>
      </c>
    </row>
    <row r="5290" spans="1:8" x14ac:dyDescent="0.3">
      <c r="A5290" s="400"/>
      <c r="B5290" s="709">
        <v>105208</v>
      </c>
      <c r="C5290" s="710" t="s">
        <v>4579</v>
      </c>
      <c r="D5290" s="709" t="s">
        <v>136</v>
      </c>
      <c r="E5290" s="716">
        <v>259.36</v>
      </c>
      <c r="F5290" s="717">
        <v>0</v>
      </c>
      <c r="G5290">
        <f>VLOOKUP(B5290,'SINAPI-%MO'!B:E,4,0)</f>
        <v>0.1216</v>
      </c>
      <c r="H5290" s="225">
        <f t="shared" si="82"/>
        <v>227.82</v>
      </c>
    </row>
    <row r="5291" spans="1:8" x14ac:dyDescent="0.3">
      <c r="A5291" s="400"/>
      <c r="B5291" s="709">
        <v>105210</v>
      </c>
      <c r="C5291" s="710" t="s">
        <v>4580</v>
      </c>
      <c r="D5291" s="709" t="s">
        <v>136</v>
      </c>
      <c r="E5291" s="716">
        <v>333.84</v>
      </c>
      <c r="F5291" s="717">
        <v>0</v>
      </c>
      <c r="G5291">
        <f>VLOOKUP(B5291,'SINAPI-%MO'!B:E,4,0)</f>
        <v>0.1115</v>
      </c>
      <c r="H5291" s="225">
        <f t="shared" si="82"/>
        <v>296.61</v>
      </c>
    </row>
    <row r="5292" spans="1:8" x14ac:dyDescent="0.3">
      <c r="A5292" s="400"/>
      <c r="B5292" s="709">
        <v>105203</v>
      </c>
      <c r="C5292" s="710" t="s">
        <v>4581</v>
      </c>
      <c r="D5292" s="709" t="s">
        <v>136</v>
      </c>
      <c r="E5292" s="716">
        <v>132.63999999999999</v>
      </c>
      <c r="F5292" s="717">
        <v>0</v>
      </c>
      <c r="G5292">
        <f>VLOOKUP(B5292,'SINAPI-%MO'!B:E,4,0)</f>
        <v>0.2036</v>
      </c>
      <c r="H5292" s="225">
        <f t="shared" si="82"/>
        <v>105.63</v>
      </c>
    </row>
    <row r="5293" spans="1:8" x14ac:dyDescent="0.3">
      <c r="A5293" s="400"/>
      <c r="B5293" s="709">
        <v>105202</v>
      </c>
      <c r="C5293" s="710" t="s">
        <v>4582</v>
      </c>
      <c r="D5293" s="709" t="s">
        <v>136</v>
      </c>
      <c r="E5293" s="716">
        <v>214.58</v>
      </c>
      <c r="F5293" s="717">
        <v>0</v>
      </c>
      <c r="G5293">
        <f>VLOOKUP(B5293,'SINAPI-%MO'!B:E,4,0)</f>
        <v>0.14699999999999999</v>
      </c>
      <c r="H5293" s="225">
        <f t="shared" si="82"/>
        <v>183.03</v>
      </c>
    </row>
    <row r="5294" spans="1:8" x14ac:dyDescent="0.3">
      <c r="A5294" s="400"/>
      <c r="B5294" s="709">
        <v>105204</v>
      </c>
      <c r="C5294" s="710" t="s">
        <v>4583</v>
      </c>
      <c r="D5294" s="709" t="s">
        <v>136</v>
      </c>
      <c r="E5294" s="716">
        <v>284.16000000000003</v>
      </c>
      <c r="F5294" s="717">
        <v>0</v>
      </c>
      <c r="G5294">
        <f>VLOOKUP(B5294,'SINAPI-%MO'!B:E,4,0)</f>
        <v>0.13100000000000001</v>
      </c>
      <c r="H5294" s="225">
        <f t="shared" si="82"/>
        <v>246.93</v>
      </c>
    </row>
    <row r="5295" spans="1:8" x14ac:dyDescent="0.3">
      <c r="A5295" s="400"/>
      <c r="B5295" s="709">
        <v>105206</v>
      </c>
      <c r="C5295" s="710" t="s">
        <v>4584</v>
      </c>
      <c r="D5295" s="709" t="s">
        <v>136</v>
      </c>
      <c r="E5295" s="716">
        <v>126.73</v>
      </c>
      <c r="F5295" s="717">
        <v>0</v>
      </c>
      <c r="G5295">
        <f>VLOOKUP(B5295,'SINAPI-%MO'!B:E,4,0)</f>
        <v>0.21310000000000001</v>
      </c>
      <c r="H5295" s="225">
        <f t="shared" si="82"/>
        <v>99.72</v>
      </c>
    </row>
    <row r="5296" spans="1:8" x14ac:dyDescent="0.3">
      <c r="A5296" s="400"/>
      <c r="B5296" s="709">
        <v>105205</v>
      </c>
      <c r="C5296" s="710" t="s">
        <v>4585</v>
      </c>
      <c r="D5296" s="709" t="s">
        <v>136</v>
      </c>
      <c r="E5296" s="716">
        <v>198.85</v>
      </c>
      <c r="F5296" s="717">
        <v>0</v>
      </c>
      <c r="G5296">
        <f>VLOOKUP(B5296,'SINAPI-%MO'!B:E,4,0)</f>
        <v>0.15859999999999999</v>
      </c>
      <c r="H5296" s="225">
        <f t="shared" si="82"/>
        <v>167.31</v>
      </c>
    </row>
    <row r="5297" spans="1:8" x14ac:dyDescent="0.3">
      <c r="A5297" s="400"/>
      <c r="B5297" s="709">
        <v>105207</v>
      </c>
      <c r="C5297" s="710" t="s">
        <v>4586</v>
      </c>
      <c r="D5297" s="709" t="s">
        <v>136</v>
      </c>
      <c r="E5297" s="716">
        <v>276.29000000000002</v>
      </c>
      <c r="F5297" s="717">
        <v>0</v>
      </c>
      <c r="G5297">
        <f>VLOOKUP(B5297,'SINAPI-%MO'!B:E,4,0)</f>
        <v>0.13469999999999999</v>
      </c>
      <c r="H5297" s="225">
        <f t="shared" si="82"/>
        <v>239.07</v>
      </c>
    </row>
    <row r="5298" spans="1:8" x14ac:dyDescent="0.3">
      <c r="A5298" s="400"/>
      <c r="B5298" s="709">
        <v>94687</v>
      </c>
      <c r="C5298" s="710" t="s">
        <v>4587</v>
      </c>
      <c r="D5298" s="709" t="s">
        <v>136</v>
      </c>
      <c r="E5298" s="716">
        <v>270.85000000000002</v>
      </c>
      <c r="F5298" s="717">
        <v>0</v>
      </c>
      <c r="G5298">
        <f>VLOOKUP(B5298,'SINAPI-%MO'!B:E,4,0)</f>
        <v>0.11940000000000001</v>
      </c>
      <c r="H5298" s="225">
        <f t="shared" si="82"/>
        <v>238.51</v>
      </c>
    </row>
    <row r="5299" spans="1:8" x14ac:dyDescent="0.3">
      <c r="A5299" s="400"/>
      <c r="B5299" s="709">
        <v>94673</v>
      </c>
      <c r="C5299" s="710" t="s">
        <v>4588</v>
      </c>
      <c r="D5299" s="709" t="s">
        <v>136</v>
      </c>
      <c r="E5299" s="716">
        <v>8.41</v>
      </c>
      <c r="F5299" s="717">
        <v>0</v>
      </c>
      <c r="G5299">
        <f>VLOOKUP(B5299,'SINAPI-%MO'!B:E,4,0)</f>
        <v>0.39360000000000001</v>
      </c>
      <c r="H5299" s="225">
        <f t="shared" si="82"/>
        <v>5.09</v>
      </c>
    </row>
    <row r="5300" spans="1:8" x14ac:dyDescent="0.3">
      <c r="A5300" s="400"/>
      <c r="B5300" s="709">
        <v>94675</v>
      </c>
      <c r="C5300" s="710" t="s">
        <v>4589</v>
      </c>
      <c r="D5300" s="709" t="s">
        <v>136</v>
      </c>
      <c r="E5300" s="716">
        <v>14.18</v>
      </c>
      <c r="F5300" s="717">
        <v>0</v>
      </c>
      <c r="G5300">
        <f>VLOOKUP(B5300,'SINAPI-%MO'!B:E,4,0)</f>
        <v>0.30320000000000003</v>
      </c>
      <c r="H5300" s="225">
        <f t="shared" si="82"/>
        <v>9.8800000000000008</v>
      </c>
    </row>
    <row r="5301" spans="1:8" x14ac:dyDescent="0.3">
      <c r="A5301" s="400"/>
      <c r="B5301" s="709">
        <v>94677</v>
      </c>
      <c r="C5301" s="710" t="s">
        <v>4590</v>
      </c>
      <c r="D5301" s="709" t="s">
        <v>136</v>
      </c>
      <c r="E5301" s="716">
        <v>23.01</v>
      </c>
      <c r="F5301" s="717">
        <v>0</v>
      </c>
      <c r="G5301">
        <f>VLOOKUP(B5301,'SINAPI-%MO'!B:E,4,0)</f>
        <v>0.25030000000000002</v>
      </c>
      <c r="H5301" s="225">
        <f t="shared" si="82"/>
        <v>17.25</v>
      </c>
    </row>
    <row r="5302" spans="1:8" x14ac:dyDescent="0.3">
      <c r="A5302" s="400"/>
      <c r="B5302" s="709">
        <v>94679</v>
      </c>
      <c r="C5302" s="710" t="s">
        <v>4591</v>
      </c>
      <c r="D5302" s="709" t="s">
        <v>136</v>
      </c>
      <c r="E5302" s="716">
        <v>27.77</v>
      </c>
      <c r="F5302" s="717">
        <v>0</v>
      </c>
      <c r="G5302">
        <f>VLOOKUP(B5302,'SINAPI-%MO'!B:E,4,0)</f>
        <v>0.28949999999999998</v>
      </c>
      <c r="H5302" s="225">
        <f t="shared" si="82"/>
        <v>19.73</v>
      </c>
    </row>
    <row r="5303" spans="1:8" x14ac:dyDescent="0.3">
      <c r="A5303" s="400"/>
      <c r="B5303" s="709">
        <v>94681</v>
      </c>
      <c r="C5303" s="710" t="s">
        <v>4592</v>
      </c>
      <c r="D5303" s="709" t="s">
        <v>136</v>
      </c>
      <c r="E5303" s="716">
        <v>57.72</v>
      </c>
      <c r="F5303" s="717">
        <v>0</v>
      </c>
      <c r="G5303">
        <f>VLOOKUP(B5303,'SINAPI-%MO'!B:E,4,0)</f>
        <v>0.18759999999999999</v>
      </c>
      <c r="H5303" s="225">
        <f t="shared" si="82"/>
        <v>46.89</v>
      </c>
    </row>
    <row r="5304" spans="1:8" x14ac:dyDescent="0.3">
      <c r="A5304" s="400"/>
      <c r="B5304" s="709">
        <v>94683</v>
      </c>
      <c r="C5304" s="710" t="s">
        <v>4593</v>
      </c>
      <c r="D5304" s="709" t="s">
        <v>136</v>
      </c>
      <c r="E5304" s="716">
        <v>87.78</v>
      </c>
      <c r="F5304" s="717">
        <v>0</v>
      </c>
      <c r="G5304">
        <f>VLOOKUP(B5304,'SINAPI-%MO'!B:E,4,0)</f>
        <v>0.1817</v>
      </c>
      <c r="H5304" s="225">
        <f t="shared" si="82"/>
        <v>71.83</v>
      </c>
    </row>
    <row r="5305" spans="1:8" x14ac:dyDescent="0.3">
      <c r="A5305" s="400"/>
      <c r="B5305" s="709">
        <v>94685</v>
      </c>
      <c r="C5305" s="710" t="s">
        <v>4594</v>
      </c>
      <c r="D5305" s="709" t="s">
        <v>136</v>
      </c>
      <c r="E5305" s="716">
        <v>111.82</v>
      </c>
      <c r="F5305" s="717">
        <v>0</v>
      </c>
      <c r="G5305">
        <f>VLOOKUP(B5305,'SINAPI-%MO'!B:E,4,0)</f>
        <v>0.1789</v>
      </c>
      <c r="H5305" s="225">
        <f t="shared" si="82"/>
        <v>91.81</v>
      </c>
    </row>
    <row r="5306" spans="1:8" x14ac:dyDescent="0.3">
      <c r="A5306" s="400"/>
      <c r="B5306" s="709">
        <v>94621</v>
      </c>
      <c r="C5306" s="710" t="s">
        <v>4595</v>
      </c>
      <c r="D5306" s="709" t="s">
        <v>136</v>
      </c>
      <c r="E5306" s="716">
        <v>0</v>
      </c>
      <c r="F5306" s="717"/>
      <c r="G5306" t="e">
        <f>VLOOKUP(B5306,'SINAPI-%MO'!B:E,4,0)</f>
        <v>#N/A</v>
      </c>
      <c r="H5306" s="225" t="str">
        <f t="shared" si="82"/>
        <v/>
      </c>
    </row>
    <row r="5307" spans="1:8" x14ac:dyDescent="0.3">
      <c r="A5307" s="400"/>
      <c r="B5307" s="709">
        <v>94615</v>
      </c>
      <c r="C5307" s="710" t="s">
        <v>4596</v>
      </c>
      <c r="D5307" s="709" t="s">
        <v>136</v>
      </c>
      <c r="E5307" s="716">
        <v>202.29</v>
      </c>
      <c r="F5307" s="717">
        <v>0.82520000000000004</v>
      </c>
      <c r="G5307">
        <f>VLOOKUP(B5307,'SINAPI-%MO'!B:E,4,0)</f>
        <v>0.17369999999999999</v>
      </c>
      <c r="H5307" s="225">
        <f t="shared" si="82"/>
        <v>167.15</v>
      </c>
    </row>
    <row r="5308" spans="1:8" x14ac:dyDescent="0.3">
      <c r="A5308" s="400"/>
      <c r="B5308" s="709">
        <v>94617</v>
      </c>
      <c r="C5308" s="710" t="s">
        <v>4597</v>
      </c>
      <c r="D5308" s="709" t="s">
        <v>136</v>
      </c>
      <c r="E5308" s="716">
        <v>422.25</v>
      </c>
      <c r="F5308" s="717">
        <v>0.91259999999999997</v>
      </c>
      <c r="G5308">
        <f>VLOOKUP(B5308,'SINAPI-%MO'!B:E,4,0)</f>
        <v>8.6800000000000002E-2</v>
      </c>
      <c r="H5308" s="225">
        <f t="shared" si="82"/>
        <v>385.59</v>
      </c>
    </row>
    <row r="5309" spans="1:8" x14ac:dyDescent="0.3">
      <c r="A5309" s="400"/>
      <c r="B5309" s="709">
        <v>94619</v>
      </c>
      <c r="C5309" s="710" t="s">
        <v>4598</v>
      </c>
      <c r="D5309" s="709" t="s">
        <v>136</v>
      </c>
      <c r="E5309" s="716">
        <v>0</v>
      </c>
      <c r="F5309" s="717"/>
      <c r="G5309" t="e">
        <f>VLOOKUP(B5309,'SINAPI-%MO'!B:E,4,0)</f>
        <v>#N/A</v>
      </c>
      <c r="H5309" s="225" t="str">
        <f t="shared" si="82"/>
        <v/>
      </c>
    </row>
    <row r="5310" spans="1:8" x14ac:dyDescent="0.3">
      <c r="A5310" s="400"/>
      <c r="B5310" s="709">
        <v>105147</v>
      </c>
      <c r="C5310" s="710" t="s">
        <v>4599</v>
      </c>
      <c r="D5310" s="709" t="s">
        <v>136</v>
      </c>
      <c r="E5310" s="716">
        <v>16.86</v>
      </c>
      <c r="F5310" s="717">
        <v>0</v>
      </c>
      <c r="G5310">
        <f>VLOOKUP(B5310,'SINAPI-%MO'!B:E,4,0)</f>
        <v>0.34399999999999997</v>
      </c>
      <c r="H5310" s="225">
        <f t="shared" si="82"/>
        <v>11.06</v>
      </c>
    </row>
    <row r="5311" spans="1:8" x14ac:dyDescent="0.3">
      <c r="A5311" s="400"/>
      <c r="B5311" s="709">
        <v>105148</v>
      </c>
      <c r="C5311" s="710" t="s">
        <v>4600</v>
      </c>
      <c r="D5311" s="709" t="s">
        <v>136</v>
      </c>
      <c r="E5311" s="716">
        <v>24.12</v>
      </c>
      <c r="F5311" s="717">
        <v>0</v>
      </c>
      <c r="G5311">
        <f>VLOOKUP(B5311,'SINAPI-%MO'!B:E,4,0)</f>
        <v>0.26369999999999999</v>
      </c>
      <c r="H5311" s="225">
        <f t="shared" si="82"/>
        <v>17.75</v>
      </c>
    </row>
    <row r="5312" spans="1:8" x14ac:dyDescent="0.3">
      <c r="A5312" s="400"/>
      <c r="B5312" s="709">
        <v>105154</v>
      </c>
      <c r="C5312" s="710" t="s">
        <v>4601</v>
      </c>
      <c r="D5312" s="709" t="s">
        <v>136</v>
      </c>
      <c r="E5312" s="716">
        <v>7.75</v>
      </c>
      <c r="F5312" s="717">
        <v>0</v>
      </c>
      <c r="G5312">
        <f>VLOOKUP(B5312,'SINAPI-%MO'!B:E,4,0)</f>
        <v>0.42709999999999998</v>
      </c>
      <c r="H5312" s="225">
        <f t="shared" si="82"/>
        <v>4.43</v>
      </c>
    </row>
    <row r="5313" spans="1:8" x14ac:dyDescent="0.3">
      <c r="A5313" s="400"/>
      <c r="B5313" s="709">
        <v>105155</v>
      </c>
      <c r="C5313" s="710" t="s">
        <v>4602</v>
      </c>
      <c r="D5313" s="709" t="s">
        <v>136</v>
      </c>
      <c r="E5313" s="716">
        <v>11.73</v>
      </c>
      <c r="F5313" s="717">
        <v>0</v>
      </c>
      <c r="G5313">
        <f>VLOOKUP(B5313,'SINAPI-%MO'!B:E,4,0)</f>
        <v>0.36659999999999998</v>
      </c>
      <c r="H5313" s="225">
        <f t="shared" si="82"/>
        <v>7.42</v>
      </c>
    </row>
    <row r="5314" spans="1:8" x14ac:dyDescent="0.3">
      <c r="A5314" s="400"/>
      <c r="B5314" s="709">
        <v>105156</v>
      </c>
      <c r="C5314" s="710" t="s">
        <v>4603</v>
      </c>
      <c r="D5314" s="709" t="s">
        <v>136</v>
      </c>
      <c r="E5314" s="716">
        <v>14.87</v>
      </c>
      <c r="F5314" s="717">
        <v>0</v>
      </c>
      <c r="G5314">
        <f>VLOOKUP(B5314,'SINAPI-%MO'!B:E,4,0)</f>
        <v>0.38740000000000002</v>
      </c>
      <c r="H5314" s="225">
        <f t="shared" si="82"/>
        <v>9.1</v>
      </c>
    </row>
    <row r="5315" spans="1:8" x14ac:dyDescent="0.3">
      <c r="A5315" s="400"/>
      <c r="B5315" s="709">
        <v>105157</v>
      </c>
      <c r="C5315" s="710" t="s">
        <v>4604</v>
      </c>
      <c r="D5315" s="709" t="s">
        <v>136</v>
      </c>
      <c r="E5315" s="716">
        <v>23.12</v>
      </c>
      <c r="F5315" s="717">
        <v>0</v>
      </c>
      <c r="G5315">
        <f>VLOOKUP(B5315,'SINAPI-%MO'!B:E,4,0)</f>
        <v>0.3478</v>
      </c>
      <c r="H5315" s="225">
        <f t="shared" si="82"/>
        <v>15.07</v>
      </c>
    </row>
    <row r="5316" spans="1:8" x14ac:dyDescent="0.3">
      <c r="A5316" s="400"/>
      <c r="B5316" s="709">
        <v>105158</v>
      </c>
      <c r="C5316" s="710" t="s">
        <v>4605</v>
      </c>
      <c r="D5316" s="709" t="s">
        <v>136</v>
      </c>
      <c r="E5316" s="716">
        <v>34.14</v>
      </c>
      <c r="F5316" s="717">
        <v>0</v>
      </c>
      <c r="G5316">
        <f>VLOOKUP(B5316,'SINAPI-%MO'!B:E,4,0)</f>
        <v>0.31719999999999998</v>
      </c>
      <c r="H5316" s="225">
        <f t="shared" si="82"/>
        <v>23.31</v>
      </c>
    </row>
    <row r="5317" spans="1:8" x14ac:dyDescent="0.3">
      <c r="A5317" s="400"/>
      <c r="B5317" s="709">
        <v>105159</v>
      </c>
      <c r="C5317" s="710" t="s">
        <v>4606</v>
      </c>
      <c r="D5317" s="709" t="s">
        <v>136</v>
      </c>
      <c r="E5317" s="716">
        <v>61.4</v>
      </c>
      <c r="F5317" s="717">
        <v>0</v>
      </c>
      <c r="G5317">
        <f>VLOOKUP(B5317,'SINAPI-%MO'!B:E,4,0)</f>
        <v>0.25979999999999998</v>
      </c>
      <c r="H5317" s="225">
        <f t="shared" si="82"/>
        <v>45.44</v>
      </c>
    </row>
    <row r="5318" spans="1:8" x14ac:dyDescent="0.3">
      <c r="A5318" s="400"/>
      <c r="B5318" s="709">
        <v>105160</v>
      </c>
      <c r="C5318" s="710" t="s">
        <v>4607</v>
      </c>
      <c r="D5318" s="709" t="s">
        <v>136</v>
      </c>
      <c r="E5318" s="716">
        <v>75.72</v>
      </c>
      <c r="F5318" s="717">
        <v>0</v>
      </c>
      <c r="G5318">
        <f>VLOOKUP(B5318,'SINAPI-%MO'!B:E,4,0)</f>
        <v>0.2641</v>
      </c>
      <c r="H5318" s="225">
        <f t="shared" si="82"/>
        <v>55.72</v>
      </c>
    </row>
    <row r="5319" spans="1:8" x14ac:dyDescent="0.3">
      <c r="A5319" s="400"/>
      <c r="B5319" s="709">
        <v>94634</v>
      </c>
      <c r="C5319" s="710" t="s">
        <v>4608</v>
      </c>
      <c r="D5319" s="709" t="s">
        <v>136</v>
      </c>
      <c r="E5319" s="716">
        <v>0</v>
      </c>
      <c r="F5319" s="717"/>
      <c r="G5319" t="e">
        <f>VLOOKUP(B5319,'SINAPI-%MO'!B:E,4,0)</f>
        <v>#N/A</v>
      </c>
      <c r="H5319" s="225" t="str">
        <f t="shared" si="82"/>
        <v/>
      </c>
    </row>
    <row r="5320" spans="1:8" x14ac:dyDescent="0.3">
      <c r="A5320" s="400"/>
      <c r="B5320" s="709">
        <v>94631</v>
      </c>
      <c r="C5320" s="710" t="s">
        <v>4609</v>
      </c>
      <c r="D5320" s="709" t="s">
        <v>136</v>
      </c>
      <c r="E5320" s="716">
        <v>0</v>
      </c>
      <c r="F5320" s="717"/>
      <c r="G5320" t="e">
        <f>VLOOKUP(B5320,'SINAPI-%MO'!B:E,4,0)</f>
        <v>#N/A</v>
      </c>
      <c r="H5320" s="225" t="str">
        <f t="shared" si="82"/>
        <v/>
      </c>
    </row>
    <row r="5321" spans="1:8" x14ac:dyDescent="0.3">
      <c r="A5321" s="400"/>
      <c r="B5321" s="709">
        <v>94632</v>
      </c>
      <c r="C5321" s="710" t="s">
        <v>4610</v>
      </c>
      <c r="D5321" s="709" t="s">
        <v>136</v>
      </c>
      <c r="E5321" s="716">
        <v>0</v>
      </c>
      <c r="F5321" s="717"/>
      <c r="G5321" t="e">
        <f>VLOOKUP(B5321,'SINAPI-%MO'!B:E,4,0)</f>
        <v>#N/A</v>
      </c>
      <c r="H5321" s="225" t="str">
        <f t="shared" si="82"/>
        <v/>
      </c>
    </row>
    <row r="5322" spans="1:8" x14ac:dyDescent="0.3">
      <c r="A5322" s="400"/>
      <c r="B5322" s="709">
        <v>94633</v>
      </c>
      <c r="C5322" s="710" t="s">
        <v>4611</v>
      </c>
      <c r="D5322" s="709" t="s">
        <v>136</v>
      </c>
      <c r="E5322" s="716">
        <v>0</v>
      </c>
      <c r="F5322" s="717"/>
      <c r="G5322" t="e">
        <f>VLOOKUP(B5322,'SINAPI-%MO'!B:E,4,0)</f>
        <v>#N/A</v>
      </c>
      <c r="H5322" s="225" t="str">
        <f t="shared" si="82"/>
        <v/>
      </c>
    </row>
    <row r="5323" spans="1:8" x14ac:dyDescent="0.3">
      <c r="A5323" s="400"/>
      <c r="B5323" s="709">
        <v>94672</v>
      </c>
      <c r="C5323" s="710" t="s">
        <v>4612</v>
      </c>
      <c r="D5323" s="709" t="s">
        <v>136</v>
      </c>
      <c r="E5323" s="716">
        <v>7.07</v>
      </c>
      <c r="F5323" s="717">
        <v>0</v>
      </c>
      <c r="G5323">
        <f>VLOOKUP(B5323,'SINAPI-%MO'!B:E,4,0)</f>
        <v>0.46820000000000001</v>
      </c>
      <c r="H5323" s="225">
        <f t="shared" ref="H5323:H5386" si="83">IF(E5323&gt;0,TRUNC(E5323*(1-G5323),2),"")</f>
        <v>3.75</v>
      </c>
    </row>
    <row r="5324" spans="1:8" x14ac:dyDescent="0.3">
      <c r="A5324" s="400"/>
      <c r="B5324" s="709">
        <v>94754</v>
      </c>
      <c r="C5324" s="710" t="s">
        <v>4613</v>
      </c>
      <c r="D5324" s="709" t="s">
        <v>136</v>
      </c>
      <c r="E5324" s="716">
        <v>388.76</v>
      </c>
      <c r="F5324" s="717">
        <v>0</v>
      </c>
      <c r="G5324">
        <f>VLOOKUP(B5324,'SINAPI-%MO'!B:E,4,0)</f>
        <v>8.8999999999999996E-2</v>
      </c>
      <c r="H5324" s="225">
        <f t="shared" si="83"/>
        <v>354.16</v>
      </c>
    </row>
    <row r="5325" spans="1:8" x14ac:dyDescent="0.3">
      <c r="A5325" s="400"/>
      <c r="B5325" s="709">
        <v>94740</v>
      </c>
      <c r="C5325" s="710" t="s">
        <v>4614</v>
      </c>
      <c r="D5325" s="709" t="s">
        <v>136</v>
      </c>
      <c r="E5325" s="716">
        <v>12.74</v>
      </c>
      <c r="F5325" s="717">
        <v>0</v>
      </c>
      <c r="G5325">
        <f>VLOOKUP(B5325,'SINAPI-%MO'!B:E,4,0)</f>
        <v>0.23080000000000001</v>
      </c>
      <c r="H5325" s="225">
        <f t="shared" si="83"/>
        <v>9.7899999999999991</v>
      </c>
    </row>
    <row r="5326" spans="1:8" x14ac:dyDescent="0.3">
      <c r="A5326" s="400"/>
      <c r="B5326" s="709">
        <v>94742</v>
      </c>
      <c r="C5326" s="710" t="s">
        <v>4615</v>
      </c>
      <c r="D5326" s="709" t="s">
        <v>136</v>
      </c>
      <c r="E5326" s="716">
        <v>21.69</v>
      </c>
      <c r="F5326" s="717">
        <v>0</v>
      </c>
      <c r="G5326">
        <f>VLOOKUP(B5326,'SINAPI-%MO'!B:E,4,0)</f>
        <v>0.1706</v>
      </c>
      <c r="H5326" s="225">
        <f t="shared" si="83"/>
        <v>17.98</v>
      </c>
    </row>
    <row r="5327" spans="1:8" x14ac:dyDescent="0.3">
      <c r="A5327" s="400"/>
      <c r="B5327" s="709">
        <v>94744</v>
      </c>
      <c r="C5327" s="710" t="s">
        <v>4616</v>
      </c>
      <c r="D5327" s="709" t="s">
        <v>136</v>
      </c>
      <c r="E5327" s="716">
        <v>34.67</v>
      </c>
      <c r="F5327" s="717">
        <v>0</v>
      </c>
      <c r="G5327">
        <f>VLOOKUP(B5327,'SINAPI-%MO'!B:E,4,0)</f>
        <v>0.13900000000000001</v>
      </c>
      <c r="H5327" s="225">
        <f t="shared" si="83"/>
        <v>29.85</v>
      </c>
    </row>
    <row r="5328" spans="1:8" x14ac:dyDescent="0.3">
      <c r="A5328" s="400"/>
      <c r="B5328" s="709">
        <v>94746</v>
      </c>
      <c r="C5328" s="710" t="s">
        <v>4617</v>
      </c>
      <c r="D5328" s="709" t="s">
        <v>136</v>
      </c>
      <c r="E5328" s="716">
        <v>50.1</v>
      </c>
      <c r="F5328" s="717">
        <v>0</v>
      </c>
      <c r="G5328">
        <f>VLOOKUP(B5328,'SINAPI-%MO'!B:E,4,0)</f>
        <v>0.1234</v>
      </c>
      <c r="H5328" s="225">
        <f t="shared" si="83"/>
        <v>43.91</v>
      </c>
    </row>
    <row r="5329" spans="1:8" x14ac:dyDescent="0.3">
      <c r="A5329" s="400"/>
      <c r="B5329" s="709">
        <v>94748</v>
      </c>
      <c r="C5329" s="710" t="s">
        <v>4618</v>
      </c>
      <c r="D5329" s="709" t="s">
        <v>136</v>
      </c>
      <c r="E5329" s="716">
        <v>111.95</v>
      </c>
      <c r="F5329" s="717">
        <v>0</v>
      </c>
      <c r="G5329">
        <f>VLOOKUP(B5329,'SINAPI-%MO'!B:E,4,0)</f>
        <v>8.1199999999999994E-2</v>
      </c>
      <c r="H5329" s="225">
        <f t="shared" si="83"/>
        <v>102.85</v>
      </c>
    </row>
    <row r="5330" spans="1:8" x14ac:dyDescent="0.3">
      <c r="A5330" s="400"/>
      <c r="B5330" s="709">
        <v>94750</v>
      </c>
      <c r="C5330" s="710" t="s">
        <v>4619</v>
      </c>
      <c r="D5330" s="709" t="s">
        <v>136</v>
      </c>
      <c r="E5330" s="716">
        <v>227.72</v>
      </c>
      <c r="F5330" s="717">
        <v>0</v>
      </c>
      <c r="G5330">
        <f>VLOOKUP(B5330,'SINAPI-%MO'!B:E,4,0)</f>
        <v>6.6699999999999995E-2</v>
      </c>
      <c r="H5330" s="225">
        <f t="shared" si="83"/>
        <v>212.53</v>
      </c>
    </row>
    <row r="5331" spans="1:8" x14ac:dyDescent="0.3">
      <c r="A5331" s="400"/>
      <c r="B5331" s="709">
        <v>94752</v>
      </c>
      <c r="C5331" s="710" t="s">
        <v>4620</v>
      </c>
      <c r="D5331" s="709" t="s">
        <v>136</v>
      </c>
      <c r="E5331" s="716">
        <v>272.32</v>
      </c>
      <c r="F5331" s="717">
        <v>0</v>
      </c>
      <c r="G5331">
        <f>VLOOKUP(B5331,'SINAPI-%MO'!B:E,4,0)</f>
        <v>7.9899999999999999E-2</v>
      </c>
      <c r="H5331" s="225">
        <f t="shared" si="83"/>
        <v>250.56</v>
      </c>
    </row>
    <row r="5332" spans="1:8" x14ac:dyDescent="0.3">
      <c r="A5332" s="400"/>
      <c r="B5332" s="709">
        <v>96755</v>
      </c>
      <c r="C5332" s="710" t="s">
        <v>4621</v>
      </c>
      <c r="D5332" s="709" t="s">
        <v>136</v>
      </c>
      <c r="E5332" s="716">
        <v>360.31</v>
      </c>
      <c r="F5332" s="717">
        <v>0</v>
      </c>
      <c r="G5332">
        <f>VLOOKUP(B5332,'SINAPI-%MO'!B:E,4,0)</f>
        <v>9.8199999999999996E-2</v>
      </c>
      <c r="H5332" s="225">
        <f t="shared" si="83"/>
        <v>324.92</v>
      </c>
    </row>
    <row r="5333" spans="1:8" x14ac:dyDescent="0.3">
      <c r="A5333" s="400"/>
      <c r="B5333" s="709">
        <v>96747</v>
      </c>
      <c r="C5333" s="710" t="s">
        <v>4622</v>
      </c>
      <c r="D5333" s="709" t="s">
        <v>136</v>
      </c>
      <c r="E5333" s="716">
        <v>7.87</v>
      </c>
      <c r="F5333" s="717">
        <v>0</v>
      </c>
      <c r="G5333">
        <f>VLOOKUP(B5333,'SINAPI-%MO'!B:E,4,0)</f>
        <v>0.73699999999999999</v>
      </c>
      <c r="H5333" s="225">
        <f t="shared" si="83"/>
        <v>2.06</v>
      </c>
    </row>
    <row r="5334" spans="1:8" x14ac:dyDescent="0.3">
      <c r="A5334" s="400"/>
      <c r="B5334" s="709">
        <v>96748</v>
      </c>
      <c r="C5334" s="710" t="s">
        <v>4623</v>
      </c>
      <c r="D5334" s="709" t="s">
        <v>136</v>
      </c>
      <c r="E5334" s="716">
        <v>9.14</v>
      </c>
      <c r="F5334" s="717">
        <v>0</v>
      </c>
      <c r="G5334">
        <f>VLOOKUP(B5334,'SINAPI-%MO'!B:E,4,0)</f>
        <v>0.69579999999999997</v>
      </c>
      <c r="H5334" s="225">
        <f t="shared" si="83"/>
        <v>2.78</v>
      </c>
    </row>
    <row r="5335" spans="1:8" x14ac:dyDescent="0.3">
      <c r="A5335" s="400"/>
      <c r="B5335" s="709">
        <v>96749</v>
      </c>
      <c r="C5335" s="710" t="s">
        <v>4624</v>
      </c>
      <c r="D5335" s="709" t="s">
        <v>136</v>
      </c>
      <c r="E5335" s="716">
        <v>11.59</v>
      </c>
      <c r="F5335" s="717">
        <v>0</v>
      </c>
      <c r="G5335">
        <f>VLOOKUP(B5335,'SINAPI-%MO'!B:E,4,0)</f>
        <v>0.63590000000000002</v>
      </c>
      <c r="H5335" s="225">
        <f t="shared" si="83"/>
        <v>4.21</v>
      </c>
    </row>
    <row r="5336" spans="1:8" x14ac:dyDescent="0.3">
      <c r="A5336" s="400"/>
      <c r="B5336" s="709">
        <v>96750</v>
      </c>
      <c r="C5336" s="710" t="s">
        <v>4625</v>
      </c>
      <c r="D5336" s="709" t="s">
        <v>136</v>
      </c>
      <c r="E5336" s="716">
        <v>18.239999999999998</v>
      </c>
      <c r="F5336" s="717">
        <v>0</v>
      </c>
      <c r="G5336">
        <f>VLOOKUP(B5336,'SINAPI-%MO'!B:E,4,0)</f>
        <v>0.48409999999999997</v>
      </c>
      <c r="H5336" s="225">
        <f t="shared" si="83"/>
        <v>9.41</v>
      </c>
    </row>
    <row r="5337" spans="1:8" x14ac:dyDescent="0.3">
      <c r="A5337" s="400"/>
      <c r="B5337" s="709">
        <v>96751</v>
      </c>
      <c r="C5337" s="710" t="s">
        <v>4626</v>
      </c>
      <c r="D5337" s="709" t="s">
        <v>136</v>
      </c>
      <c r="E5337" s="716">
        <v>26.68</v>
      </c>
      <c r="F5337" s="717">
        <v>0</v>
      </c>
      <c r="G5337">
        <f>VLOOKUP(B5337,'SINAPI-%MO'!B:E,4,0)</f>
        <v>0.41639999999999999</v>
      </c>
      <c r="H5337" s="225">
        <f t="shared" si="83"/>
        <v>15.57</v>
      </c>
    </row>
    <row r="5338" spans="1:8" x14ac:dyDescent="0.3">
      <c r="A5338" s="400"/>
      <c r="B5338" s="709">
        <v>96752</v>
      </c>
      <c r="C5338" s="710" t="s">
        <v>4627</v>
      </c>
      <c r="D5338" s="709" t="s">
        <v>136</v>
      </c>
      <c r="E5338" s="716">
        <v>40.049999999999997</v>
      </c>
      <c r="F5338" s="717">
        <v>0</v>
      </c>
      <c r="G5338">
        <f>VLOOKUP(B5338,'SINAPI-%MO'!B:E,4,0)</f>
        <v>0.37</v>
      </c>
      <c r="H5338" s="225">
        <f t="shared" si="83"/>
        <v>25.23</v>
      </c>
    </row>
    <row r="5339" spans="1:8" x14ac:dyDescent="0.3">
      <c r="A5339" s="400"/>
      <c r="B5339" s="709">
        <v>96753</v>
      </c>
      <c r="C5339" s="710" t="s">
        <v>4628</v>
      </c>
      <c r="D5339" s="709" t="s">
        <v>136</v>
      </c>
      <c r="E5339" s="716">
        <v>92.03</v>
      </c>
      <c r="F5339" s="717">
        <v>0</v>
      </c>
      <c r="G5339">
        <f>VLOOKUP(B5339,'SINAPI-%MO'!B:E,4,0)</f>
        <v>0.20660000000000001</v>
      </c>
      <c r="H5339" s="225">
        <f t="shared" si="83"/>
        <v>73.010000000000005</v>
      </c>
    </row>
    <row r="5340" spans="1:8" x14ac:dyDescent="0.3">
      <c r="A5340" s="400"/>
      <c r="B5340" s="709">
        <v>96754</v>
      </c>
      <c r="C5340" s="710" t="s">
        <v>4629</v>
      </c>
      <c r="D5340" s="709" t="s">
        <v>136</v>
      </c>
      <c r="E5340" s="716">
        <v>118.09</v>
      </c>
      <c r="F5340" s="717">
        <v>0</v>
      </c>
      <c r="G5340">
        <f>VLOOKUP(B5340,'SINAPI-%MO'!B:E,4,0)</f>
        <v>0.214</v>
      </c>
      <c r="H5340" s="225">
        <f t="shared" si="83"/>
        <v>92.81</v>
      </c>
    </row>
    <row r="5341" spans="1:8" x14ac:dyDescent="0.3">
      <c r="A5341" s="400"/>
      <c r="B5341" s="709">
        <v>94686</v>
      </c>
      <c r="C5341" s="710" t="s">
        <v>4630</v>
      </c>
      <c r="D5341" s="709" t="s">
        <v>136</v>
      </c>
      <c r="E5341" s="716">
        <v>299.49</v>
      </c>
      <c r="F5341" s="717">
        <v>0</v>
      </c>
      <c r="G5341">
        <f>VLOOKUP(B5341,'SINAPI-%MO'!B:E,4,0)</f>
        <v>0.108</v>
      </c>
      <c r="H5341" s="225">
        <f t="shared" si="83"/>
        <v>267.14</v>
      </c>
    </row>
    <row r="5342" spans="1:8" x14ac:dyDescent="0.3">
      <c r="A5342" s="400"/>
      <c r="B5342" s="709">
        <v>94674</v>
      </c>
      <c r="C5342" s="710" t="s">
        <v>4631</v>
      </c>
      <c r="D5342" s="709" t="s">
        <v>136</v>
      </c>
      <c r="E5342" s="716">
        <v>9.2100000000000009</v>
      </c>
      <c r="F5342" s="717">
        <v>0</v>
      </c>
      <c r="G5342">
        <f>VLOOKUP(B5342,'SINAPI-%MO'!B:E,4,0)</f>
        <v>0.46689999999999998</v>
      </c>
      <c r="H5342" s="225">
        <f t="shared" si="83"/>
        <v>4.9000000000000004</v>
      </c>
    </row>
    <row r="5343" spans="1:8" x14ac:dyDescent="0.3">
      <c r="A5343" s="400"/>
      <c r="B5343" s="709">
        <v>94676</v>
      </c>
      <c r="C5343" s="710" t="s">
        <v>4632</v>
      </c>
      <c r="D5343" s="709" t="s">
        <v>136</v>
      </c>
      <c r="E5343" s="716">
        <v>15.47</v>
      </c>
      <c r="F5343" s="717">
        <v>0</v>
      </c>
      <c r="G5343">
        <f>VLOOKUP(B5343,'SINAPI-%MO'!B:E,4,0)</f>
        <v>0.37230000000000002</v>
      </c>
      <c r="H5343" s="225">
        <f t="shared" si="83"/>
        <v>9.7100000000000009</v>
      </c>
    </row>
    <row r="5344" spans="1:8" x14ac:dyDescent="0.3">
      <c r="A5344" s="400"/>
      <c r="B5344" s="709">
        <v>94678</v>
      </c>
      <c r="C5344" s="710" t="s">
        <v>4633</v>
      </c>
      <c r="D5344" s="709" t="s">
        <v>136</v>
      </c>
      <c r="E5344" s="716">
        <v>17.850000000000001</v>
      </c>
      <c r="F5344" s="717">
        <v>0</v>
      </c>
      <c r="G5344">
        <f>VLOOKUP(B5344,'SINAPI-%MO'!B:E,4,0)</f>
        <v>0.45040000000000002</v>
      </c>
      <c r="H5344" s="225">
        <f t="shared" si="83"/>
        <v>9.81</v>
      </c>
    </row>
    <row r="5345" spans="1:8" x14ac:dyDescent="0.3">
      <c r="A5345" s="400"/>
      <c r="B5345" s="709">
        <v>94680</v>
      </c>
      <c r="C5345" s="710" t="s">
        <v>4634</v>
      </c>
      <c r="D5345" s="709" t="s">
        <v>136</v>
      </c>
      <c r="E5345" s="716">
        <v>51.38</v>
      </c>
      <c r="F5345" s="717">
        <v>0</v>
      </c>
      <c r="G5345">
        <f>VLOOKUP(B5345,'SINAPI-%MO'!B:E,4,0)</f>
        <v>0.21079999999999999</v>
      </c>
      <c r="H5345" s="225">
        <f t="shared" si="83"/>
        <v>40.54</v>
      </c>
    </row>
    <row r="5346" spans="1:8" x14ac:dyDescent="0.3">
      <c r="A5346" s="400"/>
      <c r="B5346" s="709">
        <v>94682</v>
      </c>
      <c r="C5346" s="710" t="s">
        <v>4635</v>
      </c>
      <c r="D5346" s="709" t="s">
        <v>136</v>
      </c>
      <c r="E5346" s="716">
        <v>128.49</v>
      </c>
      <c r="F5346" s="717">
        <v>0</v>
      </c>
      <c r="G5346">
        <f>VLOOKUP(B5346,'SINAPI-%MO'!B:E,4,0)</f>
        <v>0.1241</v>
      </c>
      <c r="H5346" s="225">
        <f t="shared" si="83"/>
        <v>112.54</v>
      </c>
    </row>
    <row r="5347" spans="1:8" x14ac:dyDescent="0.3">
      <c r="A5347" s="400"/>
      <c r="B5347" s="709">
        <v>94684</v>
      </c>
      <c r="C5347" s="710" t="s">
        <v>4636</v>
      </c>
      <c r="D5347" s="709" t="s">
        <v>136</v>
      </c>
      <c r="E5347" s="716">
        <v>154.96</v>
      </c>
      <c r="F5347" s="717">
        <v>0</v>
      </c>
      <c r="G5347">
        <f>VLOOKUP(B5347,'SINAPI-%MO'!B:E,4,0)</f>
        <v>0.12909999999999999</v>
      </c>
      <c r="H5347" s="225">
        <f t="shared" si="83"/>
        <v>134.94999999999999</v>
      </c>
    </row>
    <row r="5348" spans="1:8" x14ac:dyDescent="0.3">
      <c r="A5348" s="400"/>
      <c r="B5348" s="709">
        <v>105219</v>
      </c>
      <c r="C5348" s="710" t="s">
        <v>4637</v>
      </c>
      <c r="D5348" s="709" t="s">
        <v>136</v>
      </c>
      <c r="E5348" s="716">
        <v>15.03</v>
      </c>
      <c r="F5348" s="717">
        <v>0</v>
      </c>
      <c r="G5348">
        <f>VLOOKUP(B5348,'SINAPI-%MO'!B:E,4,0)</f>
        <v>0.1956</v>
      </c>
      <c r="H5348" s="225">
        <f t="shared" si="83"/>
        <v>12.09</v>
      </c>
    </row>
    <row r="5349" spans="1:8" x14ac:dyDescent="0.3">
      <c r="A5349" s="400"/>
      <c r="B5349" s="709">
        <v>105220</v>
      </c>
      <c r="C5349" s="710" t="s">
        <v>4638</v>
      </c>
      <c r="D5349" s="709" t="s">
        <v>136</v>
      </c>
      <c r="E5349" s="716">
        <v>20.75</v>
      </c>
      <c r="F5349" s="717">
        <v>0</v>
      </c>
      <c r="G5349">
        <f>VLOOKUP(B5349,'SINAPI-%MO'!B:E,4,0)</f>
        <v>0.17829999999999999</v>
      </c>
      <c r="H5349" s="225">
        <f t="shared" si="83"/>
        <v>17.05</v>
      </c>
    </row>
    <row r="5350" spans="1:8" x14ac:dyDescent="0.3">
      <c r="A5350" s="400"/>
      <c r="B5350" s="709">
        <v>105221</v>
      </c>
      <c r="C5350" s="710" t="s">
        <v>4639</v>
      </c>
      <c r="D5350" s="709" t="s">
        <v>136</v>
      </c>
      <c r="E5350" s="716">
        <v>32.32</v>
      </c>
      <c r="F5350" s="717">
        <v>0</v>
      </c>
      <c r="G5350">
        <f>VLOOKUP(B5350,'SINAPI-%MO'!B:E,4,0)</f>
        <v>0.14910000000000001</v>
      </c>
      <c r="H5350" s="225">
        <f t="shared" si="83"/>
        <v>27.5</v>
      </c>
    </row>
    <row r="5351" spans="1:8" x14ac:dyDescent="0.3">
      <c r="A5351" s="400"/>
      <c r="B5351" s="709">
        <v>105166</v>
      </c>
      <c r="C5351" s="710" t="s">
        <v>4640</v>
      </c>
      <c r="D5351" s="709" t="s">
        <v>136</v>
      </c>
      <c r="E5351" s="716">
        <v>49.52</v>
      </c>
      <c r="F5351" s="717">
        <v>0</v>
      </c>
      <c r="G5351">
        <f>VLOOKUP(B5351,'SINAPI-%MO'!B:E,4,0)</f>
        <v>0.12479999999999999</v>
      </c>
      <c r="H5351" s="225">
        <f t="shared" si="83"/>
        <v>43.33</v>
      </c>
    </row>
    <row r="5352" spans="1:8" x14ac:dyDescent="0.3">
      <c r="A5352" s="400"/>
      <c r="B5352" s="709">
        <v>105222</v>
      </c>
      <c r="C5352" s="710" t="s">
        <v>4641</v>
      </c>
      <c r="D5352" s="709" t="s">
        <v>136</v>
      </c>
      <c r="E5352" s="716">
        <v>94.86</v>
      </c>
      <c r="F5352" s="717">
        <v>0</v>
      </c>
      <c r="G5352">
        <f>VLOOKUP(B5352,'SINAPI-%MO'!B:E,4,0)</f>
        <v>9.5799999999999996E-2</v>
      </c>
      <c r="H5352" s="225">
        <f t="shared" si="83"/>
        <v>85.77</v>
      </c>
    </row>
    <row r="5353" spans="1:8" x14ac:dyDescent="0.3">
      <c r="A5353" s="400"/>
      <c r="B5353" s="709">
        <v>105223</v>
      </c>
      <c r="C5353" s="710" t="s">
        <v>4642</v>
      </c>
      <c r="D5353" s="709" t="s">
        <v>136</v>
      </c>
      <c r="E5353" s="716">
        <v>219.99</v>
      </c>
      <c r="F5353" s="717">
        <v>0</v>
      </c>
      <c r="G5353">
        <f>VLOOKUP(B5353,'SINAPI-%MO'!B:E,4,0)</f>
        <v>6.9000000000000006E-2</v>
      </c>
      <c r="H5353" s="225">
        <f t="shared" si="83"/>
        <v>204.81</v>
      </c>
    </row>
    <row r="5354" spans="1:8" x14ac:dyDescent="0.3">
      <c r="A5354" s="400"/>
      <c r="B5354" s="709">
        <v>105224</v>
      </c>
      <c r="C5354" s="710" t="s">
        <v>4643</v>
      </c>
      <c r="D5354" s="709" t="s">
        <v>136</v>
      </c>
      <c r="E5354" s="716">
        <v>320.43</v>
      </c>
      <c r="F5354" s="717">
        <v>0</v>
      </c>
      <c r="G5354">
        <f>VLOOKUP(B5354,'SINAPI-%MO'!B:E,4,0)</f>
        <v>6.7900000000000002E-2</v>
      </c>
      <c r="H5354" s="225">
        <f t="shared" si="83"/>
        <v>298.67</v>
      </c>
    </row>
    <row r="5355" spans="1:8" x14ac:dyDescent="0.3">
      <c r="A5355" s="400"/>
      <c r="B5355" s="709">
        <v>105149</v>
      </c>
      <c r="C5355" s="710" t="s">
        <v>4644</v>
      </c>
      <c r="D5355" s="709" t="s">
        <v>136</v>
      </c>
      <c r="E5355" s="716">
        <v>8.1300000000000008</v>
      </c>
      <c r="F5355" s="717">
        <v>0</v>
      </c>
      <c r="G5355">
        <f>VLOOKUP(B5355,'SINAPI-%MO'!B:E,4,0)</f>
        <v>0.71340000000000003</v>
      </c>
      <c r="H5355" s="225">
        <f t="shared" si="83"/>
        <v>2.33</v>
      </c>
    </row>
    <row r="5356" spans="1:8" x14ac:dyDescent="0.3">
      <c r="A5356" s="400"/>
      <c r="B5356" s="709">
        <v>105150</v>
      </c>
      <c r="C5356" s="710" t="s">
        <v>4645</v>
      </c>
      <c r="D5356" s="709" t="s">
        <v>136</v>
      </c>
      <c r="E5356" s="716">
        <v>9.56</v>
      </c>
      <c r="F5356" s="717">
        <v>0</v>
      </c>
      <c r="G5356">
        <f>VLOOKUP(B5356,'SINAPI-%MO'!B:E,4,0)</f>
        <v>0.6653</v>
      </c>
      <c r="H5356" s="225">
        <f t="shared" si="83"/>
        <v>3.19</v>
      </c>
    </row>
    <row r="5357" spans="1:8" x14ac:dyDescent="0.3">
      <c r="A5357" s="400"/>
      <c r="B5357" s="709">
        <v>105151</v>
      </c>
      <c r="C5357" s="710" t="s">
        <v>4646</v>
      </c>
      <c r="D5357" s="709" t="s">
        <v>136</v>
      </c>
      <c r="E5357" s="716">
        <v>24.01</v>
      </c>
      <c r="F5357" s="717">
        <v>0</v>
      </c>
      <c r="G5357">
        <f>VLOOKUP(B5357,'SINAPI-%MO'!B:E,4,0)</f>
        <v>0.36780000000000002</v>
      </c>
      <c r="H5357" s="225">
        <f t="shared" si="83"/>
        <v>15.17</v>
      </c>
    </row>
    <row r="5358" spans="1:8" x14ac:dyDescent="0.3">
      <c r="A5358" s="400"/>
      <c r="B5358" s="709">
        <v>105152</v>
      </c>
      <c r="C5358" s="710" t="s">
        <v>4647</v>
      </c>
      <c r="D5358" s="709" t="s">
        <v>136</v>
      </c>
      <c r="E5358" s="716">
        <v>35.81</v>
      </c>
      <c r="F5358" s="717">
        <v>0</v>
      </c>
      <c r="G5358">
        <f>VLOOKUP(B5358,'SINAPI-%MO'!B:E,4,0)</f>
        <v>0.31019999999999998</v>
      </c>
      <c r="H5358" s="225">
        <f t="shared" si="83"/>
        <v>24.7</v>
      </c>
    </row>
    <row r="5359" spans="1:8" x14ac:dyDescent="0.3">
      <c r="A5359" s="400"/>
      <c r="B5359" s="709">
        <v>105153</v>
      </c>
      <c r="C5359" s="710" t="s">
        <v>4648</v>
      </c>
      <c r="D5359" s="709" t="s">
        <v>136</v>
      </c>
      <c r="E5359" s="716">
        <v>56.36</v>
      </c>
      <c r="F5359" s="717">
        <v>0</v>
      </c>
      <c r="G5359">
        <f>VLOOKUP(B5359,'SINAPI-%MO'!B:E,4,0)</f>
        <v>0.26300000000000001</v>
      </c>
      <c r="H5359" s="225">
        <f t="shared" si="83"/>
        <v>41.53</v>
      </c>
    </row>
    <row r="5360" spans="1:8" x14ac:dyDescent="0.3">
      <c r="A5360" s="400"/>
      <c r="B5360" s="709">
        <v>105161</v>
      </c>
      <c r="C5360" s="710" t="s">
        <v>4649</v>
      </c>
      <c r="D5360" s="709" t="s">
        <v>136</v>
      </c>
      <c r="E5360" s="716">
        <v>101.98</v>
      </c>
      <c r="F5360" s="717">
        <v>0</v>
      </c>
      <c r="G5360">
        <f>VLOOKUP(B5360,'SINAPI-%MO'!B:E,4,0)</f>
        <v>0.18640000000000001</v>
      </c>
      <c r="H5360" s="225">
        <f t="shared" si="83"/>
        <v>82.97</v>
      </c>
    </row>
    <row r="5361" spans="1:8" x14ac:dyDescent="0.3">
      <c r="A5361" s="400"/>
      <c r="B5361" s="709">
        <v>105162</v>
      </c>
      <c r="C5361" s="710" t="s">
        <v>4650</v>
      </c>
      <c r="D5361" s="709" t="s">
        <v>136</v>
      </c>
      <c r="E5361" s="716">
        <v>174.47</v>
      </c>
      <c r="F5361" s="717">
        <v>0</v>
      </c>
      <c r="G5361">
        <f>VLOOKUP(B5361,'SINAPI-%MO'!B:E,4,0)</f>
        <v>0.14480000000000001</v>
      </c>
      <c r="H5361" s="225">
        <f t="shared" si="83"/>
        <v>149.19999999999999</v>
      </c>
    </row>
    <row r="5362" spans="1:8" x14ac:dyDescent="0.3">
      <c r="A5362" s="400"/>
      <c r="B5362" s="709">
        <v>105163</v>
      </c>
      <c r="C5362" s="710" t="s">
        <v>4651</v>
      </c>
      <c r="D5362" s="709" t="s">
        <v>136</v>
      </c>
      <c r="E5362" s="716">
        <v>15.14</v>
      </c>
      <c r="F5362" s="717">
        <v>0</v>
      </c>
      <c r="G5362">
        <f>VLOOKUP(B5362,'SINAPI-%MO'!B:E,4,0)</f>
        <v>0.48680000000000001</v>
      </c>
      <c r="H5362" s="225">
        <f t="shared" si="83"/>
        <v>7.76</v>
      </c>
    </row>
    <row r="5363" spans="1:8" x14ac:dyDescent="0.3">
      <c r="A5363" s="400"/>
      <c r="B5363" s="709">
        <v>105170</v>
      </c>
      <c r="C5363" s="710" t="s">
        <v>4652</v>
      </c>
      <c r="D5363" s="709" t="s">
        <v>136</v>
      </c>
      <c r="E5363" s="716">
        <v>6.58</v>
      </c>
      <c r="F5363" s="717">
        <v>0</v>
      </c>
      <c r="G5363">
        <f>VLOOKUP(B5363,'SINAPI-%MO'!B:E,4,0)</f>
        <v>0.503</v>
      </c>
      <c r="H5363" s="225">
        <f t="shared" si="83"/>
        <v>3.27</v>
      </c>
    </row>
    <row r="5364" spans="1:8" x14ac:dyDescent="0.3">
      <c r="A5364" s="400"/>
      <c r="B5364" s="709">
        <v>105179</v>
      </c>
      <c r="C5364" s="710" t="s">
        <v>4653</v>
      </c>
      <c r="D5364" s="709" t="s">
        <v>136</v>
      </c>
      <c r="E5364" s="716">
        <v>11.33</v>
      </c>
      <c r="F5364" s="717">
        <v>0</v>
      </c>
      <c r="G5364">
        <f>VLOOKUP(B5364,'SINAPI-%MO'!B:E,4,0)</f>
        <v>0.3795</v>
      </c>
      <c r="H5364" s="225">
        <f t="shared" si="83"/>
        <v>7.03</v>
      </c>
    </row>
    <row r="5365" spans="1:8" x14ac:dyDescent="0.3">
      <c r="A5365" s="400"/>
      <c r="B5365" s="709">
        <v>105180</v>
      </c>
      <c r="C5365" s="710" t="s">
        <v>4654</v>
      </c>
      <c r="D5365" s="709" t="s">
        <v>136</v>
      </c>
      <c r="E5365" s="716">
        <v>15.54</v>
      </c>
      <c r="F5365" s="717">
        <v>0</v>
      </c>
      <c r="G5365">
        <f>VLOOKUP(B5365,'SINAPI-%MO'!B:E,4,0)</f>
        <v>0.37069999999999997</v>
      </c>
      <c r="H5365" s="225">
        <f t="shared" si="83"/>
        <v>9.77</v>
      </c>
    </row>
    <row r="5366" spans="1:8" x14ac:dyDescent="0.3">
      <c r="A5366" s="400"/>
      <c r="B5366" s="709">
        <v>105181</v>
      </c>
      <c r="C5366" s="710" t="s">
        <v>4655</v>
      </c>
      <c r="D5366" s="709" t="s">
        <v>136</v>
      </c>
      <c r="E5366" s="716">
        <v>20.92</v>
      </c>
      <c r="F5366" s="717">
        <v>0</v>
      </c>
      <c r="G5366">
        <f>VLOOKUP(B5366,'SINAPI-%MO'!B:E,4,0)</f>
        <v>0.38429999999999997</v>
      </c>
      <c r="H5366" s="225">
        <f t="shared" si="83"/>
        <v>12.88</v>
      </c>
    </row>
    <row r="5367" spans="1:8" x14ac:dyDescent="0.3">
      <c r="A5367" s="400"/>
      <c r="B5367" s="709">
        <v>105182</v>
      </c>
      <c r="C5367" s="710" t="s">
        <v>4656</v>
      </c>
      <c r="D5367" s="709" t="s">
        <v>136</v>
      </c>
      <c r="E5367" s="716">
        <v>49.22</v>
      </c>
      <c r="F5367" s="717">
        <v>0</v>
      </c>
      <c r="G5367">
        <f>VLOOKUP(B5367,'SINAPI-%MO'!B:E,4,0)</f>
        <v>0.22</v>
      </c>
      <c r="H5367" s="225">
        <f t="shared" si="83"/>
        <v>38.39</v>
      </c>
    </row>
    <row r="5368" spans="1:8" x14ac:dyDescent="0.3">
      <c r="A5368" s="400"/>
      <c r="B5368" s="709">
        <v>105183</v>
      </c>
      <c r="C5368" s="710" t="s">
        <v>4657</v>
      </c>
      <c r="D5368" s="709" t="s">
        <v>136</v>
      </c>
      <c r="E5368" s="716">
        <v>103.64</v>
      </c>
      <c r="F5368" s="717">
        <v>0</v>
      </c>
      <c r="G5368">
        <f>VLOOKUP(B5368,'SINAPI-%MO'!B:E,4,0)</f>
        <v>0.15390000000000001</v>
      </c>
      <c r="H5368" s="225">
        <f t="shared" si="83"/>
        <v>87.68</v>
      </c>
    </row>
    <row r="5369" spans="1:8" x14ac:dyDescent="0.3">
      <c r="A5369" s="400"/>
      <c r="B5369" s="709">
        <v>105184</v>
      </c>
      <c r="C5369" s="710" t="s">
        <v>4658</v>
      </c>
      <c r="D5369" s="709" t="s">
        <v>136</v>
      </c>
      <c r="E5369" s="716">
        <v>128.36000000000001</v>
      </c>
      <c r="F5369" s="717">
        <v>0</v>
      </c>
      <c r="G5369">
        <f>VLOOKUP(B5369,'SINAPI-%MO'!B:E,4,0)</f>
        <v>0.15579999999999999</v>
      </c>
      <c r="H5369" s="225">
        <f t="shared" si="83"/>
        <v>108.36</v>
      </c>
    </row>
    <row r="5370" spans="1:8" x14ac:dyDescent="0.3">
      <c r="A5370" s="400"/>
      <c r="B5370" s="709">
        <v>94612</v>
      </c>
      <c r="C5370" s="710" t="s">
        <v>4659</v>
      </c>
      <c r="D5370" s="709" t="s">
        <v>136</v>
      </c>
      <c r="E5370" s="716">
        <v>556.66999999999996</v>
      </c>
      <c r="F5370" s="717">
        <v>0.94989999999999997</v>
      </c>
      <c r="G5370">
        <f>VLOOKUP(B5370,'SINAPI-%MO'!B:E,4,0)</f>
        <v>4.9599999999999998E-2</v>
      </c>
      <c r="H5370" s="225">
        <f t="shared" si="83"/>
        <v>529.04999999999995</v>
      </c>
    </row>
    <row r="5371" spans="1:8" x14ac:dyDescent="0.3">
      <c r="A5371" s="400"/>
      <c r="B5371" s="709">
        <v>105142</v>
      </c>
      <c r="C5371" s="710" t="s">
        <v>4660</v>
      </c>
      <c r="D5371" s="709" t="s">
        <v>136</v>
      </c>
      <c r="E5371" s="716">
        <v>8.0399999999999991</v>
      </c>
      <c r="F5371" s="717">
        <v>0</v>
      </c>
      <c r="G5371">
        <f>VLOOKUP(B5371,'SINAPI-%MO'!B:E,4,0)</f>
        <v>0.31590000000000001</v>
      </c>
      <c r="H5371" s="225">
        <f t="shared" si="83"/>
        <v>5.5</v>
      </c>
    </row>
    <row r="5372" spans="1:8" x14ac:dyDescent="0.3">
      <c r="A5372" s="400"/>
      <c r="B5372" s="709">
        <v>105143</v>
      </c>
      <c r="C5372" s="710" t="s">
        <v>4661</v>
      </c>
      <c r="D5372" s="709" t="s">
        <v>136</v>
      </c>
      <c r="E5372" s="716">
        <v>12.07</v>
      </c>
      <c r="F5372" s="717">
        <v>0</v>
      </c>
      <c r="G5372">
        <f>VLOOKUP(B5372,'SINAPI-%MO'!B:E,4,0)</f>
        <v>0.27839999999999998</v>
      </c>
      <c r="H5372" s="225">
        <f t="shared" si="83"/>
        <v>8.6999999999999993</v>
      </c>
    </row>
    <row r="5373" spans="1:8" x14ac:dyDescent="0.3">
      <c r="A5373" s="400"/>
      <c r="B5373" s="709">
        <v>105144</v>
      </c>
      <c r="C5373" s="710" t="s">
        <v>4662</v>
      </c>
      <c r="D5373" s="709" t="s">
        <v>136</v>
      </c>
      <c r="E5373" s="716">
        <v>25.62</v>
      </c>
      <c r="F5373" s="717">
        <v>0</v>
      </c>
      <c r="G5373">
        <f>VLOOKUP(B5373,'SINAPI-%MO'!B:E,4,0)</f>
        <v>0.2455</v>
      </c>
      <c r="H5373" s="225">
        <f t="shared" si="83"/>
        <v>19.329999999999998</v>
      </c>
    </row>
    <row r="5374" spans="1:8" x14ac:dyDescent="0.3">
      <c r="A5374" s="400"/>
      <c r="B5374" s="709">
        <v>105173</v>
      </c>
      <c r="C5374" s="710" t="s">
        <v>4663</v>
      </c>
      <c r="D5374" s="709" t="s">
        <v>136</v>
      </c>
      <c r="E5374" s="716">
        <v>74.59</v>
      </c>
      <c r="F5374" s="717">
        <v>0</v>
      </c>
      <c r="G5374">
        <f>VLOOKUP(B5374,'SINAPI-%MO'!B:E,4,0)</f>
        <v>0.2616</v>
      </c>
      <c r="H5374" s="225">
        <f t="shared" si="83"/>
        <v>55.07</v>
      </c>
    </row>
    <row r="5375" spans="1:8" x14ac:dyDescent="0.3">
      <c r="A5375" s="400"/>
      <c r="B5375" s="709">
        <v>105175</v>
      </c>
      <c r="C5375" s="710" t="s">
        <v>4664</v>
      </c>
      <c r="D5375" s="709" t="s">
        <v>136</v>
      </c>
      <c r="E5375" s="716">
        <v>105.02</v>
      </c>
      <c r="F5375" s="717">
        <v>0</v>
      </c>
      <c r="G5375">
        <f>VLOOKUP(B5375,'SINAPI-%MO'!B:E,4,0)</f>
        <v>0.2039</v>
      </c>
      <c r="H5375" s="225">
        <f t="shared" si="83"/>
        <v>83.6</v>
      </c>
    </row>
    <row r="5376" spans="1:8" x14ac:dyDescent="0.3">
      <c r="A5376" s="400"/>
      <c r="B5376" s="709">
        <v>105174</v>
      </c>
      <c r="C5376" s="710" t="s">
        <v>4665</v>
      </c>
      <c r="D5376" s="709" t="s">
        <v>136</v>
      </c>
      <c r="E5376" s="716">
        <v>106.61</v>
      </c>
      <c r="F5376" s="717">
        <v>0</v>
      </c>
      <c r="G5376">
        <f>VLOOKUP(B5376,'SINAPI-%MO'!B:E,4,0)</f>
        <v>0.215</v>
      </c>
      <c r="H5376" s="225">
        <f t="shared" si="83"/>
        <v>83.68</v>
      </c>
    </row>
    <row r="5377" spans="1:8" x14ac:dyDescent="0.3">
      <c r="A5377" s="400"/>
      <c r="B5377" s="709">
        <v>105145</v>
      </c>
      <c r="C5377" s="710" t="s">
        <v>4666</v>
      </c>
      <c r="D5377" s="709" t="s">
        <v>136</v>
      </c>
      <c r="E5377" s="716">
        <v>13.98</v>
      </c>
      <c r="F5377" s="717">
        <v>0</v>
      </c>
      <c r="G5377">
        <f>VLOOKUP(B5377,'SINAPI-%MO'!B:E,4,0)</f>
        <v>0.27039999999999997</v>
      </c>
      <c r="H5377" s="225">
        <f t="shared" si="83"/>
        <v>10.19</v>
      </c>
    </row>
    <row r="5378" spans="1:8" x14ac:dyDescent="0.3">
      <c r="A5378" s="400"/>
      <c r="B5378" s="709">
        <v>94606</v>
      </c>
      <c r="C5378" s="710" t="s">
        <v>4667</v>
      </c>
      <c r="D5378" s="709" t="s">
        <v>136</v>
      </c>
      <c r="E5378" s="716">
        <v>103.4</v>
      </c>
      <c r="F5378" s="717">
        <v>0.77129999999999999</v>
      </c>
      <c r="G5378">
        <f>VLOOKUP(B5378,'SINAPI-%MO'!B:E,4,0)</f>
        <v>0.22650000000000001</v>
      </c>
      <c r="H5378" s="225">
        <f t="shared" si="83"/>
        <v>79.97</v>
      </c>
    </row>
    <row r="5379" spans="1:8" x14ac:dyDescent="0.3">
      <c r="A5379" s="400"/>
      <c r="B5379" s="709">
        <v>94608</v>
      </c>
      <c r="C5379" s="710" t="s">
        <v>4668</v>
      </c>
      <c r="D5379" s="709" t="s">
        <v>136</v>
      </c>
      <c r="E5379" s="716">
        <v>265.63</v>
      </c>
      <c r="F5379" s="717">
        <v>0.90710000000000002</v>
      </c>
      <c r="G5379">
        <f>VLOOKUP(B5379,'SINAPI-%MO'!B:E,4,0)</f>
        <v>9.1999999999999998E-2</v>
      </c>
      <c r="H5379" s="225">
        <f t="shared" si="83"/>
        <v>241.19</v>
      </c>
    </row>
    <row r="5380" spans="1:8" x14ac:dyDescent="0.3">
      <c r="A5380" s="400"/>
      <c r="B5380" s="709">
        <v>94610</v>
      </c>
      <c r="C5380" s="710" t="s">
        <v>4669</v>
      </c>
      <c r="D5380" s="709" t="s">
        <v>136</v>
      </c>
      <c r="E5380" s="716">
        <v>390.51</v>
      </c>
      <c r="F5380" s="717">
        <v>0.93400000000000005</v>
      </c>
      <c r="G5380">
        <f>VLOOKUP(B5380,'SINAPI-%MO'!B:E,4,0)</f>
        <v>6.54E-2</v>
      </c>
      <c r="H5380" s="225">
        <f t="shared" si="83"/>
        <v>364.97</v>
      </c>
    </row>
    <row r="5381" spans="1:8" x14ac:dyDescent="0.3">
      <c r="A5381" s="400"/>
      <c r="B5381" s="709">
        <v>94657</v>
      </c>
      <c r="C5381" s="710" t="s">
        <v>4670</v>
      </c>
      <c r="D5381" s="709" t="s">
        <v>136</v>
      </c>
      <c r="E5381" s="716">
        <v>4.63</v>
      </c>
      <c r="F5381" s="717">
        <v>0</v>
      </c>
      <c r="G5381">
        <f>VLOOKUP(B5381,'SINAPI-%MO'!B:E,4,0)</f>
        <v>0.47520000000000001</v>
      </c>
      <c r="H5381" s="225">
        <f t="shared" si="83"/>
        <v>2.42</v>
      </c>
    </row>
    <row r="5382" spans="1:8" x14ac:dyDescent="0.3">
      <c r="A5382" s="400"/>
      <c r="B5382" s="709">
        <v>94659</v>
      </c>
      <c r="C5382" s="710" t="s">
        <v>4671</v>
      </c>
      <c r="D5382" s="709" t="s">
        <v>136</v>
      </c>
      <c r="E5382" s="716">
        <v>7.25</v>
      </c>
      <c r="F5382" s="717">
        <v>0</v>
      </c>
      <c r="G5382">
        <f>VLOOKUP(B5382,'SINAPI-%MO'!B:E,4,0)</f>
        <v>0.39589999999999997</v>
      </c>
      <c r="H5382" s="225">
        <f t="shared" si="83"/>
        <v>4.37</v>
      </c>
    </row>
    <row r="5383" spans="1:8" x14ac:dyDescent="0.3">
      <c r="A5383" s="400"/>
      <c r="B5383" s="709">
        <v>94739</v>
      </c>
      <c r="C5383" s="710" t="s">
        <v>4672</v>
      </c>
      <c r="D5383" s="709" t="s">
        <v>136</v>
      </c>
      <c r="E5383" s="716">
        <v>318.35000000000002</v>
      </c>
      <c r="F5383" s="717">
        <v>0</v>
      </c>
      <c r="G5383">
        <f>VLOOKUP(B5383,'SINAPI-%MO'!B:E,4,0)</f>
        <v>7.2400000000000006E-2</v>
      </c>
      <c r="H5383" s="225">
        <f t="shared" si="83"/>
        <v>295.3</v>
      </c>
    </row>
    <row r="5384" spans="1:8" x14ac:dyDescent="0.3">
      <c r="A5384" s="400"/>
      <c r="B5384" s="709">
        <v>94725</v>
      </c>
      <c r="C5384" s="710" t="s">
        <v>4673</v>
      </c>
      <c r="D5384" s="709" t="s">
        <v>136</v>
      </c>
      <c r="E5384" s="716">
        <v>8.99</v>
      </c>
      <c r="F5384" s="717">
        <v>0</v>
      </c>
      <c r="G5384">
        <f>VLOOKUP(B5384,'SINAPI-%MO'!B:E,4,0)</f>
        <v>0.218</v>
      </c>
      <c r="H5384" s="225">
        <f t="shared" si="83"/>
        <v>7.03</v>
      </c>
    </row>
    <row r="5385" spans="1:8" x14ac:dyDescent="0.3">
      <c r="A5385" s="400"/>
      <c r="B5385" s="709">
        <v>94727</v>
      </c>
      <c r="C5385" s="710" t="s">
        <v>4674</v>
      </c>
      <c r="D5385" s="709" t="s">
        <v>136</v>
      </c>
      <c r="E5385" s="716">
        <v>14.92</v>
      </c>
      <c r="F5385" s="717">
        <v>0</v>
      </c>
      <c r="G5385">
        <f>VLOOKUP(B5385,'SINAPI-%MO'!B:E,4,0)</f>
        <v>0.16550000000000001</v>
      </c>
      <c r="H5385" s="225">
        <f t="shared" si="83"/>
        <v>12.45</v>
      </c>
    </row>
    <row r="5386" spans="1:8" x14ac:dyDescent="0.3">
      <c r="A5386" s="400"/>
      <c r="B5386" s="709">
        <v>94729</v>
      </c>
      <c r="C5386" s="710" t="s">
        <v>4675</v>
      </c>
      <c r="D5386" s="709" t="s">
        <v>136</v>
      </c>
      <c r="E5386" s="716">
        <v>26.25</v>
      </c>
      <c r="F5386" s="717">
        <v>0</v>
      </c>
      <c r="G5386">
        <f>VLOOKUP(B5386,'SINAPI-%MO'!B:E,4,0)</f>
        <v>0.12230000000000001</v>
      </c>
      <c r="H5386" s="225">
        <f t="shared" si="83"/>
        <v>23.03</v>
      </c>
    </row>
    <row r="5387" spans="1:8" x14ac:dyDescent="0.3">
      <c r="A5387" s="400"/>
      <c r="B5387" s="709">
        <v>94731</v>
      </c>
      <c r="C5387" s="710" t="s">
        <v>4676</v>
      </c>
      <c r="D5387" s="709" t="s">
        <v>136</v>
      </c>
      <c r="E5387" s="716">
        <v>34.909999999999997</v>
      </c>
      <c r="F5387" s="717">
        <v>0</v>
      </c>
      <c r="G5387">
        <f>VLOOKUP(B5387,'SINAPI-%MO'!B:E,4,0)</f>
        <v>0.11799999999999999</v>
      </c>
      <c r="H5387" s="225">
        <f t="shared" ref="H5387:H5450" si="84">IF(E5387&gt;0,TRUNC(E5387*(1-G5387),2),"")</f>
        <v>30.79</v>
      </c>
    </row>
    <row r="5388" spans="1:8" x14ac:dyDescent="0.3">
      <c r="A5388" s="400"/>
      <c r="B5388" s="709">
        <v>94733</v>
      </c>
      <c r="C5388" s="710" t="s">
        <v>4677</v>
      </c>
      <c r="D5388" s="709" t="s">
        <v>136</v>
      </c>
      <c r="E5388" s="716">
        <v>61.85</v>
      </c>
      <c r="F5388" s="717">
        <v>0</v>
      </c>
      <c r="G5388">
        <f>VLOOKUP(B5388,'SINAPI-%MO'!B:E,4,0)</f>
        <v>9.8000000000000004E-2</v>
      </c>
      <c r="H5388" s="225">
        <f t="shared" si="84"/>
        <v>55.78</v>
      </c>
    </row>
    <row r="5389" spans="1:8" x14ac:dyDescent="0.3">
      <c r="A5389" s="400"/>
      <c r="B5389" s="709">
        <v>94863</v>
      </c>
      <c r="C5389" s="710" t="s">
        <v>4678</v>
      </c>
      <c r="D5389" s="709" t="s">
        <v>136</v>
      </c>
      <c r="E5389" s="716">
        <v>219.57</v>
      </c>
      <c r="F5389" s="717">
        <v>0</v>
      </c>
      <c r="G5389">
        <f>VLOOKUP(B5389,'SINAPI-%MO'!B:E,4,0)</f>
        <v>4.6199999999999998E-2</v>
      </c>
      <c r="H5389" s="225">
        <f t="shared" si="84"/>
        <v>209.42</v>
      </c>
    </row>
    <row r="5390" spans="1:8" x14ac:dyDescent="0.3">
      <c r="A5390" s="400"/>
      <c r="B5390" s="709">
        <v>94737</v>
      </c>
      <c r="C5390" s="710" t="s">
        <v>4679</v>
      </c>
      <c r="D5390" s="709" t="s">
        <v>136</v>
      </c>
      <c r="E5390" s="716">
        <v>260.66000000000003</v>
      </c>
      <c r="F5390" s="717">
        <v>0</v>
      </c>
      <c r="G5390">
        <f>VLOOKUP(B5390,'SINAPI-%MO'!B:E,4,0)</f>
        <v>5.5599999999999997E-2</v>
      </c>
      <c r="H5390" s="225">
        <f t="shared" si="84"/>
        <v>246.16</v>
      </c>
    </row>
    <row r="5391" spans="1:8" x14ac:dyDescent="0.3">
      <c r="A5391" s="400"/>
      <c r="B5391" s="709">
        <v>94465</v>
      </c>
      <c r="C5391" s="710" t="s">
        <v>4680</v>
      </c>
      <c r="D5391" s="709" t="s">
        <v>136</v>
      </c>
      <c r="E5391" s="716">
        <v>46.54</v>
      </c>
      <c r="F5391" s="717">
        <v>0</v>
      </c>
      <c r="G5391">
        <f>VLOOKUP(B5391,'SINAPI-%MO'!B:E,4,0)</f>
        <v>0.38679999999999998</v>
      </c>
      <c r="H5391" s="225">
        <f t="shared" si="84"/>
        <v>28.53</v>
      </c>
    </row>
    <row r="5392" spans="1:8" x14ac:dyDescent="0.3">
      <c r="A5392" s="400"/>
      <c r="B5392" s="709">
        <v>94467</v>
      </c>
      <c r="C5392" s="710" t="s">
        <v>4681</v>
      </c>
      <c r="D5392" s="709" t="s">
        <v>136</v>
      </c>
      <c r="E5392" s="716">
        <v>72.75</v>
      </c>
      <c r="F5392" s="717">
        <v>0</v>
      </c>
      <c r="G5392">
        <f>VLOOKUP(B5392,'SINAPI-%MO'!B:E,4,0)</f>
        <v>0.28910000000000002</v>
      </c>
      <c r="H5392" s="225">
        <f t="shared" si="84"/>
        <v>51.71</v>
      </c>
    </row>
    <row r="5393" spans="1:8" x14ac:dyDescent="0.3">
      <c r="A5393" s="400"/>
      <c r="B5393" s="709">
        <v>94469</v>
      </c>
      <c r="C5393" s="710" t="s">
        <v>4682</v>
      </c>
      <c r="D5393" s="709" t="s">
        <v>136</v>
      </c>
      <c r="E5393" s="716">
        <v>102.56</v>
      </c>
      <c r="F5393" s="717">
        <v>0</v>
      </c>
      <c r="G5393">
        <f>VLOOKUP(B5393,'SINAPI-%MO'!B:E,4,0)</f>
        <v>0.24199999999999999</v>
      </c>
      <c r="H5393" s="225">
        <f t="shared" si="84"/>
        <v>77.739999999999995</v>
      </c>
    </row>
    <row r="5394" spans="1:8" x14ac:dyDescent="0.3">
      <c r="A5394" s="400"/>
      <c r="B5394" s="709">
        <v>96746</v>
      </c>
      <c r="C5394" s="710" t="s">
        <v>4683</v>
      </c>
      <c r="D5394" s="709" t="s">
        <v>136</v>
      </c>
      <c r="E5394" s="716">
        <v>118.87</v>
      </c>
      <c r="F5394" s="717">
        <v>0</v>
      </c>
      <c r="G5394">
        <f>VLOOKUP(B5394,'SINAPI-%MO'!B:E,4,0)</f>
        <v>0.19850000000000001</v>
      </c>
      <c r="H5394" s="225">
        <f t="shared" si="84"/>
        <v>95.27</v>
      </c>
    </row>
    <row r="5395" spans="1:8" x14ac:dyDescent="0.3">
      <c r="A5395" s="400"/>
      <c r="B5395" s="709">
        <v>96736</v>
      </c>
      <c r="C5395" s="710" t="s">
        <v>4684</v>
      </c>
      <c r="D5395" s="709" t="s">
        <v>136</v>
      </c>
      <c r="E5395" s="716">
        <v>6.43</v>
      </c>
      <c r="F5395" s="717">
        <v>0</v>
      </c>
      <c r="G5395">
        <f>VLOOKUP(B5395,'SINAPI-%MO'!B:E,4,0)</f>
        <v>0.5988</v>
      </c>
      <c r="H5395" s="225">
        <f t="shared" si="84"/>
        <v>2.57</v>
      </c>
    </row>
    <row r="5396" spans="1:8" x14ac:dyDescent="0.3">
      <c r="A5396" s="400"/>
      <c r="B5396" s="709">
        <v>96737</v>
      </c>
      <c r="C5396" s="710" t="s">
        <v>4685</v>
      </c>
      <c r="D5396" s="709" t="s">
        <v>136</v>
      </c>
      <c r="E5396" s="716">
        <v>6.6</v>
      </c>
      <c r="F5396" s="717">
        <v>0</v>
      </c>
      <c r="G5396">
        <f>VLOOKUP(B5396,'SINAPI-%MO'!B:E,4,0)</f>
        <v>0.64090000000000003</v>
      </c>
      <c r="H5396" s="225">
        <f t="shared" si="84"/>
        <v>2.37</v>
      </c>
    </row>
    <row r="5397" spans="1:8" x14ac:dyDescent="0.3">
      <c r="A5397" s="400"/>
      <c r="B5397" s="709">
        <v>96739</v>
      </c>
      <c r="C5397" s="710" t="s">
        <v>4686</v>
      </c>
      <c r="D5397" s="709" t="s">
        <v>136</v>
      </c>
      <c r="E5397" s="716">
        <v>9.11</v>
      </c>
      <c r="F5397" s="717">
        <v>0</v>
      </c>
      <c r="G5397">
        <f>VLOOKUP(B5397,'SINAPI-%MO'!B:E,4,0)</f>
        <v>0.53790000000000004</v>
      </c>
      <c r="H5397" s="225">
        <f t="shared" si="84"/>
        <v>4.2</v>
      </c>
    </row>
    <row r="5398" spans="1:8" x14ac:dyDescent="0.3">
      <c r="A5398" s="400"/>
      <c r="B5398" s="709">
        <v>96741</v>
      </c>
      <c r="C5398" s="710" t="s">
        <v>4687</v>
      </c>
      <c r="D5398" s="709" t="s">
        <v>136</v>
      </c>
      <c r="E5398" s="716">
        <v>17.8</v>
      </c>
      <c r="F5398" s="717">
        <v>0</v>
      </c>
      <c r="G5398">
        <f>VLOOKUP(B5398,'SINAPI-%MO'!B:E,4,0)</f>
        <v>0.33029999999999998</v>
      </c>
      <c r="H5398" s="225">
        <f t="shared" si="84"/>
        <v>11.92</v>
      </c>
    </row>
    <row r="5399" spans="1:8" x14ac:dyDescent="0.3">
      <c r="A5399" s="400"/>
      <c r="B5399" s="709">
        <v>96742</v>
      </c>
      <c r="C5399" s="710" t="s">
        <v>4688</v>
      </c>
      <c r="D5399" s="709" t="s">
        <v>136</v>
      </c>
      <c r="E5399" s="716">
        <v>21.86</v>
      </c>
      <c r="F5399" s="717">
        <v>0</v>
      </c>
      <c r="G5399">
        <f>VLOOKUP(B5399,'SINAPI-%MO'!B:E,4,0)</f>
        <v>0.33810000000000001</v>
      </c>
      <c r="H5399" s="225">
        <f t="shared" si="84"/>
        <v>14.46</v>
      </c>
    </row>
    <row r="5400" spans="1:8" x14ac:dyDescent="0.3">
      <c r="A5400" s="400"/>
      <c r="B5400" s="709">
        <v>96743</v>
      </c>
      <c r="C5400" s="710" t="s">
        <v>4689</v>
      </c>
      <c r="D5400" s="709" t="s">
        <v>136</v>
      </c>
      <c r="E5400" s="716">
        <v>34.15</v>
      </c>
      <c r="F5400" s="717">
        <v>0</v>
      </c>
      <c r="G5400">
        <f>VLOOKUP(B5400,'SINAPI-%MO'!B:E,4,0)</f>
        <v>0.2893</v>
      </c>
      <c r="H5400" s="225">
        <f t="shared" si="84"/>
        <v>24.27</v>
      </c>
    </row>
    <row r="5401" spans="1:8" x14ac:dyDescent="0.3">
      <c r="A5401" s="400"/>
      <c r="B5401" s="709">
        <v>96744</v>
      </c>
      <c r="C5401" s="710" t="s">
        <v>4690</v>
      </c>
      <c r="D5401" s="709" t="s">
        <v>136</v>
      </c>
      <c r="E5401" s="716">
        <v>57.67</v>
      </c>
      <c r="F5401" s="717">
        <v>0</v>
      </c>
      <c r="G5401">
        <f>VLOOKUP(B5401,'SINAPI-%MO'!B:E,4,0)</f>
        <v>0.21970000000000001</v>
      </c>
      <c r="H5401" s="225">
        <f t="shared" si="84"/>
        <v>44.99</v>
      </c>
    </row>
    <row r="5402" spans="1:8" x14ac:dyDescent="0.3">
      <c r="A5402" s="400"/>
      <c r="B5402" s="709">
        <v>96745</v>
      </c>
      <c r="C5402" s="710" t="s">
        <v>4691</v>
      </c>
      <c r="D5402" s="709" t="s">
        <v>136</v>
      </c>
      <c r="E5402" s="716">
        <v>90.45</v>
      </c>
      <c r="F5402" s="717">
        <v>0</v>
      </c>
      <c r="G5402">
        <f>VLOOKUP(B5402,'SINAPI-%MO'!B:E,4,0)</f>
        <v>0.1862</v>
      </c>
      <c r="H5402" s="225">
        <f t="shared" si="84"/>
        <v>73.599999999999994</v>
      </c>
    </row>
    <row r="5403" spans="1:8" x14ac:dyDescent="0.3">
      <c r="A5403" s="400"/>
      <c r="B5403" s="709">
        <v>94671</v>
      </c>
      <c r="C5403" s="710" t="s">
        <v>4692</v>
      </c>
      <c r="D5403" s="709" t="s">
        <v>136</v>
      </c>
      <c r="E5403" s="716">
        <v>125.54</v>
      </c>
      <c r="F5403" s="717">
        <v>0</v>
      </c>
      <c r="G5403">
        <f>VLOOKUP(B5403,'SINAPI-%MO'!B:E,4,0)</f>
        <v>0.17169999999999999</v>
      </c>
      <c r="H5403" s="225">
        <f t="shared" si="84"/>
        <v>103.98</v>
      </c>
    </row>
    <row r="5404" spans="1:8" x14ac:dyDescent="0.3">
      <c r="A5404" s="400"/>
      <c r="B5404" s="709">
        <v>94661</v>
      </c>
      <c r="C5404" s="710" t="s">
        <v>4693</v>
      </c>
      <c r="D5404" s="709" t="s">
        <v>136</v>
      </c>
      <c r="E5404" s="716">
        <v>11.52</v>
      </c>
      <c r="F5404" s="717">
        <v>0</v>
      </c>
      <c r="G5404">
        <f>VLOOKUP(B5404,'SINAPI-%MO'!B:E,4,0)</f>
        <v>0.33329999999999999</v>
      </c>
      <c r="H5404" s="225">
        <f t="shared" si="84"/>
        <v>7.68</v>
      </c>
    </row>
    <row r="5405" spans="1:8" x14ac:dyDescent="0.3">
      <c r="A5405" s="400"/>
      <c r="B5405" s="709">
        <v>94663</v>
      </c>
      <c r="C5405" s="710" t="s">
        <v>4694</v>
      </c>
      <c r="D5405" s="709" t="s">
        <v>136</v>
      </c>
      <c r="E5405" s="716">
        <v>14.39</v>
      </c>
      <c r="F5405" s="717">
        <v>0</v>
      </c>
      <c r="G5405">
        <f>VLOOKUP(B5405,'SINAPI-%MO'!B:E,4,0)</f>
        <v>0.3725</v>
      </c>
      <c r="H5405" s="225">
        <f t="shared" si="84"/>
        <v>9.02</v>
      </c>
    </row>
    <row r="5406" spans="1:8" x14ac:dyDescent="0.3">
      <c r="A5406" s="400"/>
      <c r="B5406" s="709">
        <v>94665</v>
      </c>
      <c r="C5406" s="710" t="s">
        <v>4695</v>
      </c>
      <c r="D5406" s="709" t="s">
        <v>136</v>
      </c>
      <c r="E5406" s="716">
        <v>28.54</v>
      </c>
      <c r="F5406" s="717">
        <v>0</v>
      </c>
      <c r="G5406">
        <f>VLOOKUP(B5406,'SINAPI-%MO'!B:E,4,0)</f>
        <v>0.25259999999999999</v>
      </c>
      <c r="H5406" s="225">
        <f t="shared" si="84"/>
        <v>21.33</v>
      </c>
    </row>
    <row r="5407" spans="1:8" x14ac:dyDescent="0.3">
      <c r="A5407" s="400"/>
      <c r="B5407" s="709">
        <v>94667</v>
      </c>
      <c r="C5407" s="710" t="s">
        <v>4696</v>
      </c>
      <c r="D5407" s="709" t="s">
        <v>136</v>
      </c>
      <c r="E5407" s="716">
        <v>42</v>
      </c>
      <c r="F5407" s="717">
        <v>0</v>
      </c>
      <c r="G5407">
        <f>VLOOKUP(B5407,'SINAPI-%MO'!B:E,4,0)</f>
        <v>0.25309999999999999</v>
      </c>
      <c r="H5407" s="225">
        <f t="shared" si="84"/>
        <v>31.36</v>
      </c>
    </row>
    <row r="5408" spans="1:8" x14ac:dyDescent="0.3">
      <c r="A5408" s="400"/>
      <c r="B5408" s="709">
        <v>94669</v>
      </c>
      <c r="C5408" s="710" t="s">
        <v>4697</v>
      </c>
      <c r="D5408" s="709" t="s">
        <v>136</v>
      </c>
      <c r="E5408" s="716">
        <v>76.52</v>
      </c>
      <c r="F5408" s="717">
        <v>0</v>
      </c>
      <c r="G5408">
        <f>VLOOKUP(B5408,'SINAPI-%MO'!B:E,4,0)</f>
        <v>0.1741</v>
      </c>
      <c r="H5408" s="225">
        <f t="shared" si="84"/>
        <v>63.19</v>
      </c>
    </row>
    <row r="5409" spans="1:8" x14ac:dyDescent="0.3">
      <c r="A5409" s="400"/>
      <c r="B5409" s="709">
        <v>105177</v>
      </c>
      <c r="C5409" s="710" t="s">
        <v>4698</v>
      </c>
      <c r="D5409" s="709" t="s">
        <v>136</v>
      </c>
      <c r="E5409" s="716">
        <v>117.7</v>
      </c>
      <c r="F5409" s="717">
        <v>0</v>
      </c>
      <c r="G5409">
        <f>VLOOKUP(B5409,'SINAPI-%MO'!B:E,4,0)</f>
        <v>0.18190000000000001</v>
      </c>
      <c r="H5409" s="225">
        <f t="shared" si="84"/>
        <v>96.29</v>
      </c>
    </row>
    <row r="5410" spans="1:8" x14ac:dyDescent="0.3">
      <c r="A5410" s="400"/>
      <c r="B5410" s="709">
        <v>105176</v>
      </c>
      <c r="C5410" s="710" t="s">
        <v>4699</v>
      </c>
      <c r="D5410" s="709" t="s">
        <v>136</v>
      </c>
      <c r="E5410" s="716">
        <v>131.91999999999999</v>
      </c>
      <c r="F5410" s="717">
        <v>0</v>
      </c>
      <c r="G5410">
        <f>VLOOKUP(B5410,'SINAPI-%MO'!B:E,4,0)</f>
        <v>0.17369999999999999</v>
      </c>
      <c r="H5410" s="225">
        <f t="shared" si="84"/>
        <v>109</v>
      </c>
    </row>
    <row r="5411" spans="1:8" x14ac:dyDescent="0.3">
      <c r="A5411" s="400"/>
      <c r="B5411" s="709">
        <v>94466</v>
      </c>
      <c r="C5411" s="710" t="s">
        <v>4700</v>
      </c>
      <c r="D5411" s="709" t="s">
        <v>136</v>
      </c>
      <c r="E5411" s="716">
        <v>46.56</v>
      </c>
      <c r="F5411" s="717">
        <v>0</v>
      </c>
      <c r="G5411">
        <f>VLOOKUP(B5411,'SINAPI-%MO'!B:E,4,0)</f>
        <v>0.3866</v>
      </c>
      <c r="H5411" s="225">
        <f t="shared" si="84"/>
        <v>28.55</v>
      </c>
    </row>
    <row r="5412" spans="1:8" x14ac:dyDescent="0.3">
      <c r="A5412" s="400"/>
      <c r="B5412" s="709">
        <v>94468</v>
      </c>
      <c r="C5412" s="710" t="s">
        <v>4701</v>
      </c>
      <c r="D5412" s="709" t="s">
        <v>136</v>
      </c>
      <c r="E5412" s="716">
        <v>64.59</v>
      </c>
      <c r="F5412" s="717">
        <v>0</v>
      </c>
      <c r="G5412">
        <f>VLOOKUP(B5412,'SINAPI-%MO'!B:E,4,0)</f>
        <v>0.3256</v>
      </c>
      <c r="H5412" s="225">
        <f t="shared" si="84"/>
        <v>43.55</v>
      </c>
    </row>
    <row r="5413" spans="1:8" x14ac:dyDescent="0.3">
      <c r="A5413" s="400"/>
      <c r="B5413" s="709">
        <v>94470</v>
      </c>
      <c r="C5413" s="710" t="s">
        <v>4702</v>
      </c>
      <c r="D5413" s="709" t="s">
        <v>136</v>
      </c>
      <c r="E5413" s="716">
        <v>95.29</v>
      </c>
      <c r="F5413" s="717">
        <v>0</v>
      </c>
      <c r="G5413">
        <f>VLOOKUP(B5413,'SINAPI-%MO'!B:E,4,0)</f>
        <v>0.26050000000000001</v>
      </c>
      <c r="H5413" s="225">
        <f t="shared" si="84"/>
        <v>70.459999999999994</v>
      </c>
    </row>
    <row r="5414" spans="1:8" x14ac:dyDescent="0.3">
      <c r="A5414" s="400"/>
      <c r="B5414" s="709">
        <v>105225</v>
      </c>
      <c r="C5414" s="710" t="s">
        <v>4703</v>
      </c>
      <c r="D5414" s="709" t="s">
        <v>136</v>
      </c>
      <c r="E5414" s="716">
        <v>22.21</v>
      </c>
      <c r="F5414" s="717">
        <v>0</v>
      </c>
      <c r="G5414">
        <f>VLOOKUP(B5414,'SINAPI-%MO'!B:E,4,0)</f>
        <v>0.20710000000000001</v>
      </c>
      <c r="H5414" s="225">
        <f t="shared" si="84"/>
        <v>17.61</v>
      </c>
    </row>
    <row r="5415" spans="1:8" x14ac:dyDescent="0.3">
      <c r="A5415" s="400"/>
      <c r="B5415" s="709">
        <v>105226</v>
      </c>
      <c r="C5415" s="710" t="s">
        <v>4704</v>
      </c>
      <c r="D5415" s="709" t="s">
        <v>136</v>
      </c>
      <c r="E5415" s="716">
        <v>53.88</v>
      </c>
      <c r="F5415" s="717">
        <v>0</v>
      </c>
      <c r="G5415">
        <f>VLOOKUP(B5415,'SINAPI-%MO'!B:E,4,0)</f>
        <v>0.1101</v>
      </c>
      <c r="H5415" s="225">
        <f t="shared" si="84"/>
        <v>47.94</v>
      </c>
    </row>
    <row r="5416" spans="1:8" x14ac:dyDescent="0.3">
      <c r="A5416" s="400"/>
      <c r="B5416" s="709">
        <v>105227</v>
      </c>
      <c r="C5416" s="710" t="s">
        <v>4705</v>
      </c>
      <c r="D5416" s="709" t="s">
        <v>136</v>
      </c>
      <c r="E5416" s="716">
        <v>77.5</v>
      </c>
      <c r="F5416" s="717">
        <v>0</v>
      </c>
      <c r="G5416">
        <f>VLOOKUP(B5416,'SINAPI-%MO'!B:E,4,0)</f>
        <v>9.8500000000000004E-2</v>
      </c>
      <c r="H5416" s="225">
        <f t="shared" si="84"/>
        <v>69.86</v>
      </c>
    </row>
    <row r="5417" spans="1:8" x14ac:dyDescent="0.3">
      <c r="A5417" s="400"/>
      <c r="B5417" s="709">
        <v>105212</v>
      </c>
      <c r="C5417" s="710" t="s">
        <v>4706</v>
      </c>
      <c r="D5417" s="709" t="s">
        <v>136</v>
      </c>
      <c r="E5417" s="716">
        <v>201.97</v>
      </c>
      <c r="F5417" s="717">
        <v>0</v>
      </c>
      <c r="G5417">
        <f>VLOOKUP(B5417,'SINAPI-%MO'!B:E,4,0)</f>
        <v>0.2233</v>
      </c>
      <c r="H5417" s="225">
        <f t="shared" si="84"/>
        <v>156.87</v>
      </c>
    </row>
    <row r="5418" spans="1:8" x14ac:dyDescent="0.3">
      <c r="A5418" s="400"/>
      <c r="B5418" s="709">
        <v>105211</v>
      </c>
      <c r="C5418" s="710" t="s">
        <v>4707</v>
      </c>
      <c r="D5418" s="709" t="s">
        <v>136</v>
      </c>
      <c r="E5418" s="716">
        <v>204.08</v>
      </c>
      <c r="F5418" s="717">
        <v>0</v>
      </c>
      <c r="G5418">
        <f>VLOOKUP(B5418,'SINAPI-%MO'!B:E,4,0)</f>
        <v>0.23089999999999999</v>
      </c>
      <c r="H5418" s="225">
        <f t="shared" si="84"/>
        <v>156.94999999999999</v>
      </c>
    </row>
    <row r="5419" spans="1:8" x14ac:dyDescent="0.3">
      <c r="A5419" s="400"/>
      <c r="B5419" s="709">
        <v>105189</v>
      </c>
      <c r="C5419" s="710" t="s">
        <v>4708</v>
      </c>
      <c r="D5419" s="709" t="s">
        <v>136</v>
      </c>
      <c r="E5419" s="716">
        <v>25.52</v>
      </c>
      <c r="F5419" s="717">
        <v>0</v>
      </c>
      <c r="G5419">
        <f>VLOOKUP(B5419,'SINAPI-%MO'!B:E,4,0)</f>
        <v>0.33739999999999998</v>
      </c>
      <c r="H5419" s="225">
        <f t="shared" si="84"/>
        <v>16.899999999999999</v>
      </c>
    </row>
    <row r="5420" spans="1:8" x14ac:dyDescent="0.3">
      <c r="A5420" s="400"/>
      <c r="B5420" s="709">
        <v>105190</v>
      </c>
      <c r="C5420" s="710" t="s">
        <v>4709</v>
      </c>
      <c r="D5420" s="709" t="s">
        <v>136</v>
      </c>
      <c r="E5420" s="716">
        <v>31.91</v>
      </c>
      <c r="F5420" s="717">
        <v>0</v>
      </c>
      <c r="G5420">
        <f>VLOOKUP(B5420,'SINAPI-%MO'!B:E,4,0)</f>
        <v>0.28420000000000001</v>
      </c>
      <c r="H5420" s="225">
        <f t="shared" si="84"/>
        <v>22.84</v>
      </c>
    </row>
    <row r="5421" spans="1:8" x14ac:dyDescent="0.3">
      <c r="A5421" s="400"/>
      <c r="B5421" s="709">
        <v>94625</v>
      </c>
      <c r="C5421" s="710" t="s">
        <v>4710</v>
      </c>
      <c r="D5421" s="709" t="s">
        <v>136</v>
      </c>
      <c r="E5421" s="716">
        <v>2005</v>
      </c>
      <c r="F5421" s="717">
        <v>0.97219999999999995</v>
      </c>
      <c r="G5421">
        <f>VLOOKUP(B5421,'SINAPI-%MO'!B:E,4,0)</f>
        <v>2.76E-2</v>
      </c>
      <c r="H5421" s="225">
        <f t="shared" si="84"/>
        <v>1949.66</v>
      </c>
    </row>
    <row r="5422" spans="1:8" x14ac:dyDescent="0.3">
      <c r="A5422" s="400"/>
      <c r="B5422" s="709">
        <v>94622</v>
      </c>
      <c r="C5422" s="710" t="s">
        <v>4711</v>
      </c>
      <c r="D5422" s="709" t="s">
        <v>136</v>
      </c>
      <c r="E5422" s="716">
        <v>259.55</v>
      </c>
      <c r="F5422" s="717">
        <v>0.81820000000000004</v>
      </c>
      <c r="G5422">
        <f>VLOOKUP(B5422,'SINAPI-%MO'!B:E,4,0)</f>
        <v>0.18049999999999999</v>
      </c>
      <c r="H5422" s="225">
        <f t="shared" si="84"/>
        <v>212.7</v>
      </c>
    </row>
    <row r="5423" spans="1:8" x14ac:dyDescent="0.3">
      <c r="A5423" s="400"/>
      <c r="B5423" s="709">
        <v>94623</v>
      </c>
      <c r="C5423" s="710" t="s">
        <v>4712</v>
      </c>
      <c r="D5423" s="709" t="s">
        <v>136</v>
      </c>
      <c r="E5423" s="716">
        <v>629.61</v>
      </c>
      <c r="F5423" s="717">
        <v>0.92179999999999995</v>
      </c>
      <c r="G5423">
        <f>VLOOKUP(B5423,'SINAPI-%MO'!B:E,4,0)</f>
        <v>7.7600000000000002E-2</v>
      </c>
      <c r="H5423" s="225">
        <f t="shared" si="84"/>
        <v>580.75</v>
      </c>
    </row>
    <row r="5424" spans="1:8" x14ac:dyDescent="0.3">
      <c r="A5424" s="400"/>
      <c r="B5424" s="709">
        <v>94624</v>
      </c>
      <c r="C5424" s="710" t="s">
        <v>4713</v>
      </c>
      <c r="D5424" s="709" t="s">
        <v>136</v>
      </c>
      <c r="E5424" s="716">
        <v>952.59</v>
      </c>
      <c r="F5424" s="717">
        <v>0.94599999999999995</v>
      </c>
      <c r="G5424">
        <f>VLOOKUP(B5424,'SINAPI-%MO'!B:E,4,0)</f>
        <v>5.3600000000000002E-2</v>
      </c>
      <c r="H5424" s="225">
        <f t="shared" si="84"/>
        <v>901.53</v>
      </c>
    </row>
    <row r="5425" spans="1:8" x14ac:dyDescent="0.3">
      <c r="A5425" s="400"/>
      <c r="B5425" s="709">
        <v>94763</v>
      </c>
      <c r="C5425" s="710" t="s">
        <v>4714</v>
      </c>
      <c r="D5425" s="709" t="s">
        <v>136</v>
      </c>
      <c r="E5425" s="716">
        <v>483.02</v>
      </c>
      <c r="F5425" s="717">
        <v>0</v>
      </c>
      <c r="G5425">
        <f>VLOOKUP(B5425,'SINAPI-%MO'!B:E,4,0)</f>
        <v>9.5500000000000002E-2</v>
      </c>
      <c r="H5425" s="225">
        <f t="shared" si="84"/>
        <v>436.89</v>
      </c>
    </row>
    <row r="5426" spans="1:8" x14ac:dyDescent="0.3">
      <c r="A5426" s="400"/>
      <c r="B5426" s="709">
        <v>94756</v>
      </c>
      <c r="C5426" s="710" t="s">
        <v>4715</v>
      </c>
      <c r="D5426" s="709" t="s">
        <v>136</v>
      </c>
      <c r="E5426" s="716">
        <v>16.309999999999999</v>
      </c>
      <c r="F5426" s="717">
        <v>0</v>
      </c>
      <c r="G5426">
        <f>VLOOKUP(B5426,'SINAPI-%MO'!B:E,4,0)</f>
        <v>0.24099999999999999</v>
      </c>
      <c r="H5426" s="225">
        <f t="shared" si="84"/>
        <v>12.37</v>
      </c>
    </row>
    <row r="5427" spans="1:8" x14ac:dyDescent="0.3">
      <c r="A5427" s="400"/>
      <c r="B5427" s="709">
        <v>94757</v>
      </c>
      <c r="C5427" s="710" t="s">
        <v>4716</v>
      </c>
      <c r="D5427" s="709" t="s">
        <v>136</v>
      </c>
      <c r="E5427" s="716">
        <v>26.15</v>
      </c>
      <c r="F5427" s="717">
        <v>0</v>
      </c>
      <c r="G5427">
        <f>VLOOKUP(B5427,'SINAPI-%MO'!B:E,4,0)</f>
        <v>0.18890000000000001</v>
      </c>
      <c r="H5427" s="225">
        <f t="shared" si="84"/>
        <v>21.21</v>
      </c>
    </row>
    <row r="5428" spans="1:8" x14ac:dyDescent="0.3">
      <c r="A5428" s="400"/>
      <c r="B5428" s="709">
        <v>94758</v>
      </c>
      <c r="C5428" s="710" t="s">
        <v>4717</v>
      </c>
      <c r="D5428" s="709" t="s">
        <v>136</v>
      </c>
      <c r="E5428" s="716">
        <v>68.91</v>
      </c>
      <c r="F5428" s="717">
        <v>0</v>
      </c>
      <c r="G5428">
        <f>VLOOKUP(B5428,'SINAPI-%MO'!B:E,4,0)</f>
        <v>9.3200000000000005E-2</v>
      </c>
      <c r="H5428" s="225">
        <f t="shared" si="84"/>
        <v>62.48</v>
      </c>
    </row>
    <row r="5429" spans="1:8" x14ac:dyDescent="0.3">
      <c r="A5429" s="400"/>
      <c r="B5429" s="709">
        <v>94759</v>
      </c>
      <c r="C5429" s="710" t="s">
        <v>4718</v>
      </c>
      <c r="D5429" s="709" t="s">
        <v>136</v>
      </c>
      <c r="E5429" s="716">
        <v>87.76</v>
      </c>
      <c r="F5429" s="717">
        <v>0</v>
      </c>
      <c r="G5429">
        <f>VLOOKUP(B5429,'SINAPI-%MO'!B:E,4,0)</f>
        <v>9.4E-2</v>
      </c>
      <c r="H5429" s="225">
        <f t="shared" si="84"/>
        <v>79.510000000000005</v>
      </c>
    </row>
    <row r="5430" spans="1:8" x14ac:dyDescent="0.3">
      <c r="A5430" s="400"/>
      <c r="B5430" s="709">
        <v>94760</v>
      </c>
      <c r="C5430" s="710" t="s">
        <v>4719</v>
      </c>
      <c r="D5430" s="709" t="s">
        <v>136</v>
      </c>
      <c r="E5430" s="716">
        <v>140.41</v>
      </c>
      <c r="F5430" s="717">
        <v>0</v>
      </c>
      <c r="G5430">
        <f>VLOOKUP(B5430,'SINAPI-%MO'!B:E,4,0)</f>
        <v>8.6499999999999994E-2</v>
      </c>
      <c r="H5430" s="225">
        <f t="shared" si="84"/>
        <v>128.26</v>
      </c>
    </row>
    <row r="5431" spans="1:8" x14ac:dyDescent="0.3">
      <c r="A5431" s="400"/>
      <c r="B5431" s="709">
        <v>94761</v>
      </c>
      <c r="C5431" s="710" t="s">
        <v>4720</v>
      </c>
      <c r="D5431" s="709" t="s">
        <v>136</v>
      </c>
      <c r="E5431" s="716">
        <v>306.3</v>
      </c>
      <c r="F5431" s="717">
        <v>0</v>
      </c>
      <c r="G5431">
        <f>VLOOKUP(B5431,'SINAPI-%MO'!B:E,4,0)</f>
        <v>6.6100000000000006E-2</v>
      </c>
      <c r="H5431" s="225">
        <f t="shared" si="84"/>
        <v>286.05</v>
      </c>
    </row>
    <row r="5432" spans="1:8" x14ac:dyDescent="0.3">
      <c r="A5432" s="400"/>
      <c r="B5432" s="709">
        <v>94762</v>
      </c>
      <c r="C5432" s="710" t="s">
        <v>4721</v>
      </c>
      <c r="D5432" s="709" t="s">
        <v>136</v>
      </c>
      <c r="E5432" s="716">
        <v>369.8</v>
      </c>
      <c r="F5432" s="717">
        <v>0</v>
      </c>
      <c r="G5432">
        <f>VLOOKUP(B5432,'SINAPI-%MO'!B:E,4,0)</f>
        <v>7.8399999999999997E-2</v>
      </c>
      <c r="H5432" s="225">
        <f t="shared" si="84"/>
        <v>340.8</v>
      </c>
    </row>
    <row r="5433" spans="1:8" x14ac:dyDescent="0.3">
      <c r="A5433" s="400"/>
      <c r="B5433" s="709">
        <v>94462</v>
      </c>
      <c r="C5433" s="710" t="s">
        <v>4722</v>
      </c>
      <c r="D5433" s="709" t="s">
        <v>159</v>
      </c>
      <c r="E5433" s="716">
        <v>97.76</v>
      </c>
      <c r="F5433" s="717">
        <v>0</v>
      </c>
      <c r="G5433">
        <f>VLOOKUP(B5433,'SINAPI-%MO'!B:E,4,0)</f>
        <v>0.22239999999999999</v>
      </c>
      <c r="H5433" s="225">
        <f t="shared" si="84"/>
        <v>76.010000000000005</v>
      </c>
    </row>
    <row r="5434" spans="1:8" x14ac:dyDescent="0.3">
      <c r="A5434" s="400"/>
      <c r="B5434" s="709">
        <v>94463</v>
      </c>
      <c r="C5434" s="710" t="s">
        <v>4723</v>
      </c>
      <c r="D5434" s="709" t="s">
        <v>159</v>
      </c>
      <c r="E5434" s="716">
        <v>119.72</v>
      </c>
      <c r="F5434" s="717">
        <v>0</v>
      </c>
      <c r="G5434">
        <f>VLOOKUP(B5434,'SINAPI-%MO'!B:E,4,0)</f>
        <v>0.21210000000000001</v>
      </c>
      <c r="H5434" s="225">
        <f t="shared" si="84"/>
        <v>94.32</v>
      </c>
    </row>
    <row r="5435" spans="1:8" x14ac:dyDescent="0.3">
      <c r="A5435" s="400"/>
      <c r="B5435" s="709">
        <v>94464</v>
      </c>
      <c r="C5435" s="710" t="s">
        <v>4724</v>
      </c>
      <c r="D5435" s="709" t="s">
        <v>159</v>
      </c>
      <c r="E5435" s="716">
        <v>156.91999999999999</v>
      </c>
      <c r="F5435" s="717">
        <v>0</v>
      </c>
      <c r="G5435">
        <f>VLOOKUP(B5435,'SINAPI-%MO'!B:E,4,0)</f>
        <v>0.191</v>
      </c>
      <c r="H5435" s="225">
        <f t="shared" si="84"/>
        <v>126.94</v>
      </c>
    </row>
    <row r="5436" spans="1:8" x14ac:dyDescent="0.3">
      <c r="A5436" s="400"/>
      <c r="B5436" s="709">
        <v>94605</v>
      </c>
      <c r="C5436" s="710" t="s">
        <v>4725</v>
      </c>
      <c r="D5436" s="709" t="s">
        <v>159</v>
      </c>
      <c r="E5436" s="716">
        <v>849.48</v>
      </c>
      <c r="F5436" s="717">
        <v>0.96050000000000002</v>
      </c>
      <c r="G5436">
        <f>VLOOKUP(B5436,'SINAPI-%MO'!B:E,4,0)</f>
        <v>3.9300000000000002E-2</v>
      </c>
      <c r="H5436" s="225">
        <f t="shared" si="84"/>
        <v>816.09</v>
      </c>
    </row>
    <row r="5437" spans="1:8" x14ac:dyDescent="0.3">
      <c r="A5437" s="400"/>
      <c r="B5437" s="709">
        <v>94602</v>
      </c>
      <c r="C5437" s="710" t="s">
        <v>4726</v>
      </c>
      <c r="D5437" s="709" t="s">
        <v>159</v>
      </c>
      <c r="E5437" s="716">
        <v>297.13</v>
      </c>
      <c r="F5437" s="717">
        <v>0.9042</v>
      </c>
      <c r="G5437">
        <f>VLOOKUP(B5437,'SINAPI-%MO'!B:E,4,0)</f>
        <v>9.5100000000000004E-2</v>
      </c>
      <c r="H5437" s="225">
        <f t="shared" si="84"/>
        <v>268.87</v>
      </c>
    </row>
    <row r="5438" spans="1:8" x14ac:dyDescent="0.3">
      <c r="A5438" s="400"/>
      <c r="B5438" s="709">
        <v>94603</v>
      </c>
      <c r="C5438" s="710" t="s">
        <v>4727</v>
      </c>
      <c r="D5438" s="709" t="s">
        <v>159</v>
      </c>
      <c r="E5438" s="716">
        <v>408.2</v>
      </c>
      <c r="F5438" s="717">
        <v>0.92720000000000002</v>
      </c>
      <c r="G5438">
        <f>VLOOKUP(B5438,'SINAPI-%MO'!B:E,4,0)</f>
        <v>7.2300000000000003E-2</v>
      </c>
      <c r="H5438" s="225">
        <f t="shared" si="84"/>
        <v>378.68</v>
      </c>
    </row>
    <row r="5439" spans="1:8" x14ac:dyDescent="0.3">
      <c r="A5439" s="400"/>
      <c r="B5439" s="709">
        <v>94604</v>
      </c>
      <c r="C5439" s="710" t="s">
        <v>4728</v>
      </c>
      <c r="D5439" s="709" t="s">
        <v>159</v>
      </c>
      <c r="E5439" s="716">
        <v>584.34</v>
      </c>
      <c r="F5439" s="717">
        <v>0.94689999999999996</v>
      </c>
      <c r="G5439">
        <f>VLOOKUP(B5439,'SINAPI-%MO'!B:E,4,0)</f>
        <v>5.28E-2</v>
      </c>
      <c r="H5439" s="225">
        <f t="shared" si="84"/>
        <v>553.48</v>
      </c>
    </row>
    <row r="5440" spans="1:8" x14ac:dyDescent="0.3">
      <c r="A5440" s="400"/>
      <c r="B5440" s="709">
        <v>94723</v>
      </c>
      <c r="C5440" s="710" t="s">
        <v>4729</v>
      </c>
      <c r="D5440" s="709" t="s">
        <v>159</v>
      </c>
      <c r="E5440" s="716">
        <v>633.46</v>
      </c>
      <c r="F5440" s="717">
        <v>0</v>
      </c>
      <c r="G5440">
        <f>VLOOKUP(B5440,'SINAPI-%MO'!B:E,4,0)</f>
        <v>4.3999999999999997E-2</v>
      </c>
      <c r="H5440" s="225">
        <f t="shared" si="84"/>
        <v>605.58000000000004</v>
      </c>
    </row>
    <row r="5441" spans="1:8" x14ac:dyDescent="0.3">
      <c r="A5441" s="400"/>
      <c r="B5441" s="709">
        <v>94716</v>
      </c>
      <c r="C5441" s="710" t="s">
        <v>4730</v>
      </c>
      <c r="D5441" s="709" t="s">
        <v>159</v>
      </c>
      <c r="E5441" s="716">
        <v>30.8</v>
      </c>
      <c r="F5441" s="717">
        <v>0</v>
      </c>
      <c r="G5441">
        <f>VLOOKUP(B5441,'SINAPI-%MO'!B:E,4,0)</f>
        <v>7.6600000000000001E-2</v>
      </c>
      <c r="H5441" s="225">
        <f t="shared" si="84"/>
        <v>28.44</v>
      </c>
    </row>
    <row r="5442" spans="1:8" x14ac:dyDescent="0.3">
      <c r="A5442" s="400"/>
      <c r="B5442" s="709">
        <v>94717</v>
      </c>
      <c r="C5442" s="710" t="s">
        <v>4731</v>
      </c>
      <c r="D5442" s="709" t="s">
        <v>159</v>
      </c>
      <c r="E5442" s="716">
        <v>51.97</v>
      </c>
      <c r="F5442" s="717">
        <v>0</v>
      </c>
      <c r="G5442">
        <f>VLOOKUP(B5442,'SINAPI-%MO'!B:E,4,0)</f>
        <v>5.7299999999999997E-2</v>
      </c>
      <c r="H5442" s="225">
        <f t="shared" si="84"/>
        <v>48.99</v>
      </c>
    </row>
    <row r="5443" spans="1:8" x14ac:dyDescent="0.3">
      <c r="A5443" s="400"/>
      <c r="B5443" s="709">
        <v>94718</v>
      </c>
      <c r="C5443" s="710" t="s">
        <v>4732</v>
      </c>
      <c r="D5443" s="709" t="s">
        <v>159</v>
      </c>
      <c r="E5443" s="716">
        <v>67.849999999999994</v>
      </c>
      <c r="F5443" s="717">
        <v>0</v>
      </c>
      <c r="G5443">
        <f>VLOOKUP(B5443,'SINAPI-%MO'!B:E,4,0)</f>
        <v>5.7000000000000002E-2</v>
      </c>
      <c r="H5443" s="225">
        <f t="shared" si="84"/>
        <v>63.98</v>
      </c>
    </row>
    <row r="5444" spans="1:8" x14ac:dyDescent="0.3">
      <c r="A5444" s="400"/>
      <c r="B5444" s="709">
        <v>94719</v>
      </c>
      <c r="C5444" s="710" t="s">
        <v>4733</v>
      </c>
      <c r="D5444" s="709" t="s">
        <v>159</v>
      </c>
      <c r="E5444" s="716">
        <v>90.64</v>
      </c>
      <c r="F5444" s="717">
        <v>0</v>
      </c>
      <c r="G5444">
        <f>VLOOKUP(B5444,'SINAPI-%MO'!B:E,4,0)</f>
        <v>5.4899999999999997E-2</v>
      </c>
      <c r="H5444" s="225">
        <f t="shared" si="84"/>
        <v>85.66</v>
      </c>
    </row>
    <row r="5445" spans="1:8" x14ac:dyDescent="0.3">
      <c r="A5445" s="400"/>
      <c r="B5445" s="709">
        <v>94720</v>
      </c>
      <c r="C5445" s="710" t="s">
        <v>4734</v>
      </c>
      <c r="D5445" s="709" t="s">
        <v>159</v>
      </c>
      <c r="E5445" s="716">
        <v>132.69999999999999</v>
      </c>
      <c r="F5445" s="717">
        <v>0</v>
      </c>
      <c r="G5445">
        <f>VLOOKUP(B5445,'SINAPI-%MO'!B:E,4,0)</f>
        <v>5.5199999999999999E-2</v>
      </c>
      <c r="H5445" s="225">
        <f t="shared" si="84"/>
        <v>125.37</v>
      </c>
    </row>
    <row r="5446" spans="1:8" x14ac:dyDescent="0.3">
      <c r="A5446" s="400"/>
      <c r="B5446" s="709">
        <v>94721</v>
      </c>
      <c r="C5446" s="710" t="s">
        <v>4735</v>
      </c>
      <c r="D5446" s="709" t="s">
        <v>159</v>
      </c>
      <c r="E5446" s="716">
        <v>214.96</v>
      </c>
      <c r="F5446" s="717">
        <v>0</v>
      </c>
      <c r="G5446">
        <f>VLOOKUP(B5446,'SINAPI-%MO'!B:E,4,0)</f>
        <v>5.6899999999999999E-2</v>
      </c>
      <c r="H5446" s="225">
        <f t="shared" si="84"/>
        <v>202.72</v>
      </c>
    </row>
    <row r="5447" spans="1:8" x14ac:dyDescent="0.3">
      <c r="A5447" s="400"/>
      <c r="B5447" s="709">
        <v>94722</v>
      </c>
      <c r="C5447" s="710" t="s">
        <v>4736</v>
      </c>
      <c r="D5447" s="709" t="s">
        <v>159</v>
      </c>
      <c r="E5447" s="716">
        <v>335.72</v>
      </c>
      <c r="F5447" s="717">
        <v>0</v>
      </c>
      <c r="G5447">
        <f>VLOOKUP(B5447,'SINAPI-%MO'!B:E,4,0)</f>
        <v>5.2200000000000003E-2</v>
      </c>
      <c r="H5447" s="225">
        <f t="shared" si="84"/>
        <v>318.19</v>
      </c>
    </row>
    <row r="5448" spans="1:8" x14ac:dyDescent="0.3">
      <c r="A5448" s="400"/>
      <c r="B5448" s="709">
        <v>96726</v>
      </c>
      <c r="C5448" s="710" t="s">
        <v>4737</v>
      </c>
      <c r="D5448" s="709" t="s">
        <v>159</v>
      </c>
      <c r="E5448" s="716">
        <v>176.03</v>
      </c>
      <c r="F5448" s="717">
        <v>0</v>
      </c>
      <c r="G5448">
        <f>VLOOKUP(B5448,'SINAPI-%MO'!B:E,4,0)</f>
        <v>0.1618</v>
      </c>
      <c r="H5448" s="225">
        <f t="shared" si="84"/>
        <v>147.54</v>
      </c>
    </row>
    <row r="5449" spans="1:8" x14ac:dyDescent="0.3">
      <c r="A5449" s="400"/>
      <c r="B5449" s="709">
        <v>96735</v>
      </c>
      <c r="C5449" s="710" t="s">
        <v>4738</v>
      </c>
      <c r="D5449" s="709" t="s">
        <v>159</v>
      </c>
      <c r="E5449" s="716">
        <v>332.82</v>
      </c>
      <c r="F5449" s="717">
        <v>0</v>
      </c>
      <c r="G5449">
        <f>VLOOKUP(B5449,'SINAPI-%MO'!B:E,4,0)</f>
        <v>0.1052</v>
      </c>
      <c r="H5449" s="225">
        <f t="shared" si="84"/>
        <v>297.8</v>
      </c>
    </row>
    <row r="5450" spans="1:8" x14ac:dyDescent="0.3">
      <c r="A5450" s="400"/>
      <c r="B5450" s="709">
        <v>96718</v>
      </c>
      <c r="C5450" s="710" t="s">
        <v>4739</v>
      </c>
      <c r="D5450" s="709" t="s">
        <v>159</v>
      </c>
      <c r="E5450" s="716">
        <v>15.79</v>
      </c>
      <c r="F5450" s="717">
        <v>0</v>
      </c>
      <c r="G5450">
        <f>VLOOKUP(B5450,'SINAPI-%MO'!B:E,4,0)</f>
        <v>0.29509999999999997</v>
      </c>
      <c r="H5450" s="225">
        <f t="shared" si="84"/>
        <v>11.13</v>
      </c>
    </row>
    <row r="5451" spans="1:8" x14ac:dyDescent="0.3">
      <c r="A5451" s="400"/>
      <c r="B5451" s="709">
        <v>96727</v>
      </c>
      <c r="C5451" s="710" t="s">
        <v>4740</v>
      </c>
      <c r="D5451" s="709" t="s">
        <v>159</v>
      </c>
      <c r="E5451" s="716">
        <v>17.97</v>
      </c>
      <c r="F5451" s="717">
        <v>0</v>
      </c>
      <c r="G5451">
        <f>VLOOKUP(B5451,'SINAPI-%MO'!B:E,4,0)</f>
        <v>0.31890000000000002</v>
      </c>
      <c r="H5451" s="225">
        <f t="shared" ref="H5451:H5514" si="85">IF(E5451&gt;0,TRUNC(E5451*(1-G5451),2),"")</f>
        <v>12.23</v>
      </c>
    </row>
    <row r="5452" spans="1:8" x14ac:dyDescent="0.3">
      <c r="A5452" s="400"/>
      <c r="B5452" s="709">
        <v>96719</v>
      </c>
      <c r="C5452" s="710" t="s">
        <v>4741</v>
      </c>
      <c r="D5452" s="709" t="s">
        <v>159</v>
      </c>
      <c r="E5452" s="716">
        <v>20.2</v>
      </c>
      <c r="F5452" s="717">
        <v>0</v>
      </c>
      <c r="G5452">
        <f>VLOOKUP(B5452,'SINAPI-%MO'!B:E,4,0)</f>
        <v>0.2535</v>
      </c>
      <c r="H5452" s="225">
        <f t="shared" si="85"/>
        <v>15.07</v>
      </c>
    </row>
    <row r="5453" spans="1:8" x14ac:dyDescent="0.3">
      <c r="A5453" s="400"/>
      <c r="B5453" s="709">
        <v>96728</v>
      </c>
      <c r="C5453" s="710" t="s">
        <v>4742</v>
      </c>
      <c r="D5453" s="709" t="s">
        <v>159</v>
      </c>
      <c r="E5453" s="716">
        <v>23.21</v>
      </c>
      <c r="F5453" s="717">
        <v>0</v>
      </c>
      <c r="G5453">
        <f>VLOOKUP(B5453,'SINAPI-%MO'!B:E,4,0)</f>
        <v>0.27100000000000002</v>
      </c>
      <c r="H5453" s="225">
        <f t="shared" si="85"/>
        <v>16.920000000000002</v>
      </c>
    </row>
    <row r="5454" spans="1:8" x14ac:dyDescent="0.3">
      <c r="A5454" s="400"/>
      <c r="B5454" s="709">
        <v>96720</v>
      </c>
      <c r="C5454" s="710" t="s">
        <v>4743</v>
      </c>
      <c r="D5454" s="709" t="s">
        <v>159</v>
      </c>
      <c r="E5454" s="716">
        <v>18.329999999999998</v>
      </c>
      <c r="F5454" s="717">
        <v>0</v>
      </c>
      <c r="G5454">
        <f>VLOOKUP(B5454,'SINAPI-%MO'!B:E,4,0)</f>
        <v>0.32350000000000001</v>
      </c>
      <c r="H5454" s="225">
        <f t="shared" si="85"/>
        <v>12.4</v>
      </c>
    </row>
    <row r="5455" spans="1:8" x14ac:dyDescent="0.3">
      <c r="A5455" s="400"/>
      <c r="B5455" s="709">
        <v>96729</v>
      </c>
      <c r="C5455" s="710" t="s">
        <v>4744</v>
      </c>
      <c r="D5455" s="709" t="s">
        <v>159</v>
      </c>
      <c r="E5455" s="716">
        <v>29.92</v>
      </c>
      <c r="F5455" s="717">
        <v>0</v>
      </c>
      <c r="G5455">
        <f>VLOOKUP(B5455,'SINAPI-%MO'!B:E,4,0)</f>
        <v>0.24360000000000001</v>
      </c>
      <c r="H5455" s="225">
        <f t="shared" si="85"/>
        <v>22.63</v>
      </c>
    </row>
    <row r="5456" spans="1:8" x14ac:dyDescent="0.3">
      <c r="A5456" s="400"/>
      <c r="B5456" s="709">
        <v>96721</v>
      </c>
      <c r="C5456" s="710" t="s">
        <v>4745</v>
      </c>
      <c r="D5456" s="709" t="s">
        <v>159</v>
      </c>
      <c r="E5456" s="716">
        <v>23.82</v>
      </c>
      <c r="F5456" s="717">
        <v>0</v>
      </c>
      <c r="G5456">
        <f>VLOOKUP(B5456,'SINAPI-%MO'!B:E,4,0)</f>
        <v>0.29849999999999999</v>
      </c>
      <c r="H5456" s="225">
        <f t="shared" si="85"/>
        <v>16.7</v>
      </c>
    </row>
    <row r="5457" spans="1:8" x14ac:dyDescent="0.3">
      <c r="A5457" s="400"/>
      <c r="B5457" s="709">
        <v>96730</v>
      </c>
      <c r="C5457" s="710" t="s">
        <v>4746</v>
      </c>
      <c r="D5457" s="709" t="s">
        <v>159</v>
      </c>
      <c r="E5457" s="716">
        <v>41.37</v>
      </c>
      <c r="F5457" s="717">
        <v>0</v>
      </c>
      <c r="G5457">
        <f>VLOOKUP(B5457,'SINAPI-%MO'!B:E,4,0)</f>
        <v>0.21099999999999999</v>
      </c>
      <c r="H5457" s="225">
        <f t="shared" si="85"/>
        <v>32.64</v>
      </c>
    </row>
    <row r="5458" spans="1:8" x14ac:dyDescent="0.3">
      <c r="A5458" s="400"/>
      <c r="B5458" s="709">
        <v>96722</v>
      </c>
      <c r="C5458" s="710" t="s">
        <v>4747</v>
      </c>
      <c r="D5458" s="709" t="s">
        <v>159</v>
      </c>
      <c r="E5458" s="716">
        <v>36.54</v>
      </c>
      <c r="F5458" s="717">
        <v>0</v>
      </c>
      <c r="G5458">
        <f>VLOOKUP(B5458,'SINAPI-%MO'!B:E,4,0)</f>
        <v>0.2447</v>
      </c>
      <c r="H5458" s="225">
        <f t="shared" si="85"/>
        <v>27.59</v>
      </c>
    </row>
    <row r="5459" spans="1:8" x14ac:dyDescent="0.3">
      <c r="A5459" s="400"/>
      <c r="B5459" s="709">
        <v>96731</v>
      </c>
      <c r="C5459" s="710" t="s">
        <v>4748</v>
      </c>
      <c r="D5459" s="709" t="s">
        <v>159</v>
      </c>
      <c r="E5459" s="716">
        <v>62.53</v>
      </c>
      <c r="F5459" s="717">
        <v>0</v>
      </c>
      <c r="G5459">
        <f>VLOOKUP(B5459,'SINAPI-%MO'!B:E,4,0)</f>
        <v>0.17560000000000001</v>
      </c>
      <c r="H5459" s="225">
        <f t="shared" si="85"/>
        <v>51.54</v>
      </c>
    </row>
    <row r="5460" spans="1:8" x14ac:dyDescent="0.3">
      <c r="A5460" s="400"/>
      <c r="B5460" s="709">
        <v>96723</v>
      </c>
      <c r="C5460" s="710" t="s">
        <v>4749</v>
      </c>
      <c r="D5460" s="709" t="s">
        <v>159</v>
      </c>
      <c r="E5460" s="716">
        <v>56.71</v>
      </c>
      <c r="F5460" s="717">
        <v>0</v>
      </c>
      <c r="G5460">
        <f>VLOOKUP(B5460,'SINAPI-%MO'!B:E,4,0)</f>
        <v>0.2102</v>
      </c>
      <c r="H5460" s="225">
        <f t="shared" si="85"/>
        <v>44.78</v>
      </c>
    </row>
    <row r="5461" spans="1:8" x14ac:dyDescent="0.3">
      <c r="A5461" s="400"/>
      <c r="B5461" s="709">
        <v>96732</v>
      </c>
      <c r="C5461" s="710" t="s">
        <v>4750</v>
      </c>
      <c r="D5461" s="709" t="s">
        <v>159</v>
      </c>
      <c r="E5461" s="716">
        <v>105.33</v>
      </c>
      <c r="F5461" s="717">
        <v>0</v>
      </c>
      <c r="G5461">
        <f>VLOOKUP(B5461,'SINAPI-%MO'!B:E,4,0)</f>
        <v>0.13919999999999999</v>
      </c>
      <c r="H5461" s="225">
        <f t="shared" si="85"/>
        <v>90.66</v>
      </c>
    </row>
    <row r="5462" spans="1:8" x14ac:dyDescent="0.3">
      <c r="A5462" s="400"/>
      <c r="B5462" s="709">
        <v>96724</v>
      </c>
      <c r="C5462" s="710" t="s">
        <v>4751</v>
      </c>
      <c r="D5462" s="709" t="s">
        <v>159</v>
      </c>
      <c r="E5462" s="716">
        <v>72.8</v>
      </c>
      <c r="F5462" s="717">
        <v>0</v>
      </c>
      <c r="G5462">
        <f>VLOOKUP(B5462,'SINAPI-%MO'!B:E,4,0)</f>
        <v>0.2102</v>
      </c>
      <c r="H5462" s="225">
        <f t="shared" si="85"/>
        <v>57.49</v>
      </c>
    </row>
    <row r="5463" spans="1:8" x14ac:dyDescent="0.3">
      <c r="A5463" s="400"/>
      <c r="B5463" s="709">
        <v>96733</v>
      </c>
      <c r="C5463" s="710" t="s">
        <v>4752</v>
      </c>
      <c r="D5463" s="709" t="s">
        <v>159</v>
      </c>
      <c r="E5463" s="716">
        <v>143.5</v>
      </c>
      <c r="F5463" s="717">
        <v>0</v>
      </c>
      <c r="G5463">
        <f>VLOOKUP(B5463,'SINAPI-%MO'!B:E,4,0)</f>
        <v>0.13100000000000001</v>
      </c>
      <c r="H5463" s="225">
        <f t="shared" si="85"/>
        <v>124.7</v>
      </c>
    </row>
    <row r="5464" spans="1:8" x14ac:dyDescent="0.3">
      <c r="A5464" s="400"/>
      <c r="B5464" s="709">
        <v>96725</v>
      </c>
      <c r="C5464" s="710" t="s">
        <v>4753</v>
      </c>
      <c r="D5464" s="709" t="s">
        <v>159</v>
      </c>
      <c r="E5464" s="716">
        <v>119.09</v>
      </c>
      <c r="F5464" s="717">
        <v>0</v>
      </c>
      <c r="G5464">
        <f>VLOOKUP(B5464,'SINAPI-%MO'!B:E,4,0)</f>
        <v>0.17080000000000001</v>
      </c>
      <c r="H5464" s="225">
        <f t="shared" si="85"/>
        <v>98.74</v>
      </c>
    </row>
    <row r="5465" spans="1:8" x14ac:dyDescent="0.3">
      <c r="A5465" s="400"/>
      <c r="B5465" s="709">
        <v>96734</v>
      </c>
      <c r="C5465" s="710" t="s">
        <v>4754</v>
      </c>
      <c r="D5465" s="709" t="s">
        <v>159</v>
      </c>
      <c r="E5465" s="716">
        <v>239.31</v>
      </c>
      <c r="F5465" s="717">
        <v>0</v>
      </c>
      <c r="G5465">
        <f>VLOOKUP(B5465,'SINAPI-%MO'!B:E,4,0)</f>
        <v>0.1045</v>
      </c>
      <c r="H5465" s="225">
        <f t="shared" si="85"/>
        <v>214.3</v>
      </c>
    </row>
    <row r="5466" spans="1:8" x14ac:dyDescent="0.3">
      <c r="A5466" s="400"/>
      <c r="B5466" s="709">
        <v>94655</v>
      </c>
      <c r="C5466" s="710" t="s">
        <v>4755</v>
      </c>
      <c r="D5466" s="709" t="s">
        <v>159</v>
      </c>
      <c r="E5466" s="716">
        <v>144.63999999999999</v>
      </c>
      <c r="F5466" s="717">
        <v>0</v>
      </c>
      <c r="G5466">
        <f>VLOOKUP(B5466,'SINAPI-%MO'!B:E,4,0)</f>
        <v>0.1799</v>
      </c>
      <c r="H5466" s="225">
        <f t="shared" si="85"/>
        <v>118.61</v>
      </c>
    </row>
    <row r="5467" spans="1:8" x14ac:dyDescent="0.3">
      <c r="A5467" s="400"/>
      <c r="B5467" s="709">
        <v>94648</v>
      </c>
      <c r="C5467" s="710" t="s">
        <v>4756</v>
      </c>
      <c r="D5467" s="709" t="s">
        <v>159</v>
      </c>
      <c r="E5467" s="716">
        <v>8.0299999999999994</v>
      </c>
      <c r="F5467" s="717">
        <v>0</v>
      </c>
      <c r="G5467">
        <f>VLOOKUP(B5467,'SINAPI-%MO'!B:E,4,0)</f>
        <v>0.33</v>
      </c>
      <c r="H5467" s="225">
        <f t="shared" si="85"/>
        <v>5.38</v>
      </c>
    </row>
    <row r="5468" spans="1:8" x14ac:dyDescent="0.3">
      <c r="A5468" s="400"/>
      <c r="B5468" s="709">
        <v>94649</v>
      </c>
      <c r="C5468" s="710" t="s">
        <v>4757</v>
      </c>
      <c r="D5468" s="709" t="s">
        <v>159</v>
      </c>
      <c r="E5468" s="716">
        <v>15.06</v>
      </c>
      <c r="F5468" s="717">
        <v>0</v>
      </c>
      <c r="G5468">
        <f>VLOOKUP(B5468,'SINAPI-%MO'!B:E,4,0)</f>
        <v>0.22969999999999999</v>
      </c>
      <c r="H5468" s="225">
        <f t="shared" si="85"/>
        <v>11.6</v>
      </c>
    </row>
    <row r="5469" spans="1:8" x14ac:dyDescent="0.3">
      <c r="A5469" s="400"/>
      <c r="B5469" s="709">
        <v>94650</v>
      </c>
      <c r="C5469" s="710" t="s">
        <v>4758</v>
      </c>
      <c r="D5469" s="709" t="s">
        <v>159</v>
      </c>
      <c r="E5469" s="716">
        <v>22.86</v>
      </c>
      <c r="F5469" s="717">
        <v>0</v>
      </c>
      <c r="G5469">
        <f>VLOOKUP(B5469,'SINAPI-%MO'!B:E,4,0)</f>
        <v>0.20300000000000001</v>
      </c>
      <c r="H5469" s="225">
        <f t="shared" si="85"/>
        <v>18.21</v>
      </c>
    </row>
    <row r="5470" spans="1:8" x14ac:dyDescent="0.3">
      <c r="A5470" s="400"/>
      <c r="B5470" s="709">
        <v>94651</v>
      </c>
      <c r="C5470" s="710" t="s">
        <v>4759</v>
      </c>
      <c r="D5470" s="709" t="s">
        <v>159</v>
      </c>
      <c r="E5470" s="716">
        <v>26.45</v>
      </c>
      <c r="F5470" s="717">
        <v>0</v>
      </c>
      <c r="G5470">
        <f>VLOOKUP(B5470,'SINAPI-%MO'!B:E,4,0)</f>
        <v>0.24460000000000001</v>
      </c>
      <c r="H5470" s="225">
        <f t="shared" si="85"/>
        <v>19.98</v>
      </c>
    </row>
    <row r="5471" spans="1:8" x14ac:dyDescent="0.3">
      <c r="A5471" s="400"/>
      <c r="B5471" s="709">
        <v>94652</v>
      </c>
      <c r="C5471" s="710" t="s">
        <v>4760</v>
      </c>
      <c r="D5471" s="709" t="s">
        <v>159</v>
      </c>
      <c r="E5471" s="716">
        <v>41.59</v>
      </c>
      <c r="F5471" s="717">
        <v>0</v>
      </c>
      <c r="G5471">
        <f>VLOOKUP(B5471,'SINAPI-%MO'!B:E,4,0)</f>
        <v>0.2094</v>
      </c>
      <c r="H5471" s="225">
        <f t="shared" si="85"/>
        <v>32.880000000000003</v>
      </c>
    </row>
    <row r="5472" spans="1:8" x14ac:dyDescent="0.3">
      <c r="A5472" s="400"/>
      <c r="B5472" s="709">
        <v>94653</v>
      </c>
      <c r="C5472" s="710" t="s">
        <v>4761</v>
      </c>
      <c r="D5472" s="709" t="s">
        <v>159</v>
      </c>
      <c r="E5472" s="716">
        <v>67.319999999999993</v>
      </c>
      <c r="F5472" s="717">
        <v>0</v>
      </c>
      <c r="G5472">
        <f>VLOOKUP(B5472,'SINAPI-%MO'!B:E,4,0)</f>
        <v>0.19070000000000001</v>
      </c>
      <c r="H5472" s="225">
        <f t="shared" si="85"/>
        <v>54.48</v>
      </c>
    </row>
    <row r="5473" spans="1:8" x14ac:dyDescent="0.3">
      <c r="A5473" s="400"/>
      <c r="B5473" s="709">
        <v>94654</v>
      </c>
      <c r="C5473" s="710" t="s">
        <v>4762</v>
      </c>
      <c r="D5473" s="709" t="s">
        <v>159</v>
      </c>
      <c r="E5473" s="716">
        <v>91.89</v>
      </c>
      <c r="F5473" s="717">
        <v>0</v>
      </c>
      <c r="G5473">
        <f>VLOOKUP(B5473,'SINAPI-%MO'!B:E,4,0)</f>
        <v>0.17510000000000001</v>
      </c>
      <c r="H5473" s="225">
        <f t="shared" si="85"/>
        <v>75.8</v>
      </c>
    </row>
    <row r="5474" spans="1:8" x14ac:dyDescent="0.3">
      <c r="A5474" s="400"/>
      <c r="B5474" s="709">
        <v>94689</v>
      </c>
      <c r="C5474" s="710" t="s">
        <v>4763</v>
      </c>
      <c r="D5474" s="709" t="s">
        <v>136</v>
      </c>
      <c r="E5474" s="716">
        <v>11.11</v>
      </c>
      <c r="F5474" s="717">
        <v>0</v>
      </c>
      <c r="G5474">
        <f>VLOOKUP(B5474,'SINAPI-%MO'!B:E,4,0)</f>
        <v>0.39600000000000002</v>
      </c>
      <c r="H5474" s="225">
        <f t="shared" si="85"/>
        <v>6.71</v>
      </c>
    </row>
    <row r="5475" spans="1:8" x14ac:dyDescent="0.3">
      <c r="A5475" s="400"/>
      <c r="B5475" s="709">
        <v>94702</v>
      </c>
      <c r="C5475" s="710" t="s">
        <v>4764</v>
      </c>
      <c r="D5475" s="709" t="s">
        <v>136</v>
      </c>
      <c r="E5475" s="716">
        <v>223.74</v>
      </c>
      <c r="F5475" s="717">
        <v>0</v>
      </c>
      <c r="G5475">
        <f>VLOOKUP(B5475,'SINAPI-%MO'!B:E,4,0)</f>
        <v>0.15</v>
      </c>
      <c r="H5475" s="225">
        <f t="shared" si="85"/>
        <v>190.17</v>
      </c>
    </row>
    <row r="5476" spans="1:8" x14ac:dyDescent="0.3">
      <c r="A5476" s="400"/>
      <c r="B5476" s="709">
        <v>94691</v>
      </c>
      <c r="C5476" s="710" t="s">
        <v>4765</v>
      </c>
      <c r="D5476" s="709" t="s">
        <v>136</v>
      </c>
      <c r="E5476" s="716">
        <v>16.05</v>
      </c>
      <c r="F5476" s="717">
        <v>0</v>
      </c>
      <c r="G5476">
        <f>VLOOKUP(B5476,'SINAPI-%MO'!B:E,4,0)</f>
        <v>0.33019999999999999</v>
      </c>
      <c r="H5476" s="225">
        <f t="shared" si="85"/>
        <v>10.75</v>
      </c>
    </row>
    <row r="5477" spans="1:8" x14ac:dyDescent="0.3">
      <c r="A5477" s="400"/>
      <c r="B5477" s="709">
        <v>94693</v>
      </c>
      <c r="C5477" s="710" t="s">
        <v>4766</v>
      </c>
      <c r="D5477" s="709" t="s">
        <v>136</v>
      </c>
      <c r="E5477" s="716">
        <v>21.02</v>
      </c>
      <c r="F5477" s="717">
        <v>0</v>
      </c>
      <c r="G5477">
        <f>VLOOKUP(B5477,'SINAPI-%MO'!B:E,4,0)</f>
        <v>0.33539999999999998</v>
      </c>
      <c r="H5477" s="225">
        <f t="shared" si="85"/>
        <v>13.96</v>
      </c>
    </row>
    <row r="5478" spans="1:8" x14ac:dyDescent="0.3">
      <c r="A5478" s="400"/>
      <c r="B5478" s="709">
        <v>94695</v>
      </c>
      <c r="C5478" s="710" t="s">
        <v>4767</v>
      </c>
      <c r="D5478" s="709" t="s">
        <v>136</v>
      </c>
      <c r="E5478" s="716">
        <v>36.869999999999997</v>
      </c>
      <c r="F5478" s="717">
        <v>0</v>
      </c>
      <c r="G5478">
        <f>VLOOKUP(B5478,'SINAPI-%MO'!B:E,4,0)</f>
        <v>0.26340000000000002</v>
      </c>
      <c r="H5478" s="225">
        <f t="shared" si="85"/>
        <v>27.15</v>
      </c>
    </row>
    <row r="5479" spans="1:8" x14ac:dyDescent="0.3">
      <c r="A5479" s="400"/>
      <c r="B5479" s="709">
        <v>94698</v>
      </c>
      <c r="C5479" s="710" t="s">
        <v>4768</v>
      </c>
      <c r="D5479" s="709" t="s">
        <v>136</v>
      </c>
      <c r="E5479" s="716">
        <v>79.38</v>
      </c>
      <c r="F5479" s="717">
        <v>0</v>
      </c>
      <c r="G5479">
        <f>VLOOKUP(B5479,'SINAPI-%MO'!B:E,4,0)</f>
        <v>0.22359999999999999</v>
      </c>
      <c r="H5479" s="225">
        <f t="shared" si="85"/>
        <v>61.63</v>
      </c>
    </row>
    <row r="5480" spans="1:8" x14ac:dyDescent="0.3">
      <c r="A5480" s="400"/>
      <c r="B5480" s="709">
        <v>94700</v>
      </c>
      <c r="C5480" s="710" t="s">
        <v>4769</v>
      </c>
      <c r="D5480" s="709" t="s">
        <v>136</v>
      </c>
      <c r="E5480" s="716">
        <v>155.47</v>
      </c>
      <c r="F5480" s="717">
        <v>0</v>
      </c>
      <c r="G5480">
        <f>VLOOKUP(B5480,'SINAPI-%MO'!B:E,4,0)</f>
        <v>0.1452</v>
      </c>
      <c r="H5480" s="225">
        <f t="shared" si="85"/>
        <v>132.88999999999999</v>
      </c>
    </row>
    <row r="5481" spans="1:8" x14ac:dyDescent="0.3">
      <c r="A5481" s="400"/>
      <c r="B5481" s="709">
        <v>94477</v>
      </c>
      <c r="C5481" s="710" t="s">
        <v>4770</v>
      </c>
      <c r="D5481" s="709" t="s">
        <v>136</v>
      </c>
      <c r="E5481" s="716">
        <v>89.66</v>
      </c>
      <c r="F5481" s="717">
        <v>0</v>
      </c>
      <c r="G5481">
        <f>VLOOKUP(B5481,'SINAPI-%MO'!B:E,4,0)</f>
        <v>0.40150000000000002</v>
      </c>
      <c r="H5481" s="225">
        <f t="shared" si="85"/>
        <v>53.66</v>
      </c>
    </row>
    <row r="5482" spans="1:8" x14ac:dyDescent="0.3">
      <c r="A5482" s="400"/>
      <c r="B5482" s="709">
        <v>94478</v>
      </c>
      <c r="C5482" s="710" t="s">
        <v>4771</v>
      </c>
      <c r="D5482" s="709" t="s">
        <v>136</v>
      </c>
      <c r="E5482" s="716">
        <v>143.36000000000001</v>
      </c>
      <c r="F5482" s="717">
        <v>0</v>
      </c>
      <c r="G5482">
        <f>VLOOKUP(B5482,'SINAPI-%MO'!B:E,4,0)</f>
        <v>0.29349999999999998</v>
      </c>
      <c r="H5482" s="225">
        <f t="shared" si="85"/>
        <v>101.28</v>
      </c>
    </row>
    <row r="5483" spans="1:8" x14ac:dyDescent="0.3">
      <c r="A5483" s="400"/>
      <c r="B5483" s="709">
        <v>94479</v>
      </c>
      <c r="C5483" s="710" t="s">
        <v>4772</v>
      </c>
      <c r="D5483" s="709" t="s">
        <v>136</v>
      </c>
      <c r="E5483" s="716">
        <v>185.11</v>
      </c>
      <c r="F5483" s="717">
        <v>0</v>
      </c>
      <c r="G5483">
        <f>VLOOKUP(B5483,'SINAPI-%MO'!B:E,4,0)</f>
        <v>0.26819999999999999</v>
      </c>
      <c r="H5483" s="225">
        <f t="shared" si="85"/>
        <v>135.46</v>
      </c>
    </row>
    <row r="5484" spans="1:8" x14ac:dyDescent="0.3">
      <c r="A5484" s="400"/>
      <c r="B5484" s="709">
        <v>96764</v>
      </c>
      <c r="C5484" s="710" t="s">
        <v>4773</v>
      </c>
      <c r="D5484" s="709" t="s">
        <v>136</v>
      </c>
      <c r="E5484" s="716">
        <v>328.25</v>
      </c>
      <c r="F5484" s="717">
        <v>0</v>
      </c>
      <c r="G5484">
        <f>VLOOKUP(B5484,'SINAPI-%MO'!B:E,4,0)</f>
        <v>0.14369999999999999</v>
      </c>
      <c r="H5484" s="225">
        <f t="shared" si="85"/>
        <v>281.08</v>
      </c>
    </row>
    <row r="5485" spans="1:8" x14ac:dyDescent="0.3">
      <c r="A5485" s="400"/>
      <c r="B5485" s="709">
        <v>105164</v>
      </c>
      <c r="C5485" s="710" t="s">
        <v>4774</v>
      </c>
      <c r="D5485" s="709" t="s">
        <v>136</v>
      </c>
      <c r="E5485" s="716">
        <v>11.66</v>
      </c>
      <c r="F5485" s="717">
        <v>0</v>
      </c>
      <c r="G5485">
        <f>VLOOKUP(B5485,'SINAPI-%MO'!B:E,4,0)</f>
        <v>0.66210000000000002</v>
      </c>
      <c r="H5485" s="225">
        <f t="shared" si="85"/>
        <v>3.93</v>
      </c>
    </row>
    <row r="5486" spans="1:8" x14ac:dyDescent="0.3">
      <c r="A5486" s="400"/>
      <c r="B5486" s="709">
        <v>105165</v>
      </c>
      <c r="C5486" s="710" t="s">
        <v>4775</v>
      </c>
      <c r="D5486" s="709" t="s">
        <v>136</v>
      </c>
      <c r="E5486" s="716">
        <v>11.89</v>
      </c>
      <c r="F5486" s="717">
        <v>0</v>
      </c>
      <c r="G5486">
        <f>VLOOKUP(B5486,'SINAPI-%MO'!B:E,4,0)</f>
        <v>0.71319999999999995</v>
      </c>
      <c r="H5486" s="225">
        <f t="shared" si="85"/>
        <v>3.41</v>
      </c>
    </row>
    <row r="5487" spans="1:8" x14ac:dyDescent="0.3">
      <c r="A5487" s="400"/>
      <c r="B5487" s="709">
        <v>96758</v>
      </c>
      <c r="C5487" s="710" t="s">
        <v>4776</v>
      </c>
      <c r="D5487" s="709" t="s">
        <v>136</v>
      </c>
      <c r="E5487" s="716">
        <v>18.2</v>
      </c>
      <c r="F5487" s="717">
        <v>0</v>
      </c>
      <c r="G5487">
        <f>VLOOKUP(B5487,'SINAPI-%MO'!B:E,4,0)</f>
        <v>0.53959999999999997</v>
      </c>
      <c r="H5487" s="225">
        <f t="shared" si="85"/>
        <v>8.3699999999999992</v>
      </c>
    </row>
    <row r="5488" spans="1:8" x14ac:dyDescent="0.3">
      <c r="A5488" s="400"/>
      <c r="B5488" s="709">
        <v>96759</v>
      </c>
      <c r="C5488" s="710" t="s">
        <v>4777</v>
      </c>
      <c r="D5488" s="709" t="s">
        <v>136</v>
      </c>
      <c r="E5488" s="716">
        <v>26.99</v>
      </c>
      <c r="F5488" s="717">
        <v>0</v>
      </c>
      <c r="G5488">
        <f>VLOOKUP(B5488,'SINAPI-%MO'!B:E,4,0)</f>
        <v>0.43609999999999999</v>
      </c>
      <c r="H5488" s="225">
        <f t="shared" si="85"/>
        <v>15.21</v>
      </c>
    </row>
    <row r="5489" spans="1:8" x14ac:dyDescent="0.3">
      <c r="A5489" s="400"/>
      <c r="B5489" s="709">
        <v>96760</v>
      </c>
      <c r="C5489" s="710" t="s">
        <v>4778</v>
      </c>
      <c r="D5489" s="709" t="s">
        <v>136</v>
      </c>
      <c r="E5489" s="716">
        <v>44.05</v>
      </c>
      <c r="F5489" s="717">
        <v>0</v>
      </c>
      <c r="G5489">
        <f>VLOOKUP(B5489,'SINAPI-%MO'!B:E,4,0)</f>
        <v>0.33600000000000002</v>
      </c>
      <c r="H5489" s="225">
        <f t="shared" si="85"/>
        <v>29.24</v>
      </c>
    </row>
    <row r="5490" spans="1:8" x14ac:dyDescent="0.3">
      <c r="A5490" s="400"/>
      <c r="B5490" s="709">
        <v>96761</v>
      </c>
      <c r="C5490" s="710" t="s">
        <v>4779</v>
      </c>
      <c r="D5490" s="709" t="s">
        <v>136</v>
      </c>
      <c r="E5490" s="716">
        <v>65.7</v>
      </c>
      <c r="F5490" s="717">
        <v>0</v>
      </c>
      <c r="G5490">
        <f>VLOOKUP(B5490,'SINAPI-%MO'!B:E,4,0)</f>
        <v>0.30080000000000001</v>
      </c>
      <c r="H5490" s="225">
        <f t="shared" si="85"/>
        <v>45.93</v>
      </c>
    </row>
    <row r="5491" spans="1:8" x14ac:dyDescent="0.3">
      <c r="A5491" s="400"/>
      <c r="B5491" s="709">
        <v>96762</v>
      </c>
      <c r="C5491" s="710" t="s">
        <v>4780</v>
      </c>
      <c r="D5491" s="709" t="s">
        <v>136</v>
      </c>
      <c r="E5491" s="716">
        <v>123.85</v>
      </c>
      <c r="F5491" s="717">
        <v>0</v>
      </c>
      <c r="G5491">
        <f>VLOOKUP(B5491,'SINAPI-%MO'!B:E,4,0)</f>
        <v>0.20469999999999999</v>
      </c>
      <c r="H5491" s="225">
        <f t="shared" si="85"/>
        <v>98.49</v>
      </c>
    </row>
    <row r="5492" spans="1:8" x14ac:dyDescent="0.3">
      <c r="A5492" s="400"/>
      <c r="B5492" s="709">
        <v>96763</v>
      </c>
      <c r="C5492" s="710" t="s">
        <v>4781</v>
      </c>
      <c r="D5492" s="709" t="s">
        <v>136</v>
      </c>
      <c r="E5492" s="716">
        <v>165.88</v>
      </c>
      <c r="F5492" s="717">
        <v>0</v>
      </c>
      <c r="G5492">
        <f>VLOOKUP(B5492,'SINAPI-%MO'!B:E,4,0)</f>
        <v>0.2031</v>
      </c>
      <c r="H5492" s="225">
        <f t="shared" si="85"/>
        <v>132.18</v>
      </c>
    </row>
    <row r="5493" spans="1:8" x14ac:dyDescent="0.3">
      <c r="A5493" s="400"/>
      <c r="B5493" s="709">
        <v>94701</v>
      </c>
      <c r="C5493" s="710" t="s">
        <v>4782</v>
      </c>
      <c r="D5493" s="709" t="s">
        <v>136</v>
      </c>
      <c r="E5493" s="716">
        <v>268.11</v>
      </c>
      <c r="F5493" s="717">
        <v>0</v>
      </c>
      <c r="G5493">
        <f>VLOOKUP(B5493,'SINAPI-%MO'!B:E,4,0)</f>
        <v>0.1608</v>
      </c>
      <c r="H5493" s="225">
        <f t="shared" si="85"/>
        <v>224.99</v>
      </c>
    </row>
    <row r="5494" spans="1:8" x14ac:dyDescent="0.3">
      <c r="A5494" s="400"/>
      <c r="B5494" s="709">
        <v>94688</v>
      </c>
      <c r="C5494" s="710" t="s">
        <v>4783</v>
      </c>
      <c r="D5494" s="709" t="s">
        <v>136</v>
      </c>
      <c r="E5494" s="716">
        <v>8.01</v>
      </c>
      <c r="F5494" s="717">
        <v>0</v>
      </c>
      <c r="G5494">
        <f>VLOOKUP(B5494,'SINAPI-%MO'!B:E,4,0)</f>
        <v>0.54930000000000001</v>
      </c>
      <c r="H5494" s="225">
        <f t="shared" si="85"/>
        <v>3.61</v>
      </c>
    </row>
    <row r="5495" spans="1:8" x14ac:dyDescent="0.3">
      <c r="A5495" s="400"/>
      <c r="B5495" s="709">
        <v>94690</v>
      </c>
      <c r="C5495" s="710" t="s">
        <v>4784</v>
      </c>
      <c r="D5495" s="709" t="s">
        <v>136</v>
      </c>
      <c r="E5495" s="716">
        <v>13.28</v>
      </c>
      <c r="F5495" s="717">
        <v>0</v>
      </c>
      <c r="G5495">
        <f>VLOOKUP(B5495,'SINAPI-%MO'!B:E,4,0)</f>
        <v>0.433</v>
      </c>
      <c r="H5495" s="225">
        <f t="shared" si="85"/>
        <v>7.52</v>
      </c>
    </row>
    <row r="5496" spans="1:8" x14ac:dyDescent="0.3">
      <c r="A5496" s="400"/>
      <c r="B5496" s="709">
        <v>94692</v>
      </c>
      <c r="C5496" s="710" t="s">
        <v>4785</v>
      </c>
      <c r="D5496" s="709" t="s">
        <v>136</v>
      </c>
      <c r="E5496" s="716">
        <v>22.71</v>
      </c>
      <c r="F5496" s="717">
        <v>0</v>
      </c>
      <c r="G5496">
        <f>VLOOKUP(B5496,'SINAPI-%MO'!B:E,4,0)</f>
        <v>0.33860000000000001</v>
      </c>
      <c r="H5496" s="225">
        <f t="shared" si="85"/>
        <v>15.02</v>
      </c>
    </row>
    <row r="5497" spans="1:8" x14ac:dyDescent="0.3">
      <c r="A5497" s="400"/>
      <c r="B5497" s="709">
        <v>94694</v>
      </c>
      <c r="C5497" s="710" t="s">
        <v>4786</v>
      </c>
      <c r="D5497" s="709" t="s">
        <v>136</v>
      </c>
      <c r="E5497" s="716">
        <v>28.09</v>
      </c>
      <c r="F5497" s="717">
        <v>0</v>
      </c>
      <c r="G5497">
        <f>VLOOKUP(B5497,'SINAPI-%MO'!B:E,4,0)</f>
        <v>0.38159999999999999</v>
      </c>
      <c r="H5497" s="225">
        <f t="shared" si="85"/>
        <v>17.37</v>
      </c>
    </row>
    <row r="5498" spans="1:8" x14ac:dyDescent="0.3">
      <c r="A5498" s="400"/>
      <c r="B5498" s="709">
        <v>94696</v>
      </c>
      <c r="C5498" s="710" t="s">
        <v>4787</v>
      </c>
      <c r="D5498" s="709" t="s">
        <v>136</v>
      </c>
      <c r="E5498" s="716">
        <v>59.91</v>
      </c>
      <c r="F5498" s="717">
        <v>0</v>
      </c>
      <c r="G5498">
        <f>VLOOKUP(B5498,'SINAPI-%MO'!B:E,4,0)</f>
        <v>0.24099999999999999</v>
      </c>
      <c r="H5498" s="225">
        <f t="shared" si="85"/>
        <v>45.47</v>
      </c>
    </row>
    <row r="5499" spans="1:8" x14ac:dyDescent="0.3">
      <c r="A5499" s="400"/>
      <c r="B5499" s="709">
        <v>94697</v>
      </c>
      <c r="C5499" s="710" t="s">
        <v>4788</v>
      </c>
      <c r="D5499" s="709" t="s">
        <v>136</v>
      </c>
      <c r="E5499" s="716">
        <v>103</v>
      </c>
      <c r="F5499" s="717">
        <v>0</v>
      </c>
      <c r="G5499">
        <f>VLOOKUP(B5499,'SINAPI-%MO'!B:E,4,0)</f>
        <v>0.20649999999999999</v>
      </c>
      <c r="H5499" s="225">
        <f t="shared" si="85"/>
        <v>81.73</v>
      </c>
    </row>
    <row r="5500" spans="1:8" x14ac:dyDescent="0.3">
      <c r="A5500" s="400"/>
      <c r="B5500" s="709">
        <v>94699</v>
      </c>
      <c r="C5500" s="710" t="s">
        <v>4789</v>
      </c>
      <c r="D5500" s="709" t="s">
        <v>136</v>
      </c>
      <c r="E5500" s="716">
        <v>136.61000000000001</v>
      </c>
      <c r="F5500" s="717">
        <v>0</v>
      </c>
      <c r="G5500">
        <f>VLOOKUP(B5500,'SINAPI-%MO'!B:E,4,0)</f>
        <v>0.19520000000000001</v>
      </c>
      <c r="H5500" s="225">
        <f t="shared" si="85"/>
        <v>109.94</v>
      </c>
    </row>
    <row r="5501" spans="1:8" x14ac:dyDescent="0.3">
      <c r="A5501" s="400"/>
      <c r="B5501" s="709">
        <v>105167</v>
      </c>
      <c r="C5501" s="710" t="s">
        <v>4790</v>
      </c>
      <c r="D5501" s="709" t="s">
        <v>136</v>
      </c>
      <c r="E5501" s="716">
        <v>231.65</v>
      </c>
      <c r="F5501" s="717">
        <v>0</v>
      </c>
      <c r="G5501">
        <f>VLOOKUP(B5501,'SINAPI-%MO'!B:E,4,0)</f>
        <v>0.33539999999999998</v>
      </c>
      <c r="H5501" s="225">
        <f t="shared" si="85"/>
        <v>153.94999999999999</v>
      </c>
    </row>
    <row r="5502" spans="1:8" x14ac:dyDescent="0.3">
      <c r="A5502" s="400"/>
      <c r="B5502" s="709">
        <v>105168</v>
      </c>
      <c r="C5502" s="710" t="s">
        <v>4791</v>
      </c>
      <c r="D5502" s="709" t="s">
        <v>136</v>
      </c>
      <c r="E5502" s="716">
        <v>0</v>
      </c>
      <c r="F5502" s="717"/>
      <c r="G5502" t="e">
        <f>VLOOKUP(B5502,'SINAPI-%MO'!B:E,4,0)</f>
        <v>#N/A</v>
      </c>
      <c r="H5502" s="225" t="str">
        <f t="shared" si="85"/>
        <v/>
      </c>
    </row>
    <row r="5503" spans="1:8" x14ac:dyDescent="0.3">
      <c r="A5503" s="400"/>
      <c r="B5503" s="709">
        <v>105171</v>
      </c>
      <c r="C5503" s="710" t="s">
        <v>4792</v>
      </c>
      <c r="D5503" s="709" t="s">
        <v>136</v>
      </c>
      <c r="E5503" s="716">
        <v>0</v>
      </c>
      <c r="F5503" s="717"/>
      <c r="G5503" t="e">
        <f>VLOOKUP(B5503,'SINAPI-%MO'!B:E,4,0)</f>
        <v>#N/A</v>
      </c>
      <c r="H5503" s="225" t="str">
        <f t="shared" si="85"/>
        <v/>
      </c>
    </row>
    <row r="5504" spans="1:8" x14ac:dyDescent="0.3">
      <c r="A5504" s="400"/>
      <c r="B5504" s="709">
        <v>105191</v>
      </c>
      <c r="C5504" s="710" t="s">
        <v>4793</v>
      </c>
      <c r="D5504" s="709" t="s">
        <v>136</v>
      </c>
      <c r="E5504" s="716">
        <v>0</v>
      </c>
      <c r="F5504" s="717"/>
      <c r="G5504" t="e">
        <f>VLOOKUP(B5504,'SINAPI-%MO'!B:E,4,0)</f>
        <v>#N/A</v>
      </c>
      <c r="H5504" s="225" t="str">
        <f t="shared" si="85"/>
        <v/>
      </c>
    </row>
    <row r="5505" spans="1:8" x14ac:dyDescent="0.3">
      <c r="A5505" s="400"/>
      <c r="B5505" s="709">
        <v>105192</v>
      </c>
      <c r="C5505" s="710" t="s">
        <v>4794</v>
      </c>
      <c r="D5505" s="709" t="s">
        <v>136</v>
      </c>
      <c r="E5505" s="716">
        <v>0</v>
      </c>
      <c r="F5505" s="717"/>
      <c r="G5505" t="e">
        <f>VLOOKUP(B5505,'SINAPI-%MO'!B:E,4,0)</f>
        <v>#N/A</v>
      </c>
      <c r="H5505" s="225" t="str">
        <f t="shared" si="85"/>
        <v/>
      </c>
    </row>
    <row r="5506" spans="1:8" x14ac:dyDescent="0.3">
      <c r="A5506" s="400"/>
      <c r="B5506" s="709">
        <v>96809</v>
      </c>
      <c r="C5506" s="710" t="s">
        <v>4795</v>
      </c>
      <c r="D5506" s="709" t="s">
        <v>136</v>
      </c>
      <c r="E5506" s="716">
        <v>25.76</v>
      </c>
      <c r="F5506" s="717">
        <v>0</v>
      </c>
      <c r="G5506">
        <f>VLOOKUP(B5506,'SINAPI-%MO'!B:E,4,0)</f>
        <v>0.38390000000000002</v>
      </c>
      <c r="H5506" s="225">
        <f t="shared" si="85"/>
        <v>15.87</v>
      </c>
    </row>
    <row r="5507" spans="1:8" x14ac:dyDescent="0.3">
      <c r="A5507" s="400"/>
      <c r="B5507" s="709">
        <v>96812</v>
      </c>
      <c r="C5507" s="710" t="s">
        <v>4796</v>
      </c>
      <c r="D5507" s="709" t="s">
        <v>136</v>
      </c>
      <c r="E5507" s="716">
        <v>26.72</v>
      </c>
      <c r="F5507" s="717">
        <v>0</v>
      </c>
      <c r="G5507">
        <f>VLOOKUP(B5507,'SINAPI-%MO'!B:E,4,0)</f>
        <v>0.39560000000000001</v>
      </c>
      <c r="H5507" s="225">
        <f t="shared" si="85"/>
        <v>16.14</v>
      </c>
    </row>
    <row r="5508" spans="1:8" x14ac:dyDescent="0.3">
      <c r="A5508" s="400"/>
      <c r="B5508" s="709">
        <v>96813</v>
      </c>
      <c r="C5508" s="710" t="s">
        <v>4797</v>
      </c>
      <c r="D5508" s="709" t="s">
        <v>136</v>
      </c>
      <c r="E5508" s="716">
        <v>30.64</v>
      </c>
      <c r="F5508" s="717">
        <v>0</v>
      </c>
      <c r="G5508">
        <f>VLOOKUP(B5508,'SINAPI-%MO'!B:E,4,0)</f>
        <v>0.38250000000000001</v>
      </c>
      <c r="H5508" s="225">
        <f t="shared" si="85"/>
        <v>18.920000000000002</v>
      </c>
    </row>
    <row r="5509" spans="1:8" x14ac:dyDescent="0.3">
      <c r="A5509" s="400"/>
      <c r="B5509" s="709">
        <v>96817</v>
      </c>
      <c r="C5509" s="710" t="s">
        <v>4798</v>
      </c>
      <c r="D5509" s="709" t="s">
        <v>136</v>
      </c>
      <c r="E5509" s="716">
        <v>48.16</v>
      </c>
      <c r="F5509" s="717">
        <v>0</v>
      </c>
      <c r="G5509">
        <f>VLOOKUP(B5509,'SINAPI-%MO'!B:E,4,0)</f>
        <v>0.29110000000000003</v>
      </c>
      <c r="H5509" s="225">
        <f t="shared" si="85"/>
        <v>34.14</v>
      </c>
    </row>
    <row r="5510" spans="1:8" x14ac:dyDescent="0.3">
      <c r="A5510" s="400"/>
      <c r="B5510" s="709">
        <v>96816</v>
      </c>
      <c r="C5510" s="710" t="s">
        <v>4799</v>
      </c>
      <c r="D5510" s="709" t="s">
        <v>136</v>
      </c>
      <c r="E5510" s="716">
        <v>34.97</v>
      </c>
      <c r="F5510" s="717">
        <v>0</v>
      </c>
      <c r="G5510">
        <f>VLOOKUP(B5510,'SINAPI-%MO'!B:E,4,0)</f>
        <v>0.35970000000000002</v>
      </c>
      <c r="H5510" s="225">
        <f t="shared" si="85"/>
        <v>22.39</v>
      </c>
    </row>
    <row r="5511" spans="1:8" x14ac:dyDescent="0.3">
      <c r="A5511" s="400"/>
      <c r="B5511" s="709">
        <v>96821</v>
      </c>
      <c r="C5511" s="710" t="s">
        <v>4800</v>
      </c>
      <c r="D5511" s="709" t="s">
        <v>136</v>
      </c>
      <c r="E5511" s="716">
        <v>53.82</v>
      </c>
      <c r="F5511" s="717">
        <v>0</v>
      </c>
      <c r="G5511">
        <f>VLOOKUP(B5511,'SINAPI-%MO'!B:E,4,0)</f>
        <v>0.2828</v>
      </c>
      <c r="H5511" s="225">
        <f t="shared" si="85"/>
        <v>38.590000000000003</v>
      </c>
    </row>
    <row r="5512" spans="1:8" x14ac:dyDescent="0.3">
      <c r="A5512" s="400"/>
      <c r="B5512" s="709">
        <v>96824</v>
      </c>
      <c r="C5512" s="710" t="s">
        <v>4801</v>
      </c>
      <c r="D5512" s="709" t="s">
        <v>136</v>
      </c>
      <c r="E5512" s="716">
        <v>24.42</v>
      </c>
      <c r="F5512" s="717">
        <v>0</v>
      </c>
      <c r="G5512">
        <f>VLOOKUP(B5512,'SINAPI-%MO'!B:E,4,0)</f>
        <v>0.35909999999999997</v>
      </c>
      <c r="H5512" s="225">
        <f t="shared" si="85"/>
        <v>15.65</v>
      </c>
    </row>
    <row r="5513" spans="1:8" x14ac:dyDescent="0.3">
      <c r="A5513" s="400"/>
      <c r="B5513" s="709">
        <v>96827</v>
      </c>
      <c r="C5513" s="710" t="s">
        <v>4802</v>
      </c>
      <c r="D5513" s="709" t="s">
        <v>136</v>
      </c>
      <c r="E5513" s="716">
        <v>26.78</v>
      </c>
      <c r="F5513" s="717">
        <v>0</v>
      </c>
      <c r="G5513">
        <f>VLOOKUP(B5513,'SINAPI-%MO'!B:E,4,0)</f>
        <v>0.34539999999999998</v>
      </c>
      <c r="H5513" s="225">
        <f t="shared" si="85"/>
        <v>17.53</v>
      </c>
    </row>
    <row r="5514" spans="1:8" x14ac:dyDescent="0.3">
      <c r="A5514" s="400"/>
      <c r="B5514" s="709">
        <v>96828</v>
      </c>
      <c r="C5514" s="710" t="s">
        <v>4803</v>
      </c>
      <c r="D5514" s="709" t="s">
        <v>136</v>
      </c>
      <c r="E5514" s="716">
        <v>33.57</v>
      </c>
      <c r="F5514" s="717">
        <v>0</v>
      </c>
      <c r="G5514">
        <f>VLOOKUP(B5514,'SINAPI-%MO'!B:E,4,0)</f>
        <v>0.30980000000000002</v>
      </c>
      <c r="H5514" s="225">
        <f t="shared" si="85"/>
        <v>23.17</v>
      </c>
    </row>
    <row r="5515" spans="1:8" x14ac:dyDescent="0.3">
      <c r="A5515" s="400"/>
      <c r="B5515" s="709">
        <v>96832</v>
      </c>
      <c r="C5515" s="710" t="s">
        <v>4804</v>
      </c>
      <c r="D5515" s="709" t="s">
        <v>136</v>
      </c>
      <c r="E5515" s="716">
        <v>43.33</v>
      </c>
      <c r="F5515" s="717">
        <v>0</v>
      </c>
      <c r="G5515">
        <f>VLOOKUP(B5515,'SINAPI-%MO'!B:E,4,0)</f>
        <v>0.25390000000000001</v>
      </c>
      <c r="H5515" s="225">
        <f t="shared" ref="H5515:H5578" si="86">IF(E5515&gt;0,TRUNC(E5515*(1-G5515),2),"")</f>
        <v>32.32</v>
      </c>
    </row>
    <row r="5516" spans="1:8" x14ac:dyDescent="0.3">
      <c r="A5516" s="400"/>
      <c r="B5516" s="709">
        <v>104525</v>
      </c>
      <c r="C5516" s="710" t="s">
        <v>4805</v>
      </c>
      <c r="D5516" s="709" t="s">
        <v>136</v>
      </c>
      <c r="E5516" s="716">
        <v>0</v>
      </c>
      <c r="F5516" s="717"/>
      <c r="G5516" t="e">
        <f>VLOOKUP(B5516,'SINAPI-%MO'!B:E,4,0)</f>
        <v>#N/A</v>
      </c>
      <c r="H5516" s="225" t="str">
        <f t="shared" si="86"/>
        <v/>
      </c>
    </row>
    <row r="5517" spans="1:8" x14ac:dyDescent="0.3">
      <c r="A5517" s="400"/>
      <c r="B5517" s="709">
        <v>104563</v>
      </c>
      <c r="C5517" s="710" t="s">
        <v>4806</v>
      </c>
      <c r="D5517" s="709" t="s">
        <v>136</v>
      </c>
      <c r="E5517" s="716">
        <v>0</v>
      </c>
      <c r="F5517" s="717"/>
      <c r="G5517" t="e">
        <f>VLOOKUP(B5517,'SINAPI-%MO'!B:E,4,0)</f>
        <v>#N/A</v>
      </c>
      <c r="H5517" s="225" t="str">
        <f t="shared" si="86"/>
        <v/>
      </c>
    </row>
    <row r="5518" spans="1:8" x14ac:dyDescent="0.3">
      <c r="A5518" s="400"/>
      <c r="B5518" s="709">
        <v>104531</v>
      </c>
      <c r="C5518" s="710" t="s">
        <v>4807</v>
      </c>
      <c r="D5518" s="709" t="s">
        <v>136</v>
      </c>
      <c r="E5518" s="716">
        <v>0</v>
      </c>
      <c r="F5518" s="717"/>
      <c r="G5518" t="e">
        <f>VLOOKUP(B5518,'SINAPI-%MO'!B:E,4,0)</f>
        <v>#N/A</v>
      </c>
      <c r="H5518" s="225" t="str">
        <f t="shared" si="86"/>
        <v/>
      </c>
    </row>
    <row r="5519" spans="1:8" x14ac:dyDescent="0.3">
      <c r="A5519" s="400"/>
      <c r="B5519" s="709">
        <v>104527</v>
      </c>
      <c r="C5519" s="710" t="s">
        <v>4808</v>
      </c>
      <c r="D5519" s="709" t="s">
        <v>136</v>
      </c>
      <c r="E5519" s="716">
        <v>0</v>
      </c>
      <c r="F5519" s="717"/>
      <c r="G5519" t="e">
        <f>VLOOKUP(B5519,'SINAPI-%MO'!B:E,4,0)</f>
        <v>#N/A</v>
      </c>
      <c r="H5519" s="225" t="str">
        <f t="shared" si="86"/>
        <v/>
      </c>
    </row>
    <row r="5520" spans="1:8" x14ac:dyDescent="0.3">
      <c r="A5520" s="400"/>
      <c r="B5520" s="709">
        <v>104529</v>
      </c>
      <c r="C5520" s="710" t="s">
        <v>4809</v>
      </c>
      <c r="D5520" s="709" t="s">
        <v>136</v>
      </c>
      <c r="E5520" s="716">
        <v>0</v>
      </c>
      <c r="F5520" s="717"/>
      <c r="G5520" t="e">
        <f>VLOOKUP(B5520,'SINAPI-%MO'!B:E,4,0)</f>
        <v>#N/A</v>
      </c>
      <c r="H5520" s="225" t="str">
        <f t="shared" si="86"/>
        <v/>
      </c>
    </row>
    <row r="5521" spans="1:8" x14ac:dyDescent="0.3">
      <c r="A5521" s="400"/>
      <c r="B5521" s="709">
        <v>104564</v>
      </c>
      <c r="C5521" s="710" t="s">
        <v>4810</v>
      </c>
      <c r="D5521" s="709" t="s">
        <v>136</v>
      </c>
      <c r="E5521" s="716">
        <v>0</v>
      </c>
      <c r="F5521" s="717"/>
      <c r="G5521" t="e">
        <f>VLOOKUP(B5521,'SINAPI-%MO'!B:E,4,0)</f>
        <v>#N/A</v>
      </c>
      <c r="H5521" s="225" t="str">
        <f t="shared" si="86"/>
        <v/>
      </c>
    </row>
    <row r="5522" spans="1:8" x14ac:dyDescent="0.3">
      <c r="A5522" s="400"/>
      <c r="B5522" s="709">
        <v>104533</v>
      </c>
      <c r="C5522" s="710" t="s">
        <v>4811</v>
      </c>
      <c r="D5522" s="709" t="s">
        <v>136</v>
      </c>
      <c r="E5522" s="716">
        <v>0</v>
      </c>
      <c r="F5522" s="717"/>
      <c r="G5522" t="e">
        <f>VLOOKUP(B5522,'SINAPI-%MO'!B:E,4,0)</f>
        <v>#N/A</v>
      </c>
      <c r="H5522" s="225" t="str">
        <f t="shared" si="86"/>
        <v/>
      </c>
    </row>
    <row r="5523" spans="1:8" x14ac:dyDescent="0.3">
      <c r="A5523" s="400"/>
      <c r="B5523" s="709">
        <v>104535</v>
      </c>
      <c r="C5523" s="710" t="s">
        <v>4812</v>
      </c>
      <c r="D5523" s="709" t="s">
        <v>136</v>
      </c>
      <c r="E5523" s="716">
        <v>0</v>
      </c>
      <c r="F5523" s="717"/>
      <c r="G5523" t="e">
        <f>VLOOKUP(B5523,'SINAPI-%MO'!B:E,4,0)</f>
        <v>#N/A</v>
      </c>
      <c r="H5523" s="225" t="str">
        <f t="shared" si="86"/>
        <v/>
      </c>
    </row>
    <row r="5524" spans="1:8" x14ac:dyDescent="0.3">
      <c r="A5524" s="400"/>
      <c r="B5524" s="709">
        <v>96810</v>
      </c>
      <c r="C5524" s="710" t="s">
        <v>4813</v>
      </c>
      <c r="D5524" s="709" t="s">
        <v>136</v>
      </c>
      <c r="E5524" s="716">
        <v>27.82</v>
      </c>
      <c r="F5524" s="717">
        <v>0</v>
      </c>
      <c r="G5524">
        <f>VLOOKUP(B5524,'SINAPI-%MO'!B:E,4,0)</f>
        <v>0.39650000000000002</v>
      </c>
      <c r="H5524" s="225">
        <f t="shared" si="86"/>
        <v>16.78</v>
      </c>
    </row>
    <row r="5525" spans="1:8" x14ac:dyDescent="0.3">
      <c r="A5525" s="400"/>
      <c r="B5525" s="709">
        <v>104524</v>
      </c>
      <c r="C5525" s="710" t="s">
        <v>4814</v>
      </c>
      <c r="D5525" s="709" t="s">
        <v>136</v>
      </c>
      <c r="E5525" s="716">
        <v>0</v>
      </c>
      <c r="F5525" s="717"/>
      <c r="G5525" t="e">
        <f>VLOOKUP(B5525,'SINAPI-%MO'!B:E,4,0)</f>
        <v>#N/A</v>
      </c>
      <c r="H5525" s="225" t="str">
        <f t="shared" si="86"/>
        <v/>
      </c>
    </row>
    <row r="5526" spans="1:8" x14ac:dyDescent="0.3">
      <c r="A5526" s="400"/>
      <c r="B5526" s="709">
        <v>104530</v>
      </c>
      <c r="C5526" s="710" t="s">
        <v>4815</v>
      </c>
      <c r="D5526" s="709" t="s">
        <v>136</v>
      </c>
      <c r="E5526" s="716">
        <v>0</v>
      </c>
      <c r="F5526" s="717"/>
      <c r="G5526" t="e">
        <f>VLOOKUP(B5526,'SINAPI-%MO'!B:E,4,0)</f>
        <v>#N/A</v>
      </c>
      <c r="H5526" s="225" t="str">
        <f t="shared" si="86"/>
        <v/>
      </c>
    </row>
    <row r="5527" spans="1:8" x14ac:dyDescent="0.3">
      <c r="A5527" s="400"/>
      <c r="B5527" s="709">
        <v>104526</v>
      </c>
      <c r="C5527" s="710" t="s">
        <v>4816</v>
      </c>
      <c r="D5527" s="709" t="s">
        <v>136</v>
      </c>
      <c r="E5527" s="716">
        <v>0</v>
      </c>
      <c r="F5527" s="717"/>
      <c r="G5527" t="e">
        <f>VLOOKUP(B5527,'SINAPI-%MO'!B:E,4,0)</f>
        <v>#N/A</v>
      </c>
      <c r="H5527" s="225" t="str">
        <f t="shared" si="86"/>
        <v/>
      </c>
    </row>
    <row r="5528" spans="1:8" x14ac:dyDescent="0.3">
      <c r="A5528" s="400"/>
      <c r="B5528" s="709">
        <v>104528</v>
      </c>
      <c r="C5528" s="710" t="s">
        <v>4817</v>
      </c>
      <c r="D5528" s="709" t="s">
        <v>136</v>
      </c>
      <c r="E5528" s="716">
        <v>0</v>
      </c>
      <c r="F5528" s="717"/>
      <c r="G5528" t="e">
        <f>VLOOKUP(B5528,'SINAPI-%MO'!B:E,4,0)</f>
        <v>#N/A</v>
      </c>
      <c r="H5528" s="225" t="str">
        <f t="shared" si="86"/>
        <v/>
      </c>
    </row>
    <row r="5529" spans="1:8" x14ac:dyDescent="0.3">
      <c r="A5529" s="400"/>
      <c r="B5529" s="709">
        <v>104532</v>
      </c>
      <c r="C5529" s="710" t="s">
        <v>4818</v>
      </c>
      <c r="D5529" s="709" t="s">
        <v>136</v>
      </c>
      <c r="E5529" s="716">
        <v>0</v>
      </c>
      <c r="F5529" s="717"/>
      <c r="G5529" t="e">
        <f>VLOOKUP(B5529,'SINAPI-%MO'!B:E,4,0)</f>
        <v>#N/A</v>
      </c>
      <c r="H5529" s="225" t="str">
        <f t="shared" si="86"/>
        <v/>
      </c>
    </row>
    <row r="5530" spans="1:8" x14ac:dyDescent="0.3">
      <c r="A5530" s="400"/>
      <c r="B5530" s="709">
        <v>104534</v>
      </c>
      <c r="C5530" s="710" t="s">
        <v>4819</v>
      </c>
      <c r="D5530" s="709" t="s">
        <v>136</v>
      </c>
      <c r="E5530" s="716">
        <v>0</v>
      </c>
      <c r="F5530" s="717"/>
      <c r="G5530" t="e">
        <f>VLOOKUP(B5530,'SINAPI-%MO'!B:E,4,0)</f>
        <v>#N/A</v>
      </c>
      <c r="H5530" s="225" t="str">
        <f t="shared" si="86"/>
        <v/>
      </c>
    </row>
    <row r="5531" spans="1:8" x14ac:dyDescent="0.3">
      <c r="A5531" s="400"/>
      <c r="B5531" s="709">
        <v>96873</v>
      </c>
      <c r="C5531" s="710" t="s">
        <v>4820</v>
      </c>
      <c r="D5531" s="709" t="s">
        <v>136</v>
      </c>
      <c r="E5531" s="716">
        <v>92.54</v>
      </c>
      <c r="F5531" s="717">
        <v>0</v>
      </c>
      <c r="G5531">
        <f>VLOOKUP(B5531,'SINAPI-%MO'!B:E,4,0)</f>
        <v>0.24979999999999999</v>
      </c>
      <c r="H5531" s="225">
        <f t="shared" si="86"/>
        <v>69.42</v>
      </c>
    </row>
    <row r="5532" spans="1:8" x14ac:dyDescent="0.3">
      <c r="A5532" s="400"/>
      <c r="B5532" s="709">
        <v>96872</v>
      </c>
      <c r="C5532" s="710" t="s">
        <v>4821</v>
      </c>
      <c r="D5532" s="709" t="s">
        <v>136</v>
      </c>
      <c r="E5532" s="716">
        <v>67.760000000000005</v>
      </c>
      <c r="F5532" s="717">
        <v>0</v>
      </c>
      <c r="G5532">
        <f>VLOOKUP(B5532,'SINAPI-%MO'!B:E,4,0)</f>
        <v>0.3034</v>
      </c>
      <c r="H5532" s="225">
        <f t="shared" si="86"/>
        <v>47.2</v>
      </c>
    </row>
    <row r="5533" spans="1:8" x14ac:dyDescent="0.3">
      <c r="A5533" s="400"/>
      <c r="B5533" s="709">
        <v>96876</v>
      </c>
      <c r="C5533" s="710" t="s">
        <v>4822</v>
      </c>
      <c r="D5533" s="709" t="s">
        <v>136</v>
      </c>
      <c r="E5533" s="716">
        <v>264.77</v>
      </c>
      <c r="F5533" s="717">
        <v>0</v>
      </c>
      <c r="G5533">
        <f>VLOOKUP(B5533,'SINAPI-%MO'!B:E,4,0)</f>
        <v>9.2600000000000002E-2</v>
      </c>
      <c r="H5533" s="225">
        <f t="shared" si="86"/>
        <v>240.25</v>
      </c>
    </row>
    <row r="5534" spans="1:8" x14ac:dyDescent="0.3">
      <c r="A5534" s="400"/>
      <c r="B5534" s="709">
        <v>96878</v>
      </c>
      <c r="C5534" s="710" t="s">
        <v>4823</v>
      </c>
      <c r="D5534" s="709" t="s">
        <v>136</v>
      </c>
      <c r="E5534" s="716">
        <v>299.45</v>
      </c>
      <c r="F5534" s="717">
        <v>0</v>
      </c>
      <c r="G5534">
        <f>VLOOKUP(B5534,'SINAPI-%MO'!B:E,4,0)</f>
        <v>8.8999999999999996E-2</v>
      </c>
      <c r="H5534" s="225">
        <f t="shared" si="86"/>
        <v>272.79000000000002</v>
      </c>
    </row>
    <row r="5535" spans="1:8" x14ac:dyDescent="0.3">
      <c r="A5535" s="400"/>
      <c r="B5535" s="709">
        <v>96875</v>
      </c>
      <c r="C5535" s="710" t="s">
        <v>4824</v>
      </c>
      <c r="D5535" s="709" t="s">
        <v>136</v>
      </c>
      <c r="E5535" s="716">
        <v>111.37</v>
      </c>
      <c r="F5535" s="717">
        <v>0</v>
      </c>
      <c r="G5535">
        <f>VLOOKUP(B5535,'SINAPI-%MO'!B:E,4,0)</f>
        <v>0.24079999999999999</v>
      </c>
      <c r="H5535" s="225">
        <f t="shared" si="86"/>
        <v>84.55</v>
      </c>
    </row>
    <row r="5536" spans="1:8" x14ac:dyDescent="0.3">
      <c r="A5536" s="400"/>
      <c r="B5536" s="709">
        <v>96874</v>
      </c>
      <c r="C5536" s="710" t="s">
        <v>4825</v>
      </c>
      <c r="D5536" s="709" t="s">
        <v>136</v>
      </c>
      <c r="E5536" s="716">
        <v>82.82</v>
      </c>
      <c r="F5536" s="717">
        <v>0</v>
      </c>
      <c r="G5536">
        <f>VLOOKUP(B5536,'SINAPI-%MO'!B:E,4,0)</f>
        <v>0.29289999999999999</v>
      </c>
      <c r="H5536" s="225">
        <f t="shared" si="86"/>
        <v>58.56</v>
      </c>
    </row>
    <row r="5537" spans="1:8" x14ac:dyDescent="0.3">
      <c r="A5537" s="400"/>
      <c r="B5537" s="709">
        <v>96879</v>
      </c>
      <c r="C5537" s="710" t="s">
        <v>4826</v>
      </c>
      <c r="D5537" s="709" t="s">
        <v>136</v>
      </c>
      <c r="E5537" s="716">
        <v>289.06</v>
      </c>
      <c r="F5537" s="717">
        <v>0</v>
      </c>
      <c r="G5537">
        <f>VLOOKUP(B5537,'SINAPI-%MO'!B:E,4,0)</f>
        <v>9.3700000000000006E-2</v>
      </c>
      <c r="H5537" s="225">
        <f t="shared" si="86"/>
        <v>261.97000000000003</v>
      </c>
    </row>
    <row r="5538" spans="1:8" x14ac:dyDescent="0.3">
      <c r="A5538" s="400"/>
      <c r="B5538" s="709">
        <v>96881</v>
      </c>
      <c r="C5538" s="710" t="s">
        <v>4827</v>
      </c>
      <c r="D5538" s="709" t="s">
        <v>136</v>
      </c>
      <c r="E5538" s="716">
        <v>346.45</v>
      </c>
      <c r="F5538" s="717">
        <v>0</v>
      </c>
      <c r="G5538">
        <f>VLOOKUP(B5538,'SINAPI-%MO'!B:E,4,0)</f>
        <v>8.7499999999999994E-2</v>
      </c>
      <c r="H5538" s="225">
        <f t="shared" si="86"/>
        <v>316.13</v>
      </c>
    </row>
    <row r="5539" spans="1:8" x14ac:dyDescent="0.3">
      <c r="A5539" s="400"/>
      <c r="B5539" s="709">
        <v>96837</v>
      </c>
      <c r="C5539" s="710" t="s">
        <v>4828</v>
      </c>
      <c r="D5539" s="709" t="s">
        <v>136</v>
      </c>
      <c r="E5539" s="716">
        <v>28.7</v>
      </c>
      <c r="F5539" s="717">
        <v>0</v>
      </c>
      <c r="G5539">
        <f>VLOOKUP(B5539,'SINAPI-%MO'!B:E,4,0)</f>
        <v>0.3861</v>
      </c>
      <c r="H5539" s="225">
        <f t="shared" si="86"/>
        <v>17.61</v>
      </c>
    </row>
    <row r="5540" spans="1:8" x14ac:dyDescent="0.3">
      <c r="A5540" s="400"/>
      <c r="B5540" s="709">
        <v>96840</v>
      </c>
      <c r="C5540" s="710" t="s">
        <v>4829</v>
      </c>
      <c r="D5540" s="709" t="s">
        <v>136</v>
      </c>
      <c r="E5540" s="716">
        <v>34.76</v>
      </c>
      <c r="F5540" s="717">
        <v>0</v>
      </c>
      <c r="G5540">
        <f>VLOOKUP(B5540,'SINAPI-%MO'!B:E,4,0)</f>
        <v>0.37769999999999998</v>
      </c>
      <c r="H5540" s="225">
        <f t="shared" si="86"/>
        <v>21.63</v>
      </c>
    </row>
    <row r="5541" spans="1:8" x14ac:dyDescent="0.3">
      <c r="A5541" s="400"/>
      <c r="B5541" s="709">
        <v>96845</v>
      </c>
      <c r="C5541" s="710" t="s">
        <v>4830</v>
      </c>
      <c r="D5541" s="709" t="s">
        <v>136</v>
      </c>
      <c r="E5541" s="716">
        <v>57.38</v>
      </c>
      <c r="F5541" s="717">
        <v>0</v>
      </c>
      <c r="G5541">
        <f>VLOOKUP(B5541,'SINAPI-%MO'!B:E,4,0)</f>
        <v>0.27339999999999998</v>
      </c>
      <c r="H5541" s="225">
        <f t="shared" si="86"/>
        <v>41.69</v>
      </c>
    </row>
    <row r="5542" spans="1:8" x14ac:dyDescent="0.3">
      <c r="A5542" s="400"/>
      <c r="B5542" s="709">
        <v>96848</v>
      </c>
      <c r="C5542" s="710" t="s">
        <v>4831</v>
      </c>
      <c r="D5542" s="709" t="s">
        <v>136</v>
      </c>
      <c r="E5542" s="716">
        <v>77</v>
      </c>
      <c r="F5542" s="717">
        <v>0</v>
      </c>
      <c r="G5542">
        <f>VLOOKUP(B5542,'SINAPI-%MO'!B:E,4,0)</f>
        <v>0.25059999999999999</v>
      </c>
      <c r="H5542" s="225">
        <f t="shared" si="86"/>
        <v>57.7</v>
      </c>
    </row>
    <row r="5543" spans="1:8" x14ac:dyDescent="0.3">
      <c r="A5543" s="400"/>
      <c r="B5543" s="709">
        <v>96849</v>
      </c>
      <c r="C5543" s="710" t="s">
        <v>4832</v>
      </c>
      <c r="D5543" s="709" t="s">
        <v>136</v>
      </c>
      <c r="E5543" s="716">
        <v>23.46</v>
      </c>
      <c r="F5543" s="717">
        <v>0</v>
      </c>
      <c r="G5543">
        <f>VLOOKUP(B5543,'SINAPI-%MO'!B:E,4,0)</f>
        <v>0.32950000000000002</v>
      </c>
      <c r="H5543" s="225">
        <f t="shared" si="86"/>
        <v>15.72</v>
      </c>
    </row>
    <row r="5544" spans="1:8" x14ac:dyDescent="0.3">
      <c r="A5544" s="400"/>
      <c r="B5544" s="709">
        <v>96852</v>
      </c>
      <c r="C5544" s="710" t="s">
        <v>4833</v>
      </c>
      <c r="D5544" s="709" t="s">
        <v>136</v>
      </c>
      <c r="E5544" s="716">
        <v>30.23</v>
      </c>
      <c r="F5544" s="717">
        <v>0</v>
      </c>
      <c r="G5544">
        <f>VLOOKUP(B5544,'SINAPI-%MO'!B:E,4,0)</f>
        <v>0.30299999999999999</v>
      </c>
      <c r="H5544" s="225">
        <f t="shared" si="86"/>
        <v>21.07</v>
      </c>
    </row>
    <row r="5545" spans="1:8" x14ac:dyDescent="0.3">
      <c r="A5545" s="400"/>
      <c r="B5545" s="709">
        <v>96855</v>
      </c>
      <c r="C5545" s="710" t="s">
        <v>4834</v>
      </c>
      <c r="D5545" s="709" t="s">
        <v>136</v>
      </c>
      <c r="E5545" s="716">
        <v>49.24</v>
      </c>
      <c r="F5545" s="717">
        <v>0</v>
      </c>
      <c r="G5545">
        <f>VLOOKUP(B5545,'SINAPI-%MO'!B:E,4,0)</f>
        <v>0.22239999999999999</v>
      </c>
      <c r="H5545" s="225">
        <f t="shared" si="86"/>
        <v>38.28</v>
      </c>
    </row>
    <row r="5546" spans="1:8" x14ac:dyDescent="0.3">
      <c r="A5546" s="400"/>
      <c r="B5546" s="709">
        <v>96838</v>
      </c>
      <c r="C5546" s="710" t="s">
        <v>4835</v>
      </c>
      <c r="D5546" s="709" t="s">
        <v>136</v>
      </c>
      <c r="E5546" s="716">
        <v>33.729999999999997</v>
      </c>
      <c r="F5546" s="717">
        <v>0</v>
      </c>
      <c r="G5546">
        <f>VLOOKUP(B5546,'SINAPI-%MO'!B:E,4,0)</f>
        <v>0.44</v>
      </c>
      <c r="H5546" s="225">
        <f t="shared" si="86"/>
        <v>18.88</v>
      </c>
    </row>
    <row r="5547" spans="1:8" x14ac:dyDescent="0.3">
      <c r="A5547" s="400"/>
      <c r="B5547" s="709">
        <v>96841</v>
      </c>
      <c r="C5547" s="710" t="s">
        <v>4836</v>
      </c>
      <c r="D5547" s="709" t="s">
        <v>136</v>
      </c>
      <c r="E5547" s="716">
        <v>37.78</v>
      </c>
      <c r="F5547" s="717">
        <v>0</v>
      </c>
      <c r="G5547">
        <f>VLOOKUP(B5547,'SINAPI-%MO'!B:E,4,0)</f>
        <v>0.42009999999999997</v>
      </c>
      <c r="H5547" s="225">
        <f t="shared" si="86"/>
        <v>21.9</v>
      </c>
    </row>
    <row r="5548" spans="1:8" x14ac:dyDescent="0.3">
      <c r="A5548" s="400"/>
      <c r="B5548" s="709">
        <v>96842</v>
      </c>
      <c r="C5548" s="710" t="s">
        <v>4837</v>
      </c>
      <c r="D5548" s="709" t="s">
        <v>136</v>
      </c>
      <c r="E5548" s="716">
        <v>43.58</v>
      </c>
      <c r="F5548" s="717">
        <v>0</v>
      </c>
      <c r="G5548">
        <f>VLOOKUP(B5548,'SINAPI-%MO'!B:E,4,0)</f>
        <v>0.40360000000000001</v>
      </c>
      <c r="H5548" s="225">
        <f t="shared" si="86"/>
        <v>25.99</v>
      </c>
    </row>
    <row r="5549" spans="1:8" x14ac:dyDescent="0.3">
      <c r="A5549" s="400"/>
      <c r="B5549" s="709">
        <v>96846</v>
      </c>
      <c r="C5549" s="710" t="s">
        <v>4838</v>
      </c>
      <c r="D5549" s="709" t="s">
        <v>136</v>
      </c>
      <c r="E5549" s="716">
        <v>51.68</v>
      </c>
      <c r="F5549" s="717">
        <v>0</v>
      </c>
      <c r="G5549">
        <f>VLOOKUP(B5549,'SINAPI-%MO'!B:E,4,0)</f>
        <v>0.36509999999999998</v>
      </c>
      <c r="H5549" s="225">
        <f t="shared" si="86"/>
        <v>32.81</v>
      </c>
    </row>
    <row r="5550" spans="1:8" x14ac:dyDescent="0.3">
      <c r="A5550" s="400"/>
      <c r="B5550" s="709">
        <v>96850</v>
      </c>
      <c r="C5550" s="710" t="s">
        <v>4839</v>
      </c>
      <c r="D5550" s="709" t="s">
        <v>136</v>
      </c>
      <c r="E5550" s="716">
        <v>31.81</v>
      </c>
      <c r="F5550" s="717">
        <v>0</v>
      </c>
      <c r="G5550">
        <f>VLOOKUP(B5550,'SINAPI-%MO'!B:E,4,0)</f>
        <v>0.41370000000000001</v>
      </c>
      <c r="H5550" s="225">
        <f t="shared" si="86"/>
        <v>18.649999999999999</v>
      </c>
    </row>
    <row r="5551" spans="1:8" x14ac:dyDescent="0.3">
      <c r="A5551" s="400"/>
      <c r="B5551" s="709">
        <v>96853</v>
      </c>
      <c r="C5551" s="710" t="s">
        <v>4840</v>
      </c>
      <c r="D5551" s="709" t="s">
        <v>136</v>
      </c>
      <c r="E5551" s="716">
        <v>34.33</v>
      </c>
      <c r="F5551" s="717">
        <v>0</v>
      </c>
      <c r="G5551">
        <f>VLOOKUP(B5551,'SINAPI-%MO'!B:E,4,0)</f>
        <v>0.40429999999999999</v>
      </c>
      <c r="H5551" s="225">
        <f t="shared" si="86"/>
        <v>20.45</v>
      </c>
    </row>
    <row r="5552" spans="1:8" x14ac:dyDescent="0.3">
      <c r="A5552" s="400"/>
      <c r="B5552" s="709">
        <v>96854</v>
      </c>
      <c r="C5552" s="710" t="s">
        <v>4841</v>
      </c>
      <c r="D5552" s="709" t="s">
        <v>136</v>
      </c>
      <c r="E5552" s="716">
        <v>43.08</v>
      </c>
      <c r="F5552" s="717">
        <v>0</v>
      </c>
      <c r="G5552">
        <f>VLOOKUP(B5552,'SINAPI-%MO'!B:E,4,0)</f>
        <v>0.36209999999999998</v>
      </c>
      <c r="H5552" s="225">
        <f t="shared" si="86"/>
        <v>27.48</v>
      </c>
    </row>
    <row r="5553" spans="1:8" x14ac:dyDescent="0.3">
      <c r="A5553" s="400"/>
      <c r="B5553" s="709">
        <v>104571</v>
      </c>
      <c r="C5553" s="710" t="s">
        <v>4842</v>
      </c>
      <c r="D5553" s="709" t="s">
        <v>136</v>
      </c>
      <c r="E5553" s="716">
        <v>0</v>
      </c>
      <c r="F5553" s="717"/>
      <c r="G5553" t="e">
        <f>VLOOKUP(B5553,'SINAPI-%MO'!B:E,4,0)</f>
        <v>#N/A</v>
      </c>
      <c r="H5553" s="225" t="str">
        <f t="shared" si="86"/>
        <v/>
      </c>
    </row>
    <row r="5554" spans="1:8" x14ac:dyDescent="0.3">
      <c r="A5554" s="400"/>
      <c r="B5554" s="709">
        <v>96856</v>
      </c>
      <c r="C5554" s="710" t="s">
        <v>4843</v>
      </c>
      <c r="D5554" s="709" t="s">
        <v>136</v>
      </c>
      <c r="E5554" s="716">
        <v>51.07</v>
      </c>
      <c r="F5554" s="717">
        <v>0</v>
      </c>
      <c r="G5554">
        <f>VLOOKUP(B5554,'SINAPI-%MO'!B:E,4,0)</f>
        <v>0.28920000000000001</v>
      </c>
      <c r="H5554" s="225">
        <f t="shared" si="86"/>
        <v>36.299999999999997</v>
      </c>
    </row>
    <row r="5555" spans="1:8" x14ac:dyDescent="0.3">
      <c r="A5555" s="400"/>
      <c r="B5555" s="709">
        <v>104566</v>
      </c>
      <c r="C5555" s="710" t="s">
        <v>4844</v>
      </c>
      <c r="D5555" s="709" t="s">
        <v>136</v>
      </c>
      <c r="E5555" s="716">
        <v>0</v>
      </c>
      <c r="F5555" s="717"/>
      <c r="G5555" t="e">
        <f>VLOOKUP(B5555,'SINAPI-%MO'!B:E,4,0)</f>
        <v>#N/A</v>
      </c>
      <c r="H5555" s="225" t="str">
        <f t="shared" si="86"/>
        <v/>
      </c>
    </row>
    <row r="5556" spans="1:8" x14ac:dyDescent="0.3">
      <c r="A5556" s="400"/>
      <c r="B5556" s="709">
        <v>104536</v>
      </c>
      <c r="C5556" s="710" t="s">
        <v>4845</v>
      </c>
      <c r="D5556" s="709" t="s">
        <v>136</v>
      </c>
      <c r="E5556" s="716">
        <v>0</v>
      </c>
      <c r="F5556" s="717"/>
      <c r="G5556" t="e">
        <f>VLOOKUP(B5556,'SINAPI-%MO'!B:E,4,0)</f>
        <v>#N/A</v>
      </c>
      <c r="H5556" s="225" t="str">
        <f t="shared" si="86"/>
        <v/>
      </c>
    </row>
    <row r="5557" spans="1:8" x14ac:dyDescent="0.3">
      <c r="A5557" s="400"/>
      <c r="B5557" s="709">
        <v>104537</v>
      </c>
      <c r="C5557" s="710" t="s">
        <v>4846</v>
      </c>
      <c r="D5557" s="709" t="s">
        <v>136</v>
      </c>
      <c r="E5557" s="716">
        <v>0</v>
      </c>
      <c r="F5557" s="717"/>
      <c r="G5557" t="e">
        <f>VLOOKUP(B5557,'SINAPI-%MO'!B:E,4,0)</f>
        <v>#N/A</v>
      </c>
      <c r="H5557" s="225" t="str">
        <f t="shared" si="86"/>
        <v/>
      </c>
    </row>
    <row r="5558" spans="1:8" x14ac:dyDescent="0.3">
      <c r="A5558" s="400"/>
      <c r="B5558" s="709">
        <v>104572</v>
      </c>
      <c r="C5558" s="710" t="s">
        <v>4847</v>
      </c>
      <c r="D5558" s="709" t="s">
        <v>136</v>
      </c>
      <c r="E5558" s="716">
        <v>0</v>
      </c>
      <c r="F5558" s="717"/>
      <c r="G5558" t="e">
        <f>VLOOKUP(B5558,'SINAPI-%MO'!B:E,4,0)</f>
        <v>#N/A</v>
      </c>
      <c r="H5558" s="225" t="str">
        <f t="shared" si="86"/>
        <v/>
      </c>
    </row>
    <row r="5559" spans="1:8" x14ac:dyDescent="0.3">
      <c r="A5559" s="400"/>
      <c r="B5559" s="709">
        <v>104568</v>
      </c>
      <c r="C5559" s="710" t="s">
        <v>4848</v>
      </c>
      <c r="D5559" s="709" t="s">
        <v>136</v>
      </c>
      <c r="E5559" s="716">
        <v>0</v>
      </c>
      <c r="F5559" s="717"/>
      <c r="G5559" t="e">
        <f>VLOOKUP(B5559,'SINAPI-%MO'!B:E,4,0)</f>
        <v>#N/A</v>
      </c>
      <c r="H5559" s="225" t="str">
        <f t="shared" si="86"/>
        <v/>
      </c>
    </row>
    <row r="5560" spans="1:8" x14ac:dyDescent="0.3">
      <c r="A5560" s="400"/>
      <c r="B5560" s="709">
        <v>104538</v>
      </c>
      <c r="C5560" s="710" t="s">
        <v>4849</v>
      </c>
      <c r="D5560" s="709" t="s">
        <v>136</v>
      </c>
      <c r="E5560" s="716">
        <v>0</v>
      </c>
      <c r="F5560" s="717"/>
      <c r="G5560" t="e">
        <f>VLOOKUP(B5560,'SINAPI-%MO'!B:E,4,0)</f>
        <v>#N/A</v>
      </c>
      <c r="H5560" s="225" t="str">
        <f t="shared" si="86"/>
        <v/>
      </c>
    </row>
    <row r="5561" spans="1:8" x14ac:dyDescent="0.3">
      <c r="A5561" s="400"/>
      <c r="B5561" s="709">
        <v>104570</v>
      </c>
      <c r="C5561" s="710" t="s">
        <v>4850</v>
      </c>
      <c r="D5561" s="709" t="s">
        <v>136</v>
      </c>
      <c r="E5561" s="716">
        <v>0</v>
      </c>
      <c r="F5561" s="717"/>
      <c r="G5561" t="e">
        <f>VLOOKUP(B5561,'SINAPI-%MO'!B:E,4,0)</f>
        <v>#N/A</v>
      </c>
      <c r="H5561" s="225" t="str">
        <f t="shared" si="86"/>
        <v/>
      </c>
    </row>
    <row r="5562" spans="1:8" x14ac:dyDescent="0.3">
      <c r="A5562" s="400"/>
      <c r="B5562" s="709">
        <v>104565</v>
      </c>
      <c r="C5562" s="710" t="s">
        <v>4851</v>
      </c>
      <c r="D5562" s="709" t="s">
        <v>136</v>
      </c>
      <c r="E5562" s="716">
        <v>0</v>
      </c>
      <c r="F5562" s="717"/>
      <c r="G5562" t="e">
        <f>VLOOKUP(B5562,'SINAPI-%MO'!B:E,4,0)</f>
        <v>#N/A</v>
      </c>
      <c r="H5562" s="225" t="str">
        <f t="shared" si="86"/>
        <v/>
      </c>
    </row>
    <row r="5563" spans="1:8" x14ac:dyDescent="0.3">
      <c r="A5563" s="400"/>
      <c r="B5563" s="709">
        <v>104567</v>
      </c>
      <c r="C5563" s="710" t="s">
        <v>4852</v>
      </c>
      <c r="D5563" s="709" t="s">
        <v>136</v>
      </c>
      <c r="E5563" s="716">
        <v>0</v>
      </c>
      <c r="F5563" s="717"/>
      <c r="G5563" t="e">
        <f>VLOOKUP(B5563,'SINAPI-%MO'!B:E,4,0)</f>
        <v>#N/A</v>
      </c>
      <c r="H5563" s="225" t="str">
        <f t="shared" si="86"/>
        <v/>
      </c>
    </row>
    <row r="5564" spans="1:8" x14ac:dyDescent="0.3">
      <c r="A5564" s="400"/>
      <c r="B5564" s="709">
        <v>104569</v>
      </c>
      <c r="C5564" s="710" t="s">
        <v>4853</v>
      </c>
      <c r="D5564" s="709" t="s">
        <v>136</v>
      </c>
      <c r="E5564" s="716">
        <v>0</v>
      </c>
      <c r="F5564" s="717"/>
      <c r="G5564" t="e">
        <f>VLOOKUP(B5564,'SINAPI-%MO'!B:E,4,0)</f>
        <v>#N/A</v>
      </c>
      <c r="H5564" s="225" t="str">
        <f t="shared" si="86"/>
        <v/>
      </c>
    </row>
    <row r="5565" spans="1:8" x14ac:dyDescent="0.3">
      <c r="A5565" s="400"/>
      <c r="B5565" s="709">
        <v>96843</v>
      </c>
      <c r="C5565" s="710" t="s">
        <v>4854</v>
      </c>
      <c r="D5565" s="709" t="s">
        <v>136</v>
      </c>
      <c r="E5565" s="716">
        <v>39.700000000000003</v>
      </c>
      <c r="F5565" s="717">
        <v>0</v>
      </c>
      <c r="G5565">
        <f>VLOOKUP(B5565,'SINAPI-%MO'!B:E,4,0)</f>
        <v>0.3997</v>
      </c>
      <c r="H5565" s="225">
        <f t="shared" si="86"/>
        <v>23.83</v>
      </c>
    </row>
    <row r="5566" spans="1:8" x14ac:dyDescent="0.3">
      <c r="A5566" s="400"/>
      <c r="B5566" s="709">
        <v>96847</v>
      </c>
      <c r="C5566" s="710" t="s">
        <v>4855</v>
      </c>
      <c r="D5566" s="709" t="s">
        <v>136</v>
      </c>
      <c r="E5566" s="716">
        <v>50.84</v>
      </c>
      <c r="F5566" s="717">
        <v>0</v>
      </c>
      <c r="G5566">
        <f>VLOOKUP(B5566,'SINAPI-%MO'!B:E,4,0)</f>
        <v>0.37119999999999997</v>
      </c>
      <c r="H5566" s="225">
        <f t="shared" si="86"/>
        <v>31.96</v>
      </c>
    </row>
    <row r="5567" spans="1:8" x14ac:dyDescent="0.3">
      <c r="A5567" s="400"/>
      <c r="B5567" s="709">
        <v>96844</v>
      </c>
      <c r="C5567" s="710" t="s">
        <v>4856</v>
      </c>
      <c r="D5567" s="709" t="s">
        <v>136</v>
      </c>
      <c r="E5567" s="716">
        <v>46.06</v>
      </c>
      <c r="F5567" s="717">
        <v>0</v>
      </c>
      <c r="G5567">
        <f>VLOOKUP(B5567,'SINAPI-%MO'!B:E,4,0)</f>
        <v>0.38190000000000002</v>
      </c>
      <c r="H5567" s="225">
        <f t="shared" si="86"/>
        <v>28.46</v>
      </c>
    </row>
    <row r="5568" spans="1:8" x14ac:dyDescent="0.3">
      <c r="A5568" s="400"/>
      <c r="B5568" s="709">
        <v>96839</v>
      </c>
      <c r="C5568" s="710" t="s">
        <v>4857</v>
      </c>
      <c r="D5568" s="709" t="s">
        <v>136</v>
      </c>
      <c r="E5568" s="716">
        <v>35.14</v>
      </c>
      <c r="F5568" s="717">
        <v>0</v>
      </c>
      <c r="G5568">
        <f>VLOOKUP(B5568,'SINAPI-%MO'!B:E,4,0)</f>
        <v>0.42230000000000001</v>
      </c>
      <c r="H5568" s="225">
        <f t="shared" si="86"/>
        <v>20.3</v>
      </c>
    </row>
    <row r="5569" spans="1:8" x14ac:dyDescent="0.3">
      <c r="A5569" s="400"/>
      <c r="B5569" s="709">
        <v>104574</v>
      </c>
      <c r="C5569" s="710" t="s">
        <v>4858</v>
      </c>
      <c r="D5569" s="709" t="s">
        <v>136</v>
      </c>
      <c r="E5569" s="716">
        <v>0</v>
      </c>
      <c r="F5569" s="717"/>
      <c r="G5569" t="e">
        <f>VLOOKUP(B5569,'SINAPI-%MO'!B:E,4,0)</f>
        <v>#N/A</v>
      </c>
      <c r="H5569" s="225" t="str">
        <f t="shared" si="86"/>
        <v/>
      </c>
    </row>
    <row r="5570" spans="1:8" x14ac:dyDescent="0.3">
      <c r="A5570" s="400"/>
      <c r="B5570" s="709">
        <v>104575</v>
      </c>
      <c r="C5570" s="710" t="s">
        <v>4859</v>
      </c>
      <c r="D5570" s="709" t="s">
        <v>136</v>
      </c>
      <c r="E5570" s="716">
        <v>0</v>
      </c>
      <c r="F5570" s="717"/>
      <c r="G5570" t="e">
        <f>VLOOKUP(B5570,'SINAPI-%MO'!B:E,4,0)</f>
        <v>#N/A</v>
      </c>
      <c r="H5570" s="225" t="str">
        <f t="shared" si="86"/>
        <v/>
      </c>
    </row>
    <row r="5571" spans="1:8" x14ac:dyDescent="0.3">
      <c r="A5571" s="400"/>
      <c r="B5571" s="709">
        <v>104573</v>
      </c>
      <c r="C5571" s="710" t="s">
        <v>4860</v>
      </c>
      <c r="D5571" s="709" t="s">
        <v>136</v>
      </c>
      <c r="E5571" s="716">
        <v>0</v>
      </c>
      <c r="F5571" s="717"/>
      <c r="G5571" t="e">
        <f>VLOOKUP(B5571,'SINAPI-%MO'!B:E,4,0)</f>
        <v>#N/A</v>
      </c>
      <c r="H5571" s="225" t="str">
        <f t="shared" si="86"/>
        <v/>
      </c>
    </row>
    <row r="5572" spans="1:8" x14ac:dyDescent="0.3">
      <c r="A5572" s="400"/>
      <c r="B5572" s="709">
        <v>96805</v>
      </c>
      <c r="C5572" s="710" t="s">
        <v>4861</v>
      </c>
      <c r="D5572" s="709" t="s">
        <v>136</v>
      </c>
      <c r="E5572" s="716">
        <v>341.5</v>
      </c>
      <c r="F5572" s="717">
        <v>0</v>
      </c>
      <c r="G5572">
        <f>VLOOKUP(B5572,'SINAPI-%MO'!B:E,4,0)</f>
        <v>8.7300000000000003E-2</v>
      </c>
      <c r="H5572" s="225">
        <f t="shared" si="86"/>
        <v>311.68</v>
      </c>
    </row>
    <row r="5573" spans="1:8" x14ac:dyDescent="0.3">
      <c r="A5573" s="400"/>
      <c r="B5573" s="709">
        <v>96802</v>
      </c>
      <c r="C5573" s="710" t="s">
        <v>4862</v>
      </c>
      <c r="D5573" s="709" t="s">
        <v>136</v>
      </c>
      <c r="E5573" s="716">
        <v>679.86</v>
      </c>
      <c r="F5573" s="717">
        <v>0</v>
      </c>
      <c r="G5573">
        <f>VLOOKUP(B5573,'SINAPI-%MO'!B:E,4,0)</f>
        <v>3.2800000000000003E-2</v>
      </c>
      <c r="H5573" s="225">
        <f t="shared" si="86"/>
        <v>657.56</v>
      </c>
    </row>
    <row r="5574" spans="1:8" x14ac:dyDescent="0.3">
      <c r="A5574" s="400"/>
      <c r="B5574" s="709">
        <v>96806</v>
      </c>
      <c r="C5574" s="710" t="s">
        <v>4863</v>
      </c>
      <c r="D5574" s="709" t="s">
        <v>136</v>
      </c>
      <c r="E5574" s="716">
        <v>123.62</v>
      </c>
      <c r="F5574" s="717">
        <v>0</v>
      </c>
      <c r="G5574">
        <f>VLOOKUP(B5574,'SINAPI-%MO'!B:E,4,0)</f>
        <v>0.2102</v>
      </c>
      <c r="H5574" s="225">
        <f t="shared" si="86"/>
        <v>97.63</v>
      </c>
    </row>
    <row r="5575" spans="1:8" x14ac:dyDescent="0.3">
      <c r="A5575" s="400"/>
      <c r="B5575" s="709">
        <v>96803</v>
      </c>
      <c r="C5575" s="710" t="s">
        <v>4864</v>
      </c>
      <c r="D5575" s="709" t="s">
        <v>136</v>
      </c>
      <c r="E5575" s="716">
        <v>116.07</v>
      </c>
      <c r="F5575" s="717">
        <v>0</v>
      </c>
      <c r="G5575">
        <f>VLOOKUP(B5575,'SINAPI-%MO'!B:E,4,0)</f>
        <v>0.1588</v>
      </c>
      <c r="H5575" s="225">
        <f t="shared" si="86"/>
        <v>97.63</v>
      </c>
    </row>
    <row r="5576" spans="1:8" x14ac:dyDescent="0.3">
      <c r="A5576" s="400"/>
      <c r="B5576" s="709">
        <v>96807</v>
      </c>
      <c r="C5576" s="710" t="s">
        <v>4865</v>
      </c>
      <c r="D5576" s="709" t="s">
        <v>136</v>
      </c>
      <c r="E5576" s="716">
        <v>193.41</v>
      </c>
      <c r="F5576" s="717">
        <v>0</v>
      </c>
      <c r="G5576">
        <f>VLOOKUP(B5576,'SINAPI-%MO'!B:E,4,0)</f>
        <v>0.26440000000000002</v>
      </c>
      <c r="H5576" s="225">
        <f t="shared" si="86"/>
        <v>142.27000000000001</v>
      </c>
    </row>
    <row r="5577" spans="1:8" x14ac:dyDescent="0.3">
      <c r="A5577" s="400"/>
      <c r="B5577" s="709">
        <v>96804</v>
      </c>
      <c r="C5577" s="710" t="s">
        <v>4866</v>
      </c>
      <c r="D5577" s="709" t="s">
        <v>136</v>
      </c>
      <c r="E5577" s="716">
        <v>179.36</v>
      </c>
      <c r="F5577" s="717">
        <v>0</v>
      </c>
      <c r="G5577">
        <f>VLOOKUP(B5577,'SINAPI-%MO'!B:E,4,0)</f>
        <v>0.24299999999999999</v>
      </c>
      <c r="H5577" s="225">
        <f t="shared" si="86"/>
        <v>135.77000000000001</v>
      </c>
    </row>
    <row r="5578" spans="1:8" x14ac:dyDescent="0.3">
      <c r="A5578" s="400"/>
      <c r="B5578" s="709">
        <v>96829</v>
      </c>
      <c r="C5578" s="710" t="s">
        <v>4867</v>
      </c>
      <c r="D5578" s="709" t="s">
        <v>136</v>
      </c>
      <c r="E5578" s="716">
        <v>27.37</v>
      </c>
      <c r="F5578" s="717">
        <v>0</v>
      </c>
      <c r="G5578">
        <f>VLOOKUP(B5578,'SINAPI-%MO'!B:E,4,0)</f>
        <v>0.20569999999999999</v>
      </c>
      <c r="H5578" s="225">
        <f t="shared" si="86"/>
        <v>21.73</v>
      </c>
    </row>
    <row r="5579" spans="1:8" x14ac:dyDescent="0.3">
      <c r="A5579" s="400"/>
      <c r="B5579" s="709">
        <v>96833</v>
      </c>
      <c r="C5579" s="710" t="s">
        <v>4868</v>
      </c>
      <c r="D5579" s="709" t="s">
        <v>136</v>
      </c>
      <c r="E5579" s="716">
        <v>35.43</v>
      </c>
      <c r="F5579" s="717">
        <v>0</v>
      </c>
      <c r="G5579">
        <f>VLOOKUP(B5579,'SINAPI-%MO'!B:E,4,0)</f>
        <v>0.17580000000000001</v>
      </c>
      <c r="H5579" s="225">
        <f t="shared" ref="H5579:H5642" si="87">IF(E5579&gt;0,TRUNC(E5579*(1-G5579),2),"")</f>
        <v>29.2</v>
      </c>
    </row>
    <row r="5580" spans="1:8" x14ac:dyDescent="0.3">
      <c r="A5580" s="400"/>
      <c r="B5580" s="709">
        <v>96836</v>
      </c>
      <c r="C5580" s="710" t="s">
        <v>4869</v>
      </c>
      <c r="D5580" s="709" t="s">
        <v>136</v>
      </c>
      <c r="E5580" s="716">
        <v>51.11</v>
      </c>
      <c r="F5580" s="717">
        <v>0</v>
      </c>
      <c r="G5580">
        <f>VLOOKUP(B5580,'SINAPI-%MO'!B:E,4,0)</f>
        <v>0.1593</v>
      </c>
      <c r="H5580" s="225">
        <f t="shared" si="87"/>
        <v>42.96</v>
      </c>
    </row>
    <row r="5581" spans="1:8" x14ac:dyDescent="0.3">
      <c r="A5581" s="400"/>
      <c r="B5581" s="709">
        <v>104576</v>
      </c>
      <c r="C5581" s="710" t="s">
        <v>4870</v>
      </c>
      <c r="D5581" s="709" t="s">
        <v>136</v>
      </c>
      <c r="E5581" s="716">
        <v>22.25</v>
      </c>
      <c r="F5581" s="717">
        <v>0</v>
      </c>
      <c r="G5581">
        <f>VLOOKUP(B5581,'SINAPI-%MO'!B:E,4,0)</f>
        <v>0.36270000000000002</v>
      </c>
      <c r="H5581" s="225">
        <f t="shared" si="87"/>
        <v>14.17</v>
      </c>
    </row>
    <row r="5582" spans="1:8" x14ac:dyDescent="0.3">
      <c r="A5582" s="400"/>
      <c r="B5582" s="709">
        <v>104577</v>
      </c>
      <c r="C5582" s="710" t="s">
        <v>4871</v>
      </c>
      <c r="D5582" s="709" t="s">
        <v>136</v>
      </c>
      <c r="E5582" s="716">
        <v>30.96</v>
      </c>
      <c r="F5582" s="717">
        <v>0</v>
      </c>
      <c r="G5582">
        <f>VLOOKUP(B5582,'SINAPI-%MO'!B:E,4,0)</f>
        <v>0.28839999999999999</v>
      </c>
      <c r="H5582" s="225">
        <f t="shared" si="87"/>
        <v>22.03</v>
      </c>
    </row>
    <row r="5583" spans="1:8" x14ac:dyDescent="0.3">
      <c r="A5583" s="400"/>
      <c r="B5583" s="709">
        <v>104578</v>
      </c>
      <c r="C5583" s="710" t="s">
        <v>4872</v>
      </c>
      <c r="D5583" s="709" t="s">
        <v>136</v>
      </c>
      <c r="E5583" s="716">
        <v>33.159999999999997</v>
      </c>
      <c r="F5583" s="717">
        <v>0</v>
      </c>
      <c r="G5583">
        <f>VLOOKUP(B5583,'SINAPI-%MO'!B:E,4,0)</f>
        <v>0.2898</v>
      </c>
      <c r="H5583" s="225">
        <f t="shared" si="87"/>
        <v>23.55</v>
      </c>
    </row>
    <row r="5584" spans="1:8" x14ac:dyDescent="0.3">
      <c r="A5584" s="400"/>
      <c r="B5584" s="709">
        <v>104580</v>
      </c>
      <c r="C5584" s="710" t="s">
        <v>4873</v>
      </c>
      <c r="D5584" s="709" t="s">
        <v>136</v>
      </c>
      <c r="E5584" s="716">
        <v>29.28</v>
      </c>
      <c r="F5584" s="717">
        <v>0</v>
      </c>
      <c r="G5584">
        <f>VLOOKUP(B5584,'SINAPI-%MO'!B:E,4,0)</f>
        <v>0.25750000000000001</v>
      </c>
      <c r="H5584" s="225">
        <f t="shared" si="87"/>
        <v>21.74</v>
      </c>
    </row>
    <row r="5585" spans="1:8" x14ac:dyDescent="0.3">
      <c r="A5585" s="400"/>
      <c r="B5585" s="709">
        <v>104579</v>
      </c>
      <c r="C5585" s="710" t="s">
        <v>4874</v>
      </c>
      <c r="D5585" s="709" t="s">
        <v>136</v>
      </c>
      <c r="E5585" s="716">
        <v>44.05</v>
      </c>
      <c r="F5585" s="717">
        <v>0</v>
      </c>
      <c r="G5585">
        <f>VLOOKUP(B5585,'SINAPI-%MO'!B:E,4,0)</f>
        <v>0.26469999999999999</v>
      </c>
      <c r="H5585" s="225">
        <f t="shared" si="87"/>
        <v>32.380000000000003</v>
      </c>
    </row>
    <row r="5586" spans="1:8" x14ac:dyDescent="0.3">
      <c r="A5586" s="400"/>
      <c r="B5586" s="709">
        <v>96823</v>
      </c>
      <c r="C5586" s="710" t="s">
        <v>4875</v>
      </c>
      <c r="D5586" s="709" t="s">
        <v>136</v>
      </c>
      <c r="E5586" s="716">
        <v>15.93</v>
      </c>
      <c r="F5586" s="717">
        <v>0</v>
      </c>
      <c r="G5586">
        <f>VLOOKUP(B5586,'SINAPI-%MO'!B:E,4,0)</f>
        <v>0.32329999999999998</v>
      </c>
      <c r="H5586" s="225">
        <f t="shared" si="87"/>
        <v>10.77</v>
      </c>
    </row>
    <row r="5587" spans="1:8" x14ac:dyDescent="0.3">
      <c r="A5587" s="400"/>
      <c r="B5587" s="709">
        <v>96826</v>
      </c>
      <c r="C5587" s="710" t="s">
        <v>4876</v>
      </c>
      <c r="D5587" s="709" t="s">
        <v>136</v>
      </c>
      <c r="E5587" s="716">
        <v>18.399999999999999</v>
      </c>
      <c r="F5587" s="717">
        <v>0</v>
      </c>
      <c r="G5587">
        <f>VLOOKUP(B5587,'SINAPI-%MO'!B:E,4,0)</f>
        <v>0.33150000000000002</v>
      </c>
      <c r="H5587" s="225">
        <f t="shared" si="87"/>
        <v>12.3</v>
      </c>
    </row>
    <row r="5588" spans="1:8" x14ac:dyDescent="0.3">
      <c r="A5588" s="400"/>
      <c r="B5588" s="709">
        <v>96830</v>
      </c>
      <c r="C5588" s="710" t="s">
        <v>4877</v>
      </c>
      <c r="D5588" s="709" t="s">
        <v>136</v>
      </c>
      <c r="E5588" s="716">
        <v>30.25</v>
      </c>
      <c r="F5588" s="717">
        <v>0</v>
      </c>
      <c r="G5588">
        <f>VLOOKUP(B5588,'SINAPI-%MO'!B:E,4,0)</f>
        <v>0.24129999999999999</v>
      </c>
      <c r="H5588" s="225">
        <f t="shared" si="87"/>
        <v>22.95</v>
      </c>
    </row>
    <row r="5589" spans="1:8" x14ac:dyDescent="0.3">
      <c r="A5589" s="400"/>
      <c r="B5589" s="709">
        <v>96834</v>
      </c>
      <c r="C5589" s="710" t="s">
        <v>4878</v>
      </c>
      <c r="D5589" s="709" t="s">
        <v>136</v>
      </c>
      <c r="E5589" s="716">
        <v>41.46</v>
      </c>
      <c r="F5589" s="717">
        <v>0</v>
      </c>
      <c r="G5589">
        <f>VLOOKUP(B5589,'SINAPI-%MO'!B:E,4,0)</f>
        <v>0.21640000000000001</v>
      </c>
      <c r="H5589" s="225">
        <f t="shared" si="87"/>
        <v>32.479999999999997</v>
      </c>
    </row>
    <row r="5590" spans="1:8" x14ac:dyDescent="0.3">
      <c r="A5590" s="400"/>
      <c r="B5590" s="709">
        <v>104581</v>
      </c>
      <c r="C5590" s="710" t="s">
        <v>4879</v>
      </c>
      <c r="D5590" s="709" t="s">
        <v>136</v>
      </c>
      <c r="E5590" s="716">
        <v>20.309999999999999</v>
      </c>
      <c r="F5590" s="717">
        <v>0</v>
      </c>
      <c r="G5590">
        <f>VLOOKUP(B5590,'SINAPI-%MO'!B:E,4,0)</f>
        <v>0.3634</v>
      </c>
      <c r="H5590" s="225">
        <f t="shared" si="87"/>
        <v>12.92</v>
      </c>
    </row>
    <row r="5591" spans="1:8" x14ac:dyDescent="0.3">
      <c r="A5591" s="400"/>
      <c r="B5591" s="709">
        <v>104582</v>
      </c>
      <c r="C5591" s="710" t="s">
        <v>4880</v>
      </c>
      <c r="D5591" s="709" t="s">
        <v>136</v>
      </c>
      <c r="E5591" s="716">
        <v>26.28</v>
      </c>
      <c r="F5591" s="717">
        <v>0</v>
      </c>
      <c r="G5591">
        <f>VLOOKUP(B5591,'SINAPI-%MO'!B:E,4,0)</f>
        <v>0.33300000000000002</v>
      </c>
      <c r="H5591" s="225">
        <f t="shared" si="87"/>
        <v>17.52</v>
      </c>
    </row>
    <row r="5592" spans="1:8" x14ac:dyDescent="0.3">
      <c r="A5592" s="400"/>
      <c r="B5592" s="709">
        <v>104583</v>
      </c>
      <c r="C5592" s="710" t="s">
        <v>4881</v>
      </c>
      <c r="D5592" s="709" t="s">
        <v>136</v>
      </c>
      <c r="E5592" s="716">
        <v>44.11</v>
      </c>
      <c r="F5592" s="717">
        <v>0</v>
      </c>
      <c r="G5592">
        <f>VLOOKUP(B5592,'SINAPI-%MO'!B:E,4,0)</f>
        <v>0.23710000000000001</v>
      </c>
      <c r="H5592" s="225">
        <f t="shared" si="87"/>
        <v>33.65</v>
      </c>
    </row>
    <row r="5593" spans="1:8" x14ac:dyDescent="0.3">
      <c r="A5593" s="400"/>
      <c r="B5593" s="709">
        <v>104584</v>
      </c>
      <c r="C5593" s="710" t="s">
        <v>4882</v>
      </c>
      <c r="D5593" s="709" t="s">
        <v>136</v>
      </c>
      <c r="E5593" s="716">
        <v>52.74</v>
      </c>
      <c r="F5593" s="717">
        <v>0</v>
      </c>
      <c r="G5593">
        <f>VLOOKUP(B5593,'SINAPI-%MO'!B:E,4,0)</f>
        <v>0.24379999999999999</v>
      </c>
      <c r="H5593" s="225">
        <f t="shared" si="87"/>
        <v>39.880000000000003</v>
      </c>
    </row>
    <row r="5594" spans="1:8" x14ac:dyDescent="0.3">
      <c r="A5594" s="400"/>
      <c r="B5594" s="709">
        <v>104585</v>
      </c>
      <c r="C5594" s="710" t="s">
        <v>4883</v>
      </c>
      <c r="D5594" s="709" t="s">
        <v>136</v>
      </c>
      <c r="E5594" s="716">
        <v>0</v>
      </c>
      <c r="F5594" s="717"/>
      <c r="G5594" t="e">
        <f>VLOOKUP(B5594,'SINAPI-%MO'!B:E,4,0)</f>
        <v>#N/A</v>
      </c>
      <c r="H5594" s="225" t="str">
        <f t="shared" si="87"/>
        <v/>
      </c>
    </row>
    <row r="5595" spans="1:8" x14ac:dyDescent="0.3">
      <c r="A5595" s="400"/>
      <c r="B5595" s="709">
        <v>104587</v>
      </c>
      <c r="C5595" s="710" t="s">
        <v>4884</v>
      </c>
      <c r="D5595" s="709" t="s">
        <v>136</v>
      </c>
      <c r="E5595" s="716">
        <v>0</v>
      </c>
      <c r="F5595" s="717"/>
      <c r="G5595" t="e">
        <f>VLOOKUP(B5595,'SINAPI-%MO'!B:E,4,0)</f>
        <v>#N/A</v>
      </c>
      <c r="H5595" s="225" t="str">
        <f t="shared" si="87"/>
        <v/>
      </c>
    </row>
    <row r="5596" spans="1:8" x14ac:dyDescent="0.3">
      <c r="A5596" s="400"/>
      <c r="B5596" s="709">
        <v>104586</v>
      </c>
      <c r="C5596" s="710" t="s">
        <v>4885</v>
      </c>
      <c r="D5596" s="709" t="s">
        <v>136</v>
      </c>
      <c r="E5596" s="716">
        <v>0</v>
      </c>
      <c r="F5596" s="717"/>
      <c r="G5596" t="e">
        <f>VLOOKUP(B5596,'SINAPI-%MO'!B:E,4,0)</f>
        <v>#N/A</v>
      </c>
      <c r="H5596" s="225" t="str">
        <f t="shared" si="87"/>
        <v/>
      </c>
    </row>
    <row r="5597" spans="1:8" x14ac:dyDescent="0.3">
      <c r="A5597" s="400"/>
      <c r="B5597" s="709">
        <v>96798</v>
      </c>
      <c r="C5597" s="710" t="s">
        <v>4886</v>
      </c>
      <c r="D5597" s="709" t="s">
        <v>159</v>
      </c>
      <c r="E5597" s="716">
        <v>11.17</v>
      </c>
      <c r="F5597" s="717">
        <v>0</v>
      </c>
      <c r="G5597">
        <f>VLOOKUP(B5597,'SINAPI-%MO'!B:E,4,0)</f>
        <v>0.30080000000000001</v>
      </c>
      <c r="H5597" s="225">
        <f t="shared" si="87"/>
        <v>7.81</v>
      </c>
    </row>
    <row r="5598" spans="1:8" x14ac:dyDescent="0.3">
      <c r="A5598" s="400"/>
      <c r="B5598" s="709">
        <v>96799</v>
      </c>
      <c r="C5598" s="710" t="s">
        <v>4887</v>
      </c>
      <c r="D5598" s="709" t="s">
        <v>159</v>
      </c>
      <c r="E5598" s="716">
        <v>14.35</v>
      </c>
      <c r="F5598" s="717">
        <v>0</v>
      </c>
      <c r="G5598">
        <f>VLOOKUP(B5598,'SINAPI-%MO'!B:E,4,0)</f>
        <v>0.29620000000000002</v>
      </c>
      <c r="H5598" s="225">
        <f t="shared" si="87"/>
        <v>10.09</v>
      </c>
    </row>
    <row r="5599" spans="1:8" x14ac:dyDescent="0.3">
      <c r="A5599" s="400"/>
      <c r="B5599" s="709">
        <v>96800</v>
      </c>
      <c r="C5599" s="710" t="s">
        <v>4888</v>
      </c>
      <c r="D5599" s="709" t="s">
        <v>159</v>
      </c>
      <c r="E5599" s="716">
        <v>19.71</v>
      </c>
      <c r="F5599" s="717">
        <v>0</v>
      </c>
      <c r="G5599">
        <f>VLOOKUP(B5599,'SINAPI-%MO'!B:E,4,0)</f>
        <v>0.27089999999999997</v>
      </c>
      <c r="H5599" s="225">
        <f t="shared" si="87"/>
        <v>14.37</v>
      </c>
    </row>
    <row r="5600" spans="1:8" x14ac:dyDescent="0.3">
      <c r="A5600" s="400"/>
      <c r="B5600" s="709">
        <v>96801</v>
      </c>
      <c r="C5600" s="710" t="s">
        <v>4889</v>
      </c>
      <c r="D5600" s="709" t="s">
        <v>159</v>
      </c>
      <c r="E5600" s="716">
        <v>30.4</v>
      </c>
      <c r="F5600" s="717">
        <v>0</v>
      </c>
      <c r="G5600">
        <f>VLOOKUP(B5600,'SINAPI-%MO'!B:E,4,0)</f>
        <v>0.2266</v>
      </c>
      <c r="H5600" s="225">
        <f t="shared" si="87"/>
        <v>23.51</v>
      </c>
    </row>
    <row r="5601" spans="1:8" x14ac:dyDescent="0.3">
      <c r="A5601" s="400"/>
      <c r="B5601" s="709">
        <v>104539</v>
      </c>
      <c r="C5601" s="710" t="s">
        <v>4890</v>
      </c>
      <c r="D5601" s="709" t="s">
        <v>136</v>
      </c>
      <c r="E5601" s="716">
        <v>0</v>
      </c>
      <c r="F5601" s="717"/>
      <c r="G5601" t="e">
        <f>VLOOKUP(B5601,'SINAPI-%MO'!B:E,4,0)</f>
        <v>#N/A</v>
      </c>
      <c r="H5601" s="225" t="str">
        <f t="shared" si="87"/>
        <v/>
      </c>
    </row>
    <row r="5602" spans="1:8" x14ac:dyDescent="0.3">
      <c r="A5602" s="400"/>
      <c r="B5602" s="709">
        <v>104541</v>
      </c>
      <c r="C5602" s="710" t="s">
        <v>4891</v>
      </c>
      <c r="D5602" s="709" t="s">
        <v>136</v>
      </c>
      <c r="E5602" s="716">
        <v>0</v>
      </c>
      <c r="F5602" s="717"/>
      <c r="G5602" t="e">
        <f>VLOOKUP(B5602,'SINAPI-%MO'!B:E,4,0)</f>
        <v>#N/A</v>
      </c>
      <c r="H5602" s="225" t="str">
        <f t="shared" si="87"/>
        <v/>
      </c>
    </row>
    <row r="5603" spans="1:8" x14ac:dyDescent="0.3">
      <c r="A5603" s="400"/>
      <c r="B5603" s="709">
        <v>104540</v>
      </c>
      <c r="C5603" s="710" t="s">
        <v>4892</v>
      </c>
      <c r="D5603" s="709" t="s">
        <v>136</v>
      </c>
      <c r="E5603" s="716">
        <v>0</v>
      </c>
      <c r="F5603" s="717"/>
      <c r="G5603" t="e">
        <f>VLOOKUP(B5603,'SINAPI-%MO'!B:E,4,0)</f>
        <v>#N/A</v>
      </c>
      <c r="H5603" s="225" t="str">
        <f t="shared" si="87"/>
        <v/>
      </c>
    </row>
    <row r="5604" spans="1:8" x14ac:dyDescent="0.3">
      <c r="A5604" s="400"/>
      <c r="B5604" s="709">
        <v>104543</v>
      </c>
      <c r="C5604" s="710" t="s">
        <v>4893</v>
      </c>
      <c r="D5604" s="709" t="s">
        <v>136</v>
      </c>
      <c r="E5604" s="716">
        <v>0</v>
      </c>
      <c r="F5604" s="717"/>
      <c r="G5604" t="e">
        <f>VLOOKUP(B5604,'SINAPI-%MO'!B:E,4,0)</f>
        <v>#N/A</v>
      </c>
      <c r="H5604" s="225" t="str">
        <f t="shared" si="87"/>
        <v/>
      </c>
    </row>
    <row r="5605" spans="1:8" x14ac:dyDescent="0.3">
      <c r="A5605" s="400"/>
      <c r="B5605" s="709">
        <v>104544</v>
      </c>
      <c r="C5605" s="710" t="s">
        <v>4894</v>
      </c>
      <c r="D5605" s="709" t="s">
        <v>136</v>
      </c>
      <c r="E5605" s="716">
        <v>0</v>
      </c>
      <c r="F5605" s="717"/>
      <c r="G5605" t="e">
        <f>VLOOKUP(B5605,'SINAPI-%MO'!B:E,4,0)</f>
        <v>#N/A</v>
      </c>
      <c r="H5605" s="225" t="str">
        <f t="shared" si="87"/>
        <v/>
      </c>
    </row>
    <row r="5606" spans="1:8" x14ac:dyDescent="0.3">
      <c r="A5606" s="400"/>
      <c r="B5606" s="709">
        <v>104545</v>
      </c>
      <c r="C5606" s="710" t="s">
        <v>4895</v>
      </c>
      <c r="D5606" s="709" t="s">
        <v>136</v>
      </c>
      <c r="E5606" s="716">
        <v>0</v>
      </c>
      <c r="F5606" s="717"/>
      <c r="G5606" t="e">
        <f>VLOOKUP(B5606,'SINAPI-%MO'!B:E,4,0)</f>
        <v>#N/A</v>
      </c>
      <c r="H5606" s="225" t="str">
        <f t="shared" si="87"/>
        <v/>
      </c>
    </row>
    <row r="5607" spans="1:8" x14ac:dyDescent="0.3">
      <c r="A5607" s="400"/>
      <c r="B5607" s="709">
        <v>104542</v>
      </c>
      <c r="C5607" s="710" t="s">
        <v>4896</v>
      </c>
      <c r="D5607" s="709" t="s">
        <v>136</v>
      </c>
      <c r="E5607" s="716">
        <v>0</v>
      </c>
      <c r="F5607" s="717"/>
      <c r="G5607" t="e">
        <f>VLOOKUP(B5607,'SINAPI-%MO'!B:E,4,0)</f>
        <v>#N/A</v>
      </c>
      <c r="H5607" s="225" t="str">
        <f t="shared" si="87"/>
        <v/>
      </c>
    </row>
    <row r="5608" spans="1:8" x14ac:dyDescent="0.3">
      <c r="A5608" s="400"/>
      <c r="B5608" s="709">
        <v>104592</v>
      </c>
      <c r="C5608" s="710" t="s">
        <v>4897</v>
      </c>
      <c r="D5608" s="709" t="s">
        <v>136</v>
      </c>
      <c r="E5608" s="716">
        <v>0</v>
      </c>
      <c r="F5608" s="717"/>
      <c r="G5608" t="e">
        <f>VLOOKUP(B5608,'SINAPI-%MO'!B:E,4,0)</f>
        <v>#N/A</v>
      </c>
      <c r="H5608" s="225" t="str">
        <f t="shared" si="87"/>
        <v/>
      </c>
    </row>
    <row r="5609" spans="1:8" x14ac:dyDescent="0.3">
      <c r="A5609" s="400"/>
      <c r="B5609" s="709">
        <v>104548</v>
      </c>
      <c r="C5609" s="710" t="s">
        <v>4898</v>
      </c>
      <c r="D5609" s="709" t="s">
        <v>136</v>
      </c>
      <c r="E5609" s="716">
        <v>0</v>
      </c>
      <c r="F5609" s="717"/>
      <c r="G5609" t="e">
        <f>VLOOKUP(B5609,'SINAPI-%MO'!B:E,4,0)</f>
        <v>#N/A</v>
      </c>
      <c r="H5609" s="225" t="str">
        <f t="shared" si="87"/>
        <v/>
      </c>
    </row>
    <row r="5610" spans="1:8" x14ac:dyDescent="0.3">
      <c r="A5610" s="400"/>
      <c r="B5610" s="709">
        <v>104546</v>
      </c>
      <c r="C5610" s="710" t="s">
        <v>4899</v>
      </c>
      <c r="D5610" s="709" t="s">
        <v>136</v>
      </c>
      <c r="E5610" s="716">
        <v>0</v>
      </c>
      <c r="F5610" s="717"/>
      <c r="G5610" t="e">
        <f>VLOOKUP(B5610,'SINAPI-%MO'!B:E,4,0)</f>
        <v>#N/A</v>
      </c>
      <c r="H5610" s="225" t="str">
        <f t="shared" si="87"/>
        <v/>
      </c>
    </row>
    <row r="5611" spans="1:8" x14ac:dyDescent="0.3">
      <c r="A5611" s="400"/>
      <c r="B5611" s="709">
        <v>104549</v>
      </c>
      <c r="C5611" s="710" t="s">
        <v>4900</v>
      </c>
      <c r="D5611" s="709" t="s">
        <v>136</v>
      </c>
      <c r="E5611" s="716">
        <v>0</v>
      </c>
      <c r="F5611" s="717"/>
      <c r="G5611" t="e">
        <f>VLOOKUP(B5611,'SINAPI-%MO'!B:E,4,0)</f>
        <v>#N/A</v>
      </c>
      <c r="H5611" s="225" t="str">
        <f t="shared" si="87"/>
        <v/>
      </c>
    </row>
    <row r="5612" spans="1:8" x14ac:dyDescent="0.3">
      <c r="A5612" s="400"/>
      <c r="B5612" s="709">
        <v>104550</v>
      </c>
      <c r="C5612" s="710" t="s">
        <v>4901</v>
      </c>
      <c r="D5612" s="709" t="s">
        <v>136</v>
      </c>
      <c r="E5612" s="716">
        <v>0</v>
      </c>
      <c r="F5612" s="717"/>
      <c r="G5612" t="e">
        <f>VLOOKUP(B5612,'SINAPI-%MO'!B:E,4,0)</f>
        <v>#N/A</v>
      </c>
      <c r="H5612" s="225" t="str">
        <f t="shared" si="87"/>
        <v/>
      </c>
    </row>
    <row r="5613" spans="1:8" x14ac:dyDescent="0.3">
      <c r="A5613" s="400"/>
      <c r="B5613" s="709">
        <v>104552</v>
      </c>
      <c r="C5613" s="710" t="s">
        <v>4902</v>
      </c>
      <c r="D5613" s="709" t="s">
        <v>136</v>
      </c>
      <c r="E5613" s="716">
        <v>0</v>
      </c>
      <c r="F5613" s="717"/>
      <c r="G5613" t="e">
        <f>VLOOKUP(B5613,'SINAPI-%MO'!B:E,4,0)</f>
        <v>#N/A</v>
      </c>
      <c r="H5613" s="225" t="str">
        <f t="shared" si="87"/>
        <v/>
      </c>
    </row>
    <row r="5614" spans="1:8" x14ac:dyDescent="0.3">
      <c r="A5614" s="400"/>
      <c r="B5614" s="709">
        <v>104551</v>
      </c>
      <c r="C5614" s="710" t="s">
        <v>4903</v>
      </c>
      <c r="D5614" s="709" t="s">
        <v>136</v>
      </c>
      <c r="E5614" s="716">
        <v>0</v>
      </c>
      <c r="F5614" s="717"/>
      <c r="G5614" t="e">
        <f>VLOOKUP(B5614,'SINAPI-%MO'!B:E,4,0)</f>
        <v>#N/A</v>
      </c>
      <c r="H5614" s="225" t="str">
        <f t="shared" si="87"/>
        <v/>
      </c>
    </row>
    <row r="5615" spans="1:8" x14ac:dyDescent="0.3">
      <c r="A5615" s="400"/>
      <c r="B5615" s="709">
        <v>104553</v>
      </c>
      <c r="C5615" s="710" t="s">
        <v>4904</v>
      </c>
      <c r="D5615" s="709" t="s">
        <v>136</v>
      </c>
      <c r="E5615" s="716">
        <v>0</v>
      </c>
      <c r="F5615" s="717"/>
      <c r="G5615" t="e">
        <f>VLOOKUP(B5615,'SINAPI-%MO'!B:E,4,0)</f>
        <v>#N/A</v>
      </c>
      <c r="H5615" s="225" t="str">
        <f t="shared" si="87"/>
        <v/>
      </c>
    </row>
    <row r="5616" spans="1:8" x14ac:dyDescent="0.3">
      <c r="A5616" s="400"/>
      <c r="B5616" s="709">
        <v>104554</v>
      </c>
      <c r="C5616" s="710" t="s">
        <v>4905</v>
      </c>
      <c r="D5616" s="709" t="s">
        <v>136</v>
      </c>
      <c r="E5616" s="716">
        <v>0</v>
      </c>
      <c r="F5616" s="717"/>
      <c r="G5616" t="e">
        <f>VLOOKUP(B5616,'SINAPI-%MO'!B:E,4,0)</f>
        <v>#N/A</v>
      </c>
      <c r="H5616" s="225" t="str">
        <f t="shared" si="87"/>
        <v/>
      </c>
    </row>
    <row r="5617" spans="1:8" x14ac:dyDescent="0.3">
      <c r="A5617" s="400"/>
      <c r="B5617" s="709">
        <v>104555</v>
      </c>
      <c r="C5617" s="710" t="s">
        <v>4906</v>
      </c>
      <c r="D5617" s="709" t="s">
        <v>136</v>
      </c>
      <c r="E5617" s="716">
        <v>0</v>
      </c>
      <c r="F5617" s="717"/>
      <c r="G5617" t="e">
        <f>VLOOKUP(B5617,'SINAPI-%MO'!B:E,4,0)</f>
        <v>#N/A</v>
      </c>
      <c r="H5617" s="225" t="str">
        <f t="shared" si="87"/>
        <v/>
      </c>
    </row>
    <row r="5618" spans="1:8" x14ac:dyDescent="0.3">
      <c r="A5618" s="400"/>
      <c r="B5618" s="709">
        <v>104556</v>
      </c>
      <c r="C5618" s="710" t="s">
        <v>4907</v>
      </c>
      <c r="D5618" s="709" t="s">
        <v>136</v>
      </c>
      <c r="E5618" s="716">
        <v>0</v>
      </c>
      <c r="F5618" s="717"/>
      <c r="G5618" t="e">
        <f>VLOOKUP(B5618,'SINAPI-%MO'!B:E,4,0)</f>
        <v>#N/A</v>
      </c>
      <c r="H5618" s="225" t="str">
        <f t="shared" si="87"/>
        <v/>
      </c>
    </row>
    <row r="5619" spans="1:8" x14ac:dyDescent="0.3">
      <c r="A5619" s="400"/>
      <c r="B5619" s="709">
        <v>104558</v>
      </c>
      <c r="C5619" s="710" t="s">
        <v>4908</v>
      </c>
      <c r="D5619" s="709" t="s">
        <v>136</v>
      </c>
      <c r="E5619" s="716">
        <v>0</v>
      </c>
      <c r="F5619" s="717"/>
      <c r="G5619" t="e">
        <f>VLOOKUP(B5619,'SINAPI-%MO'!B:E,4,0)</f>
        <v>#N/A</v>
      </c>
      <c r="H5619" s="225" t="str">
        <f t="shared" si="87"/>
        <v/>
      </c>
    </row>
    <row r="5620" spans="1:8" x14ac:dyDescent="0.3">
      <c r="A5620" s="400"/>
      <c r="B5620" s="709">
        <v>104559</v>
      </c>
      <c r="C5620" s="710" t="s">
        <v>4909</v>
      </c>
      <c r="D5620" s="709" t="s">
        <v>136</v>
      </c>
      <c r="E5620" s="716">
        <v>0</v>
      </c>
      <c r="F5620" s="717"/>
      <c r="G5620" t="e">
        <f>VLOOKUP(B5620,'SINAPI-%MO'!B:E,4,0)</f>
        <v>#N/A</v>
      </c>
      <c r="H5620" s="225" t="str">
        <f t="shared" si="87"/>
        <v/>
      </c>
    </row>
    <row r="5621" spans="1:8" x14ac:dyDescent="0.3">
      <c r="A5621" s="400"/>
      <c r="B5621" s="709">
        <v>104560</v>
      </c>
      <c r="C5621" s="710" t="s">
        <v>4910</v>
      </c>
      <c r="D5621" s="709" t="s">
        <v>136</v>
      </c>
      <c r="E5621" s="716">
        <v>0</v>
      </c>
      <c r="F5621" s="717"/>
      <c r="G5621" t="e">
        <f>VLOOKUP(B5621,'SINAPI-%MO'!B:E,4,0)</f>
        <v>#N/A</v>
      </c>
      <c r="H5621" s="225" t="str">
        <f t="shared" si="87"/>
        <v/>
      </c>
    </row>
    <row r="5622" spans="1:8" x14ac:dyDescent="0.3">
      <c r="A5622" s="400"/>
      <c r="B5622" s="709">
        <v>104557</v>
      </c>
      <c r="C5622" s="710" t="s">
        <v>4911</v>
      </c>
      <c r="D5622" s="709" t="s">
        <v>136</v>
      </c>
      <c r="E5622" s="716">
        <v>0</v>
      </c>
      <c r="F5622" s="717"/>
      <c r="G5622" t="e">
        <f>VLOOKUP(B5622,'SINAPI-%MO'!B:E,4,0)</f>
        <v>#N/A</v>
      </c>
      <c r="H5622" s="225" t="str">
        <f t="shared" si="87"/>
        <v/>
      </c>
    </row>
    <row r="5623" spans="1:8" x14ac:dyDescent="0.3">
      <c r="A5623" s="400"/>
      <c r="B5623" s="709">
        <v>104561</v>
      </c>
      <c r="C5623" s="710" t="s">
        <v>4912</v>
      </c>
      <c r="D5623" s="709" t="s">
        <v>136</v>
      </c>
      <c r="E5623" s="716">
        <v>0</v>
      </c>
      <c r="F5623" s="717"/>
      <c r="G5623" t="e">
        <f>VLOOKUP(B5623,'SINAPI-%MO'!B:E,4,0)</f>
        <v>#N/A</v>
      </c>
      <c r="H5623" s="225" t="str">
        <f t="shared" si="87"/>
        <v/>
      </c>
    </row>
    <row r="5624" spans="1:8" x14ac:dyDescent="0.3">
      <c r="A5624" s="400"/>
      <c r="B5624" s="709">
        <v>104562</v>
      </c>
      <c r="C5624" s="710" t="s">
        <v>4913</v>
      </c>
      <c r="D5624" s="709" t="s">
        <v>136</v>
      </c>
      <c r="E5624" s="716">
        <v>0</v>
      </c>
      <c r="F5624" s="717"/>
      <c r="G5624" t="e">
        <f>VLOOKUP(B5624,'SINAPI-%MO'!B:E,4,0)</f>
        <v>#N/A</v>
      </c>
      <c r="H5624" s="225" t="str">
        <f t="shared" si="87"/>
        <v/>
      </c>
    </row>
    <row r="5625" spans="1:8" x14ac:dyDescent="0.3">
      <c r="A5625" s="400"/>
      <c r="B5625" s="709">
        <v>96860</v>
      </c>
      <c r="C5625" s="710" t="s">
        <v>4914</v>
      </c>
      <c r="D5625" s="709" t="s">
        <v>136</v>
      </c>
      <c r="E5625" s="716">
        <v>41.61</v>
      </c>
      <c r="F5625" s="717">
        <v>0</v>
      </c>
      <c r="G5625">
        <f>VLOOKUP(B5625,'SINAPI-%MO'!B:E,4,0)</f>
        <v>0.35499999999999998</v>
      </c>
      <c r="H5625" s="225">
        <f t="shared" si="87"/>
        <v>26.83</v>
      </c>
    </row>
    <row r="5626" spans="1:8" x14ac:dyDescent="0.3">
      <c r="A5626" s="400"/>
      <c r="B5626" s="709">
        <v>96862</v>
      </c>
      <c r="C5626" s="710" t="s">
        <v>4915</v>
      </c>
      <c r="D5626" s="709" t="s">
        <v>136</v>
      </c>
      <c r="E5626" s="716">
        <v>51.49</v>
      </c>
      <c r="F5626" s="717">
        <v>0</v>
      </c>
      <c r="G5626">
        <f>VLOOKUP(B5626,'SINAPI-%MO'!B:E,4,0)</f>
        <v>0.34010000000000001</v>
      </c>
      <c r="H5626" s="225">
        <f t="shared" si="87"/>
        <v>33.97</v>
      </c>
    </row>
    <row r="5627" spans="1:8" x14ac:dyDescent="0.3">
      <c r="A5627" s="400"/>
      <c r="B5627" s="709">
        <v>96864</v>
      </c>
      <c r="C5627" s="710" t="s">
        <v>4916</v>
      </c>
      <c r="D5627" s="709" t="s">
        <v>136</v>
      </c>
      <c r="E5627" s="716">
        <v>74.8</v>
      </c>
      <c r="F5627" s="717">
        <v>0</v>
      </c>
      <c r="G5627">
        <f>VLOOKUP(B5627,'SINAPI-%MO'!B:E,4,0)</f>
        <v>0.27989999999999998</v>
      </c>
      <c r="H5627" s="225">
        <f t="shared" si="87"/>
        <v>53.86</v>
      </c>
    </row>
    <row r="5628" spans="1:8" x14ac:dyDescent="0.3">
      <c r="A5628" s="400"/>
      <c r="B5628" s="709">
        <v>96866</v>
      </c>
      <c r="C5628" s="710" t="s">
        <v>4917</v>
      </c>
      <c r="D5628" s="709" t="s">
        <v>136</v>
      </c>
      <c r="E5628" s="716">
        <v>98.1</v>
      </c>
      <c r="F5628" s="717">
        <v>0</v>
      </c>
      <c r="G5628">
        <f>VLOOKUP(B5628,'SINAPI-%MO'!B:E,4,0)</f>
        <v>0.26229999999999998</v>
      </c>
      <c r="H5628" s="225">
        <f t="shared" si="87"/>
        <v>72.36</v>
      </c>
    </row>
    <row r="5629" spans="1:8" x14ac:dyDescent="0.3">
      <c r="A5629" s="400"/>
      <c r="B5629" s="709">
        <v>96868</v>
      </c>
      <c r="C5629" s="710" t="s">
        <v>4918</v>
      </c>
      <c r="D5629" s="709" t="s">
        <v>136</v>
      </c>
      <c r="E5629" s="716">
        <v>26.84</v>
      </c>
      <c r="F5629" s="717">
        <v>0</v>
      </c>
      <c r="G5629">
        <f>VLOOKUP(B5629,'SINAPI-%MO'!B:E,4,0)</f>
        <v>0.38450000000000001</v>
      </c>
      <c r="H5629" s="225">
        <f t="shared" si="87"/>
        <v>16.52</v>
      </c>
    </row>
    <row r="5630" spans="1:8" x14ac:dyDescent="0.3">
      <c r="A5630" s="400"/>
      <c r="B5630" s="709">
        <v>96869</v>
      </c>
      <c r="C5630" s="710" t="s">
        <v>4919</v>
      </c>
      <c r="D5630" s="709" t="s">
        <v>136</v>
      </c>
      <c r="E5630" s="716">
        <v>43.02</v>
      </c>
      <c r="F5630" s="717">
        <v>0</v>
      </c>
      <c r="G5630">
        <f>VLOOKUP(B5630,'SINAPI-%MO'!B:E,4,0)</f>
        <v>0.2843</v>
      </c>
      <c r="H5630" s="225">
        <f t="shared" si="87"/>
        <v>30.78</v>
      </c>
    </row>
    <row r="5631" spans="1:8" x14ac:dyDescent="0.3">
      <c r="A5631" s="400"/>
      <c r="B5631" s="709">
        <v>96870</v>
      </c>
      <c r="C5631" s="710" t="s">
        <v>4920</v>
      </c>
      <c r="D5631" s="709" t="s">
        <v>136</v>
      </c>
      <c r="E5631" s="716">
        <v>66.599999999999994</v>
      </c>
      <c r="F5631" s="717">
        <v>0</v>
      </c>
      <c r="G5631">
        <f>VLOOKUP(B5631,'SINAPI-%MO'!B:E,4,0)</f>
        <v>0.21940000000000001</v>
      </c>
      <c r="H5631" s="225">
        <f t="shared" si="87"/>
        <v>51.98</v>
      </c>
    </row>
    <row r="5632" spans="1:8" x14ac:dyDescent="0.3">
      <c r="A5632" s="400"/>
      <c r="B5632" s="709">
        <v>96871</v>
      </c>
      <c r="C5632" s="710" t="s">
        <v>4921</v>
      </c>
      <c r="D5632" s="709" t="s">
        <v>136</v>
      </c>
      <c r="E5632" s="716">
        <v>75.459999999999994</v>
      </c>
      <c r="F5632" s="717">
        <v>0</v>
      </c>
      <c r="G5632">
        <f>VLOOKUP(B5632,'SINAPI-%MO'!B:E,4,0)</f>
        <v>0.23810000000000001</v>
      </c>
      <c r="H5632" s="225">
        <f t="shared" si="87"/>
        <v>57.49</v>
      </c>
    </row>
    <row r="5633" spans="1:8" x14ac:dyDescent="0.3">
      <c r="A5633" s="400"/>
      <c r="B5633" s="709">
        <v>96861</v>
      </c>
      <c r="C5633" s="710" t="s">
        <v>4922</v>
      </c>
      <c r="D5633" s="709" t="s">
        <v>136</v>
      </c>
      <c r="E5633" s="716">
        <v>52.87</v>
      </c>
      <c r="F5633" s="717">
        <v>0</v>
      </c>
      <c r="G5633">
        <f>VLOOKUP(B5633,'SINAPI-%MO'!B:E,4,0)</f>
        <v>0.34250000000000003</v>
      </c>
      <c r="H5633" s="225">
        <f t="shared" si="87"/>
        <v>34.76</v>
      </c>
    </row>
    <row r="5634" spans="1:8" x14ac:dyDescent="0.3">
      <c r="A5634" s="400"/>
      <c r="B5634" s="709">
        <v>96863</v>
      </c>
      <c r="C5634" s="710" t="s">
        <v>4923</v>
      </c>
      <c r="D5634" s="709" t="s">
        <v>136</v>
      </c>
      <c r="E5634" s="716">
        <v>53.45</v>
      </c>
      <c r="F5634" s="717">
        <v>0</v>
      </c>
      <c r="G5634">
        <f>VLOOKUP(B5634,'SINAPI-%MO'!B:E,4,0)</f>
        <v>0.37309999999999999</v>
      </c>
      <c r="H5634" s="225">
        <f t="shared" si="87"/>
        <v>33.5</v>
      </c>
    </row>
    <row r="5635" spans="1:8" x14ac:dyDescent="0.3">
      <c r="A5635" s="400"/>
      <c r="B5635" s="709">
        <v>96865</v>
      </c>
      <c r="C5635" s="710" t="s">
        <v>4924</v>
      </c>
      <c r="D5635" s="709" t="s">
        <v>136</v>
      </c>
      <c r="E5635" s="716">
        <v>62.95</v>
      </c>
      <c r="F5635" s="717">
        <v>0</v>
      </c>
      <c r="G5635">
        <f>VLOOKUP(B5635,'SINAPI-%MO'!B:E,4,0)</f>
        <v>0.37730000000000002</v>
      </c>
      <c r="H5635" s="225">
        <f t="shared" si="87"/>
        <v>39.19</v>
      </c>
    </row>
    <row r="5636" spans="1:8" x14ac:dyDescent="0.3">
      <c r="A5636" s="400"/>
      <c r="B5636" s="709">
        <v>96814</v>
      </c>
      <c r="C5636" s="710" t="s">
        <v>4925</v>
      </c>
      <c r="D5636" s="709" t="s">
        <v>136</v>
      </c>
      <c r="E5636" s="716">
        <v>22.25</v>
      </c>
      <c r="F5636" s="717">
        <v>0</v>
      </c>
      <c r="G5636">
        <f>VLOOKUP(B5636,'SINAPI-%MO'!B:E,4,0)</f>
        <v>0.36270000000000002</v>
      </c>
      <c r="H5636" s="225">
        <f t="shared" si="87"/>
        <v>14.17</v>
      </c>
    </row>
    <row r="5637" spans="1:8" x14ac:dyDescent="0.3">
      <c r="A5637" s="400"/>
      <c r="B5637" s="709">
        <v>96818</v>
      </c>
      <c r="C5637" s="710" t="s">
        <v>4926</v>
      </c>
      <c r="D5637" s="709" t="s">
        <v>136</v>
      </c>
      <c r="E5637" s="716">
        <v>30.96</v>
      </c>
      <c r="F5637" s="717">
        <v>0</v>
      </c>
      <c r="G5637">
        <f>VLOOKUP(B5637,'SINAPI-%MO'!B:E,4,0)</f>
        <v>0.28839999999999999</v>
      </c>
      <c r="H5637" s="225">
        <f t="shared" si="87"/>
        <v>22.03</v>
      </c>
    </row>
    <row r="5638" spans="1:8" x14ac:dyDescent="0.3">
      <c r="A5638" s="400"/>
      <c r="B5638" s="709">
        <v>96819</v>
      </c>
      <c r="C5638" s="710" t="s">
        <v>4927</v>
      </c>
      <c r="D5638" s="709" t="s">
        <v>136</v>
      </c>
      <c r="E5638" s="716">
        <v>33.159999999999997</v>
      </c>
      <c r="F5638" s="717">
        <v>0</v>
      </c>
      <c r="G5638">
        <f>VLOOKUP(B5638,'SINAPI-%MO'!B:E,4,0)</f>
        <v>0.2898</v>
      </c>
      <c r="H5638" s="225">
        <f t="shared" si="87"/>
        <v>23.55</v>
      </c>
    </row>
    <row r="5639" spans="1:8" x14ac:dyDescent="0.3">
      <c r="A5639" s="400"/>
      <c r="B5639" s="709">
        <v>96822</v>
      </c>
      <c r="C5639" s="710" t="s">
        <v>4928</v>
      </c>
      <c r="D5639" s="709" t="s">
        <v>136</v>
      </c>
      <c r="E5639" s="716">
        <v>44.05</v>
      </c>
      <c r="F5639" s="717">
        <v>0</v>
      </c>
      <c r="G5639">
        <f>VLOOKUP(B5639,'SINAPI-%MO'!B:E,4,0)</f>
        <v>0.26469999999999999</v>
      </c>
      <c r="H5639" s="225">
        <f t="shared" si="87"/>
        <v>32.380000000000003</v>
      </c>
    </row>
    <row r="5640" spans="1:8" x14ac:dyDescent="0.3">
      <c r="A5640" s="400"/>
      <c r="B5640" s="709">
        <v>96808</v>
      </c>
      <c r="C5640" s="710" t="s">
        <v>4929</v>
      </c>
      <c r="D5640" s="709" t="s">
        <v>136</v>
      </c>
      <c r="E5640" s="716">
        <v>22.85</v>
      </c>
      <c r="F5640" s="717">
        <v>0</v>
      </c>
      <c r="G5640">
        <f>VLOOKUP(B5640,'SINAPI-%MO'!B:E,4,0)</f>
        <v>0.43280000000000002</v>
      </c>
      <c r="H5640" s="225">
        <f t="shared" si="87"/>
        <v>12.96</v>
      </c>
    </row>
    <row r="5641" spans="1:8" x14ac:dyDescent="0.3">
      <c r="A5641" s="400"/>
      <c r="B5641" s="709">
        <v>96811</v>
      </c>
      <c r="C5641" s="710" t="s">
        <v>4930</v>
      </c>
      <c r="D5641" s="709" t="s">
        <v>136</v>
      </c>
      <c r="E5641" s="716">
        <v>29.29</v>
      </c>
      <c r="F5641" s="717">
        <v>0</v>
      </c>
      <c r="G5641">
        <f>VLOOKUP(B5641,'SINAPI-%MO'!B:E,4,0)</f>
        <v>0.40010000000000001</v>
      </c>
      <c r="H5641" s="225">
        <f t="shared" si="87"/>
        <v>17.57</v>
      </c>
    </row>
    <row r="5642" spans="1:8" x14ac:dyDescent="0.3">
      <c r="A5642" s="400"/>
      <c r="B5642" s="709">
        <v>96815</v>
      </c>
      <c r="C5642" s="710" t="s">
        <v>4931</v>
      </c>
      <c r="D5642" s="709" t="s">
        <v>136</v>
      </c>
      <c r="E5642" s="716">
        <v>47.72</v>
      </c>
      <c r="F5642" s="717">
        <v>0</v>
      </c>
      <c r="G5642">
        <f>VLOOKUP(B5642,'SINAPI-%MO'!B:E,4,0)</f>
        <v>0.29380000000000001</v>
      </c>
      <c r="H5642" s="225">
        <f t="shared" si="87"/>
        <v>33.69</v>
      </c>
    </row>
    <row r="5643" spans="1:8" x14ac:dyDescent="0.3">
      <c r="A5643" s="400"/>
      <c r="B5643" s="709">
        <v>96820</v>
      </c>
      <c r="C5643" s="710" t="s">
        <v>4932</v>
      </c>
      <c r="D5643" s="709" t="s">
        <v>136</v>
      </c>
      <c r="E5643" s="716">
        <v>57.16</v>
      </c>
      <c r="F5643" s="717">
        <v>0</v>
      </c>
      <c r="G5643">
        <f>VLOOKUP(B5643,'SINAPI-%MO'!B:E,4,0)</f>
        <v>0.30130000000000001</v>
      </c>
      <c r="H5643" s="225">
        <f t="shared" ref="H5643:H5706" si="88">IF(E5643&gt;0,TRUNC(E5643*(1-G5643),2),"")</f>
        <v>39.93</v>
      </c>
    </row>
    <row r="5644" spans="1:8" x14ac:dyDescent="0.3">
      <c r="A5644" s="400"/>
      <c r="B5644" s="709">
        <v>96702</v>
      </c>
      <c r="C5644" s="710" t="s">
        <v>4933</v>
      </c>
      <c r="D5644" s="709" t="s">
        <v>136</v>
      </c>
      <c r="E5644" s="716">
        <v>12.73</v>
      </c>
      <c r="F5644" s="717">
        <v>0</v>
      </c>
      <c r="G5644">
        <f>VLOOKUP(B5644,'SINAPI-%MO'!B:E,4,0)</f>
        <v>0.57820000000000005</v>
      </c>
      <c r="H5644" s="225">
        <f t="shared" si="88"/>
        <v>5.36</v>
      </c>
    </row>
    <row r="5645" spans="1:8" x14ac:dyDescent="0.3">
      <c r="A5645" s="400"/>
      <c r="B5645" s="709">
        <v>96662</v>
      </c>
      <c r="C5645" s="710" t="s">
        <v>4934</v>
      </c>
      <c r="D5645" s="709" t="s">
        <v>136</v>
      </c>
      <c r="E5645" s="716">
        <v>10.210000000000001</v>
      </c>
      <c r="F5645" s="717">
        <v>0</v>
      </c>
      <c r="G5645">
        <f>VLOOKUP(B5645,'SINAPI-%MO'!B:E,4,0)</f>
        <v>0.47699999999999998</v>
      </c>
      <c r="H5645" s="225">
        <f t="shared" si="88"/>
        <v>5.33</v>
      </c>
    </row>
    <row r="5646" spans="1:8" x14ac:dyDescent="0.3">
      <c r="A5646" s="400"/>
      <c r="B5646" s="709">
        <v>96704</v>
      </c>
      <c r="C5646" s="710" t="s">
        <v>4935</v>
      </c>
      <c r="D5646" s="709" t="s">
        <v>136</v>
      </c>
      <c r="E5646" s="716">
        <v>22.05</v>
      </c>
      <c r="F5646" s="717">
        <v>0</v>
      </c>
      <c r="G5646">
        <f>VLOOKUP(B5646,'SINAPI-%MO'!B:E,4,0)</f>
        <v>0.37140000000000001</v>
      </c>
      <c r="H5646" s="225">
        <f t="shared" si="88"/>
        <v>13.86</v>
      </c>
    </row>
    <row r="5647" spans="1:8" x14ac:dyDescent="0.3">
      <c r="A5647" s="400"/>
      <c r="B5647" s="709">
        <v>96664</v>
      </c>
      <c r="C5647" s="710" t="s">
        <v>4936</v>
      </c>
      <c r="D5647" s="709" t="s">
        <v>136</v>
      </c>
      <c r="E5647" s="716">
        <v>18.84</v>
      </c>
      <c r="F5647" s="717">
        <v>0</v>
      </c>
      <c r="G5647">
        <f>VLOOKUP(B5647,'SINAPI-%MO'!B:E,4,0)</f>
        <v>0.26590000000000003</v>
      </c>
      <c r="H5647" s="225">
        <f t="shared" si="88"/>
        <v>13.83</v>
      </c>
    </row>
    <row r="5648" spans="1:8" x14ac:dyDescent="0.3">
      <c r="A5648" s="400"/>
      <c r="B5648" s="709">
        <v>104191</v>
      </c>
      <c r="C5648" s="710" t="s">
        <v>4937</v>
      </c>
      <c r="D5648" s="709" t="s">
        <v>136</v>
      </c>
      <c r="E5648" s="716">
        <v>11.49</v>
      </c>
      <c r="F5648" s="717">
        <v>0</v>
      </c>
      <c r="G5648">
        <f>VLOOKUP(B5648,'SINAPI-%MO'!B:E,4,0)</f>
        <v>0.61529999999999996</v>
      </c>
      <c r="H5648" s="225">
        <f t="shared" si="88"/>
        <v>4.42</v>
      </c>
    </row>
    <row r="5649" spans="1:8" x14ac:dyDescent="0.3">
      <c r="A5649" s="400"/>
      <c r="B5649" s="709">
        <v>96700</v>
      </c>
      <c r="C5649" s="710" t="s">
        <v>4938</v>
      </c>
      <c r="D5649" s="709" t="s">
        <v>136</v>
      </c>
      <c r="E5649" s="716">
        <v>18.29</v>
      </c>
      <c r="F5649" s="717">
        <v>0</v>
      </c>
      <c r="G5649">
        <f>VLOOKUP(B5649,'SINAPI-%MO'!B:E,4,0)</f>
        <v>0.36249999999999999</v>
      </c>
      <c r="H5649" s="225">
        <f t="shared" si="88"/>
        <v>11.65</v>
      </c>
    </row>
    <row r="5650" spans="1:8" x14ac:dyDescent="0.3">
      <c r="A5650" s="400"/>
      <c r="B5650" s="709">
        <v>96658</v>
      </c>
      <c r="C5650" s="710" t="s">
        <v>4939</v>
      </c>
      <c r="D5650" s="709" t="s">
        <v>136</v>
      </c>
      <c r="E5650" s="716">
        <v>16.39</v>
      </c>
      <c r="F5650" s="717">
        <v>0</v>
      </c>
      <c r="G5650">
        <f>VLOOKUP(B5650,'SINAPI-%MO'!B:E,4,0)</f>
        <v>0.2898</v>
      </c>
      <c r="H5650" s="225">
        <f t="shared" si="88"/>
        <v>11.64</v>
      </c>
    </row>
    <row r="5651" spans="1:8" x14ac:dyDescent="0.3">
      <c r="A5651" s="400"/>
      <c r="B5651" s="709">
        <v>96641</v>
      </c>
      <c r="C5651" s="710" t="s">
        <v>4940</v>
      </c>
      <c r="D5651" s="709" t="s">
        <v>136</v>
      </c>
      <c r="E5651" s="716">
        <v>18.73</v>
      </c>
      <c r="F5651" s="717">
        <v>0</v>
      </c>
      <c r="G5651">
        <f>VLOOKUP(B5651,'SINAPI-%MO'!B:E,4,0)</f>
        <v>0.3775</v>
      </c>
      <c r="H5651" s="225">
        <f t="shared" si="88"/>
        <v>11.65</v>
      </c>
    </row>
    <row r="5652" spans="1:8" x14ac:dyDescent="0.3">
      <c r="A5652" s="400"/>
      <c r="B5652" s="709">
        <v>96661</v>
      </c>
      <c r="C5652" s="710" t="s">
        <v>4941</v>
      </c>
      <c r="D5652" s="709" t="s">
        <v>136</v>
      </c>
      <c r="E5652" s="716">
        <v>34.229999999999997</v>
      </c>
      <c r="F5652" s="717">
        <v>0</v>
      </c>
      <c r="G5652">
        <f>VLOOKUP(B5652,'SINAPI-%MO'!B:E,4,0)</f>
        <v>0.14230000000000001</v>
      </c>
      <c r="H5652" s="225">
        <f t="shared" si="88"/>
        <v>29.35</v>
      </c>
    </row>
    <row r="5653" spans="1:8" x14ac:dyDescent="0.3">
      <c r="A5653" s="400"/>
      <c r="B5653" s="709">
        <v>96699</v>
      </c>
      <c r="C5653" s="710" t="s">
        <v>4942</v>
      </c>
      <c r="D5653" s="709" t="s">
        <v>136</v>
      </c>
      <c r="E5653" s="716">
        <v>27.41</v>
      </c>
      <c r="F5653" s="717">
        <v>0</v>
      </c>
      <c r="G5653">
        <f>VLOOKUP(B5653,'SINAPI-%MO'!B:E,4,0)</f>
        <v>0.2419</v>
      </c>
      <c r="H5653" s="225">
        <f t="shared" si="88"/>
        <v>20.77</v>
      </c>
    </row>
    <row r="5654" spans="1:8" x14ac:dyDescent="0.3">
      <c r="A5654" s="400"/>
      <c r="B5654" s="709">
        <v>96657</v>
      </c>
      <c r="C5654" s="710" t="s">
        <v>4943</v>
      </c>
      <c r="D5654" s="709" t="s">
        <v>136</v>
      </c>
      <c r="E5654" s="716">
        <v>25.51</v>
      </c>
      <c r="F5654" s="717">
        <v>0</v>
      </c>
      <c r="G5654">
        <f>VLOOKUP(B5654,'SINAPI-%MO'!B:E,4,0)</f>
        <v>0.1862</v>
      </c>
      <c r="H5654" s="225">
        <f t="shared" si="88"/>
        <v>20.76</v>
      </c>
    </row>
    <row r="5655" spans="1:8" x14ac:dyDescent="0.3">
      <c r="A5655" s="400"/>
      <c r="B5655" s="709">
        <v>96640</v>
      </c>
      <c r="C5655" s="710" t="s">
        <v>4944</v>
      </c>
      <c r="D5655" s="709" t="s">
        <v>136</v>
      </c>
      <c r="E5655" s="716">
        <v>27.85</v>
      </c>
      <c r="F5655" s="717">
        <v>0</v>
      </c>
      <c r="G5655">
        <f>VLOOKUP(B5655,'SINAPI-%MO'!B:E,4,0)</f>
        <v>0.25390000000000001</v>
      </c>
      <c r="H5655" s="225">
        <f t="shared" si="88"/>
        <v>20.77</v>
      </c>
    </row>
    <row r="5656" spans="1:8" x14ac:dyDescent="0.3">
      <c r="A5656" s="400"/>
      <c r="B5656" s="709">
        <v>96660</v>
      </c>
      <c r="C5656" s="710" t="s">
        <v>4945</v>
      </c>
      <c r="D5656" s="709" t="s">
        <v>136</v>
      </c>
      <c r="E5656" s="716">
        <v>34.56</v>
      </c>
      <c r="F5656" s="717">
        <v>0</v>
      </c>
      <c r="G5656">
        <f>VLOOKUP(B5656,'SINAPI-%MO'!B:E,4,0)</f>
        <v>0.1409</v>
      </c>
      <c r="H5656" s="225">
        <f t="shared" si="88"/>
        <v>29.69</v>
      </c>
    </row>
    <row r="5657" spans="1:8" x14ac:dyDescent="0.3">
      <c r="A5657" s="400"/>
      <c r="B5657" s="709">
        <v>104196</v>
      </c>
      <c r="C5657" s="710" t="s">
        <v>4946</v>
      </c>
      <c r="D5657" s="709" t="s">
        <v>136</v>
      </c>
      <c r="E5657" s="716">
        <v>17.329999999999998</v>
      </c>
      <c r="F5657" s="717">
        <v>0</v>
      </c>
      <c r="G5657">
        <f>VLOOKUP(B5657,'SINAPI-%MO'!B:E,4,0)</f>
        <v>0.36180000000000001</v>
      </c>
      <c r="H5657" s="225">
        <f t="shared" si="88"/>
        <v>11.06</v>
      </c>
    </row>
    <row r="5658" spans="1:8" x14ac:dyDescent="0.3">
      <c r="A5658" s="400"/>
      <c r="B5658" s="709">
        <v>104197</v>
      </c>
      <c r="C5658" s="710" t="s">
        <v>4947</v>
      </c>
      <c r="D5658" s="709" t="s">
        <v>136</v>
      </c>
      <c r="E5658" s="716">
        <v>32.79</v>
      </c>
      <c r="F5658" s="717">
        <v>0</v>
      </c>
      <c r="G5658">
        <f>VLOOKUP(B5658,'SINAPI-%MO'!B:E,4,0)</f>
        <v>0.45590000000000003</v>
      </c>
      <c r="H5658" s="225">
        <f t="shared" si="88"/>
        <v>17.84</v>
      </c>
    </row>
    <row r="5659" spans="1:8" x14ac:dyDescent="0.3">
      <c r="A5659" s="400"/>
      <c r="B5659" s="709">
        <v>104198</v>
      </c>
      <c r="C5659" s="710" t="s">
        <v>4948</v>
      </c>
      <c r="D5659" s="709" t="s">
        <v>136</v>
      </c>
      <c r="E5659" s="716">
        <v>8.6</v>
      </c>
      <c r="F5659" s="717">
        <v>0</v>
      </c>
      <c r="G5659">
        <f>VLOOKUP(B5659,'SINAPI-%MO'!B:E,4,0)</f>
        <v>0.72909999999999997</v>
      </c>
      <c r="H5659" s="225">
        <f t="shared" si="88"/>
        <v>2.3199999999999998</v>
      </c>
    </row>
    <row r="5660" spans="1:8" x14ac:dyDescent="0.3">
      <c r="A5660" s="400"/>
      <c r="B5660" s="709">
        <v>96685</v>
      </c>
      <c r="C5660" s="710" t="s">
        <v>4949</v>
      </c>
      <c r="D5660" s="709" t="s">
        <v>136</v>
      </c>
      <c r="E5660" s="716">
        <v>13.18</v>
      </c>
      <c r="F5660" s="717">
        <v>0</v>
      </c>
      <c r="G5660">
        <f>VLOOKUP(B5660,'SINAPI-%MO'!B:E,4,0)</f>
        <v>0.75490000000000002</v>
      </c>
      <c r="H5660" s="225">
        <f t="shared" si="88"/>
        <v>3.23</v>
      </c>
    </row>
    <row r="5661" spans="1:8" x14ac:dyDescent="0.3">
      <c r="A5661" s="400"/>
      <c r="B5661" s="709">
        <v>96651</v>
      </c>
      <c r="C5661" s="710" t="s">
        <v>4950</v>
      </c>
      <c r="D5661" s="709" t="s">
        <v>136</v>
      </c>
      <c r="E5661" s="716">
        <v>10.33</v>
      </c>
      <c r="F5661" s="717">
        <v>0</v>
      </c>
      <c r="G5661">
        <f>VLOOKUP(B5661,'SINAPI-%MO'!B:E,4,0)</f>
        <v>0.69020000000000004</v>
      </c>
      <c r="H5661" s="225">
        <f t="shared" si="88"/>
        <v>3.2</v>
      </c>
    </row>
    <row r="5662" spans="1:8" x14ac:dyDescent="0.3">
      <c r="A5662" s="400"/>
      <c r="B5662" s="709">
        <v>96638</v>
      </c>
      <c r="C5662" s="710" t="s">
        <v>4951</v>
      </c>
      <c r="D5662" s="709" t="s">
        <v>136</v>
      </c>
      <c r="E5662" s="716">
        <v>18.23</v>
      </c>
      <c r="F5662" s="717">
        <v>0</v>
      </c>
      <c r="G5662">
        <f>VLOOKUP(B5662,'SINAPI-%MO'!B:E,4,0)</f>
        <v>0.82010000000000005</v>
      </c>
      <c r="H5662" s="225">
        <f t="shared" si="88"/>
        <v>3.27</v>
      </c>
    </row>
    <row r="5663" spans="1:8" x14ac:dyDescent="0.3">
      <c r="A5663" s="400"/>
      <c r="B5663" s="709">
        <v>96687</v>
      </c>
      <c r="C5663" s="710" t="s">
        <v>4952</v>
      </c>
      <c r="D5663" s="709" t="s">
        <v>136</v>
      </c>
      <c r="E5663" s="716">
        <v>19.95</v>
      </c>
      <c r="F5663" s="717">
        <v>0</v>
      </c>
      <c r="G5663">
        <f>VLOOKUP(B5663,'SINAPI-%MO'!B:E,4,0)</f>
        <v>0.60850000000000004</v>
      </c>
      <c r="H5663" s="225">
        <f t="shared" si="88"/>
        <v>7.81</v>
      </c>
    </row>
    <row r="5664" spans="1:8" x14ac:dyDescent="0.3">
      <c r="A5664" s="400"/>
      <c r="B5664" s="709">
        <v>96653</v>
      </c>
      <c r="C5664" s="710" t="s">
        <v>4953</v>
      </c>
      <c r="D5664" s="709" t="s">
        <v>136</v>
      </c>
      <c r="E5664" s="716">
        <v>15.27</v>
      </c>
      <c r="F5664" s="717">
        <v>0</v>
      </c>
      <c r="G5664">
        <f>VLOOKUP(B5664,'SINAPI-%MO'!B:E,4,0)</f>
        <v>0.49120000000000003</v>
      </c>
      <c r="H5664" s="225">
        <f t="shared" si="88"/>
        <v>7.76</v>
      </c>
    </row>
    <row r="5665" spans="1:8" x14ac:dyDescent="0.3">
      <c r="A5665" s="400"/>
      <c r="B5665" s="709">
        <v>96689</v>
      </c>
      <c r="C5665" s="710" t="s">
        <v>4954</v>
      </c>
      <c r="D5665" s="709" t="s">
        <v>136</v>
      </c>
      <c r="E5665" s="716">
        <v>29.86</v>
      </c>
      <c r="F5665" s="717">
        <v>0</v>
      </c>
      <c r="G5665">
        <f>VLOOKUP(B5665,'SINAPI-%MO'!B:E,4,0)</f>
        <v>0.49</v>
      </c>
      <c r="H5665" s="225">
        <f t="shared" si="88"/>
        <v>15.22</v>
      </c>
    </row>
    <row r="5666" spans="1:8" x14ac:dyDescent="0.3">
      <c r="A5666" s="400"/>
      <c r="B5666" s="709">
        <v>96655</v>
      </c>
      <c r="C5666" s="710" t="s">
        <v>4955</v>
      </c>
      <c r="D5666" s="709" t="s">
        <v>136</v>
      </c>
      <c r="E5666" s="716">
        <v>23.09</v>
      </c>
      <c r="F5666" s="717">
        <v>0</v>
      </c>
      <c r="G5666">
        <f>VLOOKUP(B5666,'SINAPI-%MO'!B:E,4,0)</f>
        <v>0.34300000000000003</v>
      </c>
      <c r="H5666" s="225">
        <f t="shared" si="88"/>
        <v>15.17</v>
      </c>
    </row>
    <row r="5667" spans="1:8" x14ac:dyDescent="0.3">
      <c r="A5667" s="400"/>
      <c r="B5667" s="709">
        <v>96691</v>
      </c>
      <c r="C5667" s="710" t="s">
        <v>4956</v>
      </c>
      <c r="D5667" s="709" t="s">
        <v>136</v>
      </c>
      <c r="E5667" s="716">
        <v>42.51</v>
      </c>
      <c r="F5667" s="717">
        <v>0</v>
      </c>
      <c r="G5667">
        <f>VLOOKUP(B5667,'SINAPI-%MO'!B:E,4,0)</f>
        <v>0.41749999999999998</v>
      </c>
      <c r="H5667" s="225">
        <f t="shared" si="88"/>
        <v>24.76</v>
      </c>
    </row>
    <row r="5668" spans="1:8" x14ac:dyDescent="0.3">
      <c r="A5668" s="400"/>
      <c r="B5668" s="709">
        <v>96693</v>
      </c>
      <c r="C5668" s="710" t="s">
        <v>4957</v>
      </c>
      <c r="D5668" s="709" t="s">
        <v>136</v>
      </c>
      <c r="E5668" s="716">
        <v>63.4</v>
      </c>
      <c r="F5668" s="717">
        <v>0</v>
      </c>
      <c r="G5668">
        <f>VLOOKUP(B5668,'SINAPI-%MO'!B:E,4,0)</f>
        <v>0.34379999999999999</v>
      </c>
      <c r="H5668" s="225">
        <f t="shared" si="88"/>
        <v>41.6</v>
      </c>
    </row>
    <row r="5669" spans="1:8" x14ac:dyDescent="0.3">
      <c r="A5669" s="400"/>
      <c r="B5669" s="709">
        <v>96695</v>
      </c>
      <c r="C5669" s="710" t="s">
        <v>4958</v>
      </c>
      <c r="D5669" s="709" t="s">
        <v>136</v>
      </c>
      <c r="E5669" s="716">
        <v>108.6</v>
      </c>
      <c r="F5669" s="717">
        <v>0</v>
      </c>
      <c r="G5669">
        <f>VLOOKUP(B5669,'SINAPI-%MO'!B:E,4,0)</f>
        <v>0.23519999999999999</v>
      </c>
      <c r="H5669" s="225">
        <f t="shared" si="88"/>
        <v>83.05</v>
      </c>
    </row>
    <row r="5670" spans="1:8" x14ac:dyDescent="0.3">
      <c r="A5670" s="400"/>
      <c r="B5670" s="709">
        <v>104193</v>
      </c>
      <c r="C5670" s="710" t="s">
        <v>4959</v>
      </c>
      <c r="D5670" s="709" t="s">
        <v>136</v>
      </c>
      <c r="E5670" s="716">
        <v>179.49</v>
      </c>
      <c r="F5670" s="717">
        <v>0</v>
      </c>
      <c r="G5670">
        <f>VLOOKUP(B5670,'SINAPI-%MO'!B:E,4,0)</f>
        <v>0.16839999999999999</v>
      </c>
      <c r="H5670" s="225">
        <f t="shared" si="88"/>
        <v>149.26</v>
      </c>
    </row>
    <row r="5671" spans="1:8" x14ac:dyDescent="0.3">
      <c r="A5671" s="400"/>
      <c r="B5671" s="709">
        <v>96697</v>
      </c>
      <c r="C5671" s="710" t="s">
        <v>4960</v>
      </c>
      <c r="D5671" s="709" t="s">
        <v>136</v>
      </c>
      <c r="E5671" s="716">
        <v>361.39</v>
      </c>
      <c r="F5671" s="717">
        <v>0</v>
      </c>
      <c r="G5671">
        <f>VLOOKUP(B5671,'SINAPI-%MO'!B:E,4,0)</f>
        <v>0.1009</v>
      </c>
      <c r="H5671" s="225">
        <f t="shared" si="88"/>
        <v>324.92</v>
      </c>
    </row>
    <row r="5672" spans="1:8" x14ac:dyDescent="0.3">
      <c r="A5672" s="400"/>
      <c r="B5672" s="709">
        <v>104199</v>
      </c>
      <c r="C5672" s="710" t="s">
        <v>4961</v>
      </c>
      <c r="D5672" s="709" t="s">
        <v>136</v>
      </c>
      <c r="E5672" s="716">
        <v>8.34</v>
      </c>
      <c r="F5672" s="717">
        <v>0</v>
      </c>
      <c r="G5672">
        <f>VLOOKUP(B5672,'SINAPI-%MO'!B:E,4,0)</f>
        <v>0.75180000000000002</v>
      </c>
      <c r="H5672" s="225">
        <f t="shared" si="88"/>
        <v>2.06</v>
      </c>
    </row>
    <row r="5673" spans="1:8" x14ac:dyDescent="0.3">
      <c r="A5673" s="400"/>
      <c r="B5673" s="709">
        <v>96684</v>
      </c>
      <c r="C5673" s="710" t="s">
        <v>4962</v>
      </c>
      <c r="D5673" s="709" t="s">
        <v>136</v>
      </c>
      <c r="E5673" s="716">
        <v>12.76</v>
      </c>
      <c r="F5673" s="717">
        <v>0</v>
      </c>
      <c r="G5673">
        <f>VLOOKUP(B5673,'SINAPI-%MO'!B:E,4,0)</f>
        <v>0.77980000000000005</v>
      </c>
      <c r="H5673" s="225">
        <f t="shared" si="88"/>
        <v>2.8</v>
      </c>
    </row>
    <row r="5674" spans="1:8" x14ac:dyDescent="0.3">
      <c r="A5674" s="400"/>
      <c r="B5674" s="709">
        <v>96650</v>
      </c>
      <c r="C5674" s="710" t="s">
        <v>4963</v>
      </c>
      <c r="D5674" s="709" t="s">
        <v>136</v>
      </c>
      <c r="E5674" s="716">
        <v>9.91</v>
      </c>
      <c r="F5674" s="717">
        <v>0</v>
      </c>
      <c r="G5674">
        <f>VLOOKUP(B5674,'SINAPI-%MO'!B:E,4,0)</f>
        <v>0.71950000000000003</v>
      </c>
      <c r="H5674" s="225">
        <f t="shared" si="88"/>
        <v>2.77</v>
      </c>
    </row>
    <row r="5675" spans="1:8" x14ac:dyDescent="0.3">
      <c r="A5675" s="400"/>
      <c r="B5675" s="709">
        <v>96637</v>
      </c>
      <c r="C5675" s="710" t="s">
        <v>4964</v>
      </c>
      <c r="D5675" s="709" t="s">
        <v>136</v>
      </c>
      <c r="E5675" s="716">
        <v>17.809999999999999</v>
      </c>
      <c r="F5675" s="717">
        <v>0</v>
      </c>
      <c r="G5675">
        <f>VLOOKUP(B5675,'SINAPI-%MO'!B:E,4,0)</f>
        <v>0.83940000000000003</v>
      </c>
      <c r="H5675" s="225">
        <f t="shared" si="88"/>
        <v>2.86</v>
      </c>
    </row>
    <row r="5676" spans="1:8" x14ac:dyDescent="0.3">
      <c r="A5676" s="400"/>
      <c r="B5676" s="709">
        <v>96686</v>
      </c>
      <c r="C5676" s="710" t="s">
        <v>4965</v>
      </c>
      <c r="D5676" s="709" t="s">
        <v>136</v>
      </c>
      <c r="E5676" s="716">
        <v>16.399999999999999</v>
      </c>
      <c r="F5676" s="717">
        <v>0</v>
      </c>
      <c r="G5676">
        <f>VLOOKUP(B5676,'SINAPI-%MO'!B:E,4,0)</f>
        <v>0.74019999999999997</v>
      </c>
      <c r="H5676" s="225">
        <f t="shared" si="88"/>
        <v>4.26</v>
      </c>
    </row>
    <row r="5677" spans="1:8" x14ac:dyDescent="0.3">
      <c r="A5677" s="400"/>
      <c r="B5677" s="709">
        <v>96652</v>
      </c>
      <c r="C5677" s="710" t="s">
        <v>4966</v>
      </c>
      <c r="D5677" s="709" t="s">
        <v>136</v>
      </c>
      <c r="E5677" s="716">
        <v>11.72</v>
      </c>
      <c r="F5677" s="717">
        <v>0</v>
      </c>
      <c r="G5677">
        <f>VLOOKUP(B5677,'SINAPI-%MO'!B:E,4,0)</f>
        <v>0.63990000000000002</v>
      </c>
      <c r="H5677" s="225">
        <f t="shared" si="88"/>
        <v>4.22</v>
      </c>
    </row>
    <row r="5678" spans="1:8" x14ac:dyDescent="0.3">
      <c r="A5678" s="400"/>
      <c r="B5678" s="709">
        <v>96688</v>
      </c>
      <c r="C5678" s="710" t="s">
        <v>4967</v>
      </c>
      <c r="D5678" s="709" t="s">
        <v>136</v>
      </c>
      <c r="E5678" s="716">
        <v>24.09</v>
      </c>
      <c r="F5678" s="717">
        <v>0</v>
      </c>
      <c r="G5678">
        <f>VLOOKUP(B5678,'SINAPI-%MO'!B:E,4,0)</f>
        <v>0.60729999999999995</v>
      </c>
      <c r="H5678" s="225">
        <f t="shared" si="88"/>
        <v>9.4600000000000009</v>
      </c>
    </row>
    <row r="5679" spans="1:8" x14ac:dyDescent="0.3">
      <c r="A5679" s="400"/>
      <c r="B5679" s="709">
        <v>96654</v>
      </c>
      <c r="C5679" s="710" t="s">
        <v>4968</v>
      </c>
      <c r="D5679" s="709" t="s">
        <v>136</v>
      </c>
      <c r="E5679" s="716">
        <v>17.32</v>
      </c>
      <c r="F5679" s="717">
        <v>0</v>
      </c>
      <c r="G5679">
        <f>VLOOKUP(B5679,'SINAPI-%MO'!B:E,4,0)</f>
        <v>0.45729999999999998</v>
      </c>
      <c r="H5679" s="225">
        <f t="shared" si="88"/>
        <v>9.39</v>
      </c>
    </row>
    <row r="5680" spans="1:8" x14ac:dyDescent="0.3">
      <c r="A5680" s="400"/>
      <c r="B5680" s="709">
        <v>96690</v>
      </c>
      <c r="C5680" s="710" t="s">
        <v>4969</v>
      </c>
      <c r="D5680" s="709" t="s">
        <v>136</v>
      </c>
      <c r="E5680" s="716">
        <v>33.380000000000003</v>
      </c>
      <c r="F5680" s="717">
        <v>0</v>
      </c>
      <c r="G5680">
        <f>VLOOKUP(B5680,'SINAPI-%MO'!B:E,4,0)</f>
        <v>0.53180000000000005</v>
      </c>
      <c r="H5680" s="225">
        <f t="shared" si="88"/>
        <v>15.62</v>
      </c>
    </row>
    <row r="5681" spans="1:8" x14ac:dyDescent="0.3">
      <c r="A5681" s="400"/>
      <c r="B5681" s="709">
        <v>96692</v>
      </c>
      <c r="C5681" s="710" t="s">
        <v>4970</v>
      </c>
      <c r="D5681" s="709" t="s">
        <v>136</v>
      </c>
      <c r="E5681" s="716">
        <v>47.09</v>
      </c>
      <c r="F5681" s="717">
        <v>0</v>
      </c>
      <c r="G5681">
        <f>VLOOKUP(B5681,'SINAPI-%MO'!B:E,4,0)</f>
        <v>0.46289999999999998</v>
      </c>
      <c r="H5681" s="225">
        <f t="shared" si="88"/>
        <v>25.29</v>
      </c>
    </row>
    <row r="5682" spans="1:8" x14ac:dyDescent="0.3">
      <c r="A5682" s="400"/>
      <c r="B5682" s="709">
        <v>96694</v>
      </c>
      <c r="C5682" s="710" t="s">
        <v>4971</v>
      </c>
      <c r="D5682" s="709" t="s">
        <v>136</v>
      </c>
      <c r="E5682" s="716">
        <v>98.65</v>
      </c>
      <c r="F5682" s="717">
        <v>0</v>
      </c>
      <c r="G5682">
        <f>VLOOKUP(B5682,'SINAPI-%MO'!B:E,4,0)</f>
        <v>0.25890000000000002</v>
      </c>
      <c r="H5682" s="225">
        <f t="shared" si="88"/>
        <v>73.099999999999994</v>
      </c>
    </row>
    <row r="5683" spans="1:8" x14ac:dyDescent="0.3">
      <c r="A5683" s="400"/>
      <c r="B5683" s="709">
        <v>96696</v>
      </c>
      <c r="C5683" s="710" t="s">
        <v>4972</v>
      </c>
      <c r="D5683" s="709" t="s">
        <v>136</v>
      </c>
      <c r="E5683" s="716">
        <v>123.11</v>
      </c>
      <c r="F5683" s="717">
        <v>0</v>
      </c>
      <c r="G5683">
        <f>VLOOKUP(B5683,'SINAPI-%MO'!B:E,4,0)</f>
        <v>0.24560000000000001</v>
      </c>
      <c r="H5683" s="225">
        <f t="shared" si="88"/>
        <v>92.87</v>
      </c>
    </row>
    <row r="5684" spans="1:8" x14ac:dyDescent="0.3">
      <c r="A5684" s="400"/>
      <c r="B5684" s="709">
        <v>96709</v>
      </c>
      <c r="C5684" s="710" t="s">
        <v>4973</v>
      </c>
      <c r="D5684" s="709" t="s">
        <v>136</v>
      </c>
      <c r="E5684" s="716">
        <v>119.59</v>
      </c>
      <c r="F5684" s="717">
        <v>0</v>
      </c>
      <c r="G5684">
        <f>VLOOKUP(B5684,'SINAPI-%MO'!B:E,4,0)</f>
        <v>0.20319999999999999</v>
      </c>
      <c r="H5684" s="225">
        <f t="shared" si="88"/>
        <v>95.28</v>
      </c>
    </row>
    <row r="5685" spans="1:8" x14ac:dyDescent="0.3">
      <c r="A5685" s="400"/>
      <c r="B5685" s="709">
        <v>104200</v>
      </c>
      <c r="C5685" s="710" t="s">
        <v>4974</v>
      </c>
      <c r="D5685" s="709" t="s">
        <v>136</v>
      </c>
      <c r="E5685" s="716">
        <v>6.77</v>
      </c>
      <c r="F5685" s="717">
        <v>0</v>
      </c>
      <c r="G5685">
        <f>VLOOKUP(B5685,'SINAPI-%MO'!B:E,4,0)</f>
        <v>0.61890000000000001</v>
      </c>
      <c r="H5685" s="225">
        <f t="shared" si="88"/>
        <v>2.58</v>
      </c>
    </row>
    <row r="5686" spans="1:8" x14ac:dyDescent="0.3">
      <c r="A5686" s="400"/>
      <c r="B5686" s="709">
        <v>96698</v>
      </c>
      <c r="C5686" s="710" t="s">
        <v>4975</v>
      </c>
      <c r="D5686" s="709" t="s">
        <v>136</v>
      </c>
      <c r="E5686" s="716">
        <v>9.02</v>
      </c>
      <c r="F5686" s="717">
        <v>0</v>
      </c>
      <c r="G5686">
        <f>VLOOKUP(B5686,'SINAPI-%MO'!B:E,4,0)</f>
        <v>0.73499999999999999</v>
      </c>
      <c r="H5686" s="225">
        <f t="shared" si="88"/>
        <v>2.39</v>
      </c>
    </row>
    <row r="5687" spans="1:8" x14ac:dyDescent="0.3">
      <c r="A5687" s="400"/>
      <c r="B5687" s="709">
        <v>96656</v>
      </c>
      <c r="C5687" s="710" t="s">
        <v>4976</v>
      </c>
      <c r="D5687" s="709" t="s">
        <v>136</v>
      </c>
      <c r="E5687" s="716">
        <v>7.12</v>
      </c>
      <c r="F5687" s="717">
        <v>0</v>
      </c>
      <c r="G5687">
        <f>VLOOKUP(B5687,'SINAPI-%MO'!B:E,4,0)</f>
        <v>0.66710000000000003</v>
      </c>
      <c r="H5687" s="225">
        <f t="shared" si="88"/>
        <v>2.37</v>
      </c>
    </row>
    <row r="5688" spans="1:8" x14ac:dyDescent="0.3">
      <c r="A5688" s="400"/>
      <c r="B5688" s="709">
        <v>96639</v>
      </c>
      <c r="C5688" s="710" t="s">
        <v>4977</v>
      </c>
      <c r="D5688" s="709" t="s">
        <v>136</v>
      </c>
      <c r="E5688" s="716">
        <v>12.39</v>
      </c>
      <c r="F5688" s="717">
        <v>0</v>
      </c>
      <c r="G5688">
        <f>VLOOKUP(B5688,'SINAPI-%MO'!B:E,4,0)</f>
        <v>0.80469999999999997</v>
      </c>
      <c r="H5688" s="225">
        <f t="shared" si="88"/>
        <v>2.41</v>
      </c>
    </row>
    <row r="5689" spans="1:8" x14ac:dyDescent="0.3">
      <c r="A5689" s="400"/>
      <c r="B5689" s="709">
        <v>96701</v>
      </c>
      <c r="C5689" s="710" t="s">
        <v>4978</v>
      </c>
      <c r="D5689" s="709" t="s">
        <v>136</v>
      </c>
      <c r="E5689" s="716">
        <v>12.32</v>
      </c>
      <c r="F5689" s="717">
        <v>0</v>
      </c>
      <c r="G5689">
        <f>VLOOKUP(B5689,'SINAPI-%MO'!B:E,4,0)</f>
        <v>0.65580000000000005</v>
      </c>
      <c r="H5689" s="225">
        <f t="shared" si="88"/>
        <v>4.24</v>
      </c>
    </row>
    <row r="5690" spans="1:8" x14ac:dyDescent="0.3">
      <c r="A5690" s="400"/>
      <c r="B5690" s="709">
        <v>96659</v>
      </c>
      <c r="C5690" s="710" t="s">
        <v>4979</v>
      </c>
      <c r="D5690" s="709" t="s">
        <v>136</v>
      </c>
      <c r="E5690" s="716">
        <v>9.1999999999999993</v>
      </c>
      <c r="F5690" s="717">
        <v>0</v>
      </c>
      <c r="G5690">
        <f>VLOOKUP(B5690,'SINAPI-%MO'!B:E,4,0)</f>
        <v>0.54239999999999999</v>
      </c>
      <c r="H5690" s="225">
        <f t="shared" si="88"/>
        <v>4.2</v>
      </c>
    </row>
    <row r="5691" spans="1:8" x14ac:dyDescent="0.3">
      <c r="A5691" s="400"/>
      <c r="B5691" s="709">
        <v>96703</v>
      </c>
      <c r="C5691" s="710" t="s">
        <v>4980</v>
      </c>
      <c r="D5691" s="709" t="s">
        <v>136</v>
      </c>
      <c r="E5691" s="716">
        <v>21.71</v>
      </c>
      <c r="F5691" s="717">
        <v>0</v>
      </c>
      <c r="G5691">
        <f>VLOOKUP(B5691,'SINAPI-%MO'!B:E,4,0)</f>
        <v>0.4491</v>
      </c>
      <c r="H5691" s="225">
        <f t="shared" si="88"/>
        <v>11.96</v>
      </c>
    </row>
    <row r="5692" spans="1:8" x14ac:dyDescent="0.3">
      <c r="A5692" s="400"/>
      <c r="B5692" s="709">
        <v>96663</v>
      </c>
      <c r="C5692" s="710" t="s">
        <v>4981</v>
      </c>
      <c r="D5692" s="709" t="s">
        <v>136</v>
      </c>
      <c r="E5692" s="716">
        <v>17.190000000000001</v>
      </c>
      <c r="F5692" s="717">
        <v>0</v>
      </c>
      <c r="G5692">
        <f>VLOOKUP(B5692,'SINAPI-%MO'!B:E,4,0)</f>
        <v>0.30659999999999998</v>
      </c>
      <c r="H5692" s="225">
        <f t="shared" si="88"/>
        <v>11.91</v>
      </c>
    </row>
    <row r="5693" spans="1:8" x14ac:dyDescent="0.3">
      <c r="A5693" s="400"/>
      <c r="B5693" s="709">
        <v>96705</v>
      </c>
      <c r="C5693" s="710" t="s">
        <v>4982</v>
      </c>
      <c r="D5693" s="709" t="s">
        <v>136</v>
      </c>
      <c r="E5693" s="716">
        <v>26.33</v>
      </c>
      <c r="F5693" s="717">
        <v>0</v>
      </c>
      <c r="G5693">
        <f>VLOOKUP(B5693,'SINAPI-%MO'!B:E,4,0)</f>
        <v>0.44890000000000002</v>
      </c>
      <c r="H5693" s="225">
        <f t="shared" si="88"/>
        <v>14.51</v>
      </c>
    </row>
    <row r="5694" spans="1:8" x14ac:dyDescent="0.3">
      <c r="A5694" s="400"/>
      <c r="B5694" s="709">
        <v>96706</v>
      </c>
      <c r="C5694" s="710" t="s">
        <v>4983</v>
      </c>
      <c r="D5694" s="709" t="s">
        <v>136</v>
      </c>
      <c r="E5694" s="716">
        <v>38.840000000000003</v>
      </c>
      <c r="F5694" s="717">
        <v>0</v>
      </c>
      <c r="G5694">
        <f>VLOOKUP(B5694,'SINAPI-%MO'!B:E,4,0)</f>
        <v>0.37409999999999999</v>
      </c>
      <c r="H5694" s="225">
        <f t="shared" si="88"/>
        <v>24.3</v>
      </c>
    </row>
    <row r="5695" spans="1:8" x14ac:dyDescent="0.3">
      <c r="A5695" s="400"/>
      <c r="B5695" s="709">
        <v>96707</v>
      </c>
      <c r="C5695" s="710" t="s">
        <v>4984</v>
      </c>
      <c r="D5695" s="709" t="s">
        <v>136</v>
      </c>
      <c r="E5695" s="716">
        <v>62.08</v>
      </c>
      <c r="F5695" s="717">
        <v>0</v>
      </c>
      <c r="G5695">
        <f>VLOOKUP(B5695,'SINAPI-%MO'!B:E,4,0)</f>
        <v>0.2742</v>
      </c>
      <c r="H5695" s="225">
        <f t="shared" si="88"/>
        <v>45.05</v>
      </c>
    </row>
    <row r="5696" spans="1:8" x14ac:dyDescent="0.3">
      <c r="A5696" s="400"/>
      <c r="B5696" s="709">
        <v>96708</v>
      </c>
      <c r="C5696" s="710" t="s">
        <v>4985</v>
      </c>
      <c r="D5696" s="709" t="s">
        <v>136</v>
      </c>
      <c r="E5696" s="716">
        <v>93.8</v>
      </c>
      <c r="F5696" s="717">
        <v>0</v>
      </c>
      <c r="G5696">
        <f>VLOOKUP(B5696,'SINAPI-%MO'!B:E,4,0)</f>
        <v>0.21479999999999999</v>
      </c>
      <c r="H5696" s="225">
        <f t="shared" si="88"/>
        <v>73.650000000000006</v>
      </c>
    </row>
    <row r="5697" spans="1:8" x14ac:dyDescent="0.3">
      <c r="A5697" s="400"/>
      <c r="B5697" s="709">
        <v>96675</v>
      </c>
      <c r="C5697" s="710" t="s">
        <v>4986</v>
      </c>
      <c r="D5697" s="709" t="s">
        <v>159</v>
      </c>
      <c r="E5697" s="716">
        <v>167.68</v>
      </c>
      <c r="F5697" s="717">
        <v>0</v>
      </c>
      <c r="G5697">
        <f>VLOOKUP(B5697,'SINAPI-%MO'!B:E,4,0)</f>
        <v>0.1208</v>
      </c>
      <c r="H5697" s="225">
        <f t="shared" si="88"/>
        <v>147.41999999999999</v>
      </c>
    </row>
    <row r="5698" spans="1:8" x14ac:dyDescent="0.3">
      <c r="A5698" s="400"/>
      <c r="B5698" s="709">
        <v>96683</v>
      </c>
      <c r="C5698" s="710" t="s">
        <v>4987</v>
      </c>
      <c r="D5698" s="709" t="s">
        <v>159</v>
      </c>
      <c r="E5698" s="716">
        <v>325.33</v>
      </c>
      <c r="F5698" s="717">
        <v>0</v>
      </c>
      <c r="G5698">
        <f>VLOOKUP(B5698,'SINAPI-%MO'!B:E,4,0)</f>
        <v>8.4900000000000003E-2</v>
      </c>
      <c r="H5698" s="225">
        <f t="shared" si="88"/>
        <v>297.7</v>
      </c>
    </row>
    <row r="5699" spans="1:8" x14ac:dyDescent="0.3">
      <c r="A5699" s="400"/>
      <c r="B5699" s="709">
        <v>104194</v>
      </c>
      <c r="C5699" s="710" t="s">
        <v>4988</v>
      </c>
      <c r="D5699" s="709" t="s">
        <v>159</v>
      </c>
      <c r="E5699" s="716">
        <v>24.19</v>
      </c>
      <c r="F5699" s="717">
        <v>0</v>
      </c>
      <c r="G5699">
        <f>VLOOKUP(B5699,'SINAPI-%MO'!B:E,4,0)</f>
        <v>0.53659999999999997</v>
      </c>
      <c r="H5699" s="225">
        <f t="shared" si="88"/>
        <v>11.2</v>
      </c>
    </row>
    <row r="5700" spans="1:8" x14ac:dyDescent="0.3">
      <c r="A5700" s="400"/>
      <c r="B5700" s="709">
        <v>104195</v>
      </c>
      <c r="C5700" s="710" t="s">
        <v>4989</v>
      </c>
      <c r="D5700" s="709" t="s">
        <v>159</v>
      </c>
      <c r="E5700" s="716">
        <v>25.67</v>
      </c>
      <c r="F5700" s="717">
        <v>0</v>
      </c>
      <c r="G5700">
        <f>VLOOKUP(B5700,'SINAPI-%MO'!B:E,4,0)</f>
        <v>0.52049999999999996</v>
      </c>
      <c r="H5700" s="225">
        <f t="shared" si="88"/>
        <v>12.3</v>
      </c>
    </row>
    <row r="5701" spans="1:8" x14ac:dyDescent="0.3">
      <c r="A5701" s="400"/>
      <c r="B5701" s="709">
        <v>96668</v>
      </c>
      <c r="C5701" s="710" t="s">
        <v>4990</v>
      </c>
      <c r="D5701" s="709" t="s">
        <v>159</v>
      </c>
      <c r="E5701" s="716">
        <v>19.29</v>
      </c>
      <c r="F5701" s="717">
        <v>0</v>
      </c>
      <c r="G5701">
        <f>VLOOKUP(B5701,'SINAPI-%MO'!B:E,4,0)</f>
        <v>0.21820000000000001</v>
      </c>
      <c r="H5701" s="225">
        <f t="shared" si="88"/>
        <v>15.08</v>
      </c>
    </row>
    <row r="5702" spans="1:8" x14ac:dyDescent="0.3">
      <c r="A5702" s="400"/>
      <c r="B5702" s="709">
        <v>96644</v>
      </c>
      <c r="C5702" s="710" t="s">
        <v>4991</v>
      </c>
      <c r="D5702" s="709" t="s">
        <v>159</v>
      </c>
      <c r="E5702" s="716">
        <v>24.95</v>
      </c>
      <c r="F5702" s="717">
        <v>0</v>
      </c>
      <c r="G5702">
        <f>VLOOKUP(B5702,'SINAPI-%MO'!B:E,4,0)</f>
        <v>0.39360000000000001</v>
      </c>
      <c r="H5702" s="225">
        <f t="shared" si="88"/>
        <v>15.12</v>
      </c>
    </row>
    <row r="5703" spans="1:8" x14ac:dyDescent="0.3">
      <c r="A5703" s="400"/>
      <c r="B5703" s="709">
        <v>96635</v>
      </c>
      <c r="C5703" s="710" t="s">
        <v>4992</v>
      </c>
      <c r="D5703" s="709" t="s">
        <v>159</v>
      </c>
      <c r="E5703" s="716">
        <v>46.25</v>
      </c>
      <c r="F5703" s="717">
        <v>0</v>
      </c>
      <c r="G5703">
        <f>VLOOKUP(B5703,'SINAPI-%MO'!B:E,4,0)</f>
        <v>0.66849999999999998</v>
      </c>
      <c r="H5703" s="225">
        <f t="shared" si="88"/>
        <v>15.33</v>
      </c>
    </row>
    <row r="5704" spans="1:8" x14ac:dyDescent="0.3">
      <c r="A5704" s="400"/>
      <c r="B5704" s="709">
        <v>96636</v>
      </c>
      <c r="C5704" s="710" t="s">
        <v>4993</v>
      </c>
      <c r="D5704" s="709" t="s">
        <v>159</v>
      </c>
      <c r="E5704" s="716">
        <v>49</v>
      </c>
      <c r="F5704" s="717">
        <v>0</v>
      </c>
      <c r="G5704">
        <f>VLOOKUP(B5704,'SINAPI-%MO'!B:E,4,0)</f>
        <v>0.64980000000000004</v>
      </c>
      <c r="H5704" s="225">
        <f t="shared" si="88"/>
        <v>17.149999999999999</v>
      </c>
    </row>
    <row r="5705" spans="1:8" x14ac:dyDescent="0.3">
      <c r="A5705" s="400"/>
      <c r="B5705" s="709">
        <v>96676</v>
      </c>
      <c r="C5705" s="710" t="s">
        <v>4994</v>
      </c>
      <c r="D5705" s="709" t="s">
        <v>159</v>
      </c>
      <c r="E5705" s="716">
        <v>24.47</v>
      </c>
      <c r="F5705" s="717">
        <v>0</v>
      </c>
      <c r="G5705">
        <f>VLOOKUP(B5705,'SINAPI-%MO'!B:E,4,0)</f>
        <v>0.30809999999999998</v>
      </c>
      <c r="H5705" s="225">
        <f t="shared" si="88"/>
        <v>16.93</v>
      </c>
    </row>
    <row r="5706" spans="1:8" x14ac:dyDescent="0.3">
      <c r="A5706" s="400"/>
      <c r="B5706" s="709">
        <v>96647</v>
      </c>
      <c r="C5706" s="710" t="s">
        <v>4995</v>
      </c>
      <c r="D5706" s="709" t="s">
        <v>159</v>
      </c>
      <c r="E5706" s="716">
        <v>27.07</v>
      </c>
      <c r="F5706" s="717">
        <v>0</v>
      </c>
      <c r="G5706">
        <f>VLOOKUP(B5706,'SINAPI-%MO'!B:E,4,0)</f>
        <v>0.37380000000000002</v>
      </c>
      <c r="H5706" s="225">
        <f t="shared" si="88"/>
        <v>16.95</v>
      </c>
    </row>
    <row r="5707" spans="1:8" x14ac:dyDescent="0.3">
      <c r="A5707" s="400"/>
      <c r="B5707" s="709">
        <v>96669</v>
      </c>
      <c r="C5707" s="710" t="s">
        <v>4996</v>
      </c>
      <c r="D5707" s="709" t="s">
        <v>159</v>
      </c>
      <c r="E5707" s="716">
        <v>19.14</v>
      </c>
      <c r="F5707" s="717">
        <v>0</v>
      </c>
      <c r="G5707">
        <f>VLOOKUP(B5707,'SINAPI-%MO'!B:E,4,0)</f>
        <v>0.35160000000000002</v>
      </c>
      <c r="H5707" s="225">
        <f t="shared" ref="H5707:H5770" si="89">IF(E5707&gt;0,TRUNC(E5707*(1-G5707),2),"")</f>
        <v>12.41</v>
      </c>
    </row>
    <row r="5708" spans="1:8" x14ac:dyDescent="0.3">
      <c r="A5708" s="400"/>
      <c r="B5708" s="709">
        <v>96645</v>
      </c>
      <c r="C5708" s="710" t="s">
        <v>4997</v>
      </c>
      <c r="D5708" s="709" t="s">
        <v>159</v>
      </c>
      <c r="E5708" s="716">
        <v>22.17</v>
      </c>
      <c r="F5708" s="717">
        <v>0</v>
      </c>
      <c r="G5708">
        <f>VLOOKUP(B5708,'SINAPI-%MO'!B:E,4,0)</f>
        <v>0.43890000000000001</v>
      </c>
      <c r="H5708" s="225">
        <f t="shared" si="89"/>
        <v>12.43</v>
      </c>
    </row>
    <row r="5709" spans="1:8" x14ac:dyDescent="0.3">
      <c r="A5709" s="400"/>
      <c r="B5709" s="709">
        <v>96677</v>
      </c>
      <c r="C5709" s="710" t="s">
        <v>4998</v>
      </c>
      <c r="D5709" s="709" t="s">
        <v>159</v>
      </c>
      <c r="E5709" s="716">
        <v>31.84</v>
      </c>
      <c r="F5709" s="717">
        <v>0</v>
      </c>
      <c r="G5709">
        <f>VLOOKUP(B5709,'SINAPI-%MO'!B:E,4,0)</f>
        <v>0.28860000000000002</v>
      </c>
      <c r="H5709" s="225">
        <f t="shared" si="89"/>
        <v>22.65</v>
      </c>
    </row>
    <row r="5710" spans="1:8" x14ac:dyDescent="0.3">
      <c r="A5710" s="400"/>
      <c r="B5710" s="709">
        <v>96648</v>
      </c>
      <c r="C5710" s="710" t="s">
        <v>4999</v>
      </c>
      <c r="D5710" s="709" t="s">
        <v>159</v>
      </c>
      <c r="E5710" s="716">
        <v>33.31</v>
      </c>
      <c r="F5710" s="717">
        <v>0</v>
      </c>
      <c r="G5710">
        <f>VLOOKUP(B5710,'SINAPI-%MO'!B:E,4,0)</f>
        <v>0.31940000000000002</v>
      </c>
      <c r="H5710" s="225">
        <f t="shared" si="89"/>
        <v>22.67</v>
      </c>
    </row>
    <row r="5711" spans="1:8" x14ac:dyDescent="0.3">
      <c r="A5711" s="400"/>
      <c r="B5711" s="709">
        <v>96670</v>
      </c>
      <c r="C5711" s="710" t="s">
        <v>5000</v>
      </c>
      <c r="D5711" s="709" t="s">
        <v>159</v>
      </c>
      <c r="E5711" s="716">
        <v>24.84</v>
      </c>
      <c r="F5711" s="717">
        <v>0</v>
      </c>
      <c r="G5711">
        <f>VLOOKUP(B5711,'SINAPI-%MO'!B:E,4,0)</f>
        <v>0.32690000000000002</v>
      </c>
      <c r="H5711" s="225">
        <f t="shared" si="89"/>
        <v>16.71</v>
      </c>
    </row>
    <row r="5712" spans="1:8" x14ac:dyDescent="0.3">
      <c r="A5712" s="400"/>
      <c r="B5712" s="709">
        <v>96646</v>
      </c>
      <c r="C5712" s="710" t="s">
        <v>5001</v>
      </c>
      <c r="D5712" s="709" t="s">
        <v>159</v>
      </c>
      <c r="E5712" s="716">
        <v>27.01</v>
      </c>
      <c r="F5712" s="717">
        <v>0</v>
      </c>
      <c r="G5712">
        <f>VLOOKUP(B5712,'SINAPI-%MO'!B:E,4,0)</f>
        <v>0.38019999999999998</v>
      </c>
      <c r="H5712" s="225">
        <f t="shared" si="89"/>
        <v>16.739999999999998</v>
      </c>
    </row>
    <row r="5713" spans="1:8" x14ac:dyDescent="0.3">
      <c r="A5713" s="400"/>
      <c r="B5713" s="709">
        <v>96678</v>
      </c>
      <c r="C5713" s="710" t="s">
        <v>5002</v>
      </c>
      <c r="D5713" s="709" t="s">
        <v>159</v>
      </c>
      <c r="E5713" s="716">
        <v>43.75</v>
      </c>
      <c r="F5713" s="717">
        <v>0</v>
      </c>
      <c r="G5713">
        <f>VLOOKUP(B5713,'SINAPI-%MO'!B:E,4,0)</f>
        <v>0.2535</v>
      </c>
      <c r="H5713" s="225">
        <f t="shared" si="89"/>
        <v>32.65</v>
      </c>
    </row>
    <row r="5714" spans="1:8" x14ac:dyDescent="0.3">
      <c r="A5714" s="400"/>
      <c r="B5714" s="709">
        <v>96649</v>
      </c>
      <c r="C5714" s="710" t="s">
        <v>5003</v>
      </c>
      <c r="D5714" s="709" t="s">
        <v>159</v>
      </c>
      <c r="E5714" s="716">
        <v>43.9</v>
      </c>
      <c r="F5714" s="717">
        <v>0</v>
      </c>
      <c r="G5714">
        <f>VLOOKUP(B5714,'SINAPI-%MO'!B:E,4,0)</f>
        <v>0.25600000000000001</v>
      </c>
      <c r="H5714" s="225">
        <f t="shared" si="89"/>
        <v>32.659999999999997</v>
      </c>
    </row>
    <row r="5715" spans="1:8" x14ac:dyDescent="0.3">
      <c r="A5715" s="400"/>
      <c r="B5715" s="709">
        <v>96671</v>
      </c>
      <c r="C5715" s="710" t="s">
        <v>5004</v>
      </c>
      <c r="D5715" s="709" t="s">
        <v>159</v>
      </c>
      <c r="E5715" s="716">
        <v>37.47</v>
      </c>
      <c r="F5715" s="717">
        <v>0</v>
      </c>
      <c r="G5715">
        <f>VLOOKUP(B5715,'SINAPI-%MO'!B:E,4,0)</f>
        <v>0.2631</v>
      </c>
      <c r="H5715" s="225">
        <f t="shared" si="89"/>
        <v>27.61</v>
      </c>
    </row>
    <row r="5716" spans="1:8" x14ac:dyDescent="0.3">
      <c r="A5716" s="400"/>
      <c r="B5716" s="709">
        <v>96679</v>
      </c>
      <c r="C5716" s="710" t="s">
        <v>5005</v>
      </c>
      <c r="D5716" s="709" t="s">
        <v>159</v>
      </c>
      <c r="E5716" s="716">
        <v>65.02</v>
      </c>
      <c r="F5716" s="717">
        <v>0</v>
      </c>
      <c r="G5716">
        <f>VLOOKUP(B5716,'SINAPI-%MO'!B:E,4,0)</f>
        <v>0.2069</v>
      </c>
      <c r="H5716" s="225">
        <f t="shared" si="89"/>
        <v>51.56</v>
      </c>
    </row>
    <row r="5717" spans="1:8" x14ac:dyDescent="0.3">
      <c r="A5717" s="400"/>
      <c r="B5717" s="709">
        <v>96672</v>
      </c>
      <c r="C5717" s="710" t="s">
        <v>5006</v>
      </c>
      <c r="D5717" s="709" t="s">
        <v>159</v>
      </c>
      <c r="E5717" s="716">
        <v>56.89</v>
      </c>
      <c r="F5717" s="717">
        <v>0</v>
      </c>
      <c r="G5717">
        <f>VLOOKUP(B5717,'SINAPI-%MO'!B:E,4,0)</f>
        <v>0.2127</v>
      </c>
      <c r="H5717" s="225">
        <f t="shared" si="89"/>
        <v>44.78</v>
      </c>
    </row>
    <row r="5718" spans="1:8" x14ac:dyDescent="0.3">
      <c r="A5718" s="400"/>
      <c r="B5718" s="709">
        <v>96680</v>
      </c>
      <c r="C5718" s="710" t="s">
        <v>5007</v>
      </c>
      <c r="D5718" s="709" t="s">
        <v>159</v>
      </c>
      <c r="E5718" s="716">
        <v>107.21</v>
      </c>
      <c r="F5718" s="717">
        <v>0</v>
      </c>
      <c r="G5718">
        <f>VLOOKUP(B5718,'SINAPI-%MO'!B:E,4,0)</f>
        <v>0.15409999999999999</v>
      </c>
      <c r="H5718" s="225">
        <f t="shared" si="89"/>
        <v>90.68</v>
      </c>
    </row>
    <row r="5719" spans="1:8" x14ac:dyDescent="0.3">
      <c r="A5719" s="400"/>
      <c r="B5719" s="709">
        <v>96673</v>
      </c>
      <c r="C5719" s="710" t="s">
        <v>5008</v>
      </c>
      <c r="D5719" s="709" t="s">
        <v>159</v>
      </c>
      <c r="E5719" s="716">
        <v>71.66</v>
      </c>
      <c r="F5719" s="717">
        <v>0</v>
      </c>
      <c r="G5719">
        <f>VLOOKUP(B5719,'SINAPI-%MO'!B:E,4,0)</f>
        <v>0.19789999999999999</v>
      </c>
      <c r="H5719" s="225">
        <f t="shared" si="89"/>
        <v>57.47</v>
      </c>
    </row>
    <row r="5720" spans="1:8" x14ac:dyDescent="0.3">
      <c r="A5720" s="400"/>
      <c r="B5720" s="709">
        <v>96681</v>
      </c>
      <c r="C5720" s="710" t="s">
        <v>5009</v>
      </c>
      <c r="D5720" s="709" t="s">
        <v>159</v>
      </c>
      <c r="E5720" s="716">
        <v>144.07</v>
      </c>
      <c r="F5720" s="717">
        <v>0</v>
      </c>
      <c r="G5720">
        <f>VLOOKUP(B5720,'SINAPI-%MO'!B:E,4,0)</f>
        <v>0.13439999999999999</v>
      </c>
      <c r="H5720" s="225">
        <f t="shared" si="89"/>
        <v>124.7</v>
      </c>
    </row>
    <row r="5721" spans="1:8" x14ac:dyDescent="0.3">
      <c r="A5721" s="400"/>
      <c r="B5721" s="709">
        <v>96674</v>
      </c>
      <c r="C5721" s="710" t="s">
        <v>5010</v>
      </c>
      <c r="D5721" s="709" t="s">
        <v>159</v>
      </c>
      <c r="E5721" s="716">
        <v>115.49</v>
      </c>
      <c r="F5721" s="717">
        <v>0</v>
      </c>
      <c r="G5721">
        <f>VLOOKUP(B5721,'SINAPI-%MO'!B:E,4,0)</f>
        <v>0.14530000000000001</v>
      </c>
      <c r="H5721" s="225">
        <f t="shared" si="89"/>
        <v>98.7</v>
      </c>
    </row>
    <row r="5722" spans="1:8" x14ac:dyDescent="0.3">
      <c r="A5722" s="400"/>
      <c r="B5722" s="709">
        <v>96682</v>
      </c>
      <c r="C5722" s="710" t="s">
        <v>5011</v>
      </c>
      <c r="D5722" s="709" t="s">
        <v>159</v>
      </c>
      <c r="E5722" s="716">
        <v>237.18</v>
      </c>
      <c r="F5722" s="717">
        <v>0</v>
      </c>
      <c r="G5722">
        <f>VLOOKUP(B5722,'SINAPI-%MO'!B:E,4,0)</f>
        <v>9.6600000000000005E-2</v>
      </c>
      <c r="H5722" s="225">
        <f t="shared" si="89"/>
        <v>214.26</v>
      </c>
    </row>
    <row r="5723" spans="1:8" x14ac:dyDescent="0.3">
      <c r="A5723" s="400"/>
      <c r="B5723" s="709">
        <v>96643</v>
      </c>
      <c r="C5723" s="710" t="s">
        <v>5012</v>
      </c>
      <c r="D5723" s="709" t="s">
        <v>136</v>
      </c>
      <c r="E5723" s="716">
        <v>48.94</v>
      </c>
      <c r="F5723" s="717">
        <v>0</v>
      </c>
      <c r="G5723">
        <f>VLOOKUP(B5723,'SINAPI-%MO'!B:E,4,0)</f>
        <v>0.2893</v>
      </c>
      <c r="H5723" s="225">
        <f t="shared" si="89"/>
        <v>34.78</v>
      </c>
    </row>
    <row r="5724" spans="1:8" x14ac:dyDescent="0.3">
      <c r="A5724" s="400"/>
      <c r="B5724" s="709">
        <v>104201</v>
      </c>
      <c r="C5724" s="710" t="s">
        <v>5013</v>
      </c>
      <c r="D5724" s="709" t="s">
        <v>136</v>
      </c>
      <c r="E5724" s="716">
        <v>21.44</v>
      </c>
      <c r="F5724" s="717">
        <v>0</v>
      </c>
      <c r="G5724">
        <f>VLOOKUP(B5724,'SINAPI-%MO'!B:E,4,0)</f>
        <v>0.39090000000000003</v>
      </c>
      <c r="H5724" s="225">
        <f t="shared" si="89"/>
        <v>13.05</v>
      </c>
    </row>
    <row r="5725" spans="1:8" x14ac:dyDescent="0.3">
      <c r="A5725" s="400"/>
      <c r="B5725" s="709">
        <v>104192</v>
      </c>
      <c r="C5725" s="710" t="s">
        <v>5014</v>
      </c>
      <c r="D5725" s="709" t="s">
        <v>136</v>
      </c>
      <c r="E5725" s="716">
        <v>31.68</v>
      </c>
      <c r="F5725" s="717">
        <v>0</v>
      </c>
      <c r="G5725">
        <f>VLOOKUP(B5725,'SINAPI-%MO'!B:E,4,0)</f>
        <v>0.44700000000000001</v>
      </c>
      <c r="H5725" s="225">
        <f t="shared" si="89"/>
        <v>17.510000000000002</v>
      </c>
    </row>
    <row r="5726" spans="1:8" x14ac:dyDescent="0.3">
      <c r="A5726" s="400"/>
      <c r="B5726" s="709">
        <v>104202</v>
      </c>
      <c r="C5726" s="710" t="s">
        <v>5015</v>
      </c>
      <c r="D5726" s="709" t="s">
        <v>136</v>
      </c>
      <c r="E5726" s="716">
        <v>12.32</v>
      </c>
      <c r="F5726" s="717">
        <v>0</v>
      </c>
      <c r="G5726">
        <f>VLOOKUP(B5726,'SINAPI-%MO'!B:E,4,0)</f>
        <v>0.68020000000000003</v>
      </c>
      <c r="H5726" s="225">
        <f t="shared" si="89"/>
        <v>3.93</v>
      </c>
    </row>
    <row r="5727" spans="1:8" x14ac:dyDescent="0.3">
      <c r="A5727" s="400"/>
      <c r="B5727" s="709">
        <v>96717</v>
      </c>
      <c r="C5727" s="710" t="s">
        <v>5016</v>
      </c>
      <c r="D5727" s="709" t="s">
        <v>136</v>
      </c>
      <c r="E5727" s="716">
        <v>329.71</v>
      </c>
      <c r="F5727" s="717">
        <v>0</v>
      </c>
      <c r="G5727">
        <f>VLOOKUP(B5727,'SINAPI-%MO'!B:E,4,0)</f>
        <v>0.14749999999999999</v>
      </c>
      <c r="H5727" s="225">
        <f t="shared" si="89"/>
        <v>281.07</v>
      </c>
    </row>
    <row r="5728" spans="1:8" x14ac:dyDescent="0.3">
      <c r="A5728" s="400"/>
      <c r="B5728" s="709">
        <v>96710</v>
      </c>
      <c r="C5728" s="710" t="s">
        <v>5017</v>
      </c>
      <c r="D5728" s="709" t="s">
        <v>136</v>
      </c>
      <c r="E5728" s="716">
        <v>16.71</v>
      </c>
      <c r="F5728" s="717">
        <v>0</v>
      </c>
      <c r="G5728">
        <f>VLOOKUP(B5728,'SINAPI-%MO'!B:E,4,0)</f>
        <v>0.79349999999999998</v>
      </c>
      <c r="H5728" s="225">
        <f t="shared" si="89"/>
        <v>3.45</v>
      </c>
    </row>
    <row r="5729" spans="1:8" x14ac:dyDescent="0.3">
      <c r="A5729" s="400"/>
      <c r="B5729" s="709">
        <v>96665</v>
      </c>
      <c r="C5729" s="710" t="s">
        <v>5018</v>
      </c>
      <c r="D5729" s="709" t="s">
        <v>136</v>
      </c>
      <c r="E5729" s="716">
        <v>12.92</v>
      </c>
      <c r="F5729" s="717">
        <v>0</v>
      </c>
      <c r="G5729">
        <f>VLOOKUP(B5729,'SINAPI-%MO'!B:E,4,0)</f>
        <v>0.73529999999999995</v>
      </c>
      <c r="H5729" s="225">
        <f t="shared" si="89"/>
        <v>3.41</v>
      </c>
    </row>
    <row r="5730" spans="1:8" x14ac:dyDescent="0.3">
      <c r="A5730" s="400"/>
      <c r="B5730" s="709">
        <v>96642</v>
      </c>
      <c r="C5730" s="710" t="s">
        <v>5019</v>
      </c>
      <c r="D5730" s="709" t="s">
        <v>136</v>
      </c>
      <c r="E5730" s="716">
        <v>23.46</v>
      </c>
      <c r="F5730" s="717">
        <v>0</v>
      </c>
      <c r="G5730">
        <f>VLOOKUP(B5730,'SINAPI-%MO'!B:E,4,0)</f>
        <v>0.85</v>
      </c>
      <c r="H5730" s="225">
        <f t="shared" si="89"/>
        <v>3.51</v>
      </c>
    </row>
    <row r="5731" spans="1:8" x14ac:dyDescent="0.3">
      <c r="A5731" s="400"/>
      <c r="B5731" s="709">
        <v>96711</v>
      </c>
      <c r="C5731" s="710" t="s">
        <v>5020</v>
      </c>
      <c r="D5731" s="709" t="s">
        <v>136</v>
      </c>
      <c r="E5731" s="716">
        <v>24.62</v>
      </c>
      <c r="F5731" s="717">
        <v>0</v>
      </c>
      <c r="G5731">
        <f>VLOOKUP(B5731,'SINAPI-%MO'!B:E,4,0)</f>
        <v>0.65720000000000001</v>
      </c>
      <c r="H5731" s="225">
        <f t="shared" si="89"/>
        <v>8.43</v>
      </c>
    </row>
    <row r="5732" spans="1:8" x14ac:dyDescent="0.3">
      <c r="A5732" s="400"/>
      <c r="B5732" s="709">
        <v>96666</v>
      </c>
      <c r="C5732" s="710" t="s">
        <v>5021</v>
      </c>
      <c r="D5732" s="709" t="s">
        <v>136</v>
      </c>
      <c r="E5732" s="716">
        <v>18.37</v>
      </c>
      <c r="F5732" s="717">
        <v>0</v>
      </c>
      <c r="G5732">
        <f>VLOOKUP(B5732,'SINAPI-%MO'!B:E,4,0)</f>
        <v>0.54379999999999995</v>
      </c>
      <c r="H5732" s="225">
        <f t="shared" si="89"/>
        <v>8.3800000000000008</v>
      </c>
    </row>
    <row r="5733" spans="1:8" x14ac:dyDescent="0.3">
      <c r="A5733" s="400"/>
      <c r="B5733" s="709">
        <v>96712</v>
      </c>
      <c r="C5733" s="710" t="s">
        <v>5022</v>
      </c>
      <c r="D5733" s="709" t="s">
        <v>136</v>
      </c>
      <c r="E5733" s="716">
        <v>34.79</v>
      </c>
      <c r="F5733" s="717">
        <v>0</v>
      </c>
      <c r="G5733">
        <f>VLOOKUP(B5733,'SINAPI-%MO'!B:E,4,0)</f>
        <v>0.5605</v>
      </c>
      <c r="H5733" s="225">
        <f t="shared" si="89"/>
        <v>15.29</v>
      </c>
    </row>
    <row r="5734" spans="1:8" x14ac:dyDescent="0.3">
      <c r="A5734" s="400"/>
      <c r="B5734" s="709">
        <v>96667</v>
      </c>
      <c r="C5734" s="710" t="s">
        <v>5023</v>
      </c>
      <c r="D5734" s="709" t="s">
        <v>136</v>
      </c>
      <c r="E5734" s="716">
        <v>25.78</v>
      </c>
      <c r="F5734" s="717">
        <v>0</v>
      </c>
      <c r="G5734">
        <f>VLOOKUP(B5734,'SINAPI-%MO'!B:E,4,0)</f>
        <v>0.41</v>
      </c>
      <c r="H5734" s="225">
        <f t="shared" si="89"/>
        <v>15.21</v>
      </c>
    </row>
    <row r="5735" spans="1:8" x14ac:dyDescent="0.3">
      <c r="A5735" s="400"/>
      <c r="B5735" s="709">
        <v>96713</v>
      </c>
      <c r="C5735" s="710" t="s">
        <v>5024</v>
      </c>
      <c r="D5735" s="709" t="s">
        <v>136</v>
      </c>
      <c r="E5735" s="716">
        <v>52.99</v>
      </c>
      <c r="F5735" s="717">
        <v>0</v>
      </c>
      <c r="G5735">
        <f>VLOOKUP(B5735,'SINAPI-%MO'!B:E,4,0)</f>
        <v>0.44650000000000001</v>
      </c>
      <c r="H5735" s="225">
        <f t="shared" si="89"/>
        <v>29.32</v>
      </c>
    </row>
    <row r="5736" spans="1:8" x14ac:dyDescent="0.3">
      <c r="A5736" s="400"/>
      <c r="B5736" s="709">
        <v>96714</v>
      </c>
      <c r="C5736" s="710" t="s">
        <v>5025</v>
      </c>
      <c r="D5736" s="709" t="s">
        <v>136</v>
      </c>
      <c r="E5736" s="716">
        <v>75.099999999999994</v>
      </c>
      <c r="F5736" s="717">
        <v>0</v>
      </c>
      <c r="G5736">
        <f>VLOOKUP(B5736,'SINAPI-%MO'!B:E,4,0)</f>
        <v>0.3871</v>
      </c>
      <c r="H5736" s="225">
        <f t="shared" si="89"/>
        <v>46.02</v>
      </c>
    </row>
    <row r="5737" spans="1:8" x14ac:dyDescent="0.3">
      <c r="A5737" s="400"/>
      <c r="B5737" s="709">
        <v>96715</v>
      </c>
      <c r="C5737" s="710" t="s">
        <v>5026</v>
      </c>
      <c r="D5737" s="709" t="s">
        <v>136</v>
      </c>
      <c r="E5737" s="716">
        <v>132.69</v>
      </c>
      <c r="F5737" s="717">
        <v>0</v>
      </c>
      <c r="G5737">
        <f>VLOOKUP(B5737,'SINAPI-%MO'!B:E,4,0)</f>
        <v>0.25679999999999997</v>
      </c>
      <c r="H5737" s="225">
        <f t="shared" si="89"/>
        <v>98.61</v>
      </c>
    </row>
    <row r="5738" spans="1:8" x14ac:dyDescent="0.3">
      <c r="A5738" s="400"/>
      <c r="B5738" s="709">
        <v>96716</v>
      </c>
      <c r="C5738" s="710" t="s">
        <v>5027</v>
      </c>
      <c r="D5738" s="709" t="s">
        <v>136</v>
      </c>
      <c r="E5738" s="716">
        <v>172.57</v>
      </c>
      <c r="F5738" s="717">
        <v>0</v>
      </c>
      <c r="G5738">
        <f>VLOOKUP(B5738,'SINAPI-%MO'!B:E,4,0)</f>
        <v>0.23350000000000001</v>
      </c>
      <c r="H5738" s="225">
        <f t="shared" si="89"/>
        <v>132.27000000000001</v>
      </c>
    </row>
    <row r="5739" spans="1:8" x14ac:dyDescent="0.3">
      <c r="A5739" s="400"/>
      <c r="B5739" s="709">
        <v>104328</v>
      </c>
      <c r="C5739" s="710" t="s">
        <v>5028</v>
      </c>
      <c r="D5739" s="709" t="s">
        <v>136</v>
      </c>
      <c r="E5739" s="716">
        <v>96.17</v>
      </c>
      <c r="F5739" s="717">
        <v>0</v>
      </c>
      <c r="G5739">
        <f>VLOOKUP(B5739,'SINAPI-%MO'!B:E,4,0)</f>
        <v>0.25290000000000001</v>
      </c>
      <c r="H5739" s="225">
        <f t="shared" si="89"/>
        <v>71.84</v>
      </c>
    </row>
    <row r="5740" spans="1:8" x14ac:dyDescent="0.3">
      <c r="A5740" s="400"/>
      <c r="B5740" s="709">
        <v>104329</v>
      </c>
      <c r="C5740" s="710" t="s">
        <v>5029</v>
      </c>
      <c r="D5740" s="709" t="s">
        <v>136</v>
      </c>
      <c r="E5740" s="716">
        <v>109.51</v>
      </c>
      <c r="F5740" s="717">
        <v>0</v>
      </c>
      <c r="G5740">
        <f>VLOOKUP(B5740,'SINAPI-%MO'!B:E,4,0)</f>
        <v>0.22209999999999999</v>
      </c>
      <c r="H5740" s="225">
        <f t="shared" si="89"/>
        <v>85.18</v>
      </c>
    </row>
    <row r="5741" spans="1:8" x14ac:dyDescent="0.3">
      <c r="A5741" s="400"/>
      <c r="B5741" s="709">
        <v>89707</v>
      </c>
      <c r="C5741" s="710" t="s">
        <v>5030</v>
      </c>
      <c r="D5741" s="709" t="s">
        <v>136</v>
      </c>
      <c r="E5741" s="716">
        <v>64.540000000000006</v>
      </c>
      <c r="F5741" s="717">
        <v>0</v>
      </c>
      <c r="G5741">
        <f>VLOOKUP(B5741,'SINAPI-%MO'!B:E,4,0)</f>
        <v>0.35499999999999998</v>
      </c>
      <c r="H5741" s="225">
        <f t="shared" si="89"/>
        <v>41.62</v>
      </c>
    </row>
    <row r="5742" spans="1:8" x14ac:dyDescent="0.3">
      <c r="A5742" s="400"/>
      <c r="B5742" s="709">
        <v>89708</v>
      </c>
      <c r="C5742" s="710" t="s">
        <v>5031</v>
      </c>
      <c r="D5742" s="709" t="s">
        <v>136</v>
      </c>
      <c r="E5742" s="716">
        <v>143.04</v>
      </c>
      <c r="F5742" s="717">
        <v>0</v>
      </c>
      <c r="G5742">
        <f>VLOOKUP(B5742,'SINAPI-%MO'!B:E,4,0)</f>
        <v>0.19189999999999999</v>
      </c>
      <c r="H5742" s="225">
        <f t="shared" si="89"/>
        <v>115.59</v>
      </c>
    </row>
    <row r="5743" spans="1:8" x14ac:dyDescent="0.3">
      <c r="A5743" s="400"/>
      <c r="B5743" s="709">
        <v>104330</v>
      </c>
      <c r="C5743" s="710" t="s">
        <v>5032</v>
      </c>
      <c r="D5743" s="709" t="s">
        <v>136</v>
      </c>
      <c r="E5743" s="716">
        <v>0</v>
      </c>
      <c r="F5743" s="717"/>
      <c r="G5743" t="e">
        <f>VLOOKUP(B5743,'SINAPI-%MO'!B:E,4,0)</f>
        <v>#N/A</v>
      </c>
      <c r="H5743" s="225" t="str">
        <f t="shared" si="89"/>
        <v/>
      </c>
    </row>
    <row r="5744" spans="1:8" x14ac:dyDescent="0.3">
      <c r="A5744" s="400"/>
      <c r="B5744" s="709">
        <v>104326</v>
      </c>
      <c r="C5744" s="710" t="s">
        <v>5033</v>
      </c>
      <c r="D5744" s="709" t="s">
        <v>136</v>
      </c>
      <c r="E5744" s="716">
        <v>26.71</v>
      </c>
      <c r="F5744" s="717">
        <v>0</v>
      </c>
      <c r="G5744">
        <f>VLOOKUP(B5744,'SINAPI-%MO'!B:E,4,0)</f>
        <v>0.3553</v>
      </c>
      <c r="H5744" s="225">
        <f t="shared" si="89"/>
        <v>17.21</v>
      </c>
    </row>
    <row r="5745" spans="1:8" x14ac:dyDescent="0.3">
      <c r="A5745" s="400"/>
      <c r="B5745" s="709">
        <v>89710</v>
      </c>
      <c r="C5745" s="710" t="s">
        <v>5034</v>
      </c>
      <c r="D5745" s="709" t="s">
        <v>136</v>
      </c>
      <c r="E5745" s="716">
        <v>24.4</v>
      </c>
      <c r="F5745" s="717">
        <v>0</v>
      </c>
      <c r="G5745">
        <f>VLOOKUP(B5745,'SINAPI-%MO'!B:E,4,0)</f>
        <v>0.38890000000000002</v>
      </c>
      <c r="H5745" s="225">
        <f t="shared" si="89"/>
        <v>14.91</v>
      </c>
    </row>
    <row r="5746" spans="1:8" x14ac:dyDescent="0.3">
      <c r="A5746" s="400"/>
      <c r="B5746" s="709">
        <v>104327</v>
      </c>
      <c r="C5746" s="710" t="s">
        <v>5035</v>
      </c>
      <c r="D5746" s="709" t="s">
        <v>136</v>
      </c>
      <c r="E5746" s="716">
        <v>25.34</v>
      </c>
      <c r="F5746" s="717">
        <v>0</v>
      </c>
      <c r="G5746">
        <f>VLOOKUP(B5746,'SINAPI-%MO'!B:E,4,0)</f>
        <v>0.3745</v>
      </c>
      <c r="H5746" s="225">
        <f t="shared" si="89"/>
        <v>15.85</v>
      </c>
    </row>
    <row r="5747" spans="1:8" x14ac:dyDescent="0.3">
      <c r="A5747" s="400"/>
      <c r="B5747" s="709">
        <v>89709</v>
      </c>
      <c r="C5747" s="710" t="s">
        <v>5036</v>
      </c>
      <c r="D5747" s="709" t="s">
        <v>136</v>
      </c>
      <c r="E5747" s="716">
        <v>28.13</v>
      </c>
      <c r="F5747" s="717">
        <v>0</v>
      </c>
      <c r="G5747">
        <f>VLOOKUP(B5747,'SINAPI-%MO'!B:E,4,0)</f>
        <v>0.33739999999999998</v>
      </c>
      <c r="H5747" s="225">
        <f t="shared" si="89"/>
        <v>18.63</v>
      </c>
    </row>
    <row r="5748" spans="1:8" x14ac:dyDescent="0.3">
      <c r="A5748" s="400"/>
      <c r="B5748" s="709">
        <v>104341</v>
      </c>
      <c r="C5748" s="710" t="s">
        <v>5037</v>
      </c>
      <c r="D5748" s="709" t="s">
        <v>136</v>
      </c>
      <c r="E5748" s="716">
        <v>12.78</v>
      </c>
      <c r="F5748" s="717">
        <v>0</v>
      </c>
      <c r="G5748">
        <f>VLOOKUP(B5748,'SINAPI-%MO'!B:E,4,0)</f>
        <v>0.3967</v>
      </c>
      <c r="H5748" s="225">
        <f t="shared" si="89"/>
        <v>7.71</v>
      </c>
    </row>
    <row r="5749" spans="1:8" x14ac:dyDescent="0.3">
      <c r="A5749" s="400"/>
      <c r="B5749" s="709">
        <v>104357</v>
      </c>
      <c r="C5749" s="710" t="s">
        <v>5038</v>
      </c>
      <c r="D5749" s="709" t="s">
        <v>136</v>
      </c>
      <c r="E5749" s="716">
        <v>22.9</v>
      </c>
      <c r="F5749" s="717">
        <v>0</v>
      </c>
      <c r="G5749">
        <f>VLOOKUP(B5749,'SINAPI-%MO'!B:E,4,0)</f>
        <v>0.2319</v>
      </c>
      <c r="H5749" s="225">
        <f t="shared" si="89"/>
        <v>17.579999999999998</v>
      </c>
    </row>
    <row r="5750" spans="1:8" x14ac:dyDescent="0.3">
      <c r="A5750" s="400"/>
      <c r="B5750" s="709">
        <v>89811</v>
      </c>
      <c r="C5750" s="710" t="s">
        <v>5039</v>
      </c>
      <c r="D5750" s="709" t="s">
        <v>136</v>
      </c>
      <c r="E5750" s="716">
        <v>52.94</v>
      </c>
      <c r="F5750" s="717">
        <v>0</v>
      </c>
      <c r="G5750">
        <f>VLOOKUP(B5750,'SINAPI-%MO'!B:E,4,0)</f>
        <v>0.23569999999999999</v>
      </c>
      <c r="H5750" s="225">
        <f t="shared" si="89"/>
        <v>40.46</v>
      </c>
    </row>
    <row r="5751" spans="1:8" x14ac:dyDescent="0.3">
      <c r="A5751" s="400"/>
      <c r="B5751" s="709">
        <v>89748</v>
      </c>
      <c r="C5751" s="710" t="s">
        <v>5040</v>
      </c>
      <c r="D5751" s="709" t="s">
        <v>136</v>
      </c>
      <c r="E5751" s="716">
        <v>51.52</v>
      </c>
      <c r="F5751" s="717">
        <v>0</v>
      </c>
      <c r="G5751">
        <f>VLOOKUP(B5751,'SINAPI-%MO'!B:E,4,0)</f>
        <v>0.2147</v>
      </c>
      <c r="H5751" s="225">
        <f t="shared" si="89"/>
        <v>40.450000000000003</v>
      </c>
    </row>
    <row r="5752" spans="1:8" x14ac:dyDescent="0.3">
      <c r="A5752" s="400"/>
      <c r="B5752" s="709">
        <v>89852</v>
      </c>
      <c r="C5752" s="710" t="s">
        <v>5041</v>
      </c>
      <c r="D5752" s="709" t="s">
        <v>136</v>
      </c>
      <c r="E5752" s="716">
        <v>56.4</v>
      </c>
      <c r="F5752" s="717">
        <v>0</v>
      </c>
      <c r="G5752">
        <f>VLOOKUP(B5752,'SINAPI-%MO'!B:E,4,0)</f>
        <v>0.28260000000000002</v>
      </c>
      <c r="H5752" s="225">
        <f t="shared" si="89"/>
        <v>40.46</v>
      </c>
    </row>
    <row r="5753" spans="1:8" x14ac:dyDescent="0.3">
      <c r="A5753" s="400"/>
      <c r="B5753" s="709">
        <v>89728</v>
      </c>
      <c r="C5753" s="710" t="s">
        <v>5042</v>
      </c>
      <c r="D5753" s="709" t="s">
        <v>136</v>
      </c>
      <c r="E5753" s="716">
        <v>16.260000000000002</v>
      </c>
      <c r="F5753" s="717">
        <v>0</v>
      </c>
      <c r="G5753">
        <f>VLOOKUP(B5753,'SINAPI-%MO'!B:E,4,0)</f>
        <v>0.44829999999999998</v>
      </c>
      <c r="H5753" s="225">
        <f t="shared" si="89"/>
        <v>8.9700000000000006</v>
      </c>
    </row>
    <row r="5754" spans="1:8" x14ac:dyDescent="0.3">
      <c r="A5754" s="400"/>
      <c r="B5754" s="709">
        <v>89803</v>
      </c>
      <c r="C5754" s="710" t="s">
        <v>5043</v>
      </c>
      <c r="D5754" s="709" t="s">
        <v>136</v>
      </c>
      <c r="E5754" s="716">
        <v>22.07</v>
      </c>
      <c r="F5754" s="717">
        <v>0</v>
      </c>
      <c r="G5754">
        <f>VLOOKUP(B5754,'SINAPI-%MO'!B:E,4,0)</f>
        <v>8.8800000000000004E-2</v>
      </c>
      <c r="H5754" s="225">
        <f t="shared" si="89"/>
        <v>20.11</v>
      </c>
    </row>
    <row r="5755" spans="1:8" x14ac:dyDescent="0.3">
      <c r="A5755" s="400"/>
      <c r="B5755" s="709">
        <v>89733</v>
      </c>
      <c r="C5755" s="710" t="s">
        <v>5044</v>
      </c>
      <c r="D5755" s="709" t="s">
        <v>136</v>
      </c>
      <c r="E5755" s="716">
        <v>28.03</v>
      </c>
      <c r="F5755" s="717">
        <v>0</v>
      </c>
      <c r="G5755">
        <f>VLOOKUP(B5755,'SINAPI-%MO'!B:E,4,0)</f>
        <v>0.28260000000000002</v>
      </c>
      <c r="H5755" s="225">
        <f t="shared" si="89"/>
        <v>20.100000000000001</v>
      </c>
    </row>
    <row r="5756" spans="1:8" x14ac:dyDescent="0.3">
      <c r="A5756" s="400"/>
      <c r="B5756" s="709">
        <v>89807</v>
      </c>
      <c r="C5756" s="710" t="s">
        <v>5045</v>
      </c>
      <c r="D5756" s="709" t="s">
        <v>136</v>
      </c>
      <c r="E5756" s="716">
        <v>46.17</v>
      </c>
      <c r="F5756" s="717">
        <v>0</v>
      </c>
      <c r="G5756">
        <f>VLOOKUP(B5756,'SINAPI-%MO'!B:E,4,0)</f>
        <v>0.15640000000000001</v>
      </c>
      <c r="H5756" s="225">
        <f t="shared" si="89"/>
        <v>38.94</v>
      </c>
    </row>
    <row r="5757" spans="1:8" x14ac:dyDescent="0.3">
      <c r="A5757" s="400"/>
      <c r="B5757" s="709">
        <v>89742</v>
      </c>
      <c r="C5757" s="710" t="s">
        <v>5046</v>
      </c>
      <c r="D5757" s="709" t="s">
        <v>136</v>
      </c>
      <c r="E5757" s="716">
        <v>48.44</v>
      </c>
      <c r="F5757" s="717">
        <v>0</v>
      </c>
      <c r="G5757">
        <f>VLOOKUP(B5757,'SINAPI-%MO'!B:E,4,0)</f>
        <v>0.19589999999999999</v>
      </c>
      <c r="H5757" s="225">
        <f t="shared" si="89"/>
        <v>38.950000000000003</v>
      </c>
    </row>
    <row r="5758" spans="1:8" x14ac:dyDescent="0.3">
      <c r="A5758" s="400"/>
      <c r="B5758" s="709">
        <v>89812</v>
      </c>
      <c r="C5758" s="710" t="s">
        <v>5047</v>
      </c>
      <c r="D5758" s="709" t="s">
        <v>136</v>
      </c>
      <c r="E5758" s="716">
        <v>99.01</v>
      </c>
      <c r="F5758" s="717">
        <v>0</v>
      </c>
      <c r="G5758">
        <f>VLOOKUP(B5758,'SINAPI-%MO'!B:E,4,0)</f>
        <v>0.126</v>
      </c>
      <c r="H5758" s="225">
        <f t="shared" si="89"/>
        <v>86.53</v>
      </c>
    </row>
    <row r="5759" spans="1:8" x14ac:dyDescent="0.3">
      <c r="A5759" s="400"/>
      <c r="B5759" s="709">
        <v>89750</v>
      </c>
      <c r="C5759" s="710" t="s">
        <v>5048</v>
      </c>
      <c r="D5759" s="709" t="s">
        <v>136</v>
      </c>
      <c r="E5759" s="716">
        <v>97.59</v>
      </c>
      <c r="F5759" s="717">
        <v>0</v>
      </c>
      <c r="G5759">
        <f>VLOOKUP(B5759,'SINAPI-%MO'!B:E,4,0)</f>
        <v>0.1133</v>
      </c>
      <c r="H5759" s="225">
        <f t="shared" si="89"/>
        <v>86.53</v>
      </c>
    </row>
    <row r="5760" spans="1:8" x14ac:dyDescent="0.3">
      <c r="A5760" s="400"/>
      <c r="B5760" s="709">
        <v>89853</v>
      </c>
      <c r="C5760" s="710" t="s">
        <v>5049</v>
      </c>
      <c r="D5760" s="709" t="s">
        <v>136</v>
      </c>
      <c r="E5760" s="716">
        <v>102.47</v>
      </c>
      <c r="F5760" s="717">
        <v>0</v>
      </c>
      <c r="G5760">
        <f>VLOOKUP(B5760,'SINAPI-%MO'!B:E,4,0)</f>
        <v>0.15559999999999999</v>
      </c>
      <c r="H5760" s="225">
        <f t="shared" si="89"/>
        <v>86.52</v>
      </c>
    </row>
    <row r="5761" spans="1:8" x14ac:dyDescent="0.3">
      <c r="A5761" s="400"/>
      <c r="B5761" s="709">
        <v>89730</v>
      </c>
      <c r="C5761" s="710" t="s">
        <v>5050</v>
      </c>
      <c r="D5761" s="709" t="s">
        <v>136</v>
      </c>
      <c r="E5761" s="716">
        <v>18.760000000000002</v>
      </c>
      <c r="F5761" s="717">
        <v>0</v>
      </c>
      <c r="G5761">
        <f>VLOOKUP(B5761,'SINAPI-%MO'!B:E,4,0)</f>
        <v>0.3886</v>
      </c>
      <c r="H5761" s="225">
        <f t="shared" si="89"/>
        <v>11.46</v>
      </c>
    </row>
    <row r="5762" spans="1:8" x14ac:dyDescent="0.3">
      <c r="A5762" s="400"/>
      <c r="B5762" s="709">
        <v>89804</v>
      </c>
      <c r="C5762" s="710" t="s">
        <v>5051</v>
      </c>
      <c r="D5762" s="709" t="s">
        <v>136</v>
      </c>
      <c r="E5762" s="716">
        <v>24.94</v>
      </c>
      <c r="F5762" s="717">
        <v>0</v>
      </c>
      <c r="G5762">
        <f>VLOOKUP(B5762,'SINAPI-%MO'!B:E,4,0)</f>
        <v>7.8600000000000003E-2</v>
      </c>
      <c r="H5762" s="225">
        <f t="shared" si="89"/>
        <v>22.97</v>
      </c>
    </row>
    <row r="5763" spans="1:8" x14ac:dyDescent="0.3">
      <c r="A5763" s="400"/>
      <c r="B5763" s="709">
        <v>89735</v>
      </c>
      <c r="C5763" s="710" t="s">
        <v>5052</v>
      </c>
      <c r="D5763" s="709" t="s">
        <v>136</v>
      </c>
      <c r="E5763" s="716">
        <v>30.9</v>
      </c>
      <c r="F5763" s="717">
        <v>0</v>
      </c>
      <c r="G5763">
        <f>VLOOKUP(B5763,'SINAPI-%MO'!B:E,4,0)</f>
        <v>0.25629999999999997</v>
      </c>
      <c r="H5763" s="225">
        <f t="shared" si="89"/>
        <v>22.98</v>
      </c>
    </row>
    <row r="5764" spans="1:8" x14ac:dyDescent="0.3">
      <c r="A5764" s="400"/>
      <c r="B5764" s="709">
        <v>89808</v>
      </c>
      <c r="C5764" s="710" t="s">
        <v>5053</v>
      </c>
      <c r="D5764" s="709" t="s">
        <v>136</v>
      </c>
      <c r="E5764" s="716">
        <v>73.23</v>
      </c>
      <c r="F5764" s="717">
        <v>0</v>
      </c>
      <c r="G5764">
        <f>VLOOKUP(B5764,'SINAPI-%MO'!B:E,4,0)</f>
        <v>9.8599999999999993E-2</v>
      </c>
      <c r="H5764" s="225">
        <f t="shared" si="89"/>
        <v>66</v>
      </c>
    </row>
    <row r="5765" spans="1:8" x14ac:dyDescent="0.3">
      <c r="A5765" s="400"/>
      <c r="B5765" s="709">
        <v>89743</v>
      </c>
      <c r="C5765" s="710" t="s">
        <v>5054</v>
      </c>
      <c r="D5765" s="709" t="s">
        <v>136</v>
      </c>
      <c r="E5765" s="716">
        <v>75.5</v>
      </c>
      <c r="F5765" s="717">
        <v>0</v>
      </c>
      <c r="G5765">
        <f>VLOOKUP(B5765,'SINAPI-%MO'!B:E,4,0)</f>
        <v>0.12570000000000001</v>
      </c>
      <c r="H5765" s="225">
        <f t="shared" si="89"/>
        <v>66</v>
      </c>
    </row>
    <row r="5766" spans="1:8" x14ac:dyDescent="0.3">
      <c r="A5766" s="400"/>
      <c r="B5766" s="709">
        <v>89810</v>
      </c>
      <c r="C5766" s="710" t="s">
        <v>5055</v>
      </c>
      <c r="D5766" s="709" t="s">
        <v>136</v>
      </c>
      <c r="E5766" s="716">
        <v>34.270000000000003</v>
      </c>
      <c r="F5766" s="717">
        <v>0</v>
      </c>
      <c r="G5766">
        <f>VLOOKUP(B5766,'SINAPI-%MO'!B:E,4,0)</f>
        <v>0.36420000000000002</v>
      </c>
      <c r="H5766" s="225">
        <f t="shared" si="89"/>
        <v>21.78</v>
      </c>
    </row>
    <row r="5767" spans="1:8" x14ac:dyDescent="0.3">
      <c r="A5767" s="400"/>
      <c r="B5767" s="709">
        <v>89746</v>
      </c>
      <c r="C5767" s="710" t="s">
        <v>5056</v>
      </c>
      <c r="D5767" s="709" t="s">
        <v>136</v>
      </c>
      <c r="E5767" s="716">
        <v>32.85</v>
      </c>
      <c r="F5767" s="717">
        <v>0</v>
      </c>
      <c r="G5767">
        <f>VLOOKUP(B5767,'SINAPI-%MO'!B:E,4,0)</f>
        <v>0.3367</v>
      </c>
      <c r="H5767" s="225">
        <f t="shared" si="89"/>
        <v>21.78</v>
      </c>
    </row>
    <row r="5768" spans="1:8" x14ac:dyDescent="0.3">
      <c r="A5768" s="400"/>
      <c r="B5768" s="709">
        <v>89851</v>
      </c>
      <c r="C5768" s="710" t="s">
        <v>5057</v>
      </c>
      <c r="D5768" s="709" t="s">
        <v>136</v>
      </c>
      <c r="E5768" s="716">
        <v>37.729999999999997</v>
      </c>
      <c r="F5768" s="717">
        <v>0</v>
      </c>
      <c r="G5768">
        <f>VLOOKUP(B5768,'SINAPI-%MO'!B:E,4,0)</f>
        <v>0.42249999999999999</v>
      </c>
      <c r="H5768" s="225">
        <f t="shared" si="89"/>
        <v>21.78</v>
      </c>
    </row>
    <row r="5769" spans="1:8" x14ac:dyDescent="0.3">
      <c r="A5769" s="400"/>
      <c r="B5769" s="709">
        <v>89855</v>
      </c>
      <c r="C5769" s="710" t="s">
        <v>5058</v>
      </c>
      <c r="D5769" s="709" t="s">
        <v>136</v>
      </c>
      <c r="E5769" s="716">
        <v>132.85</v>
      </c>
      <c r="F5769" s="717">
        <v>0</v>
      </c>
      <c r="G5769">
        <f>VLOOKUP(B5769,'SINAPI-%MO'!B:E,4,0)</f>
        <v>0.15590000000000001</v>
      </c>
      <c r="H5769" s="225">
        <f t="shared" si="89"/>
        <v>112.13</v>
      </c>
    </row>
    <row r="5770" spans="1:8" x14ac:dyDescent="0.3">
      <c r="A5770" s="400"/>
      <c r="B5770" s="709">
        <v>89726</v>
      </c>
      <c r="C5770" s="710" t="s">
        <v>5059</v>
      </c>
      <c r="D5770" s="709" t="s">
        <v>136</v>
      </c>
      <c r="E5770" s="716">
        <v>12.72</v>
      </c>
      <c r="F5770" s="717">
        <v>0</v>
      </c>
      <c r="G5770">
        <f>VLOOKUP(B5770,'SINAPI-%MO'!B:E,4,0)</f>
        <v>0.57310000000000005</v>
      </c>
      <c r="H5770" s="225">
        <f t="shared" si="89"/>
        <v>5.43</v>
      </c>
    </row>
    <row r="5771" spans="1:8" x14ac:dyDescent="0.3">
      <c r="A5771" s="400"/>
      <c r="B5771" s="709">
        <v>89802</v>
      </c>
      <c r="C5771" s="710" t="s">
        <v>5060</v>
      </c>
      <c r="D5771" s="709" t="s">
        <v>136</v>
      </c>
      <c r="E5771" s="716">
        <v>11.91</v>
      </c>
      <c r="F5771" s="717">
        <v>0</v>
      </c>
      <c r="G5771">
        <f>VLOOKUP(B5771,'SINAPI-%MO'!B:E,4,0)</f>
        <v>0.1646</v>
      </c>
      <c r="H5771" s="225">
        <f t="shared" ref="H5771:H5834" si="90">IF(E5771&gt;0,TRUNC(E5771*(1-G5771),2),"")</f>
        <v>9.94</v>
      </c>
    </row>
    <row r="5772" spans="1:8" x14ac:dyDescent="0.3">
      <c r="A5772" s="400"/>
      <c r="B5772" s="709">
        <v>89732</v>
      </c>
      <c r="C5772" s="710" t="s">
        <v>5061</v>
      </c>
      <c r="D5772" s="709" t="s">
        <v>136</v>
      </c>
      <c r="E5772" s="716">
        <v>17.87</v>
      </c>
      <c r="F5772" s="717">
        <v>0</v>
      </c>
      <c r="G5772">
        <f>VLOOKUP(B5772,'SINAPI-%MO'!B:E,4,0)</f>
        <v>0.44319999999999998</v>
      </c>
      <c r="H5772" s="225">
        <f t="shared" si="90"/>
        <v>9.9499999999999993</v>
      </c>
    </row>
    <row r="5773" spans="1:8" x14ac:dyDescent="0.3">
      <c r="A5773" s="400"/>
      <c r="B5773" s="709">
        <v>89806</v>
      </c>
      <c r="C5773" s="710" t="s">
        <v>5062</v>
      </c>
      <c r="D5773" s="709" t="s">
        <v>136</v>
      </c>
      <c r="E5773" s="716">
        <v>25.01</v>
      </c>
      <c r="F5773" s="717">
        <v>0</v>
      </c>
      <c r="G5773">
        <f>VLOOKUP(B5773,'SINAPI-%MO'!B:E,4,0)</f>
        <v>0.28870000000000001</v>
      </c>
      <c r="H5773" s="225">
        <f t="shared" si="90"/>
        <v>17.78</v>
      </c>
    </row>
    <row r="5774" spans="1:8" x14ac:dyDescent="0.3">
      <c r="A5774" s="400"/>
      <c r="B5774" s="709">
        <v>89739</v>
      </c>
      <c r="C5774" s="710" t="s">
        <v>5063</v>
      </c>
      <c r="D5774" s="709" t="s">
        <v>136</v>
      </c>
      <c r="E5774" s="716">
        <v>27.28</v>
      </c>
      <c r="F5774" s="717">
        <v>0</v>
      </c>
      <c r="G5774">
        <f>VLOOKUP(B5774,'SINAPI-%MO'!B:E,4,0)</f>
        <v>0.34789999999999999</v>
      </c>
      <c r="H5774" s="225">
        <f t="shared" si="90"/>
        <v>17.78</v>
      </c>
    </row>
    <row r="5775" spans="1:8" x14ac:dyDescent="0.3">
      <c r="A5775" s="400"/>
      <c r="B5775" s="709">
        <v>89809</v>
      </c>
      <c r="C5775" s="710" t="s">
        <v>5064</v>
      </c>
      <c r="D5775" s="709" t="s">
        <v>136</v>
      </c>
      <c r="E5775" s="716">
        <v>33.17</v>
      </c>
      <c r="F5775" s="717">
        <v>0</v>
      </c>
      <c r="G5775">
        <f>VLOOKUP(B5775,'SINAPI-%MO'!B:E,4,0)</f>
        <v>0.37619999999999998</v>
      </c>
      <c r="H5775" s="225">
        <f t="shared" si="90"/>
        <v>20.69</v>
      </c>
    </row>
    <row r="5776" spans="1:8" x14ac:dyDescent="0.3">
      <c r="A5776" s="400"/>
      <c r="B5776" s="709">
        <v>89744</v>
      </c>
      <c r="C5776" s="710" t="s">
        <v>5065</v>
      </c>
      <c r="D5776" s="709" t="s">
        <v>136</v>
      </c>
      <c r="E5776" s="716">
        <v>31.75</v>
      </c>
      <c r="F5776" s="717">
        <v>0</v>
      </c>
      <c r="G5776">
        <f>VLOOKUP(B5776,'SINAPI-%MO'!B:E,4,0)</f>
        <v>0.3483</v>
      </c>
      <c r="H5776" s="225">
        <f t="shared" si="90"/>
        <v>20.69</v>
      </c>
    </row>
    <row r="5777" spans="1:8" x14ac:dyDescent="0.3">
      <c r="A5777" s="400"/>
      <c r="B5777" s="709">
        <v>89850</v>
      </c>
      <c r="C5777" s="710" t="s">
        <v>5066</v>
      </c>
      <c r="D5777" s="709" t="s">
        <v>136</v>
      </c>
      <c r="E5777" s="716">
        <v>36.630000000000003</v>
      </c>
      <c r="F5777" s="717">
        <v>0</v>
      </c>
      <c r="G5777">
        <f>VLOOKUP(B5777,'SINAPI-%MO'!B:E,4,0)</f>
        <v>0.43519999999999998</v>
      </c>
      <c r="H5777" s="225">
        <f t="shared" si="90"/>
        <v>20.68</v>
      </c>
    </row>
    <row r="5778" spans="1:8" x14ac:dyDescent="0.3">
      <c r="A5778" s="400"/>
      <c r="B5778" s="709">
        <v>89854</v>
      </c>
      <c r="C5778" s="710" t="s">
        <v>5067</v>
      </c>
      <c r="D5778" s="709" t="s">
        <v>136</v>
      </c>
      <c r="E5778" s="716">
        <v>126</v>
      </c>
      <c r="F5778" s="717">
        <v>0</v>
      </c>
      <c r="G5778">
        <f>VLOOKUP(B5778,'SINAPI-%MO'!B:E,4,0)</f>
        <v>0.16439999999999999</v>
      </c>
      <c r="H5778" s="225">
        <f t="shared" si="90"/>
        <v>105.28</v>
      </c>
    </row>
    <row r="5779" spans="1:8" x14ac:dyDescent="0.3">
      <c r="A5779" s="400"/>
      <c r="B5779" s="709">
        <v>89724</v>
      </c>
      <c r="C5779" s="710" t="s">
        <v>5068</v>
      </c>
      <c r="D5779" s="709" t="s">
        <v>136</v>
      </c>
      <c r="E5779" s="716">
        <v>12.42</v>
      </c>
      <c r="F5779" s="717">
        <v>0</v>
      </c>
      <c r="G5779">
        <f>VLOOKUP(B5779,'SINAPI-%MO'!B:E,4,0)</f>
        <v>0.58699999999999997</v>
      </c>
      <c r="H5779" s="225">
        <f t="shared" si="90"/>
        <v>5.12</v>
      </c>
    </row>
    <row r="5780" spans="1:8" x14ac:dyDescent="0.3">
      <c r="A5780" s="400"/>
      <c r="B5780" s="709">
        <v>89801</v>
      </c>
      <c r="C5780" s="710" t="s">
        <v>5069</v>
      </c>
      <c r="D5780" s="709" t="s">
        <v>136</v>
      </c>
      <c r="E5780" s="716">
        <v>10.95</v>
      </c>
      <c r="F5780" s="717">
        <v>0</v>
      </c>
      <c r="G5780">
        <f>VLOOKUP(B5780,'SINAPI-%MO'!B:E,4,0)</f>
        <v>0.17899999999999999</v>
      </c>
      <c r="H5780" s="225">
        <f t="shared" si="90"/>
        <v>8.98</v>
      </c>
    </row>
    <row r="5781" spans="1:8" x14ac:dyDescent="0.3">
      <c r="A5781" s="400"/>
      <c r="B5781" s="709">
        <v>89731</v>
      </c>
      <c r="C5781" s="710" t="s">
        <v>5070</v>
      </c>
      <c r="D5781" s="709" t="s">
        <v>136</v>
      </c>
      <c r="E5781" s="716">
        <v>16.91</v>
      </c>
      <c r="F5781" s="717">
        <v>0</v>
      </c>
      <c r="G5781">
        <f>VLOOKUP(B5781,'SINAPI-%MO'!B:E,4,0)</f>
        <v>0.46839999999999998</v>
      </c>
      <c r="H5781" s="225">
        <f t="shared" si="90"/>
        <v>8.98</v>
      </c>
    </row>
    <row r="5782" spans="1:8" x14ac:dyDescent="0.3">
      <c r="A5782" s="400"/>
      <c r="B5782" s="709">
        <v>89805</v>
      </c>
      <c r="C5782" s="710" t="s">
        <v>5071</v>
      </c>
      <c r="D5782" s="709" t="s">
        <v>136</v>
      </c>
      <c r="E5782" s="716">
        <v>23.73</v>
      </c>
      <c r="F5782" s="717">
        <v>0</v>
      </c>
      <c r="G5782">
        <f>VLOOKUP(B5782,'SINAPI-%MO'!B:E,4,0)</f>
        <v>0.30430000000000001</v>
      </c>
      <c r="H5782" s="225">
        <f t="shared" si="90"/>
        <v>16.5</v>
      </c>
    </row>
    <row r="5783" spans="1:8" x14ac:dyDescent="0.3">
      <c r="A5783" s="400"/>
      <c r="B5783" s="709">
        <v>89737</v>
      </c>
      <c r="C5783" s="710" t="s">
        <v>5072</v>
      </c>
      <c r="D5783" s="709" t="s">
        <v>136</v>
      </c>
      <c r="E5783" s="716">
        <v>26</v>
      </c>
      <c r="F5783" s="717">
        <v>0</v>
      </c>
      <c r="G5783">
        <f>VLOOKUP(B5783,'SINAPI-%MO'!B:E,4,0)</f>
        <v>0.36499999999999999</v>
      </c>
      <c r="H5783" s="225">
        <f t="shared" si="90"/>
        <v>16.510000000000002</v>
      </c>
    </row>
    <row r="5784" spans="1:8" x14ac:dyDescent="0.3">
      <c r="A5784" s="400"/>
      <c r="B5784" s="709">
        <v>104355</v>
      </c>
      <c r="C5784" s="710" t="s">
        <v>5073</v>
      </c>
      <c r="D5784" s="709" t="s">
        <v>136</v>
      </c>
      <c r="E5784" s="716">
        <v>56.96</v>
      </c>
      <c r="F5784" s="717">
        <v>0</v>
      </c>
      <c r="G5784">
        <f>VLOOKUP(B5784,'SINAPI-%MO'!B:E,4,0)</f>
        <v>0.25109999999999999</v>
      </c>
      <c r="H5784" s="225">
        <f t="shared" si="90"/>
        <v>42.65</v>
      </c>
    </row>
    <row r="5785" spans="1:8" x14ac:dyDescent="0.3">
      <c r="A5785" s="400"/>
      <c r="B5785" s="709">
        <v>104347</v>
      </c>
      <c r="C5785" s="710" t="s">
        <v>5074</v>
      </c>
      <c r="D5785" s="709" t="s">
        <v>136</v>
      </c>
      <c r="E5785" s="716">
        <v>56.71</v>
      </c>
      <c r="F5785" s="717">
        <v>0</v>
      </c>
      <c r="G5785">
        <f>VLOOKUP(B5785,'SINAPI-%MO'!B:E,4,0)</f>
        <v>0.24779999999999999</v>
      </c>
      <c r="H5785" s="225">
        <f t="shared" si="90"/>
        <v>42.65</v>
      </c>
    </row>
    <row r="5786" spans="1:8" x14ac:dyDescent="0.3">
      <c r="A5786" s="400"/>
      <c r="B5786" s="709">
        <v>104353</v>
      </c>
      <c r="C5786" s="710" t="s">
        <v>5075</v>
      </c>
      <c r="D5786" s="709" t="s">
        <v>136</v>
      </c>
      <c r="E5786" s="716">
        <v>49.33</v>
      </c>
      <c r="F5786" s="717">
        <v>0</v>
      </c>
      <c r="G5786">
        <f>VLOOKUP(B5786,'SINAPI-%MO'!B:E,4,0)</f>
        <v>0.2427</v>
      </c>
      <c r="H5786" s="225">
        <f t="shared" si="90"/>
        <v>37.35</v>
      </c>
    </row>
    <row r="5787" spans="1:8" x14ac:dyDescent="0.3">
      <c r="A5787" s="400"/>
      <c r="B5787" s="709">
        <v>104345</v>
      </c>
      <c r="C5787" s="710" t="s">
        <v>5076</v>
      </c>
      <c r="D5787" s="709" t="s">
        <v>136</v>
      </c>
      <c r="E5787" s="716">
        <v>50.72</v>
      </c>
      <c r="F5787" s="717">
        <v>0</v>
      </c>
      <c r="G5787">
        <f>VLOOKUP(B5787,'SINAPI-%MO'!B:E,4,0)</f>
        <v>0.26340000000000002</v>
      </c>
      <c r="H5787" s="225">
        <f t="shared" si="90"/>
        <v>37.36</v>
      </c>
    </row>
    <row r="5788" spans="1:8" x14ac:dyDescent="0.3">
      <c r="A5788" s="400"/>
      <c r="B5788" s="709">
        <v>104350</v>
      </c>
      <c r="C5788" s="710" t="s">
        <v>5077</v>
      </c>
      <c r="D5788" s="709" t="s">
        <v>136</v>
      </c>
      <c r="E5788" s="716">
        <v>35.08</v>
      </c>
      <c r="F5788" s="717">
        <v>0</v>
      </c>
      <c r="G5788">
        <f>VLOOKUP(B5788,'SINAPI-%MO'!B:E,4,0)</f>
        <v>0.20780000000000001</v>
      </c>
      <c r="H5788" s="225">
        <f t="shared" si="90"/>
        <v>27.79</v>
      </c>
    </row>
    <row r="5789" spans="1:8" x14ac:dyDescent="0.3">
      <c r="A5789" s="400"/>
      <c r="B5789" s="709">
        <v>104343</v>
      </c>
      <c r="C5789" s="710" t="s">
        <v>5078</v>
      </c>
      <c r="D5789" s="709" t="s">
        <v>136</v>
      </c>
      <c r="E5789" s="716">
        <v>39.75</v>
      </c>
      <c r="F5789" s="717">
        <v>0</v>
      </c>
      <c r="G5789">
        <f>VLOOKUP(B5789,'SINAPI-%MO'!B:E,4,0)</f>
        <v>0.3009</v>
      </c>
      <c r="H5789" s="225">
        <f t="shared" si="90"/>
        <v>27.78</v>
      </c>
    </row>
    <row r="5790" spans="1:8" x14ac:dyDescent="0.3">
      <c r="A5790" s="400"/>
      <c r="B5790" s="709">
        <v>89834</v>
      </c>
      <c r="C5790" s="710" t="s">
        <v>5079</v>
      </c>
      <c r="D5790" s="709" t="s">
        <v>136</v>
      </c>
      <c r="E5790" s="716">
        <v>62.9</v>
      </c>
      <c r="F5790" s="717">
        <v>0</v>
      </c>
      <c r="G5790">
        <f>VLOOKUP(B5790,'SINAPI-%MO'!B:E,4,0)</f>
        <v>0.26440000000000002</v>
      </c>
      <c r="H5790" s="225">
        <f t="shared" si="90"/>
        <v>46.26</v>
      </c>
    </row>
    <row r="5791" spans="1:8" x14ac:dyDescent="0.3">
      <c r="A5791" s="400"/>
      <c r="B5791" s="709">
        <v>89797</v>
      </c>
      <c r="C5791" s="710" t="s">
        <v>5080</v>
      </c>
      <c r="D5791" s="709" t="s">
        <v>136</v>
      </c>
      <c r="E5791" s="716">
        <v>61.03</v>
      </c>
      <c r="F5791" s="717">
        <v>0</v>
      </c>
      <c r="G5791">
        <f>VLOOKUP(B5791,'SINAPI-%MO'!B:E,4,0)</f>
        <v>0.24179999999999999</v>
      </c>
      <c r="H5791" s="225">
        <f t="shared" si="90"/>
        <v>46.27</v>
      </c>
    </row>
    <row r="5792" spans="1:8" x14ac:dyDescent="0.3">
      <c r="A5792" s="400"/>
      <c r="B5792" s="709">
        <v>89861</v>
      </c>
      <c r="C5792" s="710" t="s">
        <v>5081</v>
      </c>
      <c r="D5792" s="709" t="s">
        <v>136</v>
      </c>
      <c r="E5792" s="716">
        <v>67.52</v>
      </c>
      <c r="F5792" s="717">
        <v>0</v>
      </c>
      <c r="G5792">
        <f>VLOOKUP(B5792,'SINAPI-%MO'!B:E,4,0)</f>
        <v>0.31469999999999998</v>
      </c>
      <c r="H5792" s="225">
        <f t="shared" si="90"/>
        <v>46.27</v>
      </c>
    </row>
    <row r="5793" spans="1:8" x14ac:dyDescent="0.3">
      <c r="A5793" s="400"/>
      <c r="B5793" s="709">
        <v>89783</v>
      </c>
      <c r="C5793" s="710" t="s">
        <v>5082</v>
      </c>
      <c r="D5793" s="709" t="s">
        <v>136</v>
      </c>
      <c r="E5793" s="716">
        <v>18.25</v>
      </c>
      <c r="F5793" s="717">
        <v>0</v>
      </c>
      <c r="G5793">
        <f>VLOOKUP(B5793,'SINAPI-%MO'!B:E,4,0)</f>
        <v>0.53320000000000001</v>
      </c>
      <c r="H5793" s="225">
        <f t="shared" si="90"/>
        <v>8.51</v>
      </c>
    </row>
    <row r="5794" spans="1:8" x14ac:dyDescent="0.3">
      <c r="A5794" s="400"/>
      <c r="B5794" s="709">
        <v>89827</v>
      </c>
      <c r="C5794" s="710" t="s">
        <v>5083</v>
      </c>
      <c r="D5794" s="709" t="s">
        <v>136</v>
      </c>
      <c r="E5794" s="716">
        <v>23.06</v>
      </c>
      <c r="F5794" s="717">
        <v>0</v>
      </c>
      <c r="G5794">
        <f>VLOOKUP(B5794,'SINAPI-%MO'!B:E,4,0)</f>
        <v>0.11360000000000001</v>
      </c>
      <c r="H5794" s="225">
        <f t="shared" si="90"/>
        <v>20.440000000000001</v>
      </c>
    </row>
    <row r="5795" spans="1:8" x14ac:dyDescent="0.3">
      <c r="A5795" s="400"/>
      <c r="B5795" s="709">
        <v>89785</v>
      </c>
      <c r="C5795" s="710" t="s">
        <v>5084</v>
      </c>
      <c r="D5795" s="709" t="s">
        <v>136</v>
      </c>
      <c r="E5795" s="716">
        <v>31.01</v>
      </c>
      <c r="F5795" s="717">
        <v>0</v>
      </c>
      <c r="G5795">
        <f>VLOOKUP(B5795,'SINAPI-%MO'!B:E,4,0)</f>
        <v>0.34089999999999998</v>
      </c>
      <c r="H5795" s="225">
        <f t="shared" si="90"/>
        <v>20.43</v>
      </c>
    </row>
    <row r="5796" spans="1:8" x14ac:dyDescent="0.3">
      <c r="A5796" s="400"/>
      <c r="B5796" s="709">
        <v>89830</v>
      </c>
      <c r="C5796" s="710" t="s">
        <v>5085</v>
      </c>
      <c r="D5796" s="709" t="s">
        <v>136</v>
      </c>
      <c r="E5796" s="716">
        <v>45.25</v>
      </c>
      <c r="F5796" s="717">
        <v>0</v>
      </c>
      <c r="G5796">
        <f>VLOOKUP(B5796,'SINAPI-%MO'!B:E,4,0)</f>
        <v>0.21279999999999999</v>
      </c>
      <c r="H5796" s="225">
        <f t="shared" si="90"/>
        <v>35.619999999999997</v>
      </c>
    </row>
    <row r="5797" spans="1:8" x14ac:dyDescent="0.3">
      <c r="A5797" s="400"/>
      <c r="B5797" s="709">
        <v>89795</v>
      </c>
      <c r="C5797" s="710" t="s">
        <v>5086</v>
      </c>
      <c r="D5797" s="709" t="s">
        <v>136</v>
      </c>
      <c r="E5797" s="716">
        <v>48.27</v>
      </c>
      <c r="F5797" s="717">
        <v>0</v>
      </c>
      <c r="G5797">
        <f>VLOOKUP(B5797,'SINAPI-%MO'!B:E,4,0)</f>
        <v>0.2621</v>
      </c>
      <c r="H5797" s="225">
        <f t="shared" si="90"/>
        <v>35.61</v>
      </c>
    </row>
    <row r="5798" spans="1:8" x14ac:dyDescent="0.3">
      <c r="A5798" s="400"/>
      <c r="B5798" s="709">
        <v>89823</v>
      </c>
      <c r="C5798" s="710" t="s">
        <v>5087</v>
      </c>
      <c r="D5798" s="709" t="s">
        <v>136</v>
      </c>
      <c r="E5798" s="716">
        <v>42.36</v>
      </c>
      <c r="F5798" s="717">
        <v>0</v>
      </c>
      <c r="G5798">
        <f>VLOOKUP(B5798,'SINAPI-%MO'!B:E,4,0)</f>
        <v>0.19620000000000001</v>
      </c>
      <c r="H5798" s="225">
        <f t="shared" si="90"/>
        <v>34.04</v>
      </c>
    </row>
    <row r="5799" spans="1:8" x14ac:dyDescent="0.3">
      <c r="A5799" s="400"/>
      <c r="B5799" s="709">
        <v>89779</v>
      </c>
      <c r="C5799" s="710" t="s">
        <v>5088</v>
      </c>
      <c r="D5799" s="709" t="s">
        <v>136</v>
      </c>
      <c r="E5799" s="716">
        <v>41.42</v>
      </c>
      <c r="F5799" s="717">
        <v>0</v>
      </c>
      <c r="G5799">
        <f>VLOOKUP(B5799,'SINAPI-%MO'!B:E,4,0)</f>
        <v>0.1779</v>
      </c>
      <c r="H5799" s="225">
        <f t="shared" si="90"/>
        <v>34.049999999999997</v>
      </c>
    </row>
    <row r="5800" spans="1:8" x14ac:dyDescent="0.3">
      <c r="A5800" s="400"/>
      <c r="B5800" s="709">
        <v>89857</v>
      </c>
      <c r="C5800" s="710" t="s">
        <v>5089</v>
      </c>
      <c r="D5800" s="709" t="s">
        <v>136</v>
      </c>
      <c r="E5800" s="716">
        <v>44.67</v>
      </c>
      <c r="F5800" s="717">
        <v>0</v>
      </c>
      <c r="G5800">
        <f>VLOOKUP(B5800,'SINAPI-%MO'!B:E,4,0)</f>
        <v>0.23769999999999999</v>
      </c>
      <c r="H5800" s="225">
        <f t="shared" si="90"/>
        <v>34.049999999999997</v>
      </c>
    </row>
    <row r="5801" spans="1:8" x14ac:dyDescent="0.3">
      <c r="A5801" s="400"/>
      <c r="B5801" s="709">
        <v>89814</v>
      </c>
      <c r="C5801" s="710" t="s">
        <v>5090</v>
      </c>
      <c r="D5801" s="709" t="s">
        <v>136</v>
      </c>
      <c r="E5801" s="716">
        <v>21.09</v>
      </c>
      <c r="F5801" s="717">
        <v>0</v>
      </c>
      <c r="G5801">
        <f>VLOOKUP(B5801,'SINAPI-%MO'!B:E,4,0)</f>
        <v>6.2100000000000002E-2</v>
      </c>
      <c r="H5801" s="225">
        <f t="shared" si="90"/>
        <v>19.78</v>
      </c>
    </row>
    <row r="5802" spans="1:8" x14ac:dyDescent="0.3">
      <c r="A5802" s="400"/>
      <c r="B5802" s="709">
        <v>89754</v>
      </c>
      <c r="C5802" s="710" t="s">
        <v>5091</v>
      </c>
      <c r="D5802" s="709" t="s">
        <v>136</v>
      </c>
      <c r="E5802" s="716">
        <v>25.05</v>
      </c>
      <c r="F5802" s="717">
        <v>0</v>
      </c>
      <c r="G5802">
        <f>VLOOKUP(B5802,'SINAPI-%MO'!B:E,4,0)</f>
        <v>0.2104</v>
      </c>
      <c r="H5802" s="225">
        <f t="shared" si="90"/>
        <v>19.77</v>
      </c>
    </row>
    <row r="5803" spans="1:8" x14ac:dyDescent="0.3">
      <c r="A5803" s="400"/>
      <c r="B5803" s="709">
        <v>89819</v>
      </c>
      <c r="C5803" s="710" t="s">
        <v>5092</v>
      </c>
      <c r="D5803" s="709" t="s">
        <v>136</v>
      </c>
      <c r="E5803" s="716">
        <v>28.62</v>
      </c>
      <c r="F5803" s="717">
        <v>0</v>
      </c>
      <c r="G5803">
        <f>VLOOKUP(B5803,'SINAPI-%MO'!B:E,4,0)</f>
        <v>0.1681</v>
      </c>
      <c r="H5803" s="225">
        <f t="shared" si="90"/>
        <v>23.8</v>
      </c>
    </row>
    <row r="5804" spans="1:8" x14ac:dyDescent="0.3">
      <c r="A5804" s="400"/>
      <c r="B5804" s="709">
        <v>89776</v>
      </c>
      <c r="C5804" s="710" t="s">
        <v>5093</v>
      </c>
      <c r="D5804" s="709" t="s">
        <v>136</v>
      </c>
      <c r="E5804" s="716">
        <v>30.13</v>
      </c>
      <c r="F5804" s="717">
        <v>0</v>
      </c>
      <c r="G5804">
        <f>VLOOKUP(B5804,'SINAPI-%MO'!B:E,4,0)</f>
        <v>0.20979999999999999</v>
      </c>
      <c r="H5804" s="225">
        <f t="shared" si="90"/>
        <v>23.8</v>
      </c>
    </row>
    <row r="5805" spans="1:8" x14ac:dyDescent="0.3">
      <c r="A5805" s="400"/>
      <c r="B5805" s="709">
        <v>89821</v>
      </c>
      <c r="C5805" s="710" t="s">
        <v>5094</v>
      </c>
      <c r="D5805" s="709" t="s">
        <v>136</v>
      </c>
      <c r="E5805" s="716">
        <v>23.06</v>
      </c>
      <c r="F5805" s="717">
        <v>0</v>
      </c>
      <c r="G5805">
        <f>VLOOKUP(B5805,'SINAPI-%MO'!B:E,4,0)</f>
        <v>0.3604</v>
      </c>
      <c r="H5805" s="225">
        <f t="shared" si="90"/>
        <v>14.74</v>
      </c>
    </row>
    <row r="5806" spans="1:8" x14ac:dyDescent="0.3">
      <c r="A5806" s="400"/>
      <c r="B5806" s="709">
        <v>89778</v>
      </c>
      <c r="C5806" s="710" t="s">
        <v>5095</v>
      </c>
      <c r="D5806" s="709" t="s">
        <v>136</v>
      </c>
      <c r="E5806" s="716">
        <v>22.12</v>
      </c>
      <c r="F5806" s="717">
        <v>0</v>
      </c>
      <c r="G5806">
        <f>VLOOKUP(B5806,'SINAPI-%MO'!B:E,4,0)</f>
        <v>0.3332</v>
      </c>
      <c r="H5806" s="225">
        <f t="shared" si="90"/>
        <v>14.74</v>
      </c>
    </row>
    <row r="5807" spans="1:8" x14ac:dyDescent="0.3">
      <c r="A5807" s="400"/>
      <c r="B5807" s="709">
        <v>89856</v>
      </c>
      <c r="C5807" s="710" t="s">
        <v>5096</v>
      </c>
      <c r="D5807" s="709" t="s">
        <v>136</v>
      </c>
      <c r="E5807" s="716">
        <v>25.37</v>
      </c>
      <c r="F5807" s="717">
        <v>0</v>
      </c>
      <c r="G5807">
        <f>VLOOKUP(B5807,'SINAPI-%MO'!B:E,4,0)</f>
        <v>0.41860000000000003</v>
      </c>
      <c r="H5807" s="225">
        <f t="shared" si="90"/>
        <v>14.75</v>
      </c>
    </row>
    <row r="5808" spans="1:8" x14ac:dyDescent="0.3">
      <c r="A5808" s="400"/>
      <c r="B5808" s="709">
        <v>89752</v>
      </c>
      <c r="C5808" s="710" t="s">
        <v>5097</v>
      </c>
      <c r="D5808" s="709" t="s">
        <v>136</v>
      </c>
      <c r="E5808" s="716">
        <v>9.31</v>
      </c>
      <c r="F5808" s="717">
        <v>0</v>
      </c>
      <c r="G5808">
        <f>VLOOKUP(B5808,'SINAPI-%MO'!B:E,4,0)</f>
        <v>0.52090000000000003</v>
      </c>
      <c r="H5808" s="225">
        <f t="shared" si="90"/>
        <v>4.46</v>
      </c>
    </row>
    <row r="5809" spans="1:8" x14ac:dyDescent="0.3">
      <c r="A5809" s="400"/>
      <c r="B5809" s="709">
        <v>89813</v>
      </c>
      <c r="C5809" s="710" t="s">
        <v>5098</v>
      </c>
      <c r="D5809" s="709" t="s">
        <v>136</v>
      </c>
      <c r="E5809" s="716">
        <v>7.39</v>
      </c>
      <c r="F5809" s="717">
        <v>0</v>
      </c>
      <c r="G5809">
        <f>VLOOKUP(B5809,'SINAPI-%MO'!B:E,4,0)</f>
        <v>0.17730000000000001</v>
      </c>
      <c r="H5809" s="225">
        <f t="shared" si="90"/>
        <v>6.07</v>
      </c>
    </row>
    <row r="5810" spans="1:8" x14ac:dyDescent="0.3">
      <c r="A5810" s="400"/>
      <c r="B5810" s="709">
        <v>89753</v>
      </c>
      <c r="C5810" s="710" t="s">
        <v>5099</v>
      </c>
      <c r="D5810" s="709" t="s">
        <v>136</v>
      </c>
      <c r="E5810" s="716">
        <v>11.43</v>
      </c>
      <c r="F5810" s="717">
        <v>0</v>
      </c>
      <c r="G5810">
        <f>VLOOKUP(B5810,'SINAPI-%MO'!B:E,4,0)</f>
        <v>0.46110000000000001</v>
      </c>
      <c r="H5810" s="225">
        <f t="shared" si="90"/>
        <v>6.15</v>
      </c>
    </row>
    <row r="5811" spans="1:8" x14ac:dyDescent="0.3">
      <c r="A5811" s="400"/>
      <c r="B5811" s="709">
        <v>89817</v>
      </c>
      <c r="C5811" s="710" t="s">
        <v>5100</v>
      </c>
      <c r="D5811" s="709" t="s">
        <v>136</v>
      </c>
      <c r="E5811" s="716">
        <v>17.75</v>
      </c>
      <c r="F5811" s="717">
        <v>0</v>
      </c>
      <c r="G5811">
        <f>VLOOKUP(B5811,'SINAPI-%MO'!B:E,4,0)</f>
        <v>0.27100000000000002</v>
      </c>
      <c r="H5811" s="225">
        <f t="shared" si="90"/>
        <v>12.93</v>
      </c>
    </row>
    <row r="5812" spans="1:8" x14ac:dyDescent="0.3">
      <c r="A5812" s="400"/>
      <c r="B5812" s="709">
        <v>89774</v>
      </c>
      <c r="C5812" s="710" t="s">
        <v>5101</v>
      </c>
      <c r="D5812" s="709" t="s">
        <v>136</v>
      </c>
      <c r="E5812" s="716">
        <v>19.29</v>
      </c>
      <c r="F5812" s="717">
        <v>0</v>
      </c>
      <c r="G5812">
        <f>VLOOKUP(B5812,'SINAPI-%MO'!B:E,4,0)</f>
        <v>0.3276</v>
      </c>
      <c r="H5812" s="225">
        <f t="shared" si="90"/>
        <v>12.97</v>
      </c>
    </row>
    <row r="5813" spans="1:8" x14ac:dyDescent="0.3">
      <c r="A5813" s="400"/>
      <c r="B5813" s="709">
        <v>95693</v>
      </c>
      <c r="C5813" s="710" t="s">
        <v>5102</v>
      </c>
      <c r="D5813" s="709" t="s">
        <v>136</v>
      </c>
      <c r="E5813" s="716">
        <v>64.66</v>
      </c>
      <c r="F5813" s="717">
        <v>0</v>
      </c>
      <c r="G5813">
        <f>VLOOKUP(B5813,'SINAPI-%MO'!B:E,4,0)</f>
        <v>0.21360000000000001</v>
      </c>
      <c r="H5813" s="225">
        <f t="shared" si="90"/>
        <v>50.84</v>
      </c>
    </row>
    <row r="5814" spans="1:8" x14ac:dyDescent="0.3">
      <c r="A5814" s="400"/>
      <c r="B5814" s="709">
        <v>89833</v>
      </c>
      <c r="C5814" s="710" t="s">
        <v>5103</v>
      </c>
      <c r="D5814" s="709" t="s">
        <v>136</v>
      </c>
      <c r="E5814" s="716">
        <v>52.33</v>
      </c>
      <c r="F5814" s="717">
        <v>0</v>
      </c>
      <c r="G5814">
        <f>VLOOKUP(B5814,'SINAPI-%MO'!B:E,4,0)</f>
        <v>0.31780000000000003</v>
      </c>
      <c r="H5814" s="225">
        <f t="shared" si="90"/>
        <v>35.69</v>
      </c>
    </row>
    <row r="5815" spans="1:8" x14ac:dyDescent="0.3">
      <c r="A5815" s="400"/>
      <c r="B5815" s="709">
        <v>89796</v>
      </c>
      <c r="C5815" s="710" t="s">
        <v>5104</v>
      </c>
      <c r="D5815" s="709" t="s">
        <v>136</v>
      </c>
      <c r="E5815" s="716">
        <v>50.46</v>
      </c>
      <c r="F5815" s="717">
        <v>0</v>
      </c>
      <c r="G5815">
        <f>VLOOKUP(B5815,'SINAPI-%MO'!B:E,4,0)</f>
        <v>0.29249999999999998</v>
      </c>
      <c r="H5815" s="225">
        <f t="shared" si="90"/>
        <v>35.700000000000003</v>
      </c>
    </row>
    <row r="5816" spans="1:8" x14ac:dyDescent="0.3">
      <c r="A5816" s="400"/>
      <c r="B5816" s="709">
        <v>89860</v>
      </c>
      <c r="C5816" s="710" t="s">
        <v>5105</v>
      </c>
      <c r="D5816" s="709" t="s">
        <v>136</v>
      </c>
      <c r="E5816" s="716">
        <v>56.95</v>
      </c>
      <c r="F5816" s="717">
        <v>0</v>
      </c>
      <c r="G5816">
        <f>VLOOKUP(B5816,'SINAPI-%MO'!B:E,4,0)</f>
        <v>0.37309999999999999</v>
      </c>
      <c r="H5816" s="225">
        <f t="shared" si="90"/>
        <v>35.700000000000003</v>
      </c>
    </row>
    <row r="5817" spans="1:8" x14ac:dyDescent="0.3">
      <c r="A5817" s="400"/>
      <c r="B5817" s="709">
        <v>89782</v>
      </c>
      <c r="C5817" s="710" t="s">
        <v>5106</v>
      </c>
      <c r="D5817" s="709" t="s">
        <v>136</v>
      </c>
      <c r="E5817" s="716">
        <v>18.12</v>
      </c>
      <c r="F5817" s="717">
        <v>0</v>
      </c>
      <c r="G5817">
        <f>VLOOKUP(B5817,'SINAPI-%MO'!B:E,4,0)</f>
        <v>0.53700000000000003</v>
      </c>
      <c r="H5817" s="225">
        <f t="shared" si="90"/>
        <v>8.3800000000000008</v>
      </c>
    </row>
    <row r="5818" spans="1:8" x14ac:dyDescent="0.3">
      <c r="A5818" s="400"/>
      <c r="B5818" s="709">
        <v>89825</v>
      </c>
      <c r="C5818" s="710" t="s">
        <v>5107</v>
      </c>
      <c r="D5818" s="709" t="s">
        <v>136</v>
      </c>
      <c r="E5818" s="716">
        <v>19.97</v>
      </c>
      <c r="F5818" s="717">
        <v>0</v>
      </c>
      <c r="G5818">
        <f>VLOOKUP(B5818,'SINAPI-%MO'!B:E,4,0)</f>
        <v>0.13120000000000001</v>
      </c>
      <c r="H5818" s="225">
        <f t="shared" si="90"/>
        <v>17.34</v>
      </c>
    </row>
    <row r="5819" spans="1:8" x14ac:dyDescent="0.3">
      <c r="A5819" s="400"/>
      <c r="B5819" s="709">
        <v>89784</v>
      </c>
      <c r="C5819" s="710" t="s">
        <v>5108</v>
      </c>
      <c r="D5819" s="709" t="s">
        <v>136</v>
      </c>
      <c r="E5819" s="716">
        <v>27.92</v>
      </c>
      <c r="F5819" s="717">
        <v>0</v>
      </c>
      <c r="G5819">
        <f>VLOOKUP(B5819,'SINAPI-%MO'!B:E,4,0)</f>
        <v>0.37859999999999999</v>
      </c>
      <c r="H5819" s="225">
        <f t="shared" si="90"/>
        <v>17.34</v>
      </c>
    </row>
    <row r="5820" spans="1:8" x14ac:dyDescent="0.3">
      <c r="A5820" s="400"/>
      <c r="B5820" s="709">
        <v>89829</v>
      </c>
      <c r="C5820" s="710" t="s">
        <v>5109</v>
      </c>
      <c r="D5820" s="709" t="s">
        <v>136</v>
      </c>
      <c r="E5820" s="716">
        <v>42.52</v>
      </c>
      <c r="F5820" s="717">
        <v>0</v>
      </c>
      <c r="G5820">
        <f>VLOOKUP(B5820,'SINAPI-%MO'!B:E,4,0)</f>
        <v>0.22650000000000001</v>
      </c>
      <c r="H5820" s="225">
        <f t="shared" si="90"/>
        <v>32.880000000000003</v>
      </c>
    </row>
    <row r="5821" spans="1:8" x14ac:dyDescent="0.3">
      <c r="A5821" s="400"/>
      <c r="B5821" s="709">
        <v>89786</v>
      </c>
      <c r="C5821" s="710" t="s">
        <v>5110</v>
      </c>
      <c r="D5821" s="709" t="s">
        <v>136</v>
      </c>
      <c r="E5821" s="716">
        <v>45.54</v>
      </c>
      <c r="F5821" s="717">
        <v>0</v>
      </c>
      <c r="G5821">
        <f>VLOOKUP(B5821,'SINAPI-%MO'!B:E,4,0)</f>
        <v>0.27779999999999999</v>
      </c>
      <c r="H5821" s="225">
        <f t="shared" si="90"/>
        <v>32.880000000000003</v>
      </c>
    </row>
    <row r="5822" spans="1:8" x14ac:dyDescent="0.3">
      <c r="A5822" s="400"/>
      <c r="B5822" s="709">
        <v>104352</v>
      </c>
      <c r="C5822" s="710" t="s">
        <v>5111</v>
      </c>
      <c r="D5822" s="709" t="s">
        <v>136</v>
      </c>
      <c r="E5822" s="716">
        <v>46.6</v>
      </c>
      <c r="F5822" s="717">
        <v>0</v>
      </c>
      <c r="G5822">
        <f>VLOOKUP(B5822,'SINAPI-%MO'!B:E,4,0)</f>
        <v>0.25690000000000002</v>
      </c>
      <c r="H5822" s="225">
        <f t="shared" si="90"/>
        <v>34.619999999999997</v>
      </c>
    </row>
    <row r="5823" spans="1:8" x14ac:dyDescent="0.3">
      <c r="A5823" s="400"/>
      <c r="B5823" s="709">
        <v>104344</v>
      </c>
      <c r="C5823" s="710" t="s">
        <v>5112</v>
      </c>
      <c r="D5823" s="709" t="s">
        <v>136</v>
      </c>
      <c r="E5823" s="716">
        <v>47.99</v>
      </c>
      <c r="F5823" s="717">
        <v>0</v>
      </c>
      <c r="G5823">
        <f>VLOOKUP(B5823,'SINAPI-%MO'!B:E,4,0)</f>
        <v>0.27839999999999998</v>
      </c>
      <c r="H5823" s="225">
        <f t="shared" si="90"/>
        <v>34.619999999999997</v>
      </c>
    </row>
    <row r="5824" spans="1:8" x14ac:dyDescent="0.3">
      <c r="A5824" s="400"/>
      <c r="B5824" s="709">
        <v>104354</v>
      </c>
      <c r="C5824" s="710" t="s">
        <v>5113</v>
      </c>
      <c r="D5824" s="709" t="s">
        <v>136</v>
      </c>
      <c r="E5824" s="716">
        <v>53.45</v>
      </c>
      <c r="F5824" s="717">
        <v>0</v>
      </c>
      <c r="G5824">
        <f>VLOOKUP(B5824,'SINAPI-%MO'!B:E,4,0)</f>
        <v>0.26750000000000002</v>
      </c>
      <c r="H5824" s="225">
        <f t="shared" si="90"/>
        <v>39.15</v>
      </c>
    </row>
    <row r="5825" spans="1:8" x14ac:dyDescent="0.3">
      <c r="A5825" s="400"/>
      <c r="B5825" s="709">
        <v>104346</v>
      </c>
      <c r="C5825" s="710" t="s">
        <v>5114</v>
      </c>
      <c r="D5825" s="709" t="s">
        <v>136</v>
      </c>
      <c r="E5825" s="716">
        <v>53.2</v>
      </c>
      <c r="F5825" s="717">
        <v>0</v>
      </c>
      <c r="G5825">
        <f>VLOOKUP(B5825,'SINAPI-%MO'!B:E,4,0)</f>
        <v>0.2641</v>
      </c>
      <c r="H5825" s="225">
        <f t="shared" si="90"/>
        <v>39.14</v>
      </c>
    </row>
    <row r="5826" spans="1:8" x14ac:dyDescent="0.3">
      <c r="A5826" s="400"/>
      <c r="B5826" s="709">
        <v>104356</v>
      </c>
      <c r="C5826" s="710" t="s">
        <v>5115</v>
      </c>
      <c r="D5826" s="709" t="s">
        <v>136</v>
      </c>
      <c r="E5826" s="716">
        <v>39.15</v>
      </c>
      <c r="F5826" s="717">
        <v>0</v>
      </c>
      <c r="G5826">
        <f>VLOOKUP(B5826,'SINAPI-%MO'!B:E,4,0)</f>
        <v>0.106</v>
      </c>
      <c r="H5826" s="225">
        <f t="shared" si="90"/>
        <v>35</v>
      </c>
    </row>
    <row r="5827" spans="1:8" x14ac:dyDescent="0.3">
      <c r="A5827" s="400"/>
      <c r="B5827" s="709">
        <v>104348</v>
      </c>
      <c r="C5827" s="710" t="s">
        <v>5116</v>
      </c>
      <c r="D5827" s="709" t="s">
        <v>136</v>
      </c>
      <c r="E5827" s="716">
        <v>14.4</v>
      </c>
      <c r="F5827" s="717">
        <v>0</v>
      </c>
      <c r="G5827">
        <f>VLOOKUP(B5827,'SINAPI-%MO'!B:E,4,0)</f>
        <v>4.5100000000000001E-2</v>
      </c>
      <c r="H5827" s="225">
        <f t="shared" si="90"/>
        <v>13.75</v>
      </c>
    </row>
    <row r="5828" spans="1:8" x14ac:dyDescent="0.3">
      <c r="A5828" s="400"/>
      <c r="B5828" s="709">
        <v>104351</v>
      </c>
      <c r="C5828" s="710" t="s">
        <v>5117</v>
      </c>
      <c r="D5828" s="709" t="s">
        <v>136</v>
      </c>
      <c r="E5828" s="716">
        <v>29.61</v>
      </c>
      <c r="F5828" s="717">
        <v>0</v>
      </c>
      <c r="G5828">
        <f>VLOOKUP(B5828,'SINAPI-%MO'!B:E,4,0)</f>
        <v>8.1100000000000005E-2</v>
      </c>
      <c r="H5828" s="225">
        <f t="shared" si="90"/>
        <v>27.2</v>
      </c>
    </row>
    <row r="5829" spans="1:8" x14ac:dyDescent="0.3">
      <c r="A5829" s="400"/>
      <c r="B5829" s="709">
        <v>89800</v>
      </c>
      <c r="C5829" s="710" t="s">
        <v>5118</v>
      </c>
      <c r="D5829" s="709" t="s">
        <v>159</v>
      </c>
      <c r="E5829" s="716">
        <v>35.85</v>
      </c>
      <c r="F5829" s="717">
        <v>0</v>
      </c>
      <c r="G5829">
        <f>VLOOKUP(B5829,'SINAPI-%MO'!B:E,4,0)</f>
        <v>0.42180000000000001</v>
      </c>
      <c r="H5829" s="225">
        <f t="shared" si="90"/>
        <v>20.72</v>
      </c>
    </row>
    <row r="5830" spans="1:8" x14ac:dyDescent="0.3">
      <c r="A5830" s="400"/>
      <c r="B5830" s="709">
        <v>89714</v>
      </c>
      <c r="C5830" s="710" t="s">
        <v>5119</v>
      </c>
      <c r="D5830" s="709" t="s">
        <v>159</v>
      </c>
      <c r="E5830" s="716">
        <v>46.29</v>
      </c>
      <c r="F5830" s="717">
        <v>0</v>
      </c>
      <c r="G5830">
        <f>VLOOKUP(B5830,'SINAPI-%MO'!B:E,4,0)</f>
        <v>0.55169999999999997</v>
      </c>
      <c r="H5830" s="225">
        <f t="shared" si="90"/>
        <v>20.75</v>
      </c>
    </row>
    <row r="5831" spans="1:8" x14ac:dyDescent="0.3">
      <c r="A5831" s="400"/>
      <c r="B5831" s="709">
        <v>89848</v>
      </c>
      <c r="C5831" s="710" t="s">
        <v>5120</v>
      </c>
      <c r="D5831" s="709" t="s">
        <v>159</v>
      </c>
      <c r="E5831" s="716">
        <v>34.5</v>
      </c>
      <c r="F5831" s="717">
        <v>0</v>
      </c>
      <c r="G5831">
        <f>VLOOKUP(B5831,'SINAPI-%MO'!B:E,4,0)</f>
        <v>0.39910000000000001</v>
      </c>
      <c r="H5831" s="225">
        <f t="shared" si="90"/>
        <v>20.73</v>
      </c>
    </row>
    <row r="5832" spans="1:8" x14ac:dyDescent="0.3">
      <c r="A5832" s="400"/>
      <c r="B5832" s="709">
        <v>89849</v>
      </c>
      <c r="C5832" s="710" t="s">
        <v>5121</v>
      </c>
      <c r="D5832" s="709" t="s">
        <v>159</v>
      </c>
      <c r="E5832" s="716">
        <v>72.05</v>
      </c>
      <c r="F5832" s="717">
        <v>0</v>
      </c>
      <c r="G5832">
        <f>VLOOKUP(B5832,'SINAPI-%MO'!B:E,4,0)</f>
        <v>0.24829999999999999</v>
      </c>
      <c r="H5832" s="225">
        <f t="shared" si="90"/>
        <v>54.15</v>
      </c>
    </row>
    <row r="5833" spans="1:8" x14ac:dyDescent="0.3">
      <c r="A5833" s="400"/>
      <c r="B5833" s="709">
        <v>89711</v>
      </c>
      <c r="C5833" s="710" t="s">
        <v>5122</v>
      </c>
      <c r="D5833" s="709" t="s">
        <v>159</v>
      </c>
      <c r="E5833" s="716">
        <v>25.92</v>
      </c>
      <c r="F5833" s="717">
        <v>0</v>
      </c>
      <c r="G5833">
        <f>VLOOKUP(B5833,'SINAPI-%MO'!B:E,4,0)</f>
        <v>0.64970000000000006</v>
      </c>
      <c r="H5833" s="225">
        <f t="shared" si="90"/>
        <v>9.07</v>
      </c>
    </row>
    <row r="5834" spans="1:8" x14ac:dyDescent="0.3">
      <c r="A5834" s="400"/>
      <c r="B5834" s="709">
        <v>89798</v>
      </c>
      <c r="C5834" s="710" t="s">
        <v>5123</v>
      </c>
      <c r="D5834" s="709" t="s">
        <v>159</v>
      </c>
      <c r="E5834" s="716">
        <v>17.36</v>
      </c>
      <c r="F5834" s="717">
        <v>0</v>
      </c>
      <c r="G5834">
        <f>VLOOKUP(B5834,'SINAPI-%MO'!B:E,4,0)</f>
        <v>0.1371</v>
      </c>
      <c r="H5834" s="225">
        <f t="shared" si="90"/>
        <v>14.97</v>
      </c>
    </row>
    <row r="5835" spans="1:8" x14ac:dyDescent="0.3">
      <c r="A5835" s="400"/>
      <c r="B5835" s="709">
        <v>89712</v>
      </c>
      <c r="C5835" s="710" t="s">
        <v>5124</v>
      </c>
      <c r="D5835" s="709" t="s">
        <v>159</v>
      </c>
      <c r="E5835" s="716">
        <v>33.25</v>
      </c>
      <c r="F5835" s="717">
        <v>0</v>
      </c>
      <c r="G5835">
        <f>VLOOKUP(B5835,'SINAPI-%MO'!B:E,4,0)</f>
        <v>0.54979999999999996</v>
      </c>
      <c r="H5835" s="225">
        <f t="shared" ref="H5835:H5898" si="91">IF(E5835&gt;0,TRUNC(E5835*(1-G5835),2),"")</f>
        <v>14.96</v>
      </c>
    </row>
    <row r="5836" spans="1:8" x14ac:dyDescent="0.3">
      <c r="A5836" s="400"/>
      <c r="B5836" s="709">
        <v>89799</v>
      </c>
      <c r="C5836" s="710" t="s">
        <v>5125</v>
      </c>
      <c r="D5836" s="709" t="s">
        <v>159</v>
      </c>
      <c r="E5836" s="716">
        <v>28.36</v>
      </c>
      <c r="F5836" s="717">
        <v>0</v>
      </c>
      <c r="G5836">
        <f>VLOOKUP(B5836,'SINAPI-%MO'!B:E,4,0)</f>
        <v>0.3085</v>
      </c>
      <c r="H5836" s="225">
        <f t="shared" si="91"/>
        <v>19.61</v>
      </c>
    </row>
    <row r="5837" spans="1:8" x14ac:dyDescent="0.3">
      <c r="A5837" s="400"/>
      <c r="B5837" s="709">
        <v>89713</v>
      </c>
      <c r="C5837" s="710" t="s">
        <v>5126</v>
      </c>
      <c r="D5837" s="709" t="s">
        <v>159</v>
      </c>
      <c r="E5837" s="716">
        <v>41.55</v>
      </c>
      <c r="F5837" s="717">
        <v>0</v>
      </c>
      <c r="G5837">
        <f>VLOOKUP(B5837,'SINAPI-%MO'!B:E,4,0)</f>
        <v>0.52729999999999999</v>
      </c>
      <c r="H5837" s="225">
        <f t="shared" si="91"/>
        <v>19.64</v>
      </c>
    </row>
    <row r="5838" spans="1:8" x14ac:dyDescent="0.3">
      <c r="A5838" s="400"/>
      <c r="B5838" s="709">
        <v>89376</v>
      </c>
      <c r="C5838" s="710" t="s">
        <v>5127</v>
      </c>
      <c r="D5838" s="709" t="s">
        <v>136</v>
      </c>
      <c r="E5838" s="716">
        <v>6.68</v>
      </c>
      <c r="F5838" s="717">
        <v>0</v>
      </c>
      <c r="G5838">
        <f>VLOOKUP(B5838,'SINAPI-%MO'!B:E,4,0)</f>
        <v>0.69159999999999999</v>
      </c>
      <c r="H5838" s="225">
        <f t="shared" si="91"/>
        <v>2.06</v>
      </c>
    </row>
    <row r="5839" spans="1:8" x14ac:dyDescent="0.3">
      <c r="A5839" s="400"/>
      <c r="B5839" s="709">
        <v>89429</v>
      </c>
      <c r="C5839" s="710" t="s">
        <v>5128</v>
      </c>
      <c r="D5839" s="709" t="s">
        <v>136</v>
      </c>
      <c r="E5839" s="716">
        <v>7.2</v>
      </c>
      <c r="F5839" s="717">
        <v>0</v>
      </c>
      <c r="G5839">
        <f>VLOOKUP(B5839,'SINAPI-%MO'!B:E,4,0)</f>
        <v>0.67220000000000002</v>
      </c>
      <c r="H5839" s="225">
        <f t="shared" si="91"/>
        <v>2.36</v>
      </c>
    </row>
    <row r="5840" spans="1:8" x14ac:dyDescent="0.3">
      <c r="A5840" s="400"/>
      <c r="B5840" s="709">
        <v>89383</v>
      </c>
      <c r="C5840" s="710" t="s">
        <v>5129</v>
      </c>
      <c r="D5840" s="709" t="s">
        <v>136</v>
      </c>
      <c r="E5840" s="716">
        <v>7.79</v>
      </c>
      <c r="F5840" s="717">
        <v>0</v>
      </c>
      <c r="G5840">
        <f>VLOOKUP(B5840,'SINAPI-%MO'!B:E,4,0)</f>
        <v>0.69579999999999997</v>
      </c>
      <c r="H5840" s="225">
        <f t="shared" si="91"/>
        <v>2.36</v>
      </c>
    </row>
    <row r="5841" spans="1:8" x14ac:dyDescent="0.3">
      <c r="A5841" s="400"/>
      <c r="B5841" s="709">
        <v>89553</v>
      </c>
      <c r="C5841" s="710" t="s">
        <v>5130</v>
      </c>
      <c r="D5841" s="709" t="s">
        <v>136</v>
      </c>
      <c r="E5841" s="716">
        <v>6.89</v>
      </c>
      <c r="F5841" s="717">
        <v>0</v>
      </c>
      <c r="G5841">
        <f>VLOOKUP(B5841,'SINAPI-%MO'!B:E,4,0)</f>
        <v>0.43690000000000001</v>
      </c>
      <c r="H5841" s="225">
        <f t="shared" si="91"/>
        <v>3.87</v>
      </c>
    </row>
    <row r="5842" spans="1:8" x14ac:dyDescent="0.3">
      <c r="A5842" s="400"/>
      <c r="B5842" s="709">
        <v>89436</v>
      </c>
      <c r="C5842" s="710" t="s">
        <v>5131</v>
      </c>
      <c r="D5842" s="709" t="s">
        <v>136</v>
      </c>
      <c r="E5842" s="716">
        <v>9.6300000000000008</v>
      </c>
      <c r="F5842" s="717">
        <v>0</v>
      </c>
      <c r="G5842">
        <f>VLOOKUP(B5842,'SINAPI-%MO'!B:E,4,0)</f>
        <v>0.59189999999999998</v>
      </c>
      <c r="H5842" s="225">
        <f t="shared" si="91"/>
        <v>3.93</v>
      </c>
    </row>
    <row r="5843" spans="1:8" x14ac:dyDescent="0.3">
      <c r="A5843" s="400"/>
      <c r="B5843" s="709">
        <v>89391</v>
      </c>
      <c r="C5843" s="710" t="s">
        <v>5132</v>
      </c>
      <c r="D5843" s="709" t="s">
        <v>136</v>
      </c>
      <c r="E5843" s="716">
        <v>10.32</v>
      </c>
      <c r="F5843" s="717">
        <v>0</v>
      </c>
      <c r="G5843">
        <f>VLOOKUP(B5843,'SINAPI-%MO'!B:E,4,0)</f>
        <v>0.61819999999999997</v>
      </c>
      <c r="H5843" s="225">
        <f t="shared" si="91"/>
        <v>3.94</v>
      </c>
    </row>
    <row r="5844" spans="1:8" x14ac:dyDescent="0.3">
      <c r="A5844" s="400"/>
      <c r="B5844" s="709">
        <v>103994</v>
      </c>
      <c r="C5844" s="710" t="s">
        <v>5133</v>
      </c>
      <c r="D5844" s="709" t="s">
        <v>136</v>
      </c>
      <c r="E5844" s="716">
        <v>16.8</v>
      </c>
      <c r="F5844" s="717">
        <v>0</v>
      </c>
      <c r="G5844">
        <f>VLOOKUP(B5844,'SINAPI-%MO'!B:E,4,0)</f>
        <v>0.39460000000000001</v>
      </c>
      <c r="H5844" s="225">
        <f t="shared" si="91"/>
        <v>10.17</v>
      </c>
    </row>
    <row r="5845" spans="1:8" x14ac:dyDescent="0.3">
      <c r="A5845" s="400"/>
      <c r="B5845" s="709">
        <v>89570</v>
      </c>
      <c r="C5845" s="710" t="s">
        <v>5134</v>
      </c>
      <c r="D5845" s="709" t="s">
        <v>136</v>
      </c>
      <c r="E5845" s="716">
        <v>13.64</v>
      </c>
      <c r="F5845" s="717">
        <v>0</v>
      </c>
      <c r="G5845">
        <f>VLOOKUP(B5845,'SINAPI-%MO'!B:E,4,0)</f>
        <v>0.27710000000000001</v>
      </c>
      <c r="H5845" s="225">
        <f t="shared" si="91"/>
        <v>9.86</v>
      </c>
    </row>
    <row r="5846" spans="1:8" x14ac:dyDescent="0.3">
      <c r="A5846" s="400"/>
      <c r="B5846" s="709">
        <v>103992</v>
      </c>
      <c r="C5846" s="710" t="s">
        <v>5135</v>
      </c>
      <c r="D5846" s="709" t="s">
        <v>136</v>
      </c>
      <c r="E5846" s="716">
        <v>13.6</v>
      </c>
      <c r="F5846" s="717">
        <v>0</v>
      </c>
      <c r="G5846">
        <f>VLOOKUP(B5846,'SINAPI-%MO'!B:E,4,0)</f>
        <v>0.4985</v>
      </c>
      <c r="H5846" s="225">
        <f t="shared" si="91"/>
        <v>6.82</v>
      </c>
    </row>
    <row r="5847" spans="1:8" x14ac:dyDescent="0.3">
      <c r="A5847" s="400"/>
      <c r="B5847" s="709">
        <v>89572</v>
      </c>
      <c r="C5847" s="710" t="s">
        <v>5136</v>
      </c>
      <c r="D5847" s="709" t="s">
        <v>136</v>
      </c>
      <c r="E5847" s="716">
        <v>10.4</v>
      </c>
      <c r="F5847" s="717">
        <v>0</v>
      </c>
      <c r="G5847">
        <f>VLOOKUP(B5847,'SINAPI-%MO'!B:E,4,0)</f>
        <v>0.35</v>
      </c>
      <c r="H5847" s="225">
        <f t="shared" si="91"/>
        <v>6.76</v>
      </c>
    </row>
    <row r="5848" spans="1:8" x14ac:dyDescent="0.3">
      <c r="A5848" s="400"/>
      <c r="B5848" s="709">
        <v>104001</v>
      </c>
      <c r="C5848" s="710" t="s">
        <v>5137</v>
      </c>
      <c r="D5848" s="709" t="s">
        <v>136</v>
      </c>
      <c r="E5848" s="716">
        <v>16.32</v>
      </c>
      <c r="F5848" s="717">
        <v>0</v>
      </c>
      <c r="G5848">
        <f>VLOOKUP(B5848,'SINAPI-%MO'!B:E,4,0)</f>
        <v>0.47239999999999999</v>
      </c>
      <c r="H5848" s="225">
        <f t="shared" si="91"/>
        <v>8.61</v>
      </c>
    </row>
    <row r="5849" spans="1:8" x14ac:dyDescent="0.3">
      <c r="A5849" s="400"/>
      <c r="B5849" s="709">
        <v>89596</v>
      </c>
      <c r="C5849" s="710" t="s">
        <v>5138</v>
      </c>
      <c r="D5849" s="709" t="s">
        <v>136</v>
      </c>
      <c r="E5849" s="716">
        <v>12.49</v>
      </c>
      <c r="F5849" s="717">
        <v>0</v>
      </c>
      <c r="G5849">
        <f>VLOOKUP(B5849,'SINAPI-%MO'!B:E,4,0)</f>
        <v>0.33710000000000001</v>
      </c>
      <c r="H5849" s="225">
        <f t="shared" si="91"/>
        <v>8.27</v>
      </c>
    </row>
    <row r="5850" spans="1:8" x14ac:dyDescent="0.3">
      <c r="A5850" s="400"/>
      <c r="B5850" s="709">
        <v>104002</v>
      </c>
      <c r="C5850" s="710" t="s">
        <v>5139</v>
      </c>
      <c r="D5850" s="709" t="s">
        <v>136</v>
      </c>
      <c r="E5850" s="716">
        <v>20.73</v>
      </c>
      <c r="F5850" s="717">
        <v>0</v>
      </c>
      <c r="G5850">
        <f>VLOOKUP(B5850,'SINAPI-%MO'!B:E,4,0)</f>
        <v>0.36180000000000001</v>
      </c>
      <c r="H5850" s="225">
        <f t="shared" si="91"/>
        <v>13.22</v>
      </c>
    </row>
    <row r="5851" spans="1:8" x14ac:dyDescent="0.3">
      <c r="A5851" s="400"/>
      <c r="B5851" s="709">
        <v>89595</v>
      </c>
      <c r="C5851" s="710" t="s">
        <v>5140</v>
      </c>
      <c r="D5851" s="709" t="s">
        <v>136</v>
      </c>
      <c r="E5851" s="716">
        <v>17.239999999999998</v>
      </c>
      <c r="F5851" s="717">
        <v>0</v>
      </c>
      <c r="G5851">
        <f>VLOOKUP(B5851,'SINAPI-%MO'!B:E,4,0)</f>
        <v>0.23669999999999999</v>
      </c>
      <c r="H5851" s="225">
        <f t="shared" si="91"/>
        <v>13.15</v>
      </c>
    </row>
    <row r="5852" spans="1:8" x14ac:dyDescent="0.3">
      <c r="A5852" s="400"/>
      <c r="B5852" s="709">
        <v>89610</v>
      </c>
      <c r="C5852" s="710" t="s">
        <v>5141</v>
      </c>
      <c r="D5852" s="709" t="s">
        <v>136</v>
      </c>
      <c r="E5852" s="716">
        <v>23.32</v>
      </c>
      <c r="F5852" s="717">
        <v>0</v>
      </c>
      <c r="G5852">
        <f>VLOOKUP(B5852,'SINAPI-%MO'!B:E,4,0)</f>
        <v>0.2273</v>
      </c>
      <c r="H5852" s="225">
        <f t="shared" si="91"/>
        <v>18.010000000000002</v>
      </c>
    </row>
    <row r="5853" spans="1:8" x14ac:dyDescent="0.3">
      <c r="A5853" s="400"/>
      <c r="B5853" s="709">
        <v>89613</v>
      </c>
      <c r="C5853" s="710" t="s">
        <v>5142</v>
      </c>
      <c r="D5853" s="709" t="s">
        <v>136</v>
      </c>
      <c r="E5853" s="716">
        <v>36.409999999999997</v>
      </c>
      <c r="F5853" s="717">
        <v>0</v>
      </c>
      <c r="G5853">
        <f>VLOOKUP(B5853,'SINAPI-%MO'!B:E,4,0)</f>
        <v>0.17519999999999999</v>
      </c>
      <c r="H5853" s="225">
        <f t="shared" si="91"/>
        <v>30.03</v>
      </c>
    </row>
    <row r="5854" spans="1:8" x14ac:dyDescent="0.3">
      <c r="A5854" s="400"/>
      <c r="B5854" s="709">
        <v>89616</v>
      </c>
      <c r="C5854" s="710" t="s">
        <v>5143</v>
      </c>
      <c r="D5854" s="709" t="s">
        <v>136</v>
      </c>
      <c r="E5854" s="716">
        <v>48.68</v>
      </c>
      <c r="F5854" s="717">
        <v>0</v>
      </c>
      <c r="G5854">
        <f>VLOOKUP(B5854,'SINAPI-%MO'!B:E,4,0)</f>
        <v>0.1532</v>
      </c>
      <c r="H5854" s="225">
        <f t="shared" si="91"/>
        <v>41.22</v>
      </c>
    </row>
    <row r="5855" spans="1:8" x14ac:dyDescent="0.3">
      <c r="A5855" s="400"/>
      <c r="B5855" s="709">
        <v>103952</v>
      </c>
      <c r="C5855" s="710" t="s">
        <v>5144</v>
      </c>
      <c r="D5855" s="709" t="s">
        <v>136</v>
      </c>
      <c r="E5855" s="716">
        <v>6.83</v>
      </c>
      <c r="F5855" s="717">
        <v>0</v>
      </c>
      <c r="G5855">
        <f>VLOOKUP(B5855,'SINAPI-%MO'!B:E,4,0)</f>
        <v>0.70860000000000001</v>
      </c>
      <c r="H5855" s="225">
        <f t="shared" si="91"/>
        <v>1.99</v>
      </c>
    </row>
    <row r="5856" spans="1:8" x14ac:dyDescent="0.3">
      <c r="A5856" s="400"/>
      <c r="B5856" s="709">
        <v>103947</v>
      </c>
      <c r="C5856" s="710" t="s">
        <v>5145</v>
      </c>
      <c r="D5856" s="709" t="s">
        <v>136</v>
      </c>
      <c r="E5856" s="716">
        <v>7.42</v>
      </c>
      <c r="F5856" s="717">
        <v>0</v>
      </c>
      <c r="G5856">
        <f>VLOOKUP(B5856,'SINAPI-%MO'!B:E,4,0)</f>
        <v>0.73050000000000004</v>
      </c>
      <c r="H5856" s="225">
        <f t="shared" si="91"/>
        <v>1.99</v>
      </c>
    </row>
    <row r="5857" spans="1:8" x14ac:dyDescent="0.3">
      <c r="A5857" s="400"/>
      <c r="B5857" s="709">
        <v>103957</v>
      </c>
      <c r="C5857" s="710" t="s">
        <v>5146</v>
      </c>
      <c r="D5857" s="709" t="s">
        <v>136</v>
      </c>
      <c r="E5857" s="716">
        <v>5.86</v>
      </c>
      <c r="F5857" s="717">
        <v>0</v>
      </c>
      <c r="G5857">
        <f>VLOOKUP(B5857,'SINAPI-%MO'!B:E,4,0)</f>
        <v>0.51370000000000005</v>
      </c>
      <c r="H5857" s="225">
        <f t="shared" si="91"/>
        <v>2.84</v>
      </c>
    </row>
    <row r="5858" spans="1:8" x14ac:dyDescent="0.3">
      <c r="A5858" s="400"/>
      <c r="B5858" s="709">
        <v>103953</v>
      </c>
      <c r="C5858" s="710" t="s">
        <v>5147</v>
      </c>
      <c r="D5858" s="709" t="s">
        <v>136</v>
      </c>
      <c r="E5858" s="716">
        <v>8.6</v>
      </c>
      <c r="F5858" s="717">
        <v>0</v>
      </c>
      <c r="G5858">
        <f>VLOOKUP(B5858,'SINAPI-%MO'!B:E,4,0)</f>
        <v>0.66279999999999994</v>
      </c>
      <c r="H5858" s="225">
        <f t="shared" si="91"/>
        <v>2.89</v>
      </c>
    </row>
    <row r="5859" spans="1:8" x14ac:dyDescent="0.3">
      <c r="A5859" s="400"/>
      <c r="B5859" s="709">
        <v>103948</v>
      </c>
      <c r="C5859" s="710" t="s">
        <v>5148</v>
      </c>
      <c r="D5859" s="709" t="s">
        <v>136</v>
      </c>
      <c r="E5859" s="716">
        <v>9.2899999999999991</v>
      </c>
      <c r="F5859" s="717">
        <v>0</v>
      </c>
      <c r="G5859">
        <f>VLOOKUP(B5859,'SINAPI-%MO'!B:E,4,0)</f>
        <v>0.68679999999999997</v>
      </c>
      <c r="H5859" s="225">
        <f t="shared" si="91"/>
        <v>2.9</v>
      </c>
    </row>
    <row r="5860" spans="1:8" x14ac:dyDescent="0.3">
      <c r="A5860" s="400"/>
      <c r="B5860" s="709">
        <v>103958</v>
      </c>
      <c r="C5860" s="710" t="s">
        <v>5149</v>
      </c>
      <c r="D5860" s="709" t="s">
        <v>136</v>
      </c>
      <c r="E5860" s="716">
        <v>11.97</v>
      </c>
      <c r="F5860" s="717">
        <v>0</v>
      </c>
      <c r="G5860">
        <f>VLOOKUP(B5860,'SINAPI-%MO'!B:E,4,0)</f>
        <v>0.36930000000000002</v>
      </c>
      <c r="H5860" s="225">
        <f t="shared" si="91"/>
        <v>7.54</v>
      </c>
    </row>
    <row r="5861" spans="1:8" x14ac:dyDescent="0.3">
      <c r="A5861" s="400"/>
      <c r="B5861" s="709">
        <v>104009</v>
      </c>
      <c r="C5861" s="710" t="s">
        <v>5150</v>
      </c>
      <c r="D5861" s="709" t="s">
        <v>136</v>
      </c>
      <c r="E5861" s="716">
        <v>15.67</v>
      </c>
      <c r="F5861" s="717">
        <v>0</v>
      </c>
      <c r="G5861">
        <f>VLOOKUP(B5861,'SINAPI-%MO'!B:E,4,0)</f>
        <v>0.51439999999999997</v>
      </c>
      <c r="H5861" s="225">
        <f t="shared" si="91"/>
        <v>7.6</v>
      </c>
    </row>
    <row r="5862" spans="1:8" x14ac:dyDescent="0.3">
      <c r="A5862" s="400"/>
      <c r="B5862" s="709">
        <v>103959</v>
      </c>
      <c r="C5862" s="710" t="s">
        <v>5151</v>
      </c>
      <c r="D5862" s="709" t="s">
        <v>136</v>
      </c>
      <c r="E5862" s="716">
        <v>17.96</v>
      </c>
      <c r="F5862" s="717">
        <v>0</v>
      </c>
      <c r="G5862">
        <f>VLOOKUP(B5862,'SINAPI-%MO'!B:E,4,0)</f>
        <v>0.29509999999999997</v>
      </c>
      <c r="H5862" s="225">
        <f t="shared" si="91"/>
        <v>12.66</v>
      </c>
    </row>
    <row r="5863" spans="1:8" x14ac:dyDescent="0.3">
      <c r="A5863" s="400"/>
      <c r="B5863" s="709">
        <v>103962</v>
      </c>
      <c r="C5863" s="710" t="s">
        <v>5152</v>
      </c>
      <c r="D5863" s="709" t="s">
        <v>136</v>
      </c>
      <c r="E5863" s="716">
        <v>7.68</v>
      </c>
      <c r="F5863" s="717">
        <v>0</v>
      </c>
      <c r="G5863">
        <f>VLOOKUP(B5863,'SINAPI-%MO'!B:E,4,0)</f>
        <v>0.35420000000000001</v>
      </c>
      <c r="H5863" s="225">
        <f t="shared" si="91"/>
        <v>4.95</v>
      </c>
    </row>
    <row r="5864" spans="1:8" x14ac:dyDescent="0.3">
      <c r="A5864" s="400"/>
      <c r="B5864" s="709">
        <v>103954</v>
      </c>
      <c r="C5864" s="710" t="s">
        <v>5153</v>
      </c>
      <c r="D5864" s="709" t="s">
        <v>136</v>
      </c>
      <c r="E5864" s="716">
        <v>10.34</v>
      </c>
      <c r="F5864" s="717">
        <v>0</v>
      </c>
      <c r="G5864">
        <f>VLOOKUP(B5864,'SINAPI-%MO'!B:E,4,0)</f>
        <v>0.51739999999999997</v>
      </c>
      <c r="H5864" s="225">
        <f t="shared" si="91"/>
        <v>4.99</v>
      </c>
    </row>
    <row r="5865" spans="1:8" x14ac:dyDescent="0.3">
      <c r="A5865" s="400"/>
      <c r="B5865" s="709">
        <v>103949</v>
      </c>
      <c r="C5865" s="710" t="s">
        <v>5154</v>
      </c>
      <c r="D5865" s="709" t="s">
        <v>136</v>
      </c>
      <c r="E5865" s="716">
        <v>10.98</v>
      </c>
      <c r="F5865" s="717">
        <v>0</v>
      </c>
      <c r="G5865">
        <f>VLOOKUP(B5865,'SINAPI-%MO'!B:E,4,0)</f>
        <v>0.54369999999999996</v>
      </c>
      <c r="H5865" s="225">
        <f t="shared" si="91"/>
        <v>5.01</v>
      </c>
    </row>
    <row r="5866" spans="1:8" x14ac:dyDescent="0.3">
      <c r="A5866" s="400"/>
      <c r="B5866" s="709">
        <v>103964</v>
      </c>
      <c r="C5866" s="710" t="s">
        <v>5155</v>
      </c>
      <c r="D5866" s="709" t="s">
        <v>136</v>
      </c>
      <c r="E5866" s="716">
        <v>9.76</v>
      </c>
      <c r="F5866" s="717">
        <v>0</v>
      </c>
      <c r="G5866">
        <f>VLOOKUP(B5866,'SINAPI-%MO'!B:E,4,0)</f>
        <v>0.3412</v>
      </c>
      <c r="H5866" s="225">
        <f t="shared" si="91"/>
        <v>6.42</v>
      </c>
    </row>
    <row r="5867" spans="1:8" x14ac:dyDescent="0.3">
      <c r="A5867" s="400"/>
      <c r="B5867" s="709">
        <v>104014</v>
      </c>
      <c r="C5867" s="710" t="s">
        <v>5156</v>
      </c>
      <c r="D5867" s="709" t="s">
        <v>136</v>
      </c>
      <c r="E5867" s="716">
        <v>12.75</v>
      </c>
      <c r="F5867" s="717">
        <v>0</v>
      </c>
      <c r="G5867">
        <f>VLOOKUP(B5867,'SINAPI-%MO'!B:E,4,0)</f>
        <v>0.49180000000000001</v>
      </c>
      <c r="H5867" s="225">
        <f t="shared" si="91"/>
        <v>6.47</v>
      </c>
    </row>
    <row r="5868" spans="1:8" x14ac:dyDescent="0.3">
      <c r="A5868" s="400"/>
      <c r="B5868" s="709">
        <v>103966</v>
      </c>
      <c r="C5868" s="710" t="s">
        <v>5157</v>
      </c>
      <c r="D5868" s="709" t="s">
        <v>136</v>
      </c>
      <c r="E5868" s="716">
        <v>11.55</v>
      </c>
      <c r="F5868" s="717">
        <v>0</v>
      </c>
      <c r="G5868">
        <f>VLOOKUP(B5868,'SINAPI-%MO'!B:E,4,0)</f>
        <v>0.32729999999999998</v>
      </c>
      <c r="H5868" s="225">
        <f t="shared" si="91"/>
        <v>7.76</v>
      </c>
    </row>
    <row r="5869" spans="1:8" x14ac:dyDescent="0.3">
      <c r="A5869" s="400"/>
      <c r="B5869" s="709">
        <v>103999</v>
      </c>
      <c r="C5869" s="710" t="s">
        <v>5158</v>
      </c>
      <c r="D5869" s="709" t="s">
        <v>136</v>
      </c>
      <c r="E5869" s="716">
        <v>14.82</v>
      </c>
      <c r="F5869" s="717">
        <v>0</v>
      </c>
      <c r="G5869">
        <f>VLOOKUP(B5869,'SINAPI-%MO'!B:E,4,0)</f>
        <v>0.47170000000000001</v>
      </c>
      <c r="H5869" s="225">
        <f t="shared" si="91"/>
        <v>7.82</v>
      </c>
    </row>
    <row r="5870" spans="1:8" x14ac:dyDescent="0.3">
      <c r="A5870" s="400"/>
      <c r="B5870" s="709">
        <v>103967</v>
      </c>
      <c r="C5870" s="710" t="s">
        <v>5159</v>
      </c>
      <c r="D5870" s="709" t="s">
        <v>136</v>
      </c>
      <c r="E5870" s="716">
        <v>13.9</v>
      </c>
      <c r="F5870" s="717">
        <v>0</v>
      </c>
      <c r="G5870">
        <f>VLOOKUP(B5870,'SINAPI-%MO'!B:E,4,0)</f>
        <v>0.29349999999999998</v>
      </c>
      <c r="H5870" s="225">
        <f t="shared" si="91"/>
        <v>9.82</v>
      </c>
    </row>
    <row r="5871" spans="1:8" x14ac:dyDescent="0.3">
      <c r="A5871" s="400"/>
      <c r="B5871" s="709">
        <v>104003</v>
      </c>
      <c r="C5871" s="710" t="s">
        <v>5160</v>
      </c>
      <c r="D5871" s="709" t="s">
        <v>136</v>
      </c>
      <c r="E5871" s="716">
        <v>17.39</v>
      </c>
      <c r="F5871" s="717">
        <v>0</v>
      </c>
      <c r="G5871">
        <f>VLOOKUP(B5871,'SINAPI-%MO'!B:E,4,0)</f>
        <v>0.43130000000000002</v>
      </c>
      <c r="H5871" s="225">
        <f t="shared" si="91"/>
        <v>9.8800000000000008</v>
      </c>
    </row>
    <row r="5872" spans="1:8" x14ac:dyDescent="0.3">
      <c r="A5872" s="400"/>
      <c r="B5872" s="709">
        <v>103968</v>
      </c>
      <c r="C5872" s="710" t="s">
        <v>5161</v>
      </c>
      <c r="D5872" s="709" t="s">
        <v>136</v>
      </c>
      <c r="E5872" s="716">
        <v>19.899999999999999</v>
      </c>
      <c r="F5872" s="717">
        <v>0</v>
      </c>
      <c r="G5872">
        <f>VLOOKUP(B5872,'SINAPI-%MO'!B:E,4,0)</f>
        <v>0.21160000000000001</v>
      </c>
      <c r="H5872" s="225">
        <f t="shared" si="91"/>
        <v>15.68</v>
      </c>
    </row>
    <row r="5873" spans="1:8" x14ac:dyDescent="0.3">
      <c r="A5873" s="400"/>
      <c r="B5873" s="709">
        <v>103969</v>
      </c>
      <c r="C5873" s="710" t="s">
        <v>5162</v>
      </c>
      <c r="D5873" s="709" t="s">
        <v>136</v>
      </c>
      <c r="E5873" s="716">
        <v>23.5</v>
      </c>
      <c r="F5873" s="717">
        <v>0</v>
      </c>
      <c r="G5873">
        <f>VLOOKUP(B5873,'SINAPI-%MO'!B:E,4,0)</f>
        <v>0.1923</v>
      </c>
      <c r="H5873" s="225">
        <f t="shared" si="91"/>
        <v>18.98</v>
      </c>
    </row>
    <row r="5874" spans="1:8" x14ac:dyDescent="0.3">
      <c r="A5874" s="400"/>
      <c r="B5874" s="709">
        <v>103971</v>
      </c>
      <c r="C5874" s="710" t="s">
        <v>5163</v>
      </c>
      <c r="D5874" s="709" t="s">
        <v>136</v>
      </c>
      <c r="E5874" s="716">
        <v>29.89</v>
      </c>
      <c r="F5874" s="717">
        <v>0</v>
      </c>
      <c r="G5874">
        <f>VLOOKUP(B5874,'SINAPI-%MO'!B:E,4,0)</f>
        <v>0.17730000000000001</v>
      </c>
      <c r="H5874" s="225">
        <f t="shared" si="91"/>
        <v>24.59</v>
      </c>
    </row>
    <row r="5875" spans="1:8" x14ac:dyDescent="0.3">
      <c r="A5875" s="400"/>
      <c r="B5875" s="709">
        <v>103972</v>
      </c>
      <c r="C5875" s="710" t="s">
        <v>5164</v>
      </c>
      <c r="D5875" s="709" t="s">
        <v>136</v>
      </c>
      <c r="E5875" s="716">
        <v>34.68</v>
      </c>
      <c r="F5875" s="717">
        <v>0</v>
      </c>
      <c r="G5875">
        <f>VLOOKUP(B5875,'SINAPI-%MO'!B:E,4,0)</f>
        <v>0.17130000000000001</v>
      </c>
      <c r="H5875" s="225">
        <f t="shared" si="91"/>
        <v>28.73</v>
      </c>
    </row>
    <row r="5876" spans="1:8" x14ac:dyDescent="0.3">
      <c r="A5876" s="400"/>
      <c r="B5876" s="709">
        <v>103993</v>
      </c>
      <c r="C5876" s="710" t="s">
        <v>5165</v>
      </c>
      <c r="D5876" s="709" t="s">
        <v>136</v>
      </c>
      <c r="E5876" s="716">
        <v>11.62</v>
      </c>
      <c r="F5876" s="717">
        <v>0</v>
      </c>
      <c r="G5876">
        <f>VLOOKUP(B5876,'SINAPI-%MO'!B:E,4,0)</f>
        <v>0.58350000000000002</v>
      </c>
      <c r="H5876" s="225">
        <f t="shared" si="91"/>
        <v>4.83</v>
      </c>
    </row>
    <row r="5877" spans="1:8" x14ac:dyDescent="0.3">
      <c r="A5877" s="400"/>
      <c r="B5877" s="709">
        <v>89407</v>
      </c>
      <c r="C5877" s="710" t="s">
        <v>5166</v>
      </c>
      <c r="D5877" s="709" t="s">
        <v>136</v>
      </c>
      <c r="E5877" s="716">
        <v>10.49</v>
      </c>
      <c r="F5877" s="717">
        <v>0</v>
      </c>
      <c r="G5877">
        <f>VLOOKUP(B5877,'SINAPI-%MO'!B:E,4,0)</f>
        <v>0.64159999999999995</v>
      </c>
      <c r="H5877" s="225">
        <f t="shared" si="91"/>
        <v>3.75</v>
      </c>
    </row>
    <row r="5878" spans="1:8" x14ac:dyDescent="0.3">
      <c r="A5878" s="400"/>
      <c r="B5878" s="709">
        <v>89361</v>
      </c>
      <c r="C5878" s="710" t="s">
        <v>5167</v>
      </c>
      <c r="D5878" s="709" t="s">
        <v>136</v>
      </c>
      <c r="E5878" s="716">
        <v>11.28</v>
      </c>
      <c r="F5878" s="717">
        <v>0</v>
      </c>
      <c r="G5878">
        <f>VLOOKUP(B5878,'SINAPI-%MO'!B:E,4,0)</f>
        <v>0.66669999999999996</v>
      </c>
      <c r="H5878" s="225">
        <f t="shared" si="91"/>
        <v>3.75</v>
      </c>
    </row>
    <row r="5879" spans="1:8" x14ac:dyDescent="0.3">
      <c r="A5879" s="400"/>
      <c r="B5879" s="709">
        <v>89490</v>
      </c>
      <c r="C5879" s="710" t="s">
        <v>5168</v>
      </c>
      <c r="D5879" s="709" t="s">
        <v>136</v>
      </c>
      <c r="E5879" s="716">
        <v>8.49</v>
      </c>
      <c r="F5879" s="717">
        <v>0</v>
      </c>
      <c r="G5879">
        <f>VLOOKUP(B5879,'SINAPI-%MO'!B:E,4,0)</f>
        <v>0.47589999999999999</v>
      </c>
      <c r="H5879" s="225">
        <f t="shared" si="91"/>
        <v>4.4400000000000004</v>
      </c>
    </row>
    <row r="5880" spans="1:8" x14ac:dyDescent="0.3">
      <c r="A5880" s="400"/>
      <c r="B5880" s="709">
        <v>89411</v>
      </c>
      <c r="C5880" s="710" t="s">
        <v>5169</v>
      </c>
      <c r="D5880" s="709" t="s">
        <v>136</v>
      </c>
      <c r="E5880" s="716">
        <v>12.3</v>
      </c>
      <c r="F5880" s="717">
        <v>0</v>
      </c>
      <c r="G5880">
        <f>VLOOKUP(B5880,'SINAPI-%MO'!B:E,4,0)</f>
        <v>0.6341</v>
      </c>
      <c r="H5880" s="225">
        <f t="shared" si="91"/>
        <v>4.5</v>
      </c>
    </row>
    <row r="5881" spans="1:8" x14ac:dyDescent="0.3">
      <c r="A5881" s="400"/>
      <c r="B5881" s="709">
        <v>89365</v>
      </c>
      <c r="C5881" s="710" t="s">
        <v>5170</v>
      </c>
      <c r="D5881" s="709" t="s">
        <v>136</v>
      </c>
      <c r="E5881" s="716">
        <v>13.23</v>
      </c>
      <c r="F5881" s="717">
        <v>0</v>
      </c>
      <c r="G5881">
        <f>VLOOKUP(B5881,'SINAPI-%MO'!B:E,4,0)</f>
        <v>0.65990000000000004</v>
      </c>
      <c r="H5881" s="225">
        <f t="shared" si="91"/>
        <v>4.49</v>
      </c>
    </row>
    <row r="5882" spans="1:8" x14ac:dyDescent="0.3">
      <c r="A5882" s="400"/>
      <c r="B5882" s="709">
        <v>89496</v>
      </c>
      <c r="C5882" s="710" t="s">
        <v>5171</v>
      </c>
      <c r="D5882" s="709" t="s">
        <v>136</v>
      </c>
      <c r="E5882" s="716">
        <v>12.37</v>
      </c>
      <c r="F5882" s="717">
        <v>0</v>
      </c>
      <c r="G5882">
        <f>VLOOKUP(B5882,'SINAPI-%MO'!B:E,4,0)</f>
        <v>0.3977</v>
      </c>
      <c r="H5882" s="225">
        <f t="shared" si="91"/>
        <v>7.45</v>
      </c>
    </row>
    <row r="5883" spans="1:8" x14ac:dyDescent="0.3">
      <c r="A5883" s="400"/>
      <c r="B5883" s="709">
        <v>89416</v>
      </c>
      <c r="C5883" s="710" t="s">
        <v>5172</v>
      </c>
      <c r="D5883" s="709" t="s">
        <v>136</v>
      </c>
      <c r="E5883" s="716">
        <v>16.809999999999999</v>
      </c>
      <c r="F5883" s="717">
        <v>0</v>
      </c>
      <c r="G5883">
        <f>VLOOKUP(B5883,'SINAPI-%MO'!B:E,4,0)</f>
        <v>0.55379999999999996</v>
      </c>
      <c r="H5883" s="225">
        <f t="shared" si="91"/>
        <v>7.5</v>
      </c>
    </row>
    <row r="5884" spans="1:8" x14ac:dyDescent="0.3">
      <c r="A5884" s="400"/>
      <c r="B5884" s="709">
        <v>89370</v>
      </c>
      <c r="C5884" s="710" t="s">
        <v>5173</v>
      </c>
      <c r="D5884" s="709" t="s">
        <v>136</v>
      </c>
      <c r="E5884" s="716">
        <v>17.91</v>
      </c>
      <c r="F5884" s="717">
        <v>0</v>
      </c>
      <c r="G5884">
        <f>VLOOKUP(B5884,'SINAPI-%MO'!B:E,4,0)</f>
        <v>0.58069999999999999</v>
      </c>
      <c r="H5884" s="225">
        <f t="shared" si="91"/>
        <v>7.5</v>
      </c>
    </row>
    <row r="5885" spans="1:8" x14ac:dyDescent="0.3">
      <c r="A5885" s="400"/>
      <c r="B5885" s="709">
        <v>89500</v>
      </c>
      <c r="C5885" s="710" t="s">
        <v>5174</v>
      </c>
      <c r="D5885" s="709" t="s">
        <v>136</v>
      </c>
      <c r="E5885" s="716">
        <v>15.13</v>
      </c>
      <c r="F5885" s="717">
        <v>0</v>
      </c>
      <c r="G5885">
        <f>VLOOKUP(B5885,'SINAPI-%MO'!B:E,4,0)</f>
        <v>0.3972</v>
      </c>
      <c r="H5885" s="225">
        <f t="shared" si="91"/>
        <v>9.1199999999999992</v>
      </c>
    </row>
    <row r="5886" spans="1:8" x14ac:dyDescent="0.3">
      <c r="A5886" s="400"/>
      <c r="B5886" s="709">
        <v>103983</v>
      </c>
      <c r="C5886" s="710" t="s">
        <v>5175</v>
      </c>
      <c r="D5886" s="709" t="s">
        <v>136</v>
      </c>
      <c r="E5886" s="716">
        <v>20.21</v>
      </c>
      <c r="F5886" s="717">
        <v>0</v>
      </c>
      <c r="G5886">
        <f>VLOOKUP(B5886,'SINAPI-%MO'!B:E,4,0)</f>
        <v>0.54579999999999995</v>
      </c>
      <c r="H5886" s="225">
        <f t="shared" si="91"/>
        <v>9.17</v>
      </c>
    </row>
    <row r="5887" spans="1:8" x14ac:dyDescent="0.3">
      <c r="A5887" s="400"/>
      <c r="B5887" s="709">
        <v>89504</v>
      </c>
      <c r="C5887" s="710" t="s">
        <v>5176</v>
      </c>
      <c r="D5887" s="709" t="s">
        <v>136</v>
      </c>
      <c r="E5887" s="716">
        <v>22.39</v>
      </c>
      <c r="F5887" s="717">
        <v>0</v>
      </c>
      <c r="G5887">
        <f>VLOOKUP(B5887,'SINAPI-%MO'!B:E,4,0)</f>
        <v>0.32600000000000001</v>
      </c>
      <c r="H5887" s="225">
        <f t="shared" si="91"/>
        <v>15.09</v>
      </c>
    </row>
    <row r="5888" spans="1:8" x14ac:dyDescent="0.3">
      <c r="A5888" s="400"/>
      <c r="B5888" s="709">
        <v>103987</v>
      </c>
      <c r="C5888" s="710" t="s">
        <v>5177</v>
      </c>
      <c r="D5888" s="709" t="s">
        <v>136</v>
      </c>
      <c r="E5888" s="716">
        <v>28.33</v>
      </c>
      <c r="F5888" s="717">
        <v>0</v>
      </c>
      <c r="G5888">
        <f>VLOOKUP(B5888,'SINAPI-%MO'!B:E,4,0)</f>
        <v>0.46489999999999998</v>
      </c>
      <c r="H5888" s="225">
        <f t="shared" si="91"/>
        <v>15.15</v>
      </c>
    </row>
    <row r="5889" spans="1:8" x14ac:dyDescent="0.3">
      <c r="A5889" s="400"/>
      <c r="B5889" s="709">
        <v>89510</v>
      </c>
      <c r="C5889" s="710" t="s">
        <v>5178</v>
      </c>
      <c r="D5889" s="709" t="s">
        <v>136</v>
      </c>
      <c r="E5889" s="716">
        <v>31.97</v>
      </c>
      <c r="F5889" s="717">
        <v>0</v>
      </c>
      <c r="G5889">
        <f>VLOOKUP(B5889,'SINAPI-%MO'!B:E,4,0)</f>
        <v>0.27060000000000001</v>
      </c>
      <c r="H5889" s="225">
        <f t="shared" si="91"/>
        <v>23.31</v>
      </c>
    </row>
    <row r="5890" spans="1:8" x14ac:dyDescent="0.3">
      <c r="A5890" s="400"/>
      <c r="B5890" s="709">
        <v>89519</v>
      </c>
      <c r="C5890" s="710" t="s">
        <v>5179</v>
      </c>
      <c r="D5890" s="709" t="s">
        <v>136</v>
      </c>
      <c r="E5890" s="716">
        <v>56.05</v>
      </c>
      <c r="F5890" s="717">
        <v>0</v>
      </c>
      <c r="G5890">
        <f>VLOOKUP(B5890,'SINAPI-%MO'!B:E,4,0)</f>
        <v>0.1893</v>
      </c>
      <c r="H5890" s="225">
        <f t="shared" si="91"/>
        <v>45.43</v>
      </c>
    </row>
    <row r="5891" spans="1:8" x14ac:dyDescent="0.3">
      <c r="A5891" s="400"/>
      <c r="B5891" s="709">
        <v>89527</v>
      </c>
      <c r="C5891" s="710" t="s">
        <v>5180</v>
      </c>
      <c r="D5891" s="709" t="s">
        <v>136</v>
      </c>
      <c r="E5891" s="716">
        <v>67.599999999999994</v>
      </c>
      <c r="F5891" s="717">
        <v>0</v>
      </c>
      <c r="G5891">
        <f>VLOOKUP(B5891,'SINAPI-%MO'!B:E,4,0)</f>
        <v>0.17599999999999999</v>
      </c>
      <c r="H5891" s="225">
        <f t="shared" si="91"/>
        <v>55.7</v>
      </c>
    </row>
    <row r="5892" spans="1:8" x14ac:dyDescent="0.3">
      <c r="A5892" s="400"/>
      <c r="B5892" s="709">
        <v>89406</v>
      </c>
      <c r="C5892" s="710" t="s">
        <v>5181</v>
      </c>
      <c r="D5892" s="709" t="s">
        <v>136</v>
      </c>
      <c r="E5892" s="716">
        <v>10.39</v>
      </c>
      <c r="F5892" s="717">
        <v>0</v>
      </c>
      <c r="G5892">
        <f>VLOOKUP(B5892,'SINAPI-%MO'!B:E,4,0)</f>
        <v>0.64770000000000005</v>
      </c>
      <c r="H5892" s="225">
        <f t="shared" si="91"/>
        <v>3.66</v>
      </c>
    </row>
    <row r="5893" spans="1:8" x14ac:dyDescent="0.3">
      <c r="A5893" s="400"/>
      <c r="B5893" s="709">
        <v>89360</v>
      </c>
      <c r="C5893" s="710" t="s">
        <v>5182</v>
      </c>
      <c r="D5893" s="709" t="s">
        <v>136</v>
      </c>
      <c r="E5893" s="716">
        <v>11.18</v>
      </c>
      <c r="F5893" s="717">
        <v>0</v>
      </c>
      <c r="G5893">
        <f>VLOOKUP(B5893,'SINAPI-%MO'!B:E,4,0)</f>
        <v>0.67259999999999998</v>
      </c>
      <c r="H5893" s="225">
        <f t="shared" si="91"/>
        <v>3.66</v>
      </c>
    </row>
    <row r="5894" spans="1:8" x14ac:dyDescent="0.3">
      <c r="A5894" s="400"/>
      <c r="B5894" s="709">
        <v>89489</v>
      </c>
      <c r="C5894" s="710" t="s">
        <v>5183</v>
      </c>
      <c r="D5894" s="709" t="s">
        <v>136</v>
      </c>
      <c r="E5894" s="716">
        <v>9.15</v>
      </c>
      <c r="F5894" s="717">
        <v>0</v>
      </c>
      <c r="G5894">
        <f>VLOOKUP(B5894,'SINAPI-%MO'!B:E,4,0)</f>
        <v>0.4415</v>
      </c>
      <c r="H5894" s="225">
        <f t="shared" si="91"/>
        <v>5.1100000000000003</v>
      </c>
    </row>
    <row r="5895" spans="1:8" x14ac:dyDescent="0.3">
      <c r="A5895" s="400"/>
      <c r="B5895" s="709">
        <v>89410</v>
      </c>
      <c r="C5895" s="710" t="s">
        <v>5184</v>
      </c>
      <c r="D5895" s="709" t="s">
        <v>136</v>
      </c>
      <c r="E5895" s="716">
        <v>12.96</v>
      </c>
      <c r="F5895" s="717">
        <v>0</v>
      </c>
      <c r="G5895">
        <f>VLOOKUP(B5895,'SINAPI-%MO'!B:E,4,0)</f>
        <v>0.60189999999999999</v>
      </c>
      <c r="H5895" s="225">
        <f t="shared" si="91"/>
        <v>5.15</v>
      </c>
    </row>
    <row r="5896" spans="1:8" x14ac:dyDescent="0.3">
      <c r="A5896" s="400"/>
      <c r="B5896" s="709">
        <v>89364</v>
      </c>
      <c r="C5896" s="710" t="s">
        <v>5185</v>
      </c>
      <c r="D5896" s="709" t="s">
        <v>136</v>
      </c>
      <c r="E5896" s="716">
        <v>13.89</v>
      </c>
      <c r="F5896" s="717">
        <v>0</v>
      </c>
      <c r="G5896">
        <f>VLOOKUP(B5896,'SINAPI-%MO'!B:E,4,0)</f>
        <v>0.62849999999999995</v>
      </c>
      <c r="H5896" s="225">
        <f t="shared" si="91"/>
        <v>5.16</v>
      </c>
    </row>
    <row r="5897" spans="1:8" x14ac:dyDescent="0.3">
      <c r="A5897" s="400"/>
      <c r="B5897" s="709">
        <v>89494</v>
      </c>
      <c r="C5897" s="710" t="s">
        <v>5186</v>
      </c>
      <c r="D5897" s="709" t="s">
        <v>136</v>
      </c>
      <c r="E5897" s="716">
        <v>14.82</v>
      </c>
      <c r="F5897" s="717">
        <v>0</v>
      </c>
      <c r="G5897">
        <f>VLOOKUP(B5897,'SINAPI-%MO'!B:E,4,0)</f>
        <v>0.33200000000000002</v>
      </c>
      <c r="H5897" s="225">
        <f t="shared" si="91"/>
        <v>9.89</v>
      </c>
    </row>
    <row r="5898" spans="1:8" x14ac:dyDescent="0.3">
      <c r="A5898" s="400"/>
      <c r="B5898" s="709">
        <v>89415</v>
      </c>
      <c r="C5898" s="710" t="s">
        <v>5187</v>
      </c>
      <c r="D5898" s="709" t="s">
        <v>136</v>
      </c>
      <c r="E5898" s="716">
        <v>19.260000000000002</v>
      </c>
      <c r="F5898" s="717">
        <v>0</v>
      </c>
      <c r="G5898">
        <f>VLOOKUP(B5898,'SINAPI-%MO'!B:E,4,0)</f>
        <v>0.4834</v>
      </c>
      <c r="H5898" s="225">
        <f t="shared" si="91"/>
        <v>9.94</v>
      </c>
    </row>
    <row r="5899" spans="1:8" x14ac:dyDescent="0.3">
      <c r="A5899" s="400"/>
      <c r="B5899" s="709">
        <v>89369</v>
      </c>
      <c r="C5899" s="710" t="s">
        <v>5188</v>
      </c>
      <c r="D5899" s="709" t="s">
        <v>136</v>
      </c>
      <c r="E5899" s="716">
        <v>20.36</v>
      </c>
      <c r="F5899" s="717">
        <v>0</v>
      </c>
      <c r="G5899">
        <f>VLOOKUP(B5899,'SINAPI-%MO'!B:E,4,0)</f>
        <v>0.51080000000000003</v>
      </c>
      <c r="H5899" s="225">
        <f t="shared" ref="H5899:H5962" si="92">IF(E5899&gt;0,TRUNC(E5899*(1-G5899),2),"")</f>
        <v>9.9600000000000009</v>
      </c>
    </row>
    <row r="5900" spans="1:8" x14ac:dyDescent="0.3">
      <c r="A5900" s="400"/>
      <c r="B5900" s="709">
        <v>89499</v>
      </c>
      <c r="C5900" s="710" t="s">
        <v>5189</v>
      </c>
      <c r="D5900" s="709" t="s">
        <v>136</v>
      </c>
      <c r="E5900" s="716">
        <v>23.27</v>
      </c>
      <c r="F5900" s="717">
        <v>0</v>
      </c>
      <c r="G5900">
        <f>VLOOKUP(B5900,'SINAPI-%MO'!B:E,4,0)</f>
        <v>0.25829999999999997</v>
      </c>
      <c r="H5900" s="225">
        <f t="shared" si="92"/>
        <v>17.25</v>
      </c>
    </row>
    <row r="5901" spans="1:8" x14ac:dyDescent="0.3">
      <c r="A5901" s="400"/>
      <c r="B5901" s="709">
        <v>103982</v>
      </c>
      <c r="C5901" s="710" t="s">
        <v>5190</v>
      </c>
      <c r="D5901" s="709" t="s">
        <v>136</v>
      </c>
      <c r="E5901" s="716">
        <v>28.35</v>
      </c>
      <c r="F5901" s="717">
        <v>0</v>
      </c>
      <c r="G5901">
        <f>VLOOKUP(B5901,'SINAPI-%MO'!B:E,4,0)</f>
        <v>0.3891</v>
      </c>
      <c r="H5901" s="225">
        <f t="shared" si="92"/>
        <v>17.309999999999999</v>
      </c>
    </row>
    <row r="5902" spans="1:8" x14ac:dyDescent="0.3">
      <c r="A5902" s="400"/>
      <c r="B5902" s="709">
        <v>89503</v>
      </c>
      <c r="C5902" s="710" t="s">
        <v>5191</v>
      </c>
      <c r="D5902" s="709" t="s">
        <v>136</v>
      </c>
      <c r="E5902" s="716">
        <v>27.04</v>
      </c>
      <c r="F5902" s="717">
        <v>0</v>
      </c>
      <c r="G5902">
        <f>VLOOKUP(B5902,'SINAPI-%MO'!B:E,4,0)</f>
        <v>0.27</v>
      </c>
      <c r="H5902" s="225">
        <f t="shared" si="92"/>
        <v>19.73</v>
      </c>
    </row>
    <row r="5903" spans="1:8" x14ac:dyDescent="0.3">
      <c r="A5903" s="400"/>
      <c r="B5903" s="709">
        <v>103986</v>
      </c>
      <c r="C5903" s="710" t="s">
        <v>5192</v>
      </c>
      <c r="D5903" s="709" t="s">
        <v>136</v>
      </c>
      <c r="E5903" s="716">
        <v>32.979999999999997</v>
      </c>
      <c r="F5903" s="717">
        <v>0</v>
      </c>
      <c r="G5903">
        <f>VLOOKUP(B5903,'SINAPI-%MO'!B:E,4,0)</f>
        <v>0.39929999999999999</v>
      </c>
      <c r="H5903" s="225">
        <f t="shared" si="92"/>
        <v>19.809999999999999</v>
      </c>
    </row>
    <row r="5904" spans="1:8" x14ac:dyDescent="0.3">
      <c r="A5904" s="400"/>
      <c r="B5904" s="709">
        <v>89507</v>
      </c>
      <c r="C5904" s="710" t="s">
        <v>5193</v>
      </c>
      <c r="D5904" s="709" t="s">
        <v>136</v>
      </c>
      <c r="E5904" s="716">
        <v>55.55</v>
      </c>
      <c r="F5904" s="717">
        <v>0</v>
      </c>
      <c r="G5904">
        <f>VLOOKUP(B5904,'SINAPI-%MO'!B:E,4,0)</f>
        <v>0.15570000000000001</v>
      </c>
      <c r="H5904" s="225">
        <f t="shared" si="92"/>
        <v>46.9</v>
      </c>
    </row>
    <row r="5905" spans="1:8" x14ac:dyDescent="0.3">
      <c r="A5905" s="400"/>
      <c r="B5905" s="709">
        <v>89517</v>
      </c>
      <c r="C5905" s="710" t="s">
        <v>5194</v>
      </c>
      <c r="D5905" s="709" t="s">
        <v>136</v>
      </c>
      <c r="E5905" s="716">
        <v>82.43</v>
      </c>
      <c r="F5905" s="717">
        <v>0</v>
      </c>
      <c r="G5905">
        <f>VLOOKUP(B5905,'SINAPI-%MO'!B:E,4,0)</f>
        <v>0.12870000000000001</v>
      </c>
      <c r="H5905" s="225">
        <f t="shared" si="92"/>
        <v>71.819999999999993</v>
      </c>
    </row>
    <row r="5906" spans="1:8" x14ac:dyDescent="0.3">
      <c r="A5906" s="400"/>
      <c r="B5906" s="709">
        <v>89525</v>
      </c>
      <c r="C5906" s="710" t="s">
        <v>5195</v>
      </c>
      <c r="D5906" s="709" t="s">
        <v>136</v>
      </c>
      <c r="E5906" s="716">
        <v>103.7</v>
      </c>
      <c r="F5906" s="717">
        <v>0</v>
      </c>
      <c r="G5906">
        <f>VLOOKUP(B5906,'SINAPI-%MO'!B:E,4,0)</f>
        <v>0.1148</v>
      </c>
      <c r="H5906" s="225">
        <f t="shared" si="92"/>
        <v>91.79</v>
      </c>
    </row>
    <row r="5907" spans="1:8" x14ac:dyDescent="0.3">
      <c r="A5907" s="400"/>
      <c r="B5907" s="709">
        <v>89423</v>
      </c>
      <c r="C5907" s="710" t="s">
        <v>5196</v>
      </c>
      <c r="D5907" s="709" t="s">
        <v>136</v>
      </c>
      <c r="E5907" s="716">
        <v>11.61</v>
      </c>
      <c r="F5907" s="717">
        <v>0</v>
      </c>
      <c r="G5907">
        <f>VLOOKUP(B5907,'SINAPI-%MO'!B:E,4,0)</f>
        <v>0.38590000000000002</v>
      </c>
      <c r="H5907" s="225">
        <f t="shared" si="92"/>
        <v>7.12</v>
      </c>
    </row>
    <row r="5908" spans="1:8" x14ac:dyDescent="0.3">
      <c r="A5908" s="400"/>
      <c r="B5908" s="709">
        <v>89377</v>
      </c>
      <c r="C5908" s="710" t="s">
        <v>5197</v>
      </c>
      <c r="D5908" s="709" t="s">
        <v>136</v>
      </c>
      <c r="E5908" s="716">
        <v>12.14</v>
      </c>
      <c r="F5908" s="717">
        <v>0</v>
      </c>
      <c r="G5908">
        <f>VLOOKUP(B5908,'SINAPI-%MO'!B:E,4,0)</f>
        <v>0.41270000000000001</v>
      </c>
      <c r="H5908" s="225">
        <f t="shared" si="92"/>
        <v>7.12</v>
      </c>
    </row>
    <row r="5909" spans="1:8" x14ac:dyDescent="0.3">
      <c r="A5909" s="400"/>
      <c r="B5909" s="709">
        <v>89540</v>
      </c>
      <c r="C5909" s="710" t="s">
        <v>5198</v>
      </c>
      <c r="D5909" s="709" t="s">
        <v>136</v>
      </c>
      <c r="E5909" s="716">
        <v>12.37</v>
      </c>
      <c r="F5909" s="717">
        <v>0</v>
      </c>
      <c r="G5909">
        <f>VLOOKUP(B5909,'SINAPI-%MO'!B:E,4,0)</f>
        <v>0.21829999999999999</v>
      </c>
      <c r="H5909" s="225">
        <f t="shared" si="92"/>
        <v>9.66</v>
      </c>
    </row>
    <row r="5910" spans="1:8" x14ac:dyDescent="0.3">
      <c r="A5910" s="400"/>
      <c r="B5910" s="709">
        <v>89430</v>
      </c>
      <c r="C5910" s="710" t="s">
        <v>5199</v>
      </c>
      <c r="D5910" s="709" t="s">
        <v>136</v>
      </c>
      <c r="E5910" s="716">
        <v>14.92</v>
      </c>
      <c r="F5910" s="717">
        <v>0</v>
      </c>
      <c r="G5910">
        <f>VLOOKUP(B5910,'SINAPI-%MO'!B:E,4,0)</f>
        <v>0.34849999999999998</v>
      </c>
      <c r="H5910" s="225">
        <f t="shared" si="92"/>
        <v>9.7200000000000006</v>
      </c>
    </row>
    <row r="5911" spans="1:8" x14ac:dyDescent="0.3">
      <c r="A5911" s="400"/>
      <c r="B5911" s="709">
        <v>89384</v>
      </c>
      <c r="C5911" s="710" t="s">
        <v>5200</v>
      </c>
      <c r="D5911" s="709" t="s">
        <v>136</v>
      </c>
      <c r="E5911" s="716">
        <v>15.54</v>
      </c>
      <c r="F5911" s="717">
        <v>0</v>
      </c>
      <c r="G5911">
        <f>VLOOKUP(B5911,'SINAPI-%MO'!B:E,4,0)</f>
        <v>0.3745</v>
      </c>
      <c r="H5911" s="225">
        <f t="shared" si="92"/>
        <v>9.7200000000000006</v>
      </c>
    </row>
    <row r="5912" spans="1:8" x14ac:dyDescent="0.3">
      <c r="A5912" s="400"/>
      <c r="B5912" s="709">
        <v>89555</v>
      </c>
      <c r="C5912" s="710" t="s">
        <v>5201</v>
      </c>
      <c r="D5912" s="709" t="s">
        <v>136</v>
      </c>
      <c r="E5912" s="716">
        <v>25.59</v>
      </c>
      <c r="F5912" s="717">
        <v>0</v>
      </c>
      <c r="G5912">
        <f>VLOOKUP(B5912,'SINAPI-%MO'!B:E,4,0)</f>
        <v>0.1293</v>
      </c>
      <c r="H5912" s="225">
        <f t="shared" si="92"/>
        <v>22.28</v>
      </c>
    </row>
    <row r="5913" spans="1:8" x14ac:dyDescent="0.3">
      <c r="A5913" s="400"/>
      <c r="B5913" s="709">
        <v>89437</v>
      </c>
      <c r="C5913" s="710" t="s">
        <v>5202</v>
      </c>
      <c r="D5913" s="709" t="s">
        <v>136</v>
      </c>
      <c r="E5913" s="716">
        <v>28.54</v>
      </c>
      <c r="F5913" s="717">
        <v>0</v>
      </c>
      <c r="G5913">
        <f>VLOOKUP(B5913,'SINAPI-%MO'!B:E,4,0)</f>
        <v>0.21759999999999999</v>
      </c>
      <c r="H5913" s="225">
        <f t="shared" si="92"/>
        <v>22.32</v>
      </c>
    </row>
    <row r="5914" spans="1:8" x14ac:dyDescent="0.3">
      <c r="A5914" s="400"/>
      <c r="B5914" s="709">
        <v>89392</v>
      </c>
      <c r="C5914" s="710" t="s">
        <v>5203</v>
      </c>
      <c r="D5914" s="709" t="s">
        <v>136</v>
      </c>
      <c r="E5914" s="716">
        <v>29.28</v>
      </c>
      <c r="F5914" s="717">
        <v>0</v>
      </c>
      <c r="G5914">
        <f>VLOOKUP(B5914,'SINAPI-%MO'!B:E,4,0)</f>
        <v>0.23699999999999999</v>
      </c>
      <c r="H5914" s="225">
        <f t="shared" si="92"/>
        <v>22.34</v>
      </c>
    </row>
    <row r="5915" spans="1:8" x14ac:dyDescent="0.3">
      <c r="A5915" s="400"/>
      <c r="B5915" s="709">
        <v>89405</v>
      </c>
      <c r="C5915" s="710" t="s">
        <v>5204</v>
      </c>
      <c r="D5915" s="709" t="s">
        <v>136</v>
      </c>
      <c r="E5915" s="716">
        <v>9.19</v>
      </c>
      <c r="F5915" s="717">
        <v>0</v>
      </c>
      <c r="G5915">
        <f>VLOOKUP(B5915,'SINAPI-%MO'!B:E,4,0)</f>
        <v>0.73229999999999995</v>
      </c>
      <c r="H5915" s="225">
        <f t="shared" si="92"/>
        <v>2.46</v>
      </c>
    </row>
    <row r="5916" spans="1:8" x14ac:dyDescent="0.3">
      <c r="A5916" s="400"/>
      <c r="B5916" s="709">
        <v>89359</v>
      </c>
      <c r="C5916" s="710" t="s">
        <v>5205</v>
      </c>
      <c r="D5916" s="709" t="s">
        <v>136</v>
      </c>
      <c r="E5916" s="716">
        <v>9.98</v>
      </c>
      <c r="F5916" s="717">
        <v>0</v>
      </c>
      <c r="G5916">
        <f>VLOOKUP(B5916,'SINAPI-%MO'!B:E,4,0)</f>
        <v>0.75349999999999995</v>
      </c>
      <c r="H5916" s="225">
        <f t="shared" si="92"/>
        <v>2.46</v>
      </c>
    </row>
    <row r="5917" spans="1:8" x14ac:dyDescent="0.3">
      <c r="A5917" s="400"/>
      <c r="B5917" s="709">
        <v>89485</v>
      </c>
      <c r="C5917" s="710" t="s">
        <v>5206</v>
      </c>
      <c r="D5917" s="709" t="s">
        <v>136</v>
      </c>
      <c r="E5917" s="716">
        <v>7.32</v>
      </c>
      <c r="F5917" s="717">
        <v>0</v>
      </c>
      <c r="G5917">
        <f>VLOOKUP(B5917,'SINAPI-%MO'!B:E,4,0)</f>
        <v>0.55189999999999995</v>
      </c>
      <c r="H5917" s="225">
        <f t="shared" si="92"/>
        <v>3.28</v>
      </c>
    </row>
    <row r="5918" spans="1:8" x14ac:dyDescent="0.3">
      <c r="A5918" s="400"/>
      <c r="B5918" s="709">
        <v>89409</v>
      </c>
      <c r="C5918" s="710" t="s">
        <v>5207</v>
      </c>
      <c r="D5918" s="709" t="s">
        <v>136</v>
      </c>
      <c r="E5918" s="716">
        <v>11.13</v>
      </c>
      <c r="F5918" s="717">
        <v>0</v>
      </c>
      <c r="G5918">
        <f>VLOOKUP(B5918,'SINAPI-%MO'!B:E,4,0)</f>
        <v>0.70079999999999998</v>
      </c>
      <c r="H5918" s="225">
        <f t="shared" si="92"/>
        <v>3.33</v>
      </c>
    </row>
    <row r="5919" spans="1:8" x14ac:dyDescent="0.3">
      <c r="A5919" s="400"/>
      <c r="B5919" s="709">
        <v>89363</v>
      </c>
      <c r="C5919" s="710" t="s">
        <v>5208</v>
      </c>
      <c r="D5919" s="709" t="s">
        <v>136</v>
      </c>
      <c r="E5919" s="716">
        <v>12.06</v>
      </c>
      <c r="F5919" s="717">
        <v>0</v>
      </c>
      <c r="G5919">
        <f>VLOOKUP(B5919,'SINAPI-%MO'!B:E,4,0)</f>
        <v>0.72389999999999999</v>
      </c>
      <c r="H5919" s="225">
        <f t="shared" si="92"/>
        <v>3.32</v>
      </c>
    </row>
    <row r="5920" spans="1:8" x14ac:dyDescent="0.3">
      <c r="A5920" s="400"/>
      <c r="B5920" s="709">
        <v>89493</v>
      </c>
      <c r="C5920" s="710" t="s">
        <v>5209</v>
      </c>
      <c r="D5920" s="709" t="s">
        <v>136</v>
      </c>
      <c r="E5920" s="716">
        <v>11.97</v>
      </c>
      <c r="F5920" s="717">
        <v>0</v>
      </c>
      <c r="G5920">
        <f>VLOOKUP(B5920,'SINAPI-%MO'!B:E,4,0)</f>
        <v>0.41099999999999998</v>
      </c>
      <c r="H5920" s="225">
        <f t="shared" si="92"/>
        <v>7.05</v>
      </c>
    </row>
    <row r="5921" spans="1:8" x14ac:dyDescent="0.3">
      <c r="A5921" s="400"/>
      <c r="B5921" s="709">
        <v>89414</v>
      </c>
      <c r="C5921" s="710" t="s">
        <v>5210</v>
      </c>
      <c r="D5921" s="709" t="s">
        <v>136</v>
      </c>
      <c r="E5921" s="716">
        <v>16.41</v>
      </c>
      <c r="F5921" s="717">
        <v>0</v>
      </c>
      <c r="G5921">
        <f>VLOOKUP(B5921,'SINAPI-%MO'!B:E,4,0)</f>
        <v>0.56730000000000003</v>
      </c>
      <c r="H5921" s="225">
        <f t="shared" si="92"/>
        <v>7.1</v>
      </c>
    </row>
    <row r="5922" spans="1:8" x14ac:dyDescent="0.3">
      <c r="A5922" s="400"/>
      <c r="B5922" s="709">
        <v>89368</v>
      </c>
      <c r="C5922" s="710" t="s">
        <v>5211</v>
      </c>
      <c r="D5922" s="709" t="s">
        <v>136</v>
      </c>
      <c r="E5922" s="716">
        <v>17.510000000000002</v>
      </c>
      <c r="F5922" s="717">
        <v>0</v>
      </c>
      <c r="G5922">
        <f>VLOOKUP(B5922,'SINAPI-%MO'!B:E,4,0)</f>
        <v>0.59389999999999998</v>
      </c>
      <c r="H5922" s="225">
        <f t="shared" si="92"/>
        <v>7.11</v>
      </c>
    </row>
    <row r="5923" spans="1:8" x14ac:dyDescent="0.3">
      <c r="A5923" s="400"/>
      <c r="B5923" s="709">
        <v>89498</v>
      </c>
      <c r="C5923" s="710" t="s">
        <v>5212</v>
      </c>
      <c r="D5923" s="709" t="s">
        <v>136</v>
      </c>
      <c r="E5923" s="716">
        <v>15.8</v>
      </c>
      <c r="F5923" s="717">
        <v>0</v>
      </c>
      <c r="G5923">
        <f>VLOOKUP(B5923,'SINAPI-%MO'!B:E,4,0)</f>
        <v>0.38040000000000002</v>
      </c>
      <c r="H5923" s="225">
        <f t="shared" si="92"/>
        <v>9.7799999999999994</v>
      </c>
    </row>
    <row r="5924" spans="1:8" x14ac:dyDescent="0.3">
      <c r="A5924" s="400"/>
      <c r="B5924" s="709">
        <v>103981</v>
      </c>
      <c r="C5924" s="710" t="s">
        <v>5213</v>
      </c>
      <c r="D5924" s="709" t="s">
        <v>136</v>
      </c>
      <c r="E5924" s="716">
        <v>20.88</v>
      </c>
      <c r="F5924" s="717">
        <v>0</v>
      </c>
      <c r="G5924">
        <f>VLOOKUP(B5924,'SINAPI-%MO'!B:E,4,0)</f>
        <v>0.52829999999999999</v>
      </c>
      <c r="H5924" s="225">
        <f t="shared" si="92"/>
        <v>9.84</v>
      </c>
    </row>
    <row r="5925" spans="1:8" x14ac:dyDescent="0.3">
      <c r="A5925" s="400"/>
      <c r="B5925" s="709">
        <v>89502</v>
      </c>
      <c r="C5925" s="710" t="s">
        <v>5214</v>
      </c>
      <c r="D5925" s="709" t="s">
        <v>136</v>
      </c>
      <c r="E5925" s="716">
        <v>20.190000000000001</v>
      </c>
      <c r="F5925" s="717">
        <v>0</v>
      </c>
      <c r="G5925">
        <f>VLOOKUP(B5925,'SINAPI-%MO'!B:E,4,0)</f>
        <v>0.36159999999999998</v>
      </c>
      <c r="H5925" s="225">
        <f t="shared" si="92"/>
        <v>12.88</v>
      </c>
    </row>
    <row r="5926" spans="1:8" x14ac:dyDescent="0.3">
      <c r="A5926" s="400"/>
      <c r="B5926" s="709">
        <v>103985</v>
      </c>
      <c r="C5926" s="710" t="s">
        <v>5215</v>
      </c>
      <c r="D5926" s="709" t="s">
        <v>136</v>
      </c>
      <c r="E5926" s="716">
        <v>26.13</v>
      </c>
      <c r="F5926" s="717">
        <v>0</v>
      </c>
      <c r="G5926">
        <f>VLOOKUP(B5926,'SINAPI-%MO'!B:E,4,0)</f>
        <v>0.504</v>
      </c>
      <c r="H5926" s="225">
        <f t="shared" si="92"/>
        <v>12.96</v>
      </c>
    </row>
    <row r="5927" spans="1:8" x14ac:dyDescent="0.3">
      <c r="A5927" s="400"/>
      <c r="B5927" s="709">
        <v>89506</v>
      </c>
      <c r="C5927" s="710" t="s">
        <v>5216</v>
      </c>
      <c r="D5927" s="709" t="s">
        <v>136</v>
      </c>
      <c r="E5927" s="716">
        <v>47.05</v>
      </c>
      <c r="F5927" s="717">
        <v>0</v>
      </c>
      <c r="G5927">
        <f>VLOOKUP(B5927,'SINAPI-%MO'!B:E,4,0)</f>
        <v>0.18379999999999999</v>
      </c>
      <c r="H5927" s="225">
        <f t="shared" si="92"/>
        <v>38.4</v>
      </c>
    </row>
    <row r="5928" spans="1:8" x14ac:dyDescent="0.3">
      <c r="A5928" s="400"/>
      <c r="B5928" s="709">
        <v>89515</v>
      </c>
      <c r="C5928" s="710" t="s">
        <v>5217</v>
      </c>
      <c r="D5928" s="709" t="s">
        <v>136</v>
      </c>
      <c r="E5928" s="716">
        <v>98.29</v>
      </c>
      <c r="F5928" s="717">
        <v>0</v>
      </c>
      <c r="G5928">
        <f>VLOOKUP(B5928,'SINAPI-%MO'!B:E,4,0)</f>
        <v>0.1079</v>
      </c>
      <c r="H5928" s="225">
        <f t="shared" si="92"/>
        <v>87.68</v>
      </c>
    </row>
    <row r="5929" spans="1:8" x14ac:dyDescent="0.3">
      <c r="A5929" s="400"/>
      <c r="B5929" s="709">
        <v>89523</v>
      </c>
      <c r="C5929" s="710" t="s">
        <v>5218</v>
      </c>
      <c r="D5929" s="709" t="s">
        <v>136</v>
      </c>
      <c r="E5929" s="716">
        <v>120.24</v>
      </c>
      <c r="F5929" s="717">
        <v>0</v>
      </c>
      <c r="G5929">
        <f>VLOOKUP(B5929,'SINAPI-%MO'!B:E,4,0)</f>
        <v>9.9000000000000005E-2</v>
      </c>
      <c r="H5929" s="225">
        <f t="shared" si="92"/>
        <v>108.33</v>
      </c>
    </row>
    <row r="5930" spans="1:8" x14ac:dyDescent="0.3">
      <c r="A5930" s="400"/>
      <c r="B5930" s="709">
        <v>90373</v>
      </c>
      <c r="C5930" s="710" t="s">
        <v>5219</v>
      </c>
      <c r="D5930" s="709" t="s">
        <v>136</v>
      </c>
      <c r="E5930" s="716">
        <v>15.41</v>
      </c>
      <c r="F5930" s="717">
        <v>0</v>
      </c>
      <c r="G5930">
        <f>VLOOKUP(B5930,'SINAPI-%MO'!B:E,4,0)</f>
        <v>0.48930000000000001</v>
      </c>
      <c r="H5930" s="225">
        <f t="shared" si="92"/>
        <v>7.86</v>
      </c>
    </row>
    <row r="5931" spans="1:8" x14ac:dyDescent="0.3">
      <c r="A5931" s="400"/>
      <c r="B5931" s="709">
        <v>89366</v>
      </c>
      <c r="C5931" s="710" t="s">
        <v>5220</v>
      </c>
      <c r="D5931" s="709" t="s">
        <v>136</v>
      </c>
      <c r="E5931" s="716">
        <v>19.34</v>
      </c>
      <c r="F5931" s="717">
        <v>0</v>
      </c>
      <c r="G5931">
        <f>VLOOKUP(B5931,'SINAPI-%MO'!B:E,4,0)</f>
        <v>0.4204</v>
      </c>
      <c r="H5931" s="225">
        <f t="shared" si="92"/>
        <v>11.2</v>
      </c>
    </row>
    <row r="5932" spans="1:8" x14ac:dyDescent="0.3">
      <c r="A5932" s="400"/>
      <c r="B5932" s="709">
        <v>89404</v>
      </c>
      <c r="C5932" s="710" t="s">
        <v>5221</v>
      </c>
      <c r="D5932" s="709" t="s">
        <v>136</v>
      </c>
      <c r="E5932" s="716">
        <v>8.52</v>
      </c>
      <c r="F5932" s="717">
        <v>0</v>
      </c>
      <c r="G5932">
        <f>VLOOKUP(B5932,'SINAPI-%MO'!B:E,4,0)</f>
        <v>0.78990000000000005</v>
      </c>
      <c r="H5932" s="225">
        <f t="shared" si="92"/>
        <v>1.79</v>
      </c>
    </row>
    <row r="5933" spans="1:8" x14ac:dyDescent="0.3">
      <c r="A5933" s="400"/>
      <c r="B5933" s="709">
        <v>89358</v>
      </c>
      <c r="C5933" s="710" t="s">
        <v>5222</v>
      </c>
      <c r="D5933" s="709" t="s">
        <v>136</v>
      </c>
      <c r="E5933" s="716">
        <v>9.31</v>
      </c>
      <c r="F5933" s="717">
        <v>0</v>
      </c>
      <c r="G5933">
        <f>VLOOKUP(B5933,'SINAPI-%MO'!B:E,4,0)</f>
        <v>0.80769999999999997</v>
      </c>
      <c r="H5933" s="225">
        <f t="shared" si="92"/>
        <v>1.79</v>
      </c>
    </row>
    <row r="5934" spans="1:8" x14ac:dyDescent="0.3">
      <c r="A5934" s="400"/>
      <c r="B5934" s="709">
        <v>89481</v>
      </c>
      <c r="C5934" s="710" t="s">
        <v>5223</v>
      </c>
      <c r="D5934" s="709" t="s">
        <v>136</v>
      </c>
      <c r="E5934" s="716">
        <v>6.37</v>
      </c>
      <c r="F5934" s="717">
        <v>0</v>
      </c>
      <c r="G5934">
        <f>VLOOKUP(B5934,'SINAPI-%MO'!B:E,4,0)</f>
        <v>0.63419999999999999</v>
      </c>
      <c r="H5934" s="225">
        <f t="shared" si="92"/>
        <v>2.33</v>
      </c>
    </row>
    <row r="5935" spans="1:8" x14ac:dyDescent="0.3">
      <c r="A5935" s="400"/>
      <c r="B5935" s="709">
        <v>89408</v>
      </c>
      <c r="C5935" s="710" t="s">
        <v>5224</v>
      </c>
      <c r="D5935" s="709" t="s">
        <v>136</v>
      </c>
      <c r="E5935" s="716">
        <v>10.18</v>
      </c>
      <c r="F5935" s="717">
        <v>0</v>
      </c>
      <c r="G5935">
        <f>VLOOKUP(B5935,'SINAPI-%MO'!B:E,4,0)</f>
        <v>0.76619999999999999</v>
      </c>
      <c r="H5935" s="225">
        <f t="shared" si="92"/>
        <v>2.38</v>
      </c>
    </row>
    <row r="5936" spans="1:8" x14ac:dyDescent="0.3">
      <c r="A5936" s="400"/>
      <c r="B5936" s="709">
        <v>89362</v>
      </c>
      <c r="C5936" s="710" t="s">
        <v>5225</v>
      </c>
      <c r="D5936" s="709" t="s">
        <v>136</v>
      </c>
      <c r="E5936" s="716">
        <v>11.11</v>
      </c>
      <c r="F5936" s="717">
        <v>0</v>
      </c>
      <c r="G5936">
        <f>VLOOKUP(B5936,'SINAPI-%MO'!B:E,4,0)</f>
        <v>0.78580000000000005</v>
      </c>
      <c r="H5936" s="225">
        <f t="shared" si="92"/>
        <v>2.37</v>
      </c>
    </row>
    <row r="5937" spans="1:8" x14ac:dyDescent="0.3">
      <c r="A5937" s="400"/>
      <c r="B5937" s="709">
        <v>89412</v>
      </c>
      <c r="C5937" s="710" t="s">
        <v>5226</v>
      </c>
      <c r="D5937" s="709" t="s">
        <v>136</v>
      </c>
      <c r="E5937" s="716">
        <v>11.52</v>
      </c>
      <c r="F5937" s="717">
        <v>0</v>
      </c>
      <c r="G5937">
        <f>VLOOKUP(B5937,'SINAPI-%MO'!B:E,4,0)</f>
        <v>0.63109999999999999</v>
      </c>
      <c r="H5937" s="225">
        <f t="shared" si="92"/>
        <v>4.24</v>
      </c>
    </row>
    <row r="5938" spans="1:8" x14ac:dyDescent="0.3">
      <c r="A5938" s="400"/>
      <c r="B5938" s="709">
        <v>89492</v>
      </c>
      <c r="C5938" s="710" t="s">
        <v>5227</v>
      </c>
      <c r="D5938" s="709" t="s">
        <v>136</v>
      </c>
      <c r="E5938" s="716">
        <v>9.85</v>
      </c>
      <c r="F5938" s="717">
        <v>0</v>
      </c>
      <c r="G5938">
        <f>VLOOKUP(B5938,'SINAPI-%MO'!B:E,4,0)</f>
        <v>0.4995</v>
      </c>
      <c r="H5938" s="225">
        <f t="shared" si="92"/>
        <v>4.92</v>
      </c>
    </row>
    <row r="5939" spans="1:8" x14ac:dyDescent="0.3">
      <c r="A5939" s="400"/>
      <c r="B5939" s="709">
        <v>89413</v>
      </c>
      <c r="C5939" s="710" t="s">
        <v>5228</v>
      </c>
      <c r="D5939" s="709" t="s">
        <v>136</v>
      </c>
      <c r="E5939" s="716">
        <v>14.29</v>
      </c>
      <c r="F5939" s="717">
        <v>0</v>
      </c>
      <c r="G5939">
        <f>VLOOKUP(B5939,'SINAPI-%MO'!B:E,4,0)</f>
        <v>0.65149999999999997</v>
      </c>
      <c r="H5939" s="225">
        <f t="shared" si="92"/>
        <v>4.9800000000000004</v>
      </c>
    </row>
    <row r="5940" spans="1:8" x14ac:dyDescent="0.3">
      <c r="A5940" s="400"/>
      <c r="B5940" s="709">
        <v>89367</v>
      </c>
      <c r="C5940" s="710" t="s">
        <v>5229</v>
      </c>
      <c r="D5940" s="709" t="s">
        <v>136</v>
      </c>
      <c r="E5940" s="716">
        <v>15.39</v>
      </c>
      <c r="F5940" s="717">
        <v>0</v>
      </c>
      <c r="G5940">
        <f>VLOOKUP(B5940,'SINAPI-%MO'!B:E,4,0)</f>
        <v>0.67579999999999996</v>
      </c>
      <c r="H5940" s="225">
        <f t="shared" si="92"/>
        <v>4.9800000000000004</v>
      </c>
    </row>
    <row r="5941" spans="1:8" x14ac:dyDescent="0.3">
      <c r="A5941" s="400"/>
      <c r="B5941" s="709">
        <v>89497</v>
      </c>
      <c r="C5941" s="710" t="s">
        <v>5230</v>
      </c>
      <c r="D5941" s="709" t="s">
        <v>136</v>
      </c>
      <c r="E5941" s="716">
        <v>15.73</v>
      </c>
      <c r="F5941" s="717">
        <v>0</v>
      </c>
      <c r="G5941">
        <f>VLOOKUP(B5941,'SINAPI-%MO'!B:E,4,0)</f>
        <v>0.3821</v>
      </c>
      <c r="H5941" s="225">
        <f t="shared" si="92"/>
        <v>9.7100000000000009</v>
      </c>
    </row>
    <row r="5942" spans="1:8" x14ac:dyDescent="0.3">
      <c r="A5942" s="400"/>
      <c r="B5942" s="709">
        <v>103980</v>
      </c>
      <c r="C5942" s="710" t="s">
        <v>5231</v>
      </c>
      <c r="D5942" s="709" t="s">
        <v>136</v>
      </c>
      <c r="E5942" s="716">
        <v>20.81</v>
      </c>
      <c r="F5942" s="717">
        <v>0</v>
      </c>
      <c r="G5942">
        <f>VLOOKUP(B5942,'SINAPI-%MO'!B:E,4,0)</f>
        <v>0.53</v>
      </c>
      <c r="H5942" s="225">
        <f t="shared" si="92"/>
        <v>9.7799999999999994</v>
      </c>
    </row>
    <row r="5943" spans="1:8" x14ac:dyDescent="0.3">
      <c r="A5943" s="400"/>
      <c r="B5943" s="709">
        <v>89501</v>
      </c>
      <c r="C5943" s="710" t="s">
        <v>5232</v>
      </c>
      <c r="D5943" s="709" t="s">
        <v>136</v>
      </c>
      <c r="E5943" s="716">
        <v>17.12</v>
      </c>
      <c r="F5943" s="717">
        <v>0</v>
      </c>
      <c r="G5943">
        <f>VLOOKUP(B5943,'SINAPI-%MO'!B:E,4,0)</f>
        <v>0.4264</v>
      </c>
      <c r="H5943" s="225">
        <f t="shared" si="92"/>
        <v>9.82</v>
      </c>
    </row>
    <row r="5944" spans="1:8" x14ac:dyDescent="0.3">
      <c r="A5944" s="400"/>
      <c r="B5944" s="709">
        <v>103984</v>
      </c>
      <c r="C5944" s="710" t="s">
        <v>5233</v>
      </c>
      <c r="D5944" s="709" t="s">
        <v>136</v>
      </c>
      <c r="E5944" s="716">
        <v>23.06</v>
      </c>
      <c r="F5944" s="717">
        <v>0</v>
      </c>
      <c r="G5944">
        <f>VLOOKUP(B5944,'SINAPI-%MO'!B:E,4,0)</f>
        <v>0.57110000000000005</v>
      </c>
      <c r="H5944" s="225">
        <f t="shared" si="92"/>
        <v>9.89</v>
      </c>
    </row>
    <row r="5945" spans="1:8" x14ac:dyDescent="0.3">
      <c r="A5945" s="400"/>
      <c r="B5945" s="709">
        <v>89505</v>
      </c>
      <c r="C5945" s="710" t="s">
        <v>5234</v>
      </c>
      <c r="D5945" s="709" t="s">
        <v>136</v>
      </c>
      <c r="E5945" s="716">
        <v>49.21</v>
      </c>
      <c r="F5945" s="717">
        <v>0</v>
      </c>
      <c r="G5945">
        <f>VLOOKUP(B5945,'SINAPI-%MO'!B:E,4,0)</f>
        <v>0.17580000000000001</v>
      </c>
      <c r="H5945" s="225">
        <f t="shared" si="92"/>
        <v>40.549999999999997</v>
      </c>
    </row>
    <row r="5946" spans="1:8" x14ac:dyDescent="0.3">
      <c r="A5946" s="400"/>
      <c r="B5946" s="709">
        <v>89513</v>
      </c>
      <c r="C5946" s="710" t="s">
        <v>5235</v>
      </c>
      <c r="D5946" s="709" t="s">
        <v>136</v>
      </c>
      <c r="E5946" s="716">
        <v>123.14</v>
      </c>
      <c r="F5946" s="717">
        <v>0</v>
      </c>
      <c r="G5946">
        <f>VLOOKUP(B5946,'SINAPI-%MO'!B:E,4,0)</f>
        <v>8.6199999999999999E-2</v>
      </c>
      <c r="H5946" s="225">
        <f t="shared" si="92"/>
        <v>112.52</v>
      </c>
    </row>
    <row r="5947" spans="1:8" x14ac:dyDescent="0.3">
      <c r="A5947" s="400"/>
      <c r="B5947" s="709">
        <v>89521</v>
      </c>
      <c r="C5947" s="710" t="s">
        <v>5236</v>
      </c>
      <c r="D5947" s="709" t="s">
        <v>136</v>
      </c>
      <c r="E5947" s="716">
        <v>146.84</v>
      </c>
      <c r="F5947" s="717">
        <v>0</v>
      </c>
      <c r="G5947">
        <f>VLOOKUP(B5947,'SINAPI-%MO'!B:E,4,0)</f>
        <v>8.1000000000000003E-2</v>
      </c>
      <c r="H5947" s="225">
        <f t="shared" si="92"/>
        <v>134.94</v>
      </c>
    </row>
    <row r="5948" spans="1:8" x14ac:dyDescent="0.3">
      <c r="A5948" s="400"/>
      <c r="B5948" s="709">
        <v>103955</v>
      </c>
      <c r="C5948" s="710" t="s">
        <v>5237</v>
      </c>
      <c r="D5948" s="709" t="s">
        <v>136</v>
      </c>
      <c r="E5948" s="716">
        <v>11.9</v>
      </c>
      <c r="F5948" s="717">
        <v>0</v>
      </c>
      <c r="G5948">
        <f>VLOOKUP(B5948,'SINAPI-%MO'!B:E,4,0)</f>
        <v>0.6109</v>
      </c>
      <c r="H5948" s="225">
        <f t="shared" si="92"/>
        <v>4.63</v>
      </c>
    </row>
    <row r="5949" spans="1:8" x14ac:dyDescent="0.3">
      <c r="A5949" s="400"/>
      <c r="B5949" s="709">
        <v>103950</v>
      </c>
      <c r="C5949" s="710" t="s">
        <v>5238</v>
      </c>
      <c r="D5949" s="709" t="s">
        <v>136</v>
      </c>
      <c r="E5949" s="716">
        <v>12.77</v>
      </c>
      <c r="F5949" s="717">
        <v>0</v>
      </c>
      <c r="G5949">
        <f>VLOOKUP(B5949,'SINAPI-%MO'!B:E,4,0)</f>
        <v>0.63660000000000005</v>
      </c>
      <c r="H5949" s="225">
        <f t="shared" si="92"/>
        <v>4.6399999999999997</v>
      </c>
    </row>
    <row r="5950" spans="1:8" x14ac:dyDescent="0.3">
      <c r="A5950" s="400"/>
      <c r="B5950" s="709">
        <v>103974</v>
      </c>
      <c r="C5950" s="710" t="s">
        <v>5239</v>
      </c>
      <c r="D5950" s="709" t="s">
        <v>136</v>
      </c>
      <c r="E5950" s="716">
        <v>12.54</v>
      </c>
      <c r="F5950" s="717">
        <v>0</v>
      </c>
      <c r="G5950">
        <f>VLOOKUP(B5950,'SINAPI-%MO'!B:E,4,0)</f>
        <v>0.35809999999999997</v>
      </c>
      <c r="H5950" s="225">
        <f t="shared" si="92"/>
        <v>8.0399999999999991</v>
      </c>
    </row>
    <row r="5951" spans="1:8" x14ac:dyDescent="0.3">
      <c r="A5951" s="400"/>
      <c r="B5951" s="709">
        <v>103956</v>
      </c>
      <c r="C5951" s="710" t="s">
        <v>5240</v>
      </c>
      <c r="D5951" s="709" t="s">
        <v>136</v>
      </c>
      <c r="E5951" s="716">
        <v>16.649999999999999</v>
      </c>
      <c r="F5951" s="717">
        <v>0</v>
      </c>
      <c r="G5951">
        <f>VLOOKUP(B5951,'SINAPI-%MO'!B:E,4,0)</f>
        <v>0.51349999999999996</v>
      </c>
      <c r="H5951" s="225">
        <f t="shared" si="92"/>
        <v>8.1</v>
      </c>
    </row>
    <row r="5952" spans="1:8" x14ac:dyDescent="0.3">
      <c r="A5952" s="400"/>
      <c r="B5952" s="709">
        <v>103951</v>
      </c>
      <c r="C5952" s="710" t="s">
        <v>5241</v>
      </c>
      <c r="D5952" s="709" t="s">
        <v>136</v>
      </c>
      <c r="E5952" s="716">
        <v>17.670000000000002</v>
      </c>
      <c r="F5952" s="717">
        <v>0</v>
      </c>
      <c r="G5952">
        <f>VLOOKUP(B5952,'SINAPI-%MO'!B:E,4,0)</f>
        <v>0.54100000000000004</v>
      </c>
      <c r="H5952" s="225">
        <f t="shared" si="92"/>
        <v>8.11</v>
      </c>
    </row>
    <row r="5953" spans="1:8" x14ac:dyDescent="0.3">
      <c r="A5953" s="400"/>
      <c r="B5953" s="709">
        <v>89374</v>
      </c>
      <c r="C5953" s="710" t="s">
        <v>5242</v>
      </c>
      <c r="D5953" s="709" t="s">
        <v>136</v>
      </c>
      <c r="E5953" s="716">
        <v>12.05</v>
      </c>
      <c r="F5953" s="717">
        <v>0</v>
      </c>
      <c r="G5953">
        <f>VLOOKUP(B5953,'SINAPI-%MO'!B:E,4,0)</f>
        <v>0.38340000000000002</v>
      </c>
      <c r="H5953" s="225">
        <f t="shared" si="92"/>
        <v>7.43</v>
      </c>
    </row>
    <row r="5954" spans="1:8" x14ac:dyDescent="0.3">
      <c r="A5954" s="400"/>
      <c r="B5954" s="709">
        <v>89427</v>
      </c>
      <c r="C5954" s="710" t="s">
        <v>5243</v>
      </c>
      <c r="D5954" s="709" t="s">
        <v>136</v>
      </c>
      <c r="E5954" s="716">
        <v>14.2</v>
      </c>
      <c r="F5954" s="717">
        <v>0</v>
      </c>
      <c r="G5954">
        <f>VLOOKUP(B5954,'SINAPI-%MO'!B:E,4,0)</f>
        <v>0.34079999999999999</v>
      </c>
      <c r="H5954" s="225">
        <f t="shared" si="92"/>
        <v>9.36</v>
      </c>
    </row>
    <row r="5955" spans="1:8" x14ac:dyDescent="0.3">
      <c r="A5955" s="400"/>
      <c r="B5955" s="709">
        <v>89381</v>
      </c>
      <c r="C5955" s="710" t="s">
        <v>5244</v>
      </c>
      <c r="D5955" s="709" t="s">
        <v>136</v>
      </c>
      <c r="E5955" s="716">
        <v>14.79</v>
      </c>
      <c r="F5955" s="717">
        <v>0</v>
      </c>
      <c r="G5955">
        <f>VLOOKUP(B5955,'SINAPI-%MO'!B:E,4,0)</f>
        <v>0.36649999999999999</v>
      </c>
      <c r="H5955" s="225">
        <f t="shared" si="92"/>
        <v>9.36</v>
      </c>
    </row>
    <row r="5956" spans="1:8" x14ac:dyDescent="0.3">
      <c r="A5956" s="400"/>
      <c r="B5956" s="709">
        <v>95237</v>
      </c>
      <c r="C5956" s="710" t="s">
        <v>5245</v>
      </c>
      <c r="D5956" s="709" t="s">
        <v>136</v>
      </c>
      <c r="E5956" s="716">
        <v>28.84</v>
      </c>
      <c r="F5956" s="717">
        <v>0</v>
      </c>
      <c r="G5956">
        <f>VLOOKUP(B5956,'SINAPI-%MO'!B:E,4,0)</f>
        <v>0.1976</v>
      </c>
      <c r="H5956" s="225">
        <f t="shared" si="92"/>
        <v>23.14</v>
      </c>
    </row>
    <row r="5957" spans="1:8" x14ac:dyDescent="0.3">
      <c r="A5957" s="400"/>
      <c r="B5957" s="709">
        <v>89979</v>
      </c>
      <c r="C5957" s="710" t="s">
        <v>5246</v>
      </c>
      <c r="D5957" s="709" t="s">
        <v>136</v>
      </c>
      <c r="E5957" s="716">
        <v>29.53</v>
      </c>
      <c r="F5957" s="717">
        <v>0</v>
      </c>
      <c r="G5957">
        <f>VLOOKUP(B5957,'SINAPI-%MO'!B:E,4,0)</f>
        <v>0.21609999999999999</v>
      </c>
      <c r="H5957" s="225">
        <f t="shared" si="92"/>
        <v>23.14</v>
      </c>
    </row>
    <row r="5958" spans="1:8" x14ac:dyDescent="0.3">
      <c r="A5958" s="400"/>
      <c r="B5958" s="709">
        <v>103991</v>
      </c>
      <c r="C5958" s="710" t="s">
        <v>5247</v>
      </c>
      <c r="D5958" s="709" t="s">
        <v>136</v>
      </c>
      <c r="E5958" s="716">
        <v>21.76</v>
      </c>
      <c r="F5958" s="717">
        <v>0</v>
      </c>
      <c r="G5958">
        <f>VLOOKUP(B5958,'SINAPI-%MO'!B:E,4,0)</f>
        <v>0.31159999999999999</v>
      </c>
      <c r="H5958" s="225">
        <f t="shared" si="92"/>
        <v>14.97</v>
      </c>
    </row>
    <row r="5959" spans="1:8" x14ac:dyDescent="0.3">
      <c r="A5959" s="400"/>
      <c r="B5959" s="709">
        <v>89564</v>
      </c>
      <c r="C5959" s="710" t="s">
        <v>5248</v>
      </c>
      <c r="D5959" s="709" t="s">
        <v>136</v>
      </c>
      <c r="E5959" s="716">
        <v>18.559999999999999</v>
      </c>
      <c r="F5959" s="717">
        <v>0</v>
      </c>
      <c r="G5959">
        <f>VLOOKUP(B5959,'SINAPI-%MO'!B:E,4,0)</f>
        <v>0.1961</v>
      </c>
      <c r="H5959" s="225">
        <f t="shared" si="92"/>
        <v>14.92</v>
      </c>
    </row>
    <row r="5960" spans="1:8" x14ac:dyDescent="0.3">
      <c r="A5960" s="400"/>
      <c r="B5960" s="709">
        <v>104000</v>
      </c>
      <c r="C5960" s="710" t="s">
        <v>5249</v>
      </c>
      <c r="D5960" s="709" t="s">
        <v>136</v>
      </c>
      <c r="E5960" s="716">
        <v>33.340000000000003</v>
      </c>
      <c r="F5960" s="717">
        <v>0</v>
      </c>
      <c r="G5960">
        <f>VLOOKUP(B5960,'SINAPI-%MO'!B:E,4,0)</f>
        <v>0.23130000000000001</v>
      </c>
      <c r="H5960" s="225">
        <f t="shared" si="92"/>
        <v>25.62</v>
      </c>
    </row>
    <row r="5961" spans="1:8" x14ac:dyDescent="0.3">
      <c r="A5961" s="400"/>
      <c r="B5961" s="709">
        <v>89593</v>
      </c>
      <c r="C5961" s="710" t="s">
        <v>5250</v>
      </c>
      <c r="D5961" s="709" t="s">
        <v>136</v>
      </c>
      <c r="E5961" s="716">
        <v>29.51</v>
      </c>
      <c r="F5961" s="717">
        <v>0</v>
      </c>
      <c r="G5961">
        <f>VLOOKUP(B5961,'SINAPI-%MO'!B:E,4,0)</f>
        <v>0.14269999999999999</v>
      </c>
      <c r="H5961" s="225">
        <f t="shared" si="92"/>
        <v>25.29</v>
      </c>
    </row>
    <row r="5962" spans="1:8" x14ac:dyDescent="0.3">
      <c r="A5962" s="400"/>
      <c r="B5962" s="709">
        <v>89418</v>
      </c>
      <c r="C5962" s="710" t="s">
        <v>5251</v>
      </c>
      <c r="D5962" s="709" t="s">
        <v>136</v>
      </c>
      <c r="E5962" s="716">
        <v>18.61</v>
      </c>
      <c r="F5962" s="717">
        <v>0</v>
      </c>
      <c r="G5962">
        <f>VLOOKUP(B5962,'SINAPI-%MO'!B:E,4,0)</f>
        <v>0.2407</v>
      </c>
      <c r="H5962" s="225">
        <f t="shared" si="92"/>
        <v>14.13</v>
      </c>
    </row>
    <row r="5963" spans="1:8" x14ac:dyDescent="0.3">
      <c r="A5963" s="400"/>
      <c r="B5963" s="709">
        <v>89372</v>
      </c>
      <c r="C5963" s="710" t="s">
        <v>5252</v>
      </c>
      <c r="D5963" s="709" t="s">
        <v>136</v>
      </c>
      <c r="E5963" s="716">
        <v>19.14</v>
      </c>
      <c r="F5963" s="717">
        <v>0</v>
      </c>
      <c r="G5963">
        <f>VLOOKUP(B5963,'SINAPI-%MO'!B:E,4,0)</f>
        <v>0.26179999999999998</v>
      </c>
      <c r="H5963" s="225">
        <f t="shared" ref="H5963:H6026" si="93">IF(E5963&gt;0,TRUNC(E5963*(1-G5963),2),"")</f>
        <v>14.12</v>
      </c>
    </row>
    <row r="5964" spans="1:8" x14ac:dyDescent="0.3">
      <c r="A5964" s="400"/>
      <c r="B5964" s="709">
        <v>89530</v>
      </c>
      <c r="C5964" s="710" t="s">
        <v>5253</v>
      </c>
      <c r="D5964" s="709" t="s">
        <v>136</v>
      </c>
      <c r="E5964" s="716">
        <v>19.34</v>
      </c>
      <c r="F5964" s="717">
        <v>0</v>
      </c>
      <c r="G5964">
        <f>VLOOKUP(B5964,'SINAPI-%MO'!B:E,4,0)</f>
        <v>0.1396</v>
      </c>
      <c r="H5964" s="225">
        <f t="shared" si="93"/>
        <v>16.64</v>
      </c>
    </row>
    <row r="5965" spans="1:8" x14ac:dyDescent="0.3">
      <c r="A5965" s="400"/>
      <c r="B5965" s="709">
        <v>89425</v>
      </c>
      <c r="C5965" s="710" t="s">
        <v>5254</v>
      </c>
      <c r="D5965" s="709" t="s">
        <v>136</v>
      </c>
      <c r="E5965" s="716">
        <v>21.89</v>
      </c>
      <c r="F5965" s="717">
        <v>0</v>
      </c>
      <c r="G5965">
        <f>VLOOKUP(B5965,'SINAPI-%MO'!B:E,4,0)</f>
        <v>0.23760000000000001</v>
      </c>
      <c r="H5965" s="225">
        <f t="shared" si="93"/>
        <v>16.68</v>
      </c>
    </row>
    <row r="5966" spans="1:8" x14ac:dyDescent="0.3">
      <c r="A5966" s="400"/>
      <c r="B5966" s="709">
        <v>89379</v>
      </c>
      <c r="C5966" s="710" t="s">
        <v>5255</v>
      </c>
      <c r="D5966" s="709" t="s">
        <v>136</v>
      </c>
      <c r="E5966" s="716">
        <v>22.51</v>
      </c>
      <c r="F5966" s="717">
        <v>0</v>
      </c>
      <c r="G5966">
        <f>VLOOKUP(B5966,'SINAPI-%MO'!B:E,4,0)</f>
        <v>0.2586</v>
      </c>
      <c r="H5966" s="225">
        <f t="shared" si="93"/>
        <v>16.68</v>
      </c>
    </row>
    <row r="5967" spans="1:8" x14ac:dyDescent="0.3">
      <c r="A5967" s="400"/>
      <c r="B5967" s="709">
        <v>89542</v>
      </c>
      <c r="C5967" s="710" t="s">
        <v>5256</v>
      </c>
      <c r="D5967" s="709" t="s">
        <v>136</v>
      </c>
      <c r="E5967" s="716">
        <v>32.26</v>
      </c>
      <c r="F5967" s="717">
        <v>0</v>
      </c>
      <c r="G5967">
        <f>VLOOKUP(B5967,'SINAPI-%MO'!B:E,4,0)</f>
        <v>0.1026</v>
      </c>
      <c r="H5967" s="225">
        <f t="shared" si="93"/>
        <v>28.95</v>
      </c>
    </row>
    <row r="5968" spans="1:8" x14ac:dyDescent="0.3">
      <c r="A5968" s="400"/>
      <c r="B5968" s="709">
        <v>89432</v>
      </c>
      <c r="C5968" s="710" t="s">
        <v>5257</v>
      </c>
      <c r="D5968" s="709" t="s">
        <v>136</v>
      </c>
      <c r="E5968" s="716">
        <v>35.21</v>
      </c>
      <c r="F5968" s="717">
        <v>0</v>
      </c>
      <c r="G5968">
        <f>VLOOKUP(B5968,'SINAPI-%MO'!B:E,4,0)</f>
        <v>0.1764</v>
      </c>
      <c r="H5968" s="225">
        <f t="shared" si="93"/>
        <v>28.99</v>
      </c>
    </row>
    <row r="5969" spans="1:8" x14ac:dyDescent="0.3">
      <c r="A5969" s="400"/>
      <c r="B5969" s="709">
        <v>89387</v>
      </c>
      <c r="C5969" s="710" t="s">
        <v>5258</v>
      </c>
      <c r="D5969" s="709" t="s">
        <v>136</v>
      </c>
      <c r="E5969" s="716">
        <v>35.950000000000003</v>
      </c>
      <c r="F5969" s="717">
        <v>0</v>
      </c>
      <c r="G5969">
        <f>VLOOKUP(B5969,'SINAPI-%MO'!B:E,4,0)</f>
        <v>0.193</v>
      </c>
      <c r="H5969" s="225">
        <f t="shared" si="93"/>
        <v>29.01</v>
      </c>
    </row>
    <row r="5970" spans="1:8" x14ac:dyDescent="0.3">
      <c r="A5970" s="400"/>
      <c r="B5970" s="709">
        <v>89560</v>
      </c>
      <c r="C5970" s="710" t="s">
        <v>5259</v>
      </c>
      <c r="D5970" s="709" t="s">
        <v>136</v>
      </c>
      <c r="E5970" s="716">
        <v>41.34</v>
      </c>
      <c r="F5970" s="717">
        <v>0</v>
      </c>
      <c r="G5970">
        <f>VLOOKUP(B5970,'SINAPI-%MO'!B:E,4,0)</f>
        <v>9.6299999999999997E-2</v>
      </c>
      <c r="H5970" s="225">
        <f t="shared" si="93"/>
        <v>37.35</v>
      </c>
    </row>
    <row r="5971" spans="1:8" x14ac:dyDescent="0.3">
      <c r="A5971" s="400"/>
      <c r="B5971" s="709">
        <v>104159</v>
      </c>
      <c r="C5971" s="710" t="s">
        <v>5260</v>
      </c>
      <c r="D5971" s="709" t="s">
        <v>136</v>
      </c>
      <c r="E5971" s="716">
        <v>44.77</v>
      </c>
      <c r="F5971" s="717">
        <v>0</v>
      </c>
      <c r="G5971">
        <f>VLOOKUP(B5971,'SINAPI-%MO'!B:E,4,0)</f>
        <v>0.16420000000000001</v>
      </c>
      <c r="H5971" s="225">
        <f t="shared" si="93"/>
        <v>37.409999999999997</v>
      </c>
    </row>
    <row r="5972" spans="1:8" x14ac:dyDescent="0.3">
      <c r="A5972" s="400"/>
      <c r="B5972" s="709">
        <v>89577</v>
      </c>
      <c r="C5972" s="710" t="s">
        <v>5261</v>
      </c>
      <c r="D5972" s="709" t="s">
        <v>136</v>
      </c>
      <c r="E5972" s="716">
        <v>43.73</v>
      </c>
      <c r="F5972" s="717">
        <v>0</v>
      </c>
      <c r="G5972">
        <f>VLOOKUP(B5972,'SINAPI-%MO'!B:E,4,0)</f>
        <v>0.1111</v>
      </c>
      <c r="H5972" s="225">
        <f t="shared" si="93"/>
        <v>38.869999999999997</v>
      </c>
    </row>
    <row r="5973" spans="1:8" x14ac:dyDescent="0.3">
      <c r="A5973" s="400"/>
      <c r="B5973" s="709">
        <v>103996</v>
      </c>
      <c r="C5973" s="710" t="s">
        <v>5262</v>
      </c>
      <c r="D5973" s="709" t="s">
        <v>136</v>
      </c>
      <c r="E5973" s="716">
        <v>47.73</v>
      </c>
      <c r="F5973" s="717">
        <v>0</v>
      </c>
      <c r="G5973">
        <f>VLOOKUP(B5973,'SINAPI-%MO'!B:E,4,0)</f>
        <v>0.1842</v>
      </c>
      <c r="H5973" s="225">
        <f t="shared" si="93"/>
        <v>38.93</v>
      </c>
    </row>
    <row r="5974" spans="1:8" x14ac:dyDescent="0.3">
      <c r="A5974" s="400"/>
      <c r="B5974" s="709">
        <v>89598</v>
      </c>
      <c r="C5974" s="710" t="s">
        <v>5263</v>
      </c>
      <c r="D5974" s="709" t="s">
        <v>136</v>
      </c>
      <c r="E5974" s="716">
        <v>59</v>
      </c>
      <c r="F5974" s="717">
        <v>0</v>
      </c>
      <c r="G5974">
        <f>VLOOKUP(B5974,'SINAPI-%MO'!B:E,4,0)</f>
        <v>9.7299999999999998E-2</v>
      </c>
      <c r="H5974" s="225">
        <f t="shared" si="93"/>
        <v>53.25</v>
      </c>
    </row>
    <row r="5975" spans="1:8" x14ac:dyDescent="0.3">
      <c r="A5975" s="400"/>
      <c r="B5975" s="709">
        <v>89419</v>
      </c>
      <c r="C5975" s="710" t="s">
        <v>5264</v>
      </c>
      <c r="D5975" s="709" t="s">
        <v>136</v>
      </c>
      <c r="E5975" s="716">
        <v>7.83</v>
      </c>
      <c r="F5975" s="717">
        <v>0</v>
      </c>
      <c r="G5975">
        <f>VLOOKUP(B5975,'SINAPI-%MO'!B:E,4,0)</f>
        <v>0.61809999999999998</v>
      </c>
      <c r="H5975" s="225">
        <f t="shared" si="93"/>
        <v>2.99</v>
      </c>
    </row>
    <row r="5976" spans="1:8" x14ac:dyDescent="0.3">
      <c r="A5976" s="400"/>
      <c r="B5976" s="709">
        <v>89373</v>
      </c>
      <c r="C5976" s="710" t="s">
        <v>5265</v>
      </c>
      <c r="D5976" s="709" t="s">
        <v>136</v>
      </c>
      <c r="E5976" s="716">
        <v>8.42</v>
      </c>
      <c r="F5976" s="717">
        <v>0</v>
      </c>
      <c r="G5976">
        <f>VLOOKUP(B5976,'SINAPI-%MO'!B:E,4,0)</f>
        <v>0.64370000000000005</v>
      </c>
      <c r="H5976" s="225">
        <f t="shared" si="93"/>
        <v>3</v>
      </c>
    </row>
    <row r="5977" spans="1:8" x14ac:dyDescent="0.3">
      <c r="A5977" s="400"/>
      <c r="B5977" s="709">
        <v>89532</v>
      </c>
      <c r="C5977" s="710" t="s">
        <v>5266</v>
      </c>
      <c r="D5977" s="709" t="s">
        <v>136</v>
      </c>
      <c r="E5977" s="716">
        <v>8.51</v>
      </c>
      <c r="F5977" s="717">
        <v>0</v>
      </c>
      <c r="G5977">
        <f>VLOOKUP(B5977,'SINAPI-%MO'!B:E,4,0)</f>
        <v>0.35370000000000001</v>
      </c>
      <c r="H5977" s="225">
        <f t="shared" si="93"/>
        <v>5.5</v>
      </c>
    </row>
    <row r="5978" spans="1:8" x14ac:dyDescent="0.3">
      <c r="A5978" s="400"/>
      <c r="B5978" s="709">
        <v>89426</v>
      </c>
      <c r="C5978" s="710" t="s">
        <v>5267</v>
      </c>
      <c r="D5978" s="709" t="s">
        <v>136</v>
      </c>
      <c r="E5978" s="716">
        <v>11.25</v>
      </c>
      <c r="F5978" s="717">
        <v>0</v>
      </c>
      <c r="G5978">
        <f>VLOOKUP(B5978,'SINAPI-%MO'!B:E,4,0)</f>
        <v>0.50670000000000004</v>
      </c>
      <c r="H5978" s="225">
        <f t="shared" si="93"/>
        <v>5.54</v>
      </c>
    </row>
    <row r="5979" spans="1:8" x14ac:dyDescent="0.3">
      <c r="A5979" s="400"/>
      <c r="B5979" s="709">
        <v>89380</v>
      </c>
      <c r="C5979" s="710" t="s">
        <v>5268</v>
      </c>
      <c r="D5979" s="709" t="s">
        <v>136</v>
      </c>
      <c r="E5979" s="716">
        <v>11.94</v>
      </c>
      <c r="F5979" s="717">
        <v>0</v>
      </c>
      <c r="G5979">
        <f>VLOOKUP(B5979,'SINAPI-%MO'!B:E,4,0)</f>
        <v>0.5343</v>
      </c>
      <c r="H5979" s="225">
        <f t="shared" si="93"/>
        <v>5.56</v>
      </c>
    </row>
    <row r="5980" spans="1:8" x14ac:dyDescent="0.3">
      <c r="A5980" s="400"/>
      <c r="B5980" s="709">
        <v>89562</v>
      </c>
      <c r="C5980" s="710" t="s">
        <v>5269</v>
      </c>
      <c r="D5980" s="709" t="s">
        <v>136</v>
      </c>
      <c r="E5980" s="716">
        <v>12.36</v>
      </c>
      <c r="F5980" s="717">
        <v>0</v>
      </c>
      <c r="G5980">
        <f>VLOOKUP(B5980,'SINAPI-%MO'!B:E,4,0)</f>
        <v>0.29449999999999998</v>
      </c>
      <c r="H5980" s="225">
        <f t="shared" si="93"/>
        <v>8.7100000000000009</v>
      </c>
    </row>
    <row r="5981" spans="1:8" x14ac:dyDescent="0.3">
      <c r="A5981" s="400"/>
      <c r="B5981" s="709">
        <v>89433</v>
      </c>
      <c r="C5981" s="710" t="s">
        <v>5270</v>
      </c>
      <c r="D5981" s="709" t="s">
        <v>136</v>
      </c>
      <c r="E5981" s="716">
        <v>15.56</v>
      </c>
      <c r="F5981" s="717">
        <v>0</v>
      </c>
      <c r="G5981">
        <f>VLOOKUP(B5981,'SINAPI-%MO'!B:E,4,0)</f>
        <v>0.43569999999999998</v>
      </c>
      <c r="H5981" s="225">
        <f t="shared" si="93"/>
        <v>8.7799999999999994</v>
      </c>
    </row>
    <row r="5982" spans="1:8" x14ac:dyDescent="0.3">
      <c r="A5982" s="400"/>
      <c r="B5982" s="709">
        <v>89579</v>
      </c>
      <c r="C5982" s="710" t="s">
        <v>5271</v>
      </c>
      <c r="D5982" s="709" t="s">
        <v>136</v>
      </c>
      <c r="E5982" s="716">
        <v>13.99</v>
      </c>
      <c r="F5982" s="717">
        <v>0</v>
      </c>
      <c r="G5982">
        <f>VLOOKUP(B5982,'SINAPI-%MO'!B:E,4,0)</f>
        <v>0.2702</v>
      </c>
      <c r="H5982" s="225">
        <f t="shared" si="93"/>
        <v>10.199999999999999</v>
      </c>
    </row>
    <row r="5983" spans="1:8" x14ac:dyDescent="0.3">
      <c r="A5983" s="400"/>
      <c r="B5983" s="709">
        <v>103998</v>
      </c>
      <c r="C5983" s="710" t="s">
        <v>5272</v>
      </c>
      <c r="D5983" s="709" t="s">
        <v>136</v>
      </c>
      <c r="E5983" s="716">
        <v>17.260000000000002</v>
      </c>
      <c r="F5983" s="717">
        <v>0</v>
      </c>
      <c r="G5983">
        <f>VLOOKUP(B5983,'SINAPI-%MO'!B:E,4,0)</f>
        <v>0.40500000000000003</v>
      </c>
      <c r="H5983" s="225">
        <f t="shared" si="93"/>
        <v>10.26</v>
      </c>
    </row>
    <row r="5984" spans="1:8" x14ac:dyDescent="0.3">
      <c r="A5984" s="400"/>
      <c r="B5984" s="709">
        <v>89605</v>
      </c>
      <c r="C5984" s="710" t="s">
        <v>5273</v>
      </c>
      <c r="D5984" s="709" t="s">
        <v>136</v>
      </c>
      <c r="E5984" s="716">
        <v>24.62</v>
      </c>
      <c r="F5984" s="717">
        <v>0</v>
      </c>
      <c r="G5984">
        <f>VLOOKUP(B5984,'SINAPI-%MO'!B:E,4,0)</f>
        <v>0.21529999999999999</v>
      </c>
      <c r="H5984" s="225">
        <f t="shared" si="93"/>
        <v>19.309999999999999</v>
      </c>
    </row>
    <row r="5985" spans="1:8" x14ac:dyDescent="0.3">
      <c r="A5985" s="400"/>
      <c r="B5985" s="709">
        <v>89981</v>
      </c>
      <c r="C5985" s="710" t="s">
        <v>5274</v>
      </c>
      <c r="D5985" s="709" t="s">
        <v>136</v>
      </c>
      <c r="E5985" s="716">
        <v>26.1</v>
      </c>
      <c r="F5985" s="717">
        <v>0</v>
      </c>
      <c r="G5985">
        <f>VLOOKUP(B5985,'SINAPI-%MO'!B:E,4,0)</f>
        <v>0.1153</v>
      </c>
      <c r="H5985" s="225">
        <f t="shared" si="93"/>
        <v>23.09</v>
      </c>
    </row>
    <row r="5986" spans="1:8" x14ac:dyDescent="0.3">
      <c r="A5986" s="400"/>
      <c r="B5986" s="709">
        <v>89385</v>
      </c>
      <c r="C5986" s="710" t="s">
        <v>5275</v>
      </c>
      <c r="D5986" s="709" t="s">
        <v>136</v>
      </c>
      <c r="E5986" s="716">
        <v>8.56</v>
      </c>
      <c r="F5986" s="717">
        <v>0</v>
      </c>
      <c r="G5986">
        <f>VLOOKUP(B5986,'SINAPI-%MO'!B:E,4,0)</f>
        <v>0.63319999999999999</v>
      </c>
      <c r="H5986" s="225">
        <f t="shared" si="93"/>
        <v>3.13</v>
      </c>
    </row>
    <row r="5987" spans="1:8" x14ac:dyDescent="0.3">
      <c r="A5987" s="400"/>
      <c r="B5987" s="709">
        <v>89551</v>
      </c>
      <c r="C5987" s="710" t="s">
        <v>5276</v>
      </c>
      <c r="D5987" s="709" t="s">
        <v>136</v>
      </c>
      <c r="E5987" s="716">
        <v>10.23</v>
      </c>
      <c r="F5987" s="717">
        <v>0</v>
      </c>
      <c r="G5987">
        <f>VLOOKUP(B5987,'SINAPI-%MO'!B:E,4,0)</f>
        <v>0.29420000000000002</v>
      </c>
      <c r="H5987" s="225">
        <f t="shared" si="93"/>
        <v>7.22</v>
      </c>
    </row>
    <row r="5988" spans="1:8" x14ac:dyDescent="0.3">
      <c r="A5988" s="400"/>
      <c r="B5988" s="709">
        <v>89434</v>
      </c>
      <c r="C5988" s="710" t="s">
        <v>5277</v>
      </c>
      <c r="D5988" s="709" t="s">
        <v>136</v>
      </c>
      <c r="E5988" s="716">
        <v>12.97</v>
      </c>
      <c r="F5988" s="717">
        <v>0</v>
      </c>
      <c r="G5988">
        <f>VLOOKUP(B5988,'SINAPI-%MO'!B:E,4,0)</f>
        <v>0.4395</v>
      </c>
      <c r="H5988" s="225">
        <f t="shared" si="93"/>
        <v>7.26</v>
      </c>
    </row>
    <row r="5989" spans="1:8" x14ac:dyDescent="0.3">
      <c r="A5989" s="400"/>
      <c r="B5989" s="709">
        <v>89389</v>
      </c>
      <c r="C5989" s="710" t="s">
        <v>5278</v>
      </c>
      <c r="D5989" s="709" t="s">
        <v>136</v>
      </c>
      <c r="E5989" s="716">
        <v>13.66</v>
      </c>
      <c r="F5989" s="717">
        <v>0</v>
      </c>
      <c r="G5989">
        <f>VLOOKUP(B5989,'SINAPI-%MO'!B:E,4,0)</f>
        <v>0.46710000000000002</v>
      </c>
      <c r="H5989" s="225">
        <f t="shared" si="93"/>
        <v>7.27</v>
      </c>
    </row>
    <row r="5990" spans="1:8" x14ac:dyDescent="0.3">
      <c r="A5990" s="400"/>
      <c r="B5990" s="709">
        <v>89417</v>
      </c>
      <c r="C5990" s="710" t="s">
        <v>5279</v>
      </c>
      <c r="D5990" s="709" t="s">
        <v>136</v>
      </c>
      <c r="E5990" s="716">
        <v>6.49</v>
      </c>
      <c r="F5990" s="717">
        <v>0</v>
      </c>
      <c r="G5990">
        <f>VLOOKUP(B5990,'SINAPI-%MO'!B:E,4,0)</f>
        <v>0.69030000000000002</v>
      </c>
      <c r="H5990" s="225">
        <f t="shared" si="93"/>
        <v>2</v>
      </c>
    </row>
    <row r="5991" spans="1:8" x14ac:dyDescent="0.3">
      <c r="A5991" s="400"/>
      <c r="B5991" s="709">
        <v>89371</v>
      </c>
      <c r="C5991" s="710" t="s">
        <v>5280</v>
      </c>
      <c r="D5991" s="709" t="s">
        <v>136</v>
      </c>
      <c r="E5991" s="716">
        <v>7.02</v>
      </c>
      <c r="F5991" s="717">
        <v>0</v>
      </c>
      <c r="G5991">
        <f>VLOOKUP(B5991,'SINAPI-%MO'!B:E,4,0)</f>
        <v>0.7137</v>
      </c>
      <c r="H5991" s="225">
        <f t="shared" si="93"/>
        <v>2</v>
      </c>
    </row>
    <row r="5992" spans="1:8" x14ac:dyDescent="0.3">
      <c r="A5992" s="400"/>
      <c r="B5992" s="709">
        <v>89528</v>
      </c>
      <c r="C5992" s="710" t="s">
        <v>5281</v>
      </c>
      <c r="D5992" s="709" t="s">
        <v>136</v>
      </c>
      <c r="E5992" s="716">
        <v>5.14</v>
      </c>
      <c r="F5992" s="717">
        <v>0</v>
      </c>
      <c r="G5992">
        <f>VLOOKUP(B5992,'SINAPI-%MO'!B:E,4,0)</f>
        <v>0.52529999999999999</v>
      </c>
      <c r="H5992" s="225">
        <f t="shared" si="93"/>
        <v>2.4300000000000002</v>
      </c>
    </row>
    <row r="5993" spans="1:8" x14ac:dyDescent="0.3">
      <c r="A5993" s="400"/>
      <c r="B5993" s="709">
        <v>89424</v>
      </c>
      <c r="C5993" s="710" t="s">
        <v>5282</v>
      </c>
      <c r="D5993" s="709" t="s">
        <v>136</v>
      </c>
      <c r="E5993" s="716">
        <v>7.69</v>
      </c>
      <c r="F5993" s="717">
        <v>0</v>
      </c>
      <c r="G5993">
        <f>VLOOKUP(B5993,'SINAPI-%MO'!B:E,4,0)</f>
        <v>0.67620000000000002</v>
      </c>
      <c r="H5993" s="225">
        <f t="shared" si="93"/>
        <v>2.4900000000000002</v>
      </c>
    </row>
    <row r="5994" spans="1:8" x14ac:dyDescent="0.3">
      <c r="A5994" s="400"/>
      <c r="B5994" s="709">
        <v>89378</v>
      </c>
      <c r="C5994" s="710" t="s">
        <v>5283</v>
      </c>
      <c r="D5994" s="709" t="s">
        <v>136</v>
      </c>
      <c r="E5994" s="716">
        <v>8.31</v>
      </c>
      <c r="F5994" s="717">
        <v>0</v>
      </c>
      <c r="G5994">
        <f>VLOOKUP(B5994,'SINAPI-%MO'!B:E,4,0)</f>
        <v>0.70040000000000002</v>
      </c>
      <c r="H5994" s="225">
        <f t="shared" si="93"/>
        <v>2.48</v>
      </c>
    </row>
    <row r="5995" spans="1:8" x14ac:dyDescent="0.3">
      <c r="A5995" s="400"/>
      <c r="B5995" s="709">
        <v>89541</v>
      </c>
      <c r="C5995" s="710" t="s">
        <v>5284</v>
      </c>
      <c r="D5995" s="709" t="s">
        <v>136</v>
      </c>
      <c r="E5995" s="716">
        <v>7.71</v>
      </c>
      <c r="F5995" s="717">
        <v>0</v>
      </c>
      <c r="G5995">
        <f>VLOOKUP(B5995,'SINAPI-%MO'!B:E,4,0)</f>
        <v>0.42930000000000001</v>
      </c>
      <c r="H5995" s="225">
        <f t="shared" si="93"/>
        <v>4.4000000000000004</v>
      </c>
    </row>
    <row r="5996" spans="1:8" x14ac:dyDescent="0.3">
      <c r="A5996" s="400"/>
      <c r="B5996" s="709">
        <v>89431</v>
      </c>
      <c r="C5996" s="710" t="s">
        <v>5285</v>
      </c>
      <c r="D5996" s="709" t="s">
        <v>136</v>
      </c>
      <c r="E5996" s="716">
        <v>10.66</v>
      </c>
      <c r="F5996" s="717">
        <v>0</v>
      </c>
      <c r="G5996">
        <f>VLOOKUP(B5996,'SINAPI-%MO'!B:E,4,0)</f>
        <v>0.58260000000000001</v>
      </c>
      <c r="H5996" s="225">
        <f t="shared" si="93"/>
        <v>4.4400000000000004</v>
      </c>
    </row>
    <row r="5997" spans="1:8" x14ac:dyDescent="0.3">
      <c r="A5997" s="400"/>
      <c r="B5997" s="709">
        <v>89386</v>
      </c>
      <c r="C5997" s="710" t="s">
        <v>5286</v>
      </c>
      <c r="D5997" s="709" t="s">
        <v>136</v>
      </c>
      <c r="E5997" s="716">
        <v>11.4</v>
      </c>
      <c r="F5997" s="717">
        <v>0</v>
      </c>
      <c r="G5997">
        <f>VLOOKUP(B5997,'SINAPI-%MO'!B:E,4,0)</f>
        <v>0.60880000000000001</v>
      </c>
      <c r="H5997" s="225">
        <f t="shared" si="93"/>
        <v>4.45</v>
      </c>
    </row>
    <row r="5998" spans="1:8" x14ac:dyDescent="0.3">
      <c r="A5998" s="400"/>
      <c r="B5998" s="709">
        <v>89558</v>
      </c>
      <c r="C5998" s="710" t="s">
        <v>5287</v>
      </c>
      <c r="D5998" s="709" t="s">
        <v>136</v>
      </c>
      <c r="E5998" s="716">
        <v>11.67</v>
      </c>
      <c r="F5998" s="717">
        <v>0</v>
      </c>
      <c r="G5998">
        <f>VLOOKUP(B5998,'SINAPI-%MO'!B:E,4,0)</f>
        <v>0.34100000000000003</v>
      </c>
      <c r="H5998" s="225">
        <f t="shared" si="93"/>
        <v>7.69</v>
      </c>
    </row>
    <row r="5999" spans="1:8" x14ac:dyDescent="0.3">
      <c r="A5999" s="400"/>
      <c r="B5999" s="709">
        <v>103988</v>
      </c>
      <c r="C5999" s="710" t="s">
        <v>5288</v>
      </c>
      <c r="D5999" s="709" t="s">
        <v>136</v>
      </c>
      <c r="E5999" s="716">
        <v>15.1</v>
      </c>
      <c r="F5999" s="717">
        <v>0</v>
      </c>
      <c r="G5999">
        <f>VLOOKUP(B5999,'SINAPI-%MO'!B:E,4,0)</f>
        <v>0.48680000000000001</v>
      </c>
      <c r="H5999" s="225">
        <f t="shared" si="93"/>
        <v>7.74</v>
      </c>
    </row>
    <row r="6000" spans="1:8" x14ac:dyDescent="0.3">
      <c r="A6000" s="400"/>
      <c r="B6000" s="709">
        <v>89575</v>
      </c>
      <c r="C6000" s="710" t="s">
        <v>5289</v>
      </c>
      <c r="D6000" s="709" t="s">
        <v>136</v>
      </c>
      <c r="E6000" s="716">
        <v>13.9</v>
      </c>
      <c r="F6000" s="717">
        <v>0</v>
      </c>
      <c r="G6000">
        <f>VLOOKUP(B6000,'SINAPI-%MO'!B:E,4,0)</f>
        <v>0.34960000000000002</v>
      </c>
      <c r="H6000" s="225">
        <f t="shared" si="93"/>
        <v>9.0399999999999991</v>
      </c>
    </row>
    <row r="6001" spans="1:8" x14ac:dyDescent="0.3">
      <c r="A6001" s="400"/>
      <c r="B6001" s="709">
        <v>103995</v>
      </c>
      <c r="C6001" s="710" t="s">
        <v>5290</v>
      </c>
      <c r="D6001" s="709" t="s">
        <v>136</v>
      </c>
      <c r="E6001" s="716">
        <v>17.899999999999999</v>
      </c>
      <c r="F6001" s="717">
        <v>0</v>
      </c>
      <c r="G6001">
        <f>VLOOKUP(B6001,'SINAPI-%MO'!B:E,4,0)</f>
        <v>0.49109999999999998</v>
      </c>
      <c r="H6001" s="225">
        <f t="shared" si="93"/>
        <v>9.1</v>
      </c>
    </row>
    <row r="6002" spans="1:8" x14ac:dyDescent="0.3">
      <c r="A6002" s="400"/>
      <c r="B6002" s="709">
        <v>89597</v>
      </c>
      <c r="C6002" s="710" t="s">
        <v>5291</v>
      </c>
      <c r="D6002" s="709" t="s">
        <v>136</v>
      </c>
      <c r="E6002" s="716">
        <v>27.08</v>
      </c>
      <c r="F6002" s="717">
        <v>0</v>
      </c>
      <c r="G6002">
        <f>VLOOKUP(B6002,'SINAPI-%MO'!B:E,4,0)</f>
        <v>0.21199999999999999</v>
      </c>
      <c r="H6002" s="225">
        <f t="shared" si="93"/>
        <v>21.33</v>
      </c>
    </row>
    <row r="6003" spans="1:8" x14ac:dyDescent="0.3">
      <c r="A6003" s="400"/>
      <c r="B6003" s="709">
        <v>89611</v>
      </c>
      <c r="C6003" s="710" t="s">
        <v>5292</v>
      </c>
      <c r="D6003" s="709" t="s">
        <v>136</v>
      </c>
      <c r="E6003" s="716">
        <v>38.39</v>
      </c>
      <c r="F6003" s="717">
        <v>0</v>
      </c>
      <c r="G6003">
        <f>VLOOKUP(B6003,'SINAPI-%MO'!B:E,4,0)</f>
        <v>0.18310000000000001</v>
      </c>
      <c r="H6003" s="225">
        <f t="shared" si="93"/>
        <v>31.36</v>
      </c>
    </row>
    <row r="6004" spans="1:8" x14ac:dyDescent="0.3">
      <c r="A6004" s="400"/>
      <c r="B6004" s="709">
        <v>89614</v>
      </c>
      <c r="C6004" s="710" t="s">
        <v>5293</v>
      </c>
      <c r="D6004" s="709" t="s">
        <v>136</v>
      </c>
      <c r="E6004" s="716">
        <v>71.09</v>
      </c>
      <c r="F6004" s="717">
        <v>0</v>
      </c>
      <c r="G6004">
        <f>VLOOKUP(B6004,'SINAPI-%MO'!B:E,4,0)</f>
        <v>0.1113</v>
      </c>
      <c r="H6004" s="225">
        <f t="shared" si="93"/>
        <v>63.17</v>
      </c>
    </row>
    <row r="6005" spans="1:8" x14ac:dyDescent="0.3">
      <c r="A6005" s="400"/>
      <c r="B6005" s="709">
        <v>103975</v>
      </c>
      <c r="C6005" s="710" t="s">
        <v>5294</v>
      </c>
      <c r="D6005" s="709" t="s">
        <v>136</v>
      </c>
      <c r="E6005" s="716">
        <v>21.18</v>
      </c>
      <c r="F6005" s="717">
        <v>0</v>
      </c>
      <c r="G6005">
        <f>VLOOKUP(B6005,'SINAPI-%MO'!B:E,4,0)</f>
        <v>0.33050000000000002</v>
      </c>
      <c r="H6005" s="225">
        <f t="shared" si="93"/>
        <v>14.18</v>
      </c>
    </row>
    <row r="6006" spans="1:8" x14ac:dyDescent="0.3">
      <c r="A6006" s="400"/>
      <c r="B6006" s="709">
        <v>104007</v>
      </c>
      <c r="C6006" s="710" t="s">
        <v>5295</v>
      </c>
      <c r="D6006" s="709" t="s">
        <v>136</v>
      </c>
      <c r="E6006" s="716">
        <v>26.02</v>
      </c>
      <c r="F6006" s="717">
        <v>0</v>
      </c>
      <c r="G6006">
        <f>VLOOKUP(B6006,'SINAPI-%MO'!B:E,4,0)</f>
        <v>0.4516</v>
      </c>
      <c r="H6006" s="225">
        <f t="shared" si="93"/>
        <v>14.26</v>
      </c>
    </row>
    <row r="6007" spans="1:8" x14ac:dyDescent="0.3">
      <c r="A6007" s="400"/>
      <c r="B6007" s="709">
        <v>103976</v>
      </c>
      <c r="C6007" s="710" t="s">
        <v>5296</v>
      </c>
      <c r="D6007" s="709" t="s">
        <v>136</v>
      </c>
      <c r="E6007" s="716">
        <v>30.61</v>
      </c>
      <c r="F6007" s="717">
        <v>0</v>
      </c>
      <c r="G6007">
        <f>VLOOKUP(B6007,'SINAPI-%MO'!B:E,4,0)</f>
        <v>0.26719999999999999</v>
      </c>
      <c r="H6007" s="225">
        <f t="shared" si="93"/>
        <v>22.43</v>
      </c>
    </row>
    <row r="6008" spans="1:8" x14ac:dyDescent="0.3">
      <c r="A6008" s="400"/>
      <c r="B6008" s="709">
        <v>104008</v>
      </c>
      <c r="C6008" s="710" t="s">
        <v>5297</v>
      </c>
      <c r="D6008" s="709" t="s">
        <v>136</v>
      </c>
      <c r="E6008" s="716">
        <v>37.54</v>
      </c>
      <c r="F6008" s="717">
        <v>0</v>
      </c>
      <c r="G6008">
        <f>VLOOKUP(B6008,'SINAPI-%MO'!B:E,4,0)</f>
        <v>0.39960000000000001</v>
      </c>
      <c r="H6008" s="225">
        <f t="shared" si="93"/>
        <v>22.53</v>
      </c>
    </row>
    <row r="6009" spans="1:8" x14ac:dyDescent="0.3">
      <c r="A6009" s="400"/>
      <c r="B6009" s="709">
        <v>89630</v>
      </c>
      <c r="C6009" s="710" t="s">
        <v>5298</v>
      </c>
      <c r="D6009" s="709" t="s">
        <v>136</v>
      </c>
      <c r="E6009" s="716">
        <v>72.650000000000006</v>
      </c>
      <c r="F6009" s="717">
        <v>0</v>
      </c>
      <c r="G6009">
        <f>VLOOKUP(B6009,'SINAPI-%MO'!B:E,4,0)</f>
        <v>0.16420000000000001</v>
      </c>
      <c r="H6009" s="225">
        <f t="shared" si="93"/>
        <v>60.72</v>
      </c>
    </row>
    <row r="6010" spans="1:8" x14ac:dyDescent="0.3">
      <c r="A6010" s="400"/>
      <c r="B6010" s="709">
        <v>89632</v>
      </c>
      <c r="C6010" s="710" t="s">
        <v>5299</v>
      </c>
      <c r="D6010" s="709" t="s">
        <v>136</v>
      </c>
      <c r="E6010" s="716">
        <v>145.51</v>
      </c>
      <c r="F6010" s="717">
        <v>0</v>
      </c>
      <c r="G6010">
        <f>VLOOKUP(B6010,'SINAPI-%MO'!B:E,4,0)</f>
        <v>9.4100000000000003E-2</v>
      </c>
      <c r="H6010" s="225">
        <f t="shared" si="93"/>
        <v>131.81</v>
      </c>
    </row>
    <row r="6011" spans="1:8" x14ac:dyDescent="0.3">
      <c r="A6011" s="400"/>
      <c r="B6011" s="709">
        <v>89438</v>
      </c>
      <c r="C6011" s="710" t="s">
        <v>5300</v>
      </c>
      <c r="D6011" s="709" t="s">
        <v>136</v>
      </c>
      <c r="E6011" s="716">
        <v>11.89</v>
      </c>
      <c r="F6011" s="717">
        <v>0</v>
      </c>
      <c r="G6011">
        <f>VLOOKUP(B6011,'SINAPI-%MO'!B:E,4,0)</f>
        <v>0.75529999999999997</v>
      </c>
      <c r="H6011" s="225">
        <f t="shared" si="93"/>
        <v>2.9</v>
      </c>
    </row>
    <row r="6012" spans="1:8" x14ac:dyDescent="0.3">
      <c r="A6012" s="400"/>
      <c r="B6012" s="709">
        <v>89393</v>
      </c>
      <c r="C6012" s="710" t="s">
        <v>5301</v>
      </c>
      <c r="D6012" s="709" t="s">
        <v>136</v>
      </c>
      <c r="E6012" s="716">
        <v>12.96</v>
      </c>
      <c r="F6012" s="717">
        <v>0</v>
      </c>
      <c r="G6012">
        <f>VLOOKUP(B6012,'SINAPI-%MO'!B:E,4,0)</f>
        <v>0.77470000000000006</v>
      </c>
      <c r="H6012" s="225">
        <f t="shared" si="93"/>
        <v>2.91</v>
      </c>
    </row>
    <row r="6013" spans="1:8" x14ac:dyDescent="0.3">
      <c r="A6013" s="400"/>
      <c r="B6013" s="709">
        <v>89617</v>
      </c>
      <c r="C6013" s="710" t="s">
        <v>5302</v>
      </c>
      <c r="D6013" s="709" t="s">
        <v>136</v>
      </c>
      <c r="E6013" s="716">
        <v>9.02</v>
      </c>
      <c r="F6013" s="717">
        <v>0</v>
      </c>
      <c r="G6013">
        <f>VLOOKUP(B6013,'SINAPI-%MO'!B:E,4,0)</f>
        <v>0.59870000000000001</v>
      </c>
      <c r="H6013" s="225">
        <f t="shared" si="93"/>
        <v>3.61</v>
      </c>
    </row>
    <row r="6014" spans="1:8" x14ac:dyDescent="0.3">
      <c r="A6014" s="400"/>
      <c r="B6014" s="709">
        <v>89440</v>
      </c>
      <c r="C6014" s="710" t="s">
        <v>5303</v>
      </c>
      <c r="D6014" s="709" t="s">
        <v>136</v>
      </c>
      <c r="E6014" s="716">
        <v>14.09</v>
      </c>
      <c r="F6014" s="717">
        <v>0</v>
      </c>
      <c r="G6014">
        <f>VLOOKUP(B6014,'SINAPI-%MO'!B:E,4,0)</f>
        <v>0.73809999999999998</v>
      </c>
      <c r="H6014" s="225">
        <f t="shared" si="93"/>
        <v>3.69</v>
      </c>
    </row>
    <row r="6015" spans="1:8" x14ac:dyDescent="0.3">
      <c r="A6015" s="400"/>
      <c r="B6015" s="709">
        <v>89395</v>
      </c>
      <c r="C6015" s="710" t="s">
        <v>5304</v>
      </c>
      <c r="D6015" s="709" t="s">
        <v>136</v>
      </c>
      <c r="E6015" s="716">
        <v>15.34</v>
      </c>
      <c r="F6015" s="717">
        <v>0</v>
      </c>
      <c r="G6015">
        <f>VLOOKUP(B6015,'SINAPI-%MO'!B:E,4,0)</f>
        <v>0.75880000000000003</v>
      </c>
      <c r="H6015" s="225">
        <f t="shared" si="93"/>
        <v>3.7</v>
      </c>
    </row>
    <row r="6016" spans="1:8" x14ac:dyDescent="0.3">
      <c r="A6016" s="400"/>
      <c r="B6016" s="709">
        <v>89620</v>
      </c>
      <c r="C6016" s="710" t="s">
        <v>5305</v>
      </c>
      <c r="D6016" s="709" t="s">
        <v>136</v>
      </c>
      <c r="E6016" s="716">
        <v>14.17</v>
      </c>
      <c r="F6016" s="717">
        <v>0</v>
      </c>
      <c r="G6016">
        <f>VLOOKUP(B6016,'SINAPI-%MO'!B:E,4,0)</f>
        <v>0.4672</v>
      </c>
      <c r="H6016" s="225">
        <f t="shared" si="93"/>
        <v>7.54</v>
      </c>
    </row>
    <row r="6017" spans="1:8" x14ac:dyDescent="0.3">
      <c r="A6017" s="400"/>
      <c r="B6017" s="709">
        <v>89443</v>
      </c>
      <c r="C6017" s="710" t="s">
        <v>5306</v>
      </c>
      <c r="D6017" s="709" t="s">
        <v>136</v>
      </c>
      <c r="E6017" s="716">
        <v>20.05</v>
      </c>
      <c r="F6017" s="717">
        <v>0</v>
      </c>
      <c r="G6017">
        <f>VLOOKUP(B6017,'SINAPI-%MO'!B:E,4,0)</f>
        <v>0.61950000000000005</v>
      </c>
      <c r="H6017" s="225">
        <f t="shared" si="93"/>
        <v>7.62</v>
      </c>
    </row>
    <row r="6018" spans="1:8" x14ac:dyDescent="0.3">
      <c r="A6018" s="400"/>
      <c r="B6018" s="709">
        <v>89398</v>
      </c>
      <c r="C6018" s="710" t="s">
        <v>5307</v>
      </c>
      <c r="D6018" s="709" t="s">
        <v>136</v>
      </c>
      <c r="E6018" s="716">
        <v>21.53</v>
      </c>
      <c r="F6018" s="717">
        <v>0</v>
      </c>
      <c r="G6018">
        <f>VLOOKUP(B6018,'SINAPI-%MO'!B:E,4,0)</f>
        <v>0.64470000000000005</v>
      </c>
      <c r="H6018" s="225">
        <f t="shared" si="93"/>
        <v>7.64</v>
      </c>
    </row>
    <row r="6019" spans="1:8" x14ac:dyDescent="0.3">
      <c r="A6019" s="400"/>
      <c r="B6019" s="709">
        <v>89623</v>
      </c>
      <c r="C6019" s="710" t="s">
        <v>5308</v>
      </c>
      <c r="D6019" s="709" t="s">
        <v>136</v>
      </c>
      <c r="E6019" s="716">
        <v>23.08</v>
      </c>
      <c r="F6019" s="717">
        <v>0</v>
      </c>
      <c r="G6019">
        <f>VLOOKUP(B6019,'SINAPI-%MO'!B:E,4,0)</f>
        <v>0.34839999999999999</v>
      </c>
      <c r="H6019" s="225">
        <f t="shared" si="93"/>
        <v>15.03</v>
      </c>
    </row>
    <row r="6020" spans="1:8" x14ac:dyDescent="0.3">
      <c r="A6020" s="400"/>
      <c r="B6020" s="709">
        <v>104011</v>
      </c>
      <c r="C6020" s="710" t="s">
        <v>5309</v>
      </c>
      <c r="D6020" s="709" t="s">
        <v>136</v>
      </c>
      <c r="E6020" s="716">
        <v>29.84</v>
      </c>
      <c r="F6020" s="717">
        <v>0</v>
      </c>
      <c r="G6020">
        <f>VLOOKUP(B6020,'SINAPI-%MO'!B:E,4,0)</f>
        <v>0.49299999999999999</v>
      </c>
      <c r="H6020" s="225">
        <f t="shared" si="93"/>
        <v>15.12</v>
      </c>
    </row>
    <row r="6021" spans="1:8" x14ac:dyDescent="0.3">
      <c r="A6021" s="400"/>
      <c r="B6021" s="709">
        <v>89625</v>
      </c>
      <c r="C6021" s="710" t="s">
        <v>5310</v>
      </c>
      <c r="D6021" s="709" t="s">
        <v>136</v>
      </c>
      <c r="E6021" s="716">
        <v>27.11</v>
      </c>
      <c r="F6021" s="717">
        <v>0</v>
      </c>
      <c r="G6021">
        <f>VLOOKUP(B6021,'SINAPI-%MO'!B:E,4,0)</f>
        <v>0.3589</v>
      </c>
      <c r="H6021" s="225">
        <f t="shared" si="93"/>
        <v>17.38</v>
      </c>
    </row>
    <row r="6022" spans="1:8" x14ac:dyDescent="0.3">
      <c r="A6022" s="400"/>
      <c r="B6022" s="709">
        <v>104004</v>
      </c>
      <c r="C6022" s="710" t="s">
        <v>5311</v>
      </c>
      <c r="D6022" s="709" t="s">
        <v>136</v>
      </c>
      <c r="E6022" s="716">
        <v>35.07</v>
      </c>
      <c r="F6022" s="717">
        <v>0</v>
      </c>
      <c r="G6022">
        <f>VLOOKUP(B6022,'SINAPI-%MO'!B:E,4,0)</f>
        <v>0.50129999999999997</v>
      </c>
      <c r="H6022" s="225">
        <f t="shared" si="93"/>
        <v>17.48</v>
      </c>
    </row>
    <row r="6023" spans="1:8" x14ac:dyDescent="0.3">
      <c r="A6023" s="400"/>
      <c r="B6023" s="709">
        <v>89628</v>
      </c>
      <c r="C6023" s="710" t="s">
        <v>5312</v>
      </c>
      <c r="D6023" s="709" t="s">
        <v>136</v>
      </c>
      <c r="E6023" s="716">
        <v>56.96</v>
      </c>
      <c r="F6023" s="717">
        <v>0</v>
      </c>
      <c r="G6023">
        <f>VLOOKUP(B6023,'SINAPI-%MO'!B:E,4,0)</f>
        <v>0.20169999999999999</v>
      </c>
      <c r="H6023" s="225">
        <f t="shared" si="93"/>
        <v>45.47</v>
      </c>
    </row>
    <row r="6024" spans="1:8" x14ac:dyDescent="0.3">
      <c r="A6024" s="400"/>
      <c r="B6024" s="709">
        <v>89629</v>
      </c>
      <c r="C6024" s="710" t="s">
        <v>5313</v>
      </c>
      <c r="D6024" s="709" t="s">
        <v>136</v>
      </c>
      <c r="E6024" s="716">
        <v>95.85</v>
      </c>
      <c r="F6024" s="717">
        <v>0</v>
      </c>
      <c r="G6024">
        <f>VLOOKUP(B6024,'SINAPI-%MO'!B:E,4,0)</f>
        <v>0.1474</v>
      </c>
      <c r="H6024" s="225">
        <f t="shared" si="93"/>
        <v>81.72</v>
      </c>
    </row>
    <row r="6025" spans="1:8" x14ac:dyDescent="0.3">
      <c r="A6025" s="400"/>
      <c r="B6025" s="709">
        <v>89631</v>
      </c>
      <c r="C6025" s="710" t="s">
        <v>5314</v>
      </c>
      <c r="D6025" s="709" t="s">
        <v>136</v>
      </c>
      <c r="E6025" s="716">
        <v>125.8</v>
      </c>
      <c r="F6025" s="717">
        <v>0</v>
      </c>
      <c r="G6025">
        <f>VLOOKUP(B6025,'SINAPI-%MO'!B:E,4,0)</f>
        <v>0.12620000000000001</v>
      </c>
      <c r="H6025" s="225">
        <f t="shared" si="93"/>
        <v>109.92</v>
      </c>
    </row>
    <row r="6026" spans="1:8" x14ac:dyDescent="0.3">
      <c r="A6026" s="400"/>
      <c r="B6026" s="709">
        <v>89401</v>
      </c>
      <c r="C6026" s="710" t="s">
        <v>5315</v>
      </c>
      <c r="D6026" s="709" t="s">
        <v>159</v>
      </c>
      <c r="E6026" s="716">
        <v>12.68</v>
      </c>
      <c r="F6026" s="717">
        <v>0</v>
      </c>
      <c r="G6026">
        <f>VLOOKUP(B6026,'SINAPI-%MO'!B:E,4,0)</f>
        <v>0.61909999999999998</v>
      </c>
      <c r="H6026" s="225">
        <f t="shared" si="93"/>
        <v>4.82</v>
      </c>
    </row>
    <row r="6027" spans="1:8" x14ac:dyDescent="0.3">
      <c r="A6027" s="400"/>
      <c r="B6027" s="709">
        <v>89355</v>
      </c>
      <c r="C6027" s="710" t="s">
        <v>5316</v>
      </c>
      <c r="D6027" s="709" t="s">
        <v>159</v>
      </c>
      <c r="E6027" s="716">
        <v>23.77</v>
      </c>
      <c r="F6027" s="717">
        <v>0</v>
      </c>
      <c r="G6027">
        <f>VLOOKUP(B6027,'SINAPI-%MO'!B:E,4,0)</f>
        <v>0.79259999999999997</v>
      </c>
      <c r="H6027" s="225">
        <f t="shared" ref="H6027:H6090" si="94">IF(E6027&gt;0,TRUNC(E6027*(1-G6027),2),"")</f>
        <v>4.92</v>
      </c>
    </row>
    <row r="6028" spans="1:8" x14ac:dyDescent="0.3">
      <c r="A6028" s="400"/>
      <c r="B6028" s="709">
        <v>89446</v>
      </c>
      <c r="C6028" s="710" t="s">
        <v>5317</v>
      </c>
      <c r="D6028" s="709" t="s">
        <v>159</v>
      </c>
      <c r="E6028" s="716">
        <v>6.49</v>
      </c>
      <c r="F6028" s="717">
        <v>0</v>
      </c>
      <c r="G6028">
        <f>VLOOKUP(B6028,'SINAPI-%MO'!B:E,4,0)</f>
        <v>0.17100000000000001</v>
      </c>
      <c r="H6028" s="225">
        <f t="shared" si="94"/>
        <v>5.38</v>
      </c>
    </row>
    <row r="6029" spans="1:8" x14ac:dyDescent="0.3">
      <c r="A6029" s="400"/>
      <c r="B6029" s="709">
        <v>89402</v>
      </c>
      <c r="C6029" s="710" t="s">
        <v>5318</v>
      </c>
      <c r="D6029" s="709" t="s">
        <v>159</v>
      </c>
      <c r="E6029" s="716">
        <v>14.56</v>
      </c>
      <c r="F6029" s="717">
        <v>0</v>
      </c>
      <c r="G6029">
        <f>VLOOKUP(B6029,'SINAPI-%MO'!B:E,4,0)</f>
        <v>0.62570000000000003</v>
      </c>
      <c r="H6029" s="225">
        <f t="shared" si="94"/>
        <v>5.44</v>
      </c>
    </row>
    <row r="6030" spans="1:8" x14ac:dyDescent="0.3">
      <c r="A6030" s="400"/>
      <c r="B6030" s="709">
        <v>89356</v>
      </c>
      <c r="C6030" s="710" t="s">
        <v>5319</v>
      </c>
      <c r="D6030" s="709" t="s">
        <v>159</v>
      </c>
      <c r="E6030" s="716">
        <v>27.4</v>
      </c>
      <c r="F6030" s="717">
        <v>0</v>
      </c>
      <c r="G6030">
        <f>VLOOKUP(B6030,'SINAPI-%MO'!B:E,4,0)</f>
        <v>0.79669999999999996</v>
      </c>
      <c r="H6030" s="225">
        <f t="shared" si="94"/>
        <v>5.57</v>
      </c>
    </row>
    <row r="6031" spans="1:8" x14ac:dyDescent="0.3">
      <c r="A6031" s="400"/>
      <c r="B6031" s="709">
        <v>89447</v>
      </c>
      <c r="C6031" s="710" t="s">
        <v>5320</v>
      </c>
      <c r="D6031" s="709" t="s">
        <v>159</v>
      </c>
      <c r="E6031" s="716">
        <v>12.94</v>
      </c>
      <c r="F6031" s="717">
        <v>0</v>
      </c>
      <c r="G6031">
        <f>VLOOKUP(B6031,'SINAPI-%MO'!B:E,4,0)</f>
        <v>0.1036</v>
      </c>
      <c r="H6031" s="225">
        <f t="shared" si="94"/>
        <v>11.59</v>
      </c>
    </row>
    <row r="6032" spans="1:8" x14ac:dyDescent="0.3">
      <c r="A6032" s="400"/>
      <c r="B6032" s="709">
        <v>89403</v>
      </c>
      <c r="C6032" s="710" t="s">
        <v>5321</v>
      </c>
      <c r="D6032" s="709" t="s">
        <v>159</v>
      </c>
      <c r="E6032" s="716">
        <v>22.56</v>
      </c>
      <c r="F6032" s="717">
        <v>0</v>
      </c>
      <c r="G6032">
        <f>VLOOKUP(B6032,'SINAPI-%MO'!B:E,4,0)</f>
        <v>0.48180000000000001</v>
      </c>
      <c r="H6032" s="225">
        <f t="shared" si="94"/>
        <v>11.69</v>
      </c>
    </row>
    <row r="6033" spans="1:8" x14ac:dyDescent="0.3">
      <c r="A6033" s="400"/>
      <c r="B6033" s="709">
        <v>89357</v>
      </c>
      <c r="C6033" s="710" t="s">
        <v>5322</v>
      </c>
      <c r="D6033" s="709" t="s">
        <v>159</v>
      </c>
      <c r="E6033" s="716">
        <v>37.869999999999997</v>
      </c>
      <c r="F6033" s="717">
        <v>0</v>
      </c>
      <c r="G6033">
        <f>VLOOKUP(B6033,'SINAPI-%MO'!B:E,4,0)</f>
        <v>0.68759999999999999</v>
      </c>
      <c r="H6033" s="225">
        <f t="shared" si="94"/>
        <v>11.83</v>
      </c>
    </row>
    <row r="6034" spans="1:8" x14ac:dyDescent="0.3">
      <c r="A6034" s="400"/>
      <c r="B6034" s="709">
        <v>89448</v>
      </c>
      <c r="C6034" s="710" t="s">
        <v>5323</v>
      </c>
      <c r="D6034" s="709" t="s">
        <v>159</v>
      </c>
      <c r="E6034" s="716">
        <v>19.82</v>
      </c>
      <c r="F6034" s="717">
        <v>0</v>
      </c>
      <c r="G6034">
        <f>VLOOKUP(B6034,'SINAPI-%MO'!B:E,4,0)</f>
        <v>8.1199999999999994E-2</v>
      </c>
      <c r="H6034" s="225">
        <f t="shared" si="94"/>
        <v>18.21</v>
      </c>
    </row>
    <row r="6035" spans="1:8" x14ac:dyDescent="0.3">
      <c r="A6035" s="400"/>
      <c r="B6035" s="709">
        <v>103978</v>
      </c>
      <c r="C6035" s="710" t="s">
        <v>5324</v>
      </c>
      <c r="D6035" s="709" t="s">
        <v>159</v>
      </c>
      <c r="E6035" s="716">
        <v>31.13</v>
      </c>
      <c r="F6035" s="717">
        <v>0</v>
      </c>
      <c r="G6035">
        <f>VLOOKUP(B6035,'SINAPI-%MO'!B:E,4,0)</f>
        <v>0.41339999999999999</v>
      </c>
      <c r="H6035" s="225">
        <f t="shared" si="94"/>
        <v>18.260000000000002</v>
      </c>
    </row>
    <row r="6036" spans="1:8" x14ac:dyDescent="0.3">
      <c r="A6036" s="400"/>
      <c r="B6036" s="709">
        <v>89449</v>
      </c>
      <c r="C6036" s="710" t="s">
        <v>5325</v>
      </c>
      <c r="D6036" s="709" t="s">
        <v>159</v>
      </c>
      <c r="E6036" s="716">
        <v>21.92</v>
      </c>
      <c r="F6036" s="717">
        <v>0</v>
      </c>
      <c r="G6036">
        <f>VLOOKUP(B6036,'SINAPI-%MO'!B:E,4,0)</f>
        <v>8.8999999999999996E-2</v>
      </c>
      <c r="H6036" s="225">
        <f t="shared" si="94"/>
        <v>19.96</v>
      </c>
    </row>
    <row r="6037" spans="1:8" x14ac:dyDescent="0.3">
      <c r="A6037" s="400"/>
      <c r="B6037" s="709">
        <v>103979</v>
      </c>
      <c r="C6037" s="710" t="s">
        <v>5326</v>
      </c>
      <c r="D6037" s="709" t="s">
        <v>159</v>
      </c>
      <c r="E6037" s="716">
        <v>35.409999999999997</v>
      </c>
      <c r="F6037" s="717">
        <v>0</v>
      </c>
      <c r="G6037">
        <f>VLOOKUP(B6037,'SINAPI-%MO'!B:E,4,0)</f>
        <v>0.43430000000000002</v>
      </c>
      <c r="H6037" s="225">
        <f t="shared" si="94"/>
        <v>20.03</v>
      </c>
    </row>
    <row r="6038" spans="1:8" x14ac:dyDescent="0.3">
      <c r="A6038" s="400"/>
      <c r="B6038" s="709">
        <v>89450</v>
      </c>
      <c r="C6038" s="710" t="s">
        <v>5327</v>
      </c>
      <c r="D6038" s="709" t="s">
        <v>159</v>
      </c>
      <c r="E6038" s="716">
        <v>35.159999999999997</v>
      </c>
      <c r="F6038" s="717">
        <v>0</v>
      </c>
      <c r="G6038">
        <f>VLOOKUP(B6038,'SINAPI-%MO'!B:E,4,0)</f>
        <v>6.5100000000000005E-2</v>
      </c>
      <c r="H6038" s="225">
        <f t="shared" si="94"/>
        <v>32.869999999999997</v>
      </c>
    </row>
    <row r="6039" spans="1:8" x14ac:dyDescent="0.3">
      <c r="A6039" s="400"/>
      <c r="B6039" s="709">
        <v>89451</v>
      </c>
      <c r="C6039" s="710" t="s">
        <v>5328</v>
      </c>
      <c r="D6039" s="709" t="s">
        <v>159</v>
      </c>
      <c r="E6039" s="716">
        <v>57.28</v>
      </c>
      <c r="F6039" s="717">
        <v>0</v>
      </c>
      <c r="G6039">
        <f>VLOOKUP(B6039,'SINAPI-%MO'!B:E,4,0)</f>
        <v>4.9399999999999999E-2</v>
      </c>
      <c r="H6039" s="225">
        <f t="shared" si="94"/>
        <v>54.45</v>
      </c>
    </row>
    <row r="6040" spans="1:8" x14ac:dyDescent="0.3">
      <c r="A6040" s="400"/>
      <c r="B6040" s="709">
        <v>89452</v>
      </c>
      <c r="C6040" s="710" t="s">
        <v>5329</v>
      </c>
      <c r="D6040" s="709" t="s">
        <v>159</v>
      </c>
      <c r="E6040" s="716">
        <v>78.92</v>
      </c>
      <c r="F6040" s="717">
        <v>0</v>
      </c>
      <c r="G6040">
        <f>VLOOKUP(B6040,'SINAPI-%MO'!B:E,4,0)</f>
        <v>0.04</v>
      </c>
      <c r="H6040" s="225">
        <f t="shared" si="94"/>
        <v>75.760000000000005</v>
      </c>
    </row>
    <row r="6041" spans="1:8" x14ac:dyDescent="0.3">
      <c r="A6041" s="400"/>
      <c r="B6041" s="709">
        <v>89394</v>
      </c>
      <c r="C6041" s="710" t="s">
        <v>5330</v>
      </c>
      <c r="D6041" s="709" t="s">
        <v>136</v>
      </c>
      <c r="E6041" s="716">
        <v>22.14</v>
      </c>
      <c r="F6041" s="717">
        <v>0</v>
      </c>
      <c r="G6041">
        <f>VLOOKUP(B6041,'SINAPI-%MO'!B:E,4,0)</f>
        <v>0.4173</v>
      </c>
      <c r="H6041" s="225">
        <f t="shared" si="94"/>
        <v>12.9</v>
      </c>
    </row>
    <row r="6042" spans="1:8" x14ac:dyDescent="0.3">
      <c r="A6042" s="400"/>
      <c r="B6042" s="709">
        <v>89396</v>
      </c>
      <c r="C6042" s="710" t="s">
        <v>5331</v>
      </c>
      <c r="D6042" s="709" t="s">
        <v>136</v>
      </c>
      <c r="E6042" s="716">
        <v>24.3</v>
      </c>
      <c r="F6042" s="717">
        <v>0</v>
      </c>
      <c r="G6042">
        <f>VLOOKUP(B6042,'SINAPI-%MO'!B:E,4,0)</f>
        <v>0.41320000000000001</v>
      </c>
      <c r="H6042" s="225">
        <f t="shared" si="94"/>
        <v>14.25</v>
      </c>
    </row>
    <row r="6043" spans="1:8" x14ac:dyDescent="0.3">
      <c r="A6043" s="400"/>
      <c r="B6043" s="709">
        <v>90374</v>
      </c>
      <c r="C6043" s="710" t="s">
        <v>5332</v>
      </c>
      <c r="D6043" s="709" t="s">
        <v>136</v>
      </c>
      <c r="E6043" s="716">
        <v>26.33</v>
      </c>
      <c r="F6043" s="717">
        <v>0</v>
      </c>
      <c r="G6043">
        <f>VLOOKUP(B6043,'SINAPI-%MO'!B:E,4,0)</f>
        <v>0.4113</v>
      </c>
      <c r="H6043" s="225">
        <f t="shared" si="94"/>
        <v>15.5</v>
      </c>
    </row>
    <row r="6044" spans="1:8" x14ac:dyDescent="0.3">
      <c r="A6044" s="400"/>
      <c r="B6044" s="709">
        <v>89444</v>
      </c>
      <c r="C6044" s="710" t="s">
        <v>5333</v>
      </c>
      <c r="D6044" s="709" t="s">
        <v>136</v>
      </c>
      <c r="E6044" s="716">
        <v>28.78</v>
      </c>
      <c r="F6044" s="717">
        <v>0</v>
      </c>
      <c r="G6044">
        <f>VLOOKUP(B6044,'SINAPI-%MO'!B:E,4,0)</f>
        <v>0.37180000000000002</v>
      </c>
      <c r="H6044" s="225">
        <f t="shared" si="94"/>
        <v>18.07</v>
      </c>
    </row>
    <row r="6045" spans="1:8" x14ac:dyDescent="0.3">
      <c r="A6045" s="400"/>
      <c r="B6045" s="709">
        <v>89399</v>
      </c>
      <c r="C6045" s="710" t="s">
        <v>5334</v>
      </c>
      <c r="D6045" s="709" t="s">
        <v>136</v>
      </c>
      <c r="E6045" s="716">
        <v>29.49</v>
      </c>
      <c r="F6045" s="717">
        <v>0</v>
      </c>
      <c r="G6045">
        <f>VLOOKUP(B6045,'SINAPI-%MO'!B:E,4,0)</f>
        <v>0.3866</v>
      </c>
      <c r="H6045" s="225">
        <f t="shared" si="94"/>
        <v>18.079999999999998</v>
      </c>
    </row>
    <row r="6046" spans="1:8" x14ac:dyDescent="0.3">
      <c r="A6046" s="400"/>
      <c r="B6046" s="709">
        <v>89442</v>
      </c>
      <c r="C6046" s="710" t="s">
        <v>5335</v>
      </c>
      <c r="D6046" s="709" t="s">
        <v>136</v>
      </c>
      <c r="E6046" s="716">
        <v>16.329999999999998</v>
      </c>
      <c r="F6046" s="717">
        <v>0</v>
      </c>
      <c r="G6046">
        <f>VLOOKUP(B6046,'SINAPI-%MO'!B:E,4,0)</f>
        <v>0.59340000000000004</v>
      </c>
      <c r="H6046" s="225">
        <f t="shared" si="94"/>
        <v>6.63</v>
      </c>
    </row>
    <row r="6047" spans="1:8" x14ac:dyDescent="0.3">
      <c r="A6047" s="400"/>
      <c r="B6047" s="709">
        <v>89397</v>
      </c>
      <c r="C6047" s="710" t="s">
        <v>5336</v>
      </c>
      <c r="D6047" s="709" t="s">
        <v>136</v>
      </c>
      <c r="E6047" s="716">
        <v>17.48</v>
      </c>
      <c r="F6047" s="717">
        <v>0</v>
      </c>
      <c r="G6047">
        <f>VLOOKUP(B6047,'SINAPI-%MO'!B:E,4,0)</f>
        <v>0.61960000000000004</v>
      </c>
      <c r="H6047" s="225">
        <f t="shared" si="94"/>
        <v>6.64</v>
      </c>
    </row>
    <row r="6048" spans="1:8" x14ac:dyDescent="0.3">
      <c r="A6048" s="400"/>
      <c r="B6048" s="709">
        <v>89622</v>
      </c>
      <c r="C6048" s="710" t="s">
        <v>5337</v>
      </c>
      <c r="D6048" s="709" t="s">
        <v>136</v>
      </c>
      <c r="E6048" s="716">
        <v>16.78</v>
      </c>
      <c r="F6048" s="717">
        <v>0</v>
      </c>
      <c r="G6048">
        <f>VLOOKUP(B6048,'SINAPI-%MO'!B:E,4,0)</f>
        <v>0.35820000000000002</v>
      </c>
      <c r="H6048" s="225">
        <f t="shared" si="94"/>
        <v>10.76</v>
      </c>
    </row>
    <row r="6049" spans="1:8" x14ac:dyDescent="0.3">
      <c r="A6049" s="400"/>
      <c r="B6049" s="709">
        <v>89445</v>
      </c>
      <c r="C6049" s="710" t="s">
        <v>5338</v>
      </c>
      <c r="D6049" s="709" t="s">
        <v>136</v>
      </c>
      <c r="E6049" s="716">
        <v>22.25</v>
      </c>
      <c r="F6049" s="717">
        <v>0</v>
      </c>
      <c r="G6049">
        <f>VLOOKUP(B6049,'SINAPI-%MO'!B:E,4,0)</f>
        <v>0.51280000000000003</v>
      </c>
      <c r="H6049" s="225">
        <f t="shared" si="94"/>
        <v>10.84</v>
      </c>
    </row>
    <row r="6050" spans="1:8" x14ac:dyDescent="0.3">
      <c r="A6050" s="400"/>
      <c r="B6050" s="709">
        <v>89400</v>
      </c>
      <c r="C6050" s="710" t="s">
        <v>5339</v>
      </c>
      <c r="D6050" s="709" t="s">
        <v>136</v>
      </c>
      <c r="E6050" s="716">
        <v>23.62</v>
      </c>
      <c r="F6050" s="717">
        <v>0</v>
      </c>
      <c r="G6050">
        <f>VLOOKUP(B6050,'SINAPI-%MO'!B:E,4,0)</f>
        <v>0.54020000000000001</v>
      </c>
      <c r="H6050" s="225">
        <f t="shared" si="94"/>
        <v>10.86</v>
      </c>
    </row>
    <row r="6051" spans="1:8" x14ac:dyDescent="0.3">
      <c r="A6051" s="400"/>
      <c r="B6051" s="709">
        <v>89624</v>
      </c>
      <c r="C6051" s="710" t="s">
        <v>5340</v>
      </c>
      <c r="D6051" s="709" t="s">
        <v>136</v>
      </c>
      <c r="E6051" s="716">
        <v>21.32</v>
      </c>
      <c r="F6051" s="717">
        <v>0</v>
      </c>
      <c r="G6051">
        <f>VLOOKUP(B6051,'SINAPI-%MO'!B:E,4,0)</f>
        <v>0.34379999999999999</v>
      </c>
      <c r="H6051" s="225">
        <f t="shared" si="94"/>
        <v>13.99</v>
      </c>
    </row>
    <row r="6052" spans="1:8" x14ac:dyDescent="0.3">
      <c r="A6052" s="400"/>
      <c r="B6052" s="709">
        <v>104012</v>
      </c>
      <c r="C6052" s="710" t="s">
        <v>5341</v>
      </c>
      <c r="D6052" s="709" t="s">
        <v>136</v>
      </c>
      <c r="E6052" s="716">
        <v>27.64</v>
      </c>
      <c r="F6052" s="717">
        <v>0</v>
      </c>
      <c r="G6052">
        <f>VLOOKUP(B6052,'SINAPI-%MO'!B:E,4,0)</f>
        <v>0.49059999999999998</v>
      </c>
      <c r="H6052" s="225">
        <f t="shared" si="94"/>
        <v>14.07</v>
      </c>
    </row>
    <row r="6053" spans="1:8" x14ac:dyDescent="0.3">
      <c r="A6053" s="400"/>
      <c r="B6053" s="709">
        <v>89627</v>
      </c>
      <c r="C6053" s="710" t="s">
        <v>5342</v>
      </c>
      <c r="D6053" s="709" t="s">
        <v>136</v>
      </c>
      <c r="E6053" s="716">
        <v>23.94</v>
      </c>
      <c r="F6053" s="717">
        <v>0</v>
      </c>
      <c r="G6053">
        <f>VLOOKUP(B6053,'SINAPI-%MO'!B:E,4,0)</f>
        <v>0.31619999999999998</v>
      </c>
      <c r="H6053" s="225">
        <f t="shared" si="94"/>
        <v>16.37</v>
      </c>
    </row>
    <row r="6054" spans="1:8" x14ac:dyDescent="0.3">
      <c r="A6054" s="400"/>
      <c r="B6054" s="709">
        <v>104006</v>
      </c>
      <c r="C6054" s="710" t="s">
        <v>5343</v>
      </c>
      <c r="D6054" s="709" t="s">
        <v>136</v>
      </c>
      <c r="E6054" s="716">
        <v>29.75</v>
      </c>
      <c r="F6054" s="717">
        <v>0</v>
      </c>
      <c r="G6054">
        <f>VLOOKUP(B6054,'SINAPI-%MO'!B:E,4,0)</f>
        <v>0.44640000000000002</v>
      </c>
      <c r="H6054" s="225">
        <f t="shared" si="94"/>
        <v>16.46</v>
      </c>
    </row>
    <row r="6055" spans="1:8" x14ac:dyDescent="0.3">
      <c r="A6055" s="400"/>
      <c r="B6055" s="709">
        <v>89626</v>
      </c>
      <c r="C6055" s="710" t="s">
        <v>5344</v>
      </c>
      <c r="D6055" s="709" t="s">
        <v>136</v>
      </c>
      <c r="E6055" s="716">
        <v>35.76</v>
      </c>
      <c r="F6055" s="717">
        <v>0</v>
      </c>
      <c r="G6055">
        <f>VLOOKUP(B6055,'SINAPI-%MO'!B:E,4,0)</f>
        <v>0.24829999999999999</v>
      </c>
      <c r="H6055" s="225">
        <f t="shared" si="94"/>
        <v>26.88</v>
      </c>
    </row>
    <row r="6056" spans="1:8" x14ac:dyDescent="0.3">
      <c r="A6056" s="400"/>
      <c r="B6056" s="709">
        <v>104005</v>
      </c>
      <c r="C6056" s="710" t="s">
        <v>5345</v>
      </c>
      <c r="D6056" s="709" t="s">
        <v>136</v>
      </c>
      <c r="E6056" s="716">
        <v>43.12</v>
      </c>
      <c r="F6056" s="717">
        <v>0</v>
      </c>
      <c r="G6056">
        <f>VLOOKUP(B6056,'SINAPI-%MO'!B:E,4,0)</f>
        <v>0.37430000000000002</v>
      </c>
      <c r="H6056" s="225">
        <f t="shared" si="94"/>
        <v>26.98</v>
      </c>
    </row>
    <row r="6057" spans="1:8" x14ac:dyDescent="0.3">
      <c r="A6057" s="400"/>
      <c r="B6057" s="709">
        <v>89439</v>
      </c>
      <c r="C6057" s="710" t="s">
        <v>5346</v>
      </c>
      <c r="D6057" s="709" t="s">
        <v>136</v>
      </c>
      <c r="E6057" s="716">
        <v>13.71</v>
      </c>
      <c r="F6057" s="717">
        <v>0</v>
      </c>
      <c r="G6057">
        <f>VLOOKUP(B6057,'SINAPI-%MO'!B:E,4,0)</f>
        <v>0.65500000000000003</v>
      </c>
      <c r="H6057" s="225">
        <f t="shared" si="94"/>
        <v>4.72</v>
      </c>
    </row>
    <row r="6058" spans="1:8" x14ac:dyDescent="0.3">
      <c r="A6058" s="400"/>
      <c r="B6058" s="709">
        <v>89421</v>
      </c>
      <c r="C6058" s="710" t="s">
        <v>5347</v>
      </c>
      <c r="D6058" s="709" t="s">
        <v>136</v>
      </c>
      <c r="E6058" s="716">
        <v>13.71</v>
      </c>
      <c r="F6058" s="717">
        <v>0</v>
      </c>
      <c r="G6058">
        <f>VLOOKUP(B6058,'SINAPI-%MO'!B:E,4,0)</f>
        <v>0.32679999999999998</v>
      </c>
      <c r="H6058" s="225">
        <f t="shared" si="94"/>
        <v>9.2200000000000006</v>
      </c>
    </row>
    <row r="6059" spans="1:8" x14ac:dyDescent="0.3">
      <c r="A6059" s="400"/>
      <c r="B6059" s="709">
        <v>89375</v>
      </c>
      <c r="C6059" s="710" t="s">
        <v>5348</v>
      </c>
      <c r="D6059" s="709" t="s">
        <v>136</v>
      </c>
      <c r="E6059" s="716">
        <v>14.24</v>
      </c>
      <c r="F6059" s="717">
        <v>0</v>
      </c>
      <c r="G6059">
        <f>VLOOKUP(B6059,'SINAPI-%MO'!B:E,4,0)</f>
        <v>0.3518</v>
      </c>
      <c r="H6059" s="225">
        <f t="shared" si="94"/>
        <v>9.23</v>
      </c>
    </row>
    <row r="6060" spans="1:8" x14ac:dyDescent="0.3">
      <c r="A6060" s="400"/>
      <c r="B6060" s="709">
        <v>89536</v>
      </c>
      <c r="C6060" s="710" t="s">
        <v>5349</v>
      </c>
      <c r="D6060" s="709" t="s">
        <v>136</v>
      </c>
      <c r="E6060" s="716">
        <v>13.98</v>
      </c>
      <c r="F6060" s="717">
        <v>0</v>
      </c>
      <c r="G6060">
        <f>VLOOKUP(B6060,'SINAPI-%MO'!B:E,4,0)</f>
        <v>0.19309999999999999</v>
      </c>
      <c r="H6060" s="225">
        <f t="shared" si="94"/>
        <v>11.28</v>
      </c>
    </row>
    <row r="6061" spans="1:8" x14ac:dyDescent="0.3">
      <c r="A6061" s="400"/>
      <c r="B6061" s="709">
        <v>89428</v>
      </c>
      <c r="C6061" s="710" t="s">
        <v>5350</v>
      </c>
      <c r="D6061" s="709" t="s">
        <v>136</v>
      </c>
      <c r="E6061" s="716">
        <v>16.53</v>
      </c>
      <c r="F6061" s="717">
        <v>0</v>
      </c>
      <c r="G6061">
        <f>VLOOKUP(B6061,'SINAPI-%MO'!B:E,4,0)</f>
        <v>0.31459999999999999</v>
      </c>
      <c r="H6061" s="225">
        <f t="shared" si="94"/>
        <v>11.32</v>
      </c>
    </row>
    <row r="6062" spans="1:8" x14ac:dyDescent="0.3">
      <c r="A6062" s="400"/>
      <c r="B6062" s="709">
        <v>89382</v>
      </c>
      <c r="C6062" s="710" t="s">
        <v>5351</v>
      </c>
      <c r="D6062" s="709" t="s">
        <v>136</v>
      </c>
      <c r="E6062" s="716">
        <v>17.149999999999999</v>
      </c>
      <c r="F6062" s="717">
        <v>0</v>
      </c>
      <c r="G6062">
        <f>VLOOKUP(B6062,'SINAPI-%MO'!B:E,4,0)</f>
        <v>0.33939999999999998</v>
      </c>
      <c r="H6062" s="225">
        <f t="shared" si="94"/>
        <v>11.32</v>
      </c>
    </row>
    <row r="6063" spans="1:8" x14ac:dyDescent="0.3">
      <c r="A6063" s="400"/>
      <c r="B6063" s="709">
        <v>89552</v>
      </c>
      <c r="C6063" s="710" t="s">
        <v>5352</v>
      </c>
      <c r="D6063" s="709" t="s">
        <v>136</v>
      </c>
      <c r="E6063" s="716">
        <v>21.84</v>
      </c>
      <c r="F6063" s="717">
        <v>0</v>
      </c>
      <c r="G6063">
        <f>VLOOKUP(B6063,'SINAPI-%MO'!B:E,4,0)</f>
        <v>0.15160000000000001</v>
      </c>
      <c r="H6063" s="225">
        <f t="shared" si="94"/>
        <v>18.52</v>
      </c>
    </row>
    <row r="6064" spans="1:8" x14ac:dyDescent="0.3">
      <c r="A6064" s="400"/>
      <c r="B6064" s="709">
        <v>89435</v>
      </c>
      <c r="C6064" s="710" t="s">
        <v>5353</v>
      </c>
      <c r="D6064" s="709" t="s">
        <v>136</v>
      </c>
      <c r="E6064" s="716">
        <v>24.79</v>
      </c>
      <c r="F6064" s="717">
        <v>0</v>
      </c>
      <c r="G6064">
        <f>VLOOKUP(B6064,'SINAPI-%MO'!B:E,4,0)</f>
        <v>0.2505</v>
      </c>
      <c r="H6064" s="225">
        <f t="shared" si="94"/>
        <v>18.579999999999998</v>
      </c>
    </row>
    <row r="6065" spans="1:8" x14ac:dyDescent="0.3">
      <c r="A6065" s="400"/>
      <c r="B6065" s="709">
        <v>89390</v>
      </c>
      <c r="C6065" s="710" t="s">
        <v>5354</v>
      </c>
      <c r="D6065" s="709" t="s">
        <v>136</v>
      </c>
      <c r="E6065" s="716">
        <v>25.53</v>
      </c>
      <c r="F6065" s="717">
        <v>0</v>
      </c>
      <c r="G6065">
        <f>VLOOKUP(B6065,'SINAPI-%MO'!B:E,4,0)</f>
        <v>0.27179999999999999</v>
      </c>
      <c r="H6065" s="225">
        <f t="shared" si="94"/>
        <v>18.59</v>
      </c>
    </row>
    <row r="6066" spans="1:8" x14ac:dyDescent="0.3">
      <c r="A6066" s="400"/>
      <c r="B6066" s="709">
        <v>89568</v>
      </c>
      <c r="C6066" s="710" t="s">
        <v>5355</v>
      </c>
      <c r="D6066" s="709" t="s">
        <v>136</v>
      </c>
      <c r="E6066" s="716">
        <v>38.33</v>
      </c>
      <c r="F6066" s="717">
        <v>0</v>
      </c>
      <c r="G6066">
        <f>VLOOKUP(B6066,'SINAPI-%MO'!B:E,4,0)</f>
        <v>0.1038</v>
      </c>
      <c r="H6066" s="225">
        <f t="shared" si="94"/>
        <v>34.35</v>
      </c>
    </row>
    <row r="6067" spans="1:8" x14ac:dyDescent="0.3">
      <c r="A6067" s="400"/>
      <c r="B6067" s="709">
        <v>103990</v>
      </c>
      <c r="C6067" s="710" t="s">
        <v>5356</v>
      </c>
      <c r="D6067" s="709" t="s">
        <v>136</v>
      </c>
      <c r="E6067" s="716">
        <v>41.76</v>
      </c>
      <c r="F6067" s="717">
        <v>0</v>
      </c>
      <c r="G6067">
        <f>VLOOKUP(B6067,'SINAPI-%MO'!B:E,4,0)</f>
        <v>0.17599999999999999</v>
      </c>
      <c r="H6067" s="225">
        <f t="shared" si="94"/>
        <v>34.409999999999997</v>
      </c>
    </row>
    <row r="6068" spans="1:8" x14ac:dyDescent="0.3">
      <c r="A6068" s="400"/>
      <c r="B6068" s="709">
        <v>89594</v>
      </c>
      <c r="C6068" s="710" t="s">
        <v>5357</v>
      </c>
      <c r="D6068" s="709" t="s">
        <v>136</v>
      </c>
      <c r="E6068" s="716">
        <v>42.59</v>
      </c>
      <c r="F6068" s="717">
        <v>0</v>
      </c>
      <c r="G6068">
        <f>VLOOKUP(B6068,'SINAPI-%MO'!B:E,4,0)</f>
        <v>0.11409999999999999</v>
      </c>
      <c r="H6068" s="225">
        <f t="shared" si="94"/>
        <v>37.729999999999997</v>
      </c>
    </row>
    <row r="6069" spans="1:8" x14ac:dyDescent="0.3">
      <c r="A6069" s="400"/>
      <c r="B6069" s="709">
        <v>103997</v>
      </c>
      <c r="C6069" s="710" t="s">
        <v>5358</v>
      </c>
      <c r="D6069" s="709" t="s">
        <v>136</v>
      </c>
      <c r="E6069" s="716">
        <v>46.59</v>
      </c>
      <c r="F6069" s="717">
        <v>0</v>
      </c>
      <c r="G6069">
        <f>VLOOKUP(B6069,'SINAPI-%MO'!B:E,4,0)</f>
        <v>0.18870000000000001</v>
      </c>
      <c r="H6069" s="225">
        <f t="shared" si="94"/>
        <v>37.79</v>
      </c>
    </row>
    <row r="6070" spans="1:8" x14ac:dyDescent="0.3">
      <c r="A6070" s="400"/>
      <c r="B6070" s="709">
        <v>89609</v>
      </c>
      <c r="C6070" s="710" t="s">
        <v>5359</v>
      </c>
      <c r="D6070" s="709" t="s">
        <v>136</v>
      </c>
      <c r="E6070" s="716">
        <v>99.25</v>
      </c>
      <c r="F6070" s="717">
        <v>0</v>
      </c>
      <c r="G6070">
        <f>VLOOKUP(B6070,'SINAPI-%MO'!B:E,4,0)</f>
        <v>5.7799999999999997E-2</v>
      </c>
      <c r="H6070" s="225">
        <f t="shared" si="94"/>
        <v>93.51</v>
      </c>
    </row>
    <row r="6071" spans="1:8" x14ac:dyDescent="0.3">
      <c r="A6071" s="400"/>
      <c r="B6071" s="709">
        <v>89612</v>
      </c>
      <c r="C6071" s="710" t="s">
        <v>5360</v>
      </c>
      <c r="D6071" s="709" t="s">
        <v>136</v>
      </c>
      <c r="E6071" s="716">
        <v>194.83</v>
      </c>
      <c r="F6071" s="717">
        <v>0</v>
      </c>
      <c r="G6071">
        <f>VLOOKUP(B6071,'SINAPI-%MO'!B:E,4,0)</f>
        <v>3.61E-2</v>
      </c>
      <c r="H6071" s="225">
        <f t="shared" si="94"/>
        <v>187.79</v>
      </c>
    </row>
    <row r="6072" spans="1:8" x14ac:dyDescent="0.3">
      <c r="A6072" s="400"/>
      <c r="B6072" s="709">
        <v>89615</v>
      </c>
      <c r="C6072" s="710" t="s">
        <v>5361</v>
      </c>
      <c r="D6072" s="709" t="s">
        <v>136</v>
      </c>
      <c r="E6072" s="716">
        <v>230.16</v>
      </c>
      <c r="F6072" s="717">
        <v>0</v>
      </c>
      <c r="G6072">
        <f>VLOOKUP(B6072,'SINAPI-%MO'!B:E,4,0)</f>
        <v>3.44E-2</v>
      </c>
      <c r="H6072" s="225">
        <f t="shared" si="94"/>
        <v>222.24</v>
      </c>
    </row>
    <row r="6073" spans="1:8" x14ac:dyDescent="0.3">
      <c r="A6073" s="400"/>
      <c r="B6073" s="709">
        <v>89747</v>
      </c>
      <c r="C6073" s="710" t="s">
        <v>5362</v>
      </c>
      <c r="D6073" s="709" t="s">
        <v>136</v>
      </c>
      <c r="E6073" s="716">
        <v>41.07</v>
      </c>
      <c r="F6073" s="717">
        <v>0</v>
      </c>
      <c r="G6073">
        <f>VLOOKUP(B6073,'SINAPI-%MO'!B:E,4,0)</f>
        <v>0.11609999999999999</v>
      </c>
      <c r="H6073" s="225">
        <f t="shared" si="94"/>
        <v>36.299999999999997</v>
      </c>
    </row>
    <row r="6074" spans="1:8" x14ac:dyDescent="0.3">
      <c r="A6074" s="400"/>
      <c r="B6074" s="709">
        <v>89656</v>
      </c>
      <c r="C6074" s="710" t="s">
        <v>5363</v>
      </c>
      <c r="D6074" s="709" t="s">
        <v>136</v>
      </c>
      <c r="E6074" s="716">
        <v>31.04</v>
      </c>
      <c r="F6074" s="717">
        <v>0</v>
      </c>
      <c r="G6074">
        <f>VLOOKUP(B6074,'SINAPI-%MO'!B:E,4,0)</f>
        <v>0.1356</v>
      </c>
      <c r="H6074" s="225">
        <f t="shared" si="94"/>
        <v>26.83</v>
      </c>
    </row>
    <row r="6075" spans="1:8" x14ac:dyDescent="0.3">
      <c r="A6075" s="400"/>
      <c r="B6075" s="709">
        <v>89663</v>
      </c>
      <c r="C6075" s="710" t="s">
        <v>5364</v>
      </c>
      <c r="D6075" s="709" t="s">
        <v>136</v>
      </c>
      <c r="E6075" s="716">
        <v>41.63</v>
      </c>
      <c r="F6075" s="717">
        <v>0</v>
      </c>
      <c r="G6075">
        <f>VLOOKUP(B6075,'SINAPI-%MO'!B:E,4,0)</f>
        <v>0.128</v>
      </c>
      <c r="H6075" s="225">
        <f t="shared" si="94"/>
        <v>36.299999999999997</v>
      </c>
    </row>
    <row r="6076" spans="1:8" x14ac:dyDescent="0.3">
      <c r="A6076" s="400"/>
      <c r="B6076" s="709">
        <v>89759</v>
      </c>
      <c r="C6076" s="710" t="s">
        <v>5365</v>
      </c>
      <c r="D6076" s="709" t="s">
        <v>136</v>
      </c>
      <c r="E6076" s="716">
        <v>15.23</v>
      </c>
      <c r="F6076" s="717">
        <v>0</v>
      </c>
      <c r="G6076">
        <f>VLOOKUP(B6076,'SINAPI-%MO'!B:E,4,0)</f>
        <v>0.34139999999999998</v>
      </c>
      <c r="H6076" s="225">
        <f t="shared" si="94"/>
        <v>10.029999999999999</v>
      </c>
    </row>
    <row r="6077" spans="1:8" x14ac:dyDescent="0.3">
      <c r="A6077" s="400"/>
      <c r="B6077" s="709">
        <v>89832</v>
      </c>
      <c r="C6077" s="710" t="s">
        <v>5366</v>
      </c>
      <c r="D6077" s="709" t="s">
        <v>136</v>
      </c>
      <c r="E6077" s="716">
        <v>57.51</v>
      </c>
      <c r="F6077" s="717">
        <v>0</v>
      </c>
      <c r="G6077">
        <f>VLOOKUP(B6077,'SINAPI-%MO'!B:E,4,0)</f>
        <v>0.108</v>
      </c>
      <c r="H6077" s="225">
        <f t="shared" si="94"/>
        <v>51.29</v>
      </c>
    </row>
    <row r="6078" spans="1:8" x14ac:dyDescent="0.3">
      <c r="A6078" s="400"/>
      <c r="B6078" s="709">
        <v>89666</v>
      </c>
      <c r="C6078" s="710" t="s">
        <v>5367</v>
      </c>
      <c r="D6078" s="709" t="s">
        <v>136</v>
      </c>
      <c r="E6078" s="716">
        <v>9.44</v>
      </c>
      <c r="F6078" s="717">
        <v>0</v>
      </c>
      <c r="G6078">
        <f>VLOOKUP(B6078,'SINAPI-%MO'!B:E,4,0)</f>
        <v>0.50529999999999997</v>
      </c>
      <c r="H6078" s="225">
        <f t="shared" si="94"/>
        <v>4.66</v>
      </c>
    </row>
    <row r="6079" spans="1:8" x14ac:dyDescent="0.3">
      <c r="A6079" s="400"/>
      <c r="B6079" s="709">
        <v>89678</v>
      </c>
      <c r="C6079" s="710" t="s">
        <v>5368</v>
      </c>
      <c r="D6079" s="709" t="s">
        <v>136</v>
      </c>
      <c r="E6079" s="716">
        <v>15.85</v>
      </c>
      <c r="F6079" s="717">
        <v>0</v>
      </c>
      <c r="G6079">
        <f>VLOOKUP(B6079,'SINAPI-%MO'!B:E,4,0)</f>
        <v>0.36720000000000003</v>
      </c>
      <c r="H6079" s="225">
        <f t="shared" si="94"/>
        <v>10.02</v>
      </c>
    </row>
    <row r="6080" spans="1:8" x14ac:dyDescent="0.3">
      <c r="A6080" s="400"/>
      <c r="B6080" s="709">
        <v>89764</v>
      </c>
      <c r="C6080" s="710" t="s">
        <v>5369</v>
      </c>
      <c r="D6080" s="709" t="s">
        <v>136</v>
      </c>
      <c r="E6080" s="716">
        <v>51.44</v>
      </c>
      <c r="F6080" s="717">
        <v>0</v>
      </c>
      <c r="G6080">
        <f>VLOOKUP(B6080,'SINAPI-%MO'!B:E,4,0)</f>
        <v>0.1192</v>
      </c>
      <c r="H6080" s="225">
        <f t="shared" si="94"/>
        <v>45.3</v>
      </c>
    </row>
    <row r="6081" spans="1:8" x14ac:dyDescent="0.3">
      <c r="A6081" s="400"/>
      <c r="B6081" s="709">
        <v>89689</v>
      </c>
      <c r="C6081" s="710" t="s">
        <v>5370</v>
      </c>
      <c r="D6081" s="709" t="s">
        <v>136</v>
      </c>
      <c r="E6081" s="716">
        <v>52.16</v>
      </c>
      <c r="F6081" s="717">
        <v>0</v>
      </c>
      <c r="G6081">
        <f>VLOOKUP(B6081,'SINAPI-%MO'!B:E,4,0)</f>
        <v>0.1313</v>
      </c>
      <c r="H6081" s="225">
        <f t="shared" si="94"/>
        <v>45.31</v>
      </c>
    </row>
    <row r="6082" spans="1:8" x14ac:dyDescent="0.3">
      <c r="A6082" s="400"/>
      <c r="B6082" s="709">
        <v>89655</v>
      </c>
      <c r="C6082" s="710" t="s">
        <v>5371</v>
      </c>
      <c r="D6082" s="709" t="s">
        <v>136</v>
      </c>
      <c r="E6082" s="716">
        <v>33.380000000000003</v>
      </c>
      <c r="F6082" s="717">
        <v>0</v>
      </c>
      <c r="G6082">
        <f>VLOOKUP(B6082,'SINAPI-%MO'!B:E,4,0)</f>
        <v>0.12609999999999999</v>
      </c>
      <c r="H6082" s="225">
        <f t="shared" si="94"/>
        <v>29.17</v>
      </c>
    </row>
    <row r="6083" spans="1:8" x14ac:dyDescent="0.3">
      <c r="A6083" s="400"/>
      <c r="B6083" s="709">
        <v>89662</v>
      </c>
      <c r="C6083" s="710" t="s">
        <v>5372</v>
      </c>
      <c r="D6083" s="709" t="s">
        <v>136</v>
      </c>
      <c r="E6083" s="716">
        <v>43.35</v>
      </c>
      <c r="F6083" s="717">
        <v>0</v>
      </c>
      <c r="G6083">
        <f>VLOOKUP(B6083,'SINAPI-%MO'!B:E,4,0)</f>
        <v>0.11</v>
      </c>
      <c r="H6083" s="225">
        <f t="shared" si="94"/>
        <v>38.58</v>
      </c>
    </row>
    <row r="6084" spans="1:8" x14ac:dyDescent="0.3">
      <c r="A6084" s="400"/>
      <c r="B6084" s="709">
        <v>89758</v>
      </c>
      <c r="C6084" s="710" t="s">
        <v>5373</v>
      </c>
      <c r="D6084" s="709" t="s">
        <v>136</v>
      </c>
      <c r="E6084" s="716">
        <v>51.27</v>
      </c>
      <c r="F6084" s="717">
        <v>0</v>
      </c>
      <c r="G6084">
        <f>VLOOKUP(B6084,'SINAPI-%MO'!B:E,4,0)</f>
        <v>0.1057</v>
      </c>
      <c r="H6084" s="225">
        <f t="shared" si="94"/>
        <v>45.85</v>
      </c>
    </row>
    <row r="6085" spans="1:8" x14ac:dyDescent="0.3">
      <c r="A6085" s="400"/>
      <c r="B6085" s="709">
        <v>89676</v>
      </c>
      <c r="C6085" s="710" t="s">
        <v>5374</v>
      </c>
      <c r="D6085" s="709" t="s">
        <v>136</v>
      </c>
      <c r="E6085" s="716">
        <v>51.3</v>
      </c>
      <c r="F6085" s="717">
        <v>0</v>
      </c>
      <c r="G6085">
        <f>VLOOKUP(B6085,'SINAPI-%MO'!B:E,4,0)</f>
        <v>0.1181</v>
      </c>
      <c r="H6085" s="225">
        <f t="shared" si="94"/>
        <v>45.24</v>
      </c>
    </row>
    <row r="6086" spans="1:8" x14ac:dyDescent="0.3">
      <c r="A6086" s="400"/>
      <c r="B6086" s="709">
        <v>89818</v>
      </c>
      <c r="C6086" s="710" t="s">
        <v>5375</v>
      </c>
      <c r="D6086" s="709" t="s">
        <v>136</v>
      </c>
      <c r="E6086" s="716">
        <v>75.12</v>
      </c>
      <c r="F6086" s="717">
        <v>0</v>
      </c>
      <c r="G6086">
        <f>VLOOKUP(B6086,'SINAPI-%MO'!B:E,4,0)</f>
        <v>4.58E-2</v>
      </c>
      <c r="H6086" s="225">
        <f t="shared" si="94"/>
        <v>71.67</v>
      </c>
    </row>
    <row r="6087" spans="1:8" x14ac:dyDescent="0.3">
      <c r="A6087" s="400"/>
      <c r="B6087" s="709">
        <v>89763</v>
      </c>
      <c r="C6087" s="710" t="s">
        <v>5376</v>
      </c>
      <c r="D6087" s="709" t="s">
        <v>136</v>
      </c>
      <c r="E6087" s="716">
        <v>78.099999999999994</v>
      </c>
      <c r="F6087" s="717">
        <v>0</v>
      </c>
      <c r="G6087">
        <f>VLOOKUP(B6087,'SINAPI-%MO'!B:E,4,0)</f>
        <v>8.2199999999999995E-2</v>
      </c>
      <c r="H6087" s="225">
        <f t="shared" si="94"/>
        <v>71.680000000000007</v>
      </c>
    </row>
    <row r="6088" spans="1:8" x14ac:dyDescent="0.3">
      <c r="A6088" s="400"/>
      <c r="B6088" s="709">
        <v>89686</v>
      </c>
      <c r="C6088" s="710" t="s">
        <v>5377</v>
      </c>
      <c r="D6088" s="709" t="s">
        <v>136</v>
      </c>
      <c r="E6088" s="716">
        <v>78.86</v>
      </c>
      <c r="F6088" s="717">
        <v>0</v>
      </c>
      <c r="G6088">
        <f>VLOOKUP(B6088,'SINAPI-%MO'!B:E,4,0)</f>
        <v>9.0999999999999998E-2</v>
      </c>
      <c r="H6088" s="225">
        <f t="shared" si="94"/>
        <v>71.680000000000007</v>
      </c>
    </row>
    <row r="6089" spans="1:8" x14ac:dyDescent="0.3">
      <c r="A6089" s="400"/>
      <c r="B6089" s="709">
        <v>104029</v>
      </c>
      <c r="C6089" s="710" t="s">
        <v>5378</v>
      </c>
      <c r="D6089" s="709" t="s">
        <v>136</v>
      </c>
      <c r="E6089" s="716">
        <v>94.15</v>
      </c>
      <c r="F6089" s="717">
        <v>0</v>
      </c>
      <c r="G6089">
        <f>VLOOKUP(B6089,'SINAPI-%MO'!B:E,4,0)</f>
        <v>7.5700000000000003E-2</v>
      </c>
      <c r="H6089" s="225">
        <f t="shared" si="94"/>
        <v>87.02</v>
      </c>
    </row>
    <row r="6090" spans="1:8" x14ac:dyDescent="0.3">
      <c r="A6090" s="400"/>
      <c r="B6090" s="709">
        <v>89831</v>
      </c>
      <c r="C6090" s="710" t="s">
        <v>5379</v>
      </c>
      <c r="D6090" s="709" t="s">
        <v>136</v>
      </c>
      <c r="E6090" s="716">
        <v>90.91</v>
      </c>
      <c r="F6090" s="717">
        <v>0</v>
      </c>
      <c r="G6090">
        <f>VLOOKUP(B6090,'SINAPI-%MO'!B:E,4,0)</f>
        <v>4.2799999999999998E-2</v>
      </c>
      <c r="H6090" s="225">
        <f t="shared" si="94"/>
        <v>87.01</v>
      </c>
    </row>
    <row r="6091" spans="1:8" x14ac:dyDescent="0.3">
      <c r="A6091" s="400"/>
      <c r="B6091" s="709">
        <v>89668</v>
      </c>
      <c r="C6091" s="710" t="s">
        <v>5380</v>
      </c>
      <c r="D6091" s="709" t="s">
        <v>136</v>
      </c>
      <c r="E6091" s="716">
        <v>40.64</v>
      </c>
      <c r="F6091" s="717">
        <v>0</v>
      </c>
      <c r="G6091">
        <f>VLOOKUP(B6091,'SINAPI-%MO'!B:E,4,0)</f>
        <v>0.1275</v>
      </c>
      <c r="H6091" s="225">
        <f t="shared" ref="H6091:H6154" si="95">IF(E6091&gt;0,TRUNC(E6091*(1-G6091),2),"")</f>
        <v>35.450000000000003</v>
      </c>
    </row>
    <row r="6092" spans="1:8" x14ac:dyDescent="0.3">
      <c r="A6092" s="400"/>
      <c r="B6092" s="709">
        <v>89639</v>
      </c>
      <c r="C6092" s="710" t="s">
        <v>5381</v>
      </c>
      <c r="D6092" s="709" t="s">
        <v>136</v>
      </c>
      <c r="E6092" s="716">
        <v>16</v>
      </c>
      <c r="F6092" s="717">
        <v>0</v>
      </c>
      <c r="G6092">
        <f>VLOOKUP(B6092,'SINAPI-%MO'!B:E,4,0)</f>
        <v>0.39560000000000001</v>
      </c>
      <c r="H6092" s="225">
        <f t="shared" si="95"/>
        <v>9.67</v>
      </c>
    </row>
    <row r="6093" spans="1:8" x14ac:dyDescent="0.3">
      <c r="A6093" s="400"/>
      <c r="B6093" s="709">
        <v>89721</v>
      </c>
      <c r="C6093" s="710" t="s">
        <v>5382</v>
      </c>
      <c r="D6093" s="709" t="s">
        <v>136</v>
      </c>
      <c r="E6093" s="716">
        <v>21.07</v>
      </c>
      <c r="F6093" s="717">
        <v>0</v>
      </c>
      <c r="G6093">
        <f>VLOOKUP(B6093,'SINAPI-%MO'!B:E,4,0)</f>
        <v>0.33979999999999999</v>
      </c>
      <c r="H6093" s="225">
        <f t="shared" si="95"/>
        <v>13.91</v>
      </c>
    </row>
    <row r="6094" spans="1:8" x14ac:dyDescent="0.3">
      <c r="A6094" s="400"/>
      <c r="B6094" s="709">
        <v>89643</v>
      </c>
      <c r="C6094" s="710" t="s">
        <v>5383</v>
      </c>
      <c r="D6094" s="709" t="s">
        <v>136</v>
      </c>
      <c r="E6094" s="716">
        <v>21.92</v>
      </c>
      <c r="F6094" s="717">
        <v>0</v>
      </c>
      <c r="G6094">
        <f>VLOOKUP(B6094,'SINAPI-%MO'!B:E,4,0)</f>
        <v>0.3654</v>
      </c>
      <c r="H6094" s="225">
        <f t="shared" si="95"/>
        <v>13.91</v>
      </c>
    </row>
    <row r="6095" spans="1:8" x14ac:dyDescent="0.3">
      <c r="A6095" s="400"/>
      <c r="B6095" s="709">
        <v>89727</v>
      </c>
      <c r="C6095" s="710" t="s">
        <v>5384</v>
      </c>
      <c r="D6095" s="709" t="s">
        <v>136</v>
      </c>
      <c r="E6095" s="716">
        <v>32.64</v>
      </c>
      <c r="F6095" s="717">
        <v>0</v>
      </c>
      <c r="G6095">
        <f>VLOOKUP(B6095,'SINAPI-%MO'!B:E,4,0)</f>
        <v>0.25890000000000002</v>
      </c>
      <c r="H6095" s="225">
        <f t="shared" si="95"/>
        <v>24.18</v>
      </c>
    </row>
    <row r="6096" spans="1:8" x14ac:dyDescent="0.3">
      <c r="A6096" s="400"/>
      <c r="B6096" s="709">
        <v>89648</v>
      </c>
      <c r="C6096" s="710" t="s">
        <v>5385</v>
      </c>
      <c r="D6096" s="709" t="s">
        <v>136</v>
      </c>
      <c r="E6096" s="716">
        <v>33.64</v>
      </c>
      <c r="F6096" s="717">
        <v>0</v>
      </c>
      <c r="G6096">
        <f>VLOOKUP(B6096,'SINAPI-%MO'!B:E,4,0)</f>
        <v>0.28089999999999998</v>
      </c>
      <c r="H6096" s="225">
        <f t="shared" si="95"/>
        <v>24.19</v>
      </c>
    </row>
    <row r="6097" spans="1:8" x14ac:dyDescent="0.3">
      <c r="A6097" s="400"/>
      <c r="B6097" s="709">
        <v>89749</v>
      </c>
      <c r="C6097" s="710" t="s">
        <v>5386</v>
      </c>
      <c r="D6097" s="709" t="s">
        <v>136</v>
      </c>
      <c r="E6097" s="716">
        <v>22.69</v>
      </c>
      <c r="F6097" s="717">
        <v>0</v>
      </c>
      <c r="G6097">
        <f>VLOOKUP(B6097,'SINAPI-%MO'!B:E,4,0)</f>
        <v>0.2102</v>
      </c>
      <c r="H6097" s="225">
        <f t="shared" si="95"/>
        <v>17.920000000000002</v>
      </c>
    </row>
    <row r="6098" spans="1:8" x14ac:dyDescent="0.3">
      <c r="A6098" s="400"/>
      <c r="B6098" s="709">
        <v>89657</v>
      </c>
      <c r="C6098" s="710" t="s">
        <v>5387</v>
      </c>
      <c r="D6098" s="709" t="s">
        <v>136</v>
      </c>
      <c r="E6098" s="716">
        <v>18.87</v>
      </c>
      <c r="F6098" s="717">
        <v>0</v>
      </c>
      <c r="G6098">
        <f>VLOOKUP(B6098,'SINAPI-%MO'!B:E,4,0)</f>
        <v>0.22309999999999999</v>
      </c>
      <c r="H6098" s="225">
        <f t="shared" si="95"/>
        <v>14.66</v>
      </c>
    </row>
    <row r="6099" spans="1:8" x14ac:dyDescent="0.3">
      <c r="A6099" s="400"/>
      <c r="B6099" s="709">
        <v>89664</v>
      </c>
      <c r="C6099" s="710" t="s">
        <v>5388</v>
      </c>
      <c r="D6099" s="709" t="s">
        <v>136</v>
      </c>
      <c r="E6099" s="716">
        <v>23.25</v>
      </c>
      <c r="F6099" s="717">
        <v>0</v>
      </c>
      <c r="G6099">
        <f>VLOOKUP(B6099,'SINAPI-%MO'!B:E,4,0)</f>
        <v>0.22919999999999999</v>
      </c>
      <c r="H6099" s="225">
        <f t="shared" si="95"/>
        <v>17.920000000000002</v>
      </c>
    </row>
    <row r="6100" spans="1:8" x14ac:dyDescent="0.3">
      <c r="A6100" s="400"/>
      <c r="B6100" s="709">
        <v>89638</v>
      </c>
      <c r="C6100" s="710" t="s">
        <v>5389</v>
      </c>
      <c r="D6100" s="709" t="s">
        <v>136</v>
      </c>
      <c r="E6100" s="716">
        <v>15.08</v>
      </c>
      <c r="F6100" s="717">
        <v>0</v>
      </c>
      <c r="G6100">
        <f>VLOOKUP(B6100,'SINAPI-%MO'!B:E,4,0)</f>
        <v>0.41980000000000001</v>
      </c>
      <c r="H6100" s="225">
        <f t="shared" si="95"/>
        <v>8.74</v>
      </c>
    </row>
    <row r="6101" spans="1:8" x14ac:dyDescent="0.3">
      <c r="A6101" s="400"/>
      <c r="B6101" s="709">
        <v>89720</v>
      </c>
      <c r="C6101" s="710" t="s">
        <v>5390</v>
      </c>
      <c r="D6101" s="709" t="s">
        <v>136</v>
      </c>
      <c r="E6101" s="716">
        <v>19.25</v>
      </c>
      <c r="F6101" s="717">
        <v>0</v>
      </c>
      <c r="G6101">
        <f>VLOOKUP(B6101,'SINAPI-%MO'!B:E,4,0)</f>
        <v>0.37190000000000001</v>
      </c>
      <c r="H6101" s="225">
        <f t="shared" si="95"/>
        <v>12.09</v>
      </c>
    </row>
    <row r="6102" spans="1:8" x14ac:dyDescent="0.3">
      <c r="A6102" s="400"/>
      <c r="B6102" s="709">
        <v>89642</v>
      </c>
      <c r="C6102" s="710" t="s">
        <v>5391</v>
      </c>
      <c r="D6102" s="709" t="s">
        <v>136</v>
      </c>
      <c r="E6102" s="716">
        <v>20.100000000000001</v>
      </c>
      <c r="F6102" s="717">
        <v>0</v>
      </c>
      <c r="G6102">
        <f>VLOOKUP(B6102,'SINAPI-%MO'!B:E,4,0)</f>
        <v>0.39850000000000002</v>
      </c>
      <c r="H6102" s="225">
        <f t="shared" si="95"/>
        <v>12.09</v>
      </c>
    </row>
    <row r="6103" spans="1:8" x14ac:dyDescent="0.3">
      <c r="A6103" s="400"/>
      <c r="B6103" s="709">
        <v>89725</v>
      </c>
      <c r="C6103" s="710" t="s">
        <v>5392</v>
      </c>
      <c r="D6103" s="709" t="s">
        <v>136</v>
      </c>
      <c r="E6103" s="716">
        <v>25.5</v>
      </c>
      <c r="F6103" s="717">
        <v>0</v>
      </c>
      <c r="G6103">
        <f>VLOOKUP(B6103,'SINAPI-%MO'!B:E,4,0)</f>
        <v>0.33139999999999997</v>
      </c>
      <c r="H6103" s="225">
        <f t="shared" si="95"/>
        <v>17.04</v>
      </c>
    </row>
    <row r="6104" spans="1:8" x14ac:dyDescent="0.3">
      <c r="A6104" s="400"/>
      <c r="B6104" s="709">
        <v>89647</v>
      </c>
      <c r="C6104" s="710" t="s">
        <v>5393</v>
      </c>
      <c r="D6104" s="709" t="s">
        <v>136</v>
      </c>
      <c r="E6104" s="716">
        <v>26.5</v>
      </c>
      <c r="F6104" s="717">
        <v>0</v>
      </c>
      <c r="G6104">
        <f>VLOOKUP(B6104,'SINAPI-%MO'!B:E,4,0)</f>
        <v>0.35659999999999997</v>
      </c>
      <c r="H6104" s="225">
        <f t="shared" si="95"/>
        <v>17.05</v>
      </c>
    </row>
    <row r="6105" spans="1:8" x14ac:dyDescent="0.3">
      <c r="A6105" s="400"/>
      <c r="B6105" s="709">
        <v>89780</v>
      </c>
      <c r="C6105" s="710" t="s">
        <v>5394</v>
      </c>
      <c r="D6105" s="709" t="s">
        <v>136</v>
      </c>
      <c r="E6105" s="716">
        <v>32.83</v>
      </c>
      <c r="F6105" s="717">
        <v>0</v>
      </c>
      <c r="G6105">
        <f>VLOOKUP(B6105,'SINAPI-%MO'!B:E,4,0)</f>
        <v>0.16239999999999999</v>
      </c>
      <c r="H6105" s="225">
        <f t="shared" si="95"/>
        <v>27.49</v>
      </c>
    </row>
    <row r="6106" spans="1:8" x14ac:dyDescent="0.3">
      <c r="A6106" s="400"/>
      <c r="B6106" s="709">
        <v>89734</v>
      </c>
      <c r="C6106" s="710" t="s">
        <v>5395</v>
      </c>
      <c r="D6106" s="709" t="s">
        <v>136</v>
      </c>
      <c r="E6106" s="716">
        <v>37.450000000000003</v>
      </c>
      <c r="F6106" s="717">
        <v>0</v>
      </c>
      <c r="G6106">
        <f>VLOOKUP(B6106,'SINAPI-%MO'!B:E,4,0)</f>
        <v>0.26569999999999999</v>
      </c>
      <c r="H6106" s="225">
        <f t="shared" si="95"/>
        <v>27.49</v>
      </c>
    </row>
    <row r="6107" spans="1:8" x14ac:dyDescent="0.3">
      <c r="A6107" s="400"/>
      <c r="B6107" s="709">
        <v>89650</v>
      </c>
      <c r="C6107" s="710" t="s">
        <v>5396</v>
      </c>
      <c r="D6107" s="709" t="s">
        <v>136</v>
      </c>
      <c r="E6107" s="716">
        <v>38.630000000000003</v>
      </c>
      <c r="F6107" s="717">
        <v>0</v>
      </c>
      <c r="G6107">
        <f>VLOOKUP(B6107,'SINAPI-%MO'!B:E,4,0)</f>
        <v>0.28810000000000002</v>
      </c>
      <c r="H6107" s="225">
        <f t="shared" si="95"/>
        <v>27.5</v>
      </c>
    </row>
    <row r="6108" spans="1:8" x14ac:dyDescent="0.3">
      <c r="A6108" s="400"/>
      <c r="B6108" s="709">
        <v>89787</v>
      </c>
      <c r="C6108" s="710" t="s">
        <v>5397</v>
      </c>
      <c r="D6108" s="709" t="s">
        <v>136</v>
      </c>
      <c r="E6108" s="716">
        <v>49.62</v>
      </c>
      <c r="F6108" s="717">
        <v>0</v>
      </c>
      <c r="G6108">
        <f>VLOOKUP(B6108,'SINAPI-%MO'!B:E,4,0)</f>
        <v>0.12659999999999999</v>
      </c>
      <c r="H6108" s="225">
        <f t="shared" si="95"/>
        <v>43.33</v>
      </c>
    </row>
    <row r="6109" spans="1:8" x14ac:dyDescent="0.3">
      <c r="A6109" s="400"/>
      <c r="B6109" s="709">
        <v>104024</v>
      </c>
      <c r="C6109" s="710" t="s">
        <v>5398</v>
      </c>
      <c r="D6109" s="709" t="s">
        <v>136</v>
      </c>
      <c r="E6109" s="716">
        <v>54.8</v>
      </c>
      <c r="F6109" s="717">
        <v>0</v>
      </c>
      <c r="G6109">
        <f>VLOOKUP(B6109,'SINAPI-%MO'!B:E,4,0)</f>
        <v>0.20910000000000001</v>
      </c>
      <c r="H6109" s="225">
        <f t="shared" si="95"/>
        <v>43.34</v>
      </c>
    </row>
    <row r="6110" spans="1:8" x14ac:dyDescent="0.3">
      <c r="A6110" s="400"/>
      <c r="B6110" s="709">
        <v>89789</v>
      </c>
      <c r="C6110" s="710" t="s">
        <v>5399</v>
      </c>
      <c r="D6110" s="709" t="s">
        <v>136</v>
      </c>
      <c r="E6110" s="716">
        <v>93.61</v>
      </c>
      <c r="F6110" s="717">
        <v>0</v>
      </c>
      <c r="G6110">
        <f>VLOOKUP(B6110,'SINAPI-%MO'!B:E,4,0)</f>
        <v>8.3799999999999999E-2</v>
      </c>
      <c r="H6110" s="225">
        <f t="shared" si="95"/>
        <v>85.76</v>
      </c>
    </row>
    <row r="6111" spans="1:8" x14ac:dyDescent="0.3">
      <c r="A6111" s="400"/>
      <c r="B6111" s="709">
        <v>89791</v>
      </c>
      <c r="C6111" s="710" t="s">
        <v>5400</v>
      </c>
      <c r="D6111" s="709" t="s">
        <v>136</v>
      </c>
      <c r="E6111" s="716">
        <v>215.14</v>
      </c>
      <c r="F6111" s="717">
        <v>0</v>
      </c>
      <c r="G6111">
        <f>VLOOKUP(B6111,'SINAPI-%MO'!B:E,4,0)</f>
        <v>4.8099999999999997E-2</v>
      </c>
      <c r="H6111" s="225">
        <f t="shared" si="95"/>
        <v>204.79</v>
      </c>
    </row>
    <row r="6112" spans="1:8" x14ac:dyDescent="0.3">
      <c r="A6112" s="400"/>
      <c r="B6112" s="709">
        <v>89793</v>
      </c>
      <c r="C6112" s="710" t="s">
        <v>5401</v>
      </c>
      <c r="D6112" s="709" t="s">
        <v>136</v>
      </c>
      <c r="E6112" s="716">
        <v>311.11</v>
      </c>
      <c r="F6112" s="717">
        <v>0</v>
      </c>
      <c r="G6112">
        <f>VLOOKUP(B6112,'SINAPI-%MO'!B:E,4,0)</f>
        <v>0.04</v>
      </c>
      <c r="H6112" s="225">
        <f t="shared" si="95"/>
        <v>298.66000000000003</v>
      </c>
    </row>
    <row r="6113" spans="1:8" x14ac:dyDescent="0.3">
      <c r="A6113" s="400"/>
      <c r="B6113" s="709">
        <v>89637</v>
      </c>
      <c r="C6113" s="710" t="s">
        <v>5402</v>
      </c>
      <c r="D6113" s="709" t="s">
        <v>136</v>
      </c>
      <c r="E6113" s="716">
        <v>13.77</v>
      </c>
      <c r="F6113" s="717">
        <v>0</v>
      </c>
      <c r="G6113">
        <f>VLOOKUP(B6113,'SINAPI-%MO'!B:E,4,0)</f>
        <v>0.4597</v>
      </c>
      <c r="H6113" s="225">
        <f t="shared" si="95"/>
        <v>7.43</v>
      </c>
    </row>
    <row r="6114" spans="1:8" x14ac:dyDescent="0.3">
      <c r="A6114" s="400"/>
      <c r="B6114" s="709">
        <v>89719</v>
      </c>
      <c r="C6114" s="710" t="s">
        <v>5403</v>
      </c>
      <c r="D6114" s="709" t="s">
        <v>136</v>
      </c>
      <c r="E6114" s="716">
        <v>16.96</v>
      </c>
      <c r="F6114" s="717">
        <v>0</v>
      </c>
      <c r="G6114">
        <f>VLOOKUP(B6114,'SINAPI-%MO'!B:E,4,0)</f>
        <v>0.42220000000000002</v>
      </c>
      <c r="H6114" s="225">
        <f t="shared" si="95"/>
        <v>9.7899999999999991</v>
      </c>
    </row>
    <row r="6115" spans="1:8" x14ac:dyDescent="0.3">
      <c r="A6115" s="400"/>
      <c r="B6115" s="709">
        <v>89641</v>
      </c>
      <c r="C6115" s="710" t="s">
        <v>5404</v>
      </c>
      <c r="D6115" s="709" t="s">
        <v>136</v>
      </c>
      <c r="E6115" s="716">
        <v>17.809999999999999</v>
      </c>
      <c r="F6115" s="717">
        <v>0</v>
      </c>
      <c r="G6115">
        <f>VLOOKUP(B6115,'SINAPI-%MO'!B:E,4,0)</f>
        <v>0.44969999999999999</v>
      </c>
      <c r="H6115" s="225">
        <f t="shared" si="95"/>
        <v>9.8000000000000007</v>
      </c>
    </row>
    <row r="6116" spans="1:8" x14ac:dyDescent="0.3">
      <c r="A6116" s="400"/>
      <c r="B6116" s="709">
        <v>89723</v>
      </c>
      <c r="C6116" s="710" t="s">
        <v>5405</v>
      </c>
      <c r="D6116" s="709" t="s">
        <v>136</v>
      </c>
      <c r="E6116" s="716">
        <v>26.44</v>
      </c>
      <c r="F6116" s="717">
        <v>0</v>
      </c>
      <c r="G6116">
        <f>VLOOKUP(B6116,'SINAPI-%MO'!B:E,4,0)</f>
        <v>0.3196</v>
      </c>
      <c r="H6116" s="225">
        <f t="shared" si="95"/>
        <v>17.98</v>
      </c>
    </row>
    <row r="6117" spans="1:8" x14ac:dyDescent="0.3">
      <c r="A6117" s="400"/>
      <c r="B6117" s="709">
        <v>89646</v>
      </c>
      <c r="C6117" s="710" t="s">
        <v>5406</v>
      </c>
      <c r="D6117" s="709" t="s">
        <v>136</v>
      </c>
      <c r="E6117" s="716">
        <v>27.44</v>
      </c>
      <c r="F6117" s="717">
        <v>0</v>
      </c>
      <c r="G6117">
        <f>VLOOKUP(B6117,'SINAPI-%MO'!B:E,4,0)</f>
        <v>0.34439999999999998</v>
      </c>
      <c r="H6117" s="225">
        <f t="shared" si="95"/>
        <v>17.98</v>
      </c>
    </row>
    <row r="6118" spans="1:8" x14ac:dyDescent="0.3">
      <c r="A6118" s="400"/>
      <c r="B6118" s="709">
        <v>89777</v>
      </c>
      <c r="C6118" s="710" t="s">
        <v>5407</v>
      </c>
      <c r="D6118" s="709" t="s">
        <v>136</v>
      </c>
      <c r="E6118" s="716">
        <v>35.18</v>
      </c>
      <c r="F6118" s="717">
        <v>0</v>
      </c>
      <c r="G6118">
        <f>VLOOKUP(B6118,'SINAPI-%MO'!B:E,4,0)</f>
        <v>0.1515</v>
      </c>
      <c r="H6118" s="225">
        <f t="shared" si="95"/>
        <v>29.85</v>
      </c>
    </row>
    <row r="6119" spans="1:8" x14ac:dyDescent="0.3">
      <c r="A6119" s="400"/>
      <c r="B6119" s="709">
        <v>89729</v>
      </c>
      <c r="C6119" s="710" t="s">
        <v>5408</v>
      </c>
      <c r="D6119" s="709" t="s">
        <v>136</v>
      </c>
      <c r="E6119" s="716">
        <v>39.799999999999997</v>
      </c>
      <c r="F6119" s="717">
        <v>0</v>
      </c>
      <c r="G6119">
        <f>VLOOKUP(B6119,'SINAPI-%MO'!B:E,4,0)</f>
        <v>0.25</v>
      </c>
      <c r="H6119" s="225">
        <f t="shared" si="95"/>
        <v>29.85</v>
      </c>
    </row>
    <row r="6120" spans="1:8" x14ac:dyDescent="0.3">
      <c r="A6120" s="400"/>
      <c r="B6120" s="709">
        <v>89649</v>
      </c>
      <c r="C6120" s="710" t="s">
        <v>5409</v>
      </c>
      <c r="D6120" s="709" t="s">
        <v>136</v>
      </c>
      <c r="E6120" s="716">
        <v>40.98</v>
      </c>
      <c r="F6120" s="717">
        <v>0</v>
      </c>
      <c r="G6120">
        <f>VLOOKUP(B6120,'SINAPI-%MO'!B:E,4,0)</f>
        <v>0.27160000000000001</v>
      </c>
      <c r="H6120" s="225">
        <f t="shared" si="95"/>
        <v>29.84</v>
      </c>
    </row>
    <row r="6121" spans="1:8" x14ac:dyDescent="0.3">
      <c r="A6121" s="400"/>
      <c r="B6121" s="709">
        <v>89781</v>
      </c>
      <c r="C6121" s="710" t="s">
        <v>5410</v>
      </c>
      <c r="D6121" s="709" t="s">
        <v>136</v>
      </c>
      <c r="E6121" s="716">
        <v>50.2</v>
      </c>
      <c r="F6121" s="717">
        <v>0</v>
      </c>
      <c r="G6121">
        <f>VLOOKUP(B6121,'SINAPI-%MO'!B:E,4,0)</f>
        <v>0.12509999999999999</v>
      </c>
      <c r="H6121" s="225">
        <f t="shared" si="95"/>
        <v>43.91</v>
      </c>
    </row>
    <row r="6122" spans="1:8" x14ac:dyDescent="0.3">
      <c r="A6122" s="400"/>
      <c r="B6122" s="709">
        <v>104023</v>
      </c>
      <c r="C6122" s="710" t="s">
        <v>5411</v>
      </c>
      <c r="D6122" s="709" t="s">
        <v>136</v>
      </c>
      <c r="E6122" s="716">
        <v>55.38</v>
      </c>
      <c r="F6122" s="717">
        <v>0</v>
      </c>
      <c r="G6122">
        <f>VLOOKUP(B6122,'SINAPI-%MO'!B:E,4,0)</f>
        <v>0.2069</v>
      </c>
      <c r="H6122" s="225">
        <f t="shared" si="95"/>
        <v>43.92</v>
      </c>
    </row>
    <row r="6123" spans="1:8" x14ac:dyDescent="0.3">
      <c r="A6123" s="400"/>
      <c r="B6123" s="709">
        <v>89788</v>
      </c>
      <c r="C6123" s="710" t="s">
        <v>5412</v>
      </c>
      <c r="D6123" s="709" t="s">
        <v>136</v>
      </c>
      <c r="E6123" s="716">
        <v>110.7</v>
      </c>
      <c r="F6123" s="717">
        <v>0</v>
      </c>
      <c r="G6123">
        <f>VLOOKUP(B6123,'SINAPI-%MO'!B:E,4,0)</f>
        <v>7.0800000000000002E-2</v>
      </c>
      <c r="H6123" s="225">
        <f t="shared" si="95"/>
        <v>102.86</v>
      </c>
    </row>
    <row r="6124" spans="1:8" x14ac:dyDescent="0.3">
      <c r="A6124" s="400"/>
      <c r="B6124" s="709">
        <v>89790</v>
      </c>
      <c r="C6124" s="710" t="s">
        <v>5413</v>
      </c>
      <c r="D6124" s="709" t="s">
        <v>136</v>
      </c>
      <c r="E6124" s="716">
        <v>222.87</v>
      </c>
      <c r="F6124" s="717">
        <v>0</v>
      </c>
      <c r="G6124">
        <f>VLOOKUP(B6124,'SINAPI-%MO'!B:E,4,0)</f>
        <v>4.6399999999999997E-2</v>
      </c>
      <c r="H6124" s="225">
        <f t="shared" si="95"/>
        <v>212.52</v>
      </c>
    </row>
    <row r="6125" spans="1:8" x14ac:dyDescent="0.3">
      <c r="A6125" s="400"/>
      <c r="B6125" s="709">
        <v>89792</v>
      </c>
      <c r="C6125" s="710" t="s">
        <v>5414</v>
      </c>
      <c r="D6125" s="709" t="s">
        <v>136</v>
      </c>
      <c r="E6125" s="716">
        <v>263</v>
      </c>
      <c r="F6125" s="717">
        <v>0</v>
      </c>
      <c r="G6125">
        <f>VLOOKUP(B6125,'SINAPI-%MO'!B:E,4,0)</f>
        <v>4.7300000000000002E-2</v>
      </c>
      <c r="H6125" s="225">
        <f t="shared" si="95"/>
        <v>250.56</v>
      </c>
    </row>
    <row r="6126" spans="1:8" x14ac:dyDescent="0.3">
      <c r="A6126" s="400"/>
      <c r="B6126" s="709">
        <v>89640</v>
      </c>
      <c r="C6126" s="710" t="s">
        <v>5415</v>
      </c>
      <c r="D6126" s="709" t="s">
        <v>136</v>
      </c>
      <c r="E6126" s="716">
        <v>25.9</v>
      </c>
      <c r="F6126" s="717">
        <v>0</v>
      </c>
      <c r="G6126">
        <f>VLOOKUP(B6126,'SINAPI-%MO'!B:E,4,0)</f>
        <v>0.24440000000000001</v>
      </c>
      <c r="H6126" s="225">
        <f t="shared" si="95"/>
        <v>19.57</v>
      </c>
    </row>
    <row r="6127" spans="1:8" x14ac:dyDescent="0.3">
      <c r="A6127" s="400"/>
      <c r="B6127" s="709">
        <v>89644</v>
      </c>
      <c r="C6127" s="710" t="s">
        <v>5416</v>
      </c>
      <c r="D6127" s="709" t="s">
        <v>136</v>
      </c>
      <c r="E6127" s="716">
        <v>31.71</v>
      </c>
      <c r="F6127" s="717">
        <v>0</v>
      </c>
      <c r="G6127">
        <f>VLOOKUP(B6127,'SINAPI-%MO'!B:E,4,0)</f>
        <v>0.2261</v>
      </c>
      <c r="H6127" s="225">
        <f t="shared" si="95"/>
        <v>24.54</v>
      </c>
    </row>
    <row r="6128" spans="1:8" x14ac:dyDescent="0.3">
      <c r="A6128" s="400"/>
      <c r="B6128" s="709">
        <v>89645</v>
      </c>
      <c r="C6128" s="710" t="s">
        <v>5417</v>
      </c>
      <c r="D6128" s="709" t="s">
        <v>136</v>
      </c>
      <c r="E6128" s="716">
        <v>44.77</v>
      </c>
      <c r="F6128" s="717">
        <v>0</v>
      </c>
      <c r="G6128">
        <f>VLOOKUP(B6128,'SINAPI-%MO'!B:E,4,0)</f>
        <v>0.1736</v>
      </c>
      <c r="H6128" s="225">
        <f t="shared" si="95"/>
        <v>36.99</v>
      </c>
    </row>
    <row r="6129" spans="1:8" x14ac:dyDescent="0.3">
      <c r="A6129" s="400"/>
      <c r="B6129" s="709">
        <v>89652</v>
      </c>
      <c r="C6129" s="710" t="s">
        <v>5418</v>
      </c>
      <c r="D6129" s="709" t="s">
        <v>136</v>
      </c>
      <c r="E6129" s="716">
        <v>16.54</v>
      </c>
      <c r="F6129" s="717">
        <v>0</v>
      </c>
      <c r="G6129">
        <f>VLOOKUP(B6129,'SINAPI-%MO'!B:E,4,0)</f>
        <v>0.2545</v>
      </c>
      <c r="H6129" s="225">
        <f t="shared" si="95"/>
        <v>12.33</v>
      </c>
    </row>
    <row r="6130" spans="1:8" x14ac:dyDescent="0.3">
      <c r="A6130" s="400"/>
      <c r="B6130" s="709">
        <v>89738</v>
      </c>
      <c r="C6130" s="710" t="s">
        <v>5419</v>
      </c>
      <c r="D6130" s="709" t="s">
        <v>136</v>
      </c>
      <c r="E6130" s="716">
        <v>22.79</v>
      </c>
      <c r="F6130" s="717">
        <v>0</v>
      </c>
      <c r="G6130">
        <f>VLOOKUP(B6130,'SINAPI-%MO'!B:E,4,0)</f>
        <v>0.20930000000000001</v>
      </c>
      <c r="H6130" s="225">
        <f t="shared" si="95"/>
        <v>18.02</v>
      </c>
    </row>
    <row r="6131" spans="1:8" x14ac:dyDescent="0.3">
      <c r="A6131" s="400"/>
      <c r="B6131" s="709">
        <v>89659</v>
      </c>
      <c r="C6131" s="710" t="s">
        <v>5420</v>
      </c>
      <c r="D6131" s="709" t="s">
        <v>136</v>
      </c>
      <c r="E6131" s="716">
        <v>23.35</v>
      </c>
      <c r="F6131" s="717">
        <v>0</v>
      </c>
      <c r="G6131">
        <f>VLOOKUP(B6131,'SINAPI-%MO'!B:E,4,0)</f>
        <v>0.2283</v>
      </c>
      <c r="H6131" s="225">
        <f t="shared" si="95"/>
        <v>18.010000000000002</v>
      </c>
    </row>
    <row r="6132" spans="1:8" x14ac:dyDescent="0.3">
      <c r="A6132" s="400"/>
      <c r="B6132" s="709">
        <v>89756</v>
      </c>
      <c r="C6132" s="710" t="s">
        <v>5421</v>
      </c>
      <c r="D6132" s="709" t="s">
        <v>136</v>
      </c>
      <c r="E6132" s="716">
        <v>31.74</v>
      </c>
      <c r="F6132" s="717">
        <v>0</v>
      </c>
      <c r="G6132">
        <f>VLOOKUP(B6132,'SINAPI-%MO'!B:E,4,0)</f>
        <v>0.1774</v>
      </c>
      <c r="H6132" s="225">
        <f t="shared" si="95"/>
        <v>26.1</v>
      </c>
    </row>
    <row r="6133" spans="1:8" x14ac:dyDescent="0.3">
      <c r="A6133" s="400"/>
      <c r="B6133" s="709">
        <v>89672</v>
      </c>
      <c r="C6133" s="710" t="s">
        <v>5422</v>
      </c>
      <c r="D6133" s="709" t="s">
        <v>136</v>
      </c>
      <c r="E6133" s="716">
        <v>32.409999999999997</v>
      </c>
      <c r="F6133" s="717">
        <v>0</v>
      </c>
      <c r="G6133">
        <f>VLOOKUP(B6133,'SINAPI-%MO'!B:E,4,0)</f>
        <v>0.19439999999999999</v>
      </c>
      <c r="H6133" s="225">
        <f t="shared" si="95"/>
        <v>26.1</v>
      </c>
    </row>
    <row r="6134" spans="1:8" x14ac:dyDescent="0.3">
      <c r="A6134" s="400"/>
      <c r="B6134" s="709">
        <v>89815</v>
      </c>
      <c r="C6134" s="710" t="s">
        <v>5423</v>
      </c>
      <c r="D6134" s="709" t="s">
        <v>136</v>
      </c>
      <c r="E6134" s="716">
        <v>39.5</v>
      </c>
      <c r="F6134" s="717">
        <v>0</v>
      </c>
      <c r="G6134">
        <f>VLOOKUP(B6134,'SINAPI-%MO'!B:E,4,0)</f>
        <v>9.0399999999999994E-2</v>
      </c>
      <c r="H6134" s="225">
        <f t="shared" si="95"/>
        <v>35.92</v>
      </c>
    </row>
    <row r="6135" spans="1:8" x14ac:dyDescent="0.3">
      <c r="A6135" s="400"/>
      <c r="B6135" s="709">
        <v>89761</v>
      </c>
      <c r="C6135" s="710" t="s">
        <v>5424</v>
      </c>
      <c r="D6135" s="709" t="s">
        <v>136</v>
      </c>
      <c r="E6135" s="716">
        <v>42.56</v>
      </c>
      <c r="F6135" s="717">
        <v>0</v>
      </c>
      <c r="G6135">
        <f>VLOOKUP(B6135,'SINAPI-%MO'!B:E,4,0)</f>
        <v>0.15579999999999999</v>
      </c>
      <c r="H6135" s="225">
        <f t="shared" si="95"/>
        <v>35.92</v>
      </c>
    </row>
    <row r="6136" spans="1:8" x14ac:dyDescent="0.3">
      <c r="A6136" s="400"/>
      <c r="B6136" s="709">
        <v>89682</v>
      </c>
      <c r="C6136" s="710" t="s">
        <v>5425</v>
      </c>
      <c r="D6136" s="709" t="s">
        <v>136</v>
      </c>
      <c r="E6136" s="716">
        <v>43.34</v>
      </c>
      <c r="F6136" s="717">
        <v>0</v>
      </c>
      <c r="G6136">
        <f>VLOOKUP(B6136,'SINAPI-%MO'!B:E,4,0)</f>
        <v>0.17100000000000001</v>
      </c>
      <c r="H6136" s="225">
        <f t="shared" si="95"/>
        <v>35.92</v>
      </c>
    </row>
    <row r="6137" spans="1:8" x14ac:dyDescent="0.3">
      <c r="A6137" s="400"/>
      <c r="B6137" s="709">
        <v>89824</v>
      </c>
      <c r="C6137" s="710" t="s">
        <v>5426</v>
      </c>
      <c r="D6137" s="709" t="s">
        <v>136</v>
      </c>
      <c r="E6137" s="716">
        <v>53.93</v>
      </c>
      <c r="F6137" s="717">
        <v>0</v>
      </c>
      <c r="G6137">
        <f>VLOOKUP(B6137,'SINAPI-%MO'!B:E,4,0)</f>
        <v>7.7700000000000005E-2</v>
      </c>
      <c r="H6137" s="225">
        <f t="shared" si="95"/>
        <v>49.73</v>
      </c>
    </row>
    <row r="6138" spans="1:8" x14ac:dyDescent="0.3">
      <c r="A6138" s="400"/>
      <c r="B6138" s="709">
        <v>104026</v>
      </c>
      <c r="C6138" s="710" t="s">
        <v>5427</v>
      </c>
      <c r="D6138" s="709" t="s">
        <v>136</v>
      </c>
      <c r="E6138" s="716">
        <v>57.37</v>
      </c>
      <c r="F6138" s="717">
        <v>0</v>
      </c>
      <c r="G6138">
        <f>VLOOKUP(B6138,'SINAPI-%MO'!B:E,4,0)</f>
        <v>0.13300000000000001</v>
      </c>
      <c r="H6138" s="225">
        <f t="shared" si="95"/>
        <v>49.73</v>
      </c>
    </row>
    <row r="6139" spans="1:8" x14ac:dyDescent="0.3">
      <c r="A6139" s="400"/>
      <c r="B6139" s="709">
        <v>89740</v>
      </c>
      <c r="C6139" s="710" t="s">
        <v>5428</v>
      </c>
      <c r="D6139" s="709" t="s">
        <v>136</v>
      </c>
      <c r="E6139" s="716">
        <v>11.97</v>
      </c>
      <c r="F6139" s="717">
        <v>0</v>
      </c>
      <c r="G6139">
        <f>VLOOKUP(B6139,'SINAPI-%MO'!B:E,4,0)</f>
        <v>0.41689999999999999</v>
      </c>
      <c r="H6139" s="225">
        <f t="shared" si="95"/>
        <v>6.97</v>
      </c>
    </row>
    <row r="6140" spans="1:8" x14ac:dyDescent="0.3">
      <c r="A6140" s="400"/>
      <c r="B6140" s="709">
        <v>89836</v>
      </c>
      <c r="C6140" s="710" t="s">
        <v>5429</v>
      </c>
      <c r="D6140" s="709" t="s">
        <v>136</v>
      </c>
      <c r="E6140" s="716">
        <v>283.01</v>
      </c>
      <c r="F6140" s="717">
        <v>0</v>
      </c>
      <c r="G6140">
        <f>VLOOKUP(B6140,'SINAPI-%MO'!B:E,4,0)</f>
        <v>1.78E-2</v>
      </c>
      <c r="H6140" s="225">
        <f t="shared" si="95"/>
        <v>277.97000000000003</v>
      </c>
    </row>
    <row r="6141" spans="1:8" x14ac:dyDescent="0.3">
      <c r="A6141" s="400"/>
      <c r="B6141" s="709">
        <v>89653</v>
      </c>
      <c r="C6141" s="710" t="s">
        <v>5430</v>
      </c>
      <c r="D6141" s="709" t="s">
        <v>136</v>
      </c>
      <c r="E6141" s="716">
        <v>23.91</v>
      </c>
      <c r="F6141" s="717">
        <v>0</v>
      </c>
      <c r="G6141">
        <f>VLOOKUP(B6141,'SINAPI-%MO'!B:E,4,0)</f>
        <v>0.17610000000000001</v>
      </c>
      <c r="H6141" s="225">
        <f t="shared" si="95"/>
        <v>19.690000000000001</v>
      </c>
    </row>
    <row r="6142" spans="1:8" x14ac:dyDescent="0.3">
      <c r="A6142" s="400"/>
      <c r="B6142" s="709">
        <v>89660</v>
      </c>
      <c r="C6142" s="710" t="s">
        <v>5431</v>
      </c>
      <c r="D6142" s="709" t="s">
        <v>136</v>
      </c>
      <c r="E6142" s="716">
        <v>12.56</v>
      </c>
      <c r="F6142" s="717">
        <v>0</v>
      </c>
      <c r="G6142">
        <f>VLOOKUP(B6142,'SINAPI-%MO'!B:E,4,0)</f>
        <v>0.44429999999999997</v>
      </c>
      <c r="H6142" s="225">
        <f t="shared" si="95"/>
        <v>6.97</v>
      </c>
    </row>
    <row r="6143" spans="1:8" x14ac:dyDescent="0.3">
      <c r="A6143" s="400"/>
      <c r="B6143" s="709">
        <v>104028</v>
      </c>
      <c r="C6143" s="710" t="s">
        <v>5432</v>
      </c>
      <c r="D6143" s="709" t="s">
        <v>136</v>
      </c>
      <c r="E6143" s="716">
        <v>182.99</v>
      </c>
      <c r="F6143" s="717">
        <v>0</v>
      </c>
      <c r="G6143">
        <f>VLOOKUP(B6143,'SINAPI-%MO'!B:E,4,0)</f>
        <v>3.9E-2</v>
      </c>
      <c r="H6143" s="225">
        <f t="shared" si="95"/>
        <v>175.85</v>
      </c>
    </row>
    <row r="6144" spans="1:8" x14ac:dyDescent="0.3">
      <c r="A6144" s="400"/>
      <c r="B6144" s="709">
        <v>89826</v>
      </c>
      <c r="C6144" s="710" t="s">
        <v>5433</v>
      </c>
      <c r="D6144" s="709" t="s">
        <v>136</v>
      </c>
      <c r="E6144" s="716">
        <v>179.75</v>
      </c>
      <c r="F6144" s="717">
        <v>0</v>
      </c>
      <c r="G6144">
        <f>VLOOKUP(B6144,'SINAPI-%MO'!B:E,4,0)</f>
        <v>2.1600000000000001E-2</v>
      </c>
      <c r="H6144" s="225">
        <f t="shared" si="95"/>
        <v>175.86</v>
      </c>
    </row>
    <row r="6145" spans="1:8" x14ac:dyDescent="0.3">
      <c r="A6145" s="400"/>
      <c r="B6145" s="709">
        <v>89651</v>
      </c>
      <c r="C6145" s="710" t="s">
        <v>5434</v>
      </c>
      <c r="D6145" s="709" t="s">
        <v>136</v>
      </c>
      <c r="E6145" s="716">
        <v>9.27</v>
      </c>
      <c r="F6145" s="717">
        <v>0</v>
      </c>
      <c r="G6145">
        <f>VLOOKUP(B6145,'SINAPI-%MO'!B:E,4,0)</f>
        <v>0.45419999999999999</v>
      </c>
      <c r="H6145" s="225">
        <f t="shared" si="95"/>
        <v>5.05</v>
      </c>
    </row>
    <row r="6146" spans="1:8" x14ac:dyDescent="0.3">
      <c r="A6146" s="400"/>
      <c r="B6146" s="709">
        <v>89736</v>
      </c>
      <c r="C6146" s="710" t="s">
        <v>5435</v>
      </c>
      <c r="D6146" s="709" t="s">
        <v>136</v>
      </c>
      <c r="E6146" s="716">
        <v>11.8</v>
      </c>
      <c r="F6146" s="717">
        <v>0</v>
      </c>
      <c r="G6146">
        <f>VLOOKUP(B6146,'SINAPI-%MO'!B:E,4,0)</f>
        <v>0.4042</v>
      </c>
      <c r="H6146" s="225">
        <f t="shared" si="95"/>
        <v>7.03</v>
      </c>
    </row>
    <row r="6147" spans="1:8" x14ac:dyDescent="0.3">
      <c r="A6147" s="400"/>
      <c r="B6147" s="709">
        <v>89658</v>
      </c>
      <c r="C6147" s="710" t="s">
        <v>5436</v>
      </c>
      <c r="D6147" s="709" t="s">
        <v>136</v>
      </c>
      <c r="E6147" s="716">
        <v>12.36</v>
      </c>
      <c r="F6147" s="717">
        <v>0</v>
      </c>
      <c r="G6147">
        <f>VLOOKUP(B6147,'SINAPI-%MO'!B:E,4,0)</f>
        <v>0.43120000000000003</v>
      </c>
      <c r="H6147" s="225">
        <f t="shared" si="95"/>
        <v>7.03</v>
      </c>
    </row>
    <row r="6148" spans="1:8" x14ac:dyDescent="0.3">
      <c r="A6148" s="400"/>
      <c r="B6148" s="709">
        <v>89755</v>
      </c>
      <c r="C6148" s="710" t="s">
        <v>5437</v>
      </c>
      <c r="D6148" s="709" t="s">
        <v>136</v>
      </c>
      <c r="E6148" s="716">
        <v>18.079999999999998</v>
      </c>
      <c r="F6148" s="717">
        <v>0</v>
      </c>
      <c r="G6148">
        <f>VLOOKUP(B6148,'SINAPI-%MO'!B:E,4,0)</f>
        <v>0.31140000000000001</v>
      </c>
      <c r="H6148" s="225">
        <f t="shared" si="95"/>
        <v>12.44</v>
      </c>
    </row>
    <row r="6149" spans="1:8" x14ac:dyDescent="0.3">
      <c r="A6149" s="400"/>
      <c r="B6149" s="709">
        <v>89670</v>
      </c>
      <c r="C6149" s="710" t="s">
        <v>5438</v>
      </c>
      <c r="D6149" s="709" t="s">
        <v>136</v>
      </c>
      <c r="E6149" s="716">
        <v>18.75</v>
      </c>
      <c r="F6149" s="717">
        <v>0</v>
      </c>
      <c r="G6149">
        <f>VLOOKUP(B6149,'SINAPI-%MO'!B:E,4,0)</f>
        <v>0.33600000000000002</v>
      </c>
      <c r="H6149" s="225">
        <f t="shared" si="95"/>
        <v>12.45</v>
      </c>
    </row>
    <row r="6150" spans="1:8" x14ac:dyDescent="0.3">
      <c r="A6150" s="400"/>
      <c r="B6150" s="709">
        <v>89794</v>
      </c>
      <c r="C6150" s="710" t="s">
        <v>5439</v>
      </c>
      <c r="D6150" s="709" t="s">
        <v>136</v>
      </c>
      <c r="E6150" s="716">
        <v>26.61</v>
      </c>
      <c r="F6150" s="717">
        <v>0</v>
      </c>
      <c r="G6150">
        <f>VLOOKUP(B6150,'SINAPI-%MO'!B:E,4,0)</f>
        <v>0.13420000000000001</v>
      </c>
      <c r="H6150" s="225">
        <f t="shared" si="95"/>
        <v>23.03</v>
      </c>
    </row>
    <row r="6151" spans="1:8" x14ac:dyDescent="0.3">
      <c r="A6151" s="400"/>
      <c r="B6151" s="709">
        <v>89760</v>
      </c>
      <c r="C6151" s="710" t="s">
        <v>5440</v>
      </c>
      <c r="D6151" s="709" t="s">
        <v>136</v>
      </c>
      <c r="E6151" s="716">
        <v>29.67</v>
      </c>
      <c r="F6151" s="717">
        <v>0</v>
      </c>
      <c r="G6151">
        <f>VLOOKUP(B6151,'SINAPI-%MO'!B:E,4,0)</f>
        <v>0.2235</v>
      </c>
      <c r="H6151" s="225">
        <f t="shared" si="95"/>
        <v>23.03</v>
      </c>
    </row>
    <row r="6152" spans="1:8" x14ac:dyDescent="0.3">
      <c r="A6152" s="400"/>
      <c r="B6152" s="709">
        <v>89680</v>
      </c>
      <c r="C6152" s="710" t="s">
        <v>5441</v>
      </c>
      <c r="D6152" s="709" t="s">
        <v>136</v>
      </c>
      <c r="E6152" s="716">
        <v>30.45</v>
      </c>
      <c r="F6152" s="717">
        <v>0</v>
      </c>
      <c r="G6152">
        <f>VLOOKUP(B6152,'SINAPI-%MO'!B:E,4,0)</f>
        <v>0.24329999999999999</v>
      </c>
      <c r="H6152" s="225">
        <f t="shared" si="95"/>
        <v>23.04</v>
      </c>
    </row>
    <row r="6153" spans="1:8" x14ac:dyDescent="0.3">
      <c r="A6153" s="400"/>
      <c r="B6153" s="709">
        <v>89822</v>
      </c>
      <c r="C6153" s="710" t="s">
        <v>5442</v>
      </c>
      <c r="D6153" s="709" t="s">
        <v>136</v>
      </c>
      <c r="E6153" s="716">
        <v>34.979999999999997</v>
      </c>
      <c r="F6153" s="717">
        <v>0</v>
      </c>
      <c r="G6153">
        <f>VLOOKUP(B6153,'SINAPI-%MO'!B:E,4,0)</f>
        <v>0.1198</v>
      </c>
      <c r="H6153" s="225">
        <f t="shared" si="95"/>
        <v>30.78</v>
      </c>
    </row>
    <row r="6154" spans="1:8" x14ac:dyDescent="0.3">
      <c r="A6154" s="400"/>
      <c r="B6154" s="709">
        <v>104025</v>
      </c>
      <c r="C6154" s="710" t="s">
        <v>5443</v>
      </c>
      <c r="D6154" s="709" t="s">
        <v>136</v>
      </c>
      <c r="E6154" s="716">
        <v>38.42</v>
      </c>
      <c r="F6154" s="717">
        <v>0</v>
      </c>
      <c r="G6154">
        <f>VLOOKUP(B6154,'SINAPI-%MO'!B:E,4,0)</f>
        <v>0.1986</v>
      </c>
      <c r="H6154" s="225">
        <f t="shared" si="95"/>
        <v>30.78</v>
      </c>
    </row>
    <row r="6155" spans="1:8" x14ac:dyDescent="0.3">
      <c r="A6155" s="400"/>
      <c r="B6155" s="709">
        <v>89835</v>
      </c>
      <c r="C6155" s="710" t="s">
        <v>5444</v>
      </c>
      <c r="D6155" s="709" t="s">
        <v>136</v>
      </c>
      <c r="E6155" s="716">
        <v>60.99</v>
      </c>
      <c r="F6155" s="717">
        <v>0</v>
      </c>
      <c r="G6155">
        <f>VLOOKUP(B6155,'SINAPI-%MO'!B:E,4,0)</f>
        <v>8.5300000000000001E-2</v>
      </c>
      <c r="H6155" s="225">
        <f t="shared" ref="H6155:H6218" si="96">IF(E6155&gt;0,TRUNC(E6155*(1-G6155),2),"")</f>
        <v>55.78</v>
      </c>
    </row>
    <row r="6156" spans="1:8" x14ac:dyDescent="0.3">
      <c r="A6156" s="400"/>
      <c r="B6156" s="709">
        <v>89838</v>
      </c>
      <c r="C6156" s="710" t="s">
        <v>5445</v>
      </c>
      <c r="D6156" s="709" t="s">
        <v>136</v>
      </c>
      <c r="E6156" s="716">
        <v>216.32</v>
      </c>
      <c r="F6156" s="717">
        <v>0</v>
      </c>
      <c r="G6156">
        <f>VLOOKUP(B6156,'SINAPI-%MO'!B:E,4,0)</f>
        <v>3.1899999999999998E-2</v>
      </c>
      <c r="H6156" s="225">
        <f t="shared" si="96"/>
        <v>209.41</v>
      </c>
    </row>
    <row r="6157" spans="1:8" x14ac:dyDescent="0.3">
      <c r="A6157" s="400"/>
      <c r="B6157" s="709">
        <v>89840</v>
      </c>
      <c r="C6157" s="710" t="s">
        <v>5446</v>
      </c>
      <c r="D6157" s="709" t="s">
        <v>136</v>
      </c>
      <c r="E6157" s="716">
        <v>254.47</v>
      </c>
      <c r="F6157" s="717">
        <v>0</v>
      </c>
      <c r="G6157">
        <f>VLOOKUP(B6157,'SINAPI-%MO'!B:E,4,0)</f>
        <v>3.27E-2</v>
      </c>
      <c r="H6157" s="225">
        <f t="shared" si="96"/>
        <v>246.14</v>
      </c>
    </row>
    <row r="6158" spans="1:8" x14ac:dyDescent="0.3">
      <c r="A6158" s="400"/>
      <c r="B6158" s="709">
        <v>104015</v>
      </c>
      <c r="C6158" s="710" t="s">
        <v>5447</v>
      </c>
      <c r="D6158" s="709" t="s">
        <v>136</v>
      </c>
      <c r="E6158" s="716">
        <v>21.37</v>
      </c>
      <c r="F6158" s="717">
        <v>0</v>
      </c>
      <c r="G6158">
        <f>VLOOKUP(B6158,'SINAPI-%MO'!B:E,4,0)</f>
        <v>0.44740000000000002</v>
      </c>
      <c r="H6158" s="225">
        <f t="shared" si="96"/>
        <v>11.8</v>
      </c>
    </row>
    <row r="6159" spans="1:8" x14ac:dyDescent="0.3">
      <c r="A6159" s="400"/>
      <c r="B6159" s="709">
        <v>104018</v>
      </c>
      <c r="C6159" s="710" t="s">
        <v>5448</v>
      </c>
      <c r="D6159" s="709" t="s">
        <v>136</v>
      </c>
      <c r="E6159" s="716">
        <v>27.71</v>
      </c>
      <c r="F6159" s="717">
        <v>0</v>
      </c>
      <c r="G6159">
        <f>VLOOKUP(B6159,'SINAPI-%MO'!B:E,4,0)</f>
        <v>0.37530000000000002</v>
      </c>
      <c r="H6159" s="225">
        <f t="shared" si="96"/>
        <v>17.309999999999999</v>
      </c>
    </row>
    <row r="6160" spans="1:8" x14ac:dyDescent="0.3">
      <c r="A6160" s="400"/>
      <c r="B6160" s="709">
        <v>104016</v>
      </c>
      <c r="C6160" s="710" t="s">
        <v>5449</v>
      </c>
      <c r="D6160" s="709" t="s">
        <v>136</v>
      </c>
      <c r="E6160" s="716">
        <v>28.95</v>
      </c>
      <c r="F6160" s="717">
        <v>0</v>
      </c>
      <c r="G6160">
        <f>VLOOKUP(B6160,'SINAPI-%MO'!B:E,4,0)</f>
        <v>0.40210000000000001</v>
      </c>
      <c r="H6160" s="225">
        <f t="shared" si="96"/>
        <v>17.3</v>
      </c>
    </row>
    <row r="6161" spans="1:8" x14ac:dyDescent="0.3">
      <c r="A6161" s="400"/>
      <c r="B6161" s="709">
        <v>104019</v>
      </c>
      <c r="C6161" s="710" t="s">
        <v>5450</v>
      </c>
      <c r="D6161" s="709" t="s">
        <v>136</v>
      </c>
      <c r="E6161" s="716">
        <v>59.92</v>
      </c>
      <c r="F6161" s="717">
        <v>0</v>
      </c>
      <c r="G6161">
        <f>VLOOKUP(B6161,'SINAPI-%MO'!B:E,4,0)</f>
        <v>0.20480000000000001</v>
      </c>
      <c r="H6161" s="225">
        <f t="shared" si="96"/>
        <v>47.64</v>
      </c>
    </row>
    <row r="6162" spans="1:8" x14ac:dyDescent="0.3">
      <c r="A6162" s="400"/>
      <c r="B6162" s="709">
        <v>104017</v>
      </c>
      <c r="C6162" s="710" t="s">
        <v>5451</v>
      </c>
      <c r="D6162" s="709" t="s">
        <v>136</v>
      </c>
      <c r="E6162" s="716">
        <v>61.37</v>
      </c>
      <c r="F6162" s="717">
        <v>0</v>
      </c>
      <c r="G6162">
        <f>VLOOKUP(B6162,'SINAPI-%MO'!B:E,4,0)</f>
        <v>0.22359999999999999</v>
      </c>
      <c r="H6162" s="225">
        <f t="shared" si="96"/>
        <v>47.64</v>
      </c>
    </row>
    <row r="6163" spans="1:8" x14ac:dyDescent="0.3">
      <c r="A6163" s="400"/>
      <c r="B6163" s="709">
        <v>104020</v>
      </c>
      <c r="C6163" s="710" t="s">
        <v>5452</v>
      </c>
      <c r="D6163" s="709" t="s">
        <v>136</v>
      </c>
      <c r="E6163" s="716">
        <v>77.34</v>
      </c>
      <c r="F6163" s="717">
        <v>0</v>
      </c>
      <c r="G6163">
        <f>VLOOKUP(B6163,'SINAPI-%MO'!B:E,4,0)</f>
        <v>0.10050000000000001</v>
      </c>
      <c r="H6163" s="225">
        <f t="shared" si="96"/>
        <v>69.56</v>
      </c>
    </row>
    <row r="6164" spans="1:8" x14ac:dyDescent="0.3">
      <c r="A6164" s="400"/>
      <c r="B6164" s="709">
        <v>104030</v>
      </c>
      <c r="C6164" s="710" t="s">
        <v>5453</v>
      </c>
      <c r="D6164" s="709" t="s">
        <v>136</v>
      </c>
      <c r="E6164" s="716">
        <v>83.85</v>
      </c>
      <c r="F6164" s="717">
        <v>0</v>
      </c>
      <c r="G6164">
        <f>VLOOKUP(B6164,'SINAPI-%MO'!B:E,4,0)</f>
        <v>0.17030000000000001</v>
      </c>
      <c r="H6164" s="225">
        <f t="shared" si="96"/>
        <v>69.569999999999993</v>
      </c>
    </row>
    <row r="6165" spans="1:8" x14ac:dyDescent="0.3">
      <c r="A6165" s="400"/>
      <c r="B6165" s="709">
        <v>89694</v>
      </c>
      <c r="C6165" s="710" t="s">
        <v>5454</v>
      </c>
      <c r="D6165" s="709" t="s">
        <v>136</v>
      </c>
      <c r="E6165" s="716">
        <v>26.99</v>
      </c>
      <c r="F6165" s="717">
        <v>0</v>
      </c>
      <c r="G6165">
        <f>VLOOKUP(B6165,'SINAPI-%MO'!B:E,4,0)</f>
        <v>0.31269999999999998</v>
      </c>
      <c r="H6165" s="225">
        <f t="shared" si="96"/>
        <v>18.55</v>
      </c>
    </row>
    <row r="6166" spans="1:8" x14ac:dyDescent="0.3">
      <c r="A6166" s="400"/>
      <c r="B6166" s="709">
        <v>89700</v>
      </c>
      <c r="C6166" s="710" t="s">
        <v>5455</v>
      </c>
      <c r="D6166" s="709" t="s">
        <v>136</v>
      </c>
      <c r="E6166" s="716">
        <v>30.87</v>
      </c>
      <c r="F6166" s="717">
        <v>0</v>
      </c>
      <c r="G6166">
        <f>VLOOKUP(B6166,'SINAPI-%MO'!B:E,4,0)</f>
        <v>0.30969999999999998</v>
      </c>
      <c r="H6166" s="225">
        <f t="shared" si="96"/>
        <v>21.3</v>
      </c>
    </row>
    <row r="6167" spans="1:8" x14ac:dyDescent="0.3">
      <c r="A6167" s="400"/>
      <c r="B6167" s="709">
        <v>89703</v>
      </c>
      <c r="C6167" s="710" t="s">
        <v>5456</v>
      </c>
      <c r="D6167" s="709" t="s">
        <v>136</v>
      </c>
      <c r="E6167" s="716">
        <v>66.08</v>
      </c>
      <c r="F6167" s="717">
        <v>0</v>
      </c>
      <c r="G6167">
        <f>VLOOKUP(B6167,'SINAPI-%MO'!B:E,4,0)</f>
        <v>0.15679999999999999</v>
      </c>
      <c r="H6167" s="225">
        <f t="shared" si="96"/>
        <v>55.71</v>
      </c>
    </row>
    <row r="6168" spans="1:8" x14ac:dyDescent="0.3">
      <c r="A6168" s="400"/>
      <c r="B6168" s="709">
        <v>89691</v>
      </c>
      <c r="C6168" s="710" t="s">
        <v>5457</v>
      </c>
      <c r="D6168" s="709" t="s">
        <v>136</v>
      </c>
      <c r="E6168" s="716">
        <v>17.649999999999999</v>
      </c>
      <c r="F6168" s="717">
        <v>0</v>
      </c>
      <c r="G6168">
        <f>VLOOKUP(B6168,'SINAPI-%MO'!B:E,4,0)</f>
        <v>0.47820000000000001</v>
      </c>
      <c r="H6168" s="225">
        <f t="shared" si="96"/>
        <v>9.1999999999999993</v>
      </c>
    </row>
    <row r="6169" spans="1:8" x14ac:dyDescent="0.3">
      <c r="A6169" s="400"/>
      <c r="B6169" s="709">
        <v>89765</v>
      </c>
      <c r="C6169" s="710" t="s">
        <v>5458</v>
      </c>
      <c r="D6169" s="709" t="s">
        <v>136</v>
      </c>
      <c r="E6169" s="716">
        <v>21.92</v>
      </c>
      <c r="F6169" s="717">
        <v>0</v>
      </c>
      <c r="G6169">
        <f>VLOOKUP(B6169,'SINAPI-%MO'!B:E,4,0)</f>
        <v>0.43519999999999998</v>
      </c>
      <c r="H6169" s="225">
        <f t="shared" si="96"/>
        <v>12.38</v>
      </c>
    </row>
    <row r="6170" spans="1:8" x14ac:dyDescent="0.3">
      <c r="A6170" s="400"/>
      <c r="B6170" s="709">
        <v>89697</v>
      </c>
      <c r="C6170" s="710" t="s">
        <v>5459</v>
      </c>
      <c r="D6170" s="709" t="s">
        <v>136</v>
      </c>
      <c r="E6170" s="716">
        <v>23.06</v>
      </c>
      <c r="F6170" s="717">
        <v>0</v>
      </c>
      <c r="G6170">
        <f>VLOOKUP(B6170,'SINAPI-%MO'!B:E,4,0)</f>
        <v>0.46310000000000001</v>
      </c>
      <c r="H6170" s="225">
        <f t="shared" si="96"/>
        <v>12.38</v>
      </c>
    </row>
    <row r="6171" spans="1:8" x14ac:dyDescent="0.3">
      <c r="A6171" s="400"/>
      <c r="B6171" s="709">
        <v>89844</v>
      </c>
      <c r="C6171" s="710" t="s">
        <v>5460</v>
      </c>
      <c r="D6171" s="709" t="s">
        <v>136</v>
      </c>
      <c r="E6171" s="716">
        <v>87.89</v>
      </c>
      <c r="F6171" s="717">
        <v>0</v>
      </c>
      <c r="G6171">
        <f>VLOOKUP(B6171,'SINAPI-%MO'!B:E,4,0)</f>
        <v>9.5299999999999996E-2</v>
      </c>
      <c r="H6171" s="225">
        <f t="shared" si="96"/>
        <v>79.510000000000005</v>
      </c>
    </row>
    <row r="6172" spans="1:8" x14ac:dyDescent="0.3">
      <c r="A6172" s="400"/>
      <c r="B6172" s="709">
        <v>104022</v>
      </c>
      <c r="C6172" s="710" t="s">
        <v>5461</v>
      </c>
      <c r="D6172" s="709" t="s">
        <v>136</v>
      </c>
      <c r="E6172" s="716">
        <v>94.79</v>
      </c>
      <c r="F6172" s="717">
        <v>0</v>
      </c>
      <c r="G6172">
        <f>VLOOKUP(B6172,'SINAPI-%MO'!B:E,4,0)</f>
        <v>0.16120000000000001</v>
      </c>
      <c r="H6172" s="225">
        <f t="shared" si="96"/>
        <v>79.5</v>
      </c>
    </row>
    <row r="6173" spans="1:8" x14ac:dyDescent="0.3">
      <c r="A6173" s="400"/>
      <c r="B6173" s="709">
        <v>89633</v>
      </c>
      <c r="C6173" s="710" t="s">
        <v>5462</v>
      </c>
      <c r="D6173" s="709" t="s">
        <v>159</v>
      </c>
      <c r="E6173" s="716">
        <v>33.64</v>
      </c>
      <c r="F6173" s="717">
        <v>0</v>
      </c>
      <c r="G6173">
        <f>VLOOKUP(B6173,'SINAPI-%MO'!B:E,4,0)</f>
        <v>0.47089999999999999</v>
      </c>
      <c r="H6173" s="225">
        <f t="shared" si="96"/>
        <v>17.79</v>
      </c>
    </row>
    <row r="6174" spans="1:8" x14ac:dyDescent="0.3">
      <c r="A6174" s="400"/>
      <c r="B6174" s="709">
        <v>89716</v>
      </c>
      <c r="C6174" s="710" t="s">
        <v>5463</v>
      </c>
      <c r="D6174" s="709" t="s">
        <v>159</v>
      </c>
      <c r="E6174" s="716">
        <v>36.799999999999997</v>
      </c>
      <c r="F6174" s="717">
        <v>0</v>
      </c>
      <c r="G6174">
        <f>VLOOKUP(B6174,'SINAPI-%MO'!B:E,4,0)</f>
        <v>0.22720000000000001</v>
      </c>
      <c r="H6174" s="225">
        <f t="shared" si="96"/>
        <v>28.43</v>
      </c>
    </row>
    <row r="6175" spans="1:8" x14ac:dyDescent="0.3">
      <c r="A6175" s="400"/>
      <c r="B6175" s="709">
        <v>89634</v>
      </c>
      <c r="C6175" s="710" t="s">
        <v>5464</v>
      </c>
      <c r="D6175" s="709" t="s">
        <v>159</v>
      </c>
      <c r="E6175" s="716">
        <v>48.48</v>
      </c>
      <c r="F6175" s="717">
        <v>0</v>
      </c>
      <c r="G6175">
        <f>VLOOKUP(B6175,'SINAPI-%MO'!B:E,4,0)</f>
        <v>0.41339999999999999</v>
      </c>
      <c r="H6175" s="225">
        <f t="shared" si="96"/>
        <v>28.43</v>
      </c>
    </row>
    <row r="6176" spans="1:8" x14ac:dyDescent="0.3">
      <c r="A6176" s="400"/>
      <c r="B6176" s="709">
        <v>89717</v>
      </c>
      <c r="C6176" s="710" t="s">
        <v>5465</v>
      </c>
      <c r="D6176" s="709" t="s">
        <v>159</v>
      </c>
      <c r="E6176" s="716">
        <v>58.85</v>
      </c>
      <c r="F6176" s="717">
        <v>0</v>
      </c>
      <c r="G6176">
        <f>VLOOKUP(B6176,'SINAPI-%MO'!B:E,4,0)</f>
        <v>0.16750000000000001</v>
      </c>
      <c r="H6176" s="225">
        <f t="shared" si="96"/>
        <v>48.99</v>
      </c>
    </row>
    <row r="6177" spans="1:8" x14ac:dyDescent="0.3">
      <c r="A6177" s="400"/>
      <c r="B6177" s="709">
        <v>89635</v>
      </c>
      <c r="C6177" s="710" t="s">
        <v>5466</v>
      </c>
      <c r="D6177" s="709" t="s">
        <v>159</v>
      </c>
      <c r="E6177" s="716">
        <v>72.62</v>
      </c>
      <c r="F6177" s="717">
        <v>0</v>
      </c>
      <c r="G6177">
        <f>VLOOKUP(B6177,'SINAPI-%MO'!B:E,4,0)</f>
        <v>0.32540000000000002</v>
      </c>
      <c r="H6177" s="225">
        <f t="shared" si="96"/>
        <v>48.98</v>
      </c>
    </row>
    <row r="6178" spans="1:8" x14ac:dyDescent="0.3">
      <c r="A6178" s="400"/>
      <c r="B6178" s="709">
        <v>89770</v>
      </c>
      <c r="C6178" s="710" t="s">
        <v>5467</v>
      </c>
      <c r="D6178" s="709" t="s">
        <v>159</v>
      </c>
      <c r="E6178" s="716">
        <v>65.39</v>
      </c>
      <c r="F6178" s="717">
        <v>0</v>
      </c>
      <c r="G6178">
        <f>VLOOKUP(B6178,'SINAPI-%MO'!B:E,4,0)</f>
        <v>2.1600000000000001E-2</v>
      </c>
      <c r="H6178" s="225">
        <f t="shared" si="96"/>
        <v>63.97</v>
      </c>
    </row>
    <row r="6179" spans="1:8" x14ac:dyDescent="0.3">
      <c r="A6179" s="400"/>
      <c r="B6179" s="709">
        <v>89718</v>
      </c>
      <c r="C6179" s="710" t="s">
        <v>5468</v>
      </c>
      <c r="D6179" s="709" t="s">
        <v>159</v>
      </c>
      <c r="E6179" s="716">
        <v>75.599999999999994</v>
      </c>
      <c r="F6179" s="717">
        <v>0</v>
      </c>
      <c r="G6179">
        <f>VLOOKUP(B6179,'SINAPI-%MO'!B:E,4,0)</f>
        <v>0.1537</v>
      </c>
      <c r="H6179" s="225">
        <f t="shared" si="96"/>
        <v>63.98</v>
      </c>
    </row>
    <row r="6180" spans="1:8" x14ac:dyDescent="0.3">
      <c r="A6180" s="400"/>
      <c r="B6180" s="709">
        <v>89636</v>
      </c>
      <c r="C6180" s="710" t="s">
        <v>5469</v>
      </c>
      <c r="D6180" s="709" t="s">
        <v>159</v>
      </c>
      <c r="E6180" s="716">
        <v>91.81</v>
      </c>
      <c r="F6180" s="717">
        <v>0</v>
      </c>
      <c r="G6180">
        <f>VLOOKUP(B6180,'SINAPI-%MO'!B:E,4,0)</f>
        <v>0.30309999999999998</v>
      </c>
      <c r="H6180" s="225">
        <f t="shared" si="96"/>
        <v>63.98</v>
      </c>
    </row>
    <row r="6181" spans="1:8" x14ac:dyDescent="0.3">
      <c r="A6181" s="400"/>
      <c r="B6181" s="709">
        <v>89771</v>
      </c>
      <c r="C6181" s="710" t="s">
        <v>5470</v>
      </c>
      <c r="D6181" s="709" t="s">
        <v>159</v>
      </c>
      <c r="E6181" s="716">
        <v>87.34</v>
      </c>
      <c r="F6181" s="717">
        <v>0</v>
      </c>
      <c r="G6181">
        <f>VLOOKUP(B6181,'SINAPI-%MO'!B:E,4,0)</f>
        <v>1.9199999999999998E-2</v>
      </c>
      <c r="H6181" s="225">
        <f t="shared" si="96"/>
        <v>85.66</v>
      </c>
    </row>
    <row r="6182" spans="1:8" x14ac:dyDescent="0.3">
      <c r="A6182" s="400"/>
      <c r="B6182" s="709">
        <v>104021</v>
      </c>
      <c r="C6182" s="710" t="s">
        <v>5471</v>
      </c>
      <c r="D6182" s="709" t="s">
        <v>159</v>
      </c>
      <c r="E6182" s="716">
        <v>99.03</v>
      </c>
      <c r="F6182" s="717">
        <v>0</v>
      </c>
      <c r="G6182">
        <f>VLOOKUP(B6182,'SINAPI-%MO'!B:E,4,0)</f>
        <v>0.13500000000000001</v>
      </c>
      <c r="H6182" s="225">
        <f t="shared" si="96"/>
        <v>85.66</v>
      </c>
    </row>
    <row r="6183" spans="1:8" x14ac:dyDescent="0.3">
      <c r="A6183" s="400"/>
      <c r="B6183" s="709">
        <v>89772</v>
      </c>
      <c r="C6183" s="710" t="s">
        <v>5472</v>
      </c>
      <c r="D6183" s="709" t="s">
        <v>159</v>
      </c>
      <c r="E6183" s="716">
        <v>127.47</v>
      </c>
      <c r="F6183" s="717">
        <v>0</v>
      </c>
      <c r="G6183">
        <f>VLOOKUP(B6183,'SINAPI-%MO'!B:E,4,0)</f>
        <v>1.6400000000000001E-2</v>
      </c>
      <c r="H6183" s="225">
        <f t="shared" si="96"/>
        <v>125.37</v>
      </c>
    </row>
    <row r="6184" spans="1:8" x14ac:dyDescent="0.3">
      <c r="A6184" s="400"/>
      <c r="B6184" s="709">
        <v>89773</v>
      </c>
      <c r="C6184" s="710" t="s">
        <v>5473</v>
      </c>
      <c r="D6184" s="709" t="s">
        <v>159</v>
      </c>
      <c r="E6184" s="716">
        <v>205.49</v>
      </c>
      <c r="F6184" s="717">
        <v>0</v>
      </c>
      <c r="G6184">
        <f>VLOOKUP(B6184,'SINAPI-%MO'!B:E,4,0)</f>
        <v>1.34E-2</v>
      </c>
      <c r="H6184" s="225">
        <f t="shared" si="96"/>
        <v>202.73</v>
      </c>
    </row>
    <row r="6185" spans="1:8" x14ac:dyDescent="0.3">
      <c r="A6185" s="400"/>
      <c r="B6185" s="709">
        <v>89775</v>
      </c>
      <c r="C6185" s="710" t="s">
        <v>5474</v>
      </c>
      <c r="D6185" s="709" t="s">
        <v>159</v>
      </c>
      <c r="E6185" s="716">
        <v>321.52</v>
      </c>
      <c r="F6185" s="717">
        <v>0</v>
      </c>
      <c r="G6185">
        <f>VLOOKUP(B6185,'SINAPI-%MO'!B:E,4,0)</f>
        <v>1.03E-2</v>
      </c>
      <c r="H6185" s="225">
        <f t="shared" si="96"/>
        <v>318.2</v>
      </c>
    </row>
    <row r="6186" spans="1:8" x14ac:dyDescent="0.3">
      <c r="A6186" s="400"/>
      <c r="B6186" s="709">
        <v>89767</v>
      </c>
      <c r="C6186" s="710" t="s">
        <v>5475</v>
      </c>
      <c r="D6186" s="709" t="s">
        <v>136</v>
      </c>
      <c r="E6186" s="716">
        <v>28.04</v>
      </c>
      <c r="F6186" s="717">
        <v>0</v>
      </c>
      <c r="G6186">
        <f>VLOOKUP(B6186,'SINAPI-%MO'!B:E,4,0)</f>
        <v>0.3402</v>
      </c>
      <c r="H6186" s="225">
        <f t="shared" si="96"/>
        <v>18.5</v>
      </c>
    </row>
    <row r="6187" spans="1:8" x14ac:dyDescent="0.3">
      <c r="A6187" s="400"/>
      <c r="B6187" s="709">
        <v>89695</v>
      </c>
      <c r="C6187" s="710" t="s">
        <v>5476</v>
      </c>
      <c r="D6187" s="709" t="s">
        <v>136</v>
      </c>
      <c r="E6187" s="716">
        <v>22.68</v>
      </c>
      <c r="F6187" s="717">
        <v>0</v>
      </c>
      <c r="G6187">
        <f>VLOOKUP(B6187,'SINAPI-%MO'!B:E,4,0)</f>
        <v>0.37209999999999999</v>
      </c>
      <c r="H6187" s="225">
        <f t="shared" si="96"/>
        <v>14.24</v>
      </c>
    </row>
    <row r="6188" spans="1:8" x14ac:dyDescent="0.3">
      <c r="A6188" s="400"/>
      <c r="B6188" s="709">
        <v>89702</v>
      </c>
      <c r="C6188" s="710" t="s">
        <v>5477</v>
      </c>
      <c r="D6188" s="709" t="s">
        <v>136</v>
      </c>
      <c r="E6188" s="716">
        <v>29.18</v>
      </c>
      <c r="F6188" s="717">
        <v>0</v>
      </c>
      <c r="G6188">
        <f>VLOOKUP(B6188,'SINAPI-%MO'!B:E,4,0)</f>
        <v>0.36599999999999999</v>
      </c>
      <c r="H6188" s="225">
        <f t="shared" si="96"/>
        <v>18.5</v>
      </c>
    </row>
    <row r="6189" spans="1:8" x14ac:dyDescent="0.3">
      <c r="A6189" s="400"/>
      <c r="B6189" s="709">
        <v>89768</v>
      </c>
      <c r="C6189" s="710" t="s">
        <v>5478</v>
      </c>
      <c r="D6189" s="709" t="s">
        <v>136</v>
      </c>
      <c r="E6189" s="716">
        <v>32.479999999999997</v>
      </c>
      <c r="F6189" s="717">
        <v>0</v>
      </c>
      <c r="G6189">
        <f>VLOOKUP(B6189,'SINAPI-%MO'!B:E,4,0)</f>
        <v>0.34699999999999998</v>
      </c>
      <c r="H6189" s="225">
        <f t="shared" si="96"/>
        <v>21.2</v>
      </c>
    </row>
    <row r="6190" spans="1:8" x14ac:dyDescent="0.3">
      <c r="A6190" s="400"/>
      <c r="B6190" s="709">
        <v>89842</v>
      </c>
      <c r="C6190" s="710" t="s">
        <v>5479</v>
      </c>
      <c r="D6190" s="709" t="s">
        <v>136</v>
      </c>
      <c r="E6190" s="716">
        <v>69.650000000000006</v>
      </c>
      <c r="F6190" s="717">
        <v>0</v>
      </c>
      <c r="G6190">
        <f>VLOOKUP(B6190,'SINAPI-%MO'!B:E,4,0)</f>
        <v>0.1028</v>
      </c>
      <c r="H6190" s="225">
        <f t="shared" si="96"/>
        <v>62.48</v>
      </c>
    </row>
    <row r="6191" spans="1:8" x14ac:dyDescent="0.3">
      <c r="A6191" s="400"/>
      <c r="B6191" s="709">
        <v>89845</v>
      </c>
      <c r="C6191" s="710" t="s">
        <v>5480</v>
      </c>
      <c r="D6191" s="709" t="s">
        <v>136</v>
      </c>
      <c r="E6191" s="716">
        <v>138.75</v>
      </c>
      <c r="F6191" s="717">
        <v>0</v>
      </c>
      <c r="G6191">
        <f>VLOOKUP(B6191,'SINAPI-%MO'!B:E,4,0)</f>
        <v>7.5499999999999998E-2</v>
      </c>
      <c r="H6191" s="225">
        <f t="shared" si="96"/>
        <v>128.27000000000001</v>
      </c>
    </row>
    <row r="6192" spans="1:8" x14ac:dyDescent="0.3">
      <c r="A6192" s="400"/>
      <c r="B6192" s="709">
        <v>89846</v>
      </c>
      <c r="C6192" s="710" t="s">
        <v>5481</v>
      </c>
      <c r="D6192" s="709" t="s">
        <v>136</v>
      </c>
      <c r="E6192" s="716">
        <v>299.83</v>
      </c>
      <c r="F6192" s="717">
        <v>0</v>
      </c>
      <c r="G6192">
        <f>VLOOKUP(B6192,'SINAPI-%MO'!B:E,4,0)</f>
        <v>4.5999999999999999E-2</v>
      </c>
      <c r="H6192" s="225">
        <f t="shared" si="96"/>
        <v>286.02999999999997</v>
      </c>
    </row>
    <row r="6193" spans="1:8" x14ac:dyDescent="0.3">
      <c r="A6193" s="400"/>
      <c r="B6193" s="709">
        <v>89847</v>
      </c>
      <c r="C6193" s="710" t="s">
        <v>5482</v>
      </c>
      <c r="D6193" s="709" t="s">
        <v>136</v>
      </c>
      <c r="E6193" s="716">
        <v>357.35</v>
      </c>
      <c r="F6193" s="717">
        <v>0</v>
      </c>
      <c r="G6193">
        <f>VLOOKUP(B6193,'SINAPI-%MO'!B:E,4,0)</f>
        <v>4.6300000000000001E-2</v>
      </c>
      <c r="H6193" s="225">
        <f t="shared" si="96"/>
        <v>340.8</v>
      </c>
    </row>
    <row r="6194" spans="1:8" x14ac:dyDescent="0.3">
      <c r="A6194" s="400"/>
      <c r="B6194" s="709">
        <v>89705</v>
      </c>
      <c r="C6194" s="710" t="s">
        <v>5483</v>
      </c>
      <c r="D6194" s="709" t="s">
        <v>136</v>
      </c>
      <c r="E6194" s="716">
        <v>33.799999999999997</v>
      </c>
      <c r="F6194" s="717">
        <v>0</v>
      </c>
      <c r="G6194">
        <f>VLOOKUP(B6194,'SINAPI-%MO'!B:E,4,0)</f>
        <v>0.3725</v>
      </c>
      <c r="H6194" s="225">
        <f t="shared" si="96"/>
        <v>21.2</v>
      </c>
    </row>
    <row r="6195" spans="1:8" x14ac:dyDescent="0.3">
      <c r="A6195" s="400"/>
      <c r="B6195" s="709">
        <v>89769</v>
      </c>
      <c r="C6195" s="710" t="s">
        <v>5484</v>
      </c>
      <c r="D6195" s="709" t="s">
        <v>136</v>
      </c>
      <c r="E6195" s="716">
        <v>75.77</v>
      </c>
      <c r="F6195" s="717">
        <v>0</v>
      </c>
      <c r="G6195">
        <f>VLOOKUP(B6195,'SINAPI-%MO'!B:E,4,0)</f>
        <v>0.17530000000000001</v>
      </c>
      <c r="H6195" s="225">
        <f t="shared" si="96"/>
        <v>62.48</v>
      </c>
    </row>
    <row r="6196" spans="1:8" x14ac:dyDescent="0.3">
      <c r="A6196" s="400"/>
      <c r="B6196" s="709">
        <v>89706</v>
      </c>
      <c r="C6196" s="710" t="s">
        <v>5485</v>
      </c>
      <c r="D6196" s="709" t="s">
        <v>136</v>
      </c>
      <c r="E6196" s="716">
        <v>77.33</v>
      </c>
      <c r="F6196" s="717">
        <v>0</v>
      </c>
      <c r="G6196">
        <f>VLOOKUP(B6196,'SINAPI-%MO'!B:E,4,0)</f>
        <v>0.19189999999999999</v>
      </c>
      <c r="H6196" s="225">
        <f t="shared" si="96"/>
        <v>62.49</v>
      </c>
    </row>
    <row r="6197" spans="1:8" x14ac:dyDescent="0.3">
      <c r="A6197" s="400"/>
      <c r="B6197" s="709">
        <v>89741</v>
      </c>
      <c r="C6197" s="710" t="s">
        <v>5486</v>
      </c>
      <c r="D6197" s="709" t="s">
        <v>136</v>
      </c>
      <c r="E6197" s="716">
        <v>31.8</v>
      </c>
      <c r="F6197" s="717">
        <v>0</v>
      </c>
      <c r="G6197">
        <f>VLOOKUP(B6197,'SINAPI-%MO'!B:E,4,0)</f>
        <v>0.15</v>
      </c>
      <c r="H6197" s="225">
        <f t="shared" si="96"/>
        <v>27.03</v>
      </c>
    </row>
    <row r="6198" spans="1:8" x14ac:dyDescent="0.3">
      <c r="A6198" s="400"/>
      <c r="B6198" s="709">
        <v>89757</v>
      </c>
      <c r="C6198" s="710" t="s">
        <v>5487</v>
      </c>
      <c r="D6198" s="709" t="s">
        <v>136</v>
      </c>
      <c r="E6198" s="716">
        <v>41.62</v>
      </c>
      <c r="F6198" s="717">
        <v>0</v>
      </c>
      <c r="G6198">
        <f>VLOOKUP(B6198,'SINAPI-%MO'!B:E,4,0)</f>
        <v>0.1353</v>
      </c>
      <c r="H6198" s="225">
        <f t="shared" si="96"/>
        <v>35.979999999999997</v>
      </c>
    </row>
    <row r="6199" spans="1:8" x14ac:dyDescent="0.3">
      <c r="A6199" s="400"/>
      <c r="B6199" s="709">
        <v>104027</v>
      </c>
      <c r="C6199" s="710" t="s">
        <v>5488</v>
      </c>
      <c r="D6199" s="709" t="s">
        <v>136</v>
      </c>
      <c r="E6199" s="716">
        <v>88.27</v>
      </c>
      <c r="F6199" s="717">
        <v>0</v>
      </c>
      <c r="G6199">
        <f>VLOOKUP(B6199,'SINAPI-%MO'!B:E,4,0)</f>
        <v>8.6400000000000005E-2</v>
      </c>
      <c r="H6199" s="225">
        <f t="shared" si="96"/>
        <v>80.64</v>
      </c>
    </row>
    <row r="6200" spans="1:8" x14ac:dyDescent="0.3">
      <c r="A6200" s="400"/>
      <c r="B6200" s="709">
        <v>89837</v>
      </c>
      <c r="C6200" s="710" t="s">
        <v>5489</v>
      </c>
      <c r="D6200" s="709" t="s">
        <v>136</v>
      </c>
      <c r="E6200" s="716">
        <v>189.09</v>
      </c>
      <c r="F6200" s="717">
        <v>0</v>
      </c>
      <c r="G6200">
        <f>VLOOKUP(B6200,'SINAPI-%MO'!B:E,4,0)</f>
        <v>2.75E-2</v>
      </c>
      <c r="H6200" s="225">
        <f t="shared" si="96"/>
        <v>183.89</v>
      </c>
    </row>
    <row r="6201" spans="1:8" x14ac:dyDescent="0.3">
      <c r="A6201" s="400"/>
      <c r="B6201" s="709">
        <v>89839</v>
      </c>
      <c r="C6201" s="710" t="s">
        <v>5490</v>
      </c>
      <c r="D6201" s="709" t="s">
        <v>136</v>
      </c>
      <c r="E6201" s="716">
        <v>245.65</v>
      </c>
      <c r="F6201" s="717">
        <v>0</v>
      </c>
      <c r="G6201">
        <f>VLOOKUP(B6201,'SINAPI-%MO'!B:E,4,0)</f>
        <v>2.8000000000000001E-2</v>
      </c>
      <c r="H6201" s="225">
        <f t="shared" si="96"/>
        <v>238.77</v>
      </c>
    </row>
    <row r="6202" spans="1:8" x14ac:dyDescent="0.3">
      <c r="A6202" s="400"/>
      <c r="B6202" s="709">
        <v>89841</v>
      </c>
      <c r="C6202" s="710" t="s">
        <v>5491</v>
      </c>
      <c r="D6202" s="709" t="s">
        <v>136</v>
      </c>
      <c r="E6202" s="716">
        <v>373.43</v>
      </c>
      <c r="F6202" s="717">
        <v>0</v>
      </c>
      <c r="G6202">
        <f>VLOOKUP(B6202,'SINAPI-%MO'!B:E,4,0)</f>
        <v>2.23E-2</v>
      </c>
      <c r="H6202" s="225">
        <f t="shared" si="96"/>
        <v>365.1</v>
      </c>
    </row>
    <row r="6203" spans="1:8" x14ac:dyDescent="0.3">
      <c r="A6203" s="400"/>
      <c r="B6203" s="709">
        <v>89654</v>
      </c>
      <c r="C6203" s="710" t="s">
        <v>5492</v>
      </c>
      <c r="D6203" s="709" t="s">
        <v>136</v>
      </c>
      <c r="E6203" s="716">
        <v>27.86</v>
      </c>
      <c r="F6203" s="717">
        <v>0</v>
      </c>
      <c r="G6203">
        <f>VLOOKUP(B6203,'SINAPI-%MO'!B:E,4,0)</f>
        <v>0.15110000000000001</v>
      </c>
      <c r="H6203" s="225">
        <f t="shared" si="96"/>
        <v>23.65</v>
      </c>
    </row>
    <row r="6204" spans="1:8" x14ac:dyDescent="0.3">
      <c r="A6204" s="400"/>
      <c r="B6204" s="709">
        <v>89661</v>
      </c>
      <c r="C6204" s="710" t="s">
        <v>5493</v>
      </c>
      <c r="D6204" s="709" t="s">
        <v>136</v>
      </c>
      <c r="E6204" s="716">
        <v>32.36</v>
      </c>
      <c r="F6204" s="717">
        <v>0</v>
      </c>
      <c r="G6204">
        <f>VLOOKUP(B6204,'SINAPI-%MO'!B:E,4,0)</f>
        <v>0.16470000000000001</v>
      </c>
      <c r="H6204" s="225">
        <f t="shared" si="96"/>
        <v>27.03</v>
      </c>
    </row>
    <row r="6205" spans="1:8" x14ac:dyDescent="0.3">
      <c r="A6205" s="400"/>
      <c r="B6205" s="709">
        <v>89674</v>
      </c>
      <c r="C6205" s="710" t="s">
        <v>5494</v>
      </c>
      <c r="D6205" s="709" t="s">
        <v>136</v>
      </c>
      <c r="E6205" s="716">
        <v>42.29</v>
      </c>
      <c r="F6205" s="717">
        <v>0</v>
      </c>
      <c r="G6205">
        <f>VLOOKUP(B6205,'SINAPI-%MO'!B:E,4,0)</f>
        <v>0.14899999999999999</v>
      </c>
      <c r="H6205" s="225">
        <f t="shared" si="96"/>
        <v>35.979999999999997</v>
      </c>
    </row>
    <row r="6206" spans="1:8" x14ac:dyDescent="0.3">
      <c r="A6206" s="400"/>
      <c r="B6206" s="709">
        <v>89816</v>
      </c>
      <c r="C6206" s="710" t="s">
        <v>5495</v>
      </c>
      <c r="D6206" s="709" t="s">
        <v>136</v>
      </c>
      <c r="E6206" s="716">
        <v>57.96</v>
      </c>
      <c r="F6206" s="717">
        <v>0</v>
      </c>
      <c r="G6206">
        <f>VLOOKUP(B6206,'SINAPI-%MO'!B:E,4,0)</f>
        <v>6.1600000000000002E-2</v>
      </c>
      <c r="H6206" s="225">
        <f t="shared" si="96"/>
        <v>54.38</v>
      </c>
    </row>
    <row r="6207" spans="1:8" x14ac:dyDescent="0.3">
      <c r="A6207" s="400"/>
      <c r="B6207" s="709">
        <v>89762</v>
      </c>
      <c r="C6207" s="710" t="s">
        <v>5496</v>
      </c>
      <c r="D6207" s="709" t="s">
        <v>136</v>
      </c>
      <c r="E6207" s="716">
        <v>61.02</v>
      </c>
      <c r="F6207" s="717">
        <v>0</v>
      </c>
      <c r="G6207">
        <f>VLOOKUP(B6207,'SINAPI-%MO'!B:E,4,0)</f>
        <v>0.1087</v>
      </c>
      <c r="H6207" s="225">
        <f t="shared" si="96"/>
        <v>54.38</v>
      </c>
    </row>
    <row r="6208" spans="1:8" x14ac:dyDescent="0.3">
      <c r="A6208" s="400"/>
      <c r="B6208" s="709">
        <v>89684</v>
      </c>
      <c r="C6208" s="710" t="s">
        <v>5497</v>
      </c>
      <c r="D6208" s="709" t="s">
        <v>136</v>
      </c>
      <c r="E6208" s="716">
        <v>61.8</v>
      </c>
      <c r="F6208" s="717">
        <v>0</v>
      </c>
      <c r="G6208">
        <f>VLOOKUP(B6208,'SINAPI-%MO'!B:E,4,0)</f>
        <v>0.11990000000000001</v>
      </c>
      <c r="H6208" s="225">
        <f t="shared" si="96"/>
        <v>54.39</v>
      </c>
    </row>
    <row r="6209" spans="1:8" x14ac:dyDescent="0.3">
      <c r="A6209" s="400"/>
      <c r="B6209" s="709">
        <v>89828</v>
      </c>
      <c r="C6209" s="710" t="s">
        <v>5498</v>
      </c>
      <c r="D6209" s="709" t="s">
        <v>136</v>
      </c>
      <c r="E6209" s="716">
        <v>84.83</v>
      </c>
      <c r="F6209" s="717">
        <v>0</v>
      </c>
      <c r="G6209">
        <f>VLOOKUP(B6209,'SINAPI-%MO'!B:E,4,0)</f>
        <v>4.9399999999999999E-2</v>
      </c>
      <c r="H6209" s="225">
        <f t="shared" si="96"/>
        <v>80.63</v>
      </c>
    </row>
    <row r="6210" spans="1:8" x14ac:dyDescent="0.3">
      <c r="A6210" s="400"/>
      <c r="B6210" s="709">
        <v>89546</v>
      </c>
      <c r="C6210" s="710" t="s">
        <v>5499</v>
      </c>
      <c r="D6210" s="709" t="s">
        <v>136</v>
      </c>
      <c r="E6210" s="716">
        <v>13.21</v>
      </c>
      <c r="F6210" s="717">
        <v>0</v>
      </c>
      <c r="G6210">
        <f>VLOOKUP(B6210,'SINAPI-%MO'!B:E,4,0)</f>
        <v>0.15590000000000001</v>
      </c>
      <c r="H6210" s="225">
        <f t="shared" si="96"/>
        <v>11.15</v>
      </c>
    </row>
    <row r="6211" spans="1:8" x14ac:dyDescent="0.3">
      <c r="A6211" s="400"/>
      <c r="B6211" s="709">
        <v>89482</v>
      </c>
      <c r="C6211" s="710" t="s">
        <v>5500</v>
      </c>
      <c r="D6211" s="709" t="s">
        <v>136</v>
      </c>
      <c r="E6211" s="716">
        <v>54.11</v>
      </c>
      <c r="F6211" s="717">
        <v>0</v>
      </c>
      <c r="G6211">
        <f>VLOOKUP(B6211,'SINAPI-%MO'!B:E,4,0)</f>
        <v>0.23100000000000001</v>
      </c>
      <c r="H6211" s="225">
        <f t="shared" si="96"/>
        <v>41.61</v>
      </c>
    </row>
    <row r="6212" spans="1:8" x14ac:dyDescent="0.3">
      <c r="A6212" s="400"/>
      <c r="B6212" s="709">
        <v>89491</v>
      </c>
      <c r="C6212" s="710" t="s">
        <v>5501</v>
      </c>
      <c r="D6212" s="709" t="s">
        <v>136</v>
      </c>
      <c r="E6212" s="716">
        <v>138.53</v>
      </c>
      <c r="F6212" s="717">
        <v>0</v>
      </c>
      <c r="G6212">
        <f>VLOOKUP(B6212,'SINAPI-%MO'!B:E,4,0)</f>
        <v>0.13980000000000001</v>
      </c>
      <c r="H6212" s="225">
        <f t="shared" si="96"/>
        <v>119.16</v>
      </c>
    </row>
    <row r="6213" spans="1:8" x14ac:dyDescent="0.3">
      <c r="A6213" s="400"/>
      <c r="B6213" s="709">
        <v>104178</v>
      </c>
      <c r="C6213" s="710" t="s">
        <v>5502</v>
      </c>
      <c r="D6213" s="709" t="s">
        <v>136</v>
      </c>
      <c r="E6213" s="716">
        <v>25.99</v>
      </c>
      <c r="F6213" s="717">
        <v>0</v>
      </c>
      <c r="G6213">
        <f>VLOOKUP(B6213,'SINAPI-%MO'!B:E,4,0)</f>
        <v>0.1431</v>
      </c>
      <c r="H6213" s="225">
        <f t="shared" si="96"/>
        <v>22.27</v>
      </c>
    </row>
    <row r="6214" spans="1:8" x14ac:dyDescent="0.3">
      <c r="A6214" s="400"/>
      <c r="B6214" s="709">
        <v>104179</v>
      </c>
      <c r="C6214" s="710" t="s">
        <v>5503</v>
      </c>
      <c r="D6214" s="709" t="s">
        <v>136</v>
      </c>
      <c r="E6214" s="716">
        <v>101.36</v>
      </c>
      <c r="F6214" s="717">
        <v>0</v>
      </c>
      <c r="G6214">
        <f>VLOOKUP(B6214,'SINAPI-%MO'!B:E,4,0)</f>
        <v>4.9099999999999998E-2</v>
      </c>
      <c r="H6214" s="225">
        <f t="shared" si="96"/>
        <v>96.38</v>
      </c>
    </row>
    <row r="6215" spans="1:8" x14ac:dyDescent="0.3">
      <c r="A6215" s="400"/>
      <c r="B6215" s="709">
        <v>89587</v>
      </c>
      <c r="C6215" s="710" t="s">
        <v>5504</v>
      </c>
      <c r="D6215" s="709" t="s">
        <v>136</v>
      </c>
      <c r="E6215" s="716">
        <v>59.1</v>
      </c>
      <c r="F6215" s="717">
        <v>0</v>
      </c>
      <c r="G6215">
        <f>VLOOKUP(B6215,'SINAPI-%MO'!B:E,4,0)</f>
        <v>0.26529999999999998</v>
      </c>
      <c r="H6215" s="225">
        <f t="shared" si="96"/>
        <v>43.42</v>
      </c>
    </row>
    <row r="6216" spans="1:8" x14ac:dyDescent="0.3">
      <c r="A6216" s="400"/>
      <c r="B6216" s="709">
        <v>89535</v>
      </c>
      <c r="C6216" s="710" t="s">
        <v>5505</v>
      </c>
      <c r="D6216" s="709" t="s">
        <v>136</v>
      </c>
      <c r="E6216" s="716">
        <v>50.81</v>
      </c>
      <c r="F6216" s="717">
        <v>0</v>
      </c>
      <c r="G6216">
        <f>VLOOKUP(B6216,'SINAPI-%MO'!B:E,4,0)</f>
        <v>0.1454</v>
      </c>
      <c r="H6216" s="225">
        <f t="shared" si="96"/>
        <v>43.42</v>
      </c>
    </row>
    <row r="6217" spans="1:8" x14ac:dyDescent="0.3">
      <c r="A6217" s="400"/>
      <c r="B6217" s="709">
        <v>89592</v>
      </c>
      <c r="C6217" s="710" t="s">
        <v>5506</v>
      </c>
      <c r="D6217" s="709" t="s">
        <v>136</v>
      </c>
      <c r="E6217" s="716">
        <v>189.82</v>
      </c>
      <c r="F6217" s="717">
        <v>0</v>
      </c>
      <c r="G6217">
        <f>VLOOKUP(B6217,'SINAPI-%MO'!B:E,4,0)</f>
        <v>0.14269999999999999</v>
      </c>
      <c r="H6217" s="225">
        <f t="shared" si="96"/>
        <v>162.72999999999999</v>
      </c>
    </row>
    <row r="6218" spans="1:8" x14ac:dyDescent="0.3">
      <c r="A6218" s="400"/>
      <c r="B6218" s="709">
        <v>104169</v>
      </c>
      <c r="C6218" s="710" t="s">
        <v>5507</v>
      </c>
      <c r="D6218" s="709" t="s">
        <v>136</v>
      </c>
      <c r="E6218" s="716">
        <v>177.68</v>
      </c>
      <c r="F6218" s="717">
        <v>0</v>
      </c>
      <c r="G6218">
        <f>VLOOKUP(B6218,'SINAPI-%MO'!B:E,4,0)</f>
        <v>8.4099999999999994E-2</v>
      </c>
      <c r="H6218" s="225">
        <f t="shared" si="96"/>
        <v>162.72999999999999</v>
      </c>
    </row>
    <row r="6219" spans="1:8" x14ac:dyDescent="0.3">
      <c r="A6219" s="400"/>
      <c r="B6219" s="709">
        <v>89583</v>
      </c>
      <c r="C6219" s="710" t="s">
        <v>5508</v>
      </c>
      <c r="D6219" s="709" t="s">
        <v>136</v>
      </c>
      <c r="E6219" s="716">
        <v>51.58</v>
      </c>
      <c r="F6219" s="717">
        <v>0</v>
      </c>
      <c r="G6219">
        <f>VLOOKUP(B6219,'SINAPI-%MO'!B:E,4,0)</f>
        <v>0.1933</v>
      </c>
      <c r="H6219" s="225">
        <f t="shared" ref="H6219:H6282" si="97">IF(E6219&gt;0,TRUNC(E6219*(1-G6219),2),"")</f>
        <v>41.6</v>
      </c>
    </row>
    <row r="6220" spans="1:8" x14ac:dyDescent="0.3">
      <c r="A6220" s="400"/>
      <c r="B6220" s="709">
        <v>89526</v>
      </c>
      <c r="C6220" s="710" t="s">
        <v>5509</v>
      </c>
      <c r="D6220" s="709" t="s">
        <v>136</v>
      </c>
      <c r="E6220" s="716">
        <v>47.01</v>
      </c>
      <c r="F6220" s="717">
        <v>0</v>
      </c>
      <c r="G6220">
        <f>VLOOKUP(B6220,'SINAPI-%MO'!B:E,4,0)</f>
        <v>0.1149</v>
      </c>
      <c r="H6220" s="225">
        <f t="shared" si="97"/>
        <v>41.6</v>
      </c>
    </row>
    <row r="6221" spans="1:8" x14ac:dyDescent="0.3">
      <c r="A6221" s="400"/>
      <c r="B6221" s="709">
        <v>95695</v>
      </c>
      <c r="C6221" s="710" t="s">
        <v>5510</v>
      </c>
      <c r="D6221" s="709" t="s">
        <v>136</v>
      </c>
      <c r="E6221" s="716">
        <v>73.099999999999994</v>
      </c>
      <c r="F6221" s="717">
        <v>0</v>
      </c>
      <c r="G6221">
        <f>VLOOKUP(B6221,'SINAPI-%MO'!B:E,4,0)</f>
        <v>0.2145</v>
      </c>
      <c r="H6221" s="225">
        <f t="shared" si="97"/>
        <v>57.42</v>
      </c>
    </row>
    <row r="6222" spans="1:8" x14ac:dyDescent="0.3">
      <c r="A6222" s="400"/>
      <c r="B6222" s="709">
        <v>95694</v>
      </c>
      <c r="C6222" s="710" t="s">
        <v>5511</v>
      </c>
      <c r="D6222" s="709" t="s">
        <v>136</v>
      </c>
      <c r="E6222" s="716">
        <v>64.81</v>
      </c>
      <c r="F6222" s="717">
        <v>0</v>
      </c>
      <c r="G6222">
        <f>VLOOKUP(B6222,'SINAPI-%MO'!B:E,4,0)</f>
        <v>0.114</v>
      </c>
      <c r="H6222" s="225">
        <f t="shared" si="97"/>
        <v>57.42</v>
      </c>
    </row>
    <row r="6223" spans="1:8" x14ac:dyDescent="0.3">
      <c r="A6223" s="400"/>
      <c r="B6223" s="709">
        <v>89585</v>
      </c>
      <c r="C6223" s="710" t="s">
        <v>5512</v>
      </c>
      <c r="D6223" s="709" t="s">
        <v>136</v>
      </c>
      <c r="E6223" s="716">
        <v>53.3</v>
      </c>
      <c r="F6223" s="717">
        <v>0</v>
      </c>
      <c r="G6223">
        <f>VLOOKUP(B6223,'SINAPI-%MO'!B:E,4,0)</f>
        <v>0.29420000000000002</v>
      </c>
      <c r="H6223" s="225">
        <f t="shared" si="97"/>
        <v>37.61</v>
      </c>
    </row>
    <row r="6224" spans="1:8" x14ac:dyDescent="0.3">
      <c r="A6224" s="400"/>
      <c r="B6224" s="709">
        <v>89531</v>
      </c>
      <c r="C6224" s="710" t="s">
        <v>5513</v>
      </c>
      <c r="D6224" s="709" t="s">
        <v>136</v>
      </c>
      <c r="E6224" s="716">
        <v>45.01</v>
      </c>
      <c r="F6224" s="717">
        <v>0</v>
      </c>
      <c r="G6224">
        <f>VLOOKUP(B6224,'SINAPI-%MO'!B:E,4,0)</f>
        <v>0.16420000000000001</v>
      </c>
      <c r="H6224" s="225">
        <f t="shared" si="97"/>
        <v>37.61</v>
      </c>
    </row>
    <row r="6225" spans="1:8" x14ac:dyDescent="0.3">
      <c r="A6225" s="400"/>
      <c r="B6225" s="709">
        <v>89591</v>
      </c>
      <c r="C6225" s="710" t="s">
        <v>5514</v>
      </c>
      <c r="D6225" s="709" t="s">
        <v>136</v>
      </c>
      <c r="E6225" s="716">
        <v>153.51</v>
      </c>
      <c r="F6225" s="717">
        <v>0</v>
      </c>
      <c r="G6225">
        <f>VLOOKUP(B6225,'SINAPI-%MO'!B:E,4,0)</f>
        <v>0.17649999999999999</v>
      </c>
      <c r="H6225" s="225">
        <f t="shared" si="97"/>
        <v>126.41</v>
      </c>
    </row>
    <row r="6226" spans="1:8" x14ac:dyDescent="0.3">
      <c r="A6226" s="400"/>
      <c r="B6226" s="709">
        <v>104168</v>
      </c>
      <c r="C6226" s="710" t="s">
        <v>5515</v>
      </c>
      <c r="D6226" s="709" t="s">
        <v>136</v>
      </c>
      <c r="E6226" s="716">
        <v>141.37</v>
      </c>
      <c r="F6226" s="717">
        <v>0</v>
      </c>
      <c r="G6226">
        <f>VLOOKUP(B6226,'SINAPI-%MO'!B:E,4,0)</f>
        <v>0.10580000000000001</v>
      </c>
      <c r="H6226" s="225">
        <f t="shared" si="97"/>
        <v>126.41</v>
      </c>
    </row>
    <row r="6227" spans="1:8" x14ac:dyDescent="0.3">
      <c r="A6227" s="400"/>
      <c r="B6227" s="709">
        <v>89516</v>
      </c>
      <c r="C6227" s="710" t="s">
        <v>5516</v>
      </c>
      <c r="D6227" s="709" t="s">
        <v>136</v>
      </c>
      <c r="E6227" s="716">
        <v>10.41</v>
      </c>
      <c r="F6227" s="717">
        <v>0</v>
      </c>
      <c r="G6227">
        <f>VLOOKUP(B6227,'SINAPI-%MO'!B:E,4,0)</f>
        <v>0.26129999999999998</v>
      </c>
      <c r="H6227" s="225">
        <f t="shared" si="97"/>
        <v>7.68</v>
      </c>
    </row>
    <row r="6228" spans="1:8" x14ac:dyDescent="0.3">
      <c r="A6228" s="400"/>
      <c r="B6228" s="709">
        <v>89520</v>
      </c>
      <c r="C6228" s="710" t="s">
        <v>5517</v>
      </c>
      <c r="D6228" s="709" t="s">
        <v>136</v>
      </c>
      <c r="E6228" s="716">
        <v>18.260000000000002</v>
      </c>
      <c r="F6228" s="717">
        <v>0</v>
      </c>
      <c r="G6228">
        <f>VLOOKUP(B6228,'SINAPI-%MO'!B:E,4,0)</f>
        <v>0.19059999999999999</v>
      </c>
      <c r="H6228" s="225">
        <f t="shared" si="97"/>
        <v>14.77</v>
      </c>
    </row>
    <row r="6229" spans="1:8" x14ac:dyDescent="0.3">
      <c r="A6229" s="400"/>
      <c r="B6229" s="709">
        <v>89582</v>
      </c>
      <c r="C6229" s="710" t="s">
        <v>5518</v>
      </c>
      <c r="D6229" s="709" t="s">
        <v>136</v>
      </c>
      <c r="E6229" s="716">
        <v>40.49</v>
      </c>
      <c r="F6229" s="717">
        <v>0</v>
      </c>
      <c r="G6229">
        <f>VLOOKUP(B6229,'SINAPI-%MO'!B:E,4,0)</f>
        <v>0.2462</v>
      </c>
      <c r="H6229" s="225">
        <f t="shared" si="97"/>
        <v>30.52</v>
      </c>
    </row>
    <row r="6230" spans="1:8" x14ac:dyDescent="0.3">
      <c r="A6230" s="400"/>
      <c r="B6230" s="709">
        <v>89524</v>
      </c>
      <c r="C6230" s="710" t="s">
        <v>5519</v>
      </c>
      <c r="D6230" s="709" t="s">
        <v>136</v>
      </c>
      <c r="E6230" s="716">
        <v>35.92</v>
      </c>
      <c r="F6230" s="717">
        <v>0</v>
      </c>
      <c r="G6230">
        <f>VLOOKUP(B6230,'SINAPI-%MO'!B:E,4,0)</f>
        <v>0.15029999999999999</v>
      </c>
      <c r="H6230" s="225">
        <f t="shared" si="97"/>
        <v>30.52</v>
      </c>
    </row>
    <row r="6231" spans="1:8" x14ac:dyDescent="0.3">
      <c r="A6231" s="400"/>
      <c r="B6231" s="709">
        <v>89584</v>
      </c>
      <c r="C6231" s="710" t="s">
        <v>5520</v>
      </c>
      <c r="D6231" s="709" t="s">
        <v>136</v>
      </c>
      <c r="E6231" s="716">
        <v>51.95</v>
      </c>
      <c r="F6231" s="717">
        <v>0</v>
      </c>
      <c r="G6231">
        <f>VLOOKUP(B6231,'SINAPI-%MO'!B:E,4,0)</f>
        <v>0.30180000000000001</v>
      </c>
      <c r="H6231" s="225">
        <f t="shared" si="97"/>
        <v>36.270000000000003</v>
      </c>
    </row>
    <row r="6232" spans="1:8" x14ac:dyDescent="0.3">
      <c r="A6232" s="400"/>
      <c r="B6232" s="709">
        <v>89529</v>
      </c>
      <c r="C6232" s="710" t="s">
        <v>5521</v>
      </c>
      <c r="D6232" s="709" t="s">
        <v>136</v>
      </c>
      <c r="E6232" s="716">
        <v>43.66</v>
      </c>
      <c r="F6232" s="717">
        <v>0</v>
      </c>
      <c r="G6232">
        <f>VLOOKUP(B6232,'SINAPI-%MO'!B:E,4,0)</f>
        <v>0.16930000000000001</v>
      </c>
      <c r="H6232" s="225">
        <f t="shared" si="97"/>
        <v>36.26</v>
      </c>
    </row>
    <row r="6233" spans="1:8" x14ac:dyDescent="0.3">
      <c r="A6233" s="400"/>
      <c r="B6233" s="709">
        <v>89590</v>
      </c>
      <c r="C6233" s="710" t="s">
        <v>5522</v>
      </c>
      <c r="D6233" s="709" t="s">
        <v>136</v>
      </c>
      <c r="E6233" s="716">
        <v>157.63999999999999</v>
      </c>
      <c r="F6233" s="717">
        <v>0</v>
      </c>
      <c r="G6233">
        <f>VLOOKUP(B6233,'SINAPI-%MO'!B:E,4,0)</f>
        <v>0.17180000000000001</v>
      </c>
      <c r="H6233" s="225">
        <f t="shared" si="97"/>
        <v>130.55000000000001</v>
      </c>
    </row>
    <row r="6234" spans="1:8" x14ac:dyDescent="0.3">
      <c r="A6234" s="400"/>
      <c r="B6234" s="709">
        <v>104167</v>
      </c>
      <c r="C6234" s="710" t="s">
        <v>5523</v>
      </c>
      <c r="D6234" s="709" t="s">
        <v>136</v>
      </c>
      <c r="E6234" s="716">
        <v>145.5</v>
      </c>
      <c r="F6234" s="717">
        <v>0</v>
      </c>
      <c r="G6234">
        <f>VLOOKUP(B6234,'SINAPI-%MO'!B:E,4,0)</f>
        <v>0.1027</v>
      </c>
      <c r="H6234" s="225">
        <f t="shared" si="97"/>
        <v>130.55000000000001</v>
      </c>
    </row>
    <row r="6235" spans="1:8" x14ac:dyDescent="0.3">
      <c r="A6235" s="400"/>
      <c r="B6235" s="709">
        <v>89514</v>
      </c>
      <c r="C6235" s="710" t="s">
        <v>5524</v>
      </c>
      <c r="D6235" s="709" t="s">
        <v>136</v>
      </c>
      <c r="E6235" s="716">
        <v>10.3</v>
      </c>
      <c r="F6235" s="717">
        <v>0</v>
      </c>
      <c r="G6235">
        <f>VLOOKUP(B6235,'SINAPI-%MO'!B:E,4,0)</f>
        <v>0.2641</v>
      </c>
      <c r="H6235" s="225">
        <f t="shared" si="97"/>
        <v>7.57</v>
      </c>
    </row>
    <row r="6236" spans="1:8" x14ac:dyDescent="0.3">
      <c r="A6236" s="400"/>
      <c r="B6236" s="709">
        <v>89518</v>
      </c>
      <c r="C6236" s="710" t="s">
        <v>5525</v>
      </c>
      <c r="D6236" s="709" t="s">
        <v>136</v>
      </c>
      <c r="E6236" s="716">
        <v>17.309999999999999</v>
      </c>
      <c r="F6236" s="717">
        <v>0</v>
      </c>
      <c r="G6236">
        <f>VLOOKUP(B6236,'SINAPI-%MO'!B:E,4,0)</f>
        <v>0.20100000000000001</v>
      </c>
      <c r="H6236" s="225">
        <f t="shared" si="97"/>
        <v>13.83</v>
      </c>
    </row>
    <row r="6237" spans="1:8" x14ac:dyDescent="0.3">
      <c r="A6237" s="400"/>
      <c r="B6237" s="709">
        <v>89581</v>
      </c>
      <c r="C6237" s="710" t="s">
        <v>5526</v>
      </c>
      <c r="D6237" s="709" t="s">
        <v>136</v>
      </c>
      <c r="E6237" s="716">
        <v>39.89</v>
      </c>
      <c r="F6237" s="717">
        <v>0</v>
      </c>
      <c r="G6237">
        <f>VLOOKUP(B6237,'SINAPI-%MO'!B:E,4,0)</f>
        <v>0.24990000000000001</v>
      </c>
      <c r="H6237" s="225">
        <f t="shared" si="97"/>
        <v>29.92</v>
      </c>
    </row>
    <row r="6238" spans="1:8" x14ac:dyDescent="0.3">
      <c r="A6238" s="400"/>
      <c r="B6238" s="709">
        <v>89522</v>
      </c>
      <c r="C6238" s="710" t="s">
        <v>5527</v>
      </c>
      <c r="D6238" s="709" t="s">
        <v>136</v>
      </c>
      <c r="E6238" s="716">
        <v>35.32</v>
      </c>
      <c r="F6238" s="717">
        <v>0</v>
      </c>
      <c r="G6238">
        <f>VLOOKUP(B6238,'SINAPI-%MO'!B:E,4,0)</f>
        <v>0.15290000000000001</v>
      </c>
      <c r="H6238" s="225">
        <f t="shared" si="97"/>
        <v>29.91</v>
      </c>
    </row>
    <row r="6239" spans="1:8" x14ac:dyDescent="0.3">
      <c r="A6239" s="400"/>
      <c r="B6239" s="709">
        <v>89574</v>
      </c>
      <c r="C6239" s="710" t="s">
        <v>5528</v>
      </c>
      <c r="D6239" s="709" t="s">
        <v>136</v>
      </c>
      <c r="E6239" s="716">
        <v>190.67</v>
      </c>
      <c r="F6239" s="717">
        <v>0</v>
      </c>
      <c r="G6239">
        <f>VLOOKUP(B6239,'SINAPI-%MO'!B:E,4,0)</f>
        <v>7.7600000000000002E-2</v>
      </c>
      <c r="H6239" s="225">
        <f t="shared" si="97"/>
        <v>175.87</v>
      </c>
    </row>
    <row r="6240" spans="1:8" x14ac:dyDescent="0.3">
      <c r="A6240" s="400"/>
      <c r="B6240" s="709">
        <v>89690</v>
      </c>
      <c r="C6240" s="710" t="s">
        <v>5529</v>
      </c>
      <c r="D6240" s="709" t="s">
        <v>136</v>
      </c>
      <c r="E6240" s="716">
        <v>108.33</v>
      </c>
      <c r="F6240" s="717">
        <v>0</v>
      </c>
      <c r="G6240">
        <f>VLOOKUP(B6240,'SINAPI-%MO'!B:E,4,0)</f>
        <v>0.19289999999999999</v>
      </c>
      <c r="H6240" s="225">
        <f t="shared" si="97"/>
        <v>87.43</v>
      </c>
    </row>
    <row r="6241" spans="1:8" x14ac:dyDescent="0.3">
      <c r="A6241" s="400"/>
      <c r="B6241" s="709">
        <v>89567</v>
      </c>
      <c r="C6241" s="710" t="s">
        <v>5530</v>
      </c>
      <c r="D6241" s="709" t="s">
        <v>136</v>
      </c>
      <c r="E6241" s="716">
        <v>97.29</v>
      </c>
      <c r="F6241" s="717">
        <v>0</v>
      </c>
      <c r="G6241">
        <f>VLOOKUP(B6241,'SINAPI-%MO'!B:E,4,0)</f>
        <v>0.1013</v>
      </c>
      <c r="H6241" s="225">
        <f t="shared" si="97"/>
        <v>87.43</v>
      </c>
    </row>
    <row r="6242" spans="1:8" x14ac:dyDescent="0.3">
      <c r="A6242" s="400"/>
      <c r="B6242" s="709">
        <v>89692</v>
      </c>
      <c r="C6242" s="710" t="s">
        <v>5531</v>
      </c>
      <c r="D6242" s="709" t="s">
        <v>136</v>
      </c>
      <c r="E6242" s="716">
        <v>124.25</v>
      </c>
      <c r="F6242" s="717">
        <v>0</v>
      </c>
      <c r="G6242">
        <f>VLOOKUP(B6242,'SINAPI-%MO'!B:E,4,0)</f>
        <v>0.14779999999999999</v>
      </c>
      <c r="H6242" s="225">
        <f t="shared" si="97"/>
        <v>105.88</v>
      </c>
    </row>
    <row r="6243" spans="1:8" x14ac:dyDescent="0.3">
      <c r="A6243" s="400"/>
      <c r="B6243" s="709">
        <v>89569</v>
      </c>
      <c r="C6243" s="710" t="s">
        <v>5532</v>
      </c>
      <c r="D6243" s="709" t="s">
        <v>136</v>
      </c>
      <c r="E6243" s="716">
        <v>114.86</v>
      </c>
      <c r="F6243" s="717">
        <v>0</v>
      </c>
      <c r="G6243">
        <f>VLOOKUP(B6243,'SINAPI-%MO'!B:E,4,0)</f>
        <v>7.8200000000000006E-2</v>
      </c>
      <c r="H6243" s="225">
        <f t="shared" si="97"/>
        <v>105.87</v>
      </c>
    </row>
    <row r="6244" spans="1:8" x14ac:dyDescent="0.3">
      <c r="A6244" s="400"/>
      <c r="B6244" s="709">
        <v>89699</v>
      </c>
      <c r="C6244" s="710" t="s">
        <v>5533</v>
      </c>
      <c r="D6244" s="709" t="s">
        <v>136</v>
      </c>
      <c r="E6244" s="716">
        <v>241.55</v>
      </c>
      <c r="F6244" s="717">
        <v>0</v>
      </c>
      <c r="G6244">
        <f>VLOOKUP(B6244,'SINAPI-%MO'!B:E,4,0)</f>
        <v>0.1285</v>
      </c>
      <c r="H6244" s="225">
        <f t="shared" si="97"/>
        <v>210.51</v>
      </c>
    </row>
    <row r="6245" spans="1:8" x14ac:dyDescent="0.3">
      <c r="A6245" s="400"/>
      <c r="B6245" s="709">
        <v>104174</v>
      </c>
      <c r="C6245" s="710" t="s">
        <v>5534</v>
      </c>
      <c r="D6245" s="709" t="s">
        <v>136</v>
      </c>
      <c r="E6245" s="716">
        <v>228.76</v>
      </c>
      <c r="F6245" s="717">
        <v>0</v>
      </c>
      <c r="G6245">
        <f>VLOOKUP(B6245,'SINAPI-%MO'!B:E,4,0)</f>
        <v>7.9799999999999996E-2</v>
      </c>
      <c r="H6245" s="225">
        <f t="shared" si="97"/>
        <v>210.5</v>
      </c>
    </row>
    <row r="6246" spans="1:8" x14ac:dyDescent="0.3">
      <c r="A6246" s="400"/>
      <c r="B6246" s="709">
        <v>89698</v>
      </c>
      <c r="C6246" s="710" t="s">
        <v>5535</v>
      </c>
      <c r="D6246" s="709" t="s">
        <v>136</v>
      </c>
      <c r="E6246" s="716">
        <v>320.41000000000003</v>
      </c>
      <c r="F6246" s="717">
        <v>0</v>
      </c>
      <c r="G6246">
        <f>VLOOKUP(B6246,'SINAPI-%MO'!B:E,4,0)</f>
        <v>0.11269999999999999</v>
      </c>
      <c r="H6246" s="225">
        <f t="shared" si="97"/>
        <v>284.29000000000002</v>
      </c>
    </row>
    <row r="6247" spans="1:8" x14ac:dyDescent="0.3">
      <c r="A6247" s="400"/>
      <c r="B6247" s="709">
        <v>104176</v>
      </c>
      <c r="C6247" s="710" t="s">
        <v>5536</v>
      </c>
      <c r="D6247" s="709" t="s">
        <v>136</v>
      </c>
      <c r="E6247" s="716">
        <v>304.22000000000003</v>
      </c>
      <c r="F6247" s="717">
        <v>0</v>
      </c>
      <c r="G6247">
        <f>VLOOKUP(B6247,'SINAPI-%MO'!B:E,4,0)</f>
        <v>6.5500000000000003E-2</v>
      </c>
      <c r="H6247" s="225">
        <f t="shared" si="97"/>
        <v>284.29000000000002</v>
      </c>
    </row>
    <row r="6248" spans="1:8" x14ac:dyDescent="0.3">
      <c r="A6248" s="400"/>
      <c r="B6248" s="709">
        <v>89561</v>
      </c>
      <c r="C6248" s="710" t="s">
        <v>5537</v>
      </c>
      <c r="D6248" s="709" t="s">
        <v>136</v>
      </c>
      <c r="E6248" s="716">
        <v>18.53</v>
      </c>
      <c r="F6248" s="717">
        <v>0</v>
      </c>
      <c r="G6248">
        <f>VLOOKUP(B6248,'SINAPI-%MO'!B:E,4,0)</f>
        <v>0.19589999999999999</v>
      </c>
      <c r="H6248" s="225">
        <f t="shared" si="97"/>
        <v>14.89</v>
      </c>
    </row>
    <row r="6249" spans="1:8" x14ac:dyDescent="0.3">
      <c r="A6249" s="400"/>
      <c r="B6249" s="709">
        <v>89563</v>
      </c>
      <c r="C6249" s="710" t="s">
        <v>5538</v>
      </c>
      <c r="D6249" s="709" t="s">
        <v>136</v>
      </c>
      <c r="E6249" s="716">
        <v>41.22</v>
      </c>
      <c r="F6249" s="717">
        <v>0</v>
      </c>
      <c r="G6249">
        <f>VLOOKUP(B6249,'SINAPI-%MO'!B:E,4,0)</f>
        <v>0.11260000000000001</v>
      </c>
      <c r="H6249" s="225">
        <f t="shared" si="97"/>
        <v>36.57</v>
      </c>
    </row>
    <row r="6250" spans="1:8" x14ac:dyDescent="0.3">
      <c r="A6250" s="400"/>
      <c r="B6250" s="709">
        <v>89685</v>
      </c>
      <c r="C6250" s="710" t="s">
        <v>5539</v>
      </c>
      <c r="D6250" s="709" t="s">
        <v>136</v>
      </c>
      <c r="E6250" s="716">
        <v>73.569999999999993</v>
      </c>
      <c r="F6250" s="717">
        <v>0</v>
      </c>
      <c r="G6250">
        <f>VLOOKUP(B6250,'SINAPI-%MO'!B:E,4,0)</f>
        <v>0.18079999999999999</v>
      </c>
      <c r="H6250" s="225">
        <f t="shared" si="97"/>
        <v>60.26</v>
      </c>
    </row>
    <row r="6251" spans="1:8" x14ac:dyDescent="0.3">
      <c r="A6251" s="400"/>
      <c r="B6251" s="709">
        <v>89565</v>
      </c>
      <c r="C6251" s="710" t="s">
        <v>5540</v>
      </c>
      <c r="D6251" s="709" t="s">
        <v>136</v>
      </c>
      <c r="E6251" s="716">
        <v>67.47</v>
      </c>
      <c r="F6251" s="717">
        <v>0</v>
      </c>
      <c r="G6251">
        <f>VLOOKUP(B6251,'SINAPI-%MO'!B:E,4,0)</f>
        <v>0.1067</v>
      </c>
      <c r="H6251" s="225">
        <f t="shared" si="97"/>
        <v>60.27</v>
      </c>
    </row>
    <row r="6252" spans="1:8" x14ac:dyDescent="0.3">
      <c r="A6252" s="400"/>
      <c r="B6252" s="709">
        <v>89671</v>
      </c>
      <c r="C6252" s="710" t="s">
        <v>5541</v>
      </c>
      <c r="D6252" s="709" t="s">
        <v>136</v>
      </c>
      <c r="E6252" s="716">
        <v>53.42</v>
      </c>
      <c r="F6252" s="717">
        <v>0</v>
      </c>
      <c r="G6252">
        <f>VLOOKUP(B6252,'SINAPI-%MO'!B:E,4,0)</f>
        <v>0.19539999999999999</v>
      </c>
      <c r="H6252" s="225">
        <f t="shared" si="97"/>
        <v>42.98</v>
      </c>
    </row>
    <row r="6253" spans="1:8" x14ac:dyDescent="0.3">
      <c r="A6253" s="400"/>
      <c r="B6253" s="709">
        <v>89556</v>
      </c>
      <c r="C6253" s="710" t="s">
        <v>5542</v>
      </c>
      <c r="D6253" s="709" t="s">
        <v>136</v>
      </c>
      <c r="E6253" s="716">
        <v>47.9</v>
      </c>
      <c r="F6253" s="717">
        <v>0</v>
      </c>
      <c r="G6253">
        <f>VLOOKUP(B6253,'SINAPI-%MO'!B:E,4,0)</f>
        <v>0.1027</v>
      </c>
      <c r="H6253" s="225">
        <f t="shared" si="97"/>
        <v>42.98</v>
      </c>
    </row>
    <row r="6254" spans="1:8" x14ac:dyDescent="0.3">
      <c r="A6254" s="400"/>
      <c r="B6254" s="709">
        <v>89679</v>
      </c>
      <c r="C6254" s="710" t="s">
        <v>5543</v>
      </c>
      <c r="D6254" s="709" t="s">
        <v>136</v>
      </c>
      <c r="E6254" s="716">
        <v>145.66</v>
      </c>
      <c r="F6254" s="717">
        <v>0</v>
      </c>
      <c r="G6254">
        <f>VLOOKUP(B6254,'SINAPI-%MO'!B:E,4,0)</f>
        <v>0.1239</v>
      </c>
      <c r="H6254" s="225">
        <f t="shared" si="97"/>
        <v>127.61</v>
      </c>
    </row>
    <row r="6255" spans="1:8" x14ac:dyDescent="0.3">
      <c r="A6255" s="400"/>
      <c r="B6255" s="709">
        <v>104171</v>
      </c>
      <c r="C6255" s="710" t="s">
        <v>5544</v>
      </c>
      <c r="D6255" s="709" t="s">
        <v>136</v>
      </c>
      <c r="E6255" s="716">
        <v>119.24</v>
      </c>
      <c r="F6255" s="717">
        <v>0</v>
      </c>
      <c r="G6255">
        <f>VLOOKUP(B6255,'SINAPI-%MO'!B:E,4,0)</f>
        <v>8.3500000000000005E-2</v>
      </c>
      <c r="H6255" s="225">
        <f t="shared" si="97"/>
        <v>109.28</v>
      </c>
    </row>
    <row r="6256" spans="1:8" x14ac:dyDescent="0.3">
      <c r="A6256" s="400"/>
      <c r="B6256" s="709">
        <v>89600</v>
      </c>
      <c r="C6256" s="710" t="s">
        <v>5545</v>
      </c>
      <c r="D6256" s="709" t="s">
        <v>136</v>
      </c>
      <c r="E6256" s="716">
        <v>29.89</v>
      </c>
      <c r="F6256" s="717">
        <v>0</v>
      </c>
      <c r="G6256">
        <f>VLOOKUP(B6256,'SINAPI-%MO'!B:E,4,0)</f>
        <v>0.22209999999999999</v>
      </c>
      <c r="H6256" s="225">
        <f t="shared" si="97"/>
        <v>23.25</v>
      </c>
    </row>
    <row r="6257" spans="1:8" x14ac:dyDescent="0.3">
      <c r="A6257" s="400"/>
      <c r="B6257" s="709">
        <v>89548</v>
      </c>
      <c r="C6257" s="710" t="s">
        <v>5546</v>
      </c>
      <c r="D6257" s="709" t="s">
        <v>136</v>
      </c>
      <c r="E6257" s="716">
        <v>26.84</v>
      </c>
      <c r="F6257" s="717">
        <v>0</v>
      </c>
      <c r="G6257">
        <f>VLOOKUP(B6257,'SINAPI-%MO'!B:E,4,0)</f>
        <v>0.1338</v>
      </c>
      <c r="H6257" s="225">
        <f t="shared" si="97"/>
        <v>23.24</v>
      </c>
    </row>
    <row r="6258" spans="1:8" x14ac:dyDescent="0.3">
      <c r="A6258" s="400"/>
      <c r="B6258" s="709">
        <v>89669</v>
      </c>
      <c r="C6258" s="710" t="s">
        <v>5547</v>
      </c>
      <c r="D6258" s="709" t="s">
        <v>136</v>
      </c>
      <c r="E6258" s="716">
        <v>39.880000000000003</v>
      </c>
      <c r="F6258" s="717">
        <v>0</v>
      </c>
      <c r="G6258">
        <f>VLOOKUP(B6258,'SINAPI-%MO'!B:E,4,0)</f>
        <v>0.26179999999999998</v>
      </c>
      <c r="H6258" s="225">
        <f t="shared" si="97"/>
        <v>29.43</v>
      </c>
    </row>
    <row r="6259" spans="1:8" x14ac:dyDescent="0.3">
      <c r="A6259" s="400"/>
      <c r="B6259" s="709">
        <v>89554</v>
      </c>
      <c r="C6259" s="710" t="s">
        <v>5548</v>
      </c>
      <c r="D6259" s="709" t="s">
        <v>136</v>
      </c>
      <c r="E6259" s="716">
        <v>34.33</v>
      </c>
      <c r="F6259" s="717">
        <v>0</v>
      </c>
      <c r="G6259">
        <f>VLOOKUP(B6259,'SINAPI-%MO'!B:E,4,0)</f>
        <v>0.14330000000000001</v>
      </c>
      <c r="H6259" s="225">
        <f t="shared" si="97"/>
        <v>29.41</v>
      </c>
    </row>
    <row r="6260" spans="1:8" x14ac:dyDescent="0.3">
      <c r="A6260" s="400"/>
      <c r="B6260" s="709">
        <v>89677</v>
      </c>
      <c r="C6260" s="710" t="s">
        <v>5549</v>
      </c>
      <c r="D6260" s="709" t="s">
        <v>136</v>
      </c>
      <c r="E6260" s="716">
        <v>91.95</v>
      </c>
      <c r="F6260" s="717">
        <v>0</v>
      </c>
      <c r="G6260">
        <f>VLOOKUP(B6260,'SINAPI-%MO'!B:E,4,0)</f>
        <v>0.1963</v>
      </c>
      <c r="H6260" s="225">
        <f t="shared" si="97"/>
        <v>73.900000000000006</v>
      </c>
    </row>
    <row r="6261" spans="1:8" x14ac:dyDescent="0.3">
      <c r="A6261" s="400"/>
      <c r="B6261" s="709">
        <v>104170</v>
      </c>
      <c r="C6261" s="710" t="s">
        <v>5550</v>
      </c>
      <c r="D6261" s="709" t="s">
        <v>136</v>
      </c>
      <c r="E6261" s="716">
        <v>83.66</v>
      </c>
      <c r="F6261" s="717">
        <v>0</v>
      </c>
      <c r="G6261">
        <f>VLOOKUP(B6261,'SINAPI-%MO'!B:E,4,0)</f>
        <v>0.1191</v>
      </c>
      <c r="H6261" s="225">
        <f t="shared" si="97"/>
        <v>73.69</v>
      </c>
    </row>
    <row r="6262" spans="1:8" x14ac:dyDescent="0.3">
      <c r="A6262" s="400"/>
      <c r="B6262" s="709">
        <v>89544</v>
      </c>
      <c r="C6262" s="710" t="s">
        <v>5551</v>
      </c>
      <c r="D6262" s="709" t="s">
        <v>136</v>
      </c>
      <c r="E6262" s="716">
        <v>10.69</v>
      </c>
      <c r="F6262" s="717">
        <v>0</v>
      </c>
      <c r="G6262">
        <f>VLOOKUP(B6262,'SINAPI-%MO'!B:E,4,0)</f>
        <v>0.16930000000000001</v>
      </c>
      <c r="H6262" s="225">
        <f t="shared" si="97"/>
        <v>8.8800000000000008</v>
      </c>
    </row>
    <row r="6263" spans="1:8" x14ac:dyDescent="0.3">
      <c r="A6263" s="400"/>
      <c r="B6263" s="709">
        <v>89545</v>
      </c>
      <c r="C6263" s="710" t="s">
        <v>5552</v>
      </c>
      <c r="D6263" s="709" t="s">
        <v>136</v>
      </c>
      <c r="E6263" s="716">
        <v>20.38</v>
      </c>
      <c r="F6263" s="717">
        <v>0</v>
      </c>
      <c r="G6263">
        <f>VLOOKUP(B6263,'SINAPI-%MO'!B:E,4,0)</f>
        <v>0.1138</v>
      </c>
      <c r="H6263" s="225">
        <f t="shared" si="97"/>
        <v>18.059999999999999</v>
      </c>
    </row>
    <row r="6264" spans="1:8" x14ac:dyDescent="0.3">
      <c r="A6264" s="400"/>
      <c r="B6264" s="709">
        <v>89599</v>
      </c>
      <c r="C6264" s="710" t="s">
        <v>5553</v>
      </c>
      <c r="D6264" s="709" t="s">
        <v>136</v>
      </c>
      <c r="E6264" s="716">
        <v>30.18</v>
      </c>
      <c r="F6264" s="717">
        <v>0</v>
      </c>
      <c r="G6264">
        <f>VLOOKUP(B6264,'SINAPI-%MO'!B:E,4,0)</f>
        <v>0.22</v>
      </c>
      <c r="H6264" s="225">
        <f t="shared" si="97"/>
        <v>23.54</v>
      </c>
    </row>
    <row r="6265" spans="1:8" x14ac:dyDescent="0.3">
      <c r="A6265" s="400"/>
      <c r="B6265" s="709">
        <v>89547</v>
      </c>
      <c r="C6265" s="710" t="s">
        <v>5554</v>
      </c>
      <c r="D6265" s="709" t="s">
        <v>136</v>
      </c>
      <c r="E6265" s="716">
        <v>27.12</v>
      </c>
      <c r="F6265" s="717">
        <v>0</v>
      </c>
      <c r="G6265">
        <f>VLOOKUP(B6265,'SINAPI-%MO'!B:E,4,0)</f>
        <v>0.13239999999999999</v>
      </c>
      <c r="H6265" s="225">
        <f t="shared" si="97"/>
        <v>23.52</v>
      </c>
    </row>
    <row r="6266" spans="1:8" x14ac:dyDescent="0.3">
      <c r="A6266" s="400"/>
      <c r="B6266" s="709">
        <v>89495</v>
      </c>
      <c r="C6266" s="710" t="s">
        <v>5555</v>
      </c>
      <c r="D6266" s="709" t="s">
        <v>136</v>
      </c>
      <c r="E6266" s="716">
        <v>25.01</v>
      </c>
      <c r="F6266" s="717">
        <v>0</v>
      </c>
      <c r="G6266">
        <f>VLOOKUP(B6266,'SINAPI-%MO'!B:E,4,0)</f>
        <v>0.25669999999999998</v>
      </c>
      <c r="H6266" s="225">
        <f t="shared" si="97"/>
        <v>18.579999999999998</v>
      </c>
    </row>
    <row r="6267" spans="1:8" x14ac:dyDescent="0.3">
      <c r="A6267" s="400"/>
      <c r="B6267" s="709">
        <v>89673</v>
      </c>
      <c r="C6267" s="710" t="s">
        <v>5556</v>
      </c>
      <c r="D6267" s="709" t="s">
        <v>136</v>
      </c>
      <c r="E6267" s="716">
        <v>42.05</v>
      </c>
      <c r="F6267" s="717">
        <v>0</v>
      </c>
      <c r="G6267">
        <f>VLOOKUP(B6267,'SINAPI-%MO'!B:E,4,0)</f>
        <v>0.20330000000000001</v>
      </c>
      <c r="H6267" s="225">
        <f t="shared" si="97"/>
        <v>33.5</v>
      </c>
    </row>
    <row r="6268" spans="1:8" x14ac:dyDescent="0.3">
      <c r="A6268" s="400"/>
      <c r="B6268" s="709">
        <v>89557</v>
      </c>
      <c r="C6268" s="710" t="s">
        <v>5557</v>
      </c>
      <c r="D6268" s="709" t="s">
        <v>136</v>
      </c>
      <c r="E6268" s="716">
        <v>37.76</v>
      </c>
      <c r="F6268" s="717">
        <v>0</v>
      </c>
      <c r="G6268">
        <f>VLOOKUP(B6268,'SINAPI-%MO'!B:E,4,0)</f>
        <v>0.1128</v>
      </c>
      <c r="H6268" s="225">
        <f t="shared" si="97"/>
        <v>33.5</v>
      </c>
    </row>
    <row r="6269" spans="1:8" x14ac:dyDescent="0.3">
      <c r="A6269" s="400"/>
      <c r="B6269" s="709">
        <v>89681</v>
      </c>
      <c r="C6269" s="710" t="s">
        <v>5558</v>
      </c>
      <c r="D6269" s="709" t="s">
        <v>136</v>
      </c>
      <c r="E6269" s="716">
        <v>106.9</v>
      </c>
      <c r="F6269" s="717">
        <v>0</v>
      </c>
      <c r="G6269">
        <f>VLOOKUP(B6269,'SINAPI-%MO'!B:E,4,0)</f>
        <v>0.1333</v>
      </c>
      <c r="H6269" s="225">
        <f t="shared" si="97"/>
        <v>92.65</v>
      </c>
    </row>
    <row r="6270" spans="1:8" x14ac:dyDescent="0.3">
      <c r="A6270" s="400"/>
      <c r="B6270" s="709">
        <v>104173</v>
      </c>
      <c r="C6270" s="710" t="s">
        <v>5559</v>
      </c>
      <c r="D6270" s="709" t="s">
        <v>136</v>
      </c>
      <c r="E6270" s="716">
        <v>101.37</v>
      </c>
      <c r="F6270" s="717">
        <v>0</v>
      </c>
      <c r="G6270">
        <f>VLOOKUP(B6270,'SINAPI-%MO'!B:E,4,0)</f>
        <v>8.5999999999999993E-2</v>
      </c>
      <c r="H6270" s="225">
        <f t="shared" si="97"/>
        <v>92.65</v>
      </c>
    </row>
    <row r="6271" spans="1:8" x14ac:dyDescent="0.3">
      <c r="A6271" s="400"/>
      <c r="B6271" s="709">
        <v>89549</v>
      </c>
      <c r="C6271" s="710" t="s">
        <v>5560</v>
      </c>
      <c r="D6271" s="709" t="s">
        <v>136</v>
      </c>
      <c r="E6271" s="716">
        <v>22.08</v>
      </c>
      <c r="F6271" s="717">
        <v>0</v>
      </c>
      <c r="G6271">
        <f>VLOOKUP(B6271,'SINAPI-%MO'!B:E,4,0)</f>
        <v>0.1341</v>
      </c>
      <c r="H6271" s="225">
        <f t="shared" si="97"/>
        <v>19.11</v>
      </c>
    </row>
    <row r="6272" spans="1:8" x14ac:dyDescent="0.3">
      <c r="A6272" s="400"/>
      <c r="B6272" s="709">
        <v>89578</v>
      </c>
      <c r="C6272" s="710" t="s">
        <v>5561</v>
      </c>
      <c r="D6272" s="709" t="s">
        <v>159</v>
      </c>
      <c r="E6272" s="716">
        <v>42.7</v>
      </c>
      <c r="F6272" s="717">
        <v>0</v>
      </c>
      <c r="G6272">
        <f>VLOOKUP(B6272,'SINAPI-%MO'!B:E,4,0)</f>
        <v>0.1016</v>
      </c>
      <c r="H6272" s="225">
        <f t="shared" si="97"/>
        <v>38.36</v>
      </c>
    </row>
    <row r="6273" spans="1:8" x14ac:dyDescent="0.3">
      <c r="A6273" s="400"/>
      <c r="B6273" s="709">
        <v>89512</v>
      </c>
      <c r="C6273" s="710" t="s">
        <v>5562</v>
      </c>
      <c r="D6273" s="709" t="s">
        <v>159</v>
      </c>
      <c r="E6273" s="716">
        <v>61.44</v>
      </c>
      <c r="F6273" s="717">
        <v>0</v>
      </c>
      <c r="G6273">
        <f>VLOOKUP(B6273,'SINAPI-%MO'!B:E,4,0)</f>
        <v>0.37630000000000002</v>
      </c>
      <c r="H6273" s="225">
        <f t="shared" si="97"/>
        <v>38.32</v>
      </c>
    </row>
    <row r="6274" spans="1:8" x14ac:dyDescent="0.3">
      <c r="A6274" s="400"/>
      <c r="B6274" s="709">
        <v>89580</v>
      </c>
      <c r="C6274" s="710" t="s">
        <v>5563</v>
      </c>
      <c r="D6274" s="709" t="s">
        <v>159</v>
      </c>
      <c r="E6274" s="716">
        <v>88.53</v>
      </c>
      <c r="F6274" s="717">
        <v>0</v>
      </c>
      <c r="G6274">
        <f>VLOOKUP(B6274,'SINAPI-%MO'!B:E,4,0)</f>
        <v>8.4900000000000003E-2</v>
      </c>
      <c r="H6274" s="225">
        <f t="shared" si="97"/>
        <v>81.010000000000005</v>
      </c>
    </row>
    <row r="6275" spans="1:8" x14ac:dyDescent="0.3">
      <c r="A6275" s="400"/>
      <c r="B6275" s="709">
        <v>104166</v>
      </c>
      <c r="C6275" s="710" t="s">
        <v>5564</v>
      </c>
      <c r="D6275" s="709" t="s">
        <v>159</v>
      </c>
      <c r="E6275" s="716">
        <v>95.42</v>
      </c>
      <c r="F6275" s="717">
        <v>0</v>
      </c>
      <c r="G6275">
        <f>VLOOKUP(B6275,'SINAPI-%MO'!B:E,4,0)</f>
        <v>0.1525</v>
      </c>
      <c r="H6275" s="225">
        <f t="shared" si="97"/>
        <v>80.86</v>
      </c>
    </row>
    <row r="6276" spans="1:8" x14ac:dyDescent="0.3">
      <c r="A6276" s="400"/>
      <c r="B6276" s="709">
        <v>89508</v>
      </c>
      <c r="C6276" s="710" t="s">
        <v>5565</v>
      </c>
      <c r="D6276" s="709" t="s">
        <v>159</v>
      </c>
      <c r="E6276" s="716">
        <v>20.93</v>
      </c>
      <c r="F6276" s="717">
        <v>0</v>
      </c>
      <c r="G6276">
        <f>VLOOKUP(B6276,'SINAPI-%MO'!B:E,4,0)</f>
        <v>0.40660000000000002</v>
      </c>
      <c r="H6276" s="225">
        <f t="shared" si="97"/>
        <v>12.41</v>
      </c>
    </row>
    <row r="6277" spans="1:8" x14ac:dyDescent="0.3">
      <c r="A6277" s="400"/>
      <c r="B6277" s="709">
        <v>89509</v>
      </c>
      <c r="C6277" s="710" t="s">
        <v>5566</v>
      </c>
      <c r="D6277" s="709" t="s">
        <v>159</v>
      </c>
      <c r="E6277" s="716">
        <v>28.38</v>
      </c>
      <c r="F6277" s="717">
        <v>0</v>
      </c>
      <c r="G6277">
        <f>VLOOKUP(B6277,'SINAPI-%MO'!B:E,4,0)</f>
        <v>0.38369999999999999</v>
      </c>
      <c r="H6277" s="225">
        <f t="shared" si="97"/>
        <v>17.489999999999998</v>
      </c>
    </row>
    <row r="6278" spans="1:8" x14ac:dyDescent="0.3">
      <c r="A6278" s="400"/>
      <c r="B6278" s="709">
        <v>89576</v>
      </c>
      <c r="C6278" s="710" t="s">
        <v>5567</v>
      </c>
      <c r="D6278" s="709" t="s">
        <v>159</v>
      </c>
      <c r="E6278" s="716">
        <v>34.520000000000003</v>
      </c>
      <c r="F6278" s="717">
        <v>0</v>
      </c>
      <c r="G6278">
        <f>VLOOKUP(B6278,'SINAPI-%MO'!B:E,4,0)</f>
        <v>0.08</v>
      </c>
      <c r="H6278" s="225">
        <f t="shared" si="97"/>
        <v>31.75</v>
      </c>
    </row>
    <row r="6279" spans="1:8" x14ac:dyDescent="0.3">
      <c r="A6279" s="400"/>
      <c r="B6279" s="709">
        <v>89511</v>
      </c>
      <c r="C6279" s="710" t="s">
        <v>5568</v>
      </c>
      <c r="D6279" s="709" t="s">
        <v>159</v>
      </c>
      <c r="E6279" s="716">
        <v>48.62</v>
      </c>
      <c r="F6279" s="717">
        <v>0</v>
      </c>
      <c r="G6279">
        <f>VLOOKUP(B6279,'SINAPI-%MO'!B:E,4,0)</f>
        <v>0.34739999999999999</v>
      </c>
      <c r="H6279" s="225">
        <f t="shared" si="97"/>
        <v>31.72</v>
      </c>
    </row>
    <row r="6280" spans="1:8" x14ac:dyDescent="0.3">
      <c r="A6280" s="400"/>
      <c r="B6280" s="709">
        <v>89675</v>
      </c>
      <c r="C6280" s="710" t="s">
        <v>5569</v>
      </c>
      <c r="D6280" s="709" t="s">
        <v>136</v>
      </c>
      <c r="E6280" s="716">
        <v>87.75</v>
      </c>
      <c r="F6280" s="717">
        <v>0</v>
      </c>
      <c r="G6280">
        <f>VLOOKUP(B6280,'SINAPI-%MO'!B:E,4,0)</f>
        <v>0.11899999999999999</v>
      </c>
      <c r="H6280" s="225">
        <f t="shared" si="97"/>
        <v>77.3</v>
      </c>
    </row>
    <row r="6281" spans="1:8" x14ac:dyDescent="0.3">
      <c r="A6281" s="400"/>
      <c r="B6281" s="709">
        <v>89559</v>
      </c>
      <c r="C6281" s="710" t="s">
        <v>5570</v>
      </c>
      <c r="D6281" s="709" t="s">
        <v>136</v>
      </c>
      <c r="E6281" s="716">
        <v>82.23</v>
      </c>
      <c r="F6281" s="717">
        <v>0</v>
      </c>
      <c r="G6281">
        <f>VLOOKUP(B6281,'SINAPI-%MO'!B:E,4,0)</f>
        <v>5.9799999999999999E-2</v>
      </c>
      <c r="H6281" s="225">
        <f t="shared" si="97"/>
        <v>77.31</v>
      </c>
    </row>
    <row r="6282" spans="1:8" x14ac:dyDescent="0.3">
      <c r="A6282" s="400"/>
      <c r="B6282" s="709">
        <v>104172</v>
      </c>
      <c r="C6282" s="710" t="s">
        <v>5571</v>
      </c>
      <c r="D6282" s="709" t="s">
        <v>136</v>
      </c>
      <c r="E6282" s="716">
        <v>341.19</v>
      </c>
      <c r="F6282" s="717">
        <v>0</v>
      </c>
      <c r="G6282">
        <f>VLOOKUP(B6282,'SINAPI-%MO'!B:E,4,0)</f>
        <v>2.92E-2</v>
      </c>
      <c r="H6282" s="225">
        <f t="shared" si="97"/>
        <v>331.22</v>
      </c>
    </row>
    <row r="6283" spans="1:8" x14ac:dyDescent="0.3">
      <c r="A6283" s="400"/>
      <c r="B6283" s="709">
        <v>89683</v>
      </c>
      <c r="C6283" s="710" t="s">
        <v>5572</v>
      </c>
      <c r="D6283" s="709" t="s">
        <v>136</v>
      </c>
      <c r="E6283" s="716">
        <v>349.28</v>
      </c>
      <c r="F6283" s="717">
        <v>0</v>
      </c>
      <c r="G6283">
        <f>VLOOKUP(B6283,'SINAPI-%MO'!B:E,4,0)</f>
        <v>5.1700000000000003E-2</v>
      </c>
      <c r="H6283" s="225">
        <f t="shared" ref="H6283:H6346" si="98">IF(E6283&gt;0,TRUNC(E6283*(1-G6283),2),"")</f>
        <v>331.22</v>
      </c>
    </row>
    <row r="6284" spans="1:8" x14ac:dyDescent="0.3">
      <c r="A6284" s="400"/>
      <c r="B6284" s="709">
        <v>89667</v>
      </c>
      <c r="C6284" s="710" t="s">
        <v>5573</v>
      </c>
      <c r="D6284" s="709" t="s">
        <v>136</v>
      </c>
      <c r="E6284" s="716">
        <v>53.11</v>
      </c>
      <c r="F6284" s="717">
        <v>0</v>
      </c>
      <c r="G6284">
        <f>VLOOKUP(B6284,'SINAPI-%MO'!B:E,4,0)</f>
        <v>0.125</v>
      </c>
      <c r="H6284" s="225">
        <f t="shared" si="98"/>
        <v>46.47</v>
      </c>
    </row>
    <row r="6285" spans="1:8" x14ac:dyDescent="0.3">
      <c r="A6285" s="400"/>
      <c r="B6285" s="709">
        <v>89550</v>
      </c>
      <c r="C6285" s="710" t="s">
        <v>5574</v>
      </c>
      <c r="D6285" s="709" t="s">
        <v>136</v>
      </c>
      <c r="E6285" s="716">
        <v>50.06</v>
      </c>
      <c r="F6285" s="717">
        <v>0</v>
      </c>
      <c r="G6285">
        <f>VLOOKUP(B6285,'SINAPI-%MO'!B:E,4,0)</f>
        <v>7.17E-2</v>
      </c>
      <c r="H6285" s="225">
        <f t="shared" si="98"/>
        <v>46.47</v>
      </c>
    </row>
    <row r="6286" spans="1:8" x14ac:dyDescent="0.3">
      <c r="A6286" s="400"/>
      <c r="B6286" s="709">
        <v>89693</v>
      </c>
      <c r="C6286" s="710" t="s">
        <v>5575</v>
      </c>
      <c r="D6286" s="709" t="s">
        <v>136</v>
      </c>
      <c r="E6286" s="716">
        <v>94.62</v>
      </c>
      <c r="F6286" s="717">
        <v>0</v>
      </c>
      <c r="G6286">
        <f>VLOOKUP(B6286,'SINAPI-%MO'!B:E,4,0)</f>
        <v>0.22090000000000001</v>
      </c>
      <c r="H6286" s="225">
        <f t="shared" si="98"/>
        <v>73.709999999999994</v>
      </c>
    </row>
    <row r="6287" spans="1:8" x14ac:dyDescent="0.3">
      <c r="A6287" s="400"/>
      <c r="B6287" s="709">
        <v>89571</v>
      </c>
      <c r="C6287" s="710" t="s">
        <v>5576</v>
      </c>
      <c r="D6287" s="709" t="s">
        <v>136</v>
      </c>
      <c r="E6287" s="716">
        <v>83.58</v>
      </c>
      <c r="F6287" s="717">
        <v>0</v>
      </c>
      <c r="G6287">
        <f>VLOOKUP(B6287,'SINAPI-%MO'!B:E,4,0)</f>
        <v>0.11799999999999999</v>
      </c>
      <c r="H6287" s="225">
        <f t="shared" si="98"/>
        <v>73.709999999999994</v>
      </c>
    </row>
    <row r="6288" spans="1:8" x14ac:dyDescent="0.3">
      <c r="A6288" s="400"/>
      <c r="B6288" s="709">
        <v>89696</v>
      </c>
      <c r="C6288" s="710" t="s">
        <v>5577</v>
      </c>
      <c r="D6288" s="709" t="s">
        <v>136</v>
      </c>
      <c r="E6288" s="716">
        <v>102.06</v>
      </c>
      <c r="F6288" s="717">
        <v>0</v>
      </c>
      <c r="G6288">
        <f>VLOOKUP(B6288,'SINAPI-%MO'!B:E,4,0)</f>
        <v>0.18</v>
      </c>
      <c r="H6288" s="225">
        <f t="shared" si="98"/>
        <v>83.68</v>
      </c>
    </row>
    <row r="6289" spans="1:8" x14ac:dyDescent="0.3">
      <c r="A6289" s="400"/>
      <c r="B6289" s="709">
        <v>89573</v>
      </c>
      <c r="C6289" s="710" t="s">
        <v>5578</v>
      </c>
      <c r="D6289" s="709" t="s">
        <v>136</v>
      </c>
      <c r="E6289" s="716">
        <v>92.67</v>
      </c>
      <c r="F6289" s="717">
        <v>0</v>
      </c>
      <c r="G6289">
        <f>VLOOKUP(B6289,'SINAPI-%MO'!B:E,4,0)</f>
        <v>9.69E-2</v>
      </c>
      <c r="H6289" s="225">
        <f t="shared" si="98"/>
        <v>83.69</v>
      </c>
    </row>
    <row r="6290" spans="1:8" x14ac:dyDescent="0.3">
      <c r="A6290" s="400"/>
      <c r="B6290" s="709">
        <v>89704</v>
      </c>
      <c r="C6290" s="710" t="s">
        <v>5579</v>
      </c>
      <c r="D6290" s="709" t="s">
        <v>136</v>
      </c>
      <c r="E6290" s="716">
        <v>179.5</v>
      </c>
      <c r="F6290" s="717">
        <v>0</v>
      </c>
      <c r="G6290">
        <f>VLOOKUP(B6290,'SINAPI-%MO'!B:E,4,0)</f>
        <v>0.17299999999999999</v>
      </c>
      <c r="H6290" s="225">
        <f t="shared" si="98"/>
        <v>148.44</v>
      </c>
    </row>
    <row r="6291" spans="1:8" x14ac:dyDescent="0.3">
      <c r="A6291" s="400"/>
      <c r="B6291" s="709">
        <v>104175</v>
      </c>
      <c r="C6291" s="710" t="s">
        <v>5580</v>
      </c>
      <c r="D6291" s="709" t="s">
        <v>136</v>
      </c>
      <c r="E6291" s="716">
        <v>166.71</v>
      </c>
      <c r="F6291" s="717">
        <v>0</v>
      </c>
      <c r="G6291">
        <f>VLOOKUP(B6291,'SINAPI-%MO'!B:E,4,0)</f>
        <v>0.1095</v>
      </c>
      <c r="H6291" s="225">
        <f t="shared" si="98"/>
        <v>148.44999999999999</v>
      </c>
    </row>
    <row r="6292" spans="1:8" x14ac:dyDescent="0.3">
      <c r="A6292" s="400"/>
      <c r="B6292" s="709">
        <v>89701</v>
      </c>
      <c r="C6292" s="710" t="s">
        <v>5581</v>
      </c>
      <c r="D6292" s="709" t="s">
        <v>136</v>
      </c>
      <c r="E6292" s="716">
        <v>232.39</v>
      </c>
      <c r="F6292" s="717">
        <v>0</v>
      </c>
      <c r="G6292">
        <f>VLOOKUP(B6292,'SINAPI-%MO'!B:E,4,0)</f>
        <v>0.15540000000000001</v>
      </c>
      <c r="H6292" s="225">
        <f t="shared" si="98"/>
        <v>196.27</v>
      </c>
    </row>
    <row r="6293" spans="1:8" x14ac:dyDescent="0.3">
      <c r="A6293" s="400"/>
      <c r="B6293" s="709">
        <v>104177</v>
      </c>
      <c r="C6293" s="710" t="s">
        <v>5582</v>
      </c>
      <c r="D6293" s="709" t="s">
        <v>136</v>
      </c>
      <c r="E6293" s="716">
        <v>216.2</v>
      </c>
      <c r="F6293" s="717">
        <v>0</v>
      </c>
      <c r="G6293">
        <f>VLOOKUP(B6293,'SINAPI-%MO'!B:E,4,0)</f>
        <v>9.2200000000000004E-2</v>
      </c>
      <c r="H6293" s="225">
        <f t="shared" si="98"/>
        <v>196.26</v>
      </c>
    </row>
    <row r="6294" spans="1:8" x14ac:dyDescent="0.3">
      <c r="A6294" s="400"/>
      <c r="B6294" s="709">
        <v>89566</v>
      </c>
      <c r="C6294" s="710" t="s">
        <v>5583</v>
      </c>
      <c r="D6294" s="709" t="s">
        <v>136</v>
      </c>
      <c r="E6294" s="716">
        <v>56.59</v>
      </c>
      <c r="F6294" s="717">
        <v>0</v>
      </c>
      <c r="G6294">
        <f>VLOOKUP(B6294,'SINAPI-%MO'!B:E,4,0)</f>
        <v>0.12720000000000001</v>
      </c>
      <c r="H6294" s="225">
        <f t="shared" si="98"/>
        <v>49.39</v>
      </c>
    </row>
    <row r="6295" spans="1:8" x14ac:dyDescent="0.3">
      <c r="A6295" s="400"/>
      <c r="B6295" s="709">
        <v>89687</v>
      </c>
      <c r="C6295" s="710" t="s">
        <v>5584</v>
      </c>
      <c r="D6295" s="709" t="s">
        <v>136</v>
      </c>
      <c r="E6295" s="716">
        <v>62.69</v>
      </c>
      <c r="F6295" s="717">
        <v>0</v>
      </c>
      <c r="G6295">
        <f>VLOOKUP(B6295,'SINAPI-%MO'!B:E,4,0)</f>
        <v>0.2122</v>
      </c>
      <c r="H6295" s="225">
        <f t="shared" si="98"/>
        <v>49.38</v>
      </c>
    </row>
    <row r="6296" spans="1:8" x14ac:dyDescent="0.3">
      <c r="A6296" s="400"/>
      <c r="B6296" s="709">
        <v>102450</v>
      </c>
      <c r="C6296" s="710" t="s">
        <v>15114</v>
      </c>
      <c r="D6296" s="709" t="s">
        <v>168</v>
      </c>
      <c r="E6296" s="716">
        <v>0</v>
      </c>
      <c r="F6296" s="717"/>
      <c r="G6296" t="e">
        <f>VLOOKUP(B6296,'SINAPI-%MO'!B:E,4,0)</f>
        <v>#N/A</v>
      </c>
      <c r="H6296" s="225" t="str">
        <f t="shared" si="98"/>
        <v/>
      </c>
    </row>
    <row r="6297" spans="1:8" x14ac:dyDescent="0.3">
      <c r="A6297" s="400"/>
      <c r="B6297" s="709">
        <v>102250</v>
      </c>
      <c r="C6297" s="710" t="s">
        <v>15115</v>
      </c>
      <c r="D6297" s="709" t="s">
        <v>168</v>
      </c>
      <c r="E6297" s="716">
        <v>0</v>
      </c>
      <c r="F6297" s="717"/>
      <c r="G6297" t="e">
        <f>VLOOKUP(B6297,'SINAPI-%MO'!B:E,4,0)</f>
        <v>#N/A</v>
      </c>
      <c r="H6297" s="225" t="str">
        <f t="shared" si="98"/>
        <v/>
      </c>
    </row>
    <row r="6298" spans="1:8" x14ac:dyDescent="0.3">
      <c r="A6298" s="400"/>
      <c r="B6298" s="709">
        <v>102240</v>
      </c>
      <c r="C6298" s="710" t="s">
        <v>15116</v>
      </c>
      <c r="D6298" s="709" t="s">
        <v>168</v>
      </c>
      <c r="E6298" s="716">
        <v>0</v>
      </c>
      <c r="F6298" s="717"/>
      <c r="G6298" t="e">
        <f>VLOOKUP(B6298,'SINAPI-%MO'!B:E,4,0)</f>
        <v>#N/A</v>
      </c>
      <c r="H6298" s="225" t="str">
        <f t="shared" si="98"/>
        <v/>
      </c>
    </row>
    <row r="6299" spans="1:8" x14ac:dyDescent="0.3">
      <c r="A6299" s="400"/>
      <c r="B6299" s="709">
        <v>102449</v>
      </c>
      <c r="C6299" s="710" t="s">
        <v>15117</v>
      </c>
      <c r="D6299" s="709" t="s">
        <v>168</v>
      </c>
      <c r="E6299" s="716">
        <v>0</v>
      </c>
      <c r="F6299" s="717"/>
      <c r="G6299" t="e">
        <f>VLOOKUP(B6299,'SINAPI-%MO'!B:E,4,0)</f>
        <v>#N/A</v>
      </c>
      <c r="H6299" s="225" t="str">
        <f t="shared" si="98"/>
        <v/>
      </c>
    </row>
    <row r="6300" spans="1:8" x14ac:dyDescent="0.3">
      <c r="A6300" s="400"/>
      <c r="B6300" s="709">
        <v>102249</v>
      </c>
      <c r="C6300" s="710" t="s">
        <v>15118</v>
      </c>
      <c r="D6300" s="709" t="s">
        <v>168</v>
      </c>
      <c r="E6300" s="716">
        <v>0</v>
      </c>
      <c r="F6300" s="717"/>
      <c r="G6300" t="e">
        <f>VLOOKUP(B6300,'SINAPI-%MO'!B:E,4,0)</f>
        <v>#N/A</v>
      </c>
      <c r="H6300" s="225" t="str">
        <f t="shared" si="98"/>
        <v/>
      </c>
    </row>
    <row r="6301" spans="1:8" x14ac:dyDescent="0.3">
      <c r="A6301" s="400"/>
      <c r="B6301" s="709">
        <v>102238</v>
      </c>
      <c r="C6301" s="710" t="s">
        <v>15119</v>
      </c>
      <c r="D6301" s="709" t="s">
        <v>168</v>
      </c>
      <c r="E6301" s="716">
        <v>0</v>
      </c>
      <c r="F6301" s="717"/>
      <c r="G6301" t="e">
        <f>VLOOKUP(B6301,'SINAPI-%MO'!B:E,4,0)</f>
        <v>#N/A</v>
      </c>
      <c r="H6301" s="225" t="str">
        <f t="shared" si="98"/>
        <v/>
      </c>
    </row>
    <row r="6302" spans="1:8" x14ac:dyDescent="0.3">
      <c r="A6302" s="400"/>
      <c r="B6302" s="709">
        <v>102448</v>
      </c>
      <c r="C6302" s="710" t="s">
        <v>15120</v>
      </c>
      <c r="D6302" s="709" t="s">
        <v>168</v>
      </c>
      <c r="E6302" s="716">
        <v>0</v>
      </c>
      <c r="F6302" s="717"/>
      <c r="G6302" t="e">
        <f>VLOOKUP(B6302,'SINAPI-%MO'!B:E,4,0)</f>
        <v>#N/A</v>
      </c>
      <c r="H6302" s="225" t="str">
        <f t="shared" si="98"/>
        <v/>
      </c>
    </row>
    <row r="6303" spans="1:8" x14ac:dyDescent="0.3">
      <c r="A6303" s="400"/>
      <c r="B6303" s="709">
        <v>102248</v>
      </c>
      <c r="C6303" s="710" t="s">
        <v>15121</v>
      </c>
      <c r="D6303" s="709" t="s">
        <v>168</v>
      </c>
      <c r="E6303" s="716">
        <v>0</v>
      </c>
      <c r="F6303" s="717"/>
      <c r="G6303" t="e">
        <f>VLOOKUP(B6303,'SINAPI-%MO'!B:E,4,0)</f>
        <v>#N/A</v>
      </c>
      <c r="H6303" s="225" t="str">
        <f t="shared" si="98"/>
        <v/>
      </c>
    </row>
    <row r="6304" spans="1:8" x14ac:dyDescent="0.3">
      <c r="A6304" s="400"/>
      <c r="B6304" s="709">
        <v>102253</v>
      </c>
      <c r="C6304" s="710" t="s">
        <v>13897</v>
      </c>
      <c r="D6304" s="709" t="s">
        <v>168</v>
      </c>
      <c r="E6304" s="716">
        <v>1017.41</v>
      </c>
      <c r="F6304" s="717">
        <v>0</v>
      </c>
      <c r="G6304">
        <f>VLOOKUP(B6304,'SINAPI-%MO'!B:E,4,0)</f>
        <v>0.14330000000000001</v>
      </c>
      <c r="H6304" s="225">
        <f t="shared" si="98"/>
        <v>871.61</v>
      </c>
    </row>
    <row r="6305" spans="1:8" x14ac:dyDescent="0.3">
      <c r="A6305" s="400"/>
      <c r="B6305" s="709">
        <v>102254</v>
      </c>
      <c r="C6305" s="710" t="s">
        <v>13898</v>
      </c>
      <c r="D6305" s="709" t="s">
        <v>168</v>
      </c>
      <c r="E6305" s="716">
        <v>1153.76</v>
      </c>
      <c r="F6305" s="717">
        <v>0</v>
      </c>
      <c r="G6305">
        <f>VLOOKUP(B6305,'SINAPI-%MO'!B:E,4,0)</f>
        <v>0.1263</v>
      </c>
      <c r="H6305" s="225">
        <f t="shared" si="98"/>
        <v>1008.04</v>
      </c>
    </row>
    <row r="6306" spans="1:8" x14ac:dyDescent="0.3">
      <c r="A6306" s="400"/>
      <c r="B6306" s="709">
        <v>102257</v>
      </c>
      <c r="C6306" s="710" t="s">
        <v>13899</v>
      </c>
      <c r="D6306" s="709" t="s">
        <v>168</v>
      </c>
      <c r="E6306" s="716">
        <v>438.79</v>
      </c>
      <c r="F6306" s="717">
        <v>0.63400000000000001</v>
      </c>
      <c r="G6306">
        <f>VLOOKUP(B6306,'SINAPI-%MO'!B:E,4,0)</f>
        <v>0.30130000000000001</v>
      </c>
      <c r="H6306" s="225">
        <f t="shared" si="98"/>
        <v>306.58</v>
      </c>
    </row>
    <row r="6307" spans="1:8" x14ac:dyDescent="0.3">
      <c r="A6307" s="400"/>
      <c r="B6307" s="709">
        <v>102239</v>
      </c>
      <c r="C6307" s="710" t="s">
        <v>15122</v>
      </c>
      <c r="D6307" s="709" t="s">
        <v>168</v>
      </c>
      <c r="E6307" s="716">
        <v>0</v>
      </c>
      <c r="F6307" s="717"/>
      <c r="G6307" t="e">
        <f>VLOOKUP(B6307,'SINAPI-%MO'!B:E,4,0)</f>
        <v>#N/A</v>
      </c>
      <c r="H6307" s="225" t="str">
        <f t="shared" si="98"/>
        <v/>
      </c>
    </row>
    <row r="6308" spans="1:8" x14ac:dyDescent="0.3">
      <c r="A6308" s="400"/>
      <c r="B6308" s="709">
        <v>102236</v>
      </c>
      <c r="C6308" s="710" t="s">
        <v>15123</v>
      </c>
      <c r="D6308" s="709" t="s">
        <v>168</v>
      </c>
      <c r="E6308" s="716">
        <v>0</v>
      </c>
      <c r="F6308" s="717"/>
      <c r="G6308" t="e">
        <f>VLOOKUP(B6308,'SINAPI-%MO'!B:E,4,0)</f>
        <v>#N/A</v>
      </c>
      <c r="H6308" s="225" t="str">
        <f t="shared" si="98"/>
        <v/>
      </c>
    </row>
    <row r="6309" spans="1:8" x14ac:dyDescent="0.3">
      <c r="A6309" s="400"/>
      <c r="B6309" s="709">
        <v>102235</v>
      </c>
      <c r="C6309" s="710" t="s">
        <v>13900</v>
      </c>
      <c r="D6309" s="709" t="s">
        <v>168</v>
      </c>
      <c r="E6309" s="716">
        <v>398.66</v>
      </c>
      <c r="F6309" s="717">
        <v>0</v>
      </c>
      <c r="G6309">
        <f>VLOOKUP(B6309,'SINAPI-%MO'!B:E,4,0)</f>
        <v>0.13370000000000001</v>
      </c>
      <c r="H6309" s="225">
        <f t="shared" si="98"/>
        <v>345.35</v>
      </c>
    </row>
    <row r="6310" spans="1:8" x14ac:dyDescent="0.3">
      <c r="A6310" s="400"/>
      <c r="B6310" s="709">
        <v>106164</v>
      </c>
      <c r="C6310" s="710" t="s">
        <v>15124</v>
      </c>
      <c r="D6310" s="709" t="s">
        <v>168</v>
      </c>
      <c r="E6310" s="716">
        <v>0</v>
      </c>
      <c r="F6310" s="717"/>
      <c r="G6310" t="e">
        <f>VLOOKUP(B6310,'SINAPI-%MO'!B:E,4,0)</f>
        <v>#N/A</v>
      </c>
      <c r="H6310" s="225" t="str">
        <f t="shared" si="98"/>
        <v/>
      </c>
    </row>
    <row r="6311" spans="1:8" x14ac:dyDescent="0.3">
      <c r="A6311" s="400"/>
      <c r="B6311" s="709">
        <v>102260</v>
      </c>
      <c r="C6311" s="710" t="s">
        <v>15125</v>
      </c>
      <c r="D6311" s="709" t="s">
        <v>168</v>
      </c>
      <c r="E6311" s="716">
        <v>0</v>
      </c>
      <c r="F6311" s="717"/>
      <c r="G6311" t="e">
        <f>VLOOKUP(B6311,'SINAPI-%MO'!B:E,4,0)</f>
        <v>#N/A</v>
      </c>
      <c r="H6311" s="225" t="str">
        <f t="shared" si="98"/>
        <v/>
      </c>
    </row>
    <row r="6312" spans="1:8" x14ac:dyDescent="0.3">
      <c r="A6312" s="400"/>
      <c r="B6312" s="709">
        <v>102259</v>
      </c>
      <c r="C6312" s="710" t="s">
        <v>15126</v>
      </c>
      <c r="D6312" s="709" t="s">
        <v>168</v>
      </c>
      <c r="E6312" s="716">
        <v>0</v>
      </c>
      <c r="F6312" s="717"/>
      <c r="G6312" t="e">
        <f>VLOOKUP(B6312,'SINAPI-%MO'!B:E,4,0)</f>
        <v>#N/A</v>
      </c>
      <c r="H6312" s="225" t="str">
        <f t="shared" si="98"/>
        <v/>
      </c>
    </row>
    <row r="6313" spans="1:8" x14ac:dyDescent="0.3">
      <c r="A6313" s="400"/>
      <c r="B6313" s="709">
        <v>102262</v>
      </c>
      <c r="C6313" s="710" t="s">
        <v>15127</v>
      </c>
      <c r="D6313" s="709" t="s">
        <v>136</v>
      </c>
      <c r="E6313" s="716">
        <v>0</v>
      </c>
      <c r="F6313" s="717"/>
      <c r="G6313" t="e">
        <f>VLOOKUP(B6313,'SINAPI-%MO'!B:E,4,0)</f>
        <v>#N/A</v>
      </c>
      <c r="H6313" s="225" t="str">
        <f t="shared" si="98"/>
        <v/>
      </c>
    </row>
    <row r="6314" spans="1:8" x14ac:dyDescent="0.3">
      <c r="A6314" s="400"/>
      <c r="B6314" s="709">
        <v>102242</v>
      </c>
      <c r="C6314" s="710" t="s">
        <v>15128</v>
      </c>
      <c r="D6314" s="709" t="s">
        <v>168</v>
      </c>
      <c r="E6314" s="716">
        <v>0</v>
      </c>
      <c r="F6314" s="717"/>
      <c r="G6314" t="e">
        <f>VLOOKUP(B6314,'SINAPI-%MO'!B:E,4,0)</f>
        <v>#N/A</v>
      </c>
      <c r="H6314" s="225" t="str">
        <f t="shared" si="98"/>
        <v/>
      </c>
    </row>
    <row r="6315" spans="1:8" x14ac:dyDescent="0.3">
      <c r="A6315" s="400"/>
      <c r="B6315" s="709">
        <v>106165</v>
      </c>
      <c r="C6315" s="710" t="s">
        <v>15129</v>
      </c>
      <c r="D6315" s="709" t="s">
        <v>136</v>
      </c>
      <c r="E6315" s="716">
        <v>0</v>
      </c>
      <c r="F6315" s="717"/>
      <c r="G6315" t="e">
        <f>VLOOKUP(B6315,'SINAPI-%MO'!B:E,4,0)</f>
        <v>#N/A</v>
      </c>
      <c r="H6315" s="225" t="str">
        <f t="shared" si="98"/>
        <v/>
      </c>
    </row>
    <row r="6316" spans="1:8" x14ac:dyDescent="0.3">
      <c r="A6316" s="400"/>
      <c r="B6316" s="709">
        <v>102246</v>
      </c>
      <c r="C6316" s="710" t="s">
        <v>15130</v>
      </c>
      <c r="D6316" s="709" t="s">
        <v>168</v>
      </c>
      <c r="E6316" s="716">
        <v>0</v>
      </c>
      <c r="F6316" s="717"/>
      <c r="G6316" t="e">
        <f>VLOOKUP(B6316,'SINAPI-%MO'!B:E,4,0)</f>
        <v>#N/A</v>
      </c>
      <c r="H6316" s="225" t="str">
        <f t="shared" si="98"/>
        <v/>
      </c>
    </row>
    <row r="6317" spans="1:8" x14ac:dyDescent="0.3">
      <c r="A6317" s="400"/>
      <c r="B6317" s="709">
        <v>102252</v>
      </c>
      <c r="C6317" s="710" t="s">
        <v>15131</v>
      </c>
      <c r="D6317" s="709" t="s">
        <v>168</v>
      </c>
      <c r="E6317" s="716">
        <v>0</v>
      </c>
      <c r="F6317" s="717"/>
      <c r="G6317" t="e">
        <f>VLOOKUP(B6317,'SINAPI-%MO'!B:E,4,0)</f>
        <v>#N/A</v>
      </c>
      <c r="H6317" s="225" t="str">
        <f t="shared" si="98"/>
        <v/>
      </c>
    </row>
    <row r="6318" spans="1:8" x14ac:dyDescent="0.3">
      <c r="A6318" s="400"/>
      <c r="B6318" s="709">
        <v>101912</v>
      </c>
      <c r="C6318" s="710" t="s">
        <v>13901</v>
      </c>
      <c r="D6318" s="709" t="s">
        <v>136</v>
      </c>
      <c r="E6318" s="716">
        <v>1372.37</v>
      </c>
      <c r="F6318" s="717">
        <v>0</v>
      </c>
      <c r="G6318">
        <f>VLOOKUP(B6318,'SINAPI-%MO'!B:E,4,0)</f>
        <v>9.8000000000000004E-2</v>
      </c>
      <c r="H6318" s="225">
        <f t="shared" si="98"/>
        <v>1237.8699999999999</v>
      </c>
    </row>
    <row r="6319" spans="1:8" x14ac:dyDescent="0.3">
      <c r="A6319" s="400"/>
      <c r="B6319" s="709">
        <v>96765</v>
      </c>
      <c r="C6319" s="710" t="s">
        <v>13902</v>
      </c>
      <c r="D6319" s="709" t="s">
        <v>136</v>
      </c>
      <c r="E6319" s="716">
        <v>1497.71</v>
      </c>
      <c r="F6319" s="717">
        <v>1.6000000000000001E-3</v>
      </c>
      <c r="G6319">
        <f>VLOOKUP(B6319,'SINAPI-%MO'!B:E,4,0)</f>
        <v>0.1008</v>
      </c>
      <c r="H6319" s="225">
        <f t="shared" si="98"/>
        <v>1346.74</v>
      </c>
    </row>
    <row r="6320" spans="1:8" x14ac:dyDescent="0.3">
      <c r="A6320" s="400"/>
      <c r="B6320" s="709">
        <v>97430</v>
      </c>
      <c r="C6320" s="710" t="s">
        <v>13903</v>
      </c>
      <c r="D6320" s="709" t="s">
        <v>136</v>
      </c>
      <c r="E6320" s="716">
        <v>45.07</v>
      </c>
      <c r="F6320" s="717">
        <v>0.50719999999999998</v>
      </c>
      <c r="G6320">
        <f>VLOOKUP(B6320,'SINAPI-%MO'!B:E,4,0)</f>
        <v>0.4919</v>
      </c>
      <c r="H6320" s="225">
        <f t="shared" si="98"/>
        <v>22.9</v>
      </c>
    </row>
    <row r="6321" spans="1:8" x14ac:dyDescent="0.3">
      <c r="A6321" s="400"/>
      <c r="B6321" s="709">
        <v>97431</v>
      </c>
      <c r="C6321" s="710" t="s">
        <v>13904</v>
      </c>
      <c r="D6321" s="709" t="s">
        <v>136</v>
      </c>
      <c r="E6321" s="716">
        <v>47.8</v>
      </c>
      <c r="F6321" s="717">
        <v>0.51900000000000002</v>
      </c>
      <c r="G6321">
        <f>VLOOKUP(B6321,'SINAPI-%MO'!B:E,4,0)</f>
        <v>0.47970000000000002</v>
      </c>
      <c r="H6321" s="225">
        <f t="shared" si="98"/>
        <v>24.87</v>
      </c>
    </row>
    <row r="6322" spans="1:8" x14ac:dyDescent="0.3">
      <c r="A6322" s="400"/>
      <c r="B6322" s="709">
        <v>97432</v>
      </c>
      <c r="C6322" s="710" t="s">
        <v>13905</v>
      </c>
      <c r="D6322" s="709" t="s">
        <v>136</v>
      </c>
      <c r="E6322" s="716">
        <v>51.62</v>
      </c>
      <c r="F6322" s="717">
        <v>0.5393</v>
      </c>
      <c r="G6322">
        <f>VLOOKUP(B6322,'SINAPI-%MO'!B:E,4,0)</f>
        <v>0.45889999999999997</v>
      </c>
      <c r="H6322" s="225">
        <f t="shared" si="98"/>
        <v>27.93</v>
      </c>
    </row>
    <row r="6323" spans="1:8" x14ac:dyDescent="0.3">
      <c r="A6323" s="400"/>
      <c r="B6323" s="709">
        <v>101913</v>
      </c>
      <c r="C6323" s="710" t="s">
        <v>13906</v>
      </c>
      <c r="D6323" s="709" t="s">
        <v>136</v>
      </c>
      <c r="E6323" s="716">
        <v>433.15</v>
      </c>
      <c r="F6323" s="717">
        <v>0</v>
      </c>
      <c r="G6323">
        <f>VLOOKUP(B6323,'SINAPI-%MO'!B:E,4,0)</f>
        <v>0.19159999999999999</v>
      </c>
      <c r="H6323" s="225">
        <f t="shared" si="98"/>
        <v>350.15</v>
      </c>
    </row>
    <row r="6324" spans="1:8" x14ac:dyDescent="0.3">
      <c r="A6324" s="400"/>
      <c r="B6324" s="709">
        <v>101914</v>
      </c>
      <c r="C6324" s="710" t="s">
        <v>13907</v>
      </c>
      <c r="D6324" s="709" t="s">
        <v>136</v>
      </c>
      <c r="E6324" s="716">
        <v>525.28</v>
      </c>
      <c r="F6324" s="717">
        <v>0</v>
      </c>
      <c r="G6324">
        <f>VLOOKUP(B6324,'SINAPI-%MO'!B:E,4,0)</f>
        <v>0.158</v>
      </c>
      <c r="H6324" s="225">
        <f t="shared" si="98"/>
        <v>442.28</v>
      </c>
    </row>
    <row r="6325" spans="1:8" x14ac:dyDescent="0.3">
      <c r="A6325" s="400"/>
      <c r="B6325" s="709">
        <v>101915</v>
      </c>
      <c r="C6325" s="710" t="s">
        <v>13908</v>
      </c>
      <c r="D6325" s="709" t="s">
        <v>136</v>
      </c>
      <c r="E6325" s="716">
        <v>406.62</v>
      </c>
      <c r="F6325" s="717">
        <v>0</v>
      </c>
      <c r="G6325">
        <f>VLOOKUP(B6325,'SINAPI-%MO'!B:E,4,0)</f>
        <v>1.8700000000000001E-2</v>
      </c>
      <c r="H6325" s="225">
        <f t="shared" si="98"/>
        <v>399.01</v>
      </c>
    </row>
    <row r="6326" spans="1:8" x14ac:dyDescent="0.3">
      <c r="A6326" s="400"/>
      <c r="B6326" s="709">
        <v>97433</v>
      </c>
      <c r="C6326" s="710" t="s">
        <v>13909</v>
      </c>
      <c r="D6326" s="709" t="s">
        <v>136</v>
      </c>
      <c r="E6326" s="716">
        <v>99.08</v>
      </c>
      <c r="F6326" s="717">
        <v>0.66339999999999999</v>
      </c>
      <c r="G6326">
        <f>VLOOKUP(B6326,'SINAPI-%MO'!B:E,4,0)</f>
        <v>0.33579999999999999</v>
      </c>
      <c r="H6326" s="225">
        <f t="shared" si="98"/>
        <v>65.8</v>
      </c>
    </row>
    <row r="6327" spans="1:8" x14ac:dyDescent="0.3">
      <c r="A6327" s="400"/>
      <c r="B6327" s="709">
        <v>97435</v>
      </c>
      <c r="C6327" s="710" t="s">
        <v>13910</v>
      </c>
      <c r="D6327" s="709" t="s">
        <v>136</v>
      </c>
      <c r="E6327" s="716">
        <v>111.81</v>
      </c>
      <c r="F6327" s="717">
        <v>0.69120000000000004</v>
      </c>
      <c r="G6327">
        <f>VLOOKUP(B6327,'SINAPI-%MO'!B:E,4,0)</f>
        <v>0.30769999999999997</v>
      </c>
      <c r="H6327" s="225">
        <f t="shared" si="98"/>
        <v>77.400000000000006</v>
      </c>
    </row>
    <row r="6328" spans="1:8" x14ac:dyDescent="0.3">
      <c r="A6328" s="400"/>
      <c r="B6328" s="709">
        <v>97437</v>
      </c>
      <c r="C6328" s="710" t="s">
        <v>13911</v>
      </c>
      <c r="D6328" s="709" t="s">
        <v>136</v>
      </c>
      <c r="E6328" s="716">
        <v>124.39</v>
      </c>
      <c r="F6328" s="717">
        <v>0.71279999999999999</v>
      </c>
      <c r="G6328">
        <f>VLOOKUP(B6328,'SINAPI-%MO'!B:E,4,0)</f>
        <v>0.28570000000000001</v>
      </c>
      <c r="H6328" s="225">
        <f t="shared" si="98"/>
        <v>88.85</v>
      </c>
    </row>
    <row r="6329" spans="1:8" x14ac:dyDescent="0.3">
      <c r="A6329" s="400"/>
      <c r="B6329" s="709">
        <v>97546</v>
      </c>
      <c r="C6329" s="710" t="s">
        <v>13912</v>
      </c>
      <c r="D6329" s="709" t="s">
        <v>136</v>
      </c>
      <c r="E6329" s="716">
        <v>44.73</v>
      </c>
      <c r="F6329" s="717">
        <v>0</v>
      </c>
      <c r="G6329">
        <f>VLOOKUP(B6329,'SINAPI-%MO'!B:E,4,0)</f>
        <v>0.33329999999999999</v>
      </c>
      <c r="H6329" s="225">
        <f t="shared" si="98"/>
        <v>29.82</v>
      </c>
    </row>
    <row r="6330" spans="1:8" x14ac:dyDescent="0.3">
      <c r="A6330" s="400"/>
      <c r="B6330" s="709">
        <v>97548</v>
      </c>
      <c r="C6330" s="710" t="s">
        <v>13913</v>
      </c>
      <c r="D6330" s="709" t="s">
        <v>136</v>
      </c>
      <c r="E6330" s="716">
        <v>65.33</v>
      </c>
      <c r="F6330" s="717">
        <v>0</v>
      </c>
      <c r="G6330">
        <f>VLOOKUP(B6330,'SINAPI-%MO'!B:E,4,0)</f>
        <v>0.39169999999999999</v>
      </c>
      <c r="H6330" s="225">
        <f t="shared" si="98"/>
        <v>39.74</v>
      </c>
    </row>
    <row r="6331" spans="1:8" x14ac:dyDescent="0.3">
      <c r="A6331" s="400"/>
      <c r="B6331" s="709">
        <v>97550</v>
      </c>
      <c r="C6331" s="710" t="s">
        <v>13914</v>
      </c>
      <c r="D6331" s="709" t="s">
        <v>136</v>
      </c>
      <c r="E6331" s="716">
        <v>106.24</v>
      </c>
      <c r="F6331" s="717">
        <v>0</v>
      </c>
      <c r="G6331">
        <f>VLOOKUP(B6331,'SINAPI-%MO'!B:E,4,0)</f>
        <v>0.46850000000000003</v>
      </c>
      <c r="H6331" s="225">
        <f t="shared" si="98"/>
        <v>56.46</v>
      </c>
    </row>
    <row r="6332" spans="1:8" x14ac:dyDescent="0.3">
      <c r="A6332" s="400"/>
      <c r="B6332" s="709">
        <v>97479</v>
      </c>
      <c r="C6332" s="710" t="s">
        <v>13915</v>
      </c>
      <c r="D6332" s="709" t="s">
        <v>136</v>
      </c>
      <c r="E6332" s="716">
        <v>75.37</v>
      </c>
      <c r="F6332" s="717">
        <v>0</v>
      </c>
      <c r="G6332">
        <f>VLOOKUP(B6332,'SINAPI-%MO'!B:E,4,0)</f>
        <v>0.25080000000000002</v>
      </c>
      <c r="H6332" s="225">
        <f t="shared" si="98"/>
        <v>56.46</v>
      </c>
    </row>
    <row r="6333" spans="1:8" x14ac:dyDescent="0.3">
      <c r="A6333" s="400"/>
      <c r="B6333" s="709">
        <v>97517</v>
      </c>
      <c r="C6333" s="710" t="s">
        <v>13916</v>
      </c>
      <c r="D6333" s="709" t="s">
        <v>136</v>
      </c>
      <c r="E6333" s="716">
        <v>71.55</v>
      </c>
      <c r="F6333" s="717">
        <v>0</v>
      </c>
      <c r="G6333">
        <f>VLOOKUP(B6333,'SINAPI-%MO'!B:E,4,0)</f>
        <v>0.21079999999999999</v>
      </c>
      <c r="H6333" s="225">
        <f t="shared" si="98"/>
        <v>56.46</v>
      </c>
    </row>
    <row r="6334" spans="1:8" x14ac:dyDescent="0.3">
      <c r="A6334" s="400"/>
      <c r="B6334" s="709">
        <v>97481</v>
      </c>
      <c r="C6334" s="710" t="s">
        <v>13917</v>
      </c>
      <c r="D6334" s="709" t="s">
        <v>136</v>
      </c>
      <c r="E6334" s="716">
        <v>110.03</v>
      </c>
      <c r="F6334" s="717">
        <v>0</v>
      </c>
      <c r="G6334">
        <f>VLOOKUP(B6334,'SINAPI-%MO'!B:E,4,0)</f>
        <v>0.21729999999999999</v>
      </c>
      <c r="H6334" s="225">
        <f t="shared" si="98"/>
        <v>86.12</v>
      </c>
    </row>
    <row r="6335" spans="1:8" x14ac:dyDescent="0.3">
      <c r="A6335" s="400"/>
      <c r="B6335" s="709">
        <v>97519</v>
      </c>
      <c r="C6335" s="710" t="s">
        <v>13918</v>
      </c>
      <c r="D6335" s="709" t="s">
        <v>136</v>
      </c>
      <c r="E6335" s="716">
        <v>103.33</v>
      </c>
      <c r="F6335" s="717">
        <v>0</v>
      </c>
      <c r="G6335">
        <f>VLOOKUP(B6335,'SINAPI-%MO'!B:E,4,0)</f>
        <v>0.1666</v>
      </c>
      <c r="H6335" s="225">
        <f t="shared" si="98"/>
        <v>86.11</v>
      </c>
    </row>
    <row r="6336" spans="1:8" x14ac:dyDescent="0.3">
      <c r="A6336" s="400"/>
      <c r="B6336" s="709">
        <v>97483</v>
      </c>
      <c r="C6336" s="710" t="s">
        <v>13919</v>
      </c>
      <c r="D6336" s="709" t="s">
        <v>136</v>
      </c>
      <c r="E6336" s="716">
        <v>155.07</v>
      </c>
      <c r="F6336" s="717">
        <v>0</v>
      </c>
      <c r="G6336">
        <f>VLOOKUP(B6336,'SINAPI-%MO'!B:E,4,0)</f>
        <v>0.1913</v>
      </c>
      <c r="H6336" s="225">
        <f t="shared" si="98"/>
        <v>125.4</v>
      </c>
    </row>
    <row r="6337" spans="1:8" x14ac:dyDescent="0.3">
      <c r="A6337" s="400"/>
      <c r="B6337" s="709">
        <v>97521</v>
      </c>
      <c r="C6337" s="710" t="s">
        <v>13920</v>
      </c>
      <c r="D6337" s="709" t="s">
        <v>136</v>
      </c>
      <c r="E6337" s="716">
        <v>145.05000000000001</v>
      </c>
      <c r="F6337" s="717">
        <v>0</v>
      </c>
      <c r="G6337">
        <f>VLOOKUP(B6337,'SINAPI-%MO'!B:E,4,0)</f>
        <v>0.13539999999999999</v>
      </c>
      <c r="H6337" s="225">
        <f t="shared" si="98"/>
        <v>125.41</v>
      </c>
    </row>
    <row r="6338" spans="1:8" x14ac:dyDescent="0.3">
      <c r="A6338" s="400"/>
      <c r="B6338" s="709">
        <v>97452</v>
      </c>
      <c r="C6338" s="710" t="s">
        <v>13921</v>
      </c>
      <c r="D6338" s="709" t="s">
        <v>136</v>
      </c>
      <c r="E6338" s="716">
        <v>245.48</v>
      </c>
      <c r="F6338" s="717">
        <v>0</v>
      </c>
      <c r="G6338">
        <f>VLOOKUP(B6338,'SINAPI-%MO'!B:E,4,0)</f>
        <v>0.2742</v>
      </c>
      <c r="H6338" s="225">
        <f t="shared" si="98"/>
        <v>178.16</v>
      </c>
    </row>
    <row r="6339" spans="1:8" x14ac:dyDescent="0.3">
      <c r="A6339" s="400"/>
      <c r="B6339" s="709">
        <v>97485</v>
      </c>
      <c r="C6339" s="710" t="s">
        <v>13922</v>
      </c>
      <c r="D6339" s="709" t="s">
        <v>136</v>
      </c>
      <c r="E6339" s="716">
        <v>215.01</v>
      </c>
      <c r="F6339" s="717">
        <v>0</v>
      </c>
      <c r="G6339">
        <f>VLOOKUP(B6339,'SINAPI-%MO'!B:E,4,0)</f>
        <v>0.17130000000000001</v>
      </c>
      <c r="H6339" s="225">
        <f t="shared" si="98"/>
        <v>178.17</v>
      </c>
    </row>
    <row r="6340" spans="1:8" x14ac:dyDescent="0.3">
      <c r="A6340" s="400"/>
      <c r="B6340" s="709">
        <v>97523</v>
      </c>
      <c r="C6340" s="710" t="s">
        <v>13923</v>
      </c>
      <c r="D6340" s="709" t="s">
        <v>136</v>
      </c>
      <c r="E6340" s="716">
        <v>200.84</v>
      </c>
      <c r="F6340" s="717">
        <v>0</v>
      </c>
      <c r="G6340">
        <f>VLOOKUP(B6340,'SINAPI-%MO'!B:E,4,0)</f>
        <v>0.1128</v>
      </c>
      <c r="H6340" s="225">
        <f t="shared" si="98"/>
        <v>178.18</v>
      </c>
    </row>
    <row r="6341" spans="1:8" x14ac:dyDescent="0.3">
      <c r="A6341" s="400"/>
      <c r="B6341" s="709">
        <v>97454</v>
      </c>
      <c r="C6341" s="710" t="s">
        <v>13924</v>
      </c>
      <c r="D6341" s="709" t="s">
        <v>136</v>
      </c>
      <c r="E6341" s="716">
        <v>424.46</v>
      </c>
      <c r="F6341" s="717">
        <v>0</v>
      </c>
      <c r="G6341">
        <f>VLOOKUP(B6341,'SINAPI-%MO'!B:E,4,0)</f>
        <v>0.1628</v>
      </c>
      <c r="H6341" s="225">
        <f t="shared" si="98"/>
        <v>355.35</v>
      </c>
    </row>
    <row r="6342" spans="1:8" x14ac:dyDescent="0.3">
      <c r="A6342" s="400"/>
      <c r="B6342" s="709">
        <v>97487</v>
      </c>
      <c r="C6342" s="710" t="s">
        <v>13925</v>
      </c>
      <c r="D6342" s="709" t="s">
        <v>136</v>
      </c>
      <c r="E6342" s="716">
        <v>402.92</v>
      </c>
      <c r="F6342" s="717">
        <v>0</v>
      </c>
      <c r="G6342">
        <f>VLOOKUP(B6342,'SINAPI-%MO'!B:E,4,0)</f>
        <v>0.1181</v>
      </c>
      <c r="H6342" s="225">
        <f t="shared" si="98"/>
        <v>355.33</v>
      </c>
    </row>
    <row r="6343" spans="1:8" x14ac:dyDescent="0.3">
      <c r="A6343" s="400"/>
      <c r="B6343" s="709">
        <v>97525</v>
      </c>
      <c r="C6343" s="710" t="s">
        <v>13926</v>
      </c>
      <c r="D6343" s="709" t="s">
        <v>136</v>
      </c>
      <c r="E6343" s="716">
        <v>382.55</v>
      </c>
      <c r="F6343" s="717">
        <v>0</v>
      </c>
      <c r="G6343">
        <f>VLOOKUP(B6343,'SINAPI-%MO'!B:E,4,0)</f>
        <v>7.1099999999999997E-2</v>
      </c>
      <c r="H6343" s="225">
        <f t="shared" si="98"/>
        <v>355.35</v>
      </c>
    </row>
    <row r="6344" spans="1:8" x14ac:dyDescent="0.3">
      <c r="A6344" s="400"/>
      <c r="B6344" s="709">
        <v>97456</v>
      </c>
      <c r="C6344" s="710" t="s">
        <v>13927</v>
      </c>
      <c r="D6344" s="709" t="s">
        <v>136</v>
      </c>
      <c r="E6344" s="716">
        <v>988.34</v>
      </c>
      <c r="F6344" s="717">
        <v>0</v>
      </c>
      <c r="G6344">
        <f>VLOOKUP(B6344,'SINAPI-%MO'!B:E,4,0)</f>
        <v>7.1800000000000003E-2</v>
      </c>
      <c r="H6344" s="225">
        <f t="shared" si="98"/>
        <v>917.37</v>
      </c>
    </row>
    <row r="6345" spans="1:8" x14ac:dyDescent="0.3">
      <c r="A6345" s="400"/>
      <c r="B6345" s="709">
        <v>97489</v>
      </c>
      <c r="C6345" s="710" t="s">
        <v>13928</v>
      </c>
      <c r="D6345" s="709" t="s">
        <v>136</v>
      </c>
      <c r="E6345" s="716">
        <v>975.73</v>
      </c>
      <c r="F6345" s="717">
        <v>0</v>
      </c>
      <c r="G6345">
        <f>VLOOKUP(B6345,'SINAPI-%MO'!B:E,4,0)</f>
        <v>5.9799999999999999E-2</v>
      </c>
      <c r="H6345" s="225">
        <f t="shared" si="98"/>
        <v>917.38</v>
      </c>
    </row>
    <row r="6346" spans="1:8" x14ac:dyDescent="0.3">
      <c r="A6346" s="400"/>
      <c r="B6346" s="709">
        <v>97527</v>
      </c>
      <c r="C6346" s="710" t="s">
        <v>13929</v>
      </c>
      <c r="D6346" s="709" t="s">
        <v>136</v>
      </c>
      <c r="E6346" s="716">
        <v>949.14</v>
      </c>
      <c r="F6346" s="717">
        <v>0</v>
      </c>
      <c r="G6346">
        <f>VLOOKUP(B6346,'SINAPI-%MO'!B:E,4,0)</f>
        <v>3.3500000000000002E-2</v>
      </c>
      <c r="H6346" s="225">
        <f t="shared" si="98"/>
        <v>917.34</v>
      </c>
    </row>
    <row r="6347" spans="1:8" x14ac:dyDescent="0.3">
      <c r="A6347" s="400"/>
      <c r="B6347" s="709">
        <v>97434</v>
      </c>
      <c r="C6347" s="710" t="s">
        <v>13930</v>
      </c>
      <c r="D6347" s="709" t="s">
        <v>136</v>
      </c>
      <c r="E6347" s="716">
        <v>100.81</v>
      </c>
      <c r="F6347" s="717">
        <v>0.66920000000000002</v>
      </c>
      <c r="G6347">
        <f>VLOOKUP(B6347,'SINAPI-%MO'!B:E,4,0)</f>
        <v>0.33</v>
      </c>
      <c r="H6347" s="225">
        <f t="shared" ref="H6347:H6410" si="99">IF(E6347&gt;0,TRUNC(E6347*(1-G6347),2),"")</f>
        <v>67.540000000000006</v>
      </c>
    </row>
    <row r="6348" spans="1:8" x14ac:dyDescent="0.3">
      <c r="A6348" s="400"/>
      <c r="B6348" s="709">
        <v>97436</v>
      </c>
      <c r="C6348" s="710" t="s">
        <v>13931</v>
      </c>
      <c r="D6348" s="709" t="s">
        <v>136</v>
      </c>
      <c r="E6348" s="716">
        <v>115.13</v>
      </c>
      <c r="F6348" s="717">
        <v>0.70009999999999994</v>
      </c>
      <c r="G6348">
        <f>VLOOKUP(B6348,'SINAPI-%MO'!B:E,4,0)</f>
        <v>0.29880000000000001</v>
      </c>
      <c r="H6348" s="225">
        <f t="shared" si="99"/>
        <v>80.72</v>
      </c>
    </row>
    <row r="6349" spans="1:8" x14ac:dyDescent="0.3">
      <c r="A6349" s="400"/>
      <c r="B6349" s="709">
        <v>97438</v>
      </c>
      <c r="C6349" s="710" t="s">
        <v>13932</v>
      </c>
      <c r="D6349" s="709" t="s">
        <v>136</v>
      </c>
      <c r="E6349" s="716">
        <v>127.95</v>
      </c>
      <c r="F6349" s="717">
        <v>0.7208</v>
      </c>
      <c r="G6349">
        <f>VLOOKUP(B6349,'SINAPI-%MO'!B:E,4,0)</f>
        <v>0.27779999999999999</v>
      </c>
      <c r="H6349" s="225">
        <f t="shared" si="99"/>
        <v>92.4</v>
      </c>
    </row>
    <row r="6350" spans="1:8" x14ac:dyDescent="0.3">
      <c r="A6350" s="400"/>
      <c r="B6350" s="709">
        <v>97547</v>
      </c>
      <c r="C6350" s="710" t="s">
        <v>13933</v>
      </c>
      <c r="D6350" s="709" t="s">
        <v>136</v>
      </c>
      <c r="E6350" s="716">
        <v>44.73</v>
      </c>
      <c r="F6350" s="717">
        <v>0</v>
      </c>
      <c r="G6350">
        <f>VLOOKUP(B6350,'SINAPI-%MO'!B:E,4,0)</f>
        <v>0.33329999999999999</v>
      </c>
      <c r="H6350" s="225">
        <f t="shared" si="99"/>
        <v>29.82</v>
      </c>
    </row>
    <row r="6351" spans="1:8" x14ac:dyDescent="0.3">
      <c r="A6351" s="400"/>
      <c r="B6351" s="709">
        <v>97549</v>
      </c>
      <c r="C6351" s="710" t="s">
        <v>13934</v>
      </c>
      <c r="D6351" s="709" t="s">
        <v>136</v>
      </c>
      <c r="E6351" s="716">
        <v>65.33</v>
      </c>
      <c r="F6351" s="717">
        <v>0</v>
      </c>
      <c r="G6351">
        <f>VLOOKUP(B6351,'SINAPI-%MO'!B:E,4,0)</f>
        <v>0.39169999999999999</v>
      </c>
      <c r="H6351" s="225">
        <f t="shared" si="99"/>
        <v>39.74</v>
      </c>
    </row>
    <row r="6352" spans="1:8" x14ac:dyDescent="0.3">
      <c r="A6352" s="400"/>
      <c r="B6352" s="709">
        <v>97551</v>
      </c>
      <c r="C6352" s="710" t="s">
        <v>13935</v>
      </c>
      <c r="D6352" s="709" t="s">
        <v>136</v>
      </c>
      <c r="E6352" s="716">
        <v>106.24</v>
      </c>
      <c r="F6352" s="717">
        <v>0</v>
      </c>
      <c r="G6352">
        <f>VLOOKUP(B6352,'SINAPI-%MO'!B:E,4,0)</f>
        <v>0.46850000000000003</v>
      </c>
      <c r="H6352" s="225">
        <f t="shared" si="99"/>
        <v>56.46</v>
      </c>
    </row>
    <row r="6353" spans="1:8" x14ac:dyDescent="0.3">
      <c r="A6353" s="400"/>
      <c r="B6353" s="709">
        <v>97480</v>
      </c>
      <c r="C6353" s="710" t="s">
        <v>13936</v>
      </c>
      <c r="D6353" s="709" t="s">
        <v>136</v>
      </c>
      <c r="E6353" s="716">
        <v>75.37</v>
      </c>
      <c r="F6353" s="717">
        <v>0</v>
      </c>
      <c r="G6353">
        <f>VLOOKUP(B6353,'SINAPI-%MO'!B:E,4,0)</f>
        <v>0.25080000000000002</v>
      </c>
      <c r="H6353" s="225">
        <f t="shared" si="99"/>
        <v>56.46</v>
      </c>
    </row>
    <row r="6354" spans="1:8" x14ac:dyDescent="0.3">
      <c r="A6354" s="400"/>
      <c r="B6354" s="709">
        <v>97518</v>
      </c>
      <c r="C6354" s="710" t="s">
        <v>13937</v>
      </c>
      <c r="D6354" s="709" t="s">
        <v>136</v>
      </c>
      <c r="E6354" s="716">
        <v>71.55</v>
      </c>
      <c r="F6354" s="717">
        <v>0</v>
      </c>
      <c r="G6354">
        <f>VLOOKUP(B6354,'SINAPI-%MO'!B:E,4,0)</f>
        <v>0.21079999999999999</v>
      </c>
      <c r="H6354" s="225">
        <f t="shared" si="99"/>
        <v>56.46</v>
      </c>
    </row>
    <row r="6355" spans="1:8" x14ac:dyDescent="0.3">
      <c r="A6355" s="400"/>
      <c r="B6355" s="709">
        <v>97482</v>
      </c>
      <c r="C6355" s="710" t="s">
        <v>13938</v>
      </c>
      <c r="D6355" s="709" t="s">
        <v>136</v>
      </c>
      <c r="E6355" s="716">
        <v>110.03</v>
      </c>
      <c r="F6355" s="717">
        <v>0</v>
      </c>
      <c r="G6355">
        <f>VLOOKUP(B6355,'SINAPI-%MO'!B:E,4,0)</f>
        <v>0.21729999999999999</v>
      </c>
      <c r="H6355" s="225">
        <f t="shared" si="99"/>
        <v>86.12</v>
      </c>
    </row>
    <row r="6356" spans="1:8" x14ac:dyDescent="0.3">
      <c r="A6356" s="400"/>
      <c r="B6356" s="709">
        <v>97520</v>
      </c>
      <c r="C6356" s="710" t="s">
        <v>13939</v>
      </c>
      <c r="D6356" s="709" t="s">
        <v>136</v>
      </c>
      <c r="E6356" s="716">
        <v>103.33</v>
      </c>
      <c r="F6356" s="717">
        <v>0</v>
      </c>
      <c r="G6356">
        <f>VLOOKUP(B6356,'SINAPI-%MO'!B:E,4,0)</f>
        <v>0.1666</v>
      </c>
      <c r="H6356" s="225">
        <f t="shared" si="99"/>
        <v>86.11</v>
      </c>
    </row>
    <row r="6357" spans="1:8" x14ac:dyDescent="0.3">
      <c r="A6357" s="400"/>
      <c r="B6357" s="709">
        <v>97484</v>
      </c>
      <c r="C6357" s="710" t="s">
        <v>13940</v>
      </c>
      <c r="D6357" s="709" t="s">
        <v>136</v>
      </c>
      <c r="E6357" s="716">
        <v>155.07</v>
      </c>
      <c r="F6357" s="717">
        <v>0</v>
      </c>
      <c r="G6357">
        <f>VLOOKUP(B6357,'SINAPI-%MO'!B:E,4,0)</f>
        <v>0.1913</v>
      </c>
      <c r="H6357" s="225">
        <f t="shared" si="99"/>
        <v>125.4</v>
      </c>
    </row>
    <row r="6358" spans="1:8" x14ac:dyDescent="0.3">
      <c r="A6358" s="400"/>
      <c r="B6358" s="709">
        <v>97522</v>
      </c>
      <c r="C6358" s="710" t="s">
        <v>13941</v>
      </c>
      <c r="D6358" s="709" t="s">
        <v>136</v>
      </c>
      <c r="E6358" s="716">
        <v>145.05000000000001</v>
      </c>
      <c r="F6358" s="717">
        <v>0</v>
      </c>
      <c r="G6358">
        <f>VLOOKUP(B6358,'SINAPI-%MO'!B:E,4,0)</f>
        <v>0.13539999999999999</v>
      </c>
      <c r="H6358" s="225">
        <f t="shared" si="99"/>
        <v>125.41</v>
      </c>
    </row>
    <row r="6359" spans="1:8" x14ac:dyDescent="0.3">
      <c r="A6359" s="400"/>
      <c r="B6359" s="709">
        <v>97453</v>
      </c>
      <c r="C6359" s="710" t="s">
        <v>13942</v>
      </c>
      <c r="D6359" s="709" t="s">
        <v>136</v>
      </c>
      <c r="E6359" s="716">
        <v>261.8</v>
      </c>
      <c r="F6359" s="717">
        <v>0</v>
      </c>
      <c r="G6359">
        <f>VLOOKUP(B6359,'SINAPI-%MO'!B:E,4,0)</f>
        <v>0.2571</v>
      </c>
      <c r="H6359" s="225">
        <f t="shared" si="99"/>
        <v>194.49</v>
      </c>
    </row>
    <row r="6360" spans="1:8" x14ac:dyDescent="0.3">
      <c r="A6360" s="400"/>
      <c r="B6360" s="709">
        <v>97486</v>
      </c>
      <c r="C6360" s="710" t="s">
        <v>13943</v>
      </c>
      <c r="D6360" s="709" t="s">
        <v>136</v>
      </c>
      <c r="E6360" s="716">
        <v>231.33</v>
      </c>
      <c r="F6360" s="717">
        <v>0</v>
      </c>
      <c r="G6360">
        <f>VLOOKUP(B6360,'SINAPI-%MO'!B:E,4,0)</f>
        <v>0.15920000000000001</v>
      </c>
      <c r="H6360" s="225">
        <f t="shared" si="99"/>
        <v>194.5</v>
      </c>
    </row>
    <row r="6361" spans="1:8" x14ac:dyDescent="0.3">
      <c r="A6361" s="400"/>
      <c r="B6361" s="709">
        <v>97524</v>
      </c>
      <c r="C6361" s="710" t="s">
        <v>13944</v>
      </c>
      <c r="D6361" s="709" t="s">
        <v>136</v>
      </c>
      <c r="E6361" s="716">
        <v>217.16</v>
      </c>
      <c r="F6361" s="717">
        <v>0</v>
      </c>
      <c r="G6361">
        <f>VLOOKUP(B6361,'SINAPI-%MO'!B:E,4,0)</f>
        <v>0.1043</v>
      </c>
      <c r="H6361" s="225">
        <f t="shared" si="99"/>
        <v>194.51</v>
      </c>
    </row>
    <row r="6362" spans="1:8" x14ac:dyDescent="0.3">
      <c r="A6362" s="400"/>
      <c r="B6362" s="709">
        <v>97455</v>
      </c>
      <c r="C6362" s="710" t="s">
        <v>13945</v>
      </c>
      <c r="D6362" s="709" t="s">
        <v>136</v>
      </c>
      <c r="E6362" s="716">
        <v>450.56</v>
      </c>
      <c r="F6362" s="717">
        <v>0</v>
      </c>
      <c r="G6362">
        <f>VLOOKUP(B6362,'SINAPI-%MO'!B:E,4,0)</f>
        <v>0.15340000000000001</v>
      </c>
      <c r="H6362" s="225">
        <f t="shared" si="99"/>
        <v>381.44</v>
      </c>
    </row>
    <row r="6363" spans="1:8" x14ac:dyDescent="0.3">
      <c r="A6363" s="400"/>
      <c r="B6363" s="709">
        <v>97488</v>
      </c>
      <c r="C6363" s="710" t="s">
        <v>13946</v>
      </c>
      <c r="D6363" s="709" t="s">
        <v>136</v>
      </c>
      <c r="E6363" s="716">
        <v>429.02</v>
      </c>
      <c r="F6363" s="717">
        <v>0</v>
      </c>
      <c r="G6363">
        <f>VLOOKUP(B6363,'SINAPI-%MO'!B:E,4,0)</f>
        <v>0.1109</v>
      </c>
      <c r="H6363" s="225">
        <f t="shared" si="99"/>
        <v>381.44</v>
      </c>
    </row>
    <row r="6364" spans="1:8" x14ac:dyDescent="0.3">
      <c r="A6364" s="400"/>
      <c r="B6364" s="709">
        <v>97526</v>
      </c>
      <c r="C6364" s="710" t="s">
        <v>13947</v>
      </c>
      <c r="D6364" s="709" t="s">
        <v>136</v>
      </c>
      <c r="E6364" s="716">
        <v>408.65</v>
      </c>
      <c r="F6364" s="717">
        <v>0</v>
      </c>
      <c r="G6364">
        <f>VLOOKUP(B6364,'SINAPI-%MO'!B:E,4,0)</f>
        <v>6.6600000000000006E-2</v>
      </c>
      <c r="H6364" s="225">
        <f t="shared" si="99"/>
        <v>381.43</v>
      </c>
    </row>
    <row r="6365" spans="1:8" x14ac:dyDescent="0.3">
      <c r="A6365" s="400"/>
      <c r="B6365" s="709">
        <v>97457</v>
      </c>
      <c r="C6365" s="710" t="s">
        <v>13948</v>
      </c>
      <c r="D6365" s="709" t="s">
        <v>136</v>
      </c>
      <c r="E6365" s="716">
        <v>871.28</v>
      </c>
      <c r="F6365" s="717">
        <v>0</v>
      </c>
      <c r="G6365">
        <f>VLOOKUP(B6365,'SINAPI-%MO'!B:E,4,0)</f>
        <v>8.14E-2</v>
      </c>
      <c r="H6365" s="225">
        <f t="shared" si="99"/>
        <v>800.35</v>
      </c>
    </row>
    <row r="6366" spans="1:8" x14ac:dyDescent="0.3">
      <c r="A6366" s="400"/>
      <c r="B6366" s="709">
        <v>97490</v>
      </c>
      <c r="C6366" s="710" t="s">
        <v>13949</v>
      </c>
      <c r="D6366" s="709" t="s">
        <v>136</v>
      </c>
      <c r="E6366" s="716">
        <v>858.67</v>
      </c>
      <c r="F6366" s="717">
        <v>0</v>
      </c>
      <c r="G6366">
        <f>VLOOKUP(B6366,'SINAPI-%MO'!B:E,4,0)</f>
        <v>6.7900000000000002E-2</v>
      </c>
      <c r="H6366" s="225">
        <f t="shared" si="99"/>
        <v>800.36</v>
      </c>
    </row>
    <row r="6367" spans="1:8" x14ac:dyDescent="0.3">
      <c r="A6367" s="400"/>
      <c r="B6367" s="709">
        <v>97528</v>
      </c>
      <c r="C6367" s="710" t="s">
        <v>13950</v>
      </c>
      <c r="D6367" s="709" t="s">
        <v>136</v>
      </c>
      <c r="E6367" s="716">
        <v>832.08</v>
      </c>
      <c r="F6367" s="717">
        <v>0</v>
      </c>
      <c r="G6367">
        <f>VLOOKUP(B6367,'SINAPI-%MO'!B:E,4,0)</f>
        <v>3.8199999999999998E-2</v>
      </c>
      <c r="H6367" s="225">
        <f t="shared" si="99"/>
        <v>800.29</v>
      </c>
    </row>
    <row r="6368" spans="1:8" x14ac:dyDescent="0.3">
      <c r="A6368" s="400"/>
      <c r="B6368" s="709">
        <v>101906</v>
      </c>
      <c r="C6368" s="710" t="s">
        <v>13951</v>
      </c>
      <c r="D6368" s="709" t="s">
        <v>136</v>
      </c>
      <c r="E6368" s="716">
        <v>656.19</v>
      </c>
      <c r="F6368" s="717">
        <v>1.8E-3</v>
      </c>
      <c r="G6368">
        <f>VLOOKUP(B6368,'SINAPI-%MO'!B:E,4,0)</f>
        <v>3.7699999999999997E-2</v>
      </c>
      <c r="H6368" s="225">
        <f t="shared" si="99"/>
        <v>631.45000000000005</v>
      </c>
    </row>
    <row r="6369" spans="1:8" x14ac:dyDescent="0.3">
      <c r="A6369" s="400"/>
      <c r="B6369" s="709">
        <v>101907</v>
      </c>
      <c r="C6369" s="710" t="s">
        <v>13952</v>
      </c>
      <c r="D6369" s="709" t="s">
        <v>136</v>
      </c>
      <c r="E6369" s="716">
        <v>708.72</v>
      </c>
      <c r="F6369" s="717">
        <v>1.6999999999999999E-3</v>
      </c>
      <c r="G6369">
        <f>VLOOKUP(B6369,'SINAPI-%MO'!B:E,4,0)</f>
        <v>3.5000000000000003E-2</v>
      </c>
      <c r="H6369" s="225">
        <f t="shared" si="99"/>
        <v>683.91</v>
      </c>
    </row>
    <row r="6370" spans="1:8" x14ac:dyDescent="0.3">
      <c r="A6370" s="400"/>
      <c r="B6370" s="709">
        <v>101911</v>
      </c>
      <c r="C6370" s="710" t="s">
        <v>13953</v>
      </c>
      <c r="D6370" s="709" t="s">
        <v>136</v>
      </c>
      <c r="E6370" s="716">
        <v>341.07</v>
      </c>
      <c r="F6370" s="717">
        <v>3.5000000000000001E-3</v>
      </c>
      <c r="G6370">
        <f>VLOOKUP(B6370,'SINAPI-%MO'!B:E,4,0)</f>
        <v>7.2599999999999998E-2</v>
      </c>
      <c r="H6370" s="225">
        <f t="shared" si="99"/>
        <v>316.3</v>
      </c>
    </row>
    <row r="6371" spans="1:8" x14ac:dyDescent="0.3">
      <c r="A6371" s="400"/>
      <c r="B6371" s="709">
        <v>101908</v>
      </c>
      <c r="C6371" s="710" t="s">
        <v>13954</v>
      </c>
      <c r="D6371" s="709" t="s">
        <v>136</v>
      </c>
      <c r="E6371" s="716">
        <v>218.52</v>
      </c>
      <c r="F6371" s="717">
        <v>5.4000000000000003E-3</v>
      </c>
      <c r="G6371">
        <f>VLOOKUP(B6371,'SINAPI-%MO'!B:E,4,0)</f>
        <v>0.1134</v>
      </c>
      <c r="H6371" s="225">
        <f t="shared" si="99"/>
        <v>193.73</v>
      </c>
    </row>
    <row r="6372" spans="1:8" x14ac:dyDescent="0.3">
      <c r="A6372" s="400"/>
      <c r="B6372" s="709">
        <v>101909</v>
      </c>
      <c r="C6372" s="710" t="s">
        <v>13955</v>
      </c>
      <c r="D6372" s="709" t="s">
        <v>136</v>
      </c>
      <c r="E6372" s="716">
        <v>253.54</v>
      </c>
      <c r="F6372" s="717">
        <v>4.7000000000000002E-3</v>
      </c>
      <c r="G6372">
        <f>VLOOKUP(B6372,'SINAPI-%MO'!B:E,4,0)</f>
        <v>9.7699999999999995E-2</v>
      </c>
      <c r="H6372" s="225">
        <f t="shared" si="99"/>
        <v>228.76</v>
      </c>
    </row>
    <row r="6373" spans="1:8" x14ac:dyDescent="0.3">
      <c r="A6373" s="400"/>
      <c r="B6373" s="709">
        <v>101910</v>
      </c>
      <c r="C6373" s="710" t="s">
        <v>13956</v>
      </c>
      <c r="D6373" s="709" t="s">
        <v>136</v>
      </c>
      <c r="E6373" s="716">
        <v>297.3</v>
      </c>
      <c r="F6373" s="717">
        <v>4.0000000000000001E-3</v>
      </c>
      <c r="G6373">
        <f>VLOOKUP(B6373,'SINAPI-%MO'!B:E,4,0)</f>
        <v>8.3299999999999999E-2</v>
      </c>
      <c r="H6373" s="225">
        <f t="shared" si="99"/>
        <v>272.52999999999997</v>
      </c>
    </row>
    <row r="6374" spans="1:8" x14ac:dyDescent="0.3">
      <c r="A6374" s="400"/>
      <c r="B6374" s="709">
        <v>101905</v>
      </c>
      <c r="C6374" s="710" t="s">
        <v>13957</v>
      </c>
      <c r="D6374" s="709" t="s">
        <v>136</v>
      </c>
      <c r="E6374" s="716">
        <v>225.09</v>
      </c>
      <c r="F6374" s="717">
        <v>5.1999999999999998E-3</v>
      </c>
      <c r="G6374">
        <f>VLOOKUP(B6374,'SINAPI-%MO'!B:E,4,0)</f>
        <v>0.11</v>
      </c>
      <c r="H6374" s="225">
        <f t="shared" si="99"/>
        <v>200.33</v>
      </c>
    </row>
    <row r="6375" spans="1:8" x14ac:dyDescent="0.3">
      <c r="A6375" s="400"/>
      <c r="B6375" s="709">
        <v>92698</v>
      </c>
      <c r="C6375" s="710" t="s">
        <v>13958</v>
      </c>
      <c r="D6375" s="709" t="s">
        <v>136</v>
      </c>
      <c r="E6375" s="716">
        <v>20.84</v>
      </c>
      <c r="F6375" s="717">
        <v>0</v>
      </c>
      <c r="G6375">
        <f>VLOOKUP(B6375,'SINAPI-%MO'!B:E,4,0)</f>
        <v>0.67420000000000002</v>
      </c>
      <c r="H6375" s="225">
        <f t="shared" si="99"/>
        <v>6.78</v>
      </c>
    </row>
    <row r="6376" spans="1:8" x14ac:dyDescent="0.3">
      <c r="A6376" s="400"/>
      <c r="B6376" s="709">
        <v>92700</v>
      </c>
      <c r="C6376" s="710" t="s">
        <v>13959</v>
      </c>
      <c r="D6376" s="709" t="s">
        <v>136</v>
      </c>
      <c r="E6376" s="716">
        <v>34.200000000000003</v>
      </c>
      <c r="F6376" s="717">
        <v>0</v>
      </c>
      <c r="G6376">
        <f>VLOOKUP(B6376,'SINAPI-%MO'!B:E,4,0)</f>
        <v>0.70469999999999999</v>
      </c>
      <c r="H6376" s="225">
        <f t="shared" si="99"/>
        <v>10.09</v>
      </c>
    </row>
    <row r="6377" spans="1:8" x14ac:dyDescent="0.3">
      <c r="A6377" s="400"/>
      <c r="B6377" s="709">
        <v>92702</v>
      </c>
      <c r="C6377" s="710" t="s">
        <v>13960</v>
      </c>
      <c r="D6377" s="709" t="s">
        <v>136</v>
      </c>
      <c r="E6377" s="716">
        <v>53.88</v>
      </c>
      <c r="F6377" s="717">
        <v>0</v>
      </c>
      <c r="G6377">
        <f>VLOOKUP(B6377,'SINAPI-%MO'!B:E,4,0)</f>
        <v>0.72770000000000001</v>
      </c>
      <c r="H6377" s="225">
        <f t="shared" si="99"/>
        <v>14.67</v>
      </c>
    </row>
    <row r="6378" spans="1:8" x14ac:dyDescent="0.3">
      <c r="A6378" s="400"/>
      <c r="B6378" s="709">
        <v>92669</v>
      </c>
      <c r="C6378" s="710" t="s">
        <v>13961</v>
      </c>
      <c r="D6378" s="709" t="s">
        <v>136</v>
      </c>
      <c r="E6378" s="716">
        <v>38.950000000000003</v>
      </c>
      <c r="F6378" s="717">
        <v>0</v>
      </c>
      <c r="G6378">
        <f>VLOOKUP(B6378,'SINAPI-%MO'!B:E,4,0)</f>
        <v>0.62339999999999995</v>
      </c>
      <c r="H6378" s="225">
        <f t="shared" si="99"/>
        <v>14.66</v>
      </c>
    </row>
    <row r="6379" spans="1:8" x14ac:dyDescent="0.3">
      <c r="A6379" s="400"/>
      <c r="B6379" s="709">
        <v>92671</v>
      </c>
      <c r="C6379" s="710" t="s">
        <v>13962</v>
      </c>
      <c r="D6379" s="709" t="s">
        <v>136</v>
      </c>
      <c r="E6379" s="716">
        <v>50.43</v>
      </c>
      <c r="F6379" s="717">
        <v>0</v>
      </c>
      <c r="G6379">
        <f>VLOOKUP(B6379,'SINAPI-%MO'!B:E,4,0)</f>
        <v>0.52980000000000005</v>
      </c>
      <c r="H6379" s="225">
        <f t="shared" si="99"/>
        <v>23.71</v>
      </c>
    </row>
    <row r="6380" spans="1:8" x14ac:dyDescent="0.3">
      <c r="A6380" s="400"/>
      <c r="B6380" s="709">
        <v>92673</v>
      </c>
      <c r="C6380" s="710" t="s">
        <v>13963</v>
      </c>
      <c r="D6380" s="709" t="s">
        <v>136</v>
      </c>
      <c r="E6380" s="716">
        <v>58.51</v>
      </c>
      <c r="F6380" s="717">
        <v>0</v>
      </c>
      <c r="G6380">
        <f>VLOOKUP(B6380,'SINAPI-%MO'!B:E,4,0)</f>
        <v>0.50419999999999998</v>
      </c>
      <c r="H6380" s="225">
        <f t="shared" si="99"/>
        <v>29</v>
      </c>
    </row>
    <row r="6381" spans="1:8" x14ac:dyDescent="0.3">
      <c r="A6381" s="400"/>
      <c r="B6381" s="709">
        <v>92675</v>
      </c>
      <c r="C6381" s="710" t="s">
        <v>13964</v>
      </c>
      <c r="D6381" s="709" t="s">
        <v>136</v>
      </c>
      <c r="E6381" s="716">
        <v>75.08</v>
      </c>
      <c r="F6381" s="717">
        <v>0</v>
      </c>
      <c r="G6381">
        <f>VLOOKUP(B6381,'SINAPI-%MO'!B:E,4,0)</f>
        <v>0.43930000000000002</v>
      </c>
      <c r="H6381" s="225">
        <f t="shared" si="99"/>
        <v>42.09</v>
      </c>
    </row>
    <row r="6382" spans="1:8" x14ac:dyDescent="0.3">
      <c r="A6382" s="400"/>
      <c r="B6382" s="709">
        <v>92677</v>
      </c>
      <c r="C6382" s="710" t="s">
        <v>13965</v>
      </c>
      <c r="D6382" s="709" t="s">
        <v>136</v>
      </c>
      <c r="E6382" s="716">
        <v>119.14</v>
      </c>
      <c r="F6382" s="717">
        <v>0</v>
      </c>
      <c r="G6382">
        <f>VLOOKUP(B6382,'SINAPI-%MO'!B:E,4,0)</f>
        <v>0.3206</v>
      </c>
      <c r="H6382" s="225">
        <f t="shared" si="99"/>
        <v>80.94</v>
      </c>
    </row>
    <row r="6383" spans="1:8" x14ac:dyDescent="0.3">
      <c r="A6383" s="400"/>
      <c r="B6383" s="709">
        <v>92635</v>
      </c>
      <c r="C6383" s="710" t="s">
        <v>13966</v>
      </c>
      <c r="D6383" s="709" t="s">
        <v>136</v>
      </c>
      <c r="E6383" s="716">
        <v>188.94</v>
      </c>
      <c r="F6383" s="717">
        <v>0</v>
      </c>
      <c r="G6383">
        <f>VLOOKUP(B6383,'SINAPI-%MO'!B:E,4,0)</f>
        <v>0.37490000000000001</v>
      </c>
      <c r="H6383" s="225">
        <f t="shared" si="99"/>
        <v>118.1</v>
      </c>
    </row>
    <row r="6384" spans="1:8" x14ac:dyDescent="0.3">
      <c r="A6384" s="400"/>
      <c r="B6384" s="709">
        <v>92679</v>
      </c>
      <c r="C6384" s="710" t="s">
        <v>13967</v>
      </c>
      <c r="D6384" s="709" t="s">
        <v>136</v>
      </c>
      <c r="E6384" s="716">
        <v>161.52000000000001</v>
      </c>
      <c r="F6384" s="717">
        <v>0</v>
      </c>
      <c r="G6384">
        <f>VLOOKUP(B6384,'SINAPI-%MO'!B:E,4,0)</f>
        <v>0.26879999999999998</v>
      </c>
      <c r="H6384" s="225">
        <f t="shared" si="99"/>
        <v>118.1</v>
      </c>
    </row>
    <row r="6385" spans="1:8" x14ac:dyDescent="0.3">
      <c r="A6385" s="400"/>
      <c r="B6385" s="709">
        <v>92381</v>
      </c>
      <c r="C6385" s="710" t="s">
        <v>13968</v>
      </c>
      <c r="D6385" s="709" t="s">
        <v>136</v>
      </c>
      <c r="E6385" s="716">
        <v>52.16</v>
      </c>
      <c r="F6385" s="717">
        <v>0</v>
      </c>
      <c r="G6385">
        <f>VLOOKUP(B6385,'SINAPI-%MO'!B:E,4,0)</f>
        <v>0.71879999999999999</v>
      </c>
      <c r="H6385" s="225">
        <f t="shared" si="99"/>
        <v>14.66</v>
      </c>
    </row>
    <row r="6386" spans="1:8" x14ac:dyDescent="0.3">
      <c r="A6386" s="400"/>
      <c r="B6386" s="709">
        <v>92383</v>
      </c>
      <c r="C6386" s="710" t="s">
        <v>13969</v>
      </c>
      <c r="D6386" s="709" t="s">
        <v>136</v>
      </c>
      <c r="E6386" s="716">
        <v>65.45</v>
      </c>
      <c r="F6386" s="717">
        <v>0</v>
      </c>
      <c r="G6386">
        <f>VLOOKUP(B6386,'SINAPI-%MO'!B:E,4,0)</f>
        <v>0.63770000000000004</v>
      </c>
      <c r="H6386" s="225">
        <f t="shared" si="99"/>
        <v>23.71</v>
      </c>
    </row>
    <row r="6387" spans="1:8" x14ac:dyDescent="0.3">
      <c r="A6387" s="400"/>
      <c r="B6387" s="709">
        <v>92385</v>
      </c>
      <c r="C6387" s="710" t="s">
        <v>13970</v>
      </c>
      <c r="D6387" s="709" t="s">
        <v>136</v>
      </c>
      <c r="E6387" s="716">
        <v>75.59</v>
      </c>
      <c r="F6387" s="717">
        <v>0</v>
      </c>
      <c r="G6387">
        <f>VLOOKUP(B6387,'SINAPI-%MO'!B:E,4,0)</f>
        <v>0.61619999999999997</v>
      </c>
      <c r="H6387" s="225">
        <f t="shared" si="99"/>
        <v>29.01</v>
      </c>
    </row>
    <row r="6388" spans="1:8" x14ac:dyDescent="0.3">
      <c r="A6388" s="400"/>
      <c r="B6388" s="709">
        <v>92350</v>
      </c>
      <c r="C6388" s="710" t="s">
        <v>13971</v>
      </c>
      <c r="D6388" s="709" t="s">
        <v>136</v>
      </c>
      <c r="E6388" s="716">
        <v>100.15</v>
      </c>
      <c r="F6388" s="717">
        <v>0</v>
      </c>
      <c r="G6388">
        <f>VLOOKUP(B6388,'SINAPI-%MO'!B:E,4,0)</f>
        <v>0.5796</v>
      </c>
      <c r="H6388" s="225">
        <f t="shared" si="99"/>
        <v>42.1</v>
      </c>
    </row>
    <row r="6389" spans="1:8" x14ac:dyDescent="0.3">
      <c r="A6389" s="400"/>
      <c r="B6389" s="709">
        <v>92387</v>
      </c>
      <c r="C6389" s="710" t="s">
        <v>13972</v>
      </c>
      <c r="D6389" s="709" t="s">
        <v>136</v>
      </c>
      <c r="E6389" s="716">
        <v>94.75</v>
      </c>
      <c r="F6389" s="717">
        <v>0</v>
      </c>
      <c r="G6389">
        <f>VLOOKUP(B6389,'SINAPI-%MO'!B:E,4,0)</f>
        <v>0.55569999999999997</v>
      </c>
      <c r="H6389" s="225">
        <f t="shared" si="99"/>
        <v>42.09</v>
      </c>
    </row>
    <row r="6390" spans="1:8" x14ac:dyDescent="0.3">
      <c r="A6390" s="400"/>
      <c r="B6390" s="709">
        <v>92352</v>
      </c>
      <c r="C6390" s="710" t="s">
        <v>13973</v>
      </c>
      <c r="D6390" s="709" t="s">
        <v>136</v>
      </c>
      <c r="E6390" s="716">
        <v>142.79</v>
      </c>
      <c r="F6390" s="717">
        <v>0</v>
      </c>
      <c r="G6390">
        <f>VLOOKUP(B6390,'SINAPI-%MO'!B:E,4,0)</f>
        <v>0.43319999999999997</v>
      </c>
      <c r="H6390" s="225">
        <f t="shared" si="99"/>
        <v>80.930000000000007</v>
      </c>
    </row>
    <row r="6391" spans="1:8" x14ac:dyDescent="0.3">
      <c r="A6391" s="400"/>
      <c r="B6391" s="709">
        <v>92389</v>
      </c>
      <c r="C6391" s="710" t="s">
        <v>13974</v>
      </c>
      <c r="D6391" s="709" t="s">
        <v>136</v>
      </c>
      <c r="E6391" s="716">
        <v>142.68</v>
      </c>
      <c r="F6391" s="717">
        <v>0</v>
      </c>
      <c r="G6391">
        <f>VLOOKUP(B6391,'SINAPI-%MO'!B:E,4,0)</f>
        <v>0.43269999999999997</v>
      </c>
      <c r="H6391" s="225">
        <f t="shared" si="99"/>
        <v>80.94</v>
      </c>
    </row>
    <row r="6392" spans="1:8" x14ac:dyDescent="0.3">
      <c r="A6392" s="400"/>
      <c r="B6392" s="709">
        <v>92354</v>
      </c>
      <c r="C6392" s="710" t="s">
        <v>13975</v>
      </c>
      <c r="D6392" s="709" t="s">
        <v>136</v>
      </c>
      <c r="E6392" s="716">
        <v>183.74</v>
      </c>
      <c r="F6392" s="717">
        <v>0</v>
      </c>
      <c r="G6392">
        <f>VLOOKUP(B6392,'SINAPI-%MO'!B:E,4,0)</f>
        <v>0.35720000000000002</v>
      </c>
      <c r="H6392" s="225">
        <f t="shared" si="99"/>
        <v>118.1</v>
      </c>
    </row>
    <row r="6393" spans="1:8" x14ac:dyDescent="0.3">
      <c r="A6393" s="400"/>
      <c r="B6393" s="709">
        <v>92699</v>
      </c>
      <c r="C6393" s="710" t="s">
        <v>13976</v>
      </c>
      <c r="D6393" s="709" t="s">
        <v>136</v>
      </c>
      <c r="E6393" s="716">
        <v>19.78</v>
      </c>
      <c r="F6393" s="717">
        <v>0</v>
      </c>
      <c r="G6393">
        <f>VLOOKUP(B6393,'SINAPI-%MO'!B:E,4,0)</f>
        <v>0.71030000000000004</v>
      </c>
      <c r="H6393" s="225">
        <f t="shared" si="99"/>
        <v>5.73</v>
      </c>
    </row>
    <row r="6394" spans="1:8" x14ac:dyDescent="0.3">
      <c r="A6394" s="400"/>
      <c r="B6394" s="709">
        <v>92701</v>
      </c>
      <c r="C6394" s="710" t="s">
        <v>13977</v>
      </c>
      <c r="D6394" s="709" t="s">
        <v>136</v>
      </c>
      <c r="E6394" s="716">
        <v>32.619999999999997</v>
      </c>
      <c r="F6394" s="717">
        <v>0</v>
      </c>
      <c r="G6394">
        <f>VLOOKUP(B6394,'SINAPI-%MO'!B:E,4,0)</f>
        <v>0.73880000000000001</v>
      </c>
      <c r="H6394" s="225">
        <f t="shared" si="99"/>
        <v>8.52</v>
      </c>
    </row>
    <row r="6395" spans="1:8" x14ac:dyDescent="0.3">
      <c r="A6395" s="400"/>
      <c r="B6395" s="709">
        <v>92703</v>
      </c>
      <c r="C6395" s="710" t="s">
        <v>13978</v>
      </c>
      <c r="D6395" s="709" t="s">
        <v>136</v>
      </c>
      <c r="E6395" s="716">
        <v>51.93</v>
      </c>
      <c r="F6395" s="717">
        <v>0</v>
      </c>
      <c r="G6395">
        <f>VLOOKUP(B6395,'SINAPI-%MO'!B:E,4,0)</f>
        <v>0.75509999999999999</v>
      </c>
      <c r="H6395" s="225">
        <f t="shared" si="99"/>
        <v>12.71</v>
      </c>
    </row>
    <row r="6396" spans="1:8" x14ac:dyDescent="0.3">
      <c r="A6396" s="400"/>
      <c r="B6396" s="709">
        <v>92670</v>
      </c>
      <c r="C6396" s="710" t="s">
        <v>13979</v>
      </c>
      <c r="D6396" s="709" t="s">
        <v>136</v>
      </c>
      <c r="E6396" s="716">
        <v>37</v>
      </c>
      <c r="F6396" s="717">
        <v>0</v>
      </c>
      <c r="G6396">
        <f>VLOOKUP(B6396,'SINAPI-%MO'!B:E,4,0)</f>
        <v>0.65620000000000001</v>
      </c>
      <c r="H6396" s="225">
        <f t="shared" si="99"/>
        <v>12.72</v>
      </c>
    </row>
    <row r="6397" spans="1:8" x14ac:dyDescent="0.3">
      <c r="A6397" s="400"/>
      <c r="B6397" s="709">
        <v>92672</v>
      </c>
      <c r="C6397" s="710" t="s">
        <v>13980</v>
      </c>
      <c r="D6397" s="709" t="s">
        <v>136</v>
      </c>
      <c r="E6397" s="716">
        <v>46.56</v>
      </c>
      <c r="F6397" s="717">
        <v>0</v>
      </c>
      <c r="G6397">
        <f>VLOOKUP(B6397,'SINAPI-%MO'!B:E,4,0)</f>
        <v>0.57389999999999997</v>
      </c>
      <c r="H6397" s="225">
        <f t="shared" si="99"/>
        <v>19.829999999999998</v>
      </c>
    </row>
    <row r="6398" spans="1:8" x14ac:dyDescent="0.3">
      <c r="A6398" s="400"/>
      <c r="B6398" s="709">
        <v>92674</v>
      </c>
      <c r="C6398" s="710" t="s">
        <v>13981</v>
      </c>
      <c r="D6398" s="709" t="s">
        <v>136</v>
      </c>
      <c r="E6398" s="716">
        <v>55.84</v>
      </c>
      <c r="F6398" s="717">
        <v>0</v>
      </c>
      <c r="G6398">
        <f>VLOOKUP(B6398,'SINAPI-%MO'!B:E,4,0)</f>
        <v>0.52829999999999999</v>
      </c>
      <c r="H6398" s="225">
        <f t="shared" si="99"/>
        <v>26.33</v>
      </c>
    </row>
    <row r="6399" spans="1:8" x14ac:dyDescent="0.3">
      <c r="A6399" s="400"/>
      <c r="B6399" s="709">
        <v>92676</v>
      </c>
      <c r="C6399" s="710" t="s">
        <v>13982</v>
      </c>
      <c r="D6399" s="709" t="s">
        <v>136</v>
      </c>
      <c r="E6399" s="716">
        <v>73.260000000000005</v>
      </c>
      <c r="F6399" s="717">
        <v>0</v>
      </c>
      <c r="G6399">
        <f>VLOOKUP(B6399,'SINAPI-%MO'!B:E,4,0)</f>
        <v>0.45019999999999999</v>
      </c>
      <c r="H6399" s="225">
        <f t="shared" si="99"/>
        <v>40.270000000000003</v>
      </c>
    </row>
    <row r="6400" spans="1:8" x14ac:dyDescent="0.3">
      <c r="A6400" s="400"/>
      <c r="B6400" s="709">
        <v>92678</v>
      </c>
      <c r="C6400" s="710" t="s">
        <v>13983</v>
      </c>
      <c r="D6400" s="709" t="s">
        <v>136</v>
      </c>
      <c r="E6400" s="716">
        <v>111.15</v>
      </c>
      <c r="F6400" s="717">
        <v>0</v>
      </c>
      <c r="G6400">
        <f>VLOOKUP(B6400,'SINAPI-%MO'!B:E,4,0)</f>
        <v>0.34370000000000001</v>
      </c>
      <c r="H6400" s="225">
        <f t="shared" si="99"/>
        <v>72.94</v>
      </c>
    </row>
    <row r="6401" spans="1:8" x14ac:dyDescent="0.3">
      <c r="A6401" s="400"/>
      <c r="B6401" s="709">
        <v>92636</v>
      </c>
      <c r="C6401" s="710" t="s">
        <v>13984</v>
      </c>
      <c r="D6401" s="709" t="s">
        <v>136</v>
      </c>
      <c r="E6401" s="716">
        <v>173.54</v>
      </c>
      <c r="F6401" s="717">
        <v>0</v>
      </c>
      <c r="G6401">
        <f>VLOOKUP(B6401,'SINAPI-%MO'!B:E,4,0)</f>
        <v>0.40820000000000001</v>
      </c>
      <c r="H6401" s="225">
        <f t="shared" si="99"/>
        <v>102.7</v>
      </c>
    </row>
    <row r="6402" spans="1:8" x14ac:dyDescent="0.3">
      <c r="A6402" s="400"/>
      <c r="B6402" s="709">
        <v>92680</v>
      </c>
      <c r="C6402" s="710" t="s">
        <v>13985</v>
      </c>
      <c r="D6402" s="709" t="s">
        <v>136</v>
      </c>
      <c r="E6402" s="716">
        <v>146.12</v>
      </c>
      <c r="F6402" s="717">
        <v>0</v>
      </c>
      <c r="G6402">
        <f>VLOOKUP(B6402,'SINAPI-%MO'!B:E,4,0)</f>
        <v>0.29720000000000002</v>
      </c>
      <c r="H6402" s="225">
        <f t="shared" si="99"/>
        <v>102.69</v>
      </c>
    </row>
    <row r="6403" spans="1:8" x14ac:dyDescent="0.3">
      <c r="A6403" s="400"/>
      <c r="B6403" s="709">
        <v>92382</v>
      </c>
      <c r="C6403" s="710" t="s">
        <v>13986</v>
      </c>
      <c r="D6403" s="709" t="s">
        <v>136</v>
      </c>
      <c r="E6403" s="716">
        <v>50.21</v>
      </c>
      <c r="F6403" s="717">
        <v>0</v>
      </c>
      <c r="G6403">
        <f>VLOOKUP(B6403,'SINAPI-%MO'!B:E,4,0)</f>
        <v>0.74670000000000003</v>
      </c>
      <c r="H6403" s="225">
        <f t="shared" si="99"/>
        <v>12.71</v>
      </c>
    </row>
    <row r="6404" spans="1:8" x14ac:dyDescent="0.3">
      <c r="A6404" s="400"/>
      <c r="B6404" s="709">
        <v>92384</v>
      </c>
      <c r="C6404" s="710" t="s">
        <v>13987</v>
      </c>
      <c r="D6404" s="709" t="s">
        <v>136</v>
      </c>
      <c r="E6404" s="716">
        <v>61.58</v>
      </c>
      <c r="F6404" s="717">
        <v>0</v>
      </c>
      <c r="G6404">
        <f>VLOOKUP(B6404,'SINAPI-%MO'!B:E,4,0)</f>
        <v>0.67779999999999996</v>
      </c>
      <c r="H6404" s="225">
        <f t="shared" si="99"/>
        <v>19.84</v>
      </c>
    </row>
    <row r="6405" spans="1:8" x14ac:dyDescent="0.3">
      <c r="A6405" s="400"/>
      <c r="B6405" s="709">
        <v>92386</v>
      </c>
      <c r="C6405" s="710" t="s">
        <v>13988</v>
      </c>
      <c r="D6405" s="709" t="s">
        <v>136</v>
      </c>
      <c r="E6405" s="716">
        <v>72.92</v>
      </c>
      <c r="F6405" s="717">
        <v>0</v>
      </c>
      <c r="G6405">
        <f>VLOOKUP(B6405,'SINAPI-%MO'!B:E,4,0)</f>
        <v>0.63880000000000003</v>
      </c>
      <c r="H6405" s="225">
        <f t="shared" si="99"/>
        <v>26.33</v>
      </c>
    </row>
    <row r="6406" spans="1:8" x14ac:dyDescent="0.3">
      <c r="A6406" s="400"/>
      <c r="B6406" s="709">
        <v>92351</v>
      </c>
      <c r="C6406" s="710" t="s">
        <v>13989</v>
      </c>
      <c r="D6406" s="709" t="s">
        <v>136</v>
      </c>
      <c r="E6406" s="716">
        <v>98.33</v>
      </c>
      <c r="F6406" s="717">
        <v>0</v>
      </c>
      <c r="G6406">
        <f>VLOOKUP(B6406,'SINAPI-%MO'!B:E,4,0)</f>
        <v>0.59040000000000004</v>
      </c>
      <c r="H6406" s="225">
        <f t="shared" si="99"/>
        <v>40.270000000000003</v>
      </c>
    </row>
    <row r="6407" spans="1:8" x14ac:dyDescent="0.3">
      <c r="A6407" s="400"/>
      <c r="B6407" s="709">
        <v>92388</v>
      </c>
      <c r="C6407" s="710" t="s">
        <v>13990</v>
      </c>
      <c r="D6407" s="709" t="s">
        <v>136</v>
      </c>
      <c r="E6407" s="716">
        <v>92.93</v>
      </c>
      <c r="F6407" s="717">
        <v>0</v>
      </c>
      <c r="G6407">
        <f>VLOOKUP(B6407,'SINAPI-%MO'!B:E,4,0)</f>
        <v>0.56659999999999999</v>
      </c>
      <c r="H6407" s="225">
        <f t="shared" si="99"/>
        <v>40.270000000000003</v>
      </c>
    </row>
    <row r="6408" spans="1:8" x14ac:dyDescent="0.3">
      <c r="A6408" s="400"/>
      <c r="B6408" s="709">
        <v>92353</v>
      </c>
      <c r="C6408" s="710" t="s">
        <v>13991</v>
      </c>
      <c r="D6408" s="709" t="s">
        <v>136</v>
      </c>
      <c r="E6408" s="716">
        <v>134.80000000000001</v>
      </c>
      <c r="F6408" s="717">
        <v>0</v>
      </c>
      <c r="G6408">
        <f>VLOOKUP(B6408,'SINAPI-%MO'!B:E,4,0)</f>
        <v>0.45879999999999999</v>
      </c>
      <c r="H6408" s="225">
        <f t="shared" si="99"/>
        <v>72.95</v>
      </c>
    </row>
    <row r="6409" spans="1:8" x14ac:dyDescent="0.3">
      <c r="A6409" s="400"/>
      <c r="B6409" s="709">
        <v>92390</v>
      </c>
      <c r="C6409" s="710" t="s">
        <v>13992</v>
      </c>
      <c r="D6409" s="709" t="s">
        <v>136</v>
      </c>
      <c r="E6409" s="716">
        <v>134.69</v>
      </c>
      <c r="F6409" s="717">
        <v>0</v>
      </c>
      <c r="G6409">
        <f>VLOOKUP(B6409,'SINAPI-%MO'!B:E,4,0)</f>
        <v>0.45839999999999997</v>
      </c>
      <c r="H6409" s="225">
        <f t="shared" si="99"/>
        <v>72.94</v>
      </c>
    </row>
    <row r="6410" spans="1:8" x14ac:dyDescent="0.3">
      <c r="A6410" s="400"/>
      <c r="B6410" s="709">
        <v>92355</v>
      </c>
      <c r="C6410" s="710" t="s">
        <v>13993</v>
      </c>
      <c r="D6410" s="709" t="s">
        <v>136</v>
      </c>
      <c r="E6410" s="716">
        <v>168.34</v>
      </c>
      <c r="F6410" s="717">
        <v>0</v>
      </c>
      <c r="G6410">
        <f>VLOOKUP(B6410,'SINAPI-%MO'!B:E,4,0)</f>
        <v>0.38990000000000002</v>
      </c>
      <c r="H6410" s="225">
        <f t="shared" si="99"/>
        <v>102.7</v>
      </c>
    </row>
    <row r="6411" spans="1:8" x14ac:dyDescent="0.3">
      <c r="A6411" s="400"/>
      <c r="B6411" s="709">
        <v>101925</v>
      </c>
      <c r="C6411" s="710" t="s">
        <v>13994</v>
      </c>
      <c r="D6411" s="709" t="s">
        <v>136</v>
      </c>
      <c r="E6411" s="716">
        <v>265.43</v>
      </c>
      <c r="F6411" s="717">
        <v>0</v>
      </c>
      <c r="G6411">
        <f>VLOOKUP(B6411,'SINAPI-%MO'!B:E,4,0)</f>
        <v>0.26640000000000003</v>
      </c>
      <c r="H6411" s="225">
        <f t="shared" ref="H6411:H6474" si="100">IF(E6411&gt;0,TRUNC(E6411*(1-G6411),2),"")</f>
        <v>194.71</v>
      </c>
    </row>
    <row r="6412" spans="1:8" x14ac:dyDescent="0.3">
      <c r="A6412" s="400"/>
      <c r="B6412" s="709">
        <v>101934</v>
      </c>
      <c r="C6412" s="710" t="s">
        <v>13995</v>
      </c>
      <c r="D6412" s="709" t="s">
        <v>136</v>
      </c>
      <c r="E6412" s="716">
        <v>277.7</v>
      </c>
      <c r="F6412" s="717">
        <v>0</v>
      </c>
      <c r="G6412">
        <f>VLOOKUP(B6412,'SINAPI-%MO'!B:E,4,0)</f>
        <v>0.29880000000000001</v>
      </c>
      <c r="H6412" s="225">
        <f t="shared" si="100"/>
        <v>194.72</v>
      </c>
    </row>
    <row r="6413" spans="1:8" x14ac:dyDescent="0.3">
      <c r="A6413" s="400"/>
      <c r="B6413" s="709">
        <v>97541</v>
      </c>
      <c r="C6413" s="710" t="s">
        <v>13996</v>
      </c>
      <c r="D6413" s="709" t="s">
        <v>136</v>
      </c>
      <c r="E6413" s="716">
        <v>31.65</v>
      </c>
      <c r="F6413" s="717">
        <v>0</v>
      </c>
      <c r="G6413">
        <f>VLOOKUP(B6413,'SINAPI-%MO'!B:E,4,0)</f>
        <v>0.42620000000000002</v>
      </c>
      <c r="H6413" s="225">
        <f t="shared" si="100"/>
        <v>18.16</v>
      </c>
    </row>
    <row r="6414" spans="1:8" x14ac:dyDescent="0.3">
      <c r="A6414" s="400"/>
      <c r="B6414" s="709">
        <v>97462</v>
      </c>
      <c r="C6414" s="710" t="s">
        <v>13997</v>
      </c>
      <c r="D6414" s="709" t="s">
        <v>136</v>
      </c>
      <c r="E6414" s="716">
        <v>36.76</v>
      </c>
      <c r="F6414" s="717">
        <v>0</v>
      </c>
      <c r="G6414">
        <f>VLOOKUP(B6414,'SINAPI-%MO'!B:E,4,0)</f>
        <v>0.30980000000000002</v>
      </c>
      <c r="H6414" s="225">
        <f t="shared" si="100"/>
        <v>25.37</v>
      </c>
    </row>
    <row r="6415" spans="1:8" x14ac:dyDescent="0.3">
      <c r="A6415" s="400"/>
      <c r="B6415" s="709">
        <v>97544</v>
      </c>
      <c r="C6415" s="710" t="s">
        <v>13998</v>
      </c>
      <c r="D6415" s="709" t="s">
        <v>136</v>
      </c>
      <c r="E6415" s="716">
        <v>50.48</v>
      </c>
      <c r="F6415" s="717">
        <v>0</v>
      </c>
      <c r="G6415">
        <f>VLOOKUP(B6415,'SINAPI-%MO'!B:E,4,0)</f>
        <v>0.49740000000000001</v>
      </c>
      <c r="H6415" s="225">
        <f t="shared" si="100"/>
        <v>25.37</v>
      </c>
    </row>
    <row r="6416" spans="1:8" x14ac:dyDescent="0.3">
      <c r="A6416" s="400"/>
      <c r="B6416" s="709">
        <v>97500</v>
      </c>
      <c r="C6416" s="710" t="s">
        <v>13999</v>
      </c>
      <c r="D6416" s="709" t="s">
        <v>136</v>
      </c>
      <c r="E6416" s="716">
        <v>34.92</v>
      </c>
      <c r="F6416" s="717">
        <v>0</v>
      </c>
      <c r="G6416">
        <f>VLOOKUP(B6416,'SINAPI-%MO'!B:E,4,0)</f>
        <v>0.27350000000000002</v>
      </c>
      <c r="H6416" s="225">
        <f t="shared" si="100"/>
        <v>25.36</v>
      </c>
    </row>
    <row r="6417" spans="1:8" x14ac:dyDescent="0.3">
      <c r="A6417" s="400"/>
      <c r="B6417" s="709">
        <v>97465</v>
      </c>
      <c r="C6417" s="710" t="s">
        <v>14000</v>
      </c>
      <c r="D6417" s="709" t="s">
        <v>136</v>
      </c>
      <c r="E6417" s="716">
        <v>79.739999999999995</v>
      </c>
      <c r="F6417" s="717">
        <v>0</v>
      </c>
      <c r="G6417">
        <f>VLOOKUP(B6417,'SINAPI-%MO'!B:E,4,0)</f>
        <v>0.17879999999999999</v>
      </c>
      <c r="H6417" s="225">
        <f t="shared" si="100"/>
        <v>65.48</v>
      </c>
    </row>
    <row r="6418" spans="1:8" x14ac:dyDescent="0.3">
      <c r="A6418" s="400"/>
      <c r="B6418" s="709">
        <v>97503</v>
      </c>
      <c r="C6418" s="710" t="s">
        <v>14001</v>
      </c>
      <c r="D6418" s="709" t="s">
        <v>136</v>
      </c>
      <c r="E6418" s="716">
        <v>76.239999999999995</v>
      </c>
      <c r="F6418" s="717">
        <v>0</v>
      </c>
      <c r="G6418">
        <f>VLOOKUP(B6418,'SINAPI-%MO'!B:E,4,0)</f>
        <v>0.1411</v>
      </c>
      <c r="H6418" s="225">
        <f t="shared" si="100"/>
        <v>65.48</v>
      </c>
    </row>
    <row r="6419" spans="1:8" x14ac:dyDescent="0.3">
      <c r="A6419" s="400"/>
      <c r="B6419" s="709">
        <v>97468</v>
      </c>
      <c r="C6419" s="710" t="s">
        <v>14002</v>
      </c>
      <c r="D6419" s="709" t="s">
        <v>136</v>
      </c>
      <c r="E6419" s="716">
        <v>101.57</v>
      </c>
      <c r="F6419" s="717">
        <v>0</v>
      </c>
      <c r="G6419">
        <f>VLOOKUP(B6419,'SINAPI-%MO'!B:E,4,0)</f>
        <v>0.17560000000000001</v>
      </c>
      <c r="H6419" s="225">
        <f t="shared" si="100"/>
        <v>83.73</v>
      </c>
    </row>
    <row r="6420" spans="1:8" x14ac:dyDescent="0.3">
      <c r="A6420" s="400"/>
      <c r="B6420" s="709">
        <v>97506</v>
      </c>
      <c r="C6420" s="710" t="s">
        <v>14003</v>
      </c>
      <c r="D6420" s="709" t="s">
        <v>136</v>
      </c>
      <c r="E6420" s="716">
        <v>96.01</v>
      </c>
      <c r="F6420" s="717">
        <v>0</v>
      </c>
      <c r="G6420">
        <f>VLOOKUP(B6420,'SINAPI-%MO'!B:E,4,0)</f>
        <v>0.12790000000000001</v>
      </c>
      <c r="H6420" s="225">
        <f t="shared" si="100"/>
        <v>83.73</v>
      </c>
    </row>
    <row r="6421" spans="1:8" x14ac:dyDescent="0.3">
      <c r="A6421" s="400"/>
      <c r="B6421" s="709">
        <v>97444</v>
      </c>
      <c r="C6421" s="710" t="s">
        <v>14004</v>
      </c>
      <c r="D6421" s="709" t="s">
        <v>136</v>
      </c>
      <c r="E6421" s="716">
        <v>176.04</v>
      </c>
      <c r="F6421" s="717">
        <v>0</v>
      </c>
      <c r="G6421">
        <f>VLOOKUP(B6421,'SINAPI-%MO'!B:E,4,0)</f>
        <v>0.25259999999999999</v>
      </c>
      <c r="H6421" s="225">
        <f t="shared" si="100"/>
        <v>131.57</v>
      </c>
    </row>
    <row r="6422" spans="1:8" x14ac:dyDescent="0.3">
      <c r="A6422" s="400"/>
      <c r="B6422" s="709">
        <v>97471</v>
      </c>
      <c r="C6422" s="710" t="s">
        <v>14005</v>
      </c>
      <c r="D6422" s="709" t="s">
        <v>136</v>
      </c>
      <c r="E6422" s="716">
        <v>153.74</v>
      </c>
      <c r="F6422" s="717">
        <v>0</v>
      </c>
      <c r="G6422">
        <f>VLOOKUP(B6422,'SINAPI-%MO'!B:E,4,0)</f>
        <v>0.14410000000000001</v>
      </c>
      <c r="H6422" s="225">
        <f t="shared" si="100"/>
        <v>131.58000000000001</v>
      </c>
    </row>
    <row r="6423" spans="1:8" x14ac:dyDescent="0.3">
      <c r="A6423" s="400"/>
      <c r="B6423" s="709">
        <v>97509</v>
      </c>
      <c r="C6423" s="710" t="s">
        <v>14006</v>
      </c>
      <c r="D6423" s="709" t="s">
        <v>136</v>
      </c>
      <c r="E6423" s="716">
        <v>145.66999999999999</v>
      </c>
      <c r="F6423" s="717">
        <v>0</v>
      </c>
      <c r="G6423">
        <f>VLOOKUP(B6423,'SINAPI-%MO'!B:E,4,0)</f>
        <v>9.6699999999999994E-2</v>
      </c>
      <c r="H6423" s="225">
        <f t="shared" si="100"/>
        <v>131.58000000000001</v>
      </c>
    </row>
    <row r="6424" spans="1:8" x14ac:dyDescent="0.3">
      <c r="A6424" s="400"/>
      <c r="B6424" s="709">
        <v>97447</v>
      </c>
      <c r="C6424" s="710" t="s">
        <v>14007</v>
      </c>
      <c r="D6424" s="709" t="s">
        <v>136</v>
      </c>
      <c r="E6424" s="716">
        <v>309.31</v>
      </c>
      <c r="F6424" s="717">
        <v>0</v>
      </c>
      <c r="G6424">
        <f>VLOOKUP(B6424,'SINAPI-%MO'!B:E,4,0)</f>
        <v>0.14699999999999999</v>
      </c>
      <c r="H6424" s="225">
        <f t="shared" si="100"/>
        <v>263.83999999999997</v>
      </c>
    </row>
    <row r="6425" spans="1:8" x14ac:dyDescent="0.3">
      <c r="A6425" s="400"/>
      <c r="B6425" s="709">
        <v>97475</v>
      </c>
      <c r="C6425" s="710" t="s">
        <v>14008</v>
      </c>
      <c r="D6425" s="709" t="s">
        <v>136</v>
      </c>
      <c r="E6425" s="716">
        <v>291.97000000000003</v>
      </c>
      <c r="F6425" s="717">
        <v>0</v>
      </c>
      <c r="G6425">
        <f>VLOOKUP(B6425,'SINAPI-%MO'!B:E,4,0)</f>
        <v>9.6299999999999997E-2</v>
      </c>
      <c r="H6425" s="225">
        <f t="shared" si="100"/>
        <v>263.85000000000002</v>
      </c>
    </row>
    <row r="6426" spans="1:8" x14ac:dyDescent="0.3">
      <c r="A6426" s="400"/>
      <c r="B6426" s="709">
        <v>97512</v>
      </c>
      <c r="C6426" s="710" t="s">
        <v>14009</v>
      </c>
      <c r="D6426" s="709" t="s">
        <v>136</v>
      </c>
      <c r="E6426" s="716">
        <v>280.45999999999998</v>
      </c>
      <c r="F6426" s="717">
        <v>0</v>
      </c>
      <c r="G6426">
        <f>VLOOKUP(B6426,'SINAPI-%MO'!B:E,4,0)</f>
        <v>5.9299999999999999E-2</v>
      </c>
      <c r="H6426" s="225">
        <f t="shared" si="100"/>
        <v>263.82</v>
      </c>
    </row>
    <row r="6427" spans="1:8" x14ac:dyDescent="0.3">
      <c r="A6427" s="400"/>
      <c r="B6427" s="709">
        <v>97450</v>
      </c>
      <c r="C6427" s="710" t="s">
        <v>14010</v>
      </c>
      <c r="D6427" s="709" t="s">
        <v>136</v>
      </c>
      <c r="E6427" s="716">
        <v>403.81</v>
      </c>
      <c r="F6427" s="717">
        <v>0</v>
      </c>
      <c r="G6427">
        <f>VLOOKUP(B6427,'SINAPI-%MO'!B:E,4,0)</f>
        <v>0.11559999999999999</v>
      </c>
      <c r="H6427" s="225">
        <f t="shared" si="100"/>
        <v>357.12</v>
      </c>
    </row>
    <row r="6428" spans="1:8" x14ac:dyDescent="0.3">
      <c r="A6428" s="400"/>
      <c r="B6428" s="709">
        <v>97478</v>
      </c>
      <c r="C6428" s="710" t="s">
        <v>14011</v>
      </c>
      <c r="D6428" s="709" t="s">
        <v>136</v>
      </c>
      <c r="E6428" s="716">
        <v>392.43</v>
      </c>
      <c r="F6428" s="717">
        <v>0</v>
      </c>
      <c r="G6428">
        <f>VLOOKUP(B6428,'SINAPI-%MO'!B:E,4,0)</f>
        <v>0.09</v>
      </c>
      <c r="H6428" s="225">
        <f t="shared" si="100"/>
        <v>357.11</v>
      </c>
    </row>
    <row r="6429" spans="1:8" x14ac:dyDescent="0.3">
      <c r="A6429" s="400"/>
      <c r="B6429" s="709">
        <v>97515</v>
      </c>
      <c r="C6429" s="710" t="s">
        <v>14012</v>
      </c>
      <c r="D6429" s="709" t="s">
        <v>136</v>
      </c>
      <c r="E6429" s="716">
        <v>376.77</v>
      </c>
      <c r="F6429" s="717">
        <v>0</v>
      </c>
      <c r="G6429">
        <f>VLOOKUP(B6429,'SINAPI-%MO'!B:E,4,0)</f>
        <v>5.21E-2</v>
      </c>
      <c r="H6429" s="225">
        <f t="shared" si="100"/>
        <v>357.14</v>
      </c>
    </row>
    <row r="6430" spans="1:8" x14ac:dyDescent="0.3">
      <c r="A6430" s="400"/>
      <c r="B6430" s="709">
        <v>92928</v>
      </c>
      <c r="C6430" s="710" t="s">
        <v>14013</v>
      </c>
      <c r="D6430" s="709" t="s">
        <v>136</v>
      </c>
      <c r="E6430" s="716">
        <v>49.26</v>
      </c>
      <c r="F6430" s="717">
        <v>0</v>
      </c>
      <c r="G6430">
        <f>VLOOKUP(B6430,'SINAPI-%MO'!B:E,4,0)</f>
        <v>0.59760000000000002</v>
      </c>
      <c r="H6430" s="225">
        <f t="shared" si="100"/>
        <v>19.82</v>
      </c>
    </row>
    <row r="6431" spans="1:8" x14ac:dyDescent="0.3">
      <c r="A6431" s="400"/>
      <c r="B6431" s="709">
        <v>92943</v>
      </c>
      <c r="C6431" s="710" t="s">
        <v>14014</v>
      </c>
      <c r="D6431" s="709" t="s">
        <v>136</v>
      </c>
      <c r="E6431" s="716">
        <v>38.56</v>
      </c>
      <c r="F6431" s="717">
        <v>0</v>
      </c>
      <c r="G6431">
        <f>VLOOKUP(B6431,'SINAPI-%MO'!B:E,4,0)</f>
        <v>0.48599999999999999</v>
      </c>
      <c r="H6431" s="225">
        <f t="shared" si="100"/>
        <v>19.809999999999999</v>
      </c>
    </row>
    <row r="6432" spans="1:8" x14ac:dyDescent="0.3">
      <c r="A6432" s="400"/>
      <c r="B6432" s="709">
        <v>92929</v>
      </c>
      <c r="C6432" s="710" t="s">
        <v>14015</v>
      </c>
      <c r="D6432" s="709" t="s">
        <v>136</v>
      </c>
      <c r="E6432" s="716">
        <v>47.8</v>
      </c>
      <c r="F6432" s="717">
        <v>0</v>
      </c>
      <c r="G6432">
        <f>VLOOKUP(B6432,'SINAPI-%MO'!B:E,4,0)</f>
        <v>0.58620000000000005</v>
      </c>
      <c r="H6432" s="225">
        <f t="shared" si="100"/>
        <v>19.77</v>
      </c>
    </row>
    <row r="6433" spans="1:8" x14ac:dyDescent="0.3">
      <c r="A6433" s="400"/>
      <c r="B6433" s="709">
        <v>92944</v>
      </c>
      <c r="C6433" s="710" t="s">
        <v>14016</v>
      </c>
      <c r="D6433" s="709" t="s">
        <v>136</v>
      </c>
      <c r="E6433" s="716">
        <v>37.700000000000003</v>
      </c>
      <c r="F6433" s="717">
        <v>0</v>
      </c>
      <c r="G6433">
        <f>VLOOKUP(B6433,'SINAPI-%MO'!B:E,4,0)</f>
        <v>0.4753</v>
      </c>
      <c r="H6433" s="225">
        <f t="shared" si="100"/>
        <v>19.78</v>
      </c>
    </row>
    <row r="6434" spans="1:8" x14ac:dyDescent="0.3">
      <c r="A6434" s="400"/>
      <c r="B6434" s="709">
        <v>92930</v>
      </c>
      <c r="C6434" s="710" t="s">
        <v>14017</v>
      </c>
      <c r="D6434" s="709" t="s">
        <v>136</v>
      </c>
      <c r="E6434" s="716">
        <v>46.75</v>
      </c>
      <c r="F6434" s="717">
        <v>0</v>
      </c>
      <c r="G6434">
        <f>VLOOKUP(B6434,'SINAPI-%MO'!B:E,4,0)</f>
        <v>0.57779999999999998</v>
      </c>
      <c r="H6434" s="225">
        <f t="shared" si="100"/>
        <v>19.73</v>
      </c>
    </row>
    <row r="6435" spans="1:8" x14ac:dyDescent="0.3">
      <c r="A6435" s="400"/>
      <c r="B6435" s="709">
        <v>92945</v>
      </c>
      <c r="C6435" s="710" t="s">
        <v>14018</v>
      </c>
      <c r="D6435" s="709" t="s">
        <v>136</v>
      </c>
      <c r="E6435" s="716">
        <v>37.08</v>
      </c>
      <c r="F6435" s="717">
        <v>0</v>
      </c>
      <c r="G6435">
        <f>VLOOKUP(B6435,'SINAPI-%MO'!B:E,4,0)</f>
        <v>0.46760000000000002</v>
      </c>
      <c r="H6435" s="225">
        <f t="shared" si="100"/>
        <v>19.739999999999998</v>
      </c>
    </row>
    <row r="6436" spans="1:8" x14ac:dyDescent="0.3">
      <c r="A6436" s="400"/>
      <c r="B6436" s="709">
        <v>92925</v>
      </c>
      <c r="C6436" s="710" t="s">
        <v>14019</v>
      </c>
      <c r="D6436" s="709" t="s">
        <v>136</v>
      </c>
      <c r="E6436" s="716">
        <v>42.79</v>
      </c>
      <c r="F6436" s="717">
        <v>0</v>
      </c>
      <c r="G6436">
        <f>VLOOKUP(B6436,'SINAPI-%MO'!B:E,4,0)</f>
        <v>0.61719999999999997</v>
      </c>
      <c r="H6436" s="225">
        <f t="shared" si="100"/>
        <v>16.38</v>
      </c>
    </row>
    <row r="6437" spans="1:8" x14ac:dyDescent="0.3">
      <c r="A6437" s="400"/>
      <c r="B6437" s="709">
        <v>92940</v>
      </c>
      <c r="C6437" s="710" t="s">
        <v>14020</v>
      </c>
      <c r="D6437" s="709" t="s">
        <v>136</v>
      </c>
      <c r="E6437" s="716">
        <v>33.380000000000003</v>
      </c>
      <c r="F6437" s="717">
        <v>0</v>
      </c>
      <c r="G6437">
        <f>VLOOKUP(B6437,'SINAPI-%MO'!B:E,4,0)</f>
        <v>0.50929999999999997</v>
      </c>
      <c r="H6437" s="225">
        <f t="shared" si="100"/>
        <v>16.37</v>
      </c>
    </row>
    <row r="6438" spans="1:8" x14ac:dyDescent="0.3">
      <c r="A6438" s="400"/>
      <c r="B6438" s="709">
        <v>92926</v>
      </c>
      <c r="C6438" s="710" t="s">
        <v>14021</v>
      </c>
      <c r="D6438" s="709" t="s">
        <v>136</v>
      </c>
      <c r="E6438" s="716">
        <v>40.69</v>
      </c>
      <c r="F6438" s="717">
        <v>0</v>
      </c>
      <c r="G6438">
        <f>VLOOKUP(B6438,'SINAPI-%MO'!B:E,4,0)</f>
        <v>0.59940000000000004</v>
      </c>
      <c r="H6438" s="225">
        <f t="shared" si="100"/>
        <v>16.3</v>
      </c>
    </row>
    <row r="6439" spans="1:8" x14ac:dyDescent="0.3">
      <c r="A6439" s="400"/>
      <c r="B6439" s="709">
        <v>92941</v>
      </c>
      <c r="C6439" s="710" t="s">
        <v>14022</v>
      </c>
      <c r="D6439" s="709" t="s">
        <v>136</v>
      </c>
      <c r="E6439" s="716">
        <v>32.14</v>
      </c>
      <c r="F6439" s="717">
        <v>0</v>
      </c>
      <c r="G6439">
        <f>VLOOKUP(B6439,'SINAPI-%MO'!B:E,4,0)</f>
        <v>0.49280000000000002</v>
      </c>
      <c r="H6439" s="225">
        <f t="shared" si="100"/>
        <v>16.3</v>
      </c>
    </row>
    <row r="6440" spans="1:8" x14ac:dyDescent="0.3">
      <c r="A6440" s="400"/>
      <c r="B6440" s="709">
        <v>92927</v>
      </c>
      <c r="C6440" s="710" t="s">
        <v>14023</v>
      </c>
      <c r="D6440" s="709" t="s">
        <v>136</v>
      </c>
      <c r="E6440" s="716">
        <v>41.73</v>
      </c>
      <c r="F6440" s="717">
        <v>0</v>
      </c>
      <c r="G6440">
        <f>VLOOKUP(B6440,'SINAPI-%MO'!B:E,4,0)</f>
        <v>0.60870000000000002</v>
      </c>
      <c r="H6440" s="225">
        <f t="shared" si="100"/>
        <v>16.32</v>
      </c>
    </row>
    <row r="6441" spans="1:8" x14ac:dyDescent="0.3">
      <c r="A6441" s="400"/>
      <c r="B6441" s="709">
        <v>92942</v>
      </c>
      <c r="C6441" s="710" t="s">
        <v>14024</v>
      </c>
      <c r="D6441" s="709" t="s">
        <v>136</v>
      </c>
      <c r="E6441" s="716">
        <v>32.75</v>
      </c>
      <c r="F6441" s="717">
        <v>0</v>
      </c>
      <c r="G6441">
        <f>VLOOKUP(B6441,'SINAPI-%MO'!B:E,4,0)</f>
        <v>0.50139999999999996</v>
      </c>
      <c r="H6441" s="225">
        <f t="shared" si="100"/>
        <v>16.32</v>
      </c>
    </row>
    <row r="6442" spans="1:8" x14ac:dyDescent="0.3">
      <c r="A6442" s="400"/>
      <c r="B6442" s="709">
        <v>92918</v>
      </c>
      <c r="C6442" s="710" t="s">
        <v>14025</v>
      </c>
      <c r="D6442" s="709" t="s">
        <v>136</v>
      </c>
      <c r="E6442" s="716">
        <v>33.78</v>
      </c>
      <c r="F6442" s="717">
        <v>0</v>
      </c>
      <c r="G6442">
        <f>VLOOKUP(B6442,'SINAPI-%MO'!B:E,4,0)</f>
        <v>0.68</v>
      </c>
      <c r="H6442" s="225">
        <f t="shared" si="100"/>
        <v>10.8</v>
      </c>
    </row>
    <row r="6443" spans="1:8" x14ac:dyDescent="0.3">
      <c r="A6443" s="400"/>
      <c r="B6443" s="709">
        <v>92938</v>
      </c>
      <c r="C6443" s="710" t="s">
        <v>14026</v>
      </c>
      <c r="D6443" s="709" t="s">
        <v>136</v>
      </c>
      <c r="E6443" s="716">
        <v>25.83</v>
      </c>
      <c r="F6443" s="717">
        <v>0</v>
      </c>
      <c r="G6443">
        <f>VLOOKUP(B6443,'SINAPI-%MO'!B:E,4,0)</f>
        <v>0.58150000000000002</v>
      </c>
      <c r="H6443" s="225">
        <f t="shared" si="100"/>
        <v>10.8</v>
      </c>
    </row>
    <row r="6444" spans="1:8" x14ac:dyDescent="0.3">
      <c r="A6444" s="400"/>
      <c r="B6444" s="709">
        <v>92920</v>
      </c>
      <c r="C6444" s="710" t="s">
        <v>14027</v>
      </c>
      <c r="D6444" s="709" t="s">
        <v>136</v>
      </c>
      <c r="E6444" s="716">
        <v>35.03</v>
      </c>
      <c r="F6444" s="717">
        <v>0</v>
      </c>
      <c r="G6444">
        <f>VLOOKUP(B6444,'SINAPI-%MO'!B:E,4,0)</f>
        <v>0.68459999999999999</v>
      </c>
      <c r="H6444" s="225">
        <f t="shared" si="100"/>
        <v>11.04</v>
      </c>
    </row>
    <row r="6445" spans="1:8" x14ac:dyDescent="0.3">
      <c r="A6445" s="400"/>
      <c r="B6445" s="709">
        <v>92939</v>
      </c>
      <c r="C6445" s="710" t="s">
        <v>14028</v>
      </c>
      <c r="D6445" s="709" t="s">
        <v>136</v>
      </c>
      <c r="E6445" s="716">
        <v>26.65</v>
      </c>
      <c r="F6445" s="717">
        <v>0</v>
      </c>
      <c r="G6445">
        <f>VLOOKUP(B6445,'SINAPI-%MO'!B:E,4,0)</f>
        <v>0.58540000000000003</v>
      </c>
      <c r="H6445" s="225">
        <f t="shared" si="100"/>
        <v>11.04</v>
      </c>
    </row>
    <row r="6446" spans="1:8" x14ac:dyDescent="0.3">
      <c r="A6446" s="400"/>
      <c r="B6446" s="709">
        <v>92910</v>
      </c>
      <c r="C6446" s="710" t="s">
        <v>14029</v>
      </c>
      <c r="D6446" s="709" t="s">
        <v>136</v>
      </c>
      <c r="E6446" s="716">
        <v>94.13</v>
      </c>
      <c r="F6446" s="717">
        <v>0</v>
      </c>
      <c r="G6446">
        <f>VLOOKUP(B6446,'SINAPI-%MO'!B:E,4,0)</f>
        <v>0.41560000000000002</v>
      </c>
      <c r="H6446" s="225">
        <f t="shared" si="100"/>
        <v>55</v>
      </c>
    </row>
    <row r="6447" spans="1:8" x14ac:dyDescent="0.3">
      <c r="A6447" s="400"/>
      <c r="B6447" s="709">
        <v>92934</v>
      </c>
      <c r="C6447" s="710" t="s">
        <v>14030</v>
      </c>
      <c r="D6447" s="709" t="s">
        <v>136</v>
      </c>
      <c r="E6447" s="716">
        <v>91.12</v>
      </c>
      <c r="F6447" s="717">
        <v>0</v>
      </c>
      <c r="G6447">
        <f>VLOOKUP(B6447,'SINAPI-%MO'!B:E,4,0)</f>
        <v>0.39629999999999999</v>
      </c>
      <c r="H6447" s="225">
        <f t="shared" si="100"/>
        <v>55</v>
      </c>
    </row>
    <row r="6448" spans="1:8" x14ac:dyDescent="0.3">
      <c r="A6448" s="400"/>
      <c r="B6448" s="709">
        <v>92949</v>
      </c>
      <c r="C6448" s="710" t="s">
        <v>14031</v>
      </c>
      <c r="D6448" s="709" t="s">
        <v>136</v>
      </c>
      <c r="E6448" s="716">
        <v>77.569999999999993</v>
      </c>
      <c r="F6448" s="717">
        <v>0</v>
      </c>
      <c r="G6448">
        <f>VLOOKUP(B6448,'SINAPI-%MO'!B:E,4,0)</f>
        <v>0.2908</v>
      </c>
      <c r="H6448" s="225">
        <f t="shared" si="100"/>
        <v>55.01</v>
      </c>
    </row>
    <row r="6449" spans="1:8" x14ac:dyDescent="0.3">
      <c r="A6449" s="400"/>
      <c r="B6449" s="709">
        <v>92911</v>
      </c>
      <c r="C6449" s="710" t="s">
        <v>14032</v>
      </c>
      <c r="D6449" s="709" t="s">
        <v>136</v>
      </c>
      <c r="E6449" s="716">
        <v>95.04</v>
      </c>
      <c r="F6449" s="717">
        <v>0</v>
      </c>
      <c r="G6449">
        <f>VLOOKUP(B6449,'SINAPI-%MO'!B:E,4,0)</f>
        <v>0.42049999999999998</v>
      </c>
      <c r="H6449" s="225">
        <f t="shared" si="100"/>
        <v>55.07</v>
      </c>
    </row>
    <row r="6450" spans="1:8" x14ac:dyDescent="0.3">
      <c r="A6450" s="400"/>
      <c r="B6450" s="709">
        <v>92935</v>
      </c>
      <c r="C6450" s="710" t="s">
        <v>14033</v>
      </c>
      <c r="D6450" s="709" t="s">
        <v>136</v>
      </c>
      <c r="E6450" s="716">
        <v>93.21</v>
      </c>
      <c r="F6450" s="717">
        <v>0</v>
      </c>
      <c r="G6450">
        <f>VLOOKUP(B6450,'SINAPI-%MO'!B:E,4,0)</f>
        <v>0.40910000000000002</v>
      </c>
      <c r="H6450" s="225">
        <f t="shared" si="100"/>
        <v>55.07</v>
      </c>
    </row>
    <row r="6451" spans="1:8" x14ac:dyDescent="0.3">
      <c r="A6451" s="400"/>
      <c r="B6451" s="709">
        <v>92950</v>
      </c>
      <c r="C6451" s="710" t="s">
        <v>14034</v>
      </c>
      <c r="D6451" s="709" t="s">
        <v>136</v>
      </c>
      <c r="E6451" s="716">
        <v>78.8</v>
      </c>
      <c r="F6451" s="717">
        <v>0</v>
      </c>
      <c r="G6451">
        <f>VLOOKUP(B6451,'SINAPI-%MO'!B:E,4,0)</f>
        <v>0.30099999999999999</v>
      </c>
      <c r="H6451" s="225">
        <f t="shared" si="100"/>
        <v>55.08</v>
      </c>
    </row>
    <row r="6452" spans="1:8" x14ac:dyDescent="0.3">
      <c r="A6452" s="400"/>
      <c r="B6452" s="709">
        <v>92907</v>
      </c>
      <c r="C6452" s="710" t="s">
        <v>14035</v>
      </c>
      <c r="D6452" s="709" t="s">
        <v>136</v>
      </c>
      <c r="E6452" s="716">
        <v>69.42</v>
      </c>
      <c r="F6452" s="717">
        <v>0</v>
      </c>
      <c r="G6452">
        <f>VLOOKUP(B6452,'SINAPI-%MO'!B:E,4,0)</f>
        <v>0.5454</v>
      </c>
      <c r="H6452" s="225">
        <f t="shared" si="100"/>
        <v>31.55</v>
      </c>
    </row>
    <row r="6453" spans="1:8" x14ac:dyDescent="0.3">
      <c r="A6453" s="400"/>
      <c r="B6453" s="709">
        <v>92931</v>
      </c>
      <c r="C6453" s="710" t="s">
        <v>14036</v>
      </c>
      <c r="D6453" s="709" t="s">
        <v>136</v>
      </c>
      <c r="E6453" s="716">
        <v>64.64</v>
      </c>
      <c r="F6453" s="717">
        <v>0</v>
      </c>
      <c r="G6453">
        <f>VLOOKUP(B6453,'SINAPI-%MO'!B:E,4,0)</f>
        <v>0.51180000000000003</v>
      </c>
      <c r="H6453" s="225">
        <f t="shared" si="100"/>
        <v>31.55</v>
      </c>
    </row>
    <row r="6454" spans="1:8" x14ac:dyDescent="0.3">
      <c r="A6454" s="400"/>
      <c r="B6454" s="709">
        <v>92946</v>
      </c>
      <c r="C6454" s="710" t="s">
        <v>14037</v>
      </c>
      <c r="D6454" s="709" t="s">
        <v>136</v>
      </c>
      <c r="E6454" s="716">
        <v>52.38</v>
      </c>
      <c r="F6454" s="717">
        <v>0</v>
      </c>
      <c r="G6454">
        <f>VLOOKUP(B6454,'SINAPI-%MO'!B:E,4,0)</f>
        <v>0.39750000000000002</v>
      </c>
      <c r="H6454" s="225">
        <f t="shared" si="100"/>
        <v>31.55</v>
      </c>
    </row>
    <row r="6455" spans="1:8" x14ac:dyDescent="0.3">
      <c r="A6455" s="400"/>
      <c r="B6455" s="709">
        <v>92908</v>
      </c>
      <c r="C6455" s="710" t="s">
        <v>14038</v>
      </c>
      <c r="D6455" s="709" t="s">
        <v>136</v>
      </c>
      <c r="E6455" s="716">
        <v>68.72</v>
      </c>
      <c r="F6455" s="717">
        <v>0</v>
      </c>
      <c r="G6455">
        <f>VLOOKUP(B6455,'SINAPI-%MO'!B:E,4,0)</f>
        <v>0.54120000000000001</v>
      </c>
      <c r="H6455" s="225">
        <f t="shared" si="100"/>
        <v>31.52</v>
      </c>
    </row>
    <row r="6456" spans="1:8" x14ac:dyDescent="0.3">
      <c r="A6456" s="400"/>
      <c r="B6456" s="709">
        <v>92932</v>
      </c>
      <c r="C6456" s="710" t="s">
        <v>14039</v>
      </c>
      <c r="D6456" s="709" t="s">
        <v>136</v>
      </c>
      <c r="E6456" s="716">
        <v>62.99</v>
      </c>
      <c r="F6456" s="717">
        <v>0</v>
      </c>
      <c r="G6456">
        <f>VLOOKUP(B6456,'SINAPI-%MO'!B:E,4,0)</f>
        <v>0.49940000000000001</v>
      </c>
      <c r="H6456" s="225">
        <f t="shared" si="100"/>
        <v>31.53</v>
      </c>
    </row>
    <row r="6457" spans="1:8" x14ac:dyDescent="0.3">
      <c r="A6457" s="400"/>
      <c r="B6457" s="709">
        <v>92947</v>
      </c>
      <c r="C6457" s="710" t="s">
        <v>14040</v>
      </c>
      <c r="D6457" s="709" t="s">
        <v>136</v>
      </c>
      <c r="E6457" s="716">
        <v>51.43</v>
      </c>
      <c r="F6457" s="717">
        <v>0</v>
      </c>
      <c r="G6457">
        <f>VLOOKUP(B6457,'SINAPI-%MO'!B:E,4,0)</f>
        <v>0.38690000000000002</v>
      </c>
      <c r="H6457" s="225">
        <f t="shared" si="100"/>
        <v>31.53</v>
      </c>
    </row>
    <row r="6458" spans="1:8" x14ac:dyDescent="0.3">
      <c r="A6458" s="400"/>
      <c r="B6458" s="709">
        <v>92909</v>
      </c>
      <c r="C6458" s="710" t="s">
        <v>14041</v>
      </c>
      <c r="D6458" s="709" t="s">
        <v>136</v>
      </c>
      <c r="E6458" s="716">
        <v>68.069999999999993</v>
      </c>
      <c r="F6458" s="717">
        <v>0</v>
      </c>
      <c r="G6458">
        <f>VLOOKUP(B6458,'SINAPI-%MO'!B:E,4,0)</f>
        <v>0.53749999999999998</v>
      </c>
      <c r="H6458" s="225">
        <f t="shared" si="100"/>
        <v>31.48</v>
      </c>
    </row>
    <row r="6459" spans="1:8" x14ac:dyDescent="0.3">
      <c r="A6459" s="400"/>
      <c r="B6459" s="709">
        <v>92933</v>
      </c>
      <c r="C6459" s="710" t="s">
        <v>14042</v>
      </c>
      <c r="D6459" s="709" t="s">
        <v>136</v>
      </c>
      <c r="E6459" s="716">
        <v>61.52</v>
      </c>
      <c r="F6459" s="717">
        <v>0</v>
      </c>
      <c r="G6459">
        <f>VLOOKUP(B6459,'SINAPI-%MO'!B:E,4,0)</f>
        <v>0.48830000000000001</v>
      </c>
      <c r="H6459" s="225">
        <f t="shared" si="100"/>
        <v>31.47</v>
      </c>
    </row>
    <row r="6460" spans="1:8" x14ac:dyDescent="0.3">
      <c r="A6460" s="400"/>
      <c r="B6460" s="709">
        <v>92948</v>
      </c>
      <c r="C6460" s="710" t="s">
        <v>14043</v>
      </c>
      <c r="D6460" s="709" t="s">
        <v>136</v>
      </c>
      <c r="E6460" s="716">
        <v>50.56</v>
      </c>
      <c r="F6460" s="717">
        <v>0</v>
      </c>
      <c r="G6460">
        <f>VLOOKUP(B6460,'SINAPI-%MO'!B:E,4,0)</f>
        <v>0.37740000000000001</v>
      </c>
      <c r="H6460" s="225">
        <f t="shared" si="100"/>
        <v>31.47</v>
      </c>
    </row>
    <row r="6461" spans="1:8" x14ac:dyDescent="0.3">
      <c r="A6461" s="400"/>
      <c r="B6461" s="709">
        <v>92912</v>
      </c>
      <c r="C6461" s="710" t="s">
        <v>14044</v>
      </c>
      <c r="D6461" s="709" t="s">
        <v>136</v>
      </c>
      <c r="E6461" s="716">
        <v>123.93</v>
      </c>
      <c r="F6461" s="717">
        <v>0</v>
      </c>
      <c r="G6461">
        <f>VLOOKUP(B6461,'SINAPI-%MO'!B:E,4,0)</f>
        <v>0.32590000000000002</v>
      </c>
      <c r="H6461" s="225">
        <f t="shared" si="100"/>
        <v>83.54</v>
      </c>
    </row>
    <row r="6462" spans="1:8" x14ac:dyDescent="0.3">
      <c r="A6462" s="400"/>
      <c r="B6462" s="709">
        <v>92913</v>
      </c>
      <c r="C6462" s="710" t="s">
        <v>14045</v>
      </c>
      <c r="D6462" s="709" t="s">
        <v>136</v>
      </c>
      <c r="E6462" s="716">
        <v>126.18</v>
      </c>
      <c r="F6462" s="717">
        <v>0</v>
      </c>
      <c r="G6462">
        <f>VLOOKUP(B6462,'SINAPI-%MO'!B:E,4,0)</f>
        <v>0.3367</v>
      </c>
      <c r="H6462" s="225">
        <f t="shared" si="100"/>
        <v>83.69</v>
      </c>
    </row>
    <row r="6463" spans="1:8" x14ac:dyDescent="0.3">
      <c r="A6463" s="400"/>
      <c r="B6463" s="709">
        <v>92936</v>
      </c>
      <c r="C6463" s="710" t="s">
        <v>14046</v>
      </c>
      <c r="D6463" s="709" t="s">
        <v>136</v>
      </c>
      <c r="E6463" s="716">
        <v>127.88</v>
      </c>
      <c r="F6463" s="717">
        <v>0</v>
      </c>
      <c r="G6463">
        <f>VLOOKUP(B6463,'SINAPI-%MO'!B:E,4,0)</f>
        <v>0.34560000000000002</v>
      </c>
      <c r="H6463" s="225">
        <f t="shared" si="100"/>
        <v>83.68</v>
      </c>
    </row>
    <row r="6464" spans="1:8" x14ac:dyDescent="0.3">
      <c r="A6464" s="400"/>
      <c r="B6464" s="709">
        <v>92951</v>
      </c>
      <c r="C6464" s="710" t="s">
        <v>14047</v>
      </c>
      <c r="D6464" s="709" t="s">
        <v>136</v>
      </c>
      <c r="E6464" s="716">
        <v>110.89</v>
      </c>
      <c r="F6464" s="717">
        <v>0</v>
      </c>
      <c r="G6464">
        <f>VLOOKUP(B6464,'SINAPI-%MO'!B:E,4,0)</f>
        <v>0.24529999999999999</v>
      </c>
      <c r="H6464" s="225">
        <f t="shared" si="100"/>
        <v>83.68</v>
      </c>
    </row>
    <row r="6465" spans="1:8" x14ac:dyDescent="0.3">
      <c r="A6465" s="400"/>
      <c r="B6465" s="709">
        <v>92914</v>
      </c>
      <c r="C6465" s="710" t="s">
        <v>14048</v>
      </c>
      <c r="D6465" s="709" t="s">
        <v>136</v>
      </c>
      <c r="E6465" s="716">
        <v>124.84</v>
      </c>
      <c r="F6465" s="717">
        <v>0</v>
      </c>
      <c r="G6465">
        <f>VLOOKUP(B6465,'SINAPI-%MO'!B:E,4,0)</f>
        <v>0.33029999999999998</v>
      </c>
      <c r="H6465" s="225">
        <f t="shared" si="100"/>
        <v>83.6</v>
      </c>
    </row>
    <row r="6466" spans="1:8" x14ac:dyDescent="0.3">
      <c r="A6466" s="400"/>
      <c r="B6466" s="709">
        <v>92937</v>
      </c>
      <c r="C6466" s="710" t="s">
        <v>14049</v>
      </c>
      <c r="D6466" s="709" t="s">
        <v>136</v>
      </c>
      <c r="E6466" s="716">
        <v>124.77</v>
      </c>
      <c r="F6466" s="717">
        <v>0</v>
      </c>
      <c r="G6466">
        <f>VLOOKUP(B6466,'SINAPI-%MO'!B:E,4,0)</f>
        <v>0.32990000000000003</v>
      </c>
      <c r="H6466" s="225">
        <f t="shared" si="100"/>
        <v>83.6</v>
      </c>
    </row>
    <row r="6467" spans="1:8" x14ac:dyDescent="0.3">
      <c r="A6467" s="400"/>
      <c r="B6467" s="709">
        <v>92952</v>
      </c>
      <c r="C6467" s="710" t="s">
        <v>14050</v>
      </c>
      <c r="D6467" s="709" t="s">
        <v>136</v>
      </c>
      <c r="E6467" s="716">
        <v>109.07</v>
      </c>
      <c r="F6467" s="717">
        <v>0</v>
      </c>
      <c r="G6467">
        <f>VLOOKUP(B6467,'SINAPI-%MO'!B:E,4,0)</f>
        <v>0.2334</v>
      </c>
      <c r="H6467" s="225">
        <f t="shared" si="100"/>
        <v>83.61</v>
      </c>
    </row>
    <row r="6468" spans="1:8" x14ac:dyDescent="0.3">
      <c r="A6468" s="400"/>
      <c r="B6468" s="709">
        <v>92953</v>
      </c>
      <c r="C6468" s="710" t="s">
        <v>14051</v>
      </c>
      <c r="D6468" s="709" t="s">
        <v>136</v>
      </c>
      <c r="E6468" s="716">
        <v>20.58</v>
      </c>
      <c r="F6468" s="717">
        <v>0</v>
      </c>
      <c r="G6468">
        <f>VLOOKUP(B6468,'SINAPI-%MO'!B:E,4,0)</f>
        <v>0.61809999999999998</v>
      </c>
      <c r="H6468" s="225">
        <f t="shared" si="100"/>
        <v>7.85</v>
      </c>
    </row>
    <row r="6469" spans="1:8" x14ac:dyDescent="0.3">
      <c r="A6469" s="400"/>
      <c r="B6469" s="709">
        <v>101921</v>
      </c>
      <c r="C6469" s="710" t="s">
        <v>14052</v>
      </c>
      <c r="D6469" s="709" t="s">
        <v>136</v>
      </c>
      <c r="E6469" s="716">
        <v>188.18</v>
      </c>
      <c r="F6469" s="717">
        <v>0</v>
      </c>
      <c r="G6469">
        <f>VLOOKUP(B6469,'SINAPI-%MO'!B:E,4,0)</f>
        <v>0.23469999999999999</v>
      </c>
      <c r="H6469" s="225">
        <f t="shared" si="100"/>
        <v>144.01</v>
      </c>
    </row>
    <row r="6470" spans="1:8" x14ac:dyDescent="0.3">
      <c r="A6470" s="400"/>
      <c r="B6470" s="709">
        <v>101930</v>
      </c>
      <c r="C6470" s="710" t="s">
        <v>14053</v>
      </c>
      <c r="D6470" s="709" t="s">
        <v>136</v>
      </c>
      <c r="E6470" s="716">
        <v>192.24</v>
      </c>
      <c r="F6470" s="717">
        <v>0</v>
      </c>
      <c r="G6470">
        <f>VLOOKUP(B6470,'SINAPI-%MO'!B:E,4,0)</f>
        <v>0.25090000000000001</v>
      </c>
      <c r="H6470" s="225">
        <f t="shared" si="100"/>
        <v>144</v>
      </c>
    </row>
    <row r="6471" spans="1:8" x14ac:dyDescent="0.3">
      <c r="A6471" s="400"/>
      <c r="B6471" s="709">
        <v>101922</v>
      </c>
      <c r="C6471" s="710" t="s">
        <v>14054</v>
      </c>
      <c r="D6471" s="709" t="s">
        <v>136</v>
      </c>
      <c r="E6471" s="716">
        <v>186.84</v>
      </c>
      <c r="F6471" s="717">
        <v>0</v>
      </c>
      <c r="G6471">
        <f>VLOOKUP(B6471,'SINAPI-%MO'!B:E,4,0)</f>
        <v>0.22969999999999999</v>
      </c>
      <c r="H6471" s="225">
        <f t="shared" si="100"/>
        <v>143.91999999999999</v>
      </c>
    </row>
    <row r="6472" spans="1:8" x14ac:dyDescent="0.3">
      <c r="A6472" s="400"/>
      <c r="B6472" s="709">
        <v>101931</v>
      </c>
      <c r="C6472" s="710" t="s">
        <v>14055</v>
      </c>
      <c r="D6472" s="709" t="s">
        <v>136</v>
      </c>
      <c r="E6472" s="716">
        <v>189.13</v>
      </c>
      <c r="F6472" s="717">
        <v>0</v>
      </c>
      <c r="G6472">
        <f>VLOOKUP(B6472,'SINAPI-%MO'!B:E,4,0)</f>
        <v>0.23899999999999999</v>
      </c>
      <c r="H6472" s="225">
        <f t="shared" si="100"/>
        <v>143.91999999999999</v>
      </c>
    </row>
    <row r="6473" spans="1:8" x14ac:dyDescent="0.3">
      <c r="A6473" s="400"/>
      <c r="B6473" s="709">
        <v>101923</v>
      </c>
      <c r="C6473" s="710" t="s">
        <v>14056</v>
      </c>
      <c r="D6473" s="709" t="s">
        <v>136</v>
      </c>
      <c r="E6473" s="716">
        <v>189.52</v>
      </c>
      <c r="F6473" s="717">
        <v>0</v>
      </c>
      <c r="G6473">
        <f>VLOOKUP(B6473,'SINAPI-%MO'!B:E,4,0)</f>
        <v>0.23980000000000001</v>
      </c>
      <c r="H6473" s="225">
        <f t="shared" si="100"/>
        <v>144.07</v>
      </c>
    </row>
    <row r="6474" spans="1:8" x14ac:dyDescent="0.3">
      <c r="A6474" s="400"/>
      <c r="B6474" s="709">
        <v>101932</v>
      </c>
      <c r="C6474" s="710" t="s">
        <v>14057</v>
      </c>
      <c r="D6474" s="709" t="s">
        <v>136</v>
      </c>
      <c r="E6474" s="716">
        <v>195.34</v>
      </c>
      <c r="F6474" s="717">
        <v>0</v>
      </c>
      <c r="G6474">
        <f>VLOOKUP(B6474,'SINAPI-%MO'!B:E,4,0)</f>
        <v>0.26240000000000002</v>
      </c>
      <c r="H6474" s="225">
        <f t="shared" si="100"/>
        <v>144.08000000000001</v>
      </c>
    </row>
    <row r="6475" spans="1:8" x14ac:dyDescent="0.3">
      <c r="A6475" s="400"/>
      <c r="B6475" s="709">
        <v>97537</v>
      </c>
      <c r="C6475" s="710" t="s">
        <v>14058</v>
      </c>
      <c r="D6475" s="709" t="s">
        <v>136</v>
      </c>
      <c r="E6475" s="716">
        <v>32.299999999999997</v>
      </c>
      <c r="F6475" s="717">
        <v>0</v>
      </c>
      <c r="G6475">
        <f>VLOOKUP(B6475,'SINAPI-%MO'!B:E,4,0)</f>
        <v>0.30769999999999997</v>
      </c>
      <c r="H6475" s="225">
        <f t="shared" ref="H6475:H6538" si="101">IF(E6475&gt;0,TRUNC(E6475*(1-G6475),2),"")</f>
        <v>22.36</v>
      </c>
    </row>
    <row r="6476" spans="1:8" x14ac:dyDescent="0.3">
      <c r="A6476" s="400"/>
      <c r="B6476" s="709">
        <v>97540</v>
      </c>
      <c r="C6476" s="710" t="s">
        <v>14059</v>
      </c>
      <c r="D6476" s="709" t="s">
        <v>136</v>
      </c>
      <c r="E6476" s="716">
        <v>42.24</v>
      </c>
      <c r="F6476" s="717">
        <v>0</v>
      </c>
      <c r="G6476">
        <f>VLOOKUP(B6476,'SINAPI-%MO'!B:E,4,0)</f>
        <v>0.40360000000000001</v>
      </c>
      <c r="H6476" s="225">
        <f t="shared" si="101"/>
        <v>25.19</v>
      </c>
    </row>
    <row r="6477" spans="1:8" x14ac:dyDescent="0.3">
      <c r="A6477" s="400"/>
      <c r="B6477" s="709">
        <v>97543</v>
      </c>
      <c r="C6477" s="710" t="s">
        <v>14060</v>
      </c>
      <c r="D6477" s="709" t="s">
        <v>136</v>
      </c>
      <c r="E6477" s="716">
        <v>67.08</v>
      </c>
      <c r="F6477" s="717">
        <v>0</v>
      </c>
      <c r="G6477">
        <f>VLOOKUP(B6477,'SINAPI-%MO'!B:E,4,0)</f>
        <v>0.4945</v>
      </c>
      <c r="H6477" s="225">
        <f t="shared" si="101"/>
        <v>33.9</v>
      </c>
    </row>
    <row r="6478" spans="1:8" x14ac:dyDescent="0.3">
      <c r="A6478" s="400"/>
      <c r="B6478" s="709">
        <v>97461</v>
      </c>
      <c r="C6478" s="710" t="s">
        <v>14061</v>
      </c>
      <c r="D6478" s="709" t="s">
        <v>136</v>
      </c>
      <c r="E6478" s="716">
        <v>46.5</v>
      </c>
      <c r="F6478" s="717">
        <v>0</v>
      </c>
      <c r="G6478">
        <f>VLOOKUP(B6478,'SINAPI-%MO'!B:E,4,0)</f>
        <v>0.27079999999999999</v>
      </c>
      <c r="H6478" s="225">
        <f t="shared" si="101"/>
        <v>33.9</v>
      </c>
    </row>
    <row r="6479" spans="1:8" x14ac:dyDescent="0.3">
      <c r="A6479" s="400"/>
      <c r="B6479" s="709">
        <v>97499</v>
      </c>
      <c r="C6479" s="710" t="s">
        <v>14062</v>
      </c>
      <c r="D6479" s="709" t="s">
        <v>136</v>
      </c>
      <c r="E6479" s="716">
        <v>43.96</v>
      </c>
      <c r="F6479" s="717">
        <v>0</v>
      </c>
      <c r="G6479">
        <f>VLOOKUP(B6479,'SINAPI-%MO'!B:E,4,0)</f>
        <v>0.2286</v>
      </c>
      <c r="H6479" s="225">
        <f t="shared" si="101"/>
        <v>33.909999999999997</v>
      </c>
    </row>
    <row r="6480" spans="1:8" x14ac:dyDescent="0.3">
      <c r="A6480" s="400"/>
      <c r="B6480" s="709">
        <v>97464</v>
      </c>
      <c r="C6480" s="710" t="s">
        <v>14063</v>
      </c>
      <c r="D6480" s="709" t="s">
        <v>136</v>
      </c>
      <c r="E6480" s="716">
        <v>67.48</v>
      </c>
      <c r="F6480" s="717">
        <v>0</v>
      </c>
      <c r="G6480">
        <f>VLOOKUP(B6480,'SINAPI-%MO'!B:E,4,0)</f>
        <v>0.23619999999999999</v>
      </c>
      <c r="H6480" s="225">
        <f t="shared" si="101"/>
        <v>51.54</v>
      </c>
    </row>
    <row r="6481" spans="1:8" x14ac:dyDescent="0.3">
      <c r="A6481" s="400"/>
      <c r="B6481" s="709">
        <v>97502</v>
      </c>
      <c r="C6481" s="710" t="s">
        <v>14064</v>
      </c>
      <c r="D6481" s="709" t="s">
        <v>136</v>
      </c>
      <c r="E6481" s="716">
        <v>63.01</v>
      </c>
      <c r="F6481" s="717">
        <v>0</v>
      </c>
      <c r="G6481">
        <f>VLOOKUP(B6481,'SINAPI-%MO'!B:E,4,0)</f>
        <v>0.182</v>
      </c>
      <c r="H6481" s="225">
        <f t="shared" si="101"/>
        <v>51.54</v>
      </c>
    </row>
    <row r="6482" spans="1:8" x14ac:dyDescent="0.3">
      <c r="A6482" s="400"/>
      <c r="B6482" s="709">
        <v>97467</v>
      </c>
      <c r="C6482" s="710" t="s">
        <v>14065</v>
      </c>
      <c r="D6482" s="709" t="s">
        <v>136</v>
      </c>
      <c r="E6482" s="716">
        <v>85.55</v>
      </c>
      <c r="F6482" s="717">
        <v>0</v>
      </c>
      <c r="G6482">
        <f>VLOOKUP(B6482,'SINAPI-%MO'!B:E,4,0)</f>
        <v>0.2311</v>
      </c>
      <c r="H6482" s="225">
        <f t="shared" si="101"/>
        <v>65.77</v>
      </c>
    </row>
    <row r="6483" spans="1:8" x14ac:dyDescent="0.3">
      <c r="A6483" s="400"/>
      <c r="B6483" s="709">
        <v>97505</v>
      </c>
      <c r="C6483" s="710" t="s">
        <v>14066</v>
      </c>
      <c r="D6483" s="709" t="s">
        <v>136</v>
      </c>
      <c r="E6483" s="716">
        <v>78.87</v>
      </c>
      <c r="F6483" s="717">
        <v>0</v>
      </c>
      <c r="G6483">
        <f>VLOOKUP(B6483,'SINAPI-%MO'!B:E,4,0)</f>
        <v>0.16600000000000001</v>
      </c>
      <c r="H6483" s="225">
        <f t="shared" si="101"/>
        <v>65.77</v>
      </c>
    </row>
    <row r="6484" spans="1:8" x14ac:dyDescent="0.3">
      <c r="A6484" s="400"/>
      <c r="B6484" s="709">
        <v>97443</v>
      </c>
      <c r="C6484" s="710" t="s">
        <v>14067</v>
      </c>
      <c r="D6484" s="709" t="s">
        <v>136</v>
      </c>
      <c r="E6484" s="716">
        <v>148.13</v>
      </c>
      <c r="F6484" s="717">
        <v>0</v>
      </c>
      <c r="G6484">
        <f>VLOOKUP(B6484,'SINAPI-%MO'!B:E,4,0)</f>
        <v>0.30280000000000001</v>
      </c>
      <c r="H6484" s="225">
        <f t="shared" si="101"/>
        <v>103.27</v>
      </c>
    </row>
    <row r="6485" spans="1:8" x14ac:dyDescent="0.3">
      <c r="A6485" s="400"/>
      <c r="B6485" s="709">
        <v>97470</v>
      </c>
      <c r="C6485" s="710" t="s">
        <v>14068</v>
      </c>
      <c r="D6485" s="709" t="s">
        <v>136</v>
      </c>
      <c r="E6485" s="716">
        <v>127.83</v>
      </c>
      <c r="F6485" s="717">
        <v>0</v>
      </c>
      <c r="G6485">
        <f>VLOOKUP(B6485,'SINAPI-%MO'!B:E,4,0)</f>
        <v>0.19209999999999999</v>
      </c>
      <c r="H6485" s="225">
        <f t="shared" si="101"/>
        <v>103.27</v>
      </c>
    </row>
    <row r="6486" spans="1:8" x14ac:dyDescent="0.3">
      <c r="A6486" s="400"/>
      <c r="B6486" s="709">
        <v>97508</v>
      </c>
      <c r="C6486" s="710" t="s">
        <v>14069</v>
      </c>
      <c r="D6486" s="709" t="s">
        <v>136</v>
      </c>
      <c r="E6486" s="716">
        <v>118.39</v>
      </c>
      <c r="F6486" s="717">
        <v>0</v>
      </c>
      <c r="G6486">
        <f>VLOOKUP(B6486,'SINAPI-%MO'!B:E,4,0)</f>
        <v>0.12759999999999999</v>
      </c>
      <c r="H6486" s="225">
        <f t="shared" si="101"/>
        <v>103.28</v>
      </c>
    </row>
    <row r="6487" spans="1:8" x14ac:dyDescent="0.3">
      <c r="A6487" s="400"/>
      <c r="B6487" s="709">
        <v>97446</v>
      </c>
      <c r="C6487" s="710" t="s">
        <v>14070</v>
      </c>
      <c r="D6487" s="709" t="s">
        <v>136</v>
      </c>
      <c r="E6487" s="716">
        <v>252.94</v>
      </c>
      <c r="F6487" s="717">
        <v>0</v>
      </c>
      <c r="G6487">
        <f>VLOOKUP(B6487,'SINAPI-%MO'!B:E,4,0)</f>
        <v>0.1822</v>
      </c>
      <c r="H6487" s="225">
        <f t="shared" si="101"/>
        <v>206.85</v>
      </c>
    </row>
    <row r="6488" spans="1:8" x14ac:dyDescent="0.3">
      <c r="A6488" s="400"/>
      <c r="B6488" s="709">
        <v>97474</v>
      </c>
      <c r="C6488" s="710" t="s">
        <v>14071</v>
      </c>
      <c r="D6488" s="709" t="s">
        <v>136</v>
      </c>
      <c r="E6488" s="716">
        <v>238.58</v>
      </c>
      <c r="F6488" s="717">
        <v>0</v>
      </c>
      <c r="G6488">
        <f>VLOOKUP(B6488,'SINAPI-%MO'!B:E,4,0)</f>
        <v>0.13300000000000001</v>
      </c>
      <c r="H6488" s="225">
        <f t="shared" si="101"/>
        <v>206.84</v>
      </c>
    </row>
    <row r="6489" spans="1:8" x14ac:dyDescent="0.3">
      <c r="A6489" s="400"/>
      <c r="B6489" s="709">
        <v>97511</v>
      </c>
      <c r="C6489" s="710" t="s">
        <v>14072</v>
      </c>
      <c r="D6489" s="709" t="s">
        <v>136</v>
      </c>
      <c r="E6489" s="716">
        <v>225</v>
      </c>
      <c r="F6489" s="717">
        <v>0</v>
      </c>
      <c r="G6489">
        <f>VLOOKUP(B6489,'SINAPI-%MO'!B:E,4,0)</f>
        <v>8.0600000000000005E-2</v>
      </c>
      <c r="H6489" s="225">
        <f t="shared" si="101"/>
        <v>206.86</v>
      </c>
    </row>
    <row r="6490" spans="1:8" x14ac:dyDescent="0.3">
      <c r="A6490" s="400"/>
      <c r="B6490" s="709">
        <v>97449</v>
      </c>
      <c r="C6490" s="710" t="s">
        <v>14073</v>
      </c>
      <c r="D6490" s="709" t="s">
        <v>136</v>
      </c>
      <c r="E6490" s="716">
        <v>327.20999999999998</v>
      </c>
      <c r="F6490" s="717">
        <v>0</v>
      </c>
      <c r="G6490">
        <f>VLOOKUP(B6490,'SINAPI-%MO'!B:E,4,0)</f>
        <v>0.14449999999999999</v>
      </c>
      <c r="H6490" s="225">
        <f t="shared" si="101"/>
        <v>279.92</v>
      </c>
    </row>
    <row r="6491" spans="1:8" x14ac:dyDescent="0.3">
      <c r="A6491" s="400"/>
      <c r="B6491" s="709">
        <v>97477</v>
      </c>
      <c r="C6491" s="710" t="s">
        <v>14074</v>
      </c>
      <c r="D6491" s="709" t="s">
        <v>136</v>
      </c>
      <c r="E6491" s="716">
        <v>318.81</v>
      </c>
      <c r="F6491" s="717">
        <v>0</v>
      </c>
      <c r="G6491">
        <f>VLOOKUP(B6491,'SINAPI-%MO'!B:E,4,0)</f>
        <v>0.122</v>
      </c>
      <c r="H6491" s="225">
        <f t="shared" si="101"/>
        <v>279.91000000000003</v>
      </c>
    </row>
    <row r="6492" spans="1:8" x14ac:dyDescent="0.3">
      <c r="A6492" s="400"/>
      <c r="B6492" s="709">
        <v>97514</v>
      </c>
      <c r="C6492" s="710" t="s">
        <v>14075</v>
      </c>
      <c r="D6492" s="709" t="s">
        <v>136</v>
      </c>
      <c r="E6492" s="716">
        <v>301.07</v>
      </c>
      <c r="F6492" s="717">
        <v>0</v>
      </c>
      <c r="G6492">
        <f>VLOOKUP(B6492,'SINAPI-%MO'!B:E,4,0)</f>
        <v>7.0199999999999999E-2</v>
      </c>
      <c r="H6492" s="225">
        <f t="shared" si="101"/>
        <v>279.93</v>
      </c>
    </row>
    <row r="6493" spans="1:8" x14ac:dyDescent="0.3">
      <c r="A6493" s="400"/>
      <c r="B6493" s="709">
        <v>101920</v>
      </c>
      <c r="C6493" s="710" t="s">
        <v>14076</v>
      </c>
      <c r="D6493" s="709" t="s">
        <v>136</v>
      </c>
      <c r="E6493" s="716">
        <v>169.44</v>
      </c>
      <c r="F6493" s="717">
        <v>0</v>
      </c>
      <c r="G6493">
        <f>VLOOKUP(B6493,'SINAPI-%MO'!B:E,4,0)</f>
        <v>0.2782</v>
      </c>
      <c r="H6493" s="225">
        <f t="shared" si="101"/>
        <v>122.3</v>
      </c>
    </row>
    <row r="6494" spans="1:8" x14ac:dyDescent="0.3">
      <c r="A6494" s="400"/>
      <c r="B6494" s="709">
        <v>101929</v>
      </c>
      <c r="C6494" s="710" t="s">
        <v>14077</v>
      </c>
      <c r="D6494" s="709" t="s">
        <v>136</v>
      </c>
      <c r="E6494" s="716">
        <v>177.61</v>
      </c>
      <c r="F6494" s="717">
        <v>0</v>
      </c>
      <c r="G6494">
        <f>VLOOKUP(B6494,'SINAPI-%MO'!B:E,4,0)</f>
        <v>0.31140000000000001</v>
      </c>
      <c r="H6494" s="225">
        <f t="shared" si="101"/>
        <v>122.3</v>
      </c>
    </row>
    <row r="6495" spans="1:8" x14ac:dyDescent="0.3">
      <c r="A6495" s="400"/>
      <c r="B6495" s="709">
        <v>92693</v>
      </c>
      <c r="C6495" s="710" t="s">
        <v>14078</v>
      </c>
      <c r="D6495" s="709" t="s">
        <v>136</v>
      </c>
      <c r="E6495" s="716">
        <v>14.39</v>
      </c>
      <c r="F6495" s="717">
        <v>0</v>
      </c>
      <c r="G6495">
        <f>VLOOKUP(B6495,'SINAPI-%MO'!B:E,4,0)</f>
        <v>0.65049999999999997</v>
      </c>
      <c r="H6495" s="225">
        <f t="shared" si="101"/>
        <v>5.0199999999999996</v>
      </c>
    </row>
    <row r="6496" spans="1:8" x14ac:dyDescent="0.3">
      <c r="A6496" s="400"/>
      <c r="B6496" s="709">
        <v>92695</v>
      </c>
      <c r="C6496" s="710" t="s">
        <v>14079</v>
      </c>
      <c r="D6496" s="709" t="s">
        <v>136</v>
      </c>
      <c r="E6496" s="716">
        <v>22.9</v>
      </c>
      <c r="F6496" s="717">
        <v>0</v>
      </c>
      <c r="G6496">
        <f>VLOOKUP(B6496,'SINAPI-%MO'!B:E,4,0)</f>
        <v>0.70169999999999999</v>
      </c>
      <c r="H6496" s="225">
        <f t="shared" si="101"/>
        <v>6.83</v>
      </c>
    </row>
    <row r="6497" spans="1:8" x14ac:dyDescent="0.3">
      <c r="A6497" s="400"/>
      <c r="B6497" s="709">
        <v>92697</v>
      </c>
      <c r="C6497" s="710" t="s">
        <v>14080</v>
      </c>
      <c r="D6497" s="709" t="s">
        <v>136</v>
      </c>
      <c r="E6497" s="716">
        <v>37.14</v>
      </c>
      <c r="F6497" s="717">
        <v>0</v>
      </c>
      <c r="G6497">
        <f>VLOOKUP(B6497,'SINAPI-%MO'!B:E,4,0)</f>
        <v>0.70379999999999998</v>
      </c>
      <c r="H6497" s="225">
        <f t="shared" si="101"/>
        <v>11</v>
      </c>
    </row>
    <row r="6498" spans="1:8" x14ac:dyDescent="0.3">
      <c r="A6498" s="400"/>
      <c r="B6498" s="709">
        <v>92658</v>
      </c>
      <c r="C6498" s="710" t="s">
        <v>14081</v>
      </c>
      <c r="D6498" s="709" t="s">
        <v>136</v>
      </c>
      <c r="E6498" s="716">
        <v>27.18</v>
      </c>
      <c r="F6498" s="717">
        <v>0</v>
      </c>
      <c r="G6498">
        <f>VLOOKUP(B6498,'SINAPI-%MO'!B:E,4,0)</f>
        <v>0.59530000000000005</v>
      </c>
      <c r="H6498" s="225">
        <f t="shared" si="101"/>
        <v>10.99</v>
      </c>
    </row>
    <row r="6499" spans="1:8" x14ac:dyDescent="0.3">
      <c r="A6499" s="400"/>
      <c r="B6499" s="709">
        <v>92660</v>
      </c>
      <c r="C6499" s="710" t="s">
        <v>14082</v>
      </c>
      <c r="D6499" s="709" t="s">
        <v>136</v>
      </c>
      <c r="E6499" s="716">
        <v>33.130000000000003</v>
      </c>
      <c r="F6499" s="717">
        <v>0</v>
      </c>
      <c r="G6499">
        <f>VLOOKUP(B6499,'SINAPI-%MO'!B:E,4,0)</f>
        <v>0.53759999999999997</v>
      </c>
      <c r="H6499" s="225">
        <f t="shared" si="101"/>
        <v>15.31</v>
      </c>
    </row>
    <row r="6500" spans="1:8" x14ac:dyDescent="0.3">
      <c r="A6500" s="400"/>
      <c r="B6500" s="709">
        <v>92662</v>
      </c>
      <c r="C6500" s="710" t="s">
        <v>14083</v>
      </c>
      <c r="D6500" s="709" t="s">
        <v>136</v>
      </c>
      <c r="E6500" s="716">
        <v>38.380000000000003</v>
      </c>
      <c r="F6500" s="717">
        <v>0</v>
      </c>
      <c r="G6500">
        <f>VLOOKUP(B6500,'SINAPI-%MO'!B:E,4,0)</f>
        <v>0.51219999999999999</v>
      </c>
      <c r="H6500" s="225">
        <f t="shared" si="101"/>
        <v>18.72</v>
      </c>
    </row>
    <row r="6501" spans="1:8" x14ac:dyDescent="0.3">
      <c r="A6501" s="400"/>
      <c r="B6501" s="709">
        <v>92664</v>
      </c>
      <c r="C6501" s="710" t="s">
        <v>14084</v>
      </c>
      <c r="D6501" s="709" t="s">
        <v>136</v>
      </c>
      <c r="E6501" s="716">
        <v>50.53</v>
      </c>
      <c r="F6501" s="717">
        <v>0</v>
      </c>
      <c r="G6501">
        <f>VLOOKUP(B6501,'SINAPI-%MO'!B:E,4,0)</f>
        <v>0.435</v>
      </c>
      <c r="H6501" s="225">
        <f t="shared" si="101"/>
        <v>28.54</v>
      </c>
    </row>
    <row r="6502" spans="1:8" x14ac:dyDescent="0.3">
      <c r="A6502" s="400"/>
      <c r="B6502" s="709">
        <v>92666</v>
      </c>
      <c r="C6502" s="710" t="s">
        <v>14085</v>
      </c>
      <c r="D6502" s="709" t="s">
        <v>136</v>
      </c>
      <c r="E6502" s="716">
        <v>77.17</v>
      </c>
      <c r="F6502" s="717">
        <v>0</v>
      </c>
      <c r="G6502">
        <f>VLOOKUP(B6502,'SINAPI-%MO'!B:E,4,0)</f>
        <v>0.32990000000000003</v>
      </c>
      <c r="H6502" s="225">
        <f t="shared" si="101"/>
        <v>51.71</v>
      </c>
    </row>
    <row r="6503" spans="1:8" x14ac:dyDescent="0.3">
      <c r="A6503" s="400"/>
      <c r="B6503" s="709">
        <v>92668</v>
      </c>
      <c r="C6503" s="710" t="s">
        <v>14086</v>
      </c>
      <c r="D6503" s="709" t="s">
        <v>136</v>
      </c>
      <c r="E6503" s="716">
        <v>106.68</v>
      </c>
      <c r="F6503" s="717">
        <v>0</v>
      </c>
      <c r="G6503">
        <f>VLOOKUP(B6503,'SINAPI-%MO'!B:E,4,0)</f>
        <v>0.27129999999999999</v>
      </c>
      <c r="H6503" s="225">
        <f t="shared" si="101"/>
        <v>77.73</v>
      </c>
    </row>
    <row r="6504" spans="1:8" x14ac:dyDescent="0.3">
      <c r="A6504" s="400"/>
      <c r="B6504" s="709">
        <v>92370</v>
      </c>
      <c r="C6504" s="710" t="s">
        <v>14087</v>
      </c>
      <c r="D6504" s="709" t="s">
        <v>136</v>
      </c>
      <c r="E6504" s="716">
        <v>35.99</v>
      </c>
      <c r="F6504" s="717">
        <v>0</v>
      </c>
      <c r="G6504">
        <f>VLOOKUP(B6504,'SINAPI-%MO'!B:E,4,0)</f>
        <v>0.69440000000000002</v>
      </c>
      <c r="H6504" s="225">
        <f t="shared" si="101"/>
        <v>10.99</v>
      </c>
    </row>
    <row r="6505" spans="1:8" x14ac:dyDescent="0.3">
      <c r="A6505" s="400"/>
      <c r="B6505" s="709">
        <v>92372</v>
      </c>
      <c r="C6505" s="710" t="s">
        <v>14088</v>
      </c>
      <c r="D6505" s="709" t="s">
        <v>136</v>
      </c>
      <c r="E6505" s="716">
        <v>43.14</v>
      </c>
      <c r="F6505" s="717">
        <v>0</v>
      </c>
      <c r="G6505">
        <f>VLOOKUP(B6505,'SINAPI-%MO'!B:E,4,0)</f>
        <v>0.64490000000000003</v>
      </c>
      <c r="H6505" s="225">
        <f t="shared" si="101"/>
        <v>15.31</v>
      </c>
    </row>
    <row r="6506" spans="1:8" x14ac:dyDescent="0.3">
      <c r="A6506" s="400"/>
      <c r="B6506" s="709">
        <v>92374</v>
      </c>
      <c r="C6506" s="710" t="s">
        <v>14089</v>
      </c>
      <c r="D6506" s="709" t="s">
        <v>136</v>
      </c>
      <c r="E6506" s="716">
        <v>49.77</v>
      </c>
      <c r="F6506" s="717">
        <v>0</v>
      </c>
      <c r="G6506">
        <f>VLOOKUP(B6506,'SINAPI-%MO'!B:E,4,0)</f>
        <v>0.62390000000000001</v>
      </c>
      <c r="H6506" s="225">
        <f t="shared" si="101"/>
        <v>18.71</v>
      </c>
    </row>
    <row r="6507" spans="1:8" x14ac:dyDescent="0.3">
      <c r="A6507" s="400"/>
      <c r="B6507" s="709">
        <v>92345</v>
      </c>
      <c r="C6507" s="710" t="s">
        <v>14090</v>
      </c>
      <c r="D6507" s="709" t="s">
        <v>136</v>
      </c>
      <c r="E6507" s="716">
        <v>67.25</v>
      </c>
      <c r="F6507" s="717">
        <v>0</v>
      </c>
      <c r="G6507">
        <f>VLOOKUP(B6507,'SINAPI-%MO'!B:E,4,0)</f>
        <v>0.57550000000000001</v>
      </c>
      <c r="H6507" s="225">
        <f t="shared" si="101"/>
        <v>28.54</v>
      </c>
    </row>
    <row r="6508" spans="1:8" x14ac:dyDescent="0.3">
      <c r="A6508" s="400"/>
      <c r="B6508" s="709">
        <v>92376</v>
      </c>
      <c r="C6508" s="710" t="s">
        <v>14091</v>
      </c>
      <c r="D6508" s="709" t="s">
        <v>136</v>
      </c>
      <c r="E6508" s="716">
        <v>63.65</v>
      </c>
      <c r="F6508" s="717">
        <v>0</v>
      </c>
      <c r="G6508">
        <f>VLOOKUP(B6508,'SINAPI-%MO'!B:E,4,0)</f>
        <v>0.55149999999999999</v>
      </c>
      <c r="H6508" s="225">
        <f t="shared" si="101"/>
        <v>28.54</v>
      </c>
    </row>
    <row r="6509" spans="1:8" x14ac:dyDescent="0.3">
      <c r="A6509" s="400"/>
      <c r="B6509" s="709">
        <v>92347</v>
      </c>
      <c r="C6509" s="710" t="s">
        <v>14092</v>
      </c>
      <c r="D6509" s="709" t="s">
        <v>136</v>
      </c>
      <c r="E6509" s="716">
        <v>92.94</v>
      </c>
      <c r="F6509" s="717">
        <v>0</v>
      </c>
      <c r="G6509">
        <f>VLOOKUP(B6509,'SINAPI-%MO'!B:E,4,0)</f>
        <v>0.44359999999999999</v>
      </c>
      <c r="H6509" s="225">
        <f t="shared" si="101"/>
        <v>51.71</v>
      </c>
    </row>
    <row r="6510" spans="1:8" x14ac:dyDescent="0.3">
      <c r="A6510" s="400"/>
      <c r="B6510" s="709">
        <v>92378</v>
      </c>
      <c r="C6510" s="710" t="s">
        <v>14093</v>
      </c>
      <c r="D6510" s="709" t="s">
        <v>136</v>
      </c>
      <c r="E6510" s="716">
        <v>92.87</v>
      </c>
      <c r="F6510" s="717">
        <v>0</v>
      </c>
      <c r="G6510">
        <f>VLOOKUP(B6510,'SINAPI-%MO'!B:E,4,0)</f>
        <v>0.44319999999999998</v>
      </c>
      <c r="H6510" s="225">
        <f t="shared" si="101"/>
        <v>51.71</v>
      </c>
    </row>
    <row r="6511" spans="1:8" x14ac:dyDescent="0.3">
      <c r="A6511" s="400"/>
      <c r="B6511" s="709">
        <v>92349</v>
      </c>
      <c r="C6511" s="710" t="s">
        <v>14094</v>
      </c>
      <c r="D6511" s="709" t="s">
        <v>136</v>
      </c>
      <c r="E6511" s="716">
        <v>121.5</v>
      </c>
      <c r="F6511" s="717">
        <v>0</v>
      </c>
      <c r="G6511">
        <f>VLOOKUP(B6511,'SINAPI-%MO'!B:E,4,0)</f>
        <v>0.36020000000000002</v>
      </c>
      <c r="H6511" s="225">
        <f t="shared" si="101"/>
        <v>77.73</v>
      </c>
    </row>
    <row r="6512" spans="1:8" x14ac:dyDescent="0.3">
      <c r="A6512" s="400"/>
      <c r="B6512" s="709">
        <v>92380</v>
      </c>
      <c r="C6512" s="710" t="s">
        <v>14095</v>
      </c>
      <c r="D6512" s="709" t="s">
        <v>136</v>
      </c>
      <c r="E6512" s="716">
        <v>124.96</v>
      </c>
      <c r="F6512" s="717">
        <v>0</v>
      </c>
      <c r="G6512">
        <f>VLOOKUP(B6512,'SINAPI-%MO'!B:E,4,0)</f>
        <v>0.37790000000000001</v>
      </c>
      <c r="H6512" s="225">
        <f t="shared" si="101"/>
        <v>77.73</v>
      </c>
    </row>
    <row r="6513" spans="1:8" x14ac:dyDescent="0.3">
      <c r="A6513" s="400"/>
      <c r="B6513" s="709">
        <v>101917</v>
      </c>
      <c r="C6513" s="710" t="s">
        <v>14096</v>
      </c>
      <c r="D6513" s="709" t="s">
        <v>136</v>
      </c>
      <c r="E6513" s="716">
        <v>183.2</v>
      </c>
      <c r="F6513" s="717">
        <v>0</v>
      </c>
      <c r="G6513">
        <f>VLOOKUP(B6513,'SINAPI-%MO'!B:E,4,0)</f>
        <v>0.248</v>
      </c>
      <c r="H6513" s="225">
        <f t="shared" si="101"/>
        <v>137.76</v>
      </c>
    </row>
    <row r="6514" spans="1:8" x14ac:dyDescent="0.3">
      <c r="A6514" s="400"/>
      <c r="B6514" s="709">
        <v>101924</v>
      </c>
      <c r="C6514" s="710" t="s">
        <v>14097</v>
      </c>
      <c r="D6514" s="709" t="s">
        <v>136</v>
      </c>
      <c r="E6514" s="716">
        <v>160.28</v>
      </c>
      <c r="F6514" s="717">
        <v>0</v>
      </c>
      <c r="G6514">
        <f>VLOOKUP(B6514,'SINAPI-%MO'!B:E,4,0)</f>
        <v>0.29399999999999998</v>
      </c>
      <c r="H6514" s="225">
        <f t="shared" si="101"/>
        <v>113.15</v>
      </c>
    </row>
    <row r="6515" spans="1:8" x14ac:dyDescent="0.3">
      <c r="A6515" s="400"/>
      <c r="B6515" s="709">
        <v>101933</v>
      </c>
      <c r="C6515" s="710" t="s">
        <v>14098</v>
      </c>
      <c r="D6515" s="709" t="s">
        <v>136</v>
      </c>
      <c r="E6515" s="716">
        <v>168.45</v>
      </c>
      <c r="F6515" s="717">
        <v>0</v>
      </c>
      <c r="G6515">
        <f>VLOOKUP(B6515,'SINAPI-%MO'!B:E,4,0)</f>
        <v>0.32829999999999998</v>
      </c>
      <c r="H6515" s="225">
        <f t="shared" si="101"/>
        <v>113.14</v>
      </c>
    </row>
    <row r="6516" spans="1:8" x14ac:dyDescent="0.3">
      <c r="A6516" s="400"/>
      <c r="B6516" s="709">
        <v>92692</v>
      </c>
      <c r="C6516" s="710" t="s">
        <v>14099</v>
      </c>
      <c r="D6516" s="709" t="s">
        <v>136</v>
      </c>
      <c r="E6516" s="716">
        <v>14.07</v>
      </c>
      <c r="F6516" s="717">
        <v>0</v>
      </c>
      <c r="G6516">
        <f>VLOOKUP(B6516,'SINAPI-%MO'!B:E,4,0)</f>
        <v>0.66520000000000001</v>
      </c>
      <c r="H6516" s="225">
        <f t="shared" si="101"/>
        <v>4.71</v>
      </c>
    </row>
    <row r="6517" spans="1:8" x14ac:dyDescent="0.3">
      <c r="A6517" s="400"/>
      <c r="B6517" s="709">
        <v>92694</v>
      </c>
      <c r="C6517" s="710" t="s">
        <v>14100</v>
      </c>
      <c r="D6517" s="709" t="s">
        <v>136</v>
      </c>
      <c r="E6517" s="716">
        <v>22.57</v>
      </c>
      <c r="F6517" s="717">
        <v>0</v>
      </c>
      <c r="G6517">
        <f>VLOOKUP(B6517,'SINAPI-%MO'!B:E,4,0)</f>
        <v>0.71199999999999997</v>
      </c>
      <c r="H6517" s="225">
        <f t="shared" si="101"/>
        <v>6.5</v>
      </c>
    </row>
    <row r="6518" spans="1:8" x14ac:dyDescent="0.3">
      <c r="A6518" s="400"/>
      <c r="B6518" s="709">
        <v>92696</v>
      </c>
      <c r="C6518" s="710" t="s">
        <v>14101</v>
      </c>
      <c r="D6518" s="709" t="s">
        <v>136</v>
      </c>
      <c r="E6518" s="716">
        <v>35.67</v>
      </c>
      <c r="F6518" s="717">
        <v>0</v>
      </c>
      <c r="G6518">
        <f>VLOOKUP(B6518,'SINAPI-%MO'!B:E,4,0)</f>
        <v>0.73280000000000001</v>
      </c>
      <c r="H6518" s="225">
        <f t="shared" si="101"/>
        <v>9.5299999999999994</v>
      </c>
    </row>
    <row r="6519" spans="1:8" x14ac:dyDescent="0.3">
      <c r="A6519" s="400"/>
      <c r="B6519" s="709">
        <v>92657</v>
      </c>
      <c r="C6519" s="710" t="s">
        <v>14102</v>
      </c>
      <c r="D6519" s="709" t="s">
        <v>136</v>
      </c>
      <c r="E6519" s="716">
        <v>25.71</v>
      </c>
      <c r="F6519" s="717">
        <v>0</v>
      </c>
      <c r="G6519">
        <f>VLOOKUP(B6519,'SINAPI-%MO'!B:E,4,0)</f>
        <v>0.62929999999999997</v>
      </c>
      <c r="H6519" s="225">
        <f t="shared" si="101"/>
        <v>9.5299999999999994</v>
      </c>
    </row>
    <row r="6520" spans="1:8" x14ac:dyDescent="0.3">
      <c r="A6520" s="400"/>
      <c r="B6520" s="709">
        <v>92659</v>
      </c>
      <c r="C6520" s="710" t="s">
        <v>14103</v>
      </c>
      <c r="D6520" s="709" t="s">
        <v>136</v>
      </c>
      <c r="E6520" s="716">
        <v>31.77</v>
      </c>
      <c r="F6520" s="717">
        <v>0</v>
      </c>
      <c r="G6520">
        <f>VLOOKUP(B6520,'SINAPI-%MO'!B:E,4,0)</f>
        <v>0.56059999999999999</v>
      </c>
      <c r="H6520" s="225">
        <f t="shared" si="101"/>
        <v>13.95</v>
      </c>
    </row>
    <row r="6521" spans="1:8" x14ac:dyDescent="0.3">
      <c r="A6521" s="400"/>
      <c r="B6521" s="709">
        <v>92661</v>
      </c>
      <c r="C6521" s="710" t="s">
        <v>14104</v>
      </c>
      <c r="D6521" s="709" t="s">
        <v>136</v>
      </c>
      <c r="E6521" s="716">
        <v>38.119999999999997</v>
      </c>
      <c r="F6521" s="717">
        <v>0</v>
      </c>
      <c r="G6521">
        <f>VLOOKUP(B6521,'SINAPI-%MO'!B:E,4,0)</f>
        <v>0.51570000000000005</v>
      </c>
      <c r="H6521" s="225">
        <f t="shared" si="101"/>
        <v>18.46</v>
      </c>
    </row>
    <row r="6522" spans="1:8" x14ac:dyDescent="0.3">
      <c r="A6522" s="400"/>
      <c r="B6522" s="709">
        <v>92663</v>
      </c>
      <c r="C6522" s="710" t="s">
        <v>14105</v>
      </c>
      <c r="D6522" s="709" t="s">
        <v>136</v>
      </c>
      <c r="E6522" s="716">
        <v>50.55</v>
      </c>
      <c r="F6522" s="717">
        <v>0</v>
      </c>
      <c r="G6522">
        <f>VLOOKUP(B6522,'SINAPI-%MO'!B:E,4,0)</f>
        <v>0.43480000000000002</v>
      </c>
      <c r="H6522" s="225">
        <f t="shared" si="101"/>
        <v>28.57</v>
      </c>
    </row>
    <row r="6523" spans="1:8" x14ac:dyDescent="0.3">
      <c r="A6523" s="400"/>
      <c r="B6523" s="709">
        <v>92665</v>
      </c>
      <c r="C6523" s="710" t="s">
        <v>14106</v>
      </c>
      <c r="D6523" s="709" t="s">
        <v>136</v>
      </c>
      <c r="E6523" s="716">
        <v>69.010000000000005</v>
      </c>
      <c r="F6523" s="717">
        <v>0</v>
      </c>
      <c r="G6523">
        <f>VLOOKUP(B6523,'SINAPI-%MO'!B:E,4,0)</f>
        <v>0.36890000000000001</v>
      </c>
      <c r="H6523" s="225">
        <f t="shared" si="101"/>
        <v>43.55</v>
      </c>
    </row>
    <row r="6524" spans="1:8" x14ac:dyDescent="0.3">
      <c r="A6524" s="400"/>
      <c r="B6524" s="709">
        <v>92667</v>
      </c>
      <c r="C6524" s="710" t="s">
        <v>14107</v>
      </c>
      <c r="D6524" s="709" t="s">
        <v>136</v>
      </c>
      <c r="E6524" s="716">
        <v>99.41</v>
      </c>
      <c r="F6524" s="717">
        <v>0</v>
      </c>
      <c r="G6524">
        <f>VLOOKUP(B6524,'SINAPI-%MO'!B:E,4,0)</f>
        <v>0.29110000000000003</v>
      </c>
      <c r="H6524" s="225">
        <f t="shared" si="101"/>
        <v>70.47</v>
      </c>
    </row>
    <row r="6525" spans="1:8" x14ac:dyDescent="0.3">
      <c r="A6525" s="400"/>
      <c r="B6525" s="709">
        <v>92369</v>
      </c>
      <c r="C6525" s="710" t="s">
        <v>14108</v>
      </c>
      <c r="D6525" s="709" t="s">
        <v>136</v>
      </c>
      <c r="E6525" s="716">
        <v>34.520000000000003</v>
      </c>
      <c r="F6525" s="717">
        <v>0</v>
      </c>
      <c r="G6525">
        <f>VLOOKUP(B6525,'SINAPI-%MO'!B:E,4,0)</f>
        <v>0.72389999999999999</v>
      </c>
      <c r="H6525" s="225">
        <f t="shared" si="101"/>
        <v>9.5299999999999994</v>
      </c>
    </row>
    <row r="6526" spans="1:8" x14ac:dyDescent="0.3">
      <c r="A6526" s="400"/>
      <c r="B6526" s="709">
        <v>92371</v>
      </c>
      <c r="C6526" s="710" t="s">
        <v>14109</v>
      </c>
      <c r="D6526" s="709" t="s">
        <v>136</v>
      </c>
      <c r="E6526" s="716">
        <v>41.78</v>
      </c>
      <c r="F6526" s="717">
        <v>0</v>
      </c>
      <c r="G6526">
        <f>VLOOKUP(B6526,'SINAPI-%MO'!B:E,4,0)</f>
        <v>0.66590000000000005</v>
      </c>
      <c r="H6526" s="225">
        <f t="shared" si="101"/>
        <v>13.95</v>
      </c>
    </row>
    <row r="6527" spans="1:8" x14ac:dyDescent="0.3">
      <c r="A6527" s="400"/>
      <c r="B6527" s="709">
        <v>92373</v>
      </c>
      <c r="C6527" s="710" t="s">
        <v>14110</v>
      </c>
      <c r="D6527" s="709" t="s">
        <v>136</v>
      </c>
      <c r="E6527" s="716">
        <v>49.51</v>
      </c>
      <c r="F6527" s="717">
        <v>0</v>
      </c>
      <c r="G6527">
        <f>VLOOKUP(B6527,'SINAPI-%MO'!B:E,4,0)</f>
        <v>0.62709999999999999</v>
      </c>
      <c r="H6527" s="225">
        <f t="shared" si="101"/>
        <v>18.46</v>
      </c>
    </row>
    <row r="6528" spans="1:8" x14ac:dyDescent="0.3">
      <c r="A6528" s="400"/>
      <c r="B6528" s="709">
        <v>92344</v>
      </c>
      <c r="C6528" s="710" t="s">
        <v>14111</v>
      </c>
      <c r="D6528" s="709" t="s">
        <v>136</v>
      </c>
      <c r="E6528" s="716">
        <v>67.27</v>
      </c>
      <c r="F6528" s="717">
        <v>0</v>
      </c>
      <c r="G6528">
        <f>VLOOKUP(B6528,'SINAPI-%MO'!B:E,4,0)</f>
        <v>0.57530000000000003</v>
      </c>
      <c r="H6528" s="225">
        <f t="shared" si="101"/>
        <v>28.56</v>
      </c>
    </row>
    <row r="6529" spans="1:8" x14ac:dyDescent="0.3">
      <c r="A6529" s="400"/>
      <c r="B6529" s="709">
        <v>92375</v>
      </c>
      <c r="C6529" s="710" t="s">
        <v>14112</v>
      </c>
      <c r="D6529" s="709" t="s">
        <v>136</v>
      </c>
      <c r="E6529" s="716">
        <v>63.67</v>
      </c>
      <c r="F6529" s="717">
        <v>0</v>
      </c>
      <c r="G6529">
        <f>VLOOKUP(B6529,'SINAPI-%MO'!B:E,4,0)</f>
        <v>0.55130000000000001</v>
      </c>
      <c r="H6529" s="225">
        <f t="shared" si="101"/>
        <v>28.56</v>
      </c>
    </row>
    <row r="6530" spans="1:8" x14ac:dyDescent="0.3">
      <c r="A6530" s="400"/>
      <c r="B6530" s="709">
        <v>92346</v>
      </c>
      <c r="C6530" s="710" t="s">
        <v>14113</v>
      </c>
      <c r="D6530" s="709" t="s">
        <v>136</v>
      </c>
      <c r="E6530" s="716">
        <v>84.78</v>
      </c>
      <c r="F6530" s="717">
        <v>0</v>
      </c>
      <c r="G6530">
        <f>VLOOKUP(B6530,'SINAPI-%MO'!B:E,4,0)</f>
        <v>0.48630000000000001</v>
      </c>
      <c r="H6530" s="225">
        <f t="shared" si="101"/>
        <v>43.55</v>
      </c>
    </row>
    <row r="6531" spans="1:8" x14ac:dyDescent="0.3">
      <c r="A6531" s="400"/>
      <c r="B6531" s="709">
        <v>92377</v>
      </c>
      <c r="C6531" s="710" t="s">
        <v>14114</v>
      </c>
      <c r="D6531" s="709" t="s">
        <v>136</v>
      </c>
      <c r="E6531" s="716">
        <v>84.71</v>
      </c>
      <c r="F6531" s="717">
        <v>0</v>
      </c>
      <c r="G6531">
        <f>VLOOKUP(B6531,'SINAPI-%MO'!B:E,4,0)</f>
        <v>0.4859</v>
      </c>
      <c r="H6531" s="225">
        <f t="shared" si="101"/>
        <v>43.54</v>
      </c>
    </row>
    <row r="6532" spans="1:8" x14ac:dyDescent="0.3">
      <c r="A6532" s="400"/>
      <c r="B6532" s="709">
        <v>92348</v>
      </c>
      <c r="C6532" s="710" t="s">
        <v>14115</v>
      </c>
      <c r="D6532" s="709" t="s">
        <v>136</v>
      </c>
      <c r="E6532" s="716">
        <v>114.23</v>
      </c>
      <c r="F6532" s="717">
        <v>0</v>
      </c>
      <c r="G6532">
        <f>VLOOKUP(B6532,'SINAPI-%MO'!B:E,4,0)</f>
        <v>0.3831</v>
      </c>
      <c r="H6532" s="225">
        <f t="shared" si="101"/>
        <v>70.459999999999994</v>
      </c>
    </row>
    <row r="6533" spans="1:8" x14ac:dyDescent="0.3">
      <c r="A6533" s="400"/>
      <c r="B6533" s="709">
        <v>92379</v>
      </c>
      <c r="C6533" s="710" t="s">
        <v>14116</v>
      </c>
      <c r="D6533" s="709" t="s">
        <v>136</v>
      </c>
      <c r="E6533" s="716">
        <v>117.69</v>
      </c>
      <c r="F6533" s="717">
        <v>0</v>
      </c>
      <c r="G6533">
        <f>VLOOKUP(B6533,'SINAPI-%MO'!B:E,4,0)</f>
        <v>0.4012</v>
      </c>
      <c r="H6533" s="225">
        <f t="shared" si="101"/>
        <v>70.47</v>
      </c>
    </row>
    <row r="6534" spans="1:8" x14ac:dyDescent="0.3">
      <c r="A6534" s="400"/>
      <c r="B6534" s="709">
        <v>106677</v>
      </c>
      <c r="C6534" s="710" t="s">
        <v>14117</v>
      </c>
      <c r="D6534" s="709" t="s">
        <v>136</v>
      </c>
      <c r="E6534" s="716">
        <v>977.46</v>
      </c>
      <c r="F6534" s="717">
        <v>0</v>
      </c>
      <c r="G6534">
        <f>VLOOKUP(B6534,'SINAPI-%MO'!B:E,4,0)</f>
        <v>0.25269999999999998</v>
      </c>
      <c r="H6534" s="225">
        <f t="shared" si="101"/>
        <v>730.45</v>
      </c>
    </row>
    <row r="6535" spans="1:8" x14ac:dyDescent="0.3">
      <c r="A6535" s="400"/>
      <c r="B6535" s="709">
        <v>95696</v>
      </c>
      <c r="C6535" s="710" t="s">
        <v>14118</v>
      </c>
      <c r="D6535" s="709" t="s">
        <v>136</v>
      </c>
      <c r="E6535" s="716">
        <v>46.52</v>
      </c>
      <c r="F6535" s="717">
        <v>0.91659999999999997</v>
      </c>
      <c r="G6535">
        <f>VLOOKUP(B6535,'SINAPI-%MO'!B:E,4,0)</f>
        <v>8.2100000000000006E-2</v>
      </c>
      <c r="H6535" s="225">
        <f t="shared" si="101"/>
        <v>42.7</v>
      </c>
    </row>
    <row r="6536" spans="1:8" x14ac:dyDescent="0.3">
      <c r="A6536" s="400"/>
      <c r="B6536" s="709">
        <v>92335</v>
      </c>
      <c r="C6536" s="710" t="s">
        <v>14119</v>
      </c>
      <c r="D6536" s="709" t="s">
        <v>159</v>
      </c>
      <c r="E6536" s="716">
        <v>92.19</v>
      </c>
      <c r="F6536" s="717">
        <v>0</v>
      </c>
      <c r="G6536">
        <f>VLOOKUP(B6536,'SINAPI-%MO'!B:E,4,0)</f>
        <v>0.17810000000000001</v>
      </c>
      <c r="H6536" s="225">
        <f t="shared" si="101"/>
        <v>75.77</v>
      </c>
    </row>
    <row r="6537" spans="1:8" x14ac:dyDescent="0.3">
      <c r="A6537" s="400"/>
      <c r="B6537" s="709">
        <v>92336</v>
      </c>
      <c r="C6537" s="710" t="s">
        <v>14120</v>
      </c>
      <c r="D6537" s="709" t="s">
        <v>159</v>
      </c>
      <c r="E6537" s="716">
        <v>111.02</v>
      </c>
      <c r="F6537" s="717">
        <v>0</v>
      </c>
      <c r="G6537">
        <f>VLOOKUP(B6537,'SINAPI-%MO'!B:E,4,0)</f>
        <v>0.153</v>
      </c>
      <c r="H6537" s="225">
        <f t="shared" si="101"/>
        <v>94.03</v>
      </c>
    </row>
    <row r="6538" spans="1:8" x14ac:dyDescent="0.3">
      <c r="A6538" s="400"/>
      <c r="B6538" s="709">
        <v>92337</v>
      </c>
      <c r="C6538" s="710" t="s">
        <v>14121</v>
      </c>
      <c r="D6538" s="709" t="s">
        <v>159</v>
      </c>
      <c r="E6538" s="716">
        <v>144.1</v>
      </c>
      <c r="F6538" s="717">
        <v>0</v>
      </c>
      <c r="G6538">
        <f>VLOOKUP(B6538,'SINAPI-%MO'!B:E,4,0)</f>
        <v>0.12180000000000001</v>
      </c>
      <c r="H6538" s="225">
        <f t="shared" si="101"/>
        <v>126.54</v>
      </c>
    </row>
    <row r="6539" spans="1:8" x14ac:dyDescent="0.3">
      <c r="A6539" s="400"/>
      <c r="B6539" s="709">
        <v>92687</v>
      </c>
      <c r="C6539" s="710" t="s">
        <v>14122</v>
      </c>
      <c r="D6539" s="709" t="s">
        <v>159</v>
      </c>
      <c r="E6539" s="716">
        <v>28.47</v>
      </c>
      <c r="F6539" s="717">
        <v>0</v>
      </c>
      <c r="G6539">
        <f>VLOOKUP(B6539,'SINAPI-%MO'!B:E,4,0)</f>
        <v>0.32879999999999998</v>
      </c>
      <c r="H6539" s="225">
        <f t="shared" ref="H6539:H6602" si="102">IF(E6539&gt;0,TRUNC(E6539*(1-G6539),2),"")</f>
        <v>19.100000000000001</v>
      </c>
    </row>
    <row r="6540" spans="1:8" x14ac:dyDescent="0.3">
      <c r="A6540" s="400"/>
      <c r="B6540" s="709">
        <v>92688</v>
      </c>
      <c r="C6540" s="710" t="s">
        <v>14123</v>
      </c>
      <c r="D6540" s="709" t="s">
        <v>159</v>
      </c>
      <c r="E6540" s="716">
        <v>40.24</v>
      </c>
      <c r="F6540" s="717">
        <v>0</v>
      </c>
      <c r="G6540">
        <f>VLOOKUP(B6540,'SINAPI-%MO'!B:E,4,0)</f>
        <v>0.39939999999999998</v>
      </c>
      <c r="H6540" s="225">
        <f t="shared" si="102"/>
        <v>24.16</v>
      </c>
    </row>
    <row r="6541" spans="1:8" x14ac:dyDescent="0.3">
      <c r="A6541" s="400"/>
      <c r="B6541" s="709">
        <v>97536</v>
      </c>
      <c r="C6541" s="710" t="s">
        <v>14124</v>
      </c>
      <c r="D6541" s="709" t="s">
        <v>159</v>
      </c>
      <c r="E6541" s="716">
        <v>62</v>
      </c>
      <c r="F6541" s="717">
        <v>0</v>
      </c>
      <c r="G6541">
        <f>VLOOKUP(B6541,'SINAPI-%MO'!B:E,4,0)</f>
        <v>0.42159999999999997</v>
      </c>
      <c r="H6541" s="225">
        <f t="shared" si="102"/>
        <v>35.86</v>
      </c>
    </row>
    <row r="6542" spans="1:8" x14ac:dyDescent="0.3">
      <c r="A6542" s="400"/>
      <c r="B6542" s="709">
        <v>97535</v>
      </c>
      <c r="C6542" s="710" t="s">
        <v>14125</v>
      </c>
      <c r="D6542" s="709" t="s">
        <v>159</v>
      </c>
      <c r="E6542" s="716">
        <v>49.85</v>
      </c>
      <c r="F6542" s="717">
        <v>0</v>
      </c>
      <c r="G6542">
        <f>VLOOKUP(B6542,'SINAPI-%MO'!B:E,4,0)</f>
        <v>0.28060000000000002</v>
      </c>
      <c r="H6542" s="225">
        <f t="shared" si="102"/>
        <v>35.86</v>
      </c>
    </row>
    <row r="6543" spans="1:8" x14ac:dyDescent="0.3">
      <c r="A6543" s="400"/>
      <c r="B6543" s="709">
        <v>92652</v>
      </c>
      <c r="C6543" s="710" t="s">
        <v>14126</v>
      </c>
      <c r="D6543" s="709" t="s">
        <v>159</v>
      </c>
      <c r="E6543" s="716">
        <v>60.63</v>
      </c>
      <c r="F6543" s="717">
        <v>0</v>
      </c>
      <c r="G6543">
        <f>VLOOKUP(B6543,'SINAPI-%MO'!B:E,4,0)</f>
        <v>0.254</v>
      </c>
      <c r="H6543" s="225">
        <f t="shared" si="102"/>
        <v>45.22</v>
      </c>
    </row>
    <row r="6544" spans="1:8" x14ac:dyDescent="0.3">
      <c r="A6544" s="400"/>
      <c r="B6544" s="709">
        <v>92653</v>
      </c>
      <c r="C6544" s="710" t="s">
        <v>14127</v>
      </c>
      <c r="D6544" s="709" t="s">
        <v>159</v>
      </c>
      <c r="E6544" s="716">
        <v>69.540000000000006</v>
      </c>
      <c r="F6544" s="717">
        <v>0</v>
      </c>
      <c r="G6544">
        <f>VLOOKUP(B6544,'SINAPI-%MO'!B:E,4,0)</f>
        <v>0.2445</v>
      </c>
      <c r="H6544" s="225">
        <f t="shared" si="102"/>
        <v>52.53</v>
      </c>
    </row>
    <row r="6545" spans="1:8" x14ac:dyDescent="0.3">
      <c r="A6545" s="400"/>
      <c r="B6545" s="709">
        <v>92654</v>
      </c>
      <c r="C6545" s="710" t="s">
        <v>14128</v>
      </c>
      <c r="D6545" s="709" t="s">
        <v>159</v>
      </c>
      <c r="E6545" s="716">
        <v>94.78</v>
      </c>
      <c r="F6545" s="717">
        <v>0</v>
      </c>
      <c r="G6545">
        <f>VLOOKUP(B6545,'SINAPI-%MO'!B:E,4,0)</f>
        <v>0.2006</v>
      </c>
      <c r="H6545" s="225">
        <f t="shared" si="102"/>
        <v>75.760000000000005</v>
      </c>
    </row>
    <row r="6546" spans="1:8" x14ac:dyDescent="0.3">
      <c r="A6546" s="400"/>
      <c r="B6546" s="709">
        <v>92655</v>
      </c>
      <c r="C6546" s="710" t="s">
        <v>14129</v>
      </c>
      <c r="D6546" s="709" t="s">
        <v>159</v>
      </c>
      <c r="E6546" s="716">
        <v>116.05</v>
      </c>
      <c r="F6546" s="717">
        <v>0</v>
      </c>
      <c r="G6546">
        <f>VLOOKUP(B6546,'SINAPI-%MO'!B:E,4,0)</f>
        <v>0.18970000000000001</v>
      </c>
      <c r="H6546" s="225">
        <f t="shared" si="102"/>
        <v>94.03</v>
      </c>
    </row>
    <row r="6547" spans="1:8" x14ac:dyDescent="0.3">
      <c r="A6547" s="400"/>
      <c r="B6547" s="709">
        <v>92656</v>
      </c>
      <c r="C6547" s="710" t="s">
        <v>14130</v>
      </c>
      <c r="D6547" s="709" t="s">
        <v>159</v>
      </c>
      <c r="E6547" s="716">
        <v>151.58000000000001</v>
      </c>
      <c r="F6547" s="717">
        <v>0</v>
      </c>
      <c r="G6547">
        <f>VLOOKUP(B6547,'SINAPI-%MO'!B:E,4,0)</f>
        <v>0.1651</v>
      </c>
      <c r="H6547" s="225">
        <f t="shared" si="102"/>
        <v>126.55</v>
      </c>
    </row>
    <row r="6548" spans="1:8" x14ac:dyDescent="0.3">
      <c r="A6548" s="400"/>
      <c r="B6548" s="709">
        <v>101918</v>
      </c>
      <c r="C6548" s="710" t="s">
        <v>14131</v>
      </c>
      <c r="D6548" s="709" t="s">
        <v>159</v>
      </c>
      <c r="E6548" s="716">
        <v>209.19</v>
      </c>
      <c r="F6548" s="717">
        <v>0</v>
      </c>
      <c r="G6548">
        <f>VLOOKUP(B6548,'SINAPI-%MO'!B:E,4,0)</f>
        <v>0.16689999999999999</v>
      </c>
      <c r="H6548" s="225">
        <f t="shared" si="102"/>
        <v>174.27</v>
      </c>
    </row>
    <row r="6549" spans="1:8" x14ac:dyDescent="0.3">
      <c r="A6549" s="400"/>
      <c r="B6549" s="709">
        <v>101927</v>
      </c>
      <c r="C6549" s="710" t="s">
        <v>14132</v>
      </c>
      <c r="D6549" s="709" t="s">
        <v>159</v>
      </c>
      <c r="E6549" s="716">
        <v>194.46</v>
      </c>
      <c r="F6549" s="717">
        <v>0</v>
      </c>
      <c r="G6549">
        <f>VLOOKUP(B6549,'SINAPI-%MO'!B:E,4,0)</f>
        <v>0.1038</v>
      </c>
      <c r="H6549" s="225">
        <f t="shared" si="102"/>
        <v>174.27</v>
      </c>
    </row>
    <row r="6550" spans="1:8" x14ac:dyDescent="0.3">
      <c r="A6550" s="400"/>
      <c r="B6550" s="709">
        <v>97498</v>
      </c>
      <c r="C6550" s="710" t="s">
        <v>14133</v>
      </c>
      <c r="D6550" s="709" t="s">
        <v>159</v>
      </c>
      <c r="E6550" s="716">
        <v>44.97</v>
      </c>
      <c r="F6550" s="717">
        <v>0</v>
      </c>
      <c r="G6550">
        <f>VLOOKUP(B6550,'SINAPI-%MO'!B:E,4,0)</f>
        <v>0.2026</v>
      </c>
      <c r="H6550" s="225">
        <f t="shared" si="102"/>
        <v>35.85</v>
      </c>
    </row>
    <row r="6551" spans="1:8" x14ac:dyDescent="0.3">
      <c r="A6551" s="400"/>
      <c r="B6551" s="709">
        <v>92364</v>
      </c>
      <c r="C6551" s="710" t="s">
        <v>14134</v>
      </c>
      <c r="D6551" s="709" t="s">
        <v>159</v>
      </c>
      <c r="E6551" s="716">
        <v>55.37</v>
      </c>
      <c r="F6551" s="717">
        <v>0</v>
      </c>
      <c r="G6551">
        <f>VLOOKUP(B6551,'SINAPI-%MO'!B:E,4,0)</f>
        <v>0.18310000000000001</v>
      </c>
      <c r="H6551" s="225">
        <f t="shared" si="102"/>
        <v>45.23</v>
      </c>
    </row>
    <row r="6552" spans="1:8" x14ac:dyDescent="0.3">
      <c r="A6552" s="400"/>
      <c r="B6552" s="709">
        <v>92365</v>
      </c>
      <c r="C6552" s="710" t="s">
        <v>14135</v>
      </c>
      <c r="D6552" s="709" t="s">
        <v>159</v>
      </c>
      <c r="E6552" s="716">
        <v>63.87</v>
      </c>
      <c r="F6552" s="717">
        <v>0</v>
      </c>
      <c r="G6552">
        <f>VLOOKUP(B6552,'SINAPI-%MO'!B:E,4,0)</f>
        <v>0.1774</v>
      </c>
      <c r="H6552" s="225">
        <f t="shared" si="102"/>
        <v>52.53</v>
      </c>
    </row>
    <row r="6553" spans="1:8" x14ac:dyDescent="0.3">
      <c r="A6553" s="400"/>
      <c r="B6553" s="709">
        <v>92341</v>
      </c>
      <c r="C6553" s="710" t="s">
        <v>14136</v>
      </c>
      <c r="D6553" s="709" t="s">
        <v>159</v>
      </c>
      <c r="E6553" s="716">
        <v>104.43</v>
      </c>
      <c r="F6553" s="717">
        <v>0</v>
      </c>
      <c r="G6553">
        <f>VLOOKUP(B6553,'SINAPI-%MO'!B:E,4,0)</f>
        <v>0.27439999999999998</v>
      </c>
      <c r="H6553" s="225">
        <f t="shared" si="102"/>
        <v>75.77</v>
      </c>
    </row>
    <row r="6554" spans="1:8" x14ac:dyDescent="0.3">
      <c r="A6554" s="400"/>
      <c r="B6554" s="709">
        <v>92366</v>
      </c>
      <c r="C6554" s="710" t="s">
        <v>14137</v>
      </c>
      <c r="D6554" s="709" t="s">
        <v>159</v>
      </c>
      <c r="E6554" s="716">
        <v>88.57</v>
      </c>
      <c r="F6554" s="717">
        <v>0</v>
      </c>
      <c r="G6554">
        <f>VLOOKUP(B6554,'SINAPI-%MO'!B:E,4,0)</f>
        <v>0.14449999999999999</v>
      </c>
      <c r="H6554" s="225">
        <f t="shared" si="102"/>
        <v>75.77</v>
      </c>
    </row>
    <row r="6555" spans="1:8" x14ac:dyDescent="0.3">
      <c r="A6555" s="400"/>
      <c r="B6555" s="709">
        <v>92342</v>
      </c>
      <c r="C6555" s="710" t="s">
        <v>14138</v>
      </c>
      <c r="D6555" s="709" t="s">
        <v>159</v>
      </c>
      <c r="E6555" s="716">
        <v>124.56</v>
      </c>
      <c r="F6555" s="717">
        <v>0</v>
      </c>
      <c r="G6555">
        <f>VLOOKUP(B6555,'SINAPI-%MO'!B:E,4,0)</f>
        <v>0.24510000000000001</v>
      </c>
      <c r="H6555" s="225">
        <f t="shared" si="102"/>
        <v>94.03</v>
      </c>
    </row>
    <row r="6556" spans="1:8" x14ac:dyDescent="0.3">
      <c r="A6556" s="400"/>
      <c r="B6556" s="709">
        <v>92367</v>
      </c>
      <c r="C6556" s="710" t="s">
        <v>14139</v>
      </c>
      <c r="D6556" s="709" t="s">
        <v>159</v>
      </c>
      <c r="E6556" s="716">
        <v>109.05</v>
      </c>
      <c r="F6556" s="717">
        <v>0</v>
      </c>
      <c r="G6556">
        <f>VLOOKUP(B6556,'SINAPI-%MO'!B:E,4,0)</f>
        <v>0.13769999999999999</v>
      </c>
      <c r="H6556" s="225">
        <f t="shared" si="102"/>
        <v>94.03</v>
      </c>
    </row>
    <row r="6557" spans="1:8" x14ac:dyDescent="0.3">
      <c r="A6557" s="400"/>
      <c r="B6557" s="709">
        <v>92343</v>
      </c>
      <c r="C6557" s="710" t="s">
        <v>14140</v>
      </c>
      <c r="D6557" s="709" t="s">
        <v>159</v>
      </c>
      <c r="E6557" s="716">
        <v>158.96</v>
      </c>
      <c r="F6557" s="717">
        <v>0</v>
      </c>
      <c r="G6557">
        <f>VLOOKUP(B6557,'SINAPI-%MO'!B:E,4,0)</f>
        <v>0.2039</v>
      </c>
      <c r="H6557" s="225">
        <f t="shared" si="102"/>
        <v>126.54</v>
      </c>
    </row>
    <row r="6558" spans="1:8" x14ac:dyDescent="0.3">
      <c r="A6558" s="400"/>
      <c r="B6558" s="709">
        <v>92368</v>
      </c>
      <c r="C6558" s="710" t="s">
        <v>14141</v>
      </c>
      <c r="D6558" s="709" t="s">
        <v>159</v>
      </c>
      <c r="E6558" s="716">
        <v>143.78</v>
      </c>
      <c r="F6558" s="717">
        <v>0</v>
      </c>
      <c r="G6558">
        <f>VLOOKUP(B6558,'SINAPI-%MO'!B:E,4,0)</f>
        <v>0.1198</v>
      </c>
      <c r="H6558" s="225">
        <f t="shared" si="102"/>
        <v>126.55</v>
      </c>
    </row>
    <row r="6559" spans="1:8" x14ac:dyDescent="0.3">
      <c r="A6559" s="400"/>
      <c r="B6559" s="709">
        <v>92689</v>
      </c>
      <c r="C6559" s="710" t="s">
        <v>14142</v>
      </c>
      <c r="D6559" s="709" t="s">
        <v>159</v>
      </c>
      <c r="E6559" s="716">
        <v>43.67</v>
      </c>
      <c r="F6559" s="717">
        <v>0</v>
      </c>
      <c r="G6559">
        <f>VLOOKUP(B6559,'SINAPI-%MO'!B:E,4,0)</f>
        <v>0.2276</v>
      </c>
      <c r="H6559" s="225">
        <f t="shared" si="102"/>
        <v>33.729999999999997</v>
      </c>
    </row>
    <row r="6560" spans="1:8" x14ac:dyDescent="0.3">
      <c r="A6560" s="400"/>
      <c r="B6560" s="709">
        <v>92690</v>
      </c>
      <c r="C6560" s="710" t="s">
        <v>14143</v>
      </c>
      <c r="D6560" s="709" t="s">
        <v>159</v>
      </c>
      <c r="E6560" s="716">
        <v>63.06</v>
      </c>
      <c r="F6560" s="717">
        <v>0</v>
      </c>
      <c r="G6560">
        <f>VLOOKUP(B6560,'SINAPI-%MO'!B:E,4,0)</f>
        <v>0.27039999999999997</v>
      </c>
      <c r="H6560" s="225">
        <f t="shared" si="102"/>
        <v>46</v>
      </c>
    </row>
    <row r="6561" spans="1:8" x14ac:dyDescent="0.3">
      <c r="A6561" s="400"/>
      <c r="B6561" s="709">
        <v>92691</v>
      </c>
      <c r="C6561" s="710" t="s">
        <v>14144</v>
      </c>
      <c r="D6561" s="709" t="s">
        <v>159</v>
      </c>
      <c r="E6561" s="716">
        <v>84.95</v>
      </c>
      <c r="F6561" s="717">
        <v>0</v>
      </c>
      <c r="G6561">
        <f>VLOOKUP(B6561,'SINAPI-%MO'!B:E,4,0)</f>
        <v>0.39050000000000001</v>
      </c>
      <c r="H6561" s="225">
        <f t="shared" si="102"/>
        <v>51.77</v>
      </c>
    </row>
    <row r="6562" spans="1:8" x14ac:dyDescent="0.3">
      <c r="A6562" s="400"/>
      <c r="B6562" s="709">
        <v>92359</v>
      </c>
      <c r="C6562" s="710" t="s">
        <v>14145</v>
      </c>
      <c r="D6562" s="709" t="s">
        <v>159</v>
      </c>
      <c r="E6562" s="716">
        <v>56.37</v>
      </c>
      <c r="F6562" s="717">
        <v>0</v>
      </c>
      <c r="G6562">
        <f>VLOOKUP(B6562,'SINAPI-%MO'!B:E,4,0)</f>
        <v>8.14E-2</v>
      </c>
      <c r="H6562" s="225">
        <f t="shared" si="102"/>
        <v>51.78</v>
      </c>
    </row>
    <row r="6563" spans="1:8" x14ac:dyDescent="0.3">
      <c r="A6563" s="400"/>
      <c r="B6563" s="709">
        <v>92645</v>
      </c>
      <c r="C6563" s="710" t="s">
        <v>14146</v>
      </c>
      <c r="D6563" s="709" t="s">
        <v>159</v>
      </c>
      <c r="E6563" s="716">
        <v>60.47</v>
      </c>
      <c r="F6563" s="717">
        <v>0</v>
      </c>
      <c r="G6563">
        <f>VLOOKUP(B6563,'SINAPI-%MO'!B:E,4,0)</f>
        <v>0.14369999999999999</v>
      </c>
      <c r="H6563" s="225">
        <f t="shared" si="102"/>
        <v>51.78</v>
      </c>
    </row>
    <row r="6564" spans="1:8" x14ac:dyDescent="0.3">
      <c r="A6564" s="400"/>
      <c r="B6564" s="709">
        <v>92360</v>
      </c>
      <c r="C6564" s="710" t="s">
        <v>14147</v>
      </c>
      <c r="D6564" s="709" t="s">
        <v>159</v>
      </c>
      <c r="E6564" s="716">
        <v>75.19</v>
      </c>
      <c r="F6564" s="717">
        <v>0</v>
      </c>
      <c r="G6564">
        <f>VLOOKUP(B6564,'SINAPI-%MO'!B:E,4,0)</f>
        <v>7.7100000000000002E-2</v>
      </c>
      <c r="H6564" s="225">
        <f t="shared" si="102"/>
        <v>69.39</v>
      </c>
    </row>
    <row r="6565" spans="1:8" x14ac:dyDescent="0.3">
      <c r="A6565" s="400"/>
      <c r="B6565" s="709">
        <v>92646</v>
      </c>
      <c r="C6565" s="710" t="s">
        <v>14148</v>
      </c>
      <c r="D6565" s="709" t="s">
        <v>159</v>
      </c>
      <c r="E6565" s="716">
        <v>79.3</v>
      </c>
      <c r="F6565" s="717">
        <v>0</v>
      </c>
      <c r="G6565">
        <f>VLOOKUP(B6565,'SINAPI-%MO'!B:E,4,0)</f>
        <v>0.125</v>
      </c>
      <c r="H6565" s="225">
        <f t="shared" si="102"/>
        <v>69.38</v>
      </c>
    </row>
    <row r="6566" spans="1:8" x14ac:dyDescent="0.3">
      <c r="A6566" s="400"/>
      <c r="B6566" s="709">
        <v>95697</v>
      </c>
      <c r="C6566" s="710" t="s">
        <v>14149</v>
      </c>
      <c r="D6566" s="709" t="s">
        <v>159</v>
      </c>
      <c r="E6566" s="716">
        <v>82.83</v>
      </c>
      <c r="F6566" s="717">
        <v>0</v>
      </c>
      <c r="G6566">
        <f>VLOOKUP(B6566,'SINAPI-%MO'!B:E,4,0)</f>
        <v>8.6999999999999994E-2</v>
      </c>
      <c r="H6566" s="225">
        <f t="shared" si="102"/>
        <v>75.62</v>
      </c>
    </row>
    <row r="6567" spans="1:8" x14ac:dyDescent="0.3">
      <c r="A6567" s="400"/>
      <c r="B6567" s="709">
        <v>92648</v>
      </c>
      <c r="C6567" s="710" t="s">
        <v>14150</v>
      </c>
      <c r="D6567" s="709" t="s">
        <v>159</v>
      </c>
      <c r="E6567" s="716">
        <v>86.94</v>
      </c>
      <c r="F6567" s="717">
        <v>0</v>
      </c>
      <c r="G6567">
        <f>VLOOKUP(B6567,'SINAPI-%MO'!B:E,4,0)</f>
        <v>0.13020000000000001</v>
      </c>
      <c r="H6567" s="225">
        <f t="shared" si="102"/>
        <v>75.62</v>
      </c>
    </row>
    <row r="6568" spans="1:8" x14ac:dyDescent="0.3">
      <c r="A6568" s="400"/>
      <c r="B6568" s="709">
        <v>92338</v>
      </c>
      <c r="C6568" s="710" t="s">
        <v>14151</v>
      </c>
      <c r="D6568" s="709" t="s">
        <v>159</v>
      </c>
      <c r="E6568" s="716">
        <v>126.02</v>
      </c>
      <c r="F6568" s="717">
        <v>0</v>
      </c>
      <c r="G6568">
        <f>VLOOKUP(B6568,'SINAPI-%MO'!B:E,4,0)</f>
        <v>0.2636</v>
      </c>
      <c r="H6568" s="225">
        <f t="shared" si="102"/>
        <v>92.8</v>
      </c>
    </row>
    <row r="6569" spans="1:8" x14ac:dyDescent="0.3">
      <c r="A6569" s="400"/>
      <c r="B6569" s="709">
        <v>92361</v>
      </c>
      <c r="C6569" s="710" t="s">
        <v>14152</v>
      </c>
      <c r="D6569" s="709" t="s">
        <v>159</v>
      </c>
      <c r="E6569" s="716">
        <v>101.75</v>
      </c>
      <c r="F6569" s="717">
        <v>0</v>
      </c>
      <c r="G6569">
        <f>VLOOKUP(B6569,'SINAPI-%MO'!B:E,4,0)</f>
        <v>8.7999999999999995E-2</v>
      </c>
      <c r="H6569" s="225">
        <f t="shared" si="102"/>
        <v>92.79</v>
      </c>
    </row>
    <row r="6570" spans="1:8" x14ac:dyDescent="0.3">
      <c r="A6570" s="400"/>
      <c r="B6570" s="709">
        <v>92649</v>
      </c>
      <c r="C6570" s="710" t="s">
        <v>14153</v>
      </c>
      <c r="D6570" s="709" t="s">
        <v>159</v>
      </c>
      <c r="E6570" s="716">
        <v>105.86</v>
      </c>
      <c r="F6570" s="717">
        <v>0</v>
      </c>
      <c r="G6570">
        <f>VLOOKUP(B6570,'SINAPI-%MO'!B:E,4,0)</f>
        <v>0.1234</v>
      </c>
      <c r="H6570" s="225">
        <f t="shared" si="102"/>
        <v>92.79</v>
      </c>
    </row>
    <row r="6571" spans="1:8" x14ac:dyDescent="0.3">
      <c r="A6571" s="400"/>
      <c r="B6571" s="709">
        <v>92339</v>
      </c>
      <c r="C6571" s="710" t="s">
        <v>14154</v>
      </c>
      <c r="D6571" s="709" t="s">
        <v>159</v>
      </c>
      <c r="E6571" s="716">
        <v>184.48</v>
      </c>
      <c r="F6571" s="717">
        <v>0</v>
      </c>
      <c r="G6571">
        <f>VLOOKUP(B6571,'SINAPI-%MO'!B:E,4,0)</f>
        <v>0.185</v>
      </c>
      <c r="H6571" s="225">
        <f t="shared" si="102"/>
        <v>150.35</v>
      </c>
    </row>
    <row r="6572" spans="1:8" x14ac:dyDescent="0.3">
      <c r="A6572" s="400"/>
      <c r="B6572" s="709">
        <v>92362</v>
      </c>
      <c r="C6572" s="710" t="s">
        <v>14155</v>
      </c>
      <c r="D6572" s="709" t="s">
        <v>159</v>
      </c>
      <c r="E6572" s="716">
        <v>161.91999999999999</v>
      </c>
      <c r="F6572" s="717">
        <v>0</v>
      </c>
      <c r="G6572">
        <f>VLOOKUP(B6572,'SINAPI-%MO'!B:E,4,0)</f>
        <v>7.1400000000000005E-2</v>
      </c>
      <c r="H6572" s="225">
        <f t="shared" si="102"/>
        <v>150.35</v>
      </c>
    </row>
    <row r="6573" spans="1:8" x14ac:dyDescent="0.3">
      <c r="A6573" s="400"/>
      <c r="B6573" s="709">
        <v>92650</v>
      </c>
      <c r="C6573" s="710" t="s">
        <v>14156</v>
      </c>
      <c r="D6573" s="709" t="s">
        <v>159</v>
      </c>
      <c r="E6573" s="716">
        <v>166.03</v>
      </c>
      <c r="F6573" s="717">
        <v>0</v>
      </c>
      <c r="G6573">
        <f>VLOOKUP(B6573,'SINAPI-%MO'!B:E,4,0)</f>
        <v>9.4399999999999998E-2</v>
      </c>
      <c r="H6573" s="225">
        <f t="shared" si="102"/>
        <v>150.35</v>
      </c>
    </row>
    <row r="6574" spans="1:8" x14ac:dyDescent="0.3">
      <c r="A6574" s="400"/>
      <c r="B6574" s="709">
        <v>106674</v>
      </c>
      <c r="C6574" s="710" t="s">
        <v>14157</v>
      </c>
      <c r="D6574" s="709" t="s">
        <v>159</v>
      </c>
      <c r="E6574" s="716">
        <v>224.32</v>
      </c>
      <c r="F6574" s="717">
        <v>0</v>
      </c>
      <c r="G6574">
        <f>VLOOKUP(B6574,'SINAPI-%MO'!B:E,4,0)</f>
        <v>0.15609999999999999</v>
      </c>
      <c r="H6574" s="225">
        <f t="shared" si="102"/>
        <v>189.3</v>
      </c>
    </row>
    <row r="6575" spans="1:8" x14ac:dyDescent="0.3">
      <c r="A6575" s="400"/>
      <c r="B6575" s="709">
        <v>106675</v>
      </c>
      <c r="C6575" s="710" t="s">
        <v>14158</v>
      </c>
      <c r="D6575" s="709" t="s">
        <v>159</v>
      </c>
      <c r="E6575" s="716">
        <v>203.48</v>
      </c>
      <c r="F6575" s="717">
        <v>0</v>
      </c>
      <c r="G6575">
        <f>VLOOKUP(B6575,'SINAPI-%MO'!B:E,4,0)</f>
        <v>6.9699999999999998E-2</v>
      </c>
      <c r="H6575" s="225">
        <f t="shared" si="102"/>
        <v>189.29</v>
      </c>
    </row>
    <row r="6576" spans="1:8" x14ac:dyDescent="0.3">
      <c r="A6576" s="400"/>
      <c r="B6576" s="709">
        <v>106676</v>
      </c>
      <c r="C6576" s="710" t="s">
        <v>14159</v>
      </c>
      <c r="D6576" s="709" t="s">
        <v>159</v>
      </c>
      <c r="E6576" s="716">
        <v>207.59</v>
      </c>
      <c r="F6576" s="717">
        <v>0</v>
      </c>
      <c r="G6576">
        <f>VLOOKUP(B6576,'SINAPI-%MO'!B:E,4,0)</f>
        <v>8.8099999999999998E-2</v>
      </c>
      <c r="H6576" s="225">
        <f t="shared" si="102"/>
        <v>189.3</v>
      </c>
    </row>
    <row r="6577" spans="1:8" x14ac:dyDescent="0.3">
      <c r="A6577" s="400"/>
      <c r="B6577" s="709">
        <v>97439</v>
      </c>
      <c r="C6577" s="710" t="s">
        <v>14160</v>
      </c>
      <c r="D6577" s="709" t="s">
        <v>136</v>
      </c>
      <c r="E6577" s="716">
        <v>148.68</v>
      </c>
      <c r="F6577" s="717">
        <v>0.70079999999999998</v>
      </c>
      <c r="G6577">
        <f>VLOOKUP(B6577,'SINAPI-%MO'!B:E,4,0)</f>
        <v>0.2984</v>
      </c>
      <c r="H6577" s="225">
        <f t="shared" si="102"/>
        <v>104.31</v>
      </c>
    </row>
    <row r="6578" spans="1:8" x14ac:dyDescent="0.3">
      <c r="A6578" s="400"/>
      <c r="B6578" s="709">
        <v>97440</v>
      </c>
      <c r="C6578" s="710" t="s">
        <v>14161</v>
      </c>
      <c r="D6578" s="709" t="s">
        <v>136</v>
      </c>
      <c r="E6578" s="716">
        <v>172.44</v>
      </c>
      <c r="F6578" s="717">
        <v>0.7329</v>
      </c>
      <c r="G6578">
        <f>VLOOKUP(B6578,'SINAPI-%MO'!B:E,4,0)</f>
        <v>0.26600000000000001</v>
      </c>
      <c r="H6578" s="225">
        <f t="shared" si="102"/>
        <v>126.57</v>
      </c>
    </row>
    <row r="6579" spans="1:8" x14ac:dyDescent="0.3">
      <c r="A6579" s="400"/>
      <c r="B6579" s="709">
        <v>97442</v>
      </c>
      <c r="C6579" s="710" t="s">
        <v>14162</v>
      </c>
      <c r="D6579" s="709" t="s">
        <v>136</v>
      </c>
      <c r="E6579" s="716">
        <v>186.49</v>
      </c>
      <c r="F6579" s="717">
        <v>0.74439999999999995</v>
      </c>
      <c r="G6579">
        <f>VLOOKUP(B6579,'SINAPI-%MO'!B:E,4,0)</f>
        <v>0.25409999999999999</v>
      </c>
      <c r="H6579" s="225">
        <f t="shared" si="102"/>
        <v>139.1</v>
      </c>
    </row>
    <row r="6580" spans="1:8" x14ac:dyDescent="0.3">
      <c r="A6580" s="400"/>
      <c r="B6580" s="709">
        <v>97552</v>
      </c>
      <c r="C6580" s="710" t="s">
        <v>14163</v>
      </c>
      <c r="D6580" s="709" t="s">
        <v>136</v>
      </c>
      <c r="E6580" s="716">
        <v>65.73</v>
      </c>
      <c r="F6580" s="717">
        <v>0</v>
      </c>
      <c r="G6580">
        <f>VLOOKUP(B6580,'SINAPI-%MO'!B:E,4,0)</f>
        <v>0.3024</v>
      </c>
      <c r="H6580" s="225">
        <f t="shared" si="102"/>
        <v>45.85</v>
      </c>
    </row>
    <row r="6581" spans="1:8" x14ac:dyDescent="0.3">
      <c r="A6581" s="400"/>
      <c r="B6581" s="709">
        <v>97553</v>
      </c>
      <c r="C6581" s="710" t="s">
        <v>14164</v>
      </c>
      <c r="D6581" s="709" t="s">
        <v>136</v>
      </c>
      <c r="E6581" s="716">
        <v>93.18</v>
      </c>
      <c r="F6581" s="717">
        <v>0</v>
      </c>
      <c r="G6581">
        <f>VLOOKUP(B6581,'SINAPI-%MO'!B:E,4,0)</f>
        <v>0.36620000000000003</v>
      </c>
      <c r="H6581" s="225">
        <f t="shared" si="102"/>
        <v>59.05</v>
      </c>
    </row>
    <row r="6582" spans="1:8" x14ac:dyDescent="0.3">
      <c r="A6582" s="400"/>
      <c r="B6582" s="709">
        <v>97554</v>
      </c>
      <c r="C6582" s="710" t="s">
        <v>14165</v>
      </c>
      <c r="D6582" s="709" t="s">
        <v>136</v>
      </c>
      <c r="E6582" s="716">
        <v>159.08000000000001</v>
      </c>
      <c r="F6582" s="717">
        <v>0</v>
      </c>
      <c r="G6582">
        <f>VLOOKUP(B6582,'SINAPI-%MO'!B:E,4,0)</f>
        <v>0.41710000000000003</v>
      </c>
      <c r="H6582" s="225">
        <f t="shared" si="102"/>
        <v>92.72</v>
      </c>
    </row>
    <row r="6583" spans="1:8" x14ac:dyDescent="0.3">
      <c r="A6583" s="400"/>
      <c r="B6583" s="709">
        <v>97491</v>
      </c>
      <c r="C6583" s="710" t="s">
        <v>14166</v>
      </c>
      <c r="D6583" s="709" t="s">
        <v>136</v>
      </c>
      <c r="E6583" s="716">
        <v>117.91</v>
      </c>
      <c r="F6583" s="717">
        <v>0</v>
      </c>
      <c r="G6583">
        <f>VLOOKUP(B6583,'SINAPI-%MO'!B:E,4,0)</f>
        <v>0.21360000000000001</v>
      </c>
      <c r="H6583" s="225">
        <f t="shared" si="102"/>
        <v>92.72</v>
      </c>
    </row>
    <row r="6584" spans="1:8" x14ac:dyDescent="0.3">
      <c r="A6584" s="400"/>
      <c r="B6584" s="709">
        <v>97529</v>
      </c>
      <c r="C6584" s="710" t="s">
        <v>14167</v>
      </c>
      <c r="D6584" s="709" t="s">
        <v>136</v>
      </c>
      <c r="E6584" s="716">
        <v>112.84</v>
      </c>
      <c r="F6584" s="717">
        <v>0</v>
      </c>
      <c r="G6584">
        <f>VLOOKUP(B6584,'SINAPI-%MO'!B:E,4,0)</f>
        <v>0.17829999999999999</v>
      </c>
      <c r="H6584" s="225">
        <f t="shared" si="102"/>
        <v>92.72</v>
      </c>
    </row>
    <row r="6585" spans="1:8" x14ac:dyDescent="0.3">
      <c r="A6585" s="400"/>
      <c r="B6585" s="709">
        <v>97492</v>
      </c>
      <c r="C6585" s="710" t="s">
        <v>14168</v>
      </c>
      <c r="D6585" s="709" t="s">
        <v>136</v>
      </c>
      <c r="E6585" s="716">
        <v>173.99</v>
      </c>
      <c r="F6585" s="717">
        <v>0</v>
      </c>
      <c r="G6585">
        <f>VLOOKUP(B6585,'SINAPI-%MO'!B:E,4,0)</f>
        <v>0.18329999999999999</v>
      </c>
      <c r="H6585" s="225">
        <f t="shared" si="102"/>
        <v>142.09</v>
      </c>
    </row>
    <row r="6586" spans="1:8" x14ac:dyDescent="0.3">
      <c r="A6586" s="400"/>
      <c r="B6586" s="709">
        <v>97530</v>
      </c>
      <c r="C6586" s="710" t="s">
        <v>14169</v>
      </c>
      <c r="D6586" s="709" t="s">
        <v>136</v>
      </c>
      <c r="E6586" s="716">
        <v>165.05</v>
      </c>
      <c r="F6586" s="717">
        <v>0</v>
      </c>
      <c r="G6586">
        <f>VLOOKUP(B6586,'SINAPI-%MO'!B:E,4,0)</f>
        <v>0.13900000000000001</v>
      </c>
      <c r="H6586" s="225">
        <f t="shared" si="102"/>
        <v>142.1</v>
      </c>
    </row>
    <row r="6587" spans="1:8" x14ac:dyDescent="0.3">
      <c r="A6587" s="400"/>
      <c r="B6587" s="709">
        <v>97493</v>
      </c>
      <c r="C6587" s="710" t="s">
        <v>14170</v>
      </c>
      <c r="D6587" s="709" t="s">
        <v>136</v>
      </c>
      <c r="E6587" s="716">
        <v>224.47</v>
      </c>
      <c r="F6587" s="717">
        <v>0</v>
      </c>
      <c r="G6587">
        <f>VLOOKUP(B6587,'SINAPI-%MO'!B:E,4,0)</f>
        <v>0.17610000000000001</v>
      </c>
      <c r="H6587" s="225">
        <f t="shared" si="102"/>
        <v>184.94</v>
      </c>
    </row>
    <row r="6588" spans="1:8" x14ac:dyDescent="0.3">
      <c r="A6588" s="400"/>
      <c r="B6588" s="709">
        <v>97531</v>
      </c>
      <c r="C6588" s="710" t="s">
        <v>14171</v>
      </c>
      <c r="D6588" s="709" t="s">
        <v>136</v>
      </c>
      <c r="E6588" s="716">
        <v>211.12</v>
      </c>
      <c r="F6588" s="717">
        <v>0</v>
      </c>
      <c r="G6588">
        <f>VLOOKUP(B6588,'SINAPI-%MO'!B:E,4,0)</f>
        <v>0.1241</v>
      </c>
      <c r="H6588" s="225">
        <f t="shared" si="102"/>
        <v>184.92</v>
      </c>
    </row>
    <row r="6589" spans="1:8" x14ac:dyDescent="0.3">
      <c r="A6589" s="400"/>
      <c r="B6589" s="709">
        <v>97458</v>
      </c>
      <c r="C6589" s="710" t="s">
        <v>14172</v>
      </c>
      <c r="D6589" s="709" t="s">
        <v>136</v>
      </c>
      <c r="E6589" s="716">
        <v>392.81</v>
      </c>
      <c r="F6589" s="717">
        <v>0</v>
      </c>
      <c r="G6589">
        <f>VLOOKUP(B6589,'SINAPI-%MO'!B:E,4,0)</f>
        <v>0.22839999999999999</v>
      </c>
      <c r="H6589" s="225">
        <f t="shared" si="102"/>
        <v>303.08999999999997</v>
      </c>
    </row>
    <row r="6590" spans="1:8" x14ac:dyDescent="0.3">
      <c r="A6590" s="400"/>
      <c r="B6590" s="709">
        <v>97494</v>
      </c>
      <c r="C6590" s="710" t="s">
        <v>14173</v>
      </c>
      <c r="D6590" s="709" t="s">
        <v>136</v>
      </c>
      <c r="E6590" s="716">
        <v>352.19</v>
      </c>
      <c r="F6590" s="717">
        <v>0</v>
      </c>
      <c r="G6590">
        <f>VLOOKUP(B6590,'SINAPI-%MO'!B:E,4,0)</f>
        <v>0.1394</v>
      </c>
      <c r="H6590" s="225">
        <f t="shared" si="102"/>
        <v>303.08999999999997</v>
      </c>
    </row>
    <row r="6591" spans="1:8" x14ac:dyDescent="0.3">
      <c r="A6591" s="400"/>
      <c r="B6591" s="709">
        <v>97532</v>
      </c>
      <c r="C6591" s="710" t="s">
        <v>14174</v>
      </c>
      <c r="D6591" s="709" t="s">
        <v>136</v>
      </c>
      <c r="E6591" s="716">
        <v>333.3</v>
      </c>
      <c r="F6591" s="717">
        <v>0</v>
      </c>
      <c r="G6591">
        <f>VLOOKUP(B6591,'SINAPI-%MO'!B:E,4,0)</f>
        <v>9.0700000000000003E-2</v>
      </c>
      <c r="H6591" s="225">
        <f t="shared" si="102"/>
        <v>303.06</v>
      </c>
    </row>
    <row r="6592" spans="1:8" x14ac:dyDescent="0.3">
      <c r="A6592" s="400"/>
      <c r="B6592" s="709">
        <v>97459</v>
      </c>
      <c r="C6592" s="710" t="s">
        <v>14175</v>
      </c>
      <c r="D6592" s="709" t="s">
        <v>136</v>
      </c>
      <c r="E6592" s="716">
        <v>683.22</v>
      </c>
      <c r="F6592" s="717">
        <v>0</v>
      </c>
      <c r="G6592">
        <f>VLOOKUP(B6592,'SINAPI-%MO'!B:E,4,0)</f>
        <v>0.13489999999999999</v>
      </c>
      <c r="H6592" s="225">
        <f t="shared" si="102"/>
        <v>591.04999999999995</v>
      </c>
    </row>
    <row r="6593" spans="1:8" x14ac:dyDescent="0.3">
      <c r="A6593" s="400"/>
      <c r="B6593" s="709">
        <v>97495</v>
      </c>
      <c r="C6593" s="710" t="s">
        <v>14176</v>
      </c>
      <c r="D6593" s="709" t="s">
        <v>136</v>
      </c>
      <c r="E6593" s="716">
        <v>654.5</v>
      </c>
      <c r="F6593" s="717">
        <v>0</v>
      </c>
      <c r="G6593">
        <f>VLOOKUP(B6593,'SINAPI-%MO'!B:E,4,0)</f>
        <v>9.69E-2</v>
      </c>
      <c r="H6593" s="225">
        <f t="shared" si="102"/>
        <v>591.07000000000005</v>
      </c>
    </row>
    <row r="6594" spans="1:8" x14ac:dyDescent="0.3">
      <c r="A6594" s="400"/>
      <c r="B6594" s="709">
        <v>97533</v>
      </c>
      <c r="C6594" s="710" t="s">
        <v>14177</v>
      </c>
      <c r="D6594" s="709" t="s">
        <v>136</v>
      </c>
      <c r="E6594" s="716">
        <v>627.33000000000004</v>
      </c>
      <c r="F6594" s="717">
        <v>0</v>
      </c>
      <c r="G6594">
        <f>VLOOKUP(B6594,'SINAPI-%MO'!B:E,4,0)</f>
        <v>5.7799999999999997E-2</v>
      </c>
      <c r="H6594" s="225">
        <f t="shared" si="102"/>
        <v>591.07000000000005</v>
      </c>
    </row>
    <row r="6595" spans="1:8" x14ac:dyDescent="0.3">
      <c r="A6595" s="400"/>
      <c r="B6595" s="709">
        <v>97460</v>
      </c>
      <c r="C6595" s="710" t="s">
        <v>14178</v>
      </c>
      <c r="D6595" s="709" t="s">
        <v>136</v>
      </c>
      <c r="E6595" s="716">
        <v>1059.72</v>
      </c>
      <c r="F6595" s="717">
        <v>0</v>
      </c>
      <c r="G6595">
        <f>VLOOKUP(B6595,'SINAPI-%MO'!B:E,4,0)</f>
        <v>8.9300000000000004E-2</v>
      </c>
      <c r="H6595" s="225">
        <f t="shared" si="102"/>
        <v>965.08</v>
      </c>
    </row>
    <row r="6596" spans="1:8" x14ac:dyDescent="0.3">
      <c r="A6596" s="400"/>
      <c r="B6596" s="709">
        <v>97496</v>
      </c>
      <c r="C6596" s="710" t="s">
        <v>14179</v>
      </c>
      <c r="D6596" s="709" t="s">
        <v>136</v>
      </c>
      <c r="E6596" s="716">
        <v>1042.93</v>
      </c>
      <c r="F6596" s="717">
        <v>0</v>
      </c>
      <c r="G6596">
        <f>VLOOKUP(B6596,'SINAPI-%MO'!B:E,4,0)</f>
        <v>7.46E-2</v>
      </c>
      <c r="H6596" s="225">
        <f t="shared" si="102"/>
        <v>965.12</v>
      </c>
    </row>
    <row r="6597" spans="1:8" x14ac:dyDescent="0.3">
      <c r="A6597" s="400"/>
      <c r="B6597" s="709">
        <v>97534</v>
      </c>
      <c r="C6597" s="710" t="s">
        <v>14180</v>
      </c>
      <c r="D6597" s="709" t="s">
        <v>136</v>
      </c>
      <c r="E6597" s="716">
        <v>1007.46</v>
      </c>
      <c r="F6597" s="717">
        <v>0</v>
      </c>
      <c r="G6597">
        <f>VLOOKUP(B6597,'SINAPI-%MO'!B:E,4,0)</f>
        <v>4.2000000000000003E-2</v>
      </c>
      <c r="H6597" s="225">
        <f t="shared" si="102"/>
        <v>965.14</v>
      </c>
    </row>
    <row r="6598" spans="1:8" x14ac:dyDescent="0.3">
      <c r="A6598" s="400"/>
      <c r="B6598" s="709">
        <v>101926</v>
      </c>
      <c r="C6598" s="710" t="s">
        <v>14181</v>
      </c>
      <c r="D6598" s="709" t="s">
        <v>136</v>
      </c>
      <c r="E6598" s="716">
        <v>343.2</v>
      </c>
      <c r="F6598" s="717">
        <v>0</v>
      </c>
      <c r="G6598">
        <f>VLOOKUP(B6598,'SINAPI-%MO'!B:E,4,0)</f>
        <v>0.2747</v>
      </c>
      <c r="H6598" s="225">
        <f t="shared" si="102"/>
        <v>248.92</v>
      </c>
    </row>
    <row r="6599" spans="1:8" x14ac:dyDescent="0.3">
      <c r="A6599" s="400"/>
      <c r="B6599" s="709">
        <v>101935</v>
      </c>
      <c r="C6599" s="710" t="s">
        <v>14182</v>
      </c>
      <c r="D6599" s="709" t="s">
        <v>136</v>
      </c>
      <c r="E6599" s="716">
        <v>359.55</v>
      </c>
      <c r="F6599" s="717">
        <v>0</v>
      </c>
      <c r="G6599">
        <f>VLOOKUP(B6599,'SINAPI-%MO'!B:E,4,0)</f>
        <v>0.30769999999999997</v>
      </c>
      <c r="H6599" s="225">
        <f t="shared" si="102"/>
        <v>248.91</v>
      </c>
    </row>
    <row r="6600" spans="1:8" x14ac:dyDescent="0.3">
      <c r="A6600" s="400"/>
      <c r="B6600" s="709">
        <v>92704</v>
      </c>
      <c r="C6600" s="710" t="s">
        <v>14183</v>
      </c>
      <c r="D6600" s="709" t="s">
        <v>136</v>
      </c>
      <c r="E6600" s="716">
        <v>26.55</v>
      </c>
      <c r="F6600" s="717">
        <v>0</v>
      </c>
      <c r="G6600">
        <f>VLOOKUP(B6600,'SINAPI-%MO'!B:E,4,0)</f>
        <v>0.70550000000000002</v>
      </c>
      <c r="H6600" s="225">
        <f t="shared" si="102"/>
        <v>7.81</v>
      </c>
    </row>
    <row r="6601" spans="1:8" x14ac:dyDescent="0.3">
      <c r="A6601" s="400"/>
      <c r="B6601" s="709">
        <v>92705</v>
      </c>
      <c r="C6601" s="710" t="s">
        <v>14184</v>
      </c>
      <c r="D6601" s="709" t="s">
        <v>136</v>
      </c>
      <c r="E6601" s="716">
        <v>43.22</v>
      </c>
      <c r="F6601" s="717">
        <v>0</v>
      </c>
      <c r="G6601">
        <f>VLOOKUP(B6601,'SINAPI-%MO'!B:E,4,0)</f>
        <v>0.74360000000000004</v>
      </c>
      <c r="H6601" s="225">
        <f t="shared" si="102"/>
        <v>11.08</v>
      </c>
    </row>
    <row r="6602" spans="1:8" x14ac:dyDescent="0.3">
      <c r="A6602" s="400"/>
      <c r="B6602" s="709">
        <v>92706</v>
      </c>
      <c r="C6602" s="710" t="s">
        <v>14185</v>
      </c>
      <c r="D6602" s="709" t="s">
        <v>136</v>
      </c>
      <c r="E6602" s="716">
        <v>69.98</v>
      </c>
      <c r="F6602" s="717">
        <v>0</v>
      </c>
      <c r="G6602">
        <f>VLOOKUP(B6602,'SINAPI-%MO'!B:E,4,0)</f>
        <v>0.74719999999999998</v>
      </c>
      <c r="H6602" s="225">
        <f t="shared" si="102"/>
        <v>17.690000000000001</v>
      </c>
    </row>
    <row r="6603" spans="1:8" x14ac:dyDescent="0.3">
      <c r="A6603" s="400"/>
      <c r="B6603" s="709">
        <v>92637</v>
      </c>
      <c r="C6603" s="710" t="s">
        <v>14186</v>
      </c>
      <c r="D6603" s="709" t="s">
        <v>136</v>
      </c>
      <c r="E6603" s="716">
        <v>141.66</v>
      </c>
      <c r="F6603" s="717">
        <v>0</v>
      </c>
      <c r="G6603">
        <f>VLOOKUP(B6603,'SINAPI-%MO'!B:E,4,0)</f>
        <v>0.35289999999999999</v>
      </c>
      <c r="H6603" s="225">
        <f t="shared" ref="H6603:H6666" si="103">IF(E6603&gt;0,TRUNC(E6603*(1-G6603),2),"")</f>
        <v>91.66</v>
      </c>
    </row>
    <row r="6604" spans="1:8" x14ac:dyDescent="0.3">
      <c r="A6604" s="400"/>
      <c r="B6604" s="709">
        <v>92681</v>
      </c>
      <c r="C6604" s="710" t="s">
        <v>14187</v>
      </c>
      <c r="D6604" s="709" t="s">
        <v>136</v>
      </c>
      <c r="E6604" s="716">
        <v>50.07</v>
      </c>
      <c r="F6604" s="717">
        <v>0</v>
      </c>
      <c r="G6604">
        <f>VLOOKUP(B6604,'SINAPI-%MO'!B:E,4,0)</f>
        <v>0.64670000000000005</v>
      </c>
      <c r="H6604" s="225">
        <f t="shared" si="103"/>
        <v>17.68</v>
      </c>
    </row>
    <row r="6605" spans="1:8" x14ac:dyDescent="0.3">
      <c r="A6605" s="400"/>
      <c r="B6605" s="709">
        <v>92638</v>
      </c>
      <c r="C6605" s="710" t="s">
        <v>14188</v>
      </c>
      <c r="D6605" s="709" t="s">
        <v>136</v>
      </c>
      <c r="E6605" s="716">
        <v>196.32</v>
      </c>
      <c r="F6605" s="717">
        <v>0</v>
      </c>
      <c r="G6605">
        <f>VLOOKUP(B6605,'SINAPI-%MO'!B:E,4,0)</f>
        <v>0.28349999999999997</v>
      </c>
      <c r="H6605" s="225">
        <f t="shared" si="103"/>
        <v>140.66</v>
      </c>
    </row>
    <row r="6606" spans="1:8" x14ac:dyDescent="0.3">
      <c r="A6606" s="400"/>
      <c r="B6606" s="709">
        <v>92682</v>
      </c>
      <c r="C6606" s="710" t="s">
        <v>14189</v>
      </c>
      <c r="D6606" s="709" t="s">
        <v>136</v>
      </c>
      <c r="E6606" s="716">
        <v>62.55</v>
      </c>
      <c r="F6606" s="717">
        <v>0</v>
      </c>
      <c r="G6606">
        <f>VLOOKUP(B6606,'SINAPI-%MO'!B:E,4,0)</f>
        <v>0.56950000000000001</v>
      </c>
      <c r="H6606" s="225">
        <f t="shared" si="103"/>
        <v>26.92</v>
      </c>
    </row>
    <row r="6607" spans="1:8" x14ac:dyDescent="0.3">
      <c r="A6607" s="400"/>
      <c r="B6607" s="709">
        <v>92639</v>
      </c>
      <c r="C6607" s="710" t="s">
        <v>14190</v>
      </c>
      <c r="D6607" s="709" t="s">
        <v>136</v>
      </c>
      <c r="E6607" s="716">
        <v>245.31</v>
      </c>
      <c r="F6607" s="717">
        <v>0</v>
      </c>
      <c r="G6607">
        <f>VLOOKUP(B6607,'SINAPI-%MO'!B:E,4,0)</f>
        <v>0.25319999999999998</v>
      </c>
      <c r="H6607" s="225">
        <f t="shared" si="103"/>
        <v>183.19</v>
      </c>
    </row>
    <row r="6608" spans="1:8" x14ac:dyDescent="0.3">
      <c r="A6608" s="400"/>
      <c r="B6608" s="709">
        <v>92683</v>
      </c>
      <c r="C6608" s="710" t="s">
        <v>14191</v>
      </c>
      <c r="D6608" s="709" t="s">
        <v>136</v>
      </c>
      <c r="E6608" s="716">
        <v>73.38</v>
      </c>
      <c r="F6608" s="717">
        <v>0</v>
      </c>
      <c r="G6608">
        <f>VLOOKUP(B6608,'SINAPI-%MO'!B:E,4,0)</f>
        <v>0.53610000000000002</v>
      </c>
      <c r="H6608" s="225">
        <f t="shared" si="103"/>
        <v>34.04</v>
      </c>
    </row>
    <row r="6609" spans="1:8" x14ac:dyDescent="0.3">
      <c r="A6609" s="400"/>
      <c r="B6609" s="709">
        <v>92640</v>
      </c>
      <c r="C6609" s="710" t="s">
        <v>14192</v>
      </c>
      <c r="D6609" s="709" t="s">
        <v>136</v>
      </c>
      <c r="E6609" s="716">
        <v>123.88</v>
      </c>
      <c r="F6609" s="717">
        <v>0</v>
      </c>
      <c r="G6609">
        <f>VLOOKUP(B6609,'SINAPI-%MO'!B:E,4,0)</f>
        <v>0.56679999999999997</v>
      </c>
      <c r="H6609" s="225">
        <f t="shared" si="103"/>
        <v>53.66</v>
      </c>
    </row>
    <row r="6610" spans="1:8" x14ac:dyDescent="0.3">
      <c r="A6610" s="400"/>
      <c r="B6610" s="709">
        <v>92684</v>
      </c>
      <c r="C6610" s="710" t="s">
        <v>14193</v>
      </c>
      <c r="D6610" s="709" t="s">
        <v>136</v>
      </c>
      <c r="E6610" s="716">
        <v>97.65</v>
      </c>
      <c r="F6610" s="717">
        <v>0</v>
      </c>
      <c r="G6610">
        <f>VLOOKUP(B6610,'SINAPI-%MO'!B:E,4,0)</f>
        <v>0.45040000000000002</v>
      </c>
      <c r="H6610" s="225">
        <f t="shared" si="103"/>
        <v>53.66</v>
      </c>
    </row>
    <row r="6611" spans="1:8" x14ac:dyDescent="0.3">
      <c r="A6611" s="400"/>
      <c r="B6611" s="709">
        <v>92642</v>
      </c>
      <c r="C6611" s="710" t="s">
        <v>14194</v>
      </c>
      <c r="D6611" s="709" t="s">
        <v>136</v>
      </c>
      <c r="E6611" s="716">
        <v>183.62</v>
      </c>
      <c r="F6611" s="717">
        <v>0</v>
      </c>
      <c r="G6611">
        <f>VLOOKUP(B6611,'SINAPI-%MO'!B:E,4,0)</f>
        <v>0.44840000000000002</v>
      </c>
      <c r="H6611" s="225">
        <f t="shared" si="103"/>
        <v>101.28</v>
      </c>
    </row>
    <row r="6612" spans="1:8" x14ac:dyDescent="0.3">
      <c r="A6612" s="400"/>
      <c r="B6612" s="709">
        <v>92685</v>
      </c>
      <c r="C6612" s="710" t="s">
        <v>14195</v>
      </c>
      <c r="D6612" s="709" t="s">
        <v>136</v>
      </c>
      <c r="E6612" s="716">
        <v>152.22999999999999</v>
      </c>
      <c r="F6612" s="717">
        <v>0</v>
      </c>
      <c r="G6612">
        <f>VLOOKUP(B6612,'SINAPI-%MO'!B:E,4,0)</f>
        <v>0.33460000000000001</v>
      </c>
      <c r="H6612" s="225">
        <f t="shared" si="103"/>
        <v>101.29</v>
      </c>
    </row>
    <row r="6613" spans="1:8" x14ac:dyDescent="0.3">
      <c r="A6613" s="400"/>
      <c r="B6613" s="709">
        <v>92644</v>
      </c>
      <c r="C6613" s="710" t="s">
        <v>14196</v>
      </c>
      <c r="D6613" s="709" t="s">
        <v>136</v>
      </c>
      <c r="E6613" s="716">
        <v>229.92</v>
      </c>
      <c r="F6613" s="717">
        <v>0</v>
      </c>
      <c r="G6613">
        <f>VLOOKUP(B6613,'SINAPI-%MO'!B:E,4,0)</f>
        <v>0.4108</v>
      </c>
      <c r="H6613" s="225">
        <f t="shared" si="103"/>
        <v>135.46</v>
      </c>
    </row>
    <row r="6614" spans="1:8" x14ac:dyDescent="0.3">
      <c r="A6614" s="400"/>
      <c r="B6614" s="709">
        <v>92686</v>
      </c>
      <c r="C6614" s="710" t="s">
        <v>14197</v>
      </c>
      <c r="D6614" s="709" t="s">
        <v>136</v>
      </c>
      <c r="E6614" s="716">
        <v>193.36</v>
      </c>
      <c r="F6614" s="717">
        <v>0</v>
      </c>
      <c r="G6614">
        <f>VLOOKUP(B6614,'SINAPI-%MO'!B:E,4,0)</f>
        <v>0.2994</v>
      </c>
      <c r="H6614" s="225">
        <f t="shared" si="103"/>
        <v>135.46</v>
      </c>
    </row>
    <row r="6615" spans="1:8" x14ac:dyDescent="0.3">
      <c r="A6615" s="400"/>
      <c r="B6615" s="709">
        <v>92356</v>
      </c>
      <c r="C6615" s="710" t="s">
        <v>14198</v>
      </c>
      <c r="D6615" s="709" t="s">
        <v>136</v>
      </c>
      <c r="E6615" s="716">
        <v>131.08000000000001</v>
      </c>
      <c r="F6615" s="717">
        <v>0</v>
      </c>
      <c r="G6615">
        <f>VLOOKUP(B6615,'SINAPI-%MO'!B:E,4,0)</f>
        <v>0.59060000000000001</v>
      </c>
      <c r="H6615" s="225">
        <f t="shared" si="103"/>
        <v>53.66</v>
      </c>
    </row>
    <row r="6616" spans="1:8" x14ac:dyDescent="0.3">
      <c r="A6616" s="400"/>
      <c r="B6616" s="709">
        <v>92357</v>
      </c>
      <c r="C6616" s="710" t="s">
        <v>14199</v>
      </c>
      <c r="D6616" s="709" t="s">
        <v>136</v>
      </c>
      <c r="E6616" s="716">
        <v>183.76</v>
      </c>
      <c r="F6616" s="717">
        <v>0</v>
      </c>
      <c r="G6616">
        <f>VLOOKUP(B6616,'SINAPI-%MO'!B:E,4,0)</f>
        <v>0.44879999999999998</v>
      </c>
      <c r="H6616" s="225">
        <f t="shared" si="103"/>
        <v>101.28</v>
      </c>
    </row>
    <row r="6617" spans="1:8" x14ac:dyDescent="0.3">
      <c r="A6617" s="400"/>
      <c r="B6617" s="709">
        <v>92358</v>
      </c>
      <c r="C6617" s="710" t="s">
        <v>14200</v>
      </c>
      <c r="D6617" s="709" t="s">
        <v>136</v>
      </c>
      <c r="E6617" s="716">
        <v>222.98</v>
      </c>
      <c r="F6617" s="717">
        <v>0</v>
      </c>
      <c r="G6617">
        <f>VLOOKUP(B6617,'SINAPI-%MO'!B:E,4,0)</f>
        <v>0.39250000000000002</v>
      </c>
      <c r="H6617" s="225">
        <f t="shared" si="103"/>
        <v>135.46</v>
      </c>
    </row>
    <row r="6618" spans="1:8" x14ac:dyDescent="0.3">
      <c r="A6618" s="400"/>
      <c r="B6618" s="709">
        <v>101919</v>
      </c>
      <c r="C6618" s="710" t="s">
        <v>14201</v>
      </c>
      <c r="D6618" s="709" t="s">
        <v>136</v>
      </c>
      <c r="E6618" s="716">
        <v>339.53</v>
      </c>
      <c r="F6618" s="717">
        <v>0</v>
      </c>
      <c r="G6618">
        <f>VLOOKUP(B6618,'SINAPI-%MO'!B:E,4,0)</f>
        <v>0.13880000000000001</v>
      </c>
      <c r="H6618" s="225">
        <f t="shared" si="103"/>
        <v>292.39999999999998</v>
      </c>
    </row>
    <row r="6619" spans="1:8" x14ac:dyDescent="0.3">
      <c r="A6619" s="400"/>
      <c r="B6619" s="709">
        <v>101928</v>
      </c>
      <c r="C6619" s="710" t="s">
        <v>14202</v>
      </c>
      <c r="D6619" s="709" t="s">
        <v>136</v>
      </c>
      <c r="E6619" s="716">
        <v>347.7</v>
      </c>
      <c r="F6619" s="717">
        <v>0</v>
      </c>
      <c r="G6619">
        <f>VLOOKUP(B6619,'SINAPI-%MO'!B:E,4,0)</f>
        <v>0.159</v>
      </c>
      <c r="H6619" s="225">
        <f t="shared" si="103"/>
        <v>292.41000000000003</v>
      </c>
    </row>
    <row r="6620" spans="1:8" x14ac:dyDescent="0.3">
      <c r="A6620" s="400"/>
      <c r="B6620" s="709">
        <v>92904</v>
      </c>
      <c r="C6620" s="710" t="s">
        <v>14203</v>
      </c>
      <c r="D6620" s="709" t="s">
        <v>136</v>
      </c>
      <c r="E6620" s="716">
        <v>28.87</v>
      </c>
      <c r="F6620" s="717">
        <v>0</v>
      </c>
      <c r="G6620">
        <f>VLOOKUP(B6620,'SINAPI-%MO'!B:E,4,0)</f>
        <v>0.32419999999999999</v>
      </c>
      <c r="H6620" s="225">
        <f t="shared" si="103"/>
        <v>19.510000000000002</v>
      </c>
    </row>
    <row r="6621" spans="1:8" x14ac:dyDescent="0.3">
      <c r="A6621" s="400"/>
      <c r="B6621" s="709">
        <v>92905</v>
      </c>
      <c r="C6621" s="710" t="s">
        <v>14204</v>
      </c>
      <c r="D6621" s="709" t="s">
        <v>136</v>
      </c>
      <c r="E6621" s="716">
        <v>41.9</v>
      </c>
      <c r="F6621" s="717">
        <v>0</v>
      </c>
      <c r="G6621">
        <f>VLOOKUP(B6621,'SINAPI-%MO'!B:E,4,0)</f>
        <v>0.38350000000000001</v>
      </c>
      <c r="H6621" s="225">
        <f t="shared" si="103"/>
        <v>25.83</v>
      </c>
    </row>
    <row r="6622" spans="1:8" x14ac:dyDescent="0.3">
      <c r="A6622" s="400"/>
      <c r="B6622" s="709">
        <v>92906</v>
      </c>
      <c r="C6622" s="710" t="s">
        <v>14205</v>
      </c>
      <c r="D6622" s="709" t="s">
        <v>136</v>
      </c>
      <c r="E6622" s="716">
        <v>52.92</v>
      </c>
      <c r="F6622" s="717">
        <v>0</v>
      </c>
      <c r="G6622">
        <f>VLOOKUP(B6622,'SINAPI-%MO'!B:E,4,0)</f>
        <v>0.49399999999999999</v>
      </c>
      <c r="H6622" s="225">
        <f t="shared" si="103"/>
        <v>26.77</v>
      </c>
    </row>
    <row r="6623" spans="1:8" x14ac:dyDescent="0.3">
      <c r="A6623" s="400"/>
      <c r="B6623" s="709">
        <v>92898</v>
      </c>
      <c r="C6623" s="710" t="s">
        <v>14206</v>
      </c>
      <c r="D6623" s="709" t="s">
        <v>136</v>
      </c>
      <c r="E6623" s="716">
        <v>42.96</v>
      </c>
      <c r="F6623" s="717">
        <v>0</v>
      </c>
      <c r="G6623">
        <f>VLOOKUP(B6623,'SINAPI-%MO'!B:E,4,0)</f>
        <v>0.37659999999999999</v>
      </c>
      <c r="H6623" s="225">
        <f t="shared" si="103"/>
        <v>26.78</v>
      </c>
    </row>
    <row r="6624" spans="1:8" x14ac:dyDescent="0.3">
      <c r="A6624" s="400"/>
      <c r="B6624" s="709">
        <v>92899</v>
      </c>
      <c r="C6624" s="710" t="s">
        <v>14207</v>
      </c>
      <c r="D6624" s="709" t="s">
        <v>136</v>
      </c>
      <c r="E6624" s="716">
        <v>62.46</v>
      </c>
      <c r="F6624" s="717">
        <v>0</v>
      </c>
      <c r="G6624">
        <f>VLOOKUP(B6624,'SINAPI-%MO'!B:E,4,0)</f>
        <v>0.28510000000000002</v>
      </c>
      <c r="H6624" s="225">
        <f t="shared" si="103"/>
        <v>44.65</v>
      </c>
    </row>
    <row r="6625" spans="1:8" x14ac:dyDescent="0.3">
      <c r="A6625" s="400"/>
      <c r="B6625" s="709">
        <v>92900</v>
      </c>
      <c r="C6625" s="710" t="s">
        <v>14208</v>
      </c>
      <c r="D6625" s="709" t="s">
        <v>136</v>
      </c>
      <c r="E6625" s="716">
        <v>75.19</v>
      </c>
      <c r="F6625" s="717">
        <v>0</v>
      </c>
      <c r="G6625">
        <f>VLOOKUP(B6625,'SINAPI-%MO'!B:E,4,0)</f>
        <v>0.26150000000000001</v>
      </c>
      <c r="H6625" s="225">
        <f t="shared" si="103"/>
        <v>55.52</v>
      </c>
    </row>
    <row r="6626" spans="1:8" x14ac:dyDescent="0.3">
      <c r="A6626" s="400"/>
      <c r="B6626" s="709">
        <v>92901</v>
      </c>
      <c r="C6626" s="710" t="s">
        <v>14209</v>
      </c>
      <c r="D6626" s="709" t="s">
        <v>136</v>
      </c>
      <c r="E6626" s="716">
        <v>103.54</v>
      </c>
      <c r="F6626" s="717">
        <v>0</v>
      </c>
      <c r="G6626">
        <f>VLOOKUP(B6626,'SINAPI-%MO'!B:E,4,0)</f>
        <v>0.21229999999999999</v>
      </c>
      <c r="H6626" s="225">
        <f t="shared" si="103"/>
        <v>81.55</v>
      </c>
    </row>
    <row r="6627" spans="1:8" x14ac:dyDescent="0.3">
      <c r="A6627" s="400"/>
      <c r="B6627" s="709">
        <v>92902</v>
      </c>
      <c r="C6627" s="710" t="s">
        <v>14210</v>
      </c>
      <c r="D6627" s="709" t="s">
        <v>136</v>
      </c>
      <c r="E6627" s="716">
        <v>160.15</v>
      </c>
      <c r="F6627" s="717">
        <v>0</v>
      </c>
      <c r="G6627">
        <f>VLOOKUP(B6627,'SINAPI-%MO'!B:E,4,0)</f>
        <v>0.159</v>
      </c>
      <c r="H6627" s="225">
        <f t="shared" si="103"/>
        <v>134.68</v>
      </c>
    </row>
    <row r="6628" spans="1:8" x14ac:dyDescent="0.3">
      <c r="A6628" s="400"/>
      <c r="B6628" s="709">
        <v>92903</v>
      </c>
      <c r="C6628" s="710" t="s">
        <v>14211</v>
      </c>
      <c r="D6628" s="709" t="s">
        <v>136</v>
      </c>
      <c r="E6628" s="716">
        <v>237.31</v>
      </c>
      <c r="F6628" s="717">
        <v>0</v>
      </c>
      <c r="G6628">
        <f>VLOOKUP(B6628,'SINAPI-%MO'!B:E,4,0)</f>
        <v>0.122</v>
      </c>
      <c r="H6628" s="225">
        <f t="shared" si="103"/>
        <v>208.35</v>
      </c>
    </row>
    <row r="6629" spans="1:8" x14ac:dyDescent="0.3">
      <c r="A6629" s="400"/>
      <c r="B6629" s="709">
        <v>92892</v>
      </c>
      <c r="C6629" s="710" t="s">
        <v>14212</v>
      </c>
      <c r="D6629" s="709" t="s">
        <v>136</v>
      </c>
      <c r="E6629" s="716">
        <v>51.77</v>
      </c>
      <c r="F6629" s="717">
        <v>0</v>
      </c>
      <c r="G6629">
        <f>VLOOKUP(B6629,'SINAPI-%MO'!B:E,4,0)</f>
        <v>0.48270000000000002</v>
      </c>
      <c r="H6629" s="225">
        <f t="shared" si="103"/>
        <v>26.78</v>
      </c>
    </row>
    <row r="6630" spans="1:8" x14ac:dyDescent="0.3">
      <c r="A6630" s="400"/>
      <c r="B6630" s="709">
        <v>92893</v>
      </c>
      <c r="C6630" s="710" t="s">
        <v>14213</v>
      </c>
      <c r="D6630" s="709" t="s">
        <v>136</v>
      </c>
      <c r="E6630" s="716">
        <v>72.47</v>
      </c>
      <c r="F6630" s="717">
        <v>0</v>
      </c>
      <c r="G6630">
        <f>VLOOKUP(B6630,'SINAPI-%MO'!B:E,4,0)</f>
        <v>0.38390000000000002</v>
      </c>
      <c r="H6630" s="225">
        <f t="shared" si="103"/>
        <v>44.64</v>
      </c>
    </row>
    <row r="6631" spans="1:8" x14ac:dyDescent="0.3">
      <c r="A6631" s="400"/>
      <c r="B6631" s="709">
        <v>92894</v>
      </c>
      <c r="C6631" s="710" t="s">
        <v>14214</v>
      </c>
      <c r="D6631" s="709" t="s">
        <v>136</v>
      </c>
      <c r="E6631" s="716">
        <v>86.58</v>
      </c>
      <c r="F6631" s="717">
        <v>0</v>
      </c>
      <c r="G6631">
        <f>VLOOKUP(B6631,'SINAPI-%MO'!B:E,4,0)</f>
        <v>0.35859999999999997</v>
      </c>
      <c r="H6631" s="225">
        <f t="shared" si="103"/>
        <v>55.53</v>
      </c>
    </row>
    <row r="6632" spans="1:8" x14ac:dyDescent="0.3">
      <c r="A6632" s="400"/>
      <c r="B6632" s="709">
        <v>92889</v>
      </c>
      <c r="C6632" s="710" t="s">
        <v>14215</v>
      </c>
      <c r="D6632" s="709" t="s">
        <v>136</v>
      </c>
      <c r="E6632" s="716">
        <v>120.26</v>
      </c>
      <c r="F6632" s="717">
        <v>0</v>
      </c>
      <c r="G6632">
        <f>VLOOKUP(B6632,'SINAPI-%MO'!B:E,4,0)</f>
        <v>0.32179999999999997</v>
      </c>
      <c r="H6632" s="225">
        <f t="shared" si="103"/>
        <v>81.56</v>
      </c>
    </row>
    <row r="6633" spans="1:8" x14ac:dyDescent="0.3">
      <c r="A6633" s="400"/>
      <c r="B6633" s="709">
        <v>92895</v>
      </c>
      <c r="C6633" s="710" t="s">
        <v>14216</v>
      </c>
      <c r="D6633" s="709" t="s">
        <v>136</v>
      </c>
      <c r="E6633" s="716">
        <v>116.66</v>
      </c>
      <c r="F6633" s="717">
        <v>0</v>
      </c>
      <c r="G6633">
        <f>VLOOKUP(B6633,'SINAPI-%MO'!B:E,4,0)</f>
        <v>0.3009</v>
      </c>
      <c r="H6633" s="225">
        <f t="shared" si="103"/>
        <v>81.55</v>
      </c>
    </row>
    <row r="6634" spans="1:8" x14ac:dyDescent="0.3">
      <c r="A6634" s="400"/>
      <c r="B6634" s="709">
        <v>92890</v>
      </c>
      <c r="C6634" s="710" t="s">
        <v>14217</v>
      </c>
      <c r="D6634" s="709" t="s">
        <v>136</v>
      </c>
      <c r="E6634" s="716">
        <v>175.92</v>
      </c>
      <c r="F6634" s="717">
        <v>0</v>
      </c>
      <c r="G6634">
        <f>VLOOKUP(B6634,'SINAPI-%MO'!B:E,4,0)</f>
        <v>0.2344</v>
      </c>
      <c r="H6634" s="225">
        <f t="shared" si="103"/>
        <v>134.68</v>
      </c>
    </row>
    <row r="6635" spans="1:8" x14ac:dyDescent="0.3">
      <c r="A6635" s="400"/>
      <c r="B6635" s="709">
        <v>92896</v>
      </c>
      <c r="C6635" s="710" t="s">
        <v>14218</v>
      </c>
      <c r="D6635" s="709" t="s">
        <v>136</v>
      </c>
      <c r="E6635" s="716">
        <v>175.85</v>
      </c>
      <c r="F6635" s="717">
        <v>0</v>
      </c>
      <c r="G6635">
        <f>VLOOKUP(B6635,'SINAPI-%MO'!B:E,4,0)</f>
        <v>0.2341</v>
      </c>
      <c r="H6635" s="225">
        <f t="shared" si="103"/>
        <v>134.68</v>
      </c>
    </row>
    <row r="6636" spans="1:8" x14ac:dyDescent="0.3">
      <c r="A6636" s="400"/>
      <c r="B6636" s="709">
        <v>92891</v>
      </c>
      <c r="C6636" s="710" t="s">
        <v>14219</v>
      </c>
      <c r="D6636" s="709" t="s">
        <v>136</v>
      </c>
      <c r="E6636" s="716">
        <v>252.13</v>
      </c>
      <c r="F6636" s="717">
        <v>0</v>
      </c>
      <c r="G6636">
        <f>VLOOKUP(B6636,'SINAPI-%MO'!B:E,4,0)</f>
        <v>0.1736</v>
      </c>
      <c r="H6636" s="225">
        <f t="shared" si="103"/>
        <v>208.36</v>
      </c>
    </row>
    <row r="6637" spans="1:8" x14ac:dyDescent="0.3">
      <c r="A6637" s="400"/>
      <c r="B6637" s="709">
        <v>92897</v>
      </c>
      <c r="C6637" s="710" t="s">
        <v>14220</v>
      </c>
      <c r="D6637" s="709" t="s">
        <v>136</v>
      </c>
      <c r="E6637" s="716">
        <v>255.59</v>
      </c>
      <c r="F6637" s="717">
        <v>0</v>
      </c>
      <c r="G6637">
        <f>VLOOKUP(B6637,'SINAPI-%MO'!B:E,4,0)</f>
        <v>0.1847</v>
      </c>
      <c r="H6637" s="225">
        <f t="shared" si="103"/>
        <v>208.38</v>
      </c>
    </row>
    <row r="6638" spans="1:8" x14ac:dyDescent="0.3">
      <c r="A6638" s="400"/>
      <c r="B6638" s="709">
        <v>100822</v>
      </c>
      <c r="C6638" s="710" t="s">
        <v>5585</v>
      </c>
      <c r="D6638" s="709" t="s">
        <v>136</v>
      </c>
      <c r="E6638" s="716">
        <v>0</v>
      </c>
      <c r="F6638" s="717"/>
      <c r="G6638" t="e">
        <f>VLOOKUP(B6638,'SINAPI-%MO'!B:E,4,0)</f>
        <v>#N/A</v>
      </c>
      <c r="H6638" s="225" t="str">
        <f t="shared" si="103"/>
        <v/>
      </c>
    </row>
    <row r="6639" spans="1:8" x14ac:dyDescent="0.3">
      <c r="A6639" s="400"/>
      <c r="B6639" s="709">
        <v>100823</v>
      </c>
      <c r="C6639" s="710" t="s">
        <v>5586</v>
      </c>
      <c r="D6639" s="709" t="s">
        <v>136</v>
      </c>
      <c r="E6639" s="716">
        <v>0</v>
      </c>
      <c r="F6639" s="717"/>
      <c r="G6639" t="e">
        <f>VLOOKUP(B6639,'SINAPI-%MO'!B:E,4,0)</f>
        <v>#N/A</v>
      </c>
      <c r="H6639" s="225" t="str">
        <f t="shared" si="103"/>
        <v/>
      </c>
    </row>
    <row r="6640" spans="1:8" x14ac:dyDescent="0.3">
      <c r="A6640" s="400"/>
      <c r="B6640" s="709">
        <v>100824</v>
      </c>
      <c r="C6640" s="710" t="s">
        <v>5587</v>
      </c>
      <c r="D6640" s="709" t="s">
        <v>136</v>
      </c>
      <c r="E6640" s="716">
        <v>0</v>
      </c>
      <c r="F6640" s="717"/>
      <c r="G6640" t="e">
        <f>VLOOKUP(B6640,'SINAPI-%MO'!B:E,4,0)</f>
        <v>#N/A</v>
      </c>
      <c r="H6640" s="225" t="str">
        <f t="shared" si="103"/>
        <v/>
      </c>
    </row>
    <row r="6641" spans="1:8" x14ac:dyDescent="0.3">
      <c r="A6641" s="400"/>
      <c r="B6641" s="709">
        <v>100825</v>
      </c>
      <c r="C6641" s="710" t="s">
        <v>5588</v>
      </c>
      <c r="D6641" s="709" t="s">
        <v>136</v>
      </c>
      <c r="E6641" s="716">
        <v>0</v>
      </c>
      <c r="F6641" s="717"/>
      <c r="G6641" t="e">
        <f>VLOOKUP(B6641,'SINAPI-%MO'!B:E,4,0)</f>
        <v>#N/A</v>
      </c>
      <c r="H6641" s="225" t="str">
        <f t="shared" si="103"/>
        <v/>
      </c>
    </row>
    <row r="6642" spans="1:8" x14ac:dyDescent="0.3">
      <c r="A6642" s="400"/>
      <c r="B6642" s="709">
        <v>100818</v>
      </c>
      <c r="C6642" s="710" t="s">
        <v>5589</v>
      </c>
      <c r="D6642" s="709" t="s">
        <v>136</v>
      </c>
      <c r="E6642" s="716">
        <v>0</v>
      </c>
      <c r="F6642" s="717"/>
      <c r="G6642" t="e">
        <f>VLOOKUP(B6642,'SINAPI-%MO'!B:E,4,0)</f>
        <v>#N/A</v>
      </c>
      <c r="H6642" s="225" t="str">
        <f t="shared" si="103"/>
        <v/>
      </c>
    </row>
    <row r="6643" spans="1:8" x14ac:dyDescent="0.3">
      <c r="A6643" s="400"/>
      <c r="B6643" s="709">
        <v>100819</v>
      </c>
      <c r="C6643" s="710" t="s">
        <v>5590</v>
      </c>
      <c r="D6643" s="709" t="s">
        <v>136</v>
      </c>
      <c r="E6643" s="716">
        <v>0</v>
      </c>
      <c r="F6643" s="717"/>
      <c r="G6643" t="e">
        <f>VLOOKUP(B6643,'SINAPI-%MO'!B:E,4,0)</f>
        <v>#N/A</v>
      </c>
      <c r="H6643" s="225" t="str">
        <f t="shared" si="103"/>
        <v/>
      </c>
    </row>
    <row r="6644" spans="1:8" x14ac:dyDescent="0.3">
      <c r="A6644" s="400"/>
      <c r="B6644" s="709">
        <v>100820</v>
      </c>
      <c r="C6644" s="710" t="s">
        <v>5591</v>
      </c>
      <c r="D6644" s="709" t="s">
        <v>136</v>
      </c>
      <c r="E6644" s="716">
        <v>0</v>
      </c>
      <c r="F6644" s="717"/>
      <c r="G6644" t="e">
        <f>VLOOKUP(B6644,'SINAPI-%MO'!B:E,4,0)</f>
        <v>#N/A</v>
      </c>
      <c r="H6644" s="225" t="str">
        <f t="shared" si="103"/>
        <v/>
      </c>
    </row>
    <row r="6645" spans="1:8" x14ac:dyDescent="0.3">
      <c r="A6645" s="400"/>
      <c r="B6645" s="709">
        <v>100821</v>
      </c>
      <c r="C6645" s="710" t="s">
        <v>5592</v>
      </c>
      <c r="D6645" s="709" t="s">
        <v>136</v>
      </c>
      <c r="E6645" s="716">
        <v>0</v>
      </c>
      <c r="F6645" s="717"/>
      <c r="G6645" t="e">
        <f>VLOOKUP(B6645,'SINAPI-%MO'!B:E,4,0)</f>
        <v>#N/A</v>
      </c>
      <c r="H6645" s="225" t="str">
        <f t="shared" si="103"/>
        <v/>
      </c>
    </row>
    <row r="6646" spans="1:8" x14ac:dyDescent="0.3">
      <c r="A6646" s="400"/>
      <c r="B6646" s="709">
        <v>100846</v>
      </c>
      <c r="C6646" s="710" t="s">
        <v>5593</v>
      </c>
      <c r="D6646" s="709" t="s">
        <v>136</v>
      </c>
      <c r="E6646" s="716">
        <v>0</v>
      </c>
      <c r="F6646" s="717"/>
      <c r="G6646" t="e">
        <f>VLOOKUP(B6646,'SINAPI-%MO'!B:E,4,0)</f>
        <v>#N/A</v>
      </c>
      <c r="H6646" s="225" t="str">
        <f t="shared" si="103"/>
        <v/>
      </c>
    </row>
    <row r="6647" spans="1:8" x14ac:dyDescent="0.3">
      <c r="A6647" s="400"/>
      <c r="B6647" s="709">
        <v>100834</v>
      </c>
      <c r="C6647" s="710" t="s">
        <v>5594</v>
      </c>
      <c r="D6647" s="709" t="s">
        <v>136</v>
      </c>
      <c r="E6647" s="716">
        <v>0</v>
      </c>
      <c r="F6647" s="717"/>
      <c r="G6647" t="e">
        <f>VLOOKUP(B6647,'SINAPI-%MO'!B:E,4,0)</f>
        <v>#N/A</v>
      </c>
      <c r="H6647" s="225" t="str">
        <f t="shared" si="103"/>
        <v/>
      </c>
    </row>
    <row r="6648" spans="1:8" x14ac:dyDescent="0.3">
      <c r="A6648" s="400"/>
      <c r="B6648" s="709">
        <v>100835</v>
      </c>
      <c r="C6648" s="710" t="s">
        <v>5595</v>
      </c>
      <c r="D6648" s="709" t="s">
        <v>136</v>
      </c>
      <c r="E6648" s="716">
        <v>0</v>
      </c>
      <c r="F6648" s="717"/>
      <c r="G6648" t="e">
        <f>VLOOKUP(B6648,'SINAPI-%MO'!B:E,4,0)</f>
        <v>#N/A</v>
      </c>
      <c r="H6648" s="225" t="str">
        <f t="shared" si="103"/>
        <v/>
      </c>
    </row>
    <row r="6649" spans="1:8" x14ac:dyDescent="0.3">
      <c r="A6649" s="400"/>
      <c r="B6649" s="709">
        <v>100836</v>
      </c>
      <c r="C6649" s="710" t="s">
        <v>5596</v>
      </c>
      <c r="D6649" s="709" t="s">
        <v>136</v>
      </c>
      <c r="E6649" s="716">
        <v>0</v>
      </c>
      <c r="F6649" s="717"/>
      <c r="G6649" t="e">
        <f>VLOOKUP(B6649,'SINAPI-%MO'!B:E,4,0)</f>
        <v>#N/A</v>
      </c>
      <c r="H6649" s="225" t="str">
        <f t="shared" si="103"/>
        <v/>
      </c>
    </row>
    <row r="6650" spans="1:8" x14ac:dyDescent="0.3">
      <c r="A6650" s="400"/>
      <c r="B6650" s="709">
        <v>100837</v>
      </c>
      <c r="C6650" s="710" t="s">
        <v>5597</v>
      </c>
      <c r="D6650" s="709" t="s">
        <v>136</v>
      </c>
      <c r="E6650" s="716">
        <v>0</v>
      </c>
      <c r="F6650" s="717"/>
      <c r="G6650" t="e">
        <f>VLOOKUP(B6650,'SINAPI-%MO'!B:E,4,0)</f>
        <v>#N/A</v>
      </c>
      <c r="H6650" s="225" t="str">
        <f t="shared" si="103"/>
        <v/>
      </c>
    </row>
    <row r="6651" spans="1:8" x14ac:dyDescent="0.3">
      <c r="A6651" s="400"/>
      <c r="B6651" s="709">
        <v>100826</v>
      </c>
      <c r="C6651" s="710" t="s">
        <v>5598</v>
      </c>
      <c r="D6651" s="709" t="s">
        <v>136</v>
      </c>
      <c r="E6651" s="716">
        <v>0</v>
      </c>
      <c r="F6651" s="717"/>
      <c r="G6651" t="e">
        <f>VLOOKUP(B6651,'SINAPI-%MO'!B:E,4,0)</f>
        <v>#N/A</v>
      </c>
      <c r="H6651" s="225" t="str">
        <f t="shared" si="103"/>
        <v/>
      </c>
    </row>
    <row r="6652" spans="1:8" x14ac:dyDescent="0.3">
      <c r="A6652" s="400"/>
      <c r="B6652" s="709">
        <v>100827</v>
      </c>
      <c r="C6652" s="710" t="s">
        <v>5599</v>
      </c>
      <c r="D6652" s="709" t="s">
        <v>136</v>
      </c>
      <c r="E6652" s="716">
        <v>0</v>
      </c>
      <c r="F6652" s="717"/>
      <c r="G6652" t="e">
        <f>VLOOKUP(B6652,'SINAPI-%MO'!B:E,4,0)</f>
        <v>#N/A</v>
      </c>
      <c r="H6652" s="225" t="str">
        <f t="shared" si="103"/>
        <v/>
      </c>
    </row>
    <row r="6653" spans="1:8" x14ac:dyDescent="0.3">
      <c r="A6653" s="400"/>
      <c r="B6653" s="709">
        <v>100828</v>
      </c>
      <c r="C6653" s="710" t="s">
        <v>5600</v>
      </c>
      <c r="D6653" s="709" t="s">
        <v>136</v>
      </c>
      <c r="E6653" s="716">
        <v>0</v>
      </c>
      <c r="F6653" s="717"/>
      <c r="G6653" t="e">
        <f>VLOOKUP(B6653,'SINAPI-%MO'!B:E,4,0)</f>
        <v>#N/A</v>
      </c>
      <c r="H6653" s="225" t="str">
        <f t="shared" si="103"/>
        <v/>
      </c>
    </row>
    <row r="6654" spans="1:8" x14ac:dyDescent="0.3">
      <c r="A6654" s="400"/>
      <c r="B6654" s="709">
        <v>100829</v>
      </c>
      <c r="C6654" s="710" t="s">
        <v>5601</v>
      </c>
      <c r="D6654" s="709" t="s">
        <v>136</v>
      </c>
      <c r="E6654" s="716">
        <v>0</v>
      </c>
      <c r="F6654" s="717"/>
      <c r="G6654" t="e">
        <f>VLOOKUP(B6654,'SINAPI-%MO'!B:E,4,0)</f>
        <v>#N/A</v>
      </c>
      <c r="H6654" s="225" t="str">
        <f t="shared" si="103"/>
        <v/>
      </c>
    </row>
    <row r="6655" spans="1:8" x14ac:dyDescent="0.3">
      <c r="A6655" s="400"/>
      <c r="B6655" s="709">
        <v>100830</v>
      </c>
      <c r="C6655" s="710" t="s">
        <v>5602</v>
      </c>
      <c r="D6655" s="709" t="s">
        <v>136</v>
      </c>
      <c r="E6655" s="716">
        <v>0</v>
      </c>
      <c r="F6655" s="717"/>
      <c r="G6655" t="e">
        <f>VLOOKUP(B6655,'SINAPI-%MO'!B:E,4,0)</f>
        <v>#N/A</v>
      </c>
      <c r="H6655" s="225" t="str">
        <f t="shared" si="103"/>
        <v/>
      </c>
    </row>
    <row r="6656" spans="1:8" x14ac:dyDescent="0.3">
      <c r="A6656" s="400"/>
      <c r="B6656" s="709">
        <v>100831</v>
      </c>
      <c r="C6656" s="710" t="s">
        <v>5603</v>
      </c>
      <c r="D6656" s="709" t="s">
        <v>136</v>
      </c>
      <c r="E6656" s="716">
        <v>0</v>
      </c>
      <c r="F6656" s="717"/>
      <c r="G6656" t="e">
        <f>VLOOKUP(B6656,'SINAPI-%MO'!B:E,4,0)</f>
        <v>#N/A</v>
      </c>
      <c r="H6656" s="225" t="str">
        <f t="shared" si="103"/>
        <v/>
      </c>
    </row>
    <row r="6657" spans="1:8" x14ac:dyDescent="0.3">
      <c r="A6657" s="400"/>
      <c r="B6657" s="709">
        <v>100832</v>
      </c>
      <c r="C6657" s="710" t="s">
        <v>5604</v>
      </c>
      <c r="D6657" s="709" t="s">
        <v>136</v>
      </c>
      <c r="E6657" s="716">
        <v>0</v>
      </c>
      <c r="F6657" s="717"/>
      <c r="G6657" t="e">
        <f>VLOOKUP(B6657,'SINAPI-%MO'!B:E,4,0)</f>
        <v>#N/A</v>
      </c>
      <c r="H6657" s="225" t="str">
        <f t="shared" si="103"/>
        <v/>
      </c>
    </row>
    <row r="6658" spans="1:8" x14ac:dyDescent="0.3">
      <c r="A6658" s="400"/>
      <c r="B6658" s="709">
        <v>100833</v>
      </c>
      <c r="C6658" s="710" t="s">
        <v>5605</v>
      </c>
      <c r="D6658" s="709" t="s">
        <v>136</v>
      </c>
      <c r="E6658" s="716">
        <v>0</v>
      </c>
      <c r="F6658" s="717"/>
      <c r="G6658" t="e">
        <f>VLOOKUP(B6658,'SINAPI-%MO'!B:E,4,0)</f>
        <v>#N/A</v>
      </c>
      <c r="H6658" s="225" t="str">
        <f t="shared" si="103"/>
        <v/>
      </c>
    </row>
    <row r="6659" spans="1:8" x14ac:dyDescent="0.3">
      <c r="A6659" s="400"/>
      <c r="B6659" s="709">
        <v>100811</v>
      </c>
      <c r="C6659" s="710" t="s">
        <v>5606</v>
      </c>
      <c r="D6659" s="709" t="s">
        <v>136</v>
      </c>
      <c r="E6659" s="716">
        <v>0</v>
      </c>
      <c r="F6659" s="717"/>
      <c r="G6659" t="e">
        <f>VLOOKUP(B6659,'SINAPI-%MO'!B:E,4,0)</f>
        <v>#N/A</v>
      </c>
      <c r="H6659" s="225" t="str">
        <f t="shared" si="103"/>
        <v/>
      </c>
    </row>
    <row r="6660" spans="1:8" x14ac:dyDescent="0.3">
      <c r="A6660" s="400"/>
      <c r="B6660" s="709">
        <v>100812</v>
      </c>
      <c r="C6660" s="710" t="s">
        <v>5607</v>
      </c>
      <c r="D6660" s="709" t="s">
        <v>136</v>
      </c>
      <c r="E6660" s="716">
        <v>0</v>
      </c>
      <c r="F6660" s="717"/>
      <c r="G6660" t="e">
        <f>VLOOKUP(B6660,'SINAPI-%MO'!B:E,4,0)</f>
        <v>#N/A</v>
      </c>
      <c r="H6660" s="225" t="str">
        <f t="shared" si="103"/>
        <v/>
      </c>
    </row>
    <row r="6661" spans="1:8" x14ac:dyDescent="0.3">
      <c r="A6661" s="400"/>
      <c r="B6661" s="709">
        <v>100813</v>
      </c>
      <c r="C6661" s="710" t="s">
        <v>5608</v>
      </c>
      <c r="D6661" s="709" t="s">
        <v>136</v>
      </c>
      <c r="E6661" s="716">
        <v>0</v>
      </c>
      <c r="F6661" s="717"/>
      <c r="G6661" t="e">
        <f>VLOOKUP(B6661,'SINAPI-%MO'!B:E,4,0)</f>
        <v>#N/A</v>
      </c>
      <c r="H6661" s="225" t="str">
        <f t="shared" si="103"/>
        <v/>
      </c>
    </row>
    <row r="6662" spans="1:8" x14ac:dyDescent="0.3">
      <c r="A6662" s="400"/>
      <c r="B6662" s="709">
        <v>100814</v>
      </c>
      <c r="C6662" s="710" t="s">
        <v>5609</v>
      </c>
      <c r="D6662" s="709" t="s">
        <v>136</v>
      </c>
      <c r="E6662" s="716">
        <v>0</v>
      </c>
      <c r="F6662" s="717"/>
      <c r="G6662" t="e">
        <f>VLOOKUP(B6662,'SINAPI-%MO'!B:E,4,0)</f>
        <v>#N/A</v>
      </c>
      <c r="H6662" s="225" t="str">
        <f t="shared" si="103"/>
        <v/>
      </c>
    </row>
    <row r="6663" spans="1:8" x14ac:dyDescent="0.3">
      <c r="A6663" s="400"/>
      <c r="B6663" s="709">
        <v>100815</v>
      </c>
      <c r="C6663" s="710" t="s">
        <v>5610</v>
      </c>
      <c r="D6663" s="709" t="s">
        <v>136</v>
      </c>
      <c r="E6663" s="716">
        <v>0</v>
      </c>
      <c r="F6663" s="717"/>
      <c r="G6663" t="e">
        <f>VLOOKUP(B6663,'SINAPI-%MO'!B:E,4,0)</f>
        <v>#N/A</v>
      </c>
      <c r="H6663" s="225" t="str">
        <f t="shared" si="103"/>
        <v/>
      </c>
    </row>
    <row r="6664" spans="1:8" x14ac:dyDescent="0.3">
      <c r="A6664" s="400"/>
      <c r="B6664" s="709">
        <v>100816</v>
      </c>
      <c r="C6664" s="710" t="s">
        <v>5611</v>
      </c>
      <c r="D6664" s="709" t="s">
        <v>136</v>
      </c>
      <c r="E6664" s="716">
        <v>0</v>
      </c>
      <c r="F6664" s="717"/>
      <c r="G6664" t="e">
        <f>VLOOKUP(B6664,'SINAPI-%MO'!B:E,4,0)</f>
        <v>#N/A</v>
      </c>
      <c r="H6664" s="225" t="str">
        <f t="shared" si="103"/>
        <v/>
      </c>
    </row>
    <row r="6665" spans="1:8" x14ac:dyDescent="0.3">
      <c r="A6665" s="400"/>
      <c r="B6665" s="709">
        <v>100817</v>
      </c>
      <c r="C6665" s="710" t="s">
        <v>5612</v>
      </c>
      <c r="D6665" s="709" t="s">
        <v>136</v>
      </c>
      <c r="E6665" s="716">
        <v>0</v>
      </c>
      <c r="F6665" s="717"/>
      <c r="G6665" t="e">
        <f>VLOOKUP(B6665,'SINAPI-%MO'!B:E,4,0)</f>
        <v>#N/A</v>
      </c>
      <c r="H6665" s="225" t="str">
        <f t="shared" si="103"/>
        <v/>
      </c>
    </row>
    <row r="6666" spans="1:8" x14ac:dyDescent="0.3">
      <c r="A6666" s="400"/>
      <c r="B6666" s="709">
        <v>100795</v>
      </c>
      <c r="C6666" s="710" t="s">
        <v>5613</v>
      </c>
      <c r="D6666" s="709" t="s">
        <v>159</v>
      </c>
      <c r="E6666" s="716">
        <v>0</v>
      </c>
      <c r="F6666" s="717"/>
      <c r="G6666" t="e">
        <f>VLOOKUP(B6666,'SINAPI-%MO'!B:E,4,0)</f>
        <v>#N/A</v>
      </c>
      <c r="H6666" s="225" t="str">
        <f t="shared" si="103"/>
        <v/>
      </c>
    </row>
    <row r="6667" spans="1:8" x14ac:dyDescent="0.3">
      <c r="A6667" s="400"/>
      <c r="B6667" s="709">
        <v>100842</v>
      </c>
      <c r="C6667" s="710" t="s">
        <v>5614</v>
      </c>
      <c r="D6667" s="709" t="s">
        <v>159</v>
      </c>
      <c r="E6667" s="716">
        <v>0</v>
      </c>
      <c r="F6667" s="717"/>
      <c r="G6667" t="e">
        <f>VLOOKUP(B6667,'SINAPI-%MO'!B:E,4,0)</f>
        <v>#N/A</v>
      </c>
      <c r="H6667" s="225" t="str">
        <f t="shared" ref="H6667:H6730" si="104">IF(E6667&gt;0,TRUNC(E6667*(1-G6667),2),"")</f>
        <v/>
      </c>
    </row>
    <row r="6668" spans="1:8" x14ac:dyDescent="0.3">
      <c r="A6668" s="400"/>
      <c r="B6668" s="709">
        <v>100796</v>
      </c>
      <c r="C6668" s="710" t="s">
        <v>5615</v>
      </c>
      <c r="D6668" s="709" t="s">
        <v>159</v>
      </c>
      <c r="E6668" s="716">
        <v>0</v>
      </c>
      <c r="F6668" s="717"/>
      <c r="G6668" t="e">
        <f>VLOOKUP(B6668,'SINAPI-%MO'!B:E,4,0)</f>
        <v>#N/A</v>
      </c>
      <c r="H6668" s="225" t="str">
        <f t="shared" si="104"/>
        <v/>
      </c>
    </row>
    <row r="6669" spans="1:8" x14ac:dyDescent="0.3">
      <c r="A6669" s="400"/>
      <c r="B6669" s="709">
        <v>100843</v>
      </c>
      <c r="C6669" s="710" t="s">
        <v>5616</v>
      </c>
      <c r="D6669" s="709" t="s">
        <v>159</v>
      </c>
      <c r="E6669" s="716">
        <v>0</v>
      </c>
      <c r="F6669" s="717"/>
      <c r="G6669" t="e">
        <f>VLOOKUP(B6669,'SINAPI-%MO'!B:E,4,0)</f>
        <v>#N/A</v>
      </c>
      <c r="H6669" s="225" t="str">
        <f t="shared" si="104"/>
        <v/>
      </c>
    </row>
    <row r="6670" spans="1:8" x14ac:dyDescent="0.3">
      <c r="A6670" s="400"/>
      <c r="B6670" s="709">
        <v>100844</v>
      </c>
      <c r="C6670" s="710" t="s">
        <v>5617</v>
      </c>
      <c r="D6670" s="709" t="s">
        <v>159</v>
      </c>
      <c r="E6670" s="716">
        <v>0</v>
      </c>
      <c r="F6670" s="717"/>
      <c r="G6670" t="e">
        <f>VLOOKUP(B6670,'SINAPI-%MO'!B:E,4,0)</f>
        <v>#N/A</v>
      </c>
      <c r="H6670" s="225" t="str">
        <f t="shared" si="104"/>
        <v/>
      </c>
    </row>
    <row r="6671" spans="1:8" x14ac:dyDescent="0.3">
      <c r="A6671" s="400"/>
      <c r="B6671" s="709">
        <v>100797</v>
      </c>
      <c r="C6671" s="710" t="s">
        <v>5618</v>
      </c>
      <c r="D6671" s="709" t="s">
        <v>159</v>
      </c>
      <c r="E6671" s="716">
        <v>0</v>
      </c>
      <c r="F6671" s="717"/>
      <c r="G6671" t="e">
        <f>VLOOKUP(B6671,'SINAPI-%MO'!B:E,4,0)</f>
        <v>#N/A</v>
      </c>
      <c r="H6671" s="225" t="str">
        <f t="shared" si="104"/>
        <v/>
      </c>
    </row>
    <row r="6672" spans="1:8" x14ac:dyDescent="0.3">
      <c r="A6672" s="400"/>
      <c r="B6672" s="709">
        <v>100798</v>
      </c>
      <c r="C6672" s="710" t="s">
        <v>5619</v>
      </c>
      <c r="D6672" s="709" t="s">
        <v>159</v>
      </c>
      <c r="E6672" s="716">
        <v>0</v>
      </c>
      <c r="F6672" s="717"/>
      <c r="G6672" t="e">
        <f>VLOOKUP(B6672,'SINAPI-%MO'!B:E,4,0)</f>
        <v>#N/A</v>
      </c>
      <c r="H6672" s="225" t="str">
        <f t="shared" si="104"/>
        <v/>
      </c>
    </row>
    <row r="6673" spans="1:8" x14ac:dyDescent="0.3">
      <c r="A6673" s="400"/>
      <c r="B6673" s="709">
        <v>100845</v>
      </c>
      <c r="C6673" s="710" t="s">
        <v>5620</v>
      </c>
      <c r="D6673" s="709" t="s">
        <v>159</v>
      </c>
      <c r="E6673" s="716">
        <v>0</v>
      </c>
      <c r="F6673" s="717"/>
      <c r="G6673" t="e">
        <f>VLOOKUP(B6673,'SINAPI-%MO'!B:E,4,0)</f>
        <v>#N/A</v>
      </c>
      <c r="H6673" s="225" t="str">
        <f t="shared" si="104"/>
        <v/>
      </c>
    </row>
    <row r="6674" spans="1:8" x14ac:dyDescent="0.3">
      <c r="A6674" s="400"/>
      <c r="B6674" s="709">
        <v>100799</v>
      </c>
      <c r="C6674" s="710" t="s">
        <v>5621</v>
      </c>
      <c r="D6674" s="709" t="s">
        <v>159</v>
      </c>
      <c r="E6674" s="716">
        <v>24.13</v>
      </c>
      <c r="F6674" s="717">
        <v>0</v>
      </c>
      <c r="G6674">
        <f>VLOOKUP(B6674,'SINAPI-%MO'!B:E,4,0)</f>
        <v>0.3891</v>
      </c>
      <c r="H6674" s="225">
        <f t="shared" si="104"/>
        <v>14.74</v>
      </c>
    </row>
    <row r="6675" spans="1:8" x14ac:dyDescent="0.3">
      <c r="A6675" s="400"/>
      <c r="B6675" s="709">
        <v>100807</v>
      </c>
      <c r="C6675" s="710" t="s">
        <v>5622</v>
      </c>
      <c r="D6675" s="709" t="s">
        <v>159</v>
      </c>
      <c r="E6675" s="716">
        <v>30.67</v>
      </c>
      <c r="F6675" s="717">
        <v>0</v>
      </c>
      <c r="G6675">
        <f>VLOOKUP(B6675,'SINAPI-%MO'!B:E,4,0)</f>
        <v>0.51939999999999997</v>
      </c>
      <c r="H6675" s="225">
        <f t="shared" si="104"/>
        <v>14.74</v>
      </c>
    </row>
    <row r="6676" spans="1:8" x14ac:dyDescent="0.3">
      <c r="A6676" s="400"/>
      <c r="B6676" s="709">
        <v>100800</v>
      </c>
      <c r="C6676" s="710" t="s">
        <v>5623</v>
      </c>
      <c r="D6676" s="709" t="s">
        <v>159</v>
      </c>
      <c r="E6676" s="716">
        <v>35.17</v>
      </c>
      <c r="F6676" s="717">
        <v>0</v>
      </c>
      <c r="G6676">
        <f>VLOOKUP(B6676,'SINAPI-%MO'!B:E,4,0)</f>
        <v>0.31359999999999999</v>
      </c>
      <c r="H6676" s="225">
        <f t="shared" si="104"/>
        <v>24.14</v>
      </c>
    </row>
    <row r="6677" spans="1:8" x14ac:dyDescent="0.3">
      <c r="A6677" s="400"/>
      <c r="B6677" s="709">
        <v>100808</v>
      </c>
      <c r="C6677" s="710" t="s">
        <v>5624</v>
      </c>
      <c r="D6677" s="709" t="s">
        <v>159</v>
      </c>
      <c r="E6677" s="716">
        <v>42.93</v>
      </c>
      <c r="F6677" s="717">
        <v>0</v>
      </c>
      <c r="G6677">
        <f>VLOOKUP(B6677,'SINAPI-%MO'!B:E,4,0)</f>
        <v>0.43769999999999998</v>
      </c>
      <c r="H6677" s="225">
        <f t="shared" si="104"/>
        <v>24.13</v>
      </c>
    </row>
    <row r="6678" spans="1:8" x14ac:dyDescent="0.3">
      <c r="A6678" s="400"/>
      <c r="B6678" s="709">
        <v>100801</v>
      </c>
      <c r="C6678" s="710" t="s">
        <v>5625</v>
      </c>
      <c r="D6678" s="709" t="s">
        <v>159</v>
      </c>
      <c r="E6678" s="716">
        <v>46.51</v>
      </c>
      <c r="F6678" s="717">
        <v>0</v>
      </c>
      <c r="G6678">
        <f>VLOOKUP(B6678,'SINAPI-%MO'!B:E,4,0)</f>
        <v>0.28139999999999998</v>
      </c>
      <c r="H6678" s="225">
        <f t="shared" si="104"/>
        <v>33.42</v>
      </c>
    </row>
    <row r="6679" spans="1:8" x14ac:dyDescent="0.3">
      <c r="A6679" s="400"/>
      <c r="B6679" s="709">
        <v>100809</v>
      </c>
      <c r="C6679" s="710" t="s">
        <v>5626</v>
      </c>
      <c r="D6679" s="709" t="s">
        <v>159</v>
      </c>
      <c r="E6679" s="716">
        <v>55.8</v>
      </c>
      <c r="F6679" s="717">
        <v>0</v>
      </c>
      <c r="G6679">
        <f>VLOOKUP(B6679,'SINAPI-%MO'!B:E,4,0)</f>
        <v>0.40110000000000001</v>
      </c>
      <c r="H6679" s="225">
        <f t="shared" si="104"/>
        <v>33.409999999999997</v>
      </c>
    </row>
    <row r="6680" spans="1:8" x14ac:dyDescent="0.3">
      <c r="A6680" s="400"/>
      <c r="B6680" s="709">
        <v>100802</v>
      </c>
      <c r="C6680" s="710" t="s">
        <v>5627</v>
      </c>
      <c r="D6680" s="709" t="s">
        <v>159</v>
      </c>
      <c r="E6680" s="716">
        <v>62.58</v>
      </c>
      <c r="F6680" s="717">
        <v>0</v>
      </c>
      <c r="G6680">
        <f>VLOOKUP(B6680,'SINAPI-%MO'!B:E,4,0)</f>
        <v>0.25519999999999998</v>
      </c>
      <c r="H6680" s="225">
        <f t="shared" si="104"/>
        <v>46.6</v>
      </c>
    </row>
    <row r="6681" spans="1:8" x14ac:dyDescent="0.3">
      <c r="A6681" s="400"/>
      <c r="B6681" s="709">
        <v>100810</v>
      </c>
      <c r="C6681" s="710" t="s">
        <v>5628</v>
      </c>
      <c r="D6681" s="709" t="s">
        <v>159</v>
      </c>
      <c r="E6681" s="716">
        <v>74</v>
      </c>
      <c r="F6681" s="717">
        <v>0</v>
      </c>
      <c r="G6681">
        <f>VLOOKUP(B6681,'SINAPI-%MO'!B:E,4,0)</f>
        <v>0.37009999999999998</v>
      </c>
      <c r="H6681" s="225">
        <f t="shared" si="104"/>
        <v>46.61</v>
      </c>
    </row>
    <row r="6682" spans="1:8" x14ac:dyDescent="0.3">
      <c r="A6682" s="400"/>
      <c r="B6682" s="709">
        <v>100791</v>
      </c>
      <c r="C6682" s="710" t="s">
        <v>5629</v>
      </c>
      <c r="D6682" s="709" t="s">
        <v>159</v>
      </c>
      <c r="E6682" s="716">
        <v>23.57</v>
      </c>
      <c r="F6682" s="717">
        <v>0</v>
      </c>
      <c r="G6682">
        <f>VLOOKUP(B6682,'SINAPI-%MO'!B:E,4,0)</f>
        <v>0.37459999999999999</v>
      </c>
      <c r="H6682" s="225">
        <f t="shared" si="104"/>
        <v>14.74</v>
      </c>
    </row>
    <row r="6683" spans="1:8" x14ac:dyDescent="0.3">
      <c r="A6683" s="400"/>
      <c r="B6683" s="709">
        <v>100803</v>
      </c>
      <c r="C6683" s="710" t="s">
        <v>5630</v>
      </c>
      <c r="D6683" s="709" t="s">
        <v>159</v>
      </c>
      <c r="E6683" s="716">
        <v>22.42</v>
      </c>
      <c r="F6683" s="717">
        <v>0</v>
      </c>
      <c r="G6683">
        <f>VLOOKUP(B6683,'SINAPI-%MO'!B:E,4,0)</f>
        <v>0.34260000000000002</v>
      </c>
      <c r="H6683" s="225">
        <f t="shared" si="104"/>
        <v>14.73</v>
      </c>
    </row>
    <row r="6684" spans="1:8" x14ac:dyDescent="0.3">
      <c r="A6684" s="400"/>
      <c r="B6684" s="709">
        <v>100792</v>
      </c>
      <c r="C6684" s="710" t="s">
        <v>5631</v>
      </c>
      <c r="D6684" s="709" t="s">
        <v>159</v>
      </c>
      <c r="E6684" s="716">
        <v>34.61</v>
      </c>
      <c r="F6684" s="717">
        <v>0</v>
      </c>
      <c r="G6684">
        <f>VLOOKUP(B6684,'SINAPI-%MO'!B:E,4,0)</f>
        <v>0.30249999999999999</v>
      </c>
      <c r="H6684" s="225">
        <f t="shared" si="104"/>
        <v>24.14</v>
      </c>
    </row>
    <row r="6685" spans="1:8" x14ac:dyDescent="0.3">
      <c r="A6685" s="400"/>
      <c r="B6685" s="709">
        <v>100804</v>
      </c>
      <c r="C6685" s="710" t="s">
        <v>5632</v>
      </c>
      <c r="D6685" s="709" t="s">
        <v>159</v>
      </c>
      <c r="E6685" s="716">
        <v>33.25</v>
      </c>
      <c r="F6685" s="717">
        <v>0</v>
      </c>
      <c r="G6685">
        <f>VLOOKUP(B6685,'SINAPI-%MO'!B:E,4,0)</f>
        <v>0.27400000000000002</v>
      </c>
      <c r="H6685" s="225">
        <f t="shared" si="104"/>
        <v>24.13</v>
      </c>
    </row>
    <row r="6686" spans="1:8" x14ac:dyDescent="0.3">
      <c r="A6686" s="400"/>
      <c r="B6686" s="709">
        <v>100793</v>
      </c>
      <c r="C6686" s="710" t="s">
        <v>5633</v>
      </c>
      <c r="D6686" s="709" t="s">
        <v>159</v>
      </c>
      <c r="E6686" s="716">
        <v>45.95</v>
      </c>
      <c r="F6686" s="717">
        <v>0</v>
      </c>
      <c r="G6686">
        <f>VLOOKUP(B6686,'SINAPI-%MO'!B:E,4,0)</f>
        <v>0.2727</v>
      </c>
      <c r="H6686" s="225">
        <f t="shared" si="104"/>
        <v>33.409999999999997</v>
      </c>
    </row>
    <row r="6687" spans="1:8" x14ac:dyDescent="0.3">
      <c r="A6687" s="400"/>
      <c r="B6687" s="709">
        <v>100805</v>
      </c>
      <c r="C6687" s="710" t="s">
        <v>5634</v>
      </c>
      <c r="D6687" s="709" t="s">
        <v>159</v>
      </c>
      <c r="E6687" s="716">
        <v>44.32</v>
      </c>
      <c r="F6687" s="717">
        <v>0</v>
      </c>
      <c r="G6687">
        <f>VLOOKUP(B6687,'SINAPI-%MO'!B:E,4,0)</f>
        <v>0.24590000000000001</v>
      </c>
      <c r="H6687" s="225">
        <f t="shared" si="104"/>
        <v>33.42</v>
      </c>
    </row>
    <row r="6688" spans="1:8" x14ac:dyDescent="0.3">
      <c r="A6688" s="400"/>
      <c r="B6688" s="709">
        <v>100794</v>
      </c>
      <c r="C6688" s="710" t="s">
        <v>5635</v>
      </c>
      <c r="D6688" s="709" t="s">
        <v>159</v>
      </c>
      <c r="E6688" s="716">
        <v>62.02</v>
      </c>
      <c r="F6688" s="717">
        <v>0</v>
      </c>
      <c r="G6688">
        <f>VLOOKUP(B6688,'SINAPI-%MO'!B:E,4,0)</f>
        <v>0.2485</v>
      </c>
      <c r="H6688" s="225">
        <f t="shared" si="104"/>
        <v>46.6</v>
      </c>
    </row>
    <row r="6689" spans="1:8" x14ac:dyDescent="0.3">
      <c r="A6689" s="400"/>
      <c r="B6689" s="709">
        <v>100806</v>
      </c>
      <c r="C6689" s="710" t="s">
        <v>5636</v>
      </c>
      <c r="D6689" s="709" t="s">
        <v>159</v>
      </c>
      <c r="E6689" s="716">
        <v>60.02</v>
      </c>
      <c r="F6689" s="717">
        <v>0</v>
      </c>
      <c r="G6689">
        <f>VLOOKUP(B6689,'SINAPI-%MO'!B:E,4,0)</f>
        <v>0.22339999999999999</v>
      </c>
      <c r="H6689" s="225">
        <f t="shared" si="104"/>
        <v>46.61</v>
      </c>
    </row>
    <row r="6690" spans="1:8" x14ac:dyDescent="0.3">
      <c r="A6690" s="400"/>
      <c r="B6690" s="709">
        <v>100838</v>
      </c>
      <c r="C6690" s="710" t="s">
        <v>5637</v>
      </c>
      <c r="D6690" s="709" t="s">
        <v>136</v>
      </c>
      <c r="E6690" s="716">
        <v>0</v>
      </c>
      <c r="F6690" s="717"/>
      <c r="G6690" t="e">
        <f>VLOOKUP(B6690,'SINAPI-%MO'!B:E,4,0)</f>
        <v>#N/A</v>
      </c>
      <c r="H6690" s="225" t="str">
        <f t="shared" si="104"/>
        <v/>
      </c>
    </row>
    <row r="6691" spans="1:8" x14ac:dyDescent="0.3">
      <c r="A6691" s="400"/>
      <c r="B6691" s="709">
        <v>100839</v>
      </c>
      <c r="C6691" s="710" t="s">
        <v>5638</v>
      </c>
      <c r="D6691" s="709" t="s">
        <v>136</v>
      </c>
      <c r="E6691" s="716">
        <v>0</v>
      </c>
      <c r="F6691" s="717"/>
      <c r="G6691" t="e">
        <f>VLOOKUP(B6691,'SINAPI-%MO'!B:E,4,0)</f>
        <v>#N/A</v>
      </c>
      <c r="H6691" s="225" t="str">
        <f t="shared" si="104"/>
        <v/>
      </c>
    </row>
    <row r="6692" spans="1:8" x14ac:dyDescent="0.3">
      <c r="A6692" s="400"/>
      <c r="B6692" s="709">
        <v>100840</v>
      </c>
      <c r="C6692" s="710" t="s">
        <v>5639</v>
      </c>
      <c r="D6692" s="709" t="s">
        <v>136</v>
      </c>
      <c r="E6692" s="716">
        <v>0</v>
      </c>
      <c r="F6692" s="717"/>
      <c r="G6692" t="e">
        <f>VLOOKUP(B6692,'SINAPI-%MO'!B:E,4,0)</f>
        <v>#N/A</v>
      </c>
      <c r="H6692" s="225" t="str">
        <f t="shared" si="104"/>
        <v/>
      </c>
    </row>
    <row r="6693" spans="1:8" x14ac:dyDescent="0.3">
      <c r="A6693" s="400"/>
      <c r="B6693" s="709">
        <v>100841</v>
      </c>
      <c r="C6693" s="710" t="s">
        <v>5640</v>
      </c>
      <c r="D6693" s="709" t="s">
        <v>136</v>
      </c>
      <c r="E6693" s="716">
        <v>0</v>
      </c>
      <c r="F6693" s="717"/>
      <c r="G6693" t="e">
        <f>VLOOKUP(B6693,'SINAPI-%MO'!B:E,4,0)</f>
        <v>#N/A</v>
      </c>
      <c r="H6693" s="225" t="str">
        <f t="shared" si="104"/>
        <v/>
      </c>
    </row>
    <row r="6694" spans="1:8" x14ac:dyDescent="0.3">
      <c r="A6694" s="400"/>
      <c r="B6694" s="709">
        <v>103283</v>
      </c>
      <c r="C6694" s="710" t="s">
        <v>15977</v>
      </c>
      <c r="D6694" s="709" t="s">
        <v>136</v>
      </c>
      <c r="E6694" s="716">
        <v>0</v>
      </c>
      <c r="F6694" s="717"/>
      <c r="G6694" t="e">
        <f>VLOOKUP(B6694,'SINAPI-%MO'!B:E,4,0)</f>
        <v>#N/A</v>
      </c>
      <c r="H6694" s="225" t="str">
        <f t="shared" si="104"/>
        <v/>
      </c>
    </row>
    <row r="6695" spans="1:8" x14ac:dyDescent="0.3">
      <c r="A6695" s="400"/>
      <c r="B6695" s="709">
        <v>103284</v>
      </c>
      <c r="C6695" s="710" t="s">
        <v>15978</v>
      </c>
      <c r="D6695" s="709" t="s">
        <v>136</v>
      </c>
      <c r="E6695" s="716">
        <v>0</v>
      </c>
      <c r="F6695" s="717"/>
      <c r="G6695" t="e">
        <f>VLOOKUP(B6695,'SINAPI-%MO'!B:E,4,0)</f>
        <v>#N/A</v>
      </c>
      <c r="H6695" s="225" t="str">
        <f t="shared" si="104"/>
        <v/>
      </c>
    </row>
    <row r="6696" spans="1:8" x14ac:dyDescent="0.3">
      <c r="A6696" s="400"/>
      <c r="B6696" s="709">
        <v>103282</v>
      </c>
      <c r="C6696" s="710" t="s">
        <v>15979</v>
      </c>
      <c r="D6696" s="709" t="s">
        <v>136</v>
      </c>
      <c r="E6696" s="716">
        <v>0</v>
      </c>
      <c r="F6696" s="717"/>
      <c r="G6696" t="e">
        <f>VLOOKUP(B6696,'SINAPI-%MO'!B:E,4,0)</f>
        <v>#N/A</v>
      </c>
      <c r="H6696" s="225" t="str">
        <f t="shared" si="104"/>
        <v/>
      </c>
    </row>
    <row r="6697" spans="1:8" x14ac:dyDescent="0.3">
      <c r="A6697" s="400"/>
      <c r="B6697" s="709">
        <v>103279</v>
      </c>
      <c r="C6697" s="710" t="s">
        <v>15980</v>
      </c>
      <c r="D6697" s="709" t="s">
        <v>136</v>
      </c>
      <c r="E6697" s="716">
        <v>0</v>
      </c>
      <c r="F6697" s="717"/>
      <c r="G6697" t="e">
        <f>VLOOKUP(B6697,'SINAPI-%MO'!B:E,4,0)</f>
        <v>#N/A</v>
      </c>
      <c r="H6697" s="225" t="str">
        <f t="shared" si="104"/>
        <v/>
      </c>
    </row>
    <row r="6698" spans="1:8" x14ac:dyDescent="0.3">
      <c r="A6698" s="400"/>
      <c r="B6698" s="709">
        <v>103280</v>
      </c>
      <c r="C6698" s="710" t="s">
        <v>15981</v>
      </c>
      <c r="D6698" s="709" t="s">
        <v>136</v>
      </c>
      <c r="E6698" s="716">
        <v>0</v>
      </c>
      <c r="F6698" s="717"/>
      <c r="G6698" t="e">
        <f>VLOOKUP(B6698,'SINAPI-%MO'!B:E,4,0)</f>
        <v>#N/A</v>
      </c>
      <c r="H6698" s="225" t="str">
        <f t="shared" si="104"/>
        <v/>
      </c>
    </row>
    <row r="6699" spans="1:8" x14ac:dyDescent="0.3">
      <c r="A6699" s="400"/>
      <c r="B6699" s="709">
        <v>103281</v>
      </c>
      <c r="C6699" s="710" t="s">
        <v>15982</v>
      </c>
      <c r="D6699" s="709" t="s">
        <v>136</v>
      </c>
      <c r="E6699" s="716">
        <v>0</v>
      </c>
      <c r="F6699" s="717"/>
      <c r="G6699" t="e">
        <f>VLOOKUP(B6699,'SINAPI-%MO'!B:E,4,0)</f>
        <v>#N/A</v>
      </c>
      <c r="H6699" s="225" t="str">
        <f t="shared" si="104"/>
        <v/>
      </c>
    </row>
    <row r="6700" spans="1:8" x14ac:dyDescent="0.3">
      <c r="A6700" s="400"/>
      <c r="B6700" s="709">
        <v>107248</v>
      </c>
      <c r="C6700" s="710" t="s">
        <v>15983</v>
      </c>
      <c r="D6700" s="709" t="s">
        <v>136</v>
      </c>
      <c r="E6700" s="716">
        <v>0</v>
      </c>
      <c r="F6700" s="717"/>
      <c r="G6700" t="e">
        <f>VLOOKUP(B6700,'SINAPI-%MO'!B:E,4,0)</f>
        <v>#N/A</v>
      </c>
      <c r="H6700" s="225" t="str">
        <f t="shared" si="104"/>
        <v/>
      </c>
    </row>
    <row r="6701" spans="1:8" x14ac:dyDescent="0.3">
      <c r="A6701" s="400"/>
      <c r="B6701" s="709">
        <v>107234</v>
      </c>
      <c r="C6701" s="710" t="s">
        <v>15984</v>
      </c>
      <c r="D6701" s="709" t="s">
        <v>136</v>
      </c>
      <c r="E6701" s="716">
        <v>0</v>
      </c>
      <c r="F6701" s="717"/>
      <c r="G6701" t="e">
        <f>VLOOKUP(B6701,'SINAPI-%MO'!B:E,4,0)</f>
        <v>#N/A</v>
      </c>
      <c r="H6701" s="225" t="str">
        <f t="shared" si="104"/>
        <v/>
      </c>
    </row>
    <row r="6702" spans="1:8" x14ac:dyDescent="0.3">
      <c r="A6702" s="400"/>
      <c r="B6702" s="709">
        <v>103247</v>
      </c>
      <c r="C6702" s="710" t="s">
        <v>15891</v>
      </c>
      <c r="D6702" s="709" t="s">
        <v>136</v>
      </c>
      <c r="E6702" s="716">
        <v>2805.93</v>
      </c>
      <c r="F6702" s="717">
        <v>3.0000000000000001E-3</v>
      </c>
      <c r="G6702">
        <f>VLOOKUP(B6702,'SINAPI-%MO'!B:E,4,0)</f>
        <v>5.4100000000000002E-2</v>
      </c>
      <c r="H6702" s="225">
        <f t="shared" si="104"/>
        <v>2654.12</v>
      </c>
    </row>
    <row r="6703" spans="1:8" x14ac:dyDescent="0.3">
      <c r="A6703" s="400"/>
      <c r="B6703" s="709">
        <v>107250</v>
      </c>
      <c r="C6703" s="710" t="s">
        <v>15985</v>
      </c>
      <c r="D6703" s="709" t="s">
        <v>136</v>
      </c>
      <c r="E6703" s="716">
        <v>0</v>
      </c>
      <c r="F6703" s="717"/>
      <c r="G6703" t="e">
        <f>VLOOKUP(B6703,'SINAPI-%MO'!B:E,4,0)</f>
        <v>#N/A</v>
      </c>
      <c r="H6703" s="225" t="str">
        <f t="shared" si="104"/>
        <v/>
      </c>
    </row>
    <row r="6704" spans="1:8" x14ac:dyDescent="0.3">
      <c r="A6704" s="400"/>
      <c r="B6704" s="709">
        <v>103250</v>
      </c>
      <c r="C6704" s="710" t="s">
        <v>15892</v>
      </c>
      <c r="D6704" s="709" t="s">
        <v>136</v>
      </c>
      <c r="E6704" s="716">
        <v>4062.69</v>
      </c>
      <c r="F6704" s="717">
        <v>2E-3</v>
      </c>
      <c r="G6704">
        <f>VLOOKUP(B6704,'SINAPI-%MO'!B:E,4,0)</f>
        <v>3.9300000000000002E-2</v>
      </c>
      <c r="H6704" s="225">
        <f t="shared" si="104"/>
        <v>3903.02</v>
      </c>
    </row>
    <row r="6705" spans="1:8" x14ac:dyDescent="0.3">
      <c r="A6705" s="400"/>
      <c r="B6705" s="709">
        <v>107251</v>
      </c>
      <c r="C6705" s="710" t="s">
        <v>15986</v>
      </c>
      <c r="D6705" s="709" t="s">
        <v>136</v>
      </c>
      <c r="E6705" s="716">
        <v>0</v>
      </c>
      <c r="F6705" s="717"/>
      <c r="G6705" t="e">
        <f>VLOOKUP(B6705,'SINAPI-%MO'!B:E,4,0)</f>
        <v>#N/A</v>
      </c>
      <c r="H6705" s="225" t="str">
        <f t="shared" si="104"/>
        <v/>
      </c>
    </row>
    <row r="6706" spans="1:8" x14ac:dyDescent="0.3">
      <c r="A6706" s="400"/>
      <c r="B6706" s="709">
        <v>103253</v>
      </c>
      <c r="C6706" s="710" t="s">
        <v>15893</v>
      </c>
      <c r="D6706" s="709" t="s">
        <v>136</v>
      </c>
      <c r="E6706" s="716">
        <v>5527.69</v>
      </c>
      <c r="F6706" s="717">
        <v>1.5E-3</v>
      </c>
      <c r="G6706">
        <f>VLOOKUP(B6706,'SINAPI-%MO'!B:E,4,0)</f>
        <v>2.9399999999999999E-2</v>
      </c>
      <c r="H6706" s="225">
        <f t="shared" si="104"/>
        <v>5365.17</v>
      </c>
    </row>
    <row r="6707" spans="1:8" x14ac:dyDescent="0.3">
      <c r="A6707" s="400"/>
      <c r="B6707" s="709">
        <v>107252</v>
      </c>
      <c r="C6707" s="710" t="s">
        <v>15987</v>
      </c>
      <c r="D6707" s="709" t="s">
        <v>136</v>
      </c>
      <c r="E6707" s="716">
        <v>0</v>
      </c>
      <c r="F6707" s="717"/>
      <c r="G6707" t="e">
        <f>VLOOKUP(B6707,'SINAPI-%MO'!B:E,4,0)</f>
        <v>#N/A</v>
      </c>
      <c r="H6707" s="225" t="str">
        <f t="shared" si="104"/>
        <v/>
      </c>
    </row>
    <row r="6708" spans="1:8" x14ac:dyDescent="0.3">
      <c r="A6708" s="400"/>
      <c r="B6708" s="709">
        <v>107232</v>
      </c>
      <c r="C6708" s="710" t="s">
        <v>15988</v>
      </c>
      <c r="D6708" s="709" t="s">
        <v>136</v>
      </c>
      <c r="E6708" s="716">
        <v>0</v>
      </c>
      <c r="F6708" s="717"/>
      <c r="G6708" t="e">
        <f>VLOOKUP(B6708,'SINAPI-%MO'!B:E,4,0)</f>
        <v>#N/A</v>
      </c>
      <c r="H6708" s="225" t="str">
        <f t="shared" si="104"/>
        <v/>
      </c>
    </row>
    <row r="6709" spans="1:8" x14ac:dyDescent="0.3">
      <c r="A6709" s="400"/>
      <c r="B6709" s="709">
        <v>103244</v>
      </c>
      <c r="C6709" s="710" t="s">
        <v>15894</v>
      </c>
      <c r="D6709" s="709" t="s">
        <v>136</v>
      </c>
      <c r="E6709" s="716">
        <v>2530.35</v>
      </c>
      <c r="F6709" s="717">
        <v>3.3E-3</v>
      </c>
      <c r="G6709">
        <f>VLOOKUP(B6709,'SINAPI-%MO'!B:E,4,0)</f>
        <v>0.06</v>
      </c>
      <c r="H6709" s="225">
        <f t="shared" si="104"/>
        <v>2378.52</v>
      </c>
    </row>
    <row r="6710" spans="1:8" x14ac:dyDescent="0.3">
      <c r="A6710" s="400"/>
      <c r="B6710" s="709">
        <v>107249</v>
      </c>
      <c r="C6710" s="710" t="s">
        <v>15989</v>
      </c>
      <c r="D6710" s="709" t="s">
        <v>136</v>
      </c>
      <c r="E6710" s="716">
        <v>0</v>
      </c>
      <c r="F6710" s="717"/>
      <c r="G6710" t="e">
        <f>VLOOKUP(B6710,'SINAPI-%MO'!B:E,4,0)</f>
        <v>#N/A</v>
      </c>
      <c r="H6710" s="225" t="str">
        <f t="shared" si="104"/>
        <v/>
      </c>
    </row>
    <row r="6711" spans="1:8" x14ac:dyDescent="0.3">
      <c r="A6711" s="400"/>
      <c r="B6711" s="709">
        <v>103256</v>
      </c>
      <c r="C6711" s="710" t="s">
        <v>15895</v>
      </c>
      <c r="D6711" s="709" t="s">
        <v>136</v>
      </c>
      <c r="E6711" s="716">
        <v>10245.48</v>
      </c>
      <c r="F6711" s="717">
        <v>2.5999999999999999E-3</v>
      </c>
      <c r="G6711">
        <f>VLOOKUP(B6711,'SINAPI-%MO'!B:E,4,0)</f>
        <v>2.2800000000000001E-2</v>
      </c>
      <c r="H6711" s="225">
        <f t="shared" si="104"/>
        <v>10011.879999999999</v>
      </c>
    </row>
    <row r="6712" spans="1:8" x14ac:dyDescent="0.3">
      <c r="A6712" s="400"/>
      <c r="B6712" s="709">
        <v>103258</v>
      </c>
      <c r="C6712" s="710" t="s">
        <v>15896</v>
      </c>
      <c r="D6712" s="709" t="s">
        <v>136</v>
      </c>
      <c r="E6712" s="716">
        <v>11449.47</v>
      </c>
      <c r="F6712" s="717">
        <v>2.3E-3</v>
      </c>
      <c r="G6712">
        <f>VLOOKUP(B6712,'SINAPI-%MO'!B:E,4,0)</f>
        <v>2.06E-2</v>
      </c>
      <c r="H6712" s="225">
        <f t="shared" si="104"/>
        <v>11213.61</v>
      </c>
    </row>
    <row r="6713" spans="1:8" x14ac:dyDescent="0.3">
      <c r="A6713" s="400"/>
      <c r="B6713" s="709">
        <v>103260</v>
      </c>
      <c r="C6713" s="710" t="s">
        <v>15897</v>
      </c>
      <c r="D6713" s="709" t="s">
        <v>136</v>
      </c>
      <c r="E6713" s="716">
        <v>6342.97</v>
      </c>
      <c r="F6713" s="717">
        <v>4.1999999999999997E-3</v>
      </c>
      <c r="G6713">
        <f>VLOOKUP(B6713,'SINAPI-%MO'!B:E,4,0)</f>
        <v>3.7499999999999999E-2</v>
      </c>
      <c r="H6713" s="225">
        <f t="shared" si="104"/>
        <v>6105.1</v>
      </c>
    </row>
    <row r="6714" spans="1:8" x14ac:dyDescent="0.3">
      <c r="A6714" s="400"/>
      <c r="B6714" s="709">
        <v>107235</v>
      </c>
      <c r="C6714" s="710" t="s">
        <v>15990</v>
      </c>
      <c r="D6714" s="709" t="s">
        <v>136</v>
      </c>
      <c r="E6714" s="716">
        <v>0</v>
      </c>
      <c r="F6714" s="717"/>
      <c r="G6714" t="e">
        <f>VLOOKUP(B6714,'SINAPI-%MO'!B:E,4,0)</f>
        <v>#N/A</v>
      </c>
      <c r="H6714" s="225" t="str">
        <f t="shared" si="104"/>
        <v/>
      </c>
    </row>
    <row r="6715" spans="1:8" x14ac:dyDescent="0.3">
      <c r="A6715" s="400"/>
      <c r="B6715" s="709">
        <v>103261</v>
      </c>
      <c r="C6715" s="710" t="s">
        <v>15898</v>
      </c>
      <c r="D6715" s="709" t="s">
        <v>136</v>
      </c>
      <c r="E6715" s="716">
        <v>12912.58</v>
      </c>
      <c r="F6715" s="717">
        <v>2E-3</v>
      </c>
      <c r="G6715">
        <f>VLOOKUP(B6715,'SINAPI-%MO'!B:E,4,0)</f>
        <v>1.9800000000000002E-2</v>
      </c>
      <c r="H6715" s="225">
        <f t="shared" si="104"/>
        <v>12656.91</v>
      </c>
    </row>
    <row r="6716" spans="1:8" x14ac:dyDescent="0.3">
      <c r="A6716" s="400"/>
      <c r="B6716" s="709">
        <v>107244</v>
      </c>
      <c r="C6716" s="710" t="s">
        <v>15899</v>
      </c>
      <c r="D6716" s="709" t="s">
        <v>136</v>
      </c>
      <c r="E6716" s="716">
        <v>13277.1</v>
      </c>
      <c r="F6716" s="717">
        <v>1.4E-3</v>
      </c>
      <c r="G6716">
        <f>VLOOKUP(B6716,'SINAPI-%MO'!B:E,4,0)</f>
        <v>2.5700000000000001E-2</v>
      </c>
      <c r="H6716" s="225">
        <f t="shared" si="104"/>
        <v>12935.87</v>
      </c>
    </row>
    <row r="6717" spans="1:8" x14ac:dyDescent="0.3">
      <c r="A6717" s="400"/>
      <c r="B6717" s="709">
        <v>103263</v>
      </c>
      <c r="C6717" s="710" t="s">
        <v>15900</v>
      </c>
      <c r="D6717" s="709" t="s">
        <v>136</v>
      </c>
      <c r="E6717" s="716">
        <v>17984.79</v>
      </c>
      <c r="F6717" s="717">
        <v>1E-3</v>
      </c>
      <c r="G6717">
        <f>VLOOKUP(B6717,'SINAPI-%MO'!B:E,4,0)</f>
        <v>1.9099999999999999E-2</v>
      </c>
      <c r="H6717" s="225">
        <f t="shared" si="104"/>
        <v>17641.28</v>
      </c>
    </row>
    <row r="6718" spans="1:8" x14ac:dyDescent="0.3">
      <c r="A6718" s="400"/>
      <c r="B6718" s="709">
        <v>103265</v>
      </c>
      <c r="C6718" s="710" t="s">
        <v>15901</v>
      </c>
      <c r="D6718" s="709" t="s">
        <v>136</v>
      </c>
      <c r="E6718" s="716">
        <v>21668.97</v>
      </c>
      <c r="F6718" s="717">
        <v>8.0000000000000004E-4</v>
      </c>
      <c r="G6718">
        <f>VLOOKUP(B6718,'SINAPI-%MO'!B:E,4,0)</f>
        <v>1.5800000000000002E-2</v>
      </c>
      <c r="H6718" s="225">
        <f t="shared" si="104"/>
        <v>21326.6</v>
      </c>
    </row>
    <row r="6719" spans="1:8" x14ac:dyDescent="0.3">
      <c r="A6719" s="400"/>
      <c r="B6719" s="709">
        <v>103268</v>
      </c>
      <c r="C6719" s="710" t="s">
        <v>15902</v>
      </c>
      <c r="D6719" s="709" t="s">
        <v>136</v>
      </c>
      <c r="E6719" s="716">
        <v>7594.12</v>
      </c>
      <c r="F6719" s="717">
        <v>2.7000000000000001E-3</v>
      </c>
      <c r="G6719">
        <f>VLOOKUP(B6719,'SINAPI-%MO'!B:E,4,0)</f>
        <v>3.0599999999999999E-2</v>
      </c>
      <c r="H6719" s="225">
        <f t="shared" si="104"/>
        <v>7361.73</v>
      </c>
    </row>
    <row r="6720" spans="1:8" x14ac:dyDescent="0.3">
      <c r="A6720" s="400"/>
      <c r="B6720" s="709">
        <v>103270</v>
      </c>
      <c r="C6720" s="710" t="s">
        <v>15903</v>
      </c>
      <c r="D6720" s="709" t="s">
        <v>136</v>
      </c>
      <c r="E6720" s="716">
        <v>8159.5</v>
      </c>
      <c r="F6720" s="717">
        <v>2.5000000000000001E-3</v>
      </c>
      <c r="G6720">
        <f>VLOOKUP(B6720,'SINAPI-%MO'!B:E,4,0)</f>
        <v>2.93E-2</v>
      </c>
      <c r="H6720" s="225">
        <f t="shared" si="104"/>
        <v>7920.42</v>
      </c>
    </row>
    <row r="6721" spans="1:8" x14ac:dyDescent="0.3">
      <c r="A6721" s="400"/>
      <c r="B6721" s="709">
        <v>103272</v>
      </c>
      <c r="C6721" s="710" t="s">
        <v>15904</v>
      </c>
      <c r="D6721" s="709" t="s">
        <v>136</v>
      </c>
      <c r="E6721" s="716">
        <v>11946.01</v>
      </c>
      <c r="F6721" s="717">
        <v>1.6999999999999999E-3</v>
      </c>
      <c r="G6721">
        <f>VLOOKUP(B6721,'SINAPI-%MO'!B:E,4,0)</f>
        <v>2.35E-2</v>
      </c>
      <c r="H6721" s="225">
        <f t="shared" si="104"/>
        <v>11665.27</v>
      </c>
    </row>
    <row r="6722" spans="1:8" x14ac:dyDescent="0.3">
      <c r="A6722" s="400"/>
      <c r="B6722" s="709">
        <v>107247</v>
      </c>
      <c r="C6722" s="710" t="s">
        <v>15905</v>
      </c>
      <c r="D6722" s="709" t="s">
        <v>136</v>
      </c>
      <c r="E6722" s="716">
        <v>12266.32</v>
      </c>
      <c r="F6722" s="717">
        <v>1E-3</v>
      </c>
      <c r="G6722">
        <f>VLOOKUP(B6722,'SINAPI-%MO'!B:E,4,0)</f>
        <v>2.9899999999999999E-2</v>
      </c>
      <c r="H6722" s="225">
        <f t="shared" si="104"/>
        <v>11899.55</v>
      </c>
    </row>
    <row r="6723" spans="1:8" x14ac:dyDescent="0.3">
      <c r="A6723" s="400"/>
      <c r="B6723" s="709">
        <v>103274</v>
      </c>
      <c r="C6723" s="710" t="s">
        <v>15906</v>
      </c>
      <c r="D6723" s="709" t="s">
        <v>136</v>
      </c>
      <c r="E6723" s="716">
        <v>14083.69</v>
      </c>
      <c r="F6723" s="717">
        <v>8.9999999999999998E-4</v>
      </c>
      <c r="G6723">
        <f>VLOOKUP(B6723,'SINAPI-%MO'!B:E,4,0)</f>
        <v>2.5999999999999999E-2</v>
      </c>
      <c r="H6723" s="225">
        <f t="shared" si="104"/>
        <v>13717.51</v>
      </c>
    </row>
    <row r="6724" spans="1:8" x14ac:dyDescent="0.3">
      <c r="A6724" s="400"/>
      <c r="B6724" s="709">
        <v>103276</v>
      </c>
      <c r="C6724" s="710" t="s">
        <v>15907</v>
      </c>
      <c r="D6724" s="709" t="s">
        <v>136</v>
      </c>
      <c r="E6724" s="716">
        <v>14701.81</v>
      </c>
      <c r="F6724" s="717">
        <v>8.0000000000000004E-4</v>
      </c>
      <c r="G6724">
        <f>VLOOKUP(B6724,'SINAPI-%MO'!B:E,4,0)</f>
        <v>2.4899999999999999E-2</v>
      </c>
      <c r="H6724" s="225">
        <f t="shared" si="104"/>
        <v>14335.73</v>
      </c>
    </row>
    <row r="6725" spans="1:8" x14ac:dyDescent="0.3">
      <c r="A6725" s="400"/>
      <c r="B6725" s="709">
        <v>103267</v>
      </c>
      <c r="C6725" s="710" t="s">
        <v>15908</v>
      </c>
      <c r="D6725" s="709" t="s">
        <v>136</v>
      </c>
      <c r="E6725" s="716">
        <v>6398.24</v>
      </c>
      <c r="F6725" s="717">
        <v>3.2000000000000002E-3</v>
      </c>
      <c r="G6725">
        <f>VLOOKUP(B6725,'SINAPI-%MO'!B:E,4,0)</f>
        <v>3.6400000000000002E-2</v>
      </c>
      <c r="H6725" s="225">
        <f t="shared" si="104"/>
        <v>6165.34</v>
      </c>
    </row>
    <row r="6726" spans="1:8" x14ac:dyDescent="0.3">
      <c r="A6726" s="400"/>
      <c r="B6726" s="709">
        <v>103269</v>
      </c>
      <c r="C6726" s="710" t="s">
        <v>15909</v>
      </c>
      <c r="D6726" s="709" t="s">
        <v>136</v>
      </c>
      <c r="E6726" s="716">
        <v>7860.75</v>
      </c>
      <c r="F6726" s="717">
        <v>2.5999999999999999E-3</v>
      </c>
      <c r="G6726">
        <f>VLOOKUP(B6726,'SINAPI-%MO'!B:E,4,0)</f>
        <v>3.04E-2</v>
      </c>
      <c r="H6726" s="225">
        <f t="shared" si="104"/>
        <v>7621.78</v>
      </c>
    </row>
    <row r="6727" spans="1:8" x14ac:dyDescent="0.3">
      <c r="A6727" s="400"/>
      <c r="B6727" s="709">
        <v>103271</v>
      </c>
      <c r="C6727" s="710" t="s">
        <v>15910</v>
      </c>
      <c r="D6727" s="709" t="s">
        <v>136</v>
      </c>
      <c r="E6727" s="716">
        <v>11566.1</v>
      </c>
      <c r="F6727" s="717">
        <v>1.8E-3</v>
      </c>
      <c r="G6727">
        <f>VLOOKUP(B6727,'SINAPI-%MO'!B:E,4,0)</f>
        <v>2.4299999999999999E-2</v>
      </c>
      <c r="H6727" s="225">
        <f t="shared" si="104"/>
        <v>11285.04</v>
      </c>
    </row>
    <row r="6728" spans="1:8" x14ac:dyDescent="0.3">
      <c r="A6728" s="400"/>
      <c r="B6728" s="709">
        <v>107246</v>
      </c>
      <c r="C6728" s="710" t="s">
        <v>15911</v>
      </c>
      <c r="D6728" s="709" t="s">
        <v>136</v>
      </c>
      <c r="E6728" s="716">
        <v>11886.41</v>
      </c>
      <c r="F6728" s="717">
        <v>1E-3</v>
      </c>
      <c r="G6728">
        <f>VLOOKUP(B6728,'SINAPI-%MO'!B:E,4,0)</f>
        <v>3.09E-2</v>
      </c>
      <c r="H6728" s="225">
        <f t="shared" si="104"/>
        <v>11519.11</v>
      </c>
    </row>
    <row r="6729" spans="1:8" x14ac:dyDescent="0.3">
      <c r="A6729" s="400"/>
      <c r="B6729" s="709">
        <v>103273</v>
      </c>
      <c r="C6729" s="710" t="s">
        <v>15912</v>
      </c>
      <c r="D6729" s="709" t="s">
        <v>136</v>
      </c>
      <c r="E6729" s="716">
        <v>12296.92</v>
      </c>
      <c r="F6729" s="717">
        <v>1E-3</v>
      </c>
      <c r="G6729">
        <f>VLOOKUP(B6729,'SINAPI-%MO'!B:E,4,0)</f>
        <v>2.98E-2</v>
      </c>
      <c r="H6729" s="225">
        <f t="shared" si="104"/>
        <v>11930.47</v>
      </c>
    </row>
    <row r="6730" spans="1:8" x14ac:dyDescent="0.3">
      <c r="A6730" s="400"/>
      <c r="B6730" s="709">
        <v>103275</v>
      </c>
      <c r="C6730" s="710" t="s">
        <v>15913</v>
      </c>
      <c r="D6730" s="709" t="s">
        <v>136</v>
      </c>
      <c r="E6730" s="716">
        <v>14010.74</v>
      </c>
      <c r="F6730" s="717">
        <v>8.9999999999999998E-4</v>
      </c>
      <c r="G6730">
        <f>VLOOKUP(B6730,'SINAPI-%MO'!B:E,4,0)</f>
        <v>2.6200000000000001E-2</v>
      </c>
      <c r="H6730" s="225">
        <f t="shared" si="104"/>
        <v>13643.65</v>
      </c>
    </row>
    <row r="6731" spans="1:8" x14ac:dyDescent="0.3">
      <c r="A6731" s="400"/>
      <c r="B6731" s="709">
        <v>103248</v>
      </c>
      <c r="C6731" s="710" t="s">
        <v>15914</v>
      </c>
      <c r="D6731" s="709" t="s">
        <v>136</v>
      </c>
      <c r="E6731" s="716">
        <v>2297.02</v>
      </c>
      <c r="F6731" s="717">
        <v>3.5999999999999999E-3</v>
      </c>
      <c r="G6731">
        <f>VLOOKUP(B6731,'SINAPI-%MO'!B:E,4,0)</f>
        <v>6.6100000000000006E-2</v>
      </c>
      <c r="H6731" s="225">
        <f t="shared" ref="H6731:H6794" si="105">IF(E6731&gt;0,TRUNC(E6731*(1-G6731),2),"")</f>
        <v>2145.1799999999998</v>
      </c>
    </row>
    <row r="6732" spans="1:8" x14ac:dyDescent="0.3">
      <c r="A6732" s="400"/>
      <c r="B6732" s="709">
        <v>103249</v>
      </c>
      <c r="C6732" s="710" t="s">
        <v>15915</v>
      </c>
      <c r="D6732" s="709" t="s">
        <v>136</v>
      </c>
      <c r="E6732" s="716">
        <v>2466.12</v>
      </c>
      <c r="F6732" s="717">
        <v>3.3999999999999998E-3</v>
      </c>
      <c r="G6732">
        <f>VLOOKUP(B6732,'SINAPI-%MO'!B:E,4,0)</f>
        <v>6.1499999999999999E-2</v>
      </c>
      <c r="H6732" s="225">
        <f t="shared" si="105"/>
        <v>2314.4499999999998</v>
      </c>
    </row>
    <row r="6733" spans="1:8" x14ac:dyDescent="0.3">
      <c r="A6733" s="400"/>
      <c r="B6733" s="709">
        <v>103251</v>
      </c>
      <c r="C6733" s="710" t="s">
        <v>15916</v>
      </c>
      <c r="D6733" s="709" t="s">
        <v>136</v>
      </c>
      <c r="E6733" s="716">
        <v>3212.71</v>
      </c>
      <c r="F6733" s="717">
        <v>2.5999999999999999E-3</v>
      </c>
      <c r="G6733">
        <f>VLOOKUP(B6733,'SINAPI-%MO'!B:E,4,0)</f>
        <v>4.9700000000000001E-2</v>
      </c>
      <c r="H6733" s="225">
        <f t="shared" si="105"/>
        <v>3053.03</v>
      </c>
    </row>
    <row r="6734" spans="1:8" x14ac:dyDescent="0.3">
      <c r="A6734" s="400"/>
      <c r="B6734" s="709">
        <v>103252</v>
      </c>
      <c r="C6734" s="710" t="s">
        <v>15917</v>
      </c>
      <c r="D6734" s="709" t="s">
        <v>136</v>
      </c>
      <c r="E6734" s="716">
        <v>3555.49</v>
      </c>
      <c r="F6734" s="717">
        <v>2.3E-3</v>
      </c>
      <c r="G6734">
        <f>VLOOKUP(B6734,'SINAPI-%MO'!B:E,4,0)</f>
        <v>4.4900000000000002E-2</v>
      </c>
      <c r="H6734" s="225">
        <f t="shared" si="105"/>
        <v>3395.84</v>
      </c>
    </row>
    <row r="6735" spans="1:8" x14ac:dyDescent="0.3">
      <c r="A6735" s="400"/>
      <c r="B6735" s="709">
        <v>103254</v>
      </c>
      <c r="C6735" s="710" t="s">
        <v>15918</v>
      </c>
      <c r="D6735" s="709" t="s">
        <v>136</v>
      </c>
      <c r="E6735" s="716">
        <v>4138.07</v>
      </c>
      <c r="F6735" s="717">
        <v>2E-3</v>
      </c>
      <c r="G6735">
        <f>VLOOKUP(B6735,'SINAPI-%MO'!B:E,4,0)</f>
        <v>3.9300000000000002E-2</v>
      </c>
      <c r="H6735" s="225">
        <f t="shared" si="105"/>
        <v>3975.44</v>
      </c>
    </row>
    <row r="6736" spans="1:8" x14ac:dyDescent="0.3">
      <c r="A6736" s="400"/>
      <c r="B6736" s="709">
        <v>103255</v>
      </c>
      <c r="C6736" s="710" t="s">
        <v>15919</v>
      </c>
      <c r="D6736" s="709" t="s">
        <v>136</v>
      </c>
      <c r="E6736" s="716">
        <v>4628.3599999999997</v>
      </c>
      <c r="F6736" s="717">
        <v>1.8E-3</v>
      </c>
      <c r="G6736">
        <f>VLOOKUP(B6736,'SINAPI-%MO'!B:E,4,0)</f>
        <v>3.5099999999999999E-2</v>
      </c>
      <c r="H6736" s="225">
        <f t="shared" si="105"/>
        <v>4465.8999999999996</v>
      </c>
    </row>
    <row r="6737" spans="1:8" x14ac:dyDescent="0.3">
      <c r="A6737" s="400"/>
      <c r="B6737" s="709">
        <v>107233</v>
      </c>
      <c r="C6737" s="710" t="s">
        <v>15991</v>
      </c>
      <c r="D6737" s="709" t="s">
        <v>136</v>
      </c>
      <c r="E6737" s="716">
        <v>0</v>
      </c>
      <c r="F6737" s="717"/>
      <c r="G6737" t="e">
        <f>VLOOKUP(B6737,'SINAPI-%MO'!B:E,4,0)</f>
        <v>#N/A</v>
      </c>
      <c r="H6737" s="225" t="str">
        <f t="shared" si="105"/>
        <v/>
      </c>
    </row>
    <row r="6738" spans="1:8" x14ac:dyDescent="0.3">
      <c r="A6738" s="400"/>
      <c r="B6738" s="709">
        <v>103245</v>
      </c>
      <c r="C6738" s="710" t="s">
        <v>15920</v>
      </c>
      <c r="D6738" s="709" t="s">
        <v>136</v>
      </c>
      <c r="E6738" s="716">
        <v>2000.51</v>
      </c>
      <c r="F6738" s="717">
        <v>4.1000000000000003E-3</v>
      </c>
      <c r="G6738">
        <f>VLOOKUP(B6738,'SINAPI-%MO'!B:E,4,0)</f>
        <v>7.5899999999999995E-2</v>
      </c>
      <c r="H6738" s="225">
        <f t="shared" si="105"/>
        <v>1848.67</v>
      </c>
    </row>
    <row r="6739" spans="1:8" x14ac:dyDescent="0.3">
      <c r="A6739" s="400"/>
      <c r="B6739" s="709">
        <v>103246</v>
      </c>
      <c r="C6739" s="710" t="s">
        <v>15921</v>
      </c>
      <c r="D6739" s="709" t="s">
        <v>136</v>
      </c>
      <c r="E6739" s="716">
        <v>2179.69</v>
      </c>
      <c r="F6739" s="717">
        <v>3.8E-3</v>
      </c>
      <c r="G6739">
        <f>VLOOKUP(B6739,'SINAPI-%MO'!B:E,4,0)</f>
        <v>6.9599999999999995E-2</v>
      </c>
      <c r="H6739" s="225">
        <f t="shared" si="105"/>
        <v>2027.98</v>
      </c>
    </row>
    <row r="6740" spans="1:8" x14ac:dyDescent="0.3">
      <c r="A6740" s="400"/>
      <c r="B6740" s="709">
        <v>103257</v>
      </c>
      <c r="C6740" s="710" t="s">
        <v>15922</v>
      </c>
      <c r="D6740" s="709" t="s">
        <v>136</v>
      </c>
      <c r="E6740" s="716">
        <v>5867.1</v>
      </c>
      <c r="F6740" s="717">
        <v>4.4999999999999997E-3</v>
      </c>
      <c r="G6740">
        <f>VLOOKUP(B6740,'SINAPI-%MO'!B:E,4,0)</f>
        <v>3.9899999999999998E-2</v>
      </c>
      <c r="H6740" s="225">
        <f t="shared" si="105"/>
        <v>5633</v>
      </c>
    </row>
    <row r="6741" spans="1:8" x14ac:dyDescent="0.3">
      <c r="A6741" s="400"/>
      <c r="B6741" s="709">
        <v>103259</v>
      </c>
      <c r="C6741" s="710" t="s">
        <v>15923</v>
      </c>
      <c r="D6741" s="709" t="s">
        <v>136</v>
      </c>
      <c r="E6741" s="716">
        <v>6173.36</v>
      </c>
      <c r="F6741" s="717">
        <v>4.3E-3</v>
      </c>
      <c r="G6741">
        <f>VLOOKUP(B6741,'SINAPI-%MO'!B:E,4,0)</f>
        <v>3.8300000000000001E-2</v>
      </c>
      <c r="H6741" s="225">
        <f t="shared" si="105"/>
        <v>5936.92</v>
      </c>
    </row>
    <row r="6742" spans="1:8" x14ac:dyDescent="0.3">
      <c r="A6742" s="400"/>
      <c r="B6742" s="709">
        <v>103262</v>
      </c>
      <c r="C6742" s="710" t="s">
        <v>15924</v>
      </c>
      <c r="D6742" s="709" t="s">
        <v>136</v>
      </c>
      <c r="E6742" s="716">
        <v>8105.34</v>
      </c>
      <c r="F6742" s="717">
        <v>3.3E-3</v>
      </c>
      <c r="G6742">
        <f>VLOOKUP(B6742,'SINAPI-%MO'!B:E,4,0)</f>
        <v>3.15E-2</v>
      </c>
      <c r="H6742" s="225">
        <f t="shared" si="105"/>
        <v>7850.02</v>
      </c>
    </row>
    <row r="6743" spans="1:8" x14ac:dyDescent="0.3">
      <c r="A6743" s="400"/>
      <c r="B6743" s="709">
        <v>107245</v>
      </c>
      <c r="C6743" s="710" t="s">
        <v>15925</v>
      </c>
      <c r="D6743" s="709" t="s">
        <v>136</v>
      </c>
      <c r="E6743" s="716">
        <v>8469.86</v>
      </c>
      <c r="F6743" s="717">
        <v>2.0999999999999999E-3</v>
      </c>
      <c r="G6743">
        <f>VLOOKUP(B6743,'SINAPI-%MO'!B:E,4,0)</f>
        <v>4.0300000000000002E-2</v>
      </c>
      <c r="H6743" s="225">
        <f t="shared" si="105"/>
        <v>8128.52</v>
      </c>
    </row>
    <row r="6744" spans="1:8" x14ac:dyDescent="0.3">
      <c r="A6744" s="400"/>
      <c r="B6744" s="709">
        <v>103264</v>
      </c>
      <c r="C6744" s="710" t="s">
        <v>15926</v>
      </c>
      <c r="D6744" s="709" t="s">
        <v>136</v>
      </c>
      <c r="E6744" s="716">
        <v>10113.94</v>
      </c>
      <c r="F6744" s="717">
        <v>1.8E-3</v>
      </c>
      <c r="G6744">
        <f>VLOOKUP(B6744,'SINAPI-%MO'!B:E,4,0)</f>
        <v>3.39E-2</v>
      </c>
      <c r="H6744" s="225">
        <f t="shared" si="105"/>
        <v>9771.07</v>
      </c>
    </row>
    <row r="6745" spans="1:8" x14ac:dyDescent="0.3">
      <c r="A6745" s="400"/>
      <c r="B6745" s="709">
        <v>103266</v>
      </c>
      <c r="C6745" s="710" t="s">
        <v>15927</v>
      </c>
      <c r="D6745" s="709" t="s">
        <v>136</v>
      </c>
      <c r="E6745" s="716">
        <v>11288</v>
      </c>
      <c r="F6745" s="717">
        <v>1.6000000000000001E-3</v>
      </c>
      <c r="G6745">
        <f>VLOOKUP(B6745,'SINAPI-%MO'!B:E,4,0)</f>
        <v>3.04E-2</v>
      </c>
      <c r="H6745" s="225">
        <f t="shared" si="105"/>
        <v>10944.84</v>
      </c>
    </row>
    <row r="6746" spans="1:8" x14ac:dyDescent="0.3">
      <c r="A6746" s="400"/>
      <c r="B6746" s="709">
        <v>107236</v>
      </c>
      <c r="C6746" s="710" t="s">
        <v>15992</v>
      </c>
      <c r="D6746" s="709" t="s">
        <v>136</v>
      </c>
      <c r="E6746" s="716">
        <v>0</v>
      </c>
      <c r="F6746" s="717"/>
      <c r="G6746" t="e">
        <f>VLOOKUP(B6746,'SINAPI-%MO'!B:E,4,0)</f>
        <v>#N/A</v>
      </c>
      <c r="H6746" s="225" t="str">
        <f t="shared" si="105"/>
        <v/>
      </c>
    </row>
    <row r="6747" spans="1:8" x14ac:dyDescent="0.3">
      <c r="A6747" s="400"/>
      <c r="B6747" s="709">
        <v>103277</v>
      </c>
      <c r="C6747" s="710" t="s">
        <v>15928</v>
      </c>
      <c r="D6747" s="709" t="s">
        <v>136</v>
      </c>
      <c r="E6747" s="716">
        <v>27071.08</v>
      </c>
      <c r="F6747" s="717">
        <v>0</v>
      </c>
      <c r="G6747">
        <f>VLOOKUP(B6747,'SINAPI-%MO'!B:E,4,0)</f>
        <v>1.4500000000000001E-2</v>
      </c>
      <c r="H6747" s="225">
        <f t="shared" si="105"/>
        <v>26678.54</v>
      </c>
    </row>
    <row r="6748" spans="1:8" x14ac:dyDescent="0.3">
      <c r="A6748" s="400"/>
      <c r="B6748" s="709">
        <v>103278</v>
      </c>
      <c r="C6748" s="710" t="s">
        <v>15929</v>
      </c>
      <c r="D6748" s="709" t="s">
        <v>136</v>
      </c>
      <c r="E6748" s="716">
        <v>34654.21</v>
      </c>
      <c r="F6748" s="717">
        <v>0</v>
      </c>
      <c r="G6748">
        <f>VLOOKUP(B6748,'SINAPI-%MO'!B:E,4,0)</f>
        <v>1.14E-2</v>
      </c>
      <c r="H6748" s="225">
        <f t="shared" si="105"/>
        <v>34259.15</v>
      </c>
    </row>
    <row r="6749" spans="1:8" x14ac:dyDescent="0.3">
      <c r="A6749" s="400"/>
      <c r="B6749" s="709">
        <v>107237</v>
      </c>
      <c r="C6749" s="710" t="s">
        <v>15930</v>
      </c>
      <c r="D6749" s="709" t="s">
        <v>136</v>
      </c>
      <c r="E6749" s="716">
        <v>49990.2</v>
      </c>
      <c r="F6749" s="717">
        <v>0</v>
      </c>
      <c r="G6749">
        <f>VLOOKUP(B6749,'SINAPI-%MO'!B:E,4,0)</f>
        <v>8.2000000000000007E-3</v>
      </c>
      <c r="H6749" s="225">
        <f t="shared" si="105"/>
        <v>49580.28</v>
      </c>
    </row>
    <row r="6750" spans="1:8" x14ac:dyDescent="0.3">
      <c r="A6750" s="400"/>
      <c r="B6750" s="709">
        <v>107243</v>
      </c>
      <c r="C6750" s="710" t="s">
        <v>15931</v>
      </c>
      <c r="D6750" s="709" t="s">
        <v>159</v>
      </c>
      <c r="E6750" s="716">
        <v>1.78</v>
      </c>
      <c r="F6750" s="717">
        <v>0</v>
      </c>
      <c r="G6750">
        <f>VLOOKUP(B6750,'SINAPI-%MO'!B:E,4,0)</f>
        <v>1</v>
      </c>
      <c r="H6750" s="225">
        <f t="shared" si="105"/>
        <v>0</v>
      </c>
    </row>
    <row r="6751" spans="1:8" x14ac:dyDescent="0.3">
      <c r="A6751" s="400"/>
      <c r="B6751" s="709">
        <v>107241</v>
      </c>
      <c r="C6751" s="710" t="s">
        <v>15932</v>
      </c>
      <c r="D6751" s="709" t="s">
        <v>159</v>
      </c>
      <c r="E6751" s="716">
        <v>4.34</v>
      </c>
      <c r="F6751" s="717">
        <v>0</v>
      </c>
      <c r="G6751">
        <f>VLOOKUP(B6751,'SINAPI-%MO'!B:E,4,0)</f>
        <v>1</v>
      </c>
      <c r="H6751" s="225">
        <f t="shared" si="105"/>
        <v>0</v>
      </c>
    </row>
    <row r="6752" spans="1:8" x14ac:dyDescent="0.3">
      <c r="A6752" s="400"/>
      <c r="B6752" s="709">
        <v>107242</v>
      </c>
      <c r="C6752" s="710" t="s">
        <v>15933</v>
      </c>
      <c r="D6752" s="709" t="s">
        <v>159</v>
      </c>
      <c r="E6752" s="716">
        <v>3.04</v>
      </c>
      <c r="F6752" s="717">
        <v>0</v>
      </c>
      <c r="G6752">
        <f>VLOOKUP(B6752,'SINAPI-%MO'!B:E,4,0)</f>
        <v>1</v>
      </c>
      <c r="H6752" s="225">
        <f t="shared" si="105"/>
        <v>0</v>
      </c>
    </row>
    <row r="6753" spans="1:8" x14ac:dyDescent="0.3">
      <c r="A6753" s="400"/>
      <c r="B6753" s="709">
        <v>103285</v>
      </c>
      <c r="C6753" s="710" t="s">
        <v>15993</v>
      </c>
      <c r="D6753" s="709" t="s">
        <v>136</v>
      </c>
      <c r="E6753" s="716">
        <v>0</v>
      </c>
      <c r="F6753" s="717"/>
      <c r="G6753" t="e">
        <f>VLOOKUP(B6753,'SINAPI-%MO'!B:E,4,0)</f>
        <v>#N/A</v>
      </c>
      <c r="H6753" s="225" t="str">
        <f t="shared" si="105"/>
        <v/>
      </c>
    </row>
    <row r="6754" spans="1:8" x14ac:dyDescent="0.3">
      <c r="A6754" s="400"/>
      <c r="B6754" s="709">
        <v>103286</v>
      </c>
      <c r="C6754" s="710" t="s">
        <v>15994</v>
      </c>
      <c r="D6754" s="709" t="s">
        <v>136</v>
      </c>
      <c r="E6754" s="716">
        <v>0</v>
      </c>
      <c r="F6754" s="717"/>
      <c r="G6754" t="e">
        <f>VLOOKUP(B6754,'SINAPI-%MO'!B:E,4,0)</f>
        <v>#N/A</v>
      </c>
      <c r="H6754" s="225" t="str">
        <f t="shared" si="105"/>
        <v/>
      </c>
    </row>
    <row r="6755" spans="1:8" x14ac:dyDescent="0.3">
      <c r="A6755" s="400"/>
      <c r="B6755" s="709">
        <v>103287</v>
      </c>
      <c r="C6755" s="710" t="s">
        <v>15995</v>
      </c>
      <c r="D6755" s="709" t="s">
        <v>136</v>
      </c>
      <c r="E6755" s="716">
        <v>0</v>
      </c>
      <c r="F6755" s="717"/>
      <c r="G6755" t="e">
        <f>VLOOKUP(B6755,'SINAPI-%MO'!B:E,4,0)</f>
        <v>#N/A</v>
      </c>
      <c r="H6755" s="225" t="str">
        <f t="shared" si="105"/>
        <v/>
      </c>
    </row>
    <row r="6756" spans="1:8" x14ac:dyDescent="0.3">
      <c r="A6756" s="400"/>
      <c r="B6756" s="709">
        <v>107240</v>
      </c>
      <c r="C6756" s="710" t="s">
        <v>15996</v>
      </c>
      <c r="D6756" s="709" t="s">
        <v>136</v>
      </c>
      <c r="E6756" s="716">
        <v>0</v>
      </c>
      <c r="F6756" s="717"/>
      <c r="G6756" t="e">
        <f>VLOOKUP(B6756,'SINAPI-%MO'!B:E,4,0)</f>
        <v>#N/A</v>
      </c>
      <c r="H6756" s="225" t="str">
        <f t="shared" si="105"/>
        <v/>
      </c>
    </row>
    <row r="6757" spans="1:8" x14ac:dyDescent="0.3">
      <c r="A6757" s="400"/>
      <c r="B6757" s="709">
        <v>107239</v>
      </c>
      <c r="C6757" s="710" t="s">
        <v>15934</v>
      </c>
      <c r="D6757" s="709" t="s">
        <v>136</v>
      </c>
      <c r="E6757" s="716">
        <v>130.58000000000001</v>
      </c>
      <c r="F6757" s="717">
        <v>0</v>
      </c>
      <c r="G6757">
        <f>VLOOKUP(B6757,'SINAPI-%MO'!B:E,4,0)</f>
        <v>1</v>
      </c>
      <c r="H6757" s="225">
        <f t="shared" si="105"/>
        <v>0</v>
      </c>
    </row>
    <row r="6758" spans="1:8" x14ac:dyDescent="0.3">
      <c r="A6758" s="400"/>
      <c r="B6758" s="709">
        <v>107238</v>
      </c>
      <c r="C6758" s="710" t="s">
        <v>15997</v>
      </c>
      <c r="D6758" s="709" t="s">
        <v>136</v>
      </c>
      <c r="E6758" s="716">
        <v>0</v>
      </c>
      <c r="F6758" s="717"/>
      <c r="G6758" t="e">
        <f>VLOOKUP(B6758,'SINAPI-%MO'!B:E,4,0)</f>
        <v>#N/A</v>
      </c>
      <c r="H6758" s="225" t="str">
        <f t="shared" si="105"/>
        <v/>
      </c>
    </row>
    <row r="6759" spans="1:8" x14ac:dyDescent="0.3">
      <c r="A6759" s="400"/>
      <c r="B6759" s="709">
        <v>106044</v>
      </c>
      <c r="C6759" s="710" t="s">
        <v>5641</v>
      </c>
      <c r="D6759" s="709" t="s">
        <v>136</v>
      </c>
      <c r="E6759" s="716">
        <v>69.48</v>
      </c>
      <c r="F6759" s="717">
        <v>0.39979999999999999</v>
      </c>
      <c r="G6759">
        <f>VLOOKUP(B6759,'SINAPI-%MO'!B:E,4,0)</f>
        <v>0.5948</v>
      </c>
      <c r="H6759" s="225">
        <f t="shared" si="105"/>
        <v>28.15</v>
      </c>
    </row>
    <row r="6760" spans="1:8" x14ac:dyDescent="0.3">
      <c r="A6760" s="400"/>
      <c r="B6760" s="709">
        <v>106045</v>
      </c>
      <c r="C6760" s="710" t="s">
        <v>5642</v>
      </c>
      <c r="D6760" s="709" t="s">
        <v>136</v>
      </c>
      <c r="E6760" s="716">
        <v>165.15</v>
      </c>
      <c r="F6760" s="717">
        <v>0.68420000000000003</v>
      </c>
      <c r="G6760">
        <f>VLOOKUP(B6760,'SINAPI-%MO'!B:E,4,0)</f>
        <v>0.313</v>
      </c>
      <c r="H6760" s="225">
        <f t="shared" si="105"/>
        <v>113.45</v>
      </c>
    </row>
    <row r="6761" spans="1:8" x14ac:dyDescent="0.3">
      <c r="A6761" s="400"/>
      <c r="B6761" s="709">
        <v>106042</v>
      </c>
      <c r="C6761" s="710" t="s">
        <v>5643</v>
      </c>
      <c r="D6761" s="709" t="s">
        <v>136</v>
      </c>
      <c r="E6761" s="716">
        <v>71.930000000000007</v>
      </c>
      <c r="F6761" s="717">
        <v>0.42030000000000001</v>
      </c>
      <c r="G6761">
        <f>VLOOKUP(B6761,'SINAPI-%MO'!B:E,4,0)</f>
        <v>0.5746</v>
      </c>
      <c r="H6761" s="225">
        <f t="shared" si="105"/>
        <v>30.59</v>
      </c>
    </row>
    <row r="6762" spans="1:8" x14ac:dyDescent="0.3">
      <c r="A6762" s="400"/>
      <c r="B6762" s="709">
        <v>106043</v>
      </c>
      <c r="C6762" s="710" t="s">
        <v>5644</v>
      </c>
      <c r="D6762" s="709" t="s">
        <v>136</v>
      </c>
      <c r="E6762" s="716">
        <v>142.65</v>
      </c>
      <c r="F6762" s="717">
        <v>0.63429999999999997</v>
      </c>
      <c r="G6762">
        <f>VLOOKUP(B6762,'SINAPI-%MO'!B:E,4,0)</f>
        <v>0.3624</v>
      </c>
      <c r="H6762" s="225">
        <f t="shared" si="105"/>
        <v>90.95</v>
      </c>
    </row>
    <row r="6763" spans="1:8" x14ac:dyDescent="0.3">
      <c r="A6763" s="400"/>
      <c r="B6763" s="709">
        <v>106046</v>
      </c>
      <c r="C6763" s="710" t="s">
        <v>5645</v>
      </c>
      <c r="D6763" s="709" t="s">
        <v>136</v>
      </c>
      <c r="E6763" s="716">
        <v>45.83</v>
      </c>
      <c r="F6763" s="717">
        <v>0.39079999999999998</v>
      </c>
      <c r="G6763">
        <f>VLOOKUP(B6763,'SINAPI-%MO'!B:E,4,0)</f>
        <v>0.60109999999999997</v>
      </c>
      <c r="H6763" s="225">
        <f t="shared" si="105"/>
        <v>18.28</v>
      </c>
    </row>
    <row r="6764" spans="1:8" x14ac:dyDescent="0.3">
      <c r="A6764" s="400"/>
      <c r="B6764" s="709">
        <v>106047</v>
      </c>
      <c r="C6764" s="710" t="s">
        <v>5646</v>
      </c>
      <c r="D6764" s="709" t="s">
        <v>136</v>
      </c>
      <c r="E6764" s="716">
        <v>84.97</v>
      </c>
      <c r="F6764" s="717">
        <v>0.58889999999999998</v>
      </c>
      <c r="G6764">
        <f>VLOOKUP(B6764,'SINAPI-%MO'!B:E,4,0)</f>
        <v>0.40560000000000002</v>
      </c>
      <c r="H6764" s="225">
        <f t="shared" si="105"/>
        <v>50.5</v>
      </c>
    </row>
    <row r="6765" spans="1:8" x14ac:dyDescent="0.3">
      <c r="A6765" s="400"/>
      <c r="B6765" s="709">
        <v>106038</v>
      </c>
      <c r="C6765" s="710" t="s">
        <v>5647</v>
      </c>
      <c r="D6765" s="709" t="s">
        <v>136</v>
      </c>
      <c r="E6765" s="716">
        <v>59.68</v>
      </c>
      <c r="F6765" s="717">
        <v>6.7199999999999996E-2</v>
      </c>
      <c r="G6765">
        <f>VLOOKUP(B6765,'SINAPI-%MO'!B:E,4,0)</f>
        <v>0.9234</v>
      </c>
      <c r="H6765" s="225">
        <f t="shared" si="105"/>
        <v>4.57</v>
      </c>
    </row>
    <row r="6766" spans="1:8" x14ac:dyDescent="0.3">
      <c r="A6766" s="400"/>
      <c r="B6766" s="709">
        <v>106039</v>
      </c>
      <c r="C6766" s="710" t="s">
        <v>5648</v>
      </c>
      <c r="D6766" s="709" t="s">
        <v>136</v>
      </c>
      <c r="E6766" s="716">
        <v>80.41</v>
      </c>
      <c r="F6766" s="717">
        <v>0.1341</v>
      </c>
      <c r="G6766">
        <f>VLOOKUP(B6766,'SINAPI-%MO'!B:E,4,0)</f>
        <v>0.85719999999999996</v>
      </c>
      <c r="H6766" s="225">
        <f t="shared" si="105"/>
        <v>11.48</v>
      </c>
    </row>
    <row r="6767" spans="1:8" x14ac:dyDescent="0.3">
      <c r="A6767" s="400"/>
      <c r="B6767" s="709">
        <v>106040</v>
      </c>
      <c r="C6767" s="710" t="s">
        <v>5649</v>
      </c>
      <c r="D6767" s="709" t="s">
        <v>136</v>
      </c>
      <c r="E6767" s="716">
        <v>93.57</v>
      </c>
      <c r="F6767" s="717">
        <v>0.40500000000000003</v>
      </c>
      <c r="G6767">
        <f>VLOOKUP(B6767,'SINAPI-%MO'!B:E,4,0)</f>
        <v>0.58899999999999997</v>
      </c>
      <c r="H6767" s="225">
        <f t="shared" si="105"/>
        <v>38.450000000000003</v>
      </c>
    </row>
    <row r="6768" spans="1:8" x14ac:dyDescent="0.3">
      <c r="A6768" s="400"/>
      <c r="B6768" s="709">
        <v>106041</v>
      </c>
      <c r="C6768" s="710" t="s">
        <v>5650</v>
      </c>
      <c r="D6768" s="709" t="s">
        <v>136</v>
      </c>
      <c r="E6768" s="716">
        <v>180.24</v>
      </c>
      <c r="F6768" s="717">
        <v>0.61370000000000002</v>
      </c>
      <c r="G6768">
        <f>VLOOKUP(B6768,'SINAPI-%MO'!B:E,4,0)</f>
        <v>0.38240000000000002</v>
      </c>
      <c r="H6768" s="225">
        <f t="shared" si="105"/>
        <v>111.31</v>
      </c>
    </row>
    <row r="6769" spans="1:8" x14ac:dyDescent="0.3">
      <c r="A6769" s="400"/>
      <c r="B6769" s="709">
        <v>97329</v>
      </c>
      <c r="C6769" s="710" t="s">
        <v>5651</v>
      </c>
      <c r="D6769" s="709" t="s">
        <v>159</v>
      </c>
      <c r="E6769" s="716">
        <v>74.41</v>
      </c>
      <c r="F6769" s="717">
        <v>0.76629999999999998</v>
      </c>
      <c r="G6769">
        <f>VLOOKUP(B6769,'SINAPI-%MO'!B:E,4,0)</f>
        <v>5.04E-2</v>
      </c>
      <c r="H6769" s="225">
        <f t="shared" si="105"/>
        <v>70.650000000000006</v>
      </c>
    </row>
    <row r="6770" spans="1:8" x14ac:dyDescent="0.3">
      <c r="A6770" s="400"/>
      <c r="B6770" s="709">
        <v>97327</v>
      </c>
      <c r="C6770" s="710" t="s">
        <v>5652</v>
      </c>
      <c r="D6770" s="709" t="s">
        <v>159</v>
      </c>
      <c r="E6770" s="716">
        <v>34.9</v>
      </c>
      <c r="F6770" s="717">
        <v>0.78280000000000005</v>
      </c>
      <c r="G6770">
        <f>VLOOKUP(B6770,'SINAPI-%MO'!B:E,4,0)</f>
        <v>7.6200000000000004E-2</v>
      </c>
      <c r="H6770" s="225">
        <f t="shared" si="105"/>
        <v>32.24</v>
      </c>
    </row>
    <row r="6771" spans="1:8" x14ac:dyDescent="0.3">
      <c r="A6771" s="400"/>
      <c r="B6771" s="709">
        <v>106034</v>
      </c>
      <c r="C6771" s="710" t="s">
        <v>5653</v>
      </c>
      <c r="D6771" s="709" t="s">
        <v>159</v>
      </c>
      <c r="E6771" s="716">
        <v>157.96</v>
      </c>
      <c r="F6771" s="717">
        <v>0.54300000000000004</v>
      </c>
      <c r="G6771">
        <f>VLOOKUP(B6771,'SINAPI-%MO'!B:E,4,0)</f>
        <v>3.0599999999999999E-2</v>
      </c>
      <c r="H6771" s="225">
        <f t="shared" si="105"/>
        <v>153.12</v>
      </c>
    </row>
    <row r="6772" spans="1:8" x14ac:dyDescent="0.3">
      <c r="A6772" s="400"/>
      <c r="B6772" s="709">
        <v>97328</v>
      </c>
      <c r="C6772" s="710" t="s">
        <v>5654</v>
      </c>
      <c r="D6772" s="709" t="s">
        <v>159</v>
      </c>
      <c r="E6772" s="716">
        <v>57.64</v>
      </c>
      <c r="F6772" s="717">
        <v>0.72940000000000005</v>
      </c>
      <c r="G6772">
        <f>VLOOKUP(B6772,'SINAPI-%MO'!B:E,4,0)</f>
        <v>5.5500000000000001E-2</v>
      </c>
      <c r="H6772" s="225">
        <f t="shared" si="105"/>
        <v>54.44</v>
      </c>
    </row>
    <row r="6773" spans="1:8" x14ac:dyDescent="0.3">
      <c r="A6773" s="400"/>
      <c r="B6773" s="709">
        <v>97330</v>
      </c>
      <c r="C6773" s="710" t="s">
        <v>5655</v>
      </c>
      <c r="D6773" s="709" t="s">
        <v>159</v>
      </c>
      <c r="E6773" s="716">
        <v>91.51</v>
      </c>
      <c r="F6773" s="717">
        <v>0.77500000000000002</v>
      </c>
      <c r="G6773">
        <f>VLOOKUP(B6773,'SINAPI-%MO'!B:E,4,0)</f>
        <v>4.6899999999999997E-2</v>
      </c>
      <c r="H6773" s="225">
        <f t="shared" si="105"/>
        <v>87.21</v>
      </c>
    </row>
    <row r="6774" spans="1:8" x14ac:dyDescent="0.3">
      <c r="A6774" s="400"/>
      <c r="B6774" s="709">
        <v>106035</v>
      </c>
      <c r="C6774" s="710" t="s">
        <v>5656</v>
      </c>
      <c r="D6774" s="709" t="s">
        <v>159</v>
      </c>
      <c r="E6774" s="716">
        <v>0</v>
      </c>
      <c r="F6774" s="717"/>
      <c r="G6774" t="e">
        <f>VLOOKUP(B6774,'SINAPI-%MO'!B:E,4,0)</f>
        <v>#N/A</v>
      </c>
      <c r="H6774" s="225" t="str">
        <f t="shared" si="105"/>
        <v/>
      </c>
    </row>
    <row r="6775" spans="1:8" x14ac:dyDescent="0.3">
      <c r="A6775" s="400"/>
      <c r="B6775" s="709">
        <v>106036</v>
      </c>
      <c r="C6775" s="710" t="s">
        <v>5657</v>
      </c>
      <c r="D6775" s="709" t="s">
        <v>159</v>
      </c>
      <c r="E6775" s="716">
        <v>0</v>
      </c>
      <c r="F6775" s="717"/>
      <c r="G6775" t="e">
        <f>VLOOKUP(B6775,'SINAPI-%MO'!B:E,4,0)</f>
        <v>#N/A</v>
      </c>
      <c r="H6775" s="225" t="str">
        <f t="shared" si="105"/>
        <v/>
      </c>
    </row>
    <row r="6776" spans="1:8" x14ac:dyDescent="0.3">
      <c r="A6776" s="400"/>
      <c r="B6776" s="709">
        <v>106037</v>
      </c>
      <c r="C6776" s="710" t="s">
        <v>5658</v>
      </c>
      <c r="D6776" s="709" t="s">
        <v>159</v>
      </c>
      <c r="E6776" s="716">
        <v>0</v>
      </c>
      <c r="F6776" s="717"/>
      <c r="G6776" t="e">
        <f>VLOOKUP(B6776,'SINAPI-%MO'!B:E,4,0)</f>
        <v>#N/A</v>
      </c>
      <c r="H6776" s="225" t="str">
        <f t="shared" si="105"/>
        <v/>
      </c>
    </row>
    <row r="6777" spans="1:8" x14ac:dyDescent="0.3">
      <c r="A6777" s="400"/>
      <c r="B6777" s="709">
        <v>93085</v>
      </c>
      <c r="C6777" s="710" t="s">
        <v>5659</v>
      </c>
      <c r="D6777" s="709" t="s">
        <v>136</v>
      </c>
      <c r="E6777" s="716">
        <v>19.12</v>
      </c>
      <c r="F6777" s="717">
        <v>0.51049999999999995</v>
      </c>
      <c r="G6777">
        <f>VLOOKUP(B6777,'SINAPI-%MO'!B:E,4,0)</f>
        <v>0.48330000000000001</v>
      </c>
      <c r="H6777" s="225">
        <f t="shared" si="105"/>
        <v>9.8699999999999992</v>
      </c>
    </row>
    <row r="6778" spans="1:8" x14ac:dyDescent="0.3">
      <c r="A6778" s="400"/>
      <c r="B6778" s="709">
        <v>103892</v>
      </c>
      <c r="C6778" s="710" t="s">
        <v>5660</v>
      </c>
      <c r="D6778" s="709" t="s">
        <v>136</v>
      </c>
      <c r="E6778" s="716">
        <v>20.34</v>
      </c>
      <c r="F6778" s="717">
        <v>0.49020000000000002</v>
      </c>
      <c r="G6778">
        <f>VLOOKUP(B6778,'SINAPI-%MO'!B:E,4,0)</f>
        <v>0.50339999999999996</v>
      </c>
      <c r="H6778" s="225">
        <f t="shared" si="105"/>
        <v>10.1</v>
      </c>
    </row>
    <row r="6779" spans="1:8" x14ac:dyDescent="0.3">
      <c r="A6779" s="400"/>
      <c r="B6779" s="709">
        <v>103823</v>
      </c>
      <c r="C6779" s="710" t="s">
        <v>5661</v>
      </c>
      <c r="D6779" s="709" t="s">
        <v>136</v>
      </c>
      <c r="E6779" s="716">
        <v>22.63</v>
      </c>
      <c r="F6779" s="717">
        <v>0.43130000000000002</v>
      </c>
      <c r="G6779">
        <f>VLOOKUP(B6779,'SINAPI-%MO'!B:E,4,0)</f>
        <v>0.55769999999999997</v>
      </c>
      <c r="H6779" s="225">
        <f t="shared" si="105"/>
        <v>10</v>
      </c>
    </row>
    <row r="6780" spans="1:8" x14ac:dyDescent="0.3">
      <c r="A6780" s="400"/>
      <c r="B6780" s="709">
        <v>103856</v>
      </c>
      <c r="C6780" s="710" t="s">
        <v>5662</v>
      </c>
      <c r="D6780" s="709" t="s">
        <v>136</v>
      </c>
      <c r="E6780" s="716">
        <v>20.28</v>
      </c>
      <c r="F6780" s="717">
        <v>0.48130000000000001</v>
      </c>
      <c r="G6780">
        <f>VLOOKUP(B6780,'SINAPI-%MO'!B:E,4,0)</f>
        <v>0.50349999999999995</v>
      </c>
      <c r="H6780" s="225">
        <f t="shared" si="105"/>
        <v>10.06</v>
      </c>
    </row>
    <row r="6781" spans="1:8" x14ac:dyDescent="0.3">
      <c r="A6781" s="400"/>
      <c r="B6781" s="709">
        <v>93108</v>
      </c>
      <c r="C6781" s="710" t="s">
        <v>5663</v>
      </c>
      <c r="D6781" s="709" t="s">
        <v>136</v>
      </c>
      <c r="E6781" s="716">
        <v>17.34</v>
      </c>
      <c r="F6781" s="717">
        <v>0.56289999999999996</v>
      </c>
      <c r="G6781">
        <f>VLOOKUP(B6781,'SINAPI-%MO'!B:E,4,0)</f>
        <v>0.42849999999999999</v>
      </c>
      <c r="H6781" s="225">
        <f t="shared" si="105"/>
        <v>9.9</v>
      </c>
    </row>
    <row r="6782" spans="1:8" x14ac:dyDescent="0.3">
      <c r="A6782" s="400"/>
      <c r="B6782" s="709">
        <v>93091</v>
      </c>
      <c r="C6782" s="710" t="s">
        <v>5664</v>
      </c>
      <c r="D6782" s="709" t="s">
        <v>136</v>
      </c>
      <c r="E6782" s="716">
        <v>21.73</v>
      </c>
      <c r="F6782" s="717">
        <v>0.67230000000000001</v>
      </c>
      <c r="G6782">
        <f>VLOOKUP(B6782,'SINAPI-%MO'!B:E,4,0)</f>
        <v>0.32119999999999999</v>
      </c>
      <c r="H6782" s="225">
        <f t="shared" si="105"/>
        <v>14.75</v>
      </c>
    </row>
    <row r="6783" spans="1:8" x14ac:dyDescent="0.3">
      <c r="A6783" s="400"/>
      <c r="B6783" s="709">
        <v>103900</v>
      </c>
      <c r="C6783" s="710" t="s">
        <v>5665</v>
      </c>
      <c r="D6783" s="709" t="s">
        <v>136</v>
      </c>
      <c r="E6783" s="716">
        <v>26.59</v>
      </c>
      <c r="F6783" s="717">
        <v>0.54949999999999999</v>
      </c>
      <c r="G6783">
        <f>VLOOKUP(B6783,'SINAPI-%MO'!B:E,4,0)</f>
        <v>0.44450000000000001</v>
      </c>
      <c r="H6783" s="225">
        <f t="shared" si="105"/>
        <v>14.77</v>
      </c>
    </row>
    <row r="6784" spans="1:8" x14ac:dyDescent="0.3">
      <c r="A6784" s="400"/>
      <c r="B6784" s="709">
        <v>103831</v>
      </c>
      <c r="C6784" s="710" t="s">
        <v>5666</v>
      </c>
      <c r="D6784" s="709" t="s">
        <v>136</v>
      </c>
      <c r="E6784" s="716">
        <v>33.79</v>
      </c>
      <c r="F6784" s="717">
        <v>0.43240000000000001</v>
      </c>
      <c r="G6784">
        <f>VLOOKUP(B6784,'SINAPI-%MO'!B:E,4,0)</f>
        <v>0.55640000000000001</v>
      </c>
      <c r="H6784" s="225">
        <f t="shared" si="105"/>
        <v>14.98</v>
      </c>
    </row>
    <row r="6785" spans="1:8" x14ac:dyDescent="0.3">
      <c r="A6785" s="400"/>
      <c r="B6785" s="709">
        <v>103864</v>
      </c>
      <c r="C6785" s="710" t="s">
        <v>5667</v>
      </c>
      <c r="D6785" s="709" t="s">
        <v>136</v>
      </c>
      <c r="E6785" s="716">
        <v>27.91</v>
      </c>
      <c r="F6785" s="717">
        <v>0.52349999999999997</v>
      </c>
      <c r="G6785">
        <f>VLOOKUP(B6785,'SINAPI-%MO'!B:E,4,0)</f>
        <v>0.46260000000000001</v>
      </c>
      <c r="H6785" s="225">
        <f t="shared" si="105"/>
        <v>14.99</v>
      </c>
    </row>
    <row r="6786" spans="1:8" x14ac:dyDescent="0.3">
      <c r="A6786" s="400"/>
      <c r="B6786" s="709">
        <v>93133</v>
      </c>
      <c r="C6786" s="710" t="s">
        <v>5668</v>
      </c>
      <c r="D6786" s="709" t="s">
        <v>136</v>
      </c>
      <c r="E6786" s="716">
        <v>25.06</v>
      </c>
      <c r="F6786" s="717">
        <v>0.58299999999999996</v>
      </c>
      <c r="G6786">
        <f>VLOOKUP(B6786,'SINAPI-%MO'!B:E,4,0)</f>
        <v>0.40899999999999997</v>
      </c>
      <c r="H6786" s="225">
        <f t="shared" si="105"/>
        <v>14.81</v>
      </c>
    </row>
    <row r="6787" spans="1:8" x14ac:dyDescent="0.3">
      <c r="A6787" s="400"/>
      <c r="B6787" s="709">
        <v>93057</v>
      </c>
      <c r="C6787" s="710" t="s">
        <v>5669</v>
      </c>
      <c r="D6787" s="709" t="s">
        <v>136</v>
      </c>
      <c r="E6787" s="716">
        <v>18.600000000000001</v>
      </c>
      <c r="F6787" s="717">
        <v>0.78549999999999998</v>
      </c>
      <c r="G6787">
        <f>VLOOKUP(B6787,'SINAPI-%MO'!B:E,4,0)</f>
        <v>0.20910000000000001</v>
      </c>
      <c r="H6787" s="225">
        <f t="shared" si="105"/>
        <v>14.71</v>
      </c>
    </row>
    <row r="6788" spans="1:8" x14ac:dyDescent="0.3">
      <c r="A6788" s="400"/>
      <c r="B6788" s="709">
        <v>93062</v>
      </c>
      <c r="C6788" s="710" t="s">
        <v>5670</v>
      </c>
      <c r="D6788" s="709" t="s">
        <v>136</v>
      </c>
      <c r="E6788" s="716">
        <v>36.229999999999997</v>
      </c>
      <c r="F6788" s="717">
        <v>0.85950000000000004</v>
      </c>
      <c r="G6788">
        <f>VLOOKUP(B6788,'SINAPI-%MO'!B:E,4,0)</f>
        <v>0.13689999999999999</v>
      </c>
      <c r="H6788" s="225">
        <f t="shared" si="105"/>
        <v>31.27</v>
      </c>
    </row>
    <row r="6789" spans="1:8" x14ac:dyDescent="0.3">
      <c r="A6789" s="400"/>
      <c r="B6789" s="709">
        <v>93065</v>
      </c>
      <c r="C6789" s="710" t="s">
        <v>5671</v>
      </c>
      <c r="D6789" s="709" t="s">
        <v>136</v>
      </c>
      <c r="E6789" s="716">
        <v>59.59</v>
      </c>
      <c r="F6789" s="717">
        <v>0.89459999999999995</v>
      </c>
      <c r="G6789">
        <f>VLOOKUP(B6789,'SINAPI-%MO'!B:E,4,0)</f>
        <v>0.1027</v>
      </c>
      <c r="H6789" s="225">
        <f t="shared" si="105"/>
        <v>53.47</v>
      </c>
    </row>
    <row r="6790" spans="1:8" x14ac:dyDescent="0.3">
      <c r="A6790" s="400"/>
      <c r="B6790" s="709">
        <v>93068</v>
      </c>
      <c r="C6790" s="710" t="s">
        <v>5672</v>
      </c>
      <c r="D6790" s="709" t="s">
        <v>136</v>
      </c>
      <c r="E6790" s="716">
        <v>84.1</v>
      </c>
      <c r="F6790" s="717">
        <v>0.90620000000000001</v>
      </c>
      <c r="G6790">
        <f>VLOOKUP(B6790,'SINAPI-%MO'!B:E,4,0)</f>
        <v>9.1399999999999995E-2</v>
      </c>
      <c r="H6790" s="225">
        <f t="shared" si="105"/>
        <v>76.41</v>
      </c>
    </row>
    <row r="6791" spans="1:8" x14ac:dyDescent="0.3">
      <c r="A6791" s="400"/>
      <c r="B6791" s="709">
        <v>93071</v>
      </c>
      <c r="C6791" s="710" t="s">
        <v>5673</v>
      </c>
      <c r="D6791" s="709" t="s">
        <v>136</v>
      </c>
      <c r="E6791" s="716">
        <v>231.6</v>
      </c>
      <c r="F6791" s="717">
        <v>0.95720000000000005</v>
      </c>
      <c r="G6791">
        <f>VLOOKUP(B6791,'SINAPI-%MO'!B:E,4,0)</f>
        <v>4.1700000000000001E-2</v>
      </c>
      <c r="H6791" s="225">
        <f t="shared" si="105"/>
        <v>221.94</v>
      </c>
    </row>
    <row r="6792" spans="1:8" x14ac:dyDescent="0.3">
      <c r="A6792" s="400"/>
      <c r="B6792" s="709">
        <v>93081</v>
      </c>
      <c r="C6792" s="710" t="s">
        <v>5674</v>
      </c>
      <c r="D6792" s="709" t="s">
        <v>136</v>
      </c>
      <c r="E6792" s="716">
        <v>24.72</v>
      </c>
      <c r="F6792" s="717">
        <v>0.79649999999999999</v>
      </c>
      <c r="G6792">
        <f>VLOOKUP(B6792,'SINAPI-%MO'!B:E,4,0)</f>
        <v>0.19900000000000001</v>
      </c>
      <c r="H6792" s="225">
        <f t="shared" si="105"/>
        <v>19.8</v>
      </c>
    </row>
    <row r="6793" spans="1:8" x14ac:dyDescent="0.3">
      <c r="A6793" s="400"/>
      <c r="B6793" s="709">
        <v>103887</v>
      </c>
      <c r="C6793" s="710" t="s">
        <v>5675</v>
      </c>
      <c r="D6793" s="709" t="s">
        <v>136</v>
      </c>
      <c r="E6793" s="716">
        <v>26.56</v>
      </c>
      <c r="F6793" s="717">
        <v>0.74129999999999996</v>
      </c>
      <c r="G6793">
        <f>VLOOKUP(B6793,'SINAPI-%MO'!B:E,4,0)</f>
        <v>0.25409999999999999</v>
      </c>
      <c r="H6793" s="225">
        <f t="shared" si="105"/>
        <v>19.809999999999999</v>
      </c>
    </row>
    <row r="6794" spans="1:8" x14ac:dyDescent="0.3">
      <c r="A6794" s="400"/>
      <c r="B6794" s="709">
        <v>103818</v>
      </c>
      <c r="C6794" s="710" t="s">
        <v>5676</v>
      </c>
      <c r="D6794" s="709" t="s">
        <v>136</v>
      </c>
      <c r="E6794" s="716">
        <v>26.55</v>
      </c>
      <c r="F6794" s="717">
        <v>0.74160000000000004</v>
      </c>
      <c r="G6794">
        <f>VLOOKUP(B6794,'SINAPI-%MO'!B:E,4,0)</f>
        <v>0.25269999999999998</v>
      </c>
      <c r="H6794" s="225">
        <f t="shared" si="105"/>
        <v>19.84</v>
      </c>
    </row>
    <row r="6795" spans="1:8" x14ac:dyDescent="0.3">
      <c r="A6795" s="400"/>
      <c r="B6795" s="709">
        <v>103851</v>
      </c>
      <c r="C6795" s="710" t="s">
        <v>5677</v>
      </c>
      <c r="D6795" s="709" t="s">
        <v>136</v>
      </c>
      <c r="E6795" s="716">
        <v>26.27</v>
      </c>
      <c r="F6795" s="717">
        <v>0.74950000000000006</v>
      </c>
      <c r="G6795">
        <f>VLOOKUP(B6795,'SINAPI-%MO'!B:E,4,0)</f>
        <v>0.24510000000000001</v>
      </c>
      <c r="H6795" s="225">
        <f t="shared" ref="H6795:H6858" si="106">IF(E6795&gt;0,TRUNC(E6795*(1-G6795),2),"")</f>
        <v>19.829999999999998</v>
      </c>
    </row>
    <row r="6796" spans="1:8" x14ac:dyDescent="0.3">
      <c r="A6796" s="400"/>
      <c r="B6796" s="709">
        <v>93104</v>
      </c>
      <c r="C6796" s="710" t="s">
        <v>5678</v>
      </c>
      <c r="D6796" s="709" t="s">
        <v>136</v>
      </c>
      <c r="E6796" s="716">
        <v>24.83</v>
      </c>
      <c r="F6796" s="717">
        <v>0.79300000000000004</v>
      </c>
      <c r="G6796">
        <f>VLOOKUP(B6796,'SINAPI-%MO'!B:E,4,0)</f>
        <v>0.20219999999999999</v>
      </c>
      <c r="H6796" s="225">
        <f t="shared" si="106"/>
        <v>19.8</v>
      </c>
    </row>
    <row r="6797" spans="1:8" x14ac:dyDescent="0.3">
      <c r="A6797" s="400"/>
      <c r="B6797" s="709">
        <v>98602</v>
      </c>
      <c r="C6797" s="710" t="s">
        <v>5679</v>
      </c>
      <c r="D6797" s="709" t="s">
        <v>136</v>
      </c>
      <c r="E6797" s="716">
        <v>24.24</v>
      </c>
      <c r="F6797" s="717">
        <v>0.84079999999999999</v>
      </c>
      <c r="G6797">
        <f>VLOOKUP(B6797,'SINAPI-%MO'!B:E,4,0)</f>
        <v>0.15509999999999999</v>
      </c>
      <c r="H6797" s="225">
        <f t="shared" si="106"/>
        <v>20.48</v>
      </c>
    </row>
    <row r="6798" spans="1:8" x14ac:dyDescent="0.3">
      <c r="A6798" s="400"/>
      <c r="B6798" s="709">
        <v>93087</v>
      </c>
      <c r="C6798" s="710" t="s">
        <v>5680</v>
      </c>
      <c r="D6798" s="709" t="s">
        <v>136</v>
      </c>
      <c r="E6798" s="716">
        <v>25.86</v>
      </c>
      <c r="F6798" s="717">
        <v>0.78810000000000002</v>
      </c>
      <c r="G6798">
        <f>VLOOKUP(B6798,'SINAPI-%MO'!B:E,4,0)</f>
        <v>0.20730000000000001</v>
      </c>
      <c r="H6798" s="225">
        <f t="shared" si="106"/>
        <v>20.49</v>
      </c>
    </row>
    <row r="6799" spans="1:8" x14ac:dyDescent="0.3">
      <c r="A6799" s="400"/>
      <c r="B6799" s="709">
        <v>103893</v>
      </c>
      <c r="C6799" s="710" t="s">
        <v>5681</v>
      </c>
      <c r="D6799" s="709" t="s">
        <v>136</v>
      </c>
      <c r="E6799" s="716">
        <v>28.12</v>
      </c>
      <c r="F6799" s="717">
        <v>0.7248</v>
      </c>
      <c r="G6799">
        <f>VLOOKUP(B6799,'SINAPI-%MO'!B:E,4,0)</f>
        <v>0.27060000000000001</v>
      </c>
      <c r="H6799" s="225">
        <f t="shared" si="106"/>
        <v>20.51</v>
      </c>
    </row>
    <row r="6800" spans="1:8" x14ac:dyDescent="0.3">
      <c r="A6800" s="400"/>
      <c r="B6800" s="709">
        <v>103824</v>
      </c>
      <c r="C6800" s="710" t="s">
        <v>5682</v>
      </c>
      <c r="D6800" s="709" t="s">
        <v>136</v>
      </c>
      <c r="E6800" s="716">
        <v>30.63</v>
      </c>
      <c r="F6800" s="717">
        <v>0.66539999999999999</v>
      </c>
      <c r="G6800">
        <f>VLOOKUP(B6800,'SINAPI-%MO'!B:E,4,0)</f>
        <v>0.32750000000000001</v>
      </c>
      <c r="H6800" s="225">
        <f t="shared" si="106"/>
        <v>20.59</v>
      </c>
    </row>
    <row r="6801" spans="1:8" x14ac:dyDescent="0.3">
      <c r="A6801" s="400"/>
      <c r="B6801" s="709">
        <v>103857</v>
      </c>
      <c r="C6801" s="710" t="s">
        <v>5683</v>
      </c>
      <c r="D6801" s="709" t="s">
        <v>136</v>
      </c>
      <c r="E6801" s="716">
        <v>28.44</v>
      </c>
      <c r="F6801" s="717">
        <v>0.71660000000000001</v>
      </c>
      <c r="G6801">
        <f>VLOOKUP(B6801,'SINAPI-%MO'!B:E,4,0)</f>
        <v>0.27739999999999998</v>
      </c>
      <c r="H6801" s="225">
        <f t="shared" si="106"/>
        <v>20.55</v>
      </c>
    </row>
    <row r="6802" spans="1:8" x14ac:dyDescent="0.3">
      <c r="A6802" s="400"/>
      <c r="B6802" s="709">
        <v>93110</v>
      </c>
      <c r="C6802" s="710" t="s">
        <v>5684</v>
      </c>
      <c r="D6802" s="709" t="s">
        <v>136</v>
      </c>
      <c r="E6802" s="716">
        <v>27.07</v>
      </c>
      <c r="F6802" s="717">
        <v>0.75290000000000001</v>
      </c>
      <c r="G6802">
        <f>VLOOKUP(B6802,'SINAPI-%MO'!B:E,4,0)</f>
        <v>0.24160000000000001</v>
      </c>
      <c r="H6802" s="225">
        <f t="shared" si="106"/>
        <v>20.52</v>
      </c>
    </row>
    <row r="6803" spans="1:8" x14ac:dyDescent="0.3">
      <c r="A6803" s="400"/>
      <c r="B6803" s="709">
        <v>93054</v>
      </c>
      <c r="C6803" s="710" t="s">
        <v>5685</v>
      </c>
      <c r="D6803" s="709" t="s">
        <v>136</v>
      </c>
      <c r="E6803" s="716">
        <v>30.03</v>
      </c>
      <c r="F6803" s="717">
        <v>0.83420000000000005</v>
      </c>
      <c r="G6803">
        <f>VLOOKUP(B6803,'SINAPI-%MO'!B:E,4,0)</f>
        <v>0.1618</v>
      </c>
      <c r="H6803" s="225">
        <f t="shared" si="106"/>
        <v>25.17</v>
      </c>
    </row>
    <row r="6804" spans="1:8" x14ac:dyDescent="0.3">
      <c r="A6804" s="400"/>
      <c r="B6804" s="709">
        <v>93088</v>
      </c>
      <c r="C6804" s="710" t="s">
        <v>5686</v>
      </c>
      <c r="D6804" s="709" t="s">
        <v>136</v>
      </c>
      <c r="E6804" s="716">
        <v>32.1</v>
      </c>
      <c r="F6804" s="717">
        <v>0.79349999999999998</v>
      </c>
      <c r="G6804">
        <f>VLOOKUP(B6804,'SINAPI-%MO'!B:E,4,0)</f>
        <v>0.2016</v>
      </c>
      <c r="H6804" s="225">
        <f t="shared" si="106"/>
        <v>25.62</v>
      </c>
    </row>
    <row r="6805" spans="1:8" x14ac:dyDescent="0.3">
      <c r="A6805" s="400"/>
      <c r="B6805" s="709">
        <v>103894</v>
      </c>
      <c r="C6805" s="710" t="s">
        <v>5687</v>
      </c>
      <c r="D6805" s="709" t="s">
        <v>136</v>
      </c>
      <c r="E6805" s="716">
        <v>33.909999999999997</v>
      </c>
      <c r="F6805" s="717">
        <v>0.73870000000000002</v>
      </c>
      <c r="G6805">
        <f>VLOOKUP(B6805,'SINAPI-%MO'!B:E,4,0)</f>
        <v>0.25690000000000002</v>
      </c>
      <c r="H6805" s="225">
        <f t="shared" si="106"/>
        <v>25.19</v>
      </c>
    </row>
    <row r="6806" spans="1:8" x14ac:dyDescent="0.3">
      <c r="A6806" s="400"/>
      <c r="B6806" s="709">
        <v>103825</v>
      </c>
      <c r="C6806" s="710" t="s">
        <v>5688</v>
      </c>
      <c r="D6806" s="709" t="s">
        <v>136</v>
      </c>
      <c r="E6806" s="716">
        <v>36.42</v>
      </c>
      <c r="F6806" s="717">
        <v>0.68779999999999997</v>
      </c>
      <c r="G6806">
        <f>VLOOKUP(B6806,'SINAPI-%MO'!B:E,4,0)</f>
        <v>0.30559999999999998</v>
      </c>
      <c r="H6806" s="225">
        <f t="shared" si="106"/>
        <v>25.29</v>
      </c>
    </row>
    <row r="6807" spans="1:8" x14ac:dyDescent="0.3">
      <c r="A6807" s="400"/>
      <c r="B6807" s="709">
        <v>103858</v>
      </c>
      <c r="C6807" s="710" t="s">
        <v>5689</v>
      </c>
      <c r="D6807" s="709" t="s">
        <v>136</v>
      </c>
      <c r="E6807" s="716">
        <v>34.24</v>
      </c>
      <c r="F6807" s="717">
        <v>0.73160000000000003</v>
      </c>
      <c r="G6807">
        <f>VLOOKUP(B6807,'SINAPI-%MO'!B:E,4,0)</f>
        <v>0.26290000000000002</v>
      </c>
      <c r="H6807" s="225">
        <f t="shared" si="106"/>
        <v>25.23</v>
      </c>
    </row>
    <row r="6808" spans="1:8" x14ac:dyDescent="0.3">
      <c r="A6808" s="400"/>
      <c r="B6808" s="709">
        <v>93111</v>
      </c>
      <c r="C6808" s="710" t="s">
        <v>5690</v>
      </c>
      <c r="D6808" s="709" t="s">
        <v>136</v>
      </c>
      <c r="E6808" s="716">
        <v>32.869999999999997</v>
      </c>
      <c r="F6808" s="717">
        <v>0.7621</v>
      </c>
      <c r="G6808">
        <f>VLOOKUP(B6808,'SINAPI-%MO'!B:E,4,0)</f>
        <v>0.23269999999999999</v>
      </c>
      <c r="H6808" s="225">
        <f t="shared" si="106"/>
        <v>25.22</v>
      </c>
    </row>
    <row r="6809" spans="1:8" x14ac:dyDescent="0.3">
      <c r="A6809" s="400"/>
      <c r="B6809" s="709">
        <v>93059</v>
      </c>
      <c r="C6809" s="710" t="s">
        <v>5691</v>
      </c>
      <c r="D6809" s="709" t="s">
        <v>136</v>
      </c>
      <c r="E6809" s="716">
        <v>39.590000000000003</v>
      </c>
      <c r="F6809" s="717">
        <v>0.88959999999999995</v>
      </c>
      <c r="G6809">
        <f>VLOOKUP(B6809,'SINAPI-%MO'!B:E,4,0)</f>
        <v>0.1076</v>
      </c>
      <c r="H6809" s="225">
        <f t="shared" si="106"/>
        <v>35.33</v>
      </c>
    </row>
    <row r="6810" spans="1:8" x14ac:dyDescent="0.3">
      <c r="A6810" s="400"/>
      <c r="B6810" s="709">
        <v>93093</v>
      </c>
      <c r="C6810" s="710" t="s">
        <v>5692</v>
      </c>
      <c r="D6810" s="709" t="s">
        <v>136</v>
      </c>
      <c r="E6810" s="716">
        <v>41.09</v>
      </c>
      <c r="F6810" s="717">
        <v>0.85709999999999997</v>
      </c>
      <c r="G6810">
        <f>VLOOKUP(B6810,'SINAPI-%MO'!B:E,4,0)</f>
        <v>0.13969999999999999</v>
      </c>
      <c r="H6810" s="225">
        <f t="shared" si="106"/>
        <v>35.340000000000003</v>
      </c>
    </row>
    <row r="6811" spans="1:8" x14ac:dyDescent="0.3">
      <c r="A6811" s="400"/>
      <c r="B6811" s="709">
        <v>103899</v>
      </c>
      <c r="C6811" s="710" t="s">
        <v>5693</v>
      </c>
      <c r="D6811" s="709" t="s">
        <v>136</v>
      </c>
      <c r="E6811" s="716">
        <v>43.7</v>
      </c>
      <c r="F6811" s="717">
        <v>0.80589999999999995</v>
      </c>
      <c r="G6811">
        <f>VLOOKUP(B6811,'SINAPI-%MO'!B:E,4,0)</f>
        <v>0.1908</v>
      </c>
      <c r="H6811" s="225">
        <f t="shared" si="106"/>
        <v>35.36</v>
      </c>
    </row>
    <row r="6812" spans="1:8" x14ac:dyDescent="0.3">
      <c r="A6812" s="400"/>
      <c r="B6812" s="709">
        <v>103830</v>
      </c>
      <c r="C6812" s="710" t="s">
        <v>5694</v>
      </c>
      <c r="D6812" s="709" t="s">
        <v>136</v>
      </c>
      <c r="E6812" s="716">
        <v>48.06</v>
      </c>
      <c r="F6812" s="717">
        <v>0.72599999999999998</v>
      </c>
      <c r="G6812">
        <f>VLOOKUP(B6812,'SINAPI-%MO'!B:E,4,0)</f>
        <v>0.26819999999999999</v>
      </c>
      <c r="H6812" s="225">
        <f t="shared" si="106"/>
        <v>35.17</v>
      </c>
    </row>
    <row r="6813" spans="1:8" x14ac:dyDescent="0.3">
      <c r="A6813" s="400"/>
      <c r="B6813" s="709">
        <v>103863</v>
      </c>
      <c r="C6813" s="710" t="s">
        <v>5695</v>
      </c>
      <c r="D6813" s="709" t="s">
        <v>136</v>
      </c>
      <c r="E6813" s="716">
        <v>44.57</v>
      </c>
      <c r="F6813" s="717">
        <v>0.79020000000000001</v>
      </c>
      <c r="G6813">
        <f>VLOOKUP(B6813,'SINAPI-%MO'!B:E,4,0)</f>
        <v>0.20530000000000001</v>
      </c>
      <c r="H6813" s="225">
        <f t="shared" si="106"/>
        <v>35.409999999999997</v>
      </c>
    </row>
    <row r="6814" spans="1:8" x14ac:dyDescent="0.3">
      <c r="A6814" s="400"/>
      <c r="B6814" s="709">
        <v>93114</v>
      </c>
      <c r="C6814" s="710" t="s">
        <v>5696</v>
      </c>
      <c r="D6814" s="709" t="s">
        <v>136</v>
      </c>
      <c r="E6814" s="716">
        <v>43.23</v>
      </c>
      <c r="F6814" s="717">
        <v>0.81469999999999998</v>
      </c>
      <c r="G6814">
        <f>VLOOKUP(B6814,'SINAPI-%MO'!B:E,4,0)</f>
        <v>0.18140000000000001</v>
      </c>
      <c r="H6814" s="225">
        <f t="shared" si="106"/>
        <v>35.380000000000003</v>
      </c>
    </row>
    <row r="6815" spans="1:8" x14ac:dyDescent="0.3">
      <c r="A6815" s="400"/>
      <c r="B6815" s="709">
        <v>93075</v>
      </c>
      <c r="C6815" s="710" t="s">
        <v>5697</v>
      </c>
      <c r="D6815" s="709" t="s">
        <v>136</v>
      </c>
      <c r="E6815" s="716">
        <v>26.03</v>
      </c>
      <c r="F6815" s="717">
        <v>0.75139999999999996</v>
      </c>
      <c r="G6815">
        <f>VLOOKUP(B6815,'SINAPI-%MO'!B:E,4,0)</f>
        <v>0.24429999999999999</v>
      </c>
      <c r="H6815" s="225">
        <f t="shared" si="106"/>
        <v>19.670000000000002</v>
      </c>
    </row>
    <row r="6816" spans="1:8" x14ac:dyDescent="0.3">
      <c r="A6816" s="400"/>
      <c r="B6816" s="709">
        <v>103876</v>
      </c>
      <c r="C6816" s="710" t="s">
        <v>5698</v>
      </c>
      <c r="D6816" s="709" t="s">
        <v>136</v>
      </c>
      <c r="E6816" s="716">
        <v>28.79</v>
      </c>
      <c r="F6816" s="717">
        <v>0.6794</v>
      </c>
      <c r="G6816">
        <f>VLOOKUP(B6816,'SINAPI-%MO'!B:E,4,0)</f>
        <v>0.31640000000000001</v>
      </c>
      <c r="H6816" s="225">
        <f t="shared" si="106"/>
        <v>19.68</v>
      </c>
    </row>
    <row r="6817" spans="1:8" x14ac:dyDescent="0.3">
      <c r="A6817" s="400"/>
      <c r="B6817" s="709">
        <v>103807</v>
      </c>
      <c r="C6817" s="710" t="s">
        <v>5699</v>
      </c>
      <c r="D6817" s="709" t="s">
        <v>136</v>
      </c>
      <c r="E6817" s="716">
        <v>28.75</v>
      </c>
      <c r="F6817" s="717">
        <v>0.68030000000000002</v>
      </c>
      <c r="G6817">
        <f>VLOOKUP(B6817,'SINAPI-%MO'!B:E,4,0)</f>
        <v>0.31440000000000001</v>
      </c>
      <c r="H6817" s="225">
        <f t="shared" si="106"/>
        <v>19.71</v>
      </c>
    </row>
    <row r="6818" spans="1:8" x14ac:dyDescent="0.3">
      <c r="A6818" s="400"/>
      <c r="B6818" s="709">
        <v>103840</v>
      </c>
      <c r="C6818" s="710" t="s">
        <v>5700</v>
      </c>
      <c r="D6818" s="709" t="s">
        <v>136</v>
      </c>
      <c r="E6818" s="716">
        <v>28.33</v>
      </c>
      <c r="F6818" s="717">
        <v>0.69040000000000001</v>
      </c>
      <c r="G6818">
        <f>VLOOKUP(B6818,'SINAPI-%MO'!B:E,4,0)</f>
        <v>0.30459999999999998</v>
      </c>
      <c r="H6818" s="225">
        <f t="shared" si="106"/>
        <v>19.7</v>
      </c>
    </row>
    <row r="6819" spans="1:8" x14ac:dyDescent="0.3">
      <c r="A6819" s="400"/>
      <c r="B6819" s="709">
        <v>93098</v>
      </c>
      <c r="C6819" s="710" t="s">
        <v>5701</v>
      </c>
      <c r="D6819" s="709" t="s">
        <v>136</v>
      </c>
      <c r="E6819" s="716">
        <v>26.19</v>
      </c>
      <c r="F6819" s="717">
        <v>0.74680000000000002</v>
      </c>
      <c r="G6819">
        <f>VLOOKUP(B6819,'SINAPI-%MO'!B:E,4,0)</f>
        <v>0.24859999999999999</v>
      </c>
      <c r="H6819" s="225">
        <f t="shared" si="106"/>
        <v>19.670000000000002</v>
      </c>
    </row>
    <row r="6820" spans="1:8" x14ac:dyDescent="0.3">
      <c r="A6820" s="400"/>
      <c r="B6820" s="709">
        <v>93120</v>
      </c>
      <c r="C6820" s="710" t="s">
        <v>5702</v>
      </c>
      <c r="D6820" s="709" t="s">
        <v>136</v>
      </c>
      <c r="E6820" s="716">
        <v>34.75</v>
      </c>
      <c r="F6820" s="717">
        <v>0.86419999999999997</v>
      </c>
      <c r="G6820">
        <f>VLOOKUP(B6820,'SINAPI-%MO'!B:E,4,0)</f>
        <v>0.13289999999999999</v>
      </c>
      <c r="H6820" s="225">
        <f t="shared" si="106"/>
        <v>30.13</v>
      </c>
    </row>
    <row r="6821" spans="1:8" x14ac:dyDescent="0.3">
      <c r="A6821" s="400"/>
      <c r="B6821" s="709">
        <v>93077</v>
      </c>
      <c r="C6821" s="710" t="s">
        <v>5703</v>
      </c>
      <c r="D6821" s="709" t="s">
        <v>136</v>
      </c>
      <c r="E6821" s="716">
        <v>37.17</v>
      </c>
      <c r="F6821" s="717">
        <v>0.80789999999999995</v>
      </c>
      <c r="G6821">
        <f>VLOOKUP(B6821,'SINAPI-%MO'!B:E,4,0)</f>
        <v>0.18890000000000001</v>
      </c>
      <c r="H6821" s="225">
        <f t="shared" si="106"/>
        <v>30.14</v>
      </c>
    </row>
    <row r="6822" spans="1:8" x14ac:dyDescent="0.3">
      <c r="A6822" s="400"/>
      <c r="B6822" s="709">
        <v>103879</v>
      </c>
      <c r="C6822" s="710" t="s">
        <v>5704</v>
      </c>
      <c r="D6822" s="709" t="s">
        <v>136</v>
      </c>
      <c r="E6822" s="716">
        <v>40.54</v>
      </c>
      <c r="F6822" s="717">
        <v>0.74070000000000003</v>
      </c>
      <c r="G6822">
        <f>VLOOKUP(B6822,'SINAPI-%MO'!B:E,4,0)</f>
        <v>0.25600000000000001</v>
      </c>
      <c r="H6822" s="225">
        <f t="shared" si="106"/>
        <v>30.16</v>
      </c>
    </row>
    <row r="6823" spans="1:8" x14ac:dyDescent="0.3">
      <c r="A6823" s="400"/>
      <c r="B6823" s="709">
        <v>103810</v>
      </c>
      <c r="C6823" s="710" t="s">
        <v>5705</v>
      </c>
      <c r="D6823" s="709" t="s">
        <v>136</v>
      </c>
      <c r="E6823" s="716">
        <v>44.28</v>
      </c>
      <c r="F6823" s="717">
        <v>0.67820000000000003</v>
      </c>
      <c r="G6823">
        <f>VLOOKUP(B6823,'SINAPI-%MO'!B:E,4,0)</f>
        <v>0.31680000000000003</v>
      </c>
      <c r="H6823" s="225">
        <f t="shared" si="106"/>
        <v>30.25</v>
      </c>
    </row>
    <row r="6824" spans="1:8" x14ac:dyDescent="0.3">
      <c r="A6824" s="400"/>
      <c r="B6824" s="709">
        <v>103843</v>
      </c>
      <c r="C6824" s="710" t="s">
        <v>5706</v>
      </c>
      <c r="D6824" s="709" t="s">
        <v>136</v>
      </c>
      <c r="E6824" s="716">
        <v>41.01</v>
      </c>
      <c r="F6824" s="717">
        <v>0.73229999999999995</v>
      </c>
      <c r="G6824">
        <f>VLOOKUP(B6824,'SINAPI-%MO'!B:E,4,0)</f>
        <v>0.2636</v>
      </c>
      <c r="H6824" s="225">
        <f t="shared" si="106"/>
        <v>30.19</v>
      </c>
    </row>
    <row r="6825" spans="1:8" x14ac:dyDescent="0.3">
      <c r="A6825" s="400"/>
      <c r="B6825" s="709">
        <v>93100</v>
      </c>
      <c r="C6825" s="710" t="s">
        <v>5707</v>
      </c>
      <c r="D6825" s="709" t="s">
        <v>136</v>
      </c>
      <c r="E6825" s="716">
        <v>38.96</v>
      </c>
      <c r="F6825" s="717">
        <v>0.77080000000000004</v>
      </c>
      <c r="G6825">
        <f>VLOOKUP(B6825,'SINAPI-%MO'!B:E,4,0)</f>
        <v>0.22539999999999999</v>
      </c>
      <c r="H6825" s="225">
        <f t="shared" si="106"/>
        <v>30.17</v>
      </c>
    </row>
    <row r="6826" spans="1:8" x14ac:dyDescent="0.3">
      <c r="A6826" s="400"/>
      <c r="B6826" s="709">
        <v>93121</v>
      </c>
      <c r="C6826" s="710" t="s">
        <v>5708</v>
      </c>
      <c r="D6826" s="709" t="s">
        <v>136</v>
      </c>
      <c r="E6826" s="716">
        <v>39.380000000000003</v>
      </c>
      <c r="F6826" s="717">
        <v>0.85170000000000001</v>
      </c>
      <c r="G6826">
        <f>VLOOKUP(B6826,'SINAPI-%MO'!B:E,4,0)</f>
        <v>0.14530000000000001</v>
      </c>
      <c r="H6826" s="225">
        <f t="shared" si="106"/>
        <v>33.65</v>
      </c>
    </row>
    <row r="6827" spans="1:8" x14ac:dyDescent="0.3">
      <c r="A6827" s="400"/>
      <c r="B6827" s="709">
        <v>93078</v>
      </c>
      <c r="C6827" s="710" t="s">
        <v>5709</v>
      </c>
      <c r="D6827" s="709" t="s">
        <v>136</v>
      </c>
      <c r="E6827" s="716">
        <v>41.8</v>
      </c>
      <c r="F6827" s="717">
        <v>0.8024</v>
      </c>
      <c r="G6827">
        <f>VLOOKUP(B6827,'SINAPI-%MO'!B:E,4,0)</f>
        <v>0.1943</v>
      </c>
      <c r="H6827" s="225">
        <f t="shared" si="106"/>
        <v>33.67</v>
      </c>
    </row>
    <row r="6828" spans="1:8" x14ac:dyDescent="0.3">
      <c r="A6828" s="400"/>
      <c r="B6828" s="709">
        <v>103880</v>
      </c>
      <c r="C6828" s="710" t="s">
        <v>5710</v>
      </c>
      <c r="D6828" s="709" t="s">
        <v>136</v>
      </c>
      <c r="E6828" s="716">
        <v>45.17</v>
      </c>
      <c r="F6828" s="717">
        <v>0.74250000000000005</v>
      </c>
      <c r="G6828">
        <f>VLOOKUP(B6828,'SINAPI-%MO'!B:E,4,0)</f>
        <v>0.25419999999999998</v>
      </c>
      <c r="H6828" s="225">
        <f t="shared" si="106"/>
        <v>33.68</v>
      </c>
    </row>
    <row r="6829" spans="1:8" x14ac:dyDescent="0.3">
      <c r="A6829" s="400"/>
      <c r="B6829" s="709">
        <v>103811</v>
      </c>
      <c r="C6829" s="710" t="s">
        <v>5711</v>
      </c>
      <c r="D6829" s="709" t="s">
        <v>136</v>
      </c>
      <c r="E6829" s="716">
        <v>48.91</v>
      </c>
      <c r="F6829" s="717">
        <v>0.68569999999999998</v>
      </c>
      <c r="G6829">
        <f>VLOOKUP(B6829,'SINAPI-%MO'!B:E,4,0)</f>
        <v>0.30930000000000002</v>
      </c>
      <c r="H6829" s="225">
        <f t="shared" si="106"/>
        <v>33.78</v>
      </c>
    </row>
    <row r="6830" spans="1:8" x14ac:dyDescent="0.3">
      <c r="A6830" s="400"/>
      <c r="B6830" s="709">
        <v>103844</v>
      </c>
      <c r="C6830" s="710" t="s">
        <v>5712</v>
      </c>
      <c r="D6830" s="709" t="s">
        <v>136</v>
      </c>
      <c r="E6830" s="716">
        <v>45.65</v>
      </c>
      <c r="F6830" s="717">
        <v>0.73470000000000002</v>
      </c>
      <c r="G6830">
        <f>VLOOKUP(B6830,'SINAPI-%MO'!B:E,4,0)</f>
        <v>0.2611</v>
      </c>
      <c r="H6830" s="225">
        <f t="shared" si="106"/>
        <v>33.729999999999997</v>
      </c>
    </row>
    <row r="6831" spans="1:8" x14ac:dyDescent="0.3">
      <c r="A6831" s="400"/>
      <c r="B6831" s="709">
        <v>93101</v>
      </c>
      <c r="C6831" s="710" t="s">
        <v>5713</v>
      </c>
      <c r="D6831" s="709" t="s">
        <v>136</v>
      </c>
      <c r="E6831" s="716">
        <v>43.59</v>
      </c>
      <c r="F6831" s="717">
        <v>0.76939999999999997</v>
      </c>
      <c r="G6831">
        <f>VLOOKUP(B6831,'SINAPI-%MO'!B:E,4,0)</f>
        <v>0.22670000000000001</v>
      </c>
      <c r="H6831" s="225">
        <f t="shared" si="106"/>
        <v>33.700000000000003</v>
      </c>
    </row>
    <row r="6832" spans="1:8" x14ac:dyDescent="0.3">
      <c r="A6832" s="400"/>
      <c r="B6832" s="709">
        <v>92311</v>
      </c>
      <c r="C6832" s="710" t="s">
        <v>5714</v>
      </c>
      <c r="D6832" s="709" t="s">
        <v>136</v>
      </c>
      <c r="E6832" s="716">
        <v>16.47</v>
      </c>
      <c r="F6832" s="717">
        <v>0.5161</v>
      </c>
      <c r="G6832">
        <f>VLOOKUP(B6832,'SINAPI-%MO'!B:E,4,0)</f>
        <v>0.4778</v>
      </c>
      <c r="H6832" s="225">
        <f t="shared" si="106"/>
        <v>8.6</v>
      </c>
    </row>
    <row r="6833" spans="1:8" x14ac:dyDescent="0.3">
      <c r="A6833" s="400"/>
      <c r="B6833" s="709">
        <v>103874</v>
      </c>
      <c r="C6833" s="710" t="s">
        <v>5715</v>
      </c>
      <c r="D6833" s="709" t="s">
        <v>136</v>
      </c>
      <c r="E6833" s="716">
        <v>22.49</v>
      </c>
      <c r="F6833" s="717">
        <v>0.36820000000000003</v>
      </c>
      <c r="G6833">
        <f>VLOOKUP(B6833,'SINAPI-%MO'!B:E,4,0)</f>
        <v>0.62649999999999995</v>
      </c>
      <c r="H6833" s="225">
        <f t="shared" si="106"/>
        <v>8.4</v>
      </c>
    </row>
    <row r="6834" spans="1:8" x14ac:dyDescent="0.3">
      <c r="A6834" s="400"/>
      <c r="B6834" s="709">
        <v>103805</v>
      </c>
      <c r="C6834" s="710" t="s">
        <v>5716</v>
      </c>
      <c r="D6834" s="709" t="s">
        <v>136</v>
      </c>
      <c r="E6834" s="716">
        <v>22.41</v>
      </c>
      <c r="F6834" s="717">
        <v>0.3695</v>
      </c>
      <c r="G6834">
        <f>VLOOKUP(B6834,'SINAPI-%MO'!B:E,4,0)</f>
        <v>0.62250000000000005</v>
      </c>
      <c r="H6834" s="225">
        <f t="shared" si="106"/>
        <v>8.4499999999999993</v>
      </c>
    </row>
    <row r="6835" spans="1:8" x14ac:dyDescent="0.3">
      <c r="A6835" s="400"/>
      <c r="B6835" s="709">
        <v>103838</v>
      </c>
      <c r="C6835" s="710" t="s">
        <v>5717</v>
      </c>
      <c r="D6835" s="709" t="s">
        <v>136</v>
      </c>
      <c r="E6835" s="716">
        <v>21.58</v>
      </c>
      <c r="F6835" s="717">
        <v>0.38369999999999999</v>
      </c>
      <c r="G6835">
        <f>VLOOKUP(B6835,'SINAPI-%MO'!B:E,4,0)</f>
        <v>0.60840000000000005</v>
      </c>
      <c r="H6835" s="225">
        <f t="shared" si="106"/>
        <v>8.4499999999999993</v>
      </c>
    </row>
    <row r="6836" spans="1:8" x14ac:dyDescent="0.3">
      <c r="A6836" s="400"/>
      <c r="B6836" s="709">
        <v>92326</v>
      </c>
      <c r="C6836" s="710" t="s">
        <v>5718</v>
      </c>
      <c r="D6836" s="709" t="s">
        <v>136</v>
      </c>
      <c r="E6836" s="716">
        <v>17.25</v>
      </c>
      <c r="F6836" s="717">
        <v>0.47710000000000002</v>
      </c>
      <c r="G6836">
        <f>VLOOKUP(B6836,'SINAPI-%MO'!B:E,4,0)</f>
        <v>0.51480000000000004</v>
      </c>
      <c r="H6836" s="225">
        <f t="shared" si="106"/>
        <v>8.36</v>
      </c>
    </row>
    <row r="6837" spans="1:8" x14ac:dyDescent="0.3">
      <c r="A6837" s="400"/>
      <c r="B6837" s="709">
        <v>92287</v>
      </c>
      <c r="C6837" s="710" t="s">
        <v>5719</v>
      </c>
      <c r="D6837" s="709" t="s">
        <v>136</v>
      </c>
      <c r="E6837" s="716">
        <v>23.24</v>
      </c>
      <c r="F6837" s="717">
        <v>0.7762</v>
      </c>
      <c r="G6837">
        <f>VLOOKUP(B6837,'SINAPI-%MO'!B:E,4,0)</f>
        <v>0.21990000000000001</v>
      </c>
      <c r="H6837" s="225">
        <f t="shared" si="106"/>
        <v>18.12</v>
      </c>
    </row>
    <row r="6838" spans="1:8" x14ac:dyDescent="0.3">
      <c r="A6838" s="400"/>
      <c r="B6838" s="709">
        <v>92312</v>
      </c>
      <c r="C6838" s="710" t="s">
        <v>5720</v>
      </c>
      <c r="D6838" s="709" t="s">
        <v>136</v>
      </c>
      <c r="E6838" s="716">
        <v>28.07</v>
      </c>
      <c r="F6838" s="717">
        <v>0.64270000000000005</v>
      </c>
      <c r="G6838">
        <f>VLOOKUP(B6838,'SINAPI-%MO'!B:E,4,0)</f>
        <v>0.35270000000000001</v>
      </c>
      <c r="H6838" s="225">
        <f t="shared" si="106"/>
        <v>18.16</v>
      </c>
    </row>
    <row r="6839" spans="1:8" x14ac:dyDescent="0.3">
      <c r="A6839" s="400"/>
      <c r="B6839" s="709">
        <v>103877</v>
      </c>
      <c r="C6839" s="710" t="s">
        <v>5721</v>
      </c>
      <c r="D6839" s="709" t="s">
        <v>136</v>
      </c>
      <c r="E6839" s="716">
        <v>34.82</v>
      </c>
      <c r="F6839" s="717">
        <v>0.5181</v>
      </c>
      <c r="G6839">
        <f>VLOOKUP(B6839,'SINAPI-%MO'!B:E,4,0)</f>
        <v>0.47760000000000002</v>
      </c>
      <c r="H6839" s="225">
        <f t="shared" si="106"/>
        <v>18.18</v>
      </c>
    </row>
    <row r="6840" spans="1:8" x14ac:dyDescent="0.3">
      <c r="A6840" s="400"/>
      <c r="B6840" s="709">
        <v>103808</v>
      </c>
      <c r="C6840" s="710" t="s">
        <v>5722</v>
      </c>
      <c r="D6840" s="709" t="s">
        <v>136</v>
      </c>
      <c r="E6840" s="716">
        <v>42.29</v>
      </c>
      <c r="F6840" s="717">
        <v>0.42659999999999998</v>
      </c>
      <c r="G6840">
        <f>VLOOKUP(B6840,'SINAPI-%MO'!B:E,4,0)</f>
        <v>0.56589999999999996</v>
      </c>
      <c r="H6840" s="225">
        <f t="shared" si="106"/>
        <v>18.350000000000001</v>
      </c>
    </row>
    <row r="6841" spans="1:8" x14ac:dyDescent="0.3">
      <c r="A6841" s="400"/>
      <c r="B6841" s="709">
        <v>103841</v>
      </c>
      <c r="C6841" s="710" t="s">
        <v>5723</v>
      </c>
      <c r="D6841" s="709" t="s">
        <v>136</v>
      </c>
      <c r="E6841" s="716">
        <v>35.78</v>
      </c>
      <c r="F6841" s="717">
        <v>0.50419999999999998</v>
      </c>
      <c r="G6841">
        <f>VLOOKUP(B6841,'SINAPI-%MO'!B:E,4,0)</f>
        <v>0.4894</v>
      </c>
      <c r="H6841" s="225">
        <f t="shared" si="106"/>
        <v>18.260000000000002</v>
      </c>
    </row>
    <row r="6842" spans="1:8" x14ac:dyDescent="0.3">
      <c r="A6842" s="400"/>
      <c r="B6842" s="709">
        <v>92327</v>
      </c>
      <c r="C6842" s="710" t="s">
        <v>5724</v>
      </c>
      <c r="D6842" s="709" t="s">
        <v>136</v>
      </c>
      <c r="E6842" s="716">
        <v>31.65</v>
      </c>
      <c r="F6842" s="717">
        <v>0.56999999999999995</v>
      </c>
      <c r="G6842">
        <f>VLOOKUP(B6842,'SINAPI-%MO'!B:E,4,0)</f>
        <v>0.42430000000000001</v>
      </c>
      <c r="H6842" s="225">
        <f t="shared" si="106"/>
        <v>18.22</v>
      </c>
    </row>
    <row r="6843" spans="1:8" x14ac:dyDescent="0.3">
      <c r="A6843" s="400"/>
      <c r="B6843" s="709">
        <v>92288</v>
      </c>
      <c r="C6843" s="710" t="s">
        <v>5725</v>
      </c>
      <c r="D6843" s="709" t="s">
        <v>136</v>
      </c>
      <c r="E6843" s="716">
        <v>36.93</v>
      </c>
      <c r="F6843" s="717">
        <v>0.81859999999999999</v>
      </c>
      <c r="G6843">
        <f>VLOOKUP(B6843,'SINAPI-%MO'!B:E,4,0)</f>
        <v>0.1784</v>
      </c>
      <c r="H6843" s="225">
        <f t="shared" si="106"/>
        <v>30.34</v>
      </c>
    </row>
    <row r="6844" spans="1:8" x14ac:dyDescent="0.3">
      <c r="A6844" s="400"/>
      <c r="B6844" s="709">
        <v>92313</v>
      </c>
      <c r="C6844" s="710" t="s">
        <v>5726</v>
      </c>
      <c r="D6844" s="709" t="s">
        <v>136</v>
      </c>
      <c r="E6844" s="716">
        <v>41.41</v>
      </c>
      <c r="F6844" s="717">
        <v>0.73</v>
      </c>
      <c r="G6844">
        <f>VLOOKUP(B6844,'SINAPI-%MO'!B:E,4,0)</f>
        <v>0.2666</v>
      </c>
      <c r="H6844" s="225">
        <f t="shared" si="106"/>
        <v>30.37</v>
      </c>
    </row>
    <row r="6845" spans="1:8" x14ac:dyDescent="0.3">
      <c r="A6845" s="400"/>
      <c r="B6845" s="709">
        <v>103881</v>
      </c>
      <c r="C6845" s="710" t="s">
        <v>5727</v>
      </c>
      <c r="D6845" s="709" t="s">
        <v>136</v>
      </c>
      <c r="E6845" s="716">
        <v>49.23</v>
      </c>
      <c r="F6845" s="717">
        <v>0.61409999999999998</v>
      </c>
      <c r="G6845">
        <f>VLOOKUP(B6845,'SINAPI-%MO'!B:E,4,0)</f>
        <v>0.38250000000000001</v>
      </c>
      <c r="H6845" s="225">
        <f t="shared" si="106"/>
        <v>30.39</v>
      </c>
    </row>
    <row r="6846" spans="1:8" x14ac:dyDescent="0.3">
      <c r="A6846" s="400"/>
      <c r="B6846" s="709">
        <v>103812</v>
      </c>
      <c r="C6846" s="710" t="s">
        <v>5728</v>
      </c>
      <c r="D6846" s="709" t="s">
        <v>136</v>
      </c>
      <c r="E6846" s="716">
        <v>63.13</v>
      </c>
      <c r="F6846" s="717">
        <v>0.47889999999999999</v>
      </c>
      <c r="G6846">
        <f>VLOOKUP(B6846,'SINAPI-%MO'!B:E,4,0)</f>
        <v>0.51419999999999999</v>
      </c>
      <c r="H6846" s="225">
        <f t="shared" si="106"/>
        <v>30.66</v>
      </c>
    </row>
    <row r="6847" spans="1:8" x14ac:dyDescent="0.3">
      <c r="A6847" s="400"/>
      <c r="B6847" s="709">
        <v>103845</v>
      </c>
      <c r="C6847" s="710" t="s">
        <v>5729</v>
      </c>
      <c r="D6847" s="709" t="s">
        <v>136</v>
      </c>
      <c r="E6847" s="716">
        <v>51.76</v>
      </c>
      <c r="F6847" s="717">
        <v>0.58399999999999996</v>
      </c>
      <c r="G6847">
        <f>VLOOKUP(B6847,'SINAPI-%MO'!B:E,4,0)</f>
        <v>0.41049999999999998</v>
      </c>
      <c r="H6847" s="225">
        <f t="shared" si="106"/>
        <v>30.51</v>
      </c>
    </row>
    <row r="6848" spans="1:8" x14ac:dyDescent="0.3">
      <c r="A6848" s="400"/>
      <c r="B6848" s="709">
        <v>92328</v>
      </c>
      <c r="C6848" s="710" t="s">
        <v>5730</v>
      </c>
      <c r="D6848" s="709" t="s">
        <v>136</v>
      </c>
      <c r="E6848" s="716">
        <v>47.8</v>
      </c>
      <c r="F6848" s="717">
        <v>0.63239999999999996</v>
      </c>
      <c r="G6848">
        <f>VLOOKUP(B6848,'SINAPI-%MO'!B:E,4,0)</f>
        <v>0.36280000000000001</v>
      </c>
      <c r="H6848" s="225">
        <f t="shared" si="106"/>
        <v>30.45</v>
      </c>
    </row>
    <row r="6849" spans="1:8" x14ac:dyDescent="0.3">
      <c r="A6849" s="400"/>
      <c r="B6849" s="709">
        <v>92289</v>
      </c>
      <c r="C6849" s="710" t="s">
        <v>5731</v>
      </c>
      <c r="D6849" s="709" t="s">
        <v>136</v>
      </c>
      <c r="E6849" s="716">
        <v>66.14</v>
      </c>
      <c r="F6849" s="717">
        <v>0.87209999999999999</v>
      </c>
      <c r="G6849">
        <f>VLOOKUP(B6849,'SINAPI-%MO'!B:E,4,0)</f>
        <v>0.12559999999999999</v>
      </c>
      <c r="H6849" s="225">
        <f t="shared" si="106"/>
        <v>57.83</v>
      </c>
    </row>
    <row r="6850" spans="1:8" x14ac:dyDescent="0.3">
      <c r="A6850" s="400"/>
      <c r="B6850" s="709">
        <v>92290</v>
      </c>
      <c r="C6850" s="710" t="s">
        <v>5732</v>
      </c>
      <c r="D6850" s="709" t="s">
        <v>136</v>
      </c>
      <c r="E6850" s="716">
        <v>100.72</v>
      </c>
      <c r="F6850" s="717">
        <v>0.89839999999999998</v>
      </c>
      <c r="G6850">
        <f>VLOOKUP(B6850,'SINAPI-%MO'!B:E,4,0)</f>
        <v>9.98E-2</v>
      </c>
      <c r="H6850" s="225">
        <f t="shared" si="106"/>
        <v>90.66</v>
      </c>
    </row>
    <row r="6851" spans="1:8" x14ac:dyDescent="0.3">
      <c r="A6851" s="400"/>
      <c r="B6851" s="709">
        <v>92291</v>
      </c>
      <c r="C6851" s="710" t="s">
        <v>5733</v>
      </c>
      <c r="D6851" s="709" t="s">
        <v>136</v>
      </c>
      <c r="E6851" s="716">
        <v>156.58000000000001</v>
      </c>
      <c r="F6851" s="717">
        <v>0.91539999999999999</v>
      </c>
      <c r="G6851">
        <f>VLOOKUP(B6851,'SINAPI-%MO'!B:E,4,0)</f>
        <v>8.3199999999999996E-2</v>
      </c>
      <c r="H6851" s="225">
        <f t="shared" si="106"/>
        <v>143.55000000000001</v>
      </c>
    </row>
    <row r="6852" spans="1:8" x14ac:dyDescent="0.3">
      <c r="A6852" s="400"/>
      <c r="B6852" s="709">
        <v>92292</v>
      </c>
      <c r="C6852" s="710" t="s">
        <v>5734</v>
      </c>
      <c r="D6852" s="709" t="s">
        <v>136</v>
      </c>
      <c r="E6852" s="716">
        <v>489.98</v>
      </c>
      <c r="F6852" s="717">
        <v>0.96679999999999999</v>
      </c>
      <c r="G6852">
        <f>VLOOKUP(B6852,'SINAPI-%MO'!B:E,4,0)</f>
        <v>3.2599999999999997E-2</v>
      </c>
      <c r="H6852" s="225">
        <f t="shared" si="106"/>
        <v>474</v>
      </c>
    </row>
    <row r="6853" spans="1:8" x14ac:dyDescent="0.3">
      <c r="A6853" s="400"/>
      <c r="B6853" s="709">
        <v>93082</v>
      </c>
      <c r="C6853" s="710" t="s">
        <v>5735</v>
      </c>
      <c r="D6853" s="709" t="s">
        <v>136</v>
      </c>
      <c r="E6853" s="716">
        <v>32.14</v>
      </c>
      <c r="F6853" s="717">
        <v>0.81859999999999999</v>
      </c>
      <c r="G6853">
        <f>VLOOKUP(B6853,'SINAPI-%MO'!B:E,4,0)</f>
        <v>0.17799999999999999</v>
      </c>
      <c r="H6853" s="225">
        <f t="shared" si="106"/>
        <v>26.41</v>
      </c>
    </row>
    <row r="6854" spans="1:8" x14ac:dyDescent="0.3">
      <c r="A6854" s="400"/>
      <c r="B6854" s="709">
        <v>103885</v>
      </c>
      <c r="C6854" s="710" t="s">
        <v>5736</v>
      </c>
      <c r="D6854" s="709" t="s">
        <v>136</v>
      </c>
      <c r="E6854" s="716">
        <v>35.82</v>
      </c>
      <c r="F6854" s="717">
        <v>0.73450000000000004</v>
      </c>
      <c r="G6854">
        <f>VLOOKUP(B6854,'SINAPI-%MO'!B:E,4,0)</f>
        <v>0.2621</v>
      </c>
      <c r="H6854" s="225">
        <f t="shared" si="106"/>
        <v>26.43</v>
      </c>
    </row>
    <row r="6855" spans="1:8" x14ac:dyDescent="0.3">
      <c r="A6855" s="400"/>
      <c r="B6855" s="709">
        <v>103816</v>
      </c>
      <c r="C6855" s="710" t="s">
        <v>5737</v>
      </c>
      <c r="D6855" s="709" t="s">
        <v>136</v>
      </c>
      <c r="E6855" s="716">
        <v>35.79</v>
      </c>
      <c r="F6855" s="717">
        <v>0.73509999999999998</v>
      </c>
      <c r="G6855">
        <f>VLOOKUP(B6855,'SINAPI-%MO'!B:E,4,0)</f>
        <v>0.25979999999999998</v>
      </c>
      <c r="H6855" s="225">
        <f t="shared" si="106"/>
        <v>26.49</v>
      </c>
    </row>
    <row r="6856" spans="1:8" x14ac:dyDescent="0.3">
      <c r="A6856" s="400"/>
      <c r="B6856" s="709">
        <v>103849</v>
      </c>
      <c r="C6856" s="710" t="s">
        <v>5738</v>
      </c>
      <c r="D6856" s="709" t="s">
        <v>136</v>
      </c>
      <c r="E6856" s="716">
        <v>35.229999999999997</v>
      </c>
      <c r="F6856" s="717">
        <v>0.74680000000000002</v>
      </c>
      <c r="G6856">
        <f>VLOOKUP(B6856,'SINAPI-%MO'!B:E,4,0)</f>
        <v>0.24840000000000001</v>
      </c>
      <c r="H6856" s="225">
        <f t="shared" si="106"/>
        <v>26.47</v>
      </c>
    </row>
    <row r="6857" spans="1:8" x14ac:dyDescent="0.3">
      <c r="A6857" s="400"/>
      <c r="B6857" s="709">
        <v>93105</v>
      </c>
      <c r="C6857" s="710" t="s">
        <v>5739</v>
      </c>
      <c r="D6857" s="709" t="s">
        <v>136</v>
      </c>
      <c r="E6857" s="716">
        <v>32.340000000000003</v>
      </c>
      <c r="F6857" s="717">
        <v>0.8135</v>
      </c>
      <c r="G6857">
        <f>VLOOKUP(B6857,'SINAPI-%MO'!B:E,4,0)</f>
        <v>0.1827</v>
      </c>
      <c r="H6857" s="225">
        <f t="shared" si="106"/>
        <v>26.43</v>
      </c>
    </row>
    <row r="6858" spans="1:8" x14ac:dyDescent="0.3">
      <c r="A6858" s="400"/>
      <c r="B6858" s="709">
        <v>93055</v>
      </c>
      <c r="C6858" s="710" t="s">
        <v>5740</v>
      </c>
      <c r="D6858" s="709" t="s">
        <v>136</v>
      </c>
      <c r="E6858" s="716">
        <v>61.37</v>
      </c>
      <c r="F6858" s="717">
        <v>0.94310000000000005</v>
      </c>
      <c r="G6858">
        <f>VLOOKUP(B6858,'SINAPI-%MO'!B:E,4,0)</f>
        <v>5.5399999999999998E-2</v>
      </c>
      <c r="H6858" s="225">
        <f t="shared" si="106"/>
        <v>57.97</v>
      </c>
    </row>
    <row r="6859" spans="1:8" x14ac:dyDescent="0.3">
      <c r="A6859" s="400"/>
      <c r="B6859" s="709">
        <v>93089</v>
      </c>
      <c r="C6859" s="710" t="s">
        <v>5741</v>
      </c>
      <c r="D6859" s="709" t="s">
        <v>136</v>
      </c>
      <c r="E6859" s="716">
        <v>64.61</v>
      </c>
      <c r="F6859" s="717">
        <v>0.89580000000000004</v>
      </c>
      <c r="G6859">
        <f>VLOOKUP(B6859,'SINAPI-%MO'!B:E,4,0)</f>
        <v>0.1022</v>
      </c>
      <c r="H6859" s="225">
        <f t="shared" ref="H6859:H6922" si="107">IF(E6859&gt;0,TRUNC(E6859*(1-G6859),2),"")</f>
        <v>58</v>
      </c>
    </row>
    <row r="6860" spans="1:8" x14ac:dyDescent="0.3">
      <c r="A6860" s="400"/>
      <c r="B6860" s="709">
        <v>103891</v>
      </c>
      <c r="C6860" s="710" t="s">
        <v>5742</v>
      </c>
      <c r="D6860" s="709" t="s">
        <v>136</v>
      </c>
      <c r="E6860" s="716">
        <v>69.12</v>
      </c>
      <c r="F6860" s="717">
        <v>0.83740000000000003</v>
      </c>
      <c r="G6860">
        <f>VLOOKUP(B6860,'SINAPI-%MO'!B:E,4,0)</f>
        <v>0.16039999999999999</v>
      </c>
      <c r="H6860" s="225">
        <f t="shared" si="107"/>
        <v>58.03</v>
      </c>
    </row>
    <row r="6861" spans="1:8" x14ac:dyDescent="0.3">
      <c r="A6861" s="400"/>
      <c r="B6861" s="709">
        <v>103822</v>
      </c>
      <c r="C6861" s="710" t="s">
        <v>5743</v>
      </c>
      <c r="D6861" s="709" t="s">
        <v>136</v>
      </c>
      <c r="E6861" s="716">
        <v>74.14</v>
      </c>
      <c r="F6861" s="717">
        <v>0.78069999999999995</v>
      </c>
      <c r="G6861">
        <f>VLOOKUP(B6861,'SINAPI-%MO'!B:E,4,0)</f>
        <v>0.215</v>
      </c>
      <c r="H6861" s="225">
        <f t="shared" si="107"/>
        <v>58.19</v>
      </c>
    </row>
    <row r="6862" spans="1:8" x14ac:dyDescent="0.3">
      <c r="A6862" s="400"/>
      <c r="B6862" s="709">
        <v>103855</v>
      </c>
      <c r="C6862" s="710" t="s">
        <v>5744</v>
      </c>
      <c r="D6862" s="709" t="s">
        <v>136</v>
      </c>
      <c r="E6862" s="716">
        <v>69.78</v>
      </c>
      <c r="F6862" s="717">
        <v>0.82950000000000002</v>
      </c>
      <c r="G6862">
        <f>VLOOKUP(B6862,'SINAPI-%MO'!B:E,4,0)</f>
        <v>0.16719999999999999</v>
      </c>
      <c r="H6862" s="225">
        <f t="shared" si="107"/>
        <v>58.11</v>
      </c>
    </row>
    <row r="6863" spans="1:8" x14ac:dyDescent="0.3">
      <c r="A6863" s="400"/>
      <c r="B6863" s="709">
        <v>93112</v>
      </c>
      <c r="C6863" s="710" t="s">
        <v>5745</v>
      </c>
      <c r="D6863" s="709" t="s">
        <v>136</v>
      </c>
      <c r="E6863" s="716">
        <v>67.02</v>
      </c>
      <c r="F6863" s="717">
        <v>0.86360000000000003</v>
      </c>
      <c r="G6863">
        <f>VLOOKUP(B6863,'SINAPI-%MO'!B:E,4,0)</f>
        <v>0.13370000000000001</v>
      </c>
      <c r="H6863" s="225">
        <f t="shared" si="107"/>
        <v>58.05</v>
      </c>
    </row>
    <row r="6864" spans="1:8" x14ac:dyDescent="0.3">
      <c r="A6864" s="400"/>
      <c r="B6864" s="709">
        <v>93060</v>
      </c>
      <c r="C6864" s="710" t="s">
        <v>5746</v>
      </c>
      <c r="D6864" s="709" t="s">
        <v>136</v>
      </c>
      <c r="E6864" s="716">
        <v>107.84</v>
      </c>
      <c r="F6864" s="717">
        <v>0.95830000000000004</v>
      </c>
      <c r="G6864">
        <f>VLOOKUP(B6864,'SINAPI-%MO'!B:E,4,0)</f>
        <v>4.07E-2</v>
      </c>
      <c r="H6864" s="225">
        <f t="shared" si="107"/>
        <v>103.45</v>
      </c>
    </row>
    <row r="6865" spans="1:8" x14ac:dyDescent="0.3">
      <c r="A6865" s="400"/>
      <c r="B6865" s="709">
        <v>93094</v>
      </c>
      <c r="C6865" s="710" t="s">
        <v>5747</v>
      </c>
      <c r="D6865" s="709" t="s">
        <v>136</v>
      </c>
      <c r="E6865" s="716">
        <v>110.83</v>
      </c>
      <c r="F6865" s="717">
        <v>0.93240000000000001</v>
      </c>
      <c r="G6865">
        <f>VLOOKUP(B6865,'SINAPI-%MO'!B:E,4,0)</f>
        <v>6.6299999999999998E-2</v>
      </c>
      <c r="H6865" s="225">
        <f t="shared" si="107"/>
        <v>103.48</v>
      </c>
    </row>
    <row r="6866" spans="1:8" x14ac:dyDescent="0.3">
      <c r="A6866" s="400"/>
      <c r="B6866" s="709">
        <v>103897</v>
      </c>
      <c r="C6866" s="710" t="s">
        <v>5748</v>
      </c>
      <c r="D6866" s="709" t="s">
        <v>136</v>
      </c>
      <c r="E6866" s="716">
        <v>116.06</v>
      </c>
      <c r="F6866" s="717">
        <v>0.89039999999999997</v>
      </c>
      <c r="G6866">
        <f>VLOOKUP(B6866,'SINAPI-%MO'!B:E,4,0)</f>
        <v>0.1081</v>
      </c>
      <c r="H6866" s="225">
        <f t="shared" si="107"/>
        <v>103.51</v>
      </c>
    </row>
    <row r="6867" spans="1:8" x14ac:dyDescent="0.3">
      <c r="A6867" s="400"/>
      <c r="B6867" s="709">
        <v>103828</v>
      </c>
      <c r="C6867" s="710" t="s">
        <v>5749</v>
      </c>
      <c r="D6867" s="709" t="s">
        <v>136</v>
      </c>
      <c r="E6867" s="716">
        <v>124.75</v>
      </c>
      <c r="F6867" s="717">
        <v>0.82299999999999995</v>
      </c>
      <c r="G6867">
        <f>VLOOKUP(B6867,'SINAPI-%MO'!B:E,4,0)</f>
        <v>0.17349999999999999</v>
      </c>
      <c r="H6867" s="225">
        <f t="shared" si="107"/>
        <v>103.1</v>
      </c>
    </row>
    <row r="6868" spans="1:8" x14ac:dyDescent="0.3">
      <c r="A6868" s="400"/>
      <c r="B6868" s="709">
        <v>103861</v>
      </c>
      <c r="C6868" s="710" t="s">
        <v>5750</v>
      </c>
      <c r="D6868" s="709" t="s">
        <v>136</v>
      </c>
      <c r="E6868" s="716">
        <v>117.78</v>
      </c>
      <c r="F6868" s="717">
        <v>0.87739999999999996</v>
      </c>
      <c r="G6868">
        <f>VLOOKUP(B6868,'SINAPI-%MO'!B:E,4,0)</f>
        <v>0.1202</v>
      </c>
      <c r="H6868" s="225">
        <f t="shared" si="107"/>
        <v>103.62</v>
      </c>
    </row>
    <row r="6869" spans="1:8" x14ac:dyDescent="0.3">
      <c r="A6869" s="400"/>
      <c r="B6869" s="709">
        <v>93115</v>
      </c>
      <c r="C6869" s="710" t="s">
        <v>5751</v>
      </c>
      <c r="D6869" s="709" t="s">
        <v>136</v>
      </c>
      <c r="E6869" s="716">
        <v>115.13</v>
      </c>
      <c r="F6869" s="717">
        <v>0.89759999999999995</v>
      </c>
      <c r="G6869">
        <f>VLOOKUP(B6869,'SINAPI-%MO'!B:E,4,0)</f>
        <v>0.1004</v>
      </c>
      <c r="H6869" s="225">
        <f t="shared" si="107"/>
        <v>103.57</v>
      </c>
    </row>
    <row r="6870" spans="1:8" x14ac:dyDescent="0.3">
      <c r="A6870" s="400"/>
      <c r="B6870" s="709">
        <v>93074</v>
      </c>
      <c r="C6870" s="710" t="s">
        <v>5752</v>
      </c>
      <c r="D6870" s="709" t="s">
        <v>136</v>
      </c>
      <c r="E6870" s="716">
        <v>16.93</v>
      </c>
      <c r="F6870" s="717">
        <v>0.48609999999999998</v>
      </c>
      <c r="G6870">
        <f>VLOOKUP(B6870,'SINAPI-%MO'!B:E,4,0)</f>
        <v>0.50739999999999996</v>
      </c>
      <c r="H6870" s="225">
        <f t="shared" si="107"/>
        <v>8.33</v>
      </c>
    </row>
    <row r="6871" spans="1:8" x14ac:dyDescent="0.3">
      <c r="A6871" s="400"/>
      <c r="B6871" s="709">
        <v>103875</v>
      </c>
      <c r="C6871" s="710" t="s">
        <v>5753</v>
      </c>
      <c r="D6871" s="709" t="s">
        <v>136</v>
      </c>
      <c r="E6871" s="716">
        <v>22.44</v>
      </c>
      <c r="F6871" s="717">
        <v>0.36680000000000001</v>
      </c>
      <c r="G6871">
        <f>VLOOKUP(B6871,'SINAPI-%MO'!B:E,4,0)</f>
        <v>0.62790000000000001</v>
      </c>
      <c r="H6871" s="225">
        <f t="shared" si="107"/>
        <v>8.34</v>
      </c>
    </row>
    <row r="6872" spans="1:8" x14ac:dyDescent="0.3">
      <c r="A6872" s="400"/>
      <c r="B6872" s="709">
        <v>103806</v>
      </c>
      <c r="C6872" s="710" t="s">
        <v>5754</v>
      </c>
      <c r="D6872" s="709" t="s">
        <v>136</v>
      </c>
      <c r="E6872" s="716">
        <v>22.36</v>
      </c>
      <c r="F6872" s="717">
        <v>0.36809999999999998</v>
      </c>
      <c r="G6872">
        <f>VLOOKUP(B6872,'SINAPI-%MO'!B:E,4,0)</f>
        <v>0.62390000000000001</v>
      </c>
      <c r="H6872" s="225">
        <f t="shared" si="107"/>
        <v>8.4</v>
      </c>
    </row>
    <row r="6873" spans="1:8" x14ac:dyDescent="0.3">
      <c r="A6873" s="400"/>
      <c r="B6873" s="709">
        <v>103839</v>
      </c>
      <c r="C6873" s="710" t="s">
        <v>5755</v>
      </c>
      <c r="D6873" s="709" t="s">
        <v>136</v>
      </c>
      <c r="E6873" s="716">
        <v>21.53</v>
      </c>
      <c r="F6873" s="717">
        <v>0.38229999999999997</v>
      </c>
      <c r="G6873">
        <f>VLOOKUP(B6873,'SINAPI-%MO'!B:E,4,0)</f>
        <v>0.60980000000000001</v>
      </c>
      <c r="H6873" s="225">
        <f t="shared" si="107"/>
        <v>8.4</v>
      </c>
    </row>
    <row r="6874" spans="1:8" x14ac:dyDescent="0.3">
      <c r="A6874" s="400"/>
      <c r="B6874" s="709">
        <v>93097</v>
      </c>
      <c r="C6874" s="710" t="s">
        <v>5756</v>
      </c>
      <c r="D6874" s="709" t="s">
        <v>136</v>
      </c>
      <c r="E6874" s="716">
        <v>17.23</v>
      </c>
      <c r="F6874" s="717">
        <v>0.47770000000000001</v>
      </c>
      <c r="G6874">
        <f>VLOOKUP(B6874,'SINAPI-%MO'!B:E,4,0)</f>
        <v>0.51539999999999997</v>
      </c>
      <c r="H6874" s="225">
        <f t="shared" si="107"/>
        <v>8.34</v>
      </c>
    </row>
    <row r="6875" spans="1:8" x14ac:dyDescent="0.3">
      <c r="A6875" s="400"/>
      <c r="B6875" s="709">
        <v>93119</v>
      </c>
      <c r="C6875" s="710" t="s">
        <v>5757</v>
      </c>
      <c r="D6875" s="709" t="s">
        <v>136</v>
      </c>
      <c r="E6875" s="716">
        <v>22.84</v>
      </c>
      <c r="F6875" s="717">
        <v>0.77229999999999999</v>
      </c>
      <c r="G6875">
        <f>VLOOKUP(B6875,'SINAPI-%MO'!B:E,4,0)</f>
        <v>0.22370000000000001</v>
      </c>
      <c r="H6875" s="225">
        <f t="shared" si="107"/>
        <v>17.73</v>
      </c>
    </row>
    <row r="6876" spans="1:8" x14ac:dyDescent="0.3">
      <c r="A6876" s="400"/>
      <c r="B6876" s="709">
        <v>93076</v>
      </c>
      <c r="C6876" s="710" t="s">
        <v>5758</v>
      </c>
      <c r="D6876" s="709" t="s">
        <v>136</v>
      </c>
      <c r="E6876" s="716">
        <v>27.67</v>
      </c>
      <c r="F6876" s="717">
        <v>0.63749999999999996</v>
      </c>
      <c r="G6876">
        <f>VLOOKUP(B6876,'SINAPI-%MO'!B:E,4,0)</f>
        <v>0.35780000000000001</v>
      </c>
      <c r="H6876" s="225">
        <f t="shared" si="107"/>
        <v>17.760000000000002</v>
      </c>
    </row>
    <row r="6877" spans="1:8" x14ac:dyDescent="0.3">
      <c r="A6877" s="400"/>
      <c r="B6877" s="709">
        <v>103878</v>
      </c>
      <c r="C6877" s="710" t="s">
        <v>5759</v>
      </c>
      <c r="D6877" s="709" t="s">
        <v>136</v>
      </c>
      <c r="E6877" s="716">
        <v>34.42</v>
      </c>
      <c r="F6877" s="717">
        <v>0.51249999999999996</v>
      </c>
      <c r="G6877">
        <f>VLOOKUP(B6877,'SINAPI-%MO'!B:E,4,0)</f>
        <v>0.48309999999999997</v>
      </c>
      <c r="H6877" s="225">
        <f t="shared" si="107"/>
        <v>17.79</v>
      </c>
    </row>
    <row r="6878" spans="1:8" x14ac:dyDescent="0.3">
      <c r="A6878" s="400"/>
      <c r="B6878" s="709">
        <v>103809</v>
      </c>
      <c r="C6878" s="710" t="s">
        <v>5760</v>
      </c>
      <c r="D6878" s="709" t="s">
        <v>136</v>
      </c>
      <c r="E6878" s="716">
        <v>41.89</v>
      </c>
      <c r="F6878" s="717">
        <v>0.42109999999999997</v>
      </c>
      <c r="G6878">
        <f>VLOOKUP(B6878,'SINAPI-%MO'!B:E,4,0)</f>
        <v>0.57130000000000003</v>
      </c>
      <c r="H6878" s="225">
        <f t="shared" si="107"/>
        <v>17.95</v>
      </c>
    </row>
    <row r="6879" spans="1:8" x14ac:dyDescent="0.3">
      <c r="A6879" s="400"/>
      <c r="B6879" s="709">
        <v>103842</v>
      </c>
      <c r="C6879" s="710" t="s">
        <v>5761</v>
      </c>
      <c r="D6879" s="709" t="s">
        <v>136</v>
      </c>
      <c r="E6879" s="716">
        <v>35.380000000000003</v>
      </c>
      <c r="F6879" s="717">
        <v>0.49859999999999999</v>
      </c>
      <c r="G6879">
        <f>VLOOKUP(B6879,'SINAPI-%MO'!B:E,4,0)</f>
        <v>0.49490000000000001</v>
      </c>
      <c r="H6879" s="225">
        <f t="shared" si="107"/>
        <v>17.87</v>
      </c>
    </row>
    <row r="6880" spans="1:8" x14ac:dyDescent="0.3">
      <c r="A6880" s="400"/>
      <c r="B6880" s="709">
        <v>93099</v>
      </c>
      <c r="C6880" s="710" t="s">
        <v>5762</v>
      </c>
      <c r="D6880" s="709" t="s">
        <v>136</v>
      </c>
      <c r="E6880" s="716">
        <v>31.25</v>
      </c>
      <c r="F6880" s="717">
        <v>0.5645</v>
      </c>
      <c r="G6880">
        <f>VLOOKUP(B6880,'SINAPI-%MO'!B:E,4,0)</f>
        <v>0.42980000000000002</v>
      </c>
      <c r="H6880" s="225">
        <f t="shared" si="107"/>
        <v>17.809999999999999</v>
      </c>
    </row>
    <row r="6881" spans="1:8" x14ac:dyDescent="0.3">
      <c r="A6881" s="400"/>
      <c r="B6881" s="709">
        <v>93122</v>
      </c>
      <c r="C6881" s="710" t="s">
        <v>5763</v>
      </c>
      <c r="D6881" s="709" t="s">
        <v>136</v>
      </c>
      <c r="E6881" s="716">
        <v>34.479999999999997</v>
      </c>
      <c r="F6881" s="717">
        <v>0.80569999999999997</v>
      </c>
      <c r="G6881">
        <f>VLOOKUP(B6881,'SINAPI-%MO'!B:E,4,0)</f>
        <v>0.19109999999999999</v>
      </c>
      <c r="H6881" s="225">
        <f t="shared" si="107"/>
        <v>27.89</v>
      </c>
    </row>
    <row r="6882" spans="1:8" x14ac:dyDescent="0.3">
      <c r="A6882" s="400"/>
      <c r="B6882" s="709">
        <v>93079</v>
      </c>
      <c r="C6882" s="710" t="s">
        <v>5764</v>
      </c>
      <c r="D6882" s="709" t="s">
        <v>136</v>
      </c>
      <c r="E6882" s="716">
        <v>38.96</v>
      </c>
      <c r="F6882" s="717">
        <v>0.71299999999999997</v>
      </c>
      <c r="G6882">
        <f>VLOOKUP(B6882,'SINAPI-%MO'!B:E,4,0)</f>
        <v>0.28339999999999999</v>
      </c>
      <c r="H6882" s="225">
        <f t="shared" si="107"/>
        <v>27.91</v>
      </c>
    </row>
    <row r="6883" spans="1:8" x14ac:dyDescent="0.3">
      <c r="A6883" s="400"/>
      <c r="B6883" s="709">
        <v>103882</v>
      </c>
      <c r="C6883" s="710" t="s">
        <v>5765</v>
      </c>
      <c r="D6883" s="709" t="s">
        <v>136</v>
      </c>
      <c r="E6883" s="716">
        <v>46.78</v>
      </c>
      <c r="F6883" s="717">
        <v>0.59379999999999999</v>
      </c>
      <c r="G6883">
        <f>VLOOKUP(B6883,'SINAPI-%MO'!B:E,4,0)</f>
        <v>0.40250000000000002</v>
      </c>
      <c r="H6883" s="225">
        <f t="shared" si="107"/>
        <v>27.95</v>
      </c>
    </row>
    <row r="6884" spans="1:8" x14ac:dyDescent="0.3">
      <c r="A6884" s="400"/>
      <c r="B6884" s="709">
        <v>103813</v>
      </c>
      <c r="C6884" s="710" t="s">
        <v>5766</v>
      </c>
      <c r="D6884" s="709" t="s">
        <v>136</v>
      </c>
      <c r="E6884" s="716">
        <v>60.68</v>
      </c>
      <c r="F6884" s="717">
        <v>0.45779999999999998</v>
      </c>
      <c r="G6884">
        <f>VLOOKUP(B6884,'SINAPI-%MO'!B:E,4,0)</f>
        <v>0.53490000000000004</v>
      </c>
      <c r="H6884" s="225">
        <f t="shared" si="107"/>
        <v>28.22</v>
      </c>
    </row>
    <row r="6885" spans="1:8" x14ac:dyDescent="0.3">
      <c r="A6885" s="400"/>
      <c r="B6885" s="709">
        <v>103846</v>
      </c>
      <c r="C6885" s="710" t="s">
        <v>5767</v>
      </c>
      <c r="D6885" s="709" t="s">
        <v>136</v>
      </c>
      <c r="E6885" s="716">
        <v>49.31</v>
      </c>
      <c r="F6885" s="717">
        <v>0.56340000000000001</v>
      </c>
      <c r="G6885">
        <f>VLOOKUP(B6885,'SINAPI-%MO'!B:E,4,0)</f>
        <v>0.43090000000000001</v>
      </c>
      <c r="H6885" s="225">
        <f t="shared" si="107"/>
        <v>28.06</v>
      </c>
    </row>
    <row r="6886" spans="1:8" x14ac:dyDescent="0.3">
      <c r="A6886" s="400"/>
      <c r="B6886" s="709">
        <v>93102</v>
      </c>
      <c r="C6886" s="710" t="s">
        <v>5768</v>
      </c>
      <c r="D6886" s="709" t="s">
        <v>136</v>
      </c>
      <c r="E6886" s="716">
        <v>45.35</v>
      </c>
      <c r="F6886" s="717">
        <v>0.61260000000000003</v>
      </c>
      <c r="G6886">
        <f>VLOOKUP(B6886,'SINAPI-%MO'!B:E,4,0)</f>
        <v>0.38240000000000002</v>
      </c>
      <c r="H6886" s="225">
        <f t="shared" si="107"/>
        <v>28</v>
      </c>
    </row>
    <row r="6887" spans="1:8" x14ac:dyDescent="0.3">
      <c r="A6887" s="400"/>
      <c r="B6887" s="709">
        <v>93123</v>
      </c>
      <c r="C6887" s="710" t="s">
        <v>5769</v>
      </c>
      <c r="D6887" s="709" t="s">
        <v>136</v>
      </c>
      <c r="E6887" s="716">
        <v>78.12</v>
      </c>
      <c r="F6887" s="717">
        <v>0.89170000000000005</v>
      </c>
      <c r="G6887">
        <f>VLOOKUP(B6887,'SINAPI-%MO'!B:E,4,0)</f>
        <v>0.10639999999999999</v>
      </c>
      <c r="H6887" s="225">
        <f t="shared" si="107"/>
        <v>69.8</v>
      </c>
    </row>
    <row r="6888" spans="1:8" x14ac:dyDescent="0.3">
      <c r="A6888" s="400"/>
      <c r="B6888" s="709">
        <v>93124</v>
      </c>
      <c r="C6888" s="710" t="s">
        <v>5770</v>
      </c>
      <c r="D6888" s="709" t="s">
        <v>136</v>
      </c>
      <c r="E6888" s="716">
        <v>123.22</v>
      </c>
      <c r="F6888" s="717">
        <v>0.91700000000000004</v>
      </c>
      <c r="G6888">
        <f>VLOOKUP(B6888,'SINAPI-%MO'!B:E,4,0)</f>
        <v>8.1600000000000006E-2</v>
      </c>
      <c r="H6888" s="225">
        <f t="shared" si="107"/>
        <v>113.16</v>
      </c>
    </row>
    <row r="6889" spans="1:8" x14ac:dyDescent="0.3">
      <c r="A6889" s="400"/>
      <c r="B6889" s="709">
        <v>93125</v>
      </c>
      <c r="C6889" s="710" t="s">
        <v>5771</v>
      </c>
      <c r="D6889" s="709" t="s">
        <v>136</v>
      </c>
      <c r="E6889" s="716">
        <v>181.5</v>
      </c>
      <c r="F6889" s="717">
        <v>0.92700000000000005</v>
      </c>
      <c r="G6889">
        <f>VLOOKUP(B6889,'SINAPI-%MO'!B:E,4,0)</f>
        <v>7.17E-2</v>
      </c>
      <c r="H6889" s="225">
        <f t="shared" si="107"/>
        <v>168.48</v>
      </c>
    </row>
    <row r="6890" spans="1:8" x14ac:dyDescent="0.3">
      <c r="A6890" s="400"/>
      <c r="B6890" s="709">
        <v>93126</v>
      </c>
      <c r="C6890" s="710" t="s">
        <v>5772</v>
      </c>
      <c r="D6890" s="709" t="s">
        <v>136</v>
      </c>
      <c r="E6890" s="716">
        <v>403.33</v>
      </c>
      <c r="F6890" s="717">
        <v>0.9597</v>
      </c>
      <c r="G6890">
        <f>VLOOKUP(B6890,'SINAPI-%MO'!B:E,4,0)</f>
        <v>3.9600000000000003E-2</v>
      </c>
      <c r="H6890" s="225">
        <f t="shared" si="107"/>
        <v>387.35</v>
      </c>
    </row>
    <row r="6891" spans="1:8" x14ac:dyDescent="0.3">
      <c r="A6891" s="400"/>
      <c r="B6891" s="709">
        <v>93063</v>
      </c>
      <c r="C6891" s="710" t="s">
        <v>5773</v>
      </c>
      <c r="D6891" s="709" t="s">
        <v>136</v>
      </c>
      <c r="E6891" s="716">
        <v>902.97</v>
      </c>
      <c r="F6891" s="717">
        <v>0.99370000000000003</v>
      </c>
      <c r="G6891">
        <f>VLOOKUP(B6891,'SINAPI-%MO'!B:E,4,0)</f>
        <v>6.1000000000000004E-3</v>
      </c>
      <c r="H6891" s="225">
        <f t="shared" si="107"/>
        <v>897.46</v>
      </c>
    </row>
    <row r="6892" spans="1:8" x14ac:dyDescent="0.3">
      <c r="A6892" s="400"/>
      <c r="B6892" s="709">
        <v>93066</v>
      </c>
      <c r="C6892" s="710" t="s">
        <v>5774</v>
      </c>
      <c r="D6892" s="709" t="s">
        <v>136</v>
      </c>
      <c r="E6892" s="716">
        <v>1133.23</v>
      </c>
      <c r="F6892" s="717">
        <v>0.99390000000000001</v>
      </c>
      <c r="G6892">
        <f>VLOOKUP(B6892,'SINAPI-%MO'!B:E,4,0)</f>
        <v>5.8999999999999999E-3</v>
      </c>
      <c r="H6892" s="225">
        <f t="shared" si="107"/>
        <v>1126.54</v>
      </c>
    </row>
    <row r="6893" spans="1:8" x14ac:dyDescent="0.3">
      <c r="A6893" s="400"/>
      <c r="B6893" s="709">
        <v>93069</v>
      </c>
      <c r="C6893" s="710" t="s">
        <v>5775</v>
      </c>
      <c r="D6893" s="709" t="s">
        <v>136</v>
      </c>
      <c r="E6893" s="716">
        <v>1570.95</v>
      </c>
      <c r="F6893" s="717">
        <v>0.99429999999999996</v>
      </c>
      <c r="G6893">
        <f>VLOOKUP(B6893,'SINAPI-%MO'!B:E,4,0)</f>
        <v>5.4999999999999997E-3</v>
      </c>
      <c r="H6893" s="225">
        <f t="shared" si="107"/>
        <v>1562.3</v>
      </c>
    </row>
    <row r="6894" spans="1:8" x14ac:dyDescent="0.3">
      <c r="A6894" s="400"/>
      <c r="B6894" s="709">
        <v>93072</v>
      </c>
      <c r="C6894" s="710" t="s">
        <v>5776</v>
      </c>
      <c r="D6894" s="709" t="s">
        <v>136</v>
      </c>
      <c r="E6894" s="716">
        <v>2073.35</v>
      </c>
      <c r="F6894" s="717">
        <v>0.99470000000000003</v>
      </c>
      <c r="G6894">
        <f>VLOOKUP(B6894,'SINAPI-%MO'!B:E,4,0)</f>
        <v>5.1000000000000004E-3</v>
      </c>
      <c r="H6894" s="225">
        <f t="shared" si="107"/>
        <v>2062.77</v>
      </c>
    </row>
    <row r="6895" spans="1:8" x14ac:dyDescent="0.3">
      <c r="A6895" s="400"/>
      <c r="B6895" s="709">
        <v>93083</v>
      </c>
      <c r="C6895" s="710" t="s">
        <v>5777</v>
      </c>
      <c r="D6895" s="709" t="s">
        <v>136</v>
      </c>
      <c r="E6895" s="716">
        <v>619.91999999999996</v>
      </c>
      <c r="F6895" s="717">
        <v>0.99060000000000004</v>
      </c>
      <c r="G6895">
        <f>VLOOKUP(B6895,'SINAPI-%MO'!B:E,4,0)</f>
        <v>9.1999999999999998E-3</v>
      </c>
      <c r="H6895" s="225">
        <f t="shared" si="107"/>
        <v>614.21</v>
      </c>
    </row>
    <row r="6896" spans="1:8" x14ac:dyDescent="0.3">
      <c r="A6896" s="400"/>
      <c r="B6896" s="709">
        <v>103886</v>
      </c>
      <c r="C6896" s="710" t="s">
        <v>5778</v>
      </c>
      <c r="D6896" s="709" t="s">
        <v>136</v>
      </c>
      <c r="E6896" s="716">
        <v>623.6</v>
      </c>
      <c r="F6896" s="717">
        <v>0.98470000000000002</v>
      </c>
      <c r="G6896">
        <f>VLOOKUP(B6896,'SINAPI-%MO'!B:E,4,0)</f>
        <v>1.5100000000000001E-2</v>
      </c>
      <c r="H6896" s="225">
        <f t="shared" si="107"/>
        <v>614.17999999999995</v>
      </c>
    </row>
    <row r="6897" spans="1:8" x14ac:dyDescent="0.3">
      <c r="A6897" s="400"/>
      <c r="B6897" s="709">
        <v>103817</v>
      </c>
      <c r="C6897" s="710" t="s">
        <v>5779</v>
      </c>
      <c r="D6897" s="709" t="s">
        <v>136</v>
      </c>
      <c r="E6897" s="716">
        <v>623.57000000000005</v>
      </c>
      <c r="F6897" s="717">
        <v>0.98480000000000001</v>
      </c>
      <c r="G6897">
        <f>VLOOKUP(B6897,'SINAPI-%MO'!B:E,4,0)</f>
        <v>1.49E-2</v>
      </c>
      <c r="H6897" s="225">
        <f t="shared" si="107"/>
        <v>614.27</v>
      </c>
    </row>
    <row r="6898" spans="1:8" x14ac:dyDescent="0.3">
      <c r="A6898" s="400"/>
      <c r="B6898" s="709">
        <v>103850</v>
      </c>
      <c r="C6898" s="710" t="s">
        <v>5780</v>
      </c>
      <c r="D6898" s="709" t="s">
        <v>136</v>
      </c>
      <c r="E6898" s="716">
        <v>623.01</v>
      </c>
      <c r="F6898" s="717">
        <v>0.98570000000000002</v>
      </c>
      <c r="G6898">
        <f>VLOOKUP(B6898,'SINAPI-%MO'!B:E,4,0)</f>
        <v>1.4E-2</v>
      </c>
      <c r="H6898" s="225">
        <f t="shared" si="107"/>
        <v>614.28</v>
      </c>
    </row>
    <row r="6899" spans="1:8" x14ac:dyDescent="0.3">
      <c r="A6899" s="400"/>
      <c r="B6899" s="709">
        <v>93106</v>
      </c>
      <c r="C6899" s="710" t="s">
        <v>5781</v>
      </c>
      <c r="D6899" s="709" t="s">
        <v>136</v>
      </c>
      <c r="E6899" s="716">
        <v>620.12</v>
      </c>
      <c r="F6899" s="717">
        <v>0.99029999999999996</v>
      </c>
      <c r="G6899">
        <f>VLOOKUP(B6899,'SINAPI-%MO'!B:E,4,0)</f>
        <v>9.4999999999999998E-3</v>
      </c>
      <c r="H6899" s="225">
        <f t="shared" si="107"/>
        <v>614.22</v>
      </c>
    </row>
    <row r="6900" spans="1:8" x14ac:dyDescent="0.3">
      <c r="A6900" s="400"/>
      <c r="B6900" s="709">
        <v>93052</v>
      </c>
      <c r="C6900" s="710" t="s">
        <v>5782</v>
      </c>
      <c r="D6900" s="709" t="s">
        <v>136</v>
      </c>
      <c r="E6900" s="716">
        <v>716.44</v>
      </c>
      <c r="F6900" s="717">
        <v>0.99509999999999998</v>
      </c>
      <c r="G6900">
        <f>VLOOKUP(B6900,'SINAPI-%MO'!B:E,4,0)</f>
        <v>4.7000000000000002E-3</v>
      </c>
      <c r="H6900" s="225">
        <f t="shared" si="107"/>
        <v>713.07</v>
      </c>
    </row>
    <row r="6901" spans="1:8" x14ac:dyDescent="0.3">
      <c r="A6901" s="400"/>
      <c r="B6901" s="709">
        <v>93086</v>
      </c>
      <c r="C6901" s="710" t="s">
        <v>5783</v>
      </c>
      <c r="D6901" s="709" t="s">
        <v>136</v>
      </c>
      <c r="E6901" s="716">
        <v>719.68</v>
      </c>
      <c r="F6901" s="717">
        <v>0.99060000000000004</v>
      </c>
      <c r="G6901">
        <f>VLOOKUP(B6901,'SINAPI-%MO'!B:E,4,0)</f>
        <v>9.1999999999999998E-3</v>
      </c>
      <c r="H6901" s="225">
        <f t="shared" si="107"/>
        <v>713.05</v>
      </c>
    </row>
    <row r="6902" spans="1:8" x14ac:dyDescent="0.3">
      <c r="A6902" s="400"/>
      <c r="B6902" s="709">
        <v>103890</v>
      </c>
      <c r="C6902" s="710" t="s">
        <v>5784</v>
      </c>
      <c r="D6902" s="709" t="s">
        <v>136</v>
      </c>
      <c r="E6902" s="716">
        <v>724.19</v>
      </c>
      <c r="F6902" s="717">
        <v>0.98450000000000004</v>
      </c>
      <c r="G6902">
        <f>VLOOKUP(B6902,'SINAPI-%MO'!B:E,4,0)</f>
        <v>1.5299999999999999E-2</v>
      </c>
      <c r="H6902" s="225">
        <f t="shared" si="107"/>
        <v>713.1</v>
      </c>
    </row>
    <row r="6903" spans="1:8" x14ac:dyDescent="0.3">
      <c r="A6903" s="400"/>
      <c r="B6903" s="709">
        <v>103821</v>
      </c>
      <c r="C6903" s="710" t="s">
        <v>5785</v>
      </c>
      <c r="D6903" s="709" t="s">
        <v>136</v>
      </c>
      <c r="E6903" s="716">
        <v>729.21</v>
      </c>
      <c r="F6903" s="717">
        <v>0.97770000000000001</v>
      </c>
      <c r="G6903">
        <f>VLOOKUP(B6903,'SINAPI-%MO'!B:E,4,0)</f>
        <v>2.1899999999999999E-2</v>
      </c>
      <c r="H6903" s="225">
        <f t="shared" si="107"/>
        <v>713.24</v>
      </c>
    </row>
    <row r="6904" spans="1:8" x14ac:dyDescent="0.3">
      <c r="A6904" s="400"/>
      <c r="B6904" s="709">
        <v>103854</v>
      </c>
      <c r="C6904" s="710" t="s">
        <v>5786</v>
      </c>
      <c r="D6904" s="709" t="s">
        <v>136</v>
      </c>
      <c r="E6904" s="716">
        <v>724.85</v>
      </c>
      <c r="F6904" s="717">
        <v>0.98360000000000003</v>
      </c>
      <c r="G6904">
        <f>VLOOKUP(B6904,'SINAPI-%MO'!B:E,4,0)</f>
        <v>1.61E-2</v>
      </c>
      <c r="H6904" s="225">
        <f t="shared" si="107"/>
        <v>713.17</v>
      </c>
    </row>
    <row r="6905" spans="1:8" x14ac:dyDescent="0.3">
      <c r="A6905" s="400"/>
      <c r="B6905" s="709">
        <v>93109</v>
      </c>
      <c r="C6905" s="710" t="s">
        <v>5787</v>
      </c>
      <c r="D6905" s="709" t="s">
        <v>136</v>
      </c>
      <c r="E6905" s="716">
        <v>722.09</v>
      </c>
      <c r="F6905" s="717">
        <v>0.98729999999999996</v>
      </c>
      <c r="G6905">
        <f>VLOOKUP(B6905,'SINAPI-%MO'!B:E,4,0)</f>
        <v>1.24E-2</v>
      </c>
      <c r="H6905" s="225">
        <f t="shared" si="107"/>
        <v>713.13</v>
      </c>
    </row>
    <row r="6906" spans="1:8" x14ac:dyDescent="0.3">
      <c r="A6906" s="400"/>
      <c r="B6906" s="709">
        <v>93058</v>
      </c>
      <c r="C6906" s="710" t="s">
        <v>5788</v>
      </c>
      <c r="D6906" s="709" t="s">
        <v>136</v>
      </c>
      <c r="E6906" s="716">
        <v>788.06</v>
      </c>
      <c r="F6906" s="717">
        <v>0.99429999999999996</v>
      </c>
      <c r="G6906">
        <f>VLOOKUP(B6906,'SINAPI-%MO'!B:E,4,0)</f>
        <v>5.5999999999999999E-3</v>
      </c>
      <c r="H6906" s="225">
        <f t="shared" si="107"/>
        <v>783.64</v>
      </c>
    </row>
    <row r="6907" spans="1:8" x14ac:dyDescent="0.3">
      <c r="A6907" s="400"/>
      <c r="B6907" s="709">
        <v>93092</v>
      </c>
      <c r="C6907" s="710" t="s">
        <v>5789</v>
      </c>
      <c r="D6907" s="709" t="s">
        <v>136</v>
      </c>
      <c r="E6907" s="716">
        <v>791.05</v>
      </c>
      <c r="F6907" s="717">
        <v>0.99050000000000005</v>
      </c>
      <c r="G6907">
        <f>VLOOKUP(B6907,'SINAPI-%MO'!B:E,4,0)</f>
        <v>9.2999999999999992E-3</v>
      </c>
      <c r="H6907" s="225">
        <f t="shared" si="107"/>
        <v>783.69</v>
      </c>
    </row>
    <row r="6908" spans="1:8" x14ac:dyDescent="0.3">
      <c r="A6908" s="400"/>
      <c r="B6908" s="709">
        <v>103898</v>
      </c>
      <c r="C6908" s="710" t="s">
        <v>5790</v>
      </c>
      <c r="D6908" s="709" t="s">
        <v>136</v>
      </c>
      <c r="E6908" s="716">
        <v>796.28</v>
      </c>
      <c r="F6908" s="717">
        <v>0.98399999999999999</v>
      </c>
      <c r="G6908">
        <f>VLOOKUP(B6908,'SINAPI-%MO'!B:E,4,0)</f>
        <v>1.5800000000000002E-2</v>
      </c>
      <c r="H6908" s="225">
        <f t="shared" si="107"/>
        <v>783.69</v>
      </c>
    </row>
    <row r="6909" spans="1:8" x14ac:dyDescent="0.3">
      <c r="A6909" s="400"/>
      <c r="B6909" s="709">
        <v>103829</v>
      </c>
      <c r="C6909" s="710" t="s">
        <v>5791</v>
      </c>
      <c r="D6909" s="709" t="s">
        <v>136</v>
      </c>
      <c r="E6909" s="716">
        <v>804.97</v>
      </c>
      <c r="F6909" s="717">
        <v>0.97260000000000002</v>
      </c>
      <c r="G6909">
        <f>VLOOKUP(B6909,'SINAPI-%MO'!B:E,4,0)</f>
        <v>2.69E-2</v>
      </c>
      <c r="H6909" s="225">
        <f t="shared" si="107"/>
        <v>783.31</v>
      </c>
    </row>
    <row r="6910" spans="1:8" x14ac:dyDescent="0.3">
      <c r="A6910" s="400"/>
      <c r="B6910" s="709">
        <v>103862</v>
      </c>
      <c r="C6910" s="710" t="s">
        <v>5792</v>
      </c>
      <c r="D6910" s="709" t="s">
        <v>136</v>
      </c>
      <c r="E6910" s="716">
        <v>798</v>
      </c>
      <c r="F6910" s="717">
        <v>0.9819</v>
      </c>
      <c r="G6910">
        <f>VLOOKUP(B6910,'SINAPI-%MO'!B:E,4,0)</f>
        <v>1.77E-2</v>
      </c>
      <c r="H6910" s="225">
        <f t="shared" si="107"/>
        <v>783.87</v>
      </c>
    </row>
    <row r="6911" spans="1:8" x14ac:dyDescent="0.3">
      <c r="A6911" s="400"/>
      <c r="B6911" s="709">
        <v>93116</v>
      </c>
      <c r="C6911" s="710" t="s">
        <v>5793</v>
      </c>
      <c r="D6911" s="709" t="s">
        <v>136</v>
      </c>
      <c r="E6911" s="716">
        <v>795.35</v>
      </c>
      <c r="F6911" s="717">
        <v>0.98519999999999996</v>
      </c>
      <c r="G6911">
        <f>VLOOKUP(B6911,'SINAPI-%MO'!B:E,4,0)</f>
        <v>1.4500000000000001E-2</v>
      </c>
      <c r="H6911" s="225">
        <f t="shared" si="107"/>
        <v>783.81</v>
      </c>
    </row>
    <row r="6912" spans="1:8" x14ac:dyDescent="0.3">
      <c r="A6912" s="400"/>
      <c r="B6912" s="709">
        <v>92314</v>
      </c>
      <c r="C6912" s="710" t="s">
        <v>5794</v>
      </c>
      <c r="D6912" s="709" t="s">
        <v>136</v>
      </c>
      <c r="E6912" s="716">
        <v>10.95</v>
      </c>
      <c r="F6912" s="717">
        <v>0.46760000000000002</v>
      </c>
      <c r="G6912">
        <f>VLOOKUP(B6912,'SINAPI-%MO'!B:E,4,0)</f>
        <v>0.52239999999999998</v>
      </c>
      <c r="H6912" s="225">
        <f t="shared" si="107"/>
        <v>5.22</v>
      </c>
    </row>
    <row r="6913" spans="1:8" x14ac:dyDescent="0.3">
      <c r="A6913" s="400"/>
      <c r="B6913" s="709">
        <v>103883</v>
      </c>
      <c r="C6913" s="710" t="s">
        <v>5795</v>
      </c>
      <c r="D6913" s="709" t="s">
        <v>136</v>
      </c>
      <c r="E6913" s="716">
        <v>14.63</v>
      </c>
      <c r="F6913" s="717">
        <v>0.35</v>
      </c>
      <c r="G6913">
        <f>VLOOKUP(B6913,'SINAPI-%MO'!B:E,4,0)</f>
        <v>0.64180000000000004</v>
      </c>
      <c r="H6913" s="225">
        <f t="shared" si="107"/>
        <v>5.24</v>
      </c>
    </row>
    <row r="6914" spans="1:8" x14ac:dyDescent="0.3">
      <c r="A6914" s="400"/>
      <c r="B6914" s="709">
        <v>103814</v>
      </c>
      <c r="C6914" s="710" t="s">
        <v>5796</v>
      </c>
      <c r="D6914" s="709" t="s">
        <v>136</v>
      </c>
      <c r="E6914" s="716">
        <v>14.6</v>
      </c>
      <c r="F6914" s="717">
        <v>0.35070000000000001</v>
      </c>
      <c r="G6914">
        <f>VLOOKUP(B6914,'SINAPI-%MO'!B:E,4,0)</f>
        <v>0.63700000000000001</v>
      </c>
      <c r="H6914" s="225">
        <f t="shared" si="107"/>
        <v>5.29</v>
      </c>
    </row>
    <row r="6915" spans="1:8" x14ac:dyDescent="0.3">
      <c r="A6915" s="400"/>
      <c r="B6915" s="709">
        <v>103847</v>
      </c>
      <c r="C6915" s="710" t="s">
        <v>5797</v>
      </c>
      <c r="D6915" s="709" t="s">
        <v>136</v>
      </c>
      <c r="E6915" s="716">
        <v>14.04</v>
      </c>
      <c r="F6915" s="717">
        <v>0.36470000000000002</v>
      </c>
      <c r="G6915">
        <f>VLOOKUP(B6915,'SINAPI-%MO'!B:E,4,0)</f>
        <v>0.62319999999999998</v>
      </c>
      <c r="H6915" s="225">
        <f t="shared" si="107"/>
        <v>5.29</v>
      </c>
    </row>
    <row r="6916" spans="1:8" x14ac:dyDescent="0.3">
      <c r="A6916" s="400"/>
      <c r="B6916" s="709">
        <v>92329</v>
      </c>
      <c r="C6916" s="710" t="s">
        <v>5798</v>
      </c>
      <c r="D6916" s="709" t="s">
        <v>136</v>
      </c>
      <c r="E6916" s="716">
        <v>11.15</v>
      </c>
      <c r="F6916" s="717">
        <v>0.4592</v>
      </c>
      <c r="G6916">
        <f>VLOOKUP(B6916,'SINAPI-%MO'!B:E,4,0)</f>
        <v>0.53</v>
      </c>
      <c r="H6916" s="225">
        <f t="shared" si="107"/>
        <v>5.24</v>
      </c>
    </row>
    <row r="6917" spans="1:8" x14ac:dyDescent="0.3">
      <c r="A6917" s="400"/>
      <c r="B6917" s="709">
        <v>92293</v>
      </c>
      <c r="C6917" s="710" t="s">
        <v>5799</v>
      </c>
      <c r="D6917" s="709" t="s">
        <v>136</v>
      </c>
      <c r="E6917" s="716">
        <v>13.09</v>
      </c>
      <c r="F6917" s="717">
        <v>0.73340000000000005</v>
      </c>
      <c r="G6917">
        <f>VLOOKUP(B6917,'SINAPI-%MO'!B:E,4,0)</f>
        <v>0.25969999999999999</v>
      </c>
      <c r="H6917" s="225">
        <f t="shared" si="107"/>
        <v>9.69</v>
      </c>
    </row>
    <row r="6918" spans="1:8" x14ac:dyDescent="0.3">
      <c r="A6918" s="400"/>
      <c r="B6918" s="709">
        <v>92315</v>
      </c>
      <c r="C6918" s="710" t="s">
        <v>5800</v>
      </c>
      <c r="D6918" s="709" t="s">
        <v>136</v>
      </c>
      <c r="E6918" s="716">
        <v>16.329999999999998</v>
      </c>
      <c r="F6918" s="717">
        <v>0.58789999999999998</v>
      </c>
      <c r="G6918">
        <f>VLOOKUP(B6918,'SINAPI-%MO'!B:E,4,0)</f>
        <v>0.4042</v>
      </c>
      <c r="H6918" s="225">
        <f t="shared" si="107"/>
        <v>9.7200000000000006</v>
      </c>
    </row>
    <row r="6919" spans="1:8" x14ac:dyDescent="0.3">
      <c r="A6919" s="400"/>
      <c r="B6919" s="709">
        <v>103888</v>
      </c>
      <c r="C6919" s="710" t="s">
        <v>5801</v>
      </c>
      <c r="D6919" s="709" t="s">
        <v>136</v>
      </c>
      <c r="E6919" s="716">
        <v>20.84</v>
      </c>
      <c r="F6919" s="717">
        <v>0.4607</v>
      </c>
      <c r="G6919">
        <f>VLOOKUP(B6919,'SINAPI-%MO'!B:E,4,0)</f>
        <v>0.53210000000000002</v>
      </c>
      <c r="H6919" s="225">
        <f t="shared" si="107"/>
        <v>9.75</v>
      </c>
    </row>
    <row r="6920" spans="1:8" x14ac:dyDescent="0.3">
      <c r="A6920" s="400"/>
      <c r="B6920" s="709">
        <v>103819</v>
      </c>
      <c r="C6920" s="710" t="s">
        <v>5802</v>
      </c>
      <c r="D6920" s="709" t="s">
        <v>136</v>
      </c>
      <c r="E6920" s="716">
        <v>25.86</v>
      </c>
      <c r="F6920" s="717">
        <v>0.37119999999999997</v>
      </c>
      <c r="G6920">
        <f>VLOOKUP(B6920,'SINAPI-%MO'!B:E,4,0)</f>
        <v>0.61639999999999995</v>
      </c>
      <c r="H6920" s="225">
        <f t="shared" si="107"/>
        <v>9.91</v>
      </c>
    </row>
    <row r="6921" spans="1:8" x14ac:dyDescent="0.3">
      <c r="A6921" s="400"/>
      <c r="B6921" s="709">
        <v>103852</v>
      </c>
      <c r="C6921" s="710" t="s">
        <v>5803</v>
      </c>
      <c r="D6921" s="709" t="s">
        <v>136</v>
      </c>
      <c r="E6921" s="716">
        <v>21.5</v>
      </c>
      <c r="F6921" s="717">
        <v>0.44650000000000001</v>
      </c>
      <c r="G6921">
        <f>VLOOKUP(B6921,'SINAPI-%MO'!B:E,4,0)</f>
        <v>0.54279999999999995</v>
      </c>
      <c r="H6921" s="225">
        <f t="shared" si="107"/>
        <v>9.82</v>
      </c>
    </row>
    <row r="6922" spans="1:8" x14ac:dyDescent="0.3">
      <c r="A6922" s="400"/>
      <c r="B6922" s="709">
        <v>92330</v>
      </c>
      <c r="C6922" s="710" t="s">
        <v>5804</v>
      </c>
      <c r="D6922" s="709" t="s">
        <v>136</v>
      </c>
      <c r="E6922" s="716">
        <v>18.739999999999998</v>
      </c>
      <c r="F6922" s="717">
        <v>0.51229999999999998</v>
      </c>
      <c r="G6922">
        <f>VLOOKUP(B6922,'SINAPI-%MO'!B:E,4,0)</f>
        <v>0.47810000000000002</v>
      </c>
      <c r="H6922" s="225">
        <f t="shared" si="107"/>
        <v>9.7799999999999994</v>
      </c>
    </row>
    <row r="6923" spans="1:8" x14ac:dyDescent="0.3">
      <c r="A6923" s="400"/>
      <c r="B6923" s="709">
        <v>92294</v>
      </c>
      <c r="C6923" s="710" t="s">
        <v>5805</v>
      </c>
      <c r="D6923" s="709" t="s">
        <v>136</v>
      </c>
      <c r="E6923" s="716">
        <v>22.41</v>
      </c>
      <c r="F6923" s="717">
        <v>0.79920000000000002</v>
      </c>
      <c r="G6923">
        <f>VLOOKUP(B6923,'SINAPI-%MO'!B:E,4,0)</f>
        <v>0.19589999999999999</v>
      </c>
      <c r="H6923" s="225">
        <f t="shared" ref="H6923:H6986" si="108">IF(E6923&gt;0,TRUNC(E6923*(1-G6923),2),"")</f>
        <v>18.010000000000002</v>
      </c>
    </row>
    <row r="6924" spans="1:8" x14ac:dyDescent="0.3">
      <c r="A6924" s="400"/>
      <c r="B6924" s="709">
        <v>92316</v>
      </c>
      <c r="C6924" s="710" t="s">
        <v>5806</v>
      </c>
      <c r="D6924" s="709" t="s">
        <v>136</v>
      </c>
      <c r="E6924" s="716">
        <v>25.4</v>
      </c>
      <c r="F6924" s="717">
        <v>0.70509999999999995</v>
      </c>
      <c r="G6924">
        <f>VLOOKUP(B6924,'SINAPI-%MO'!B:E,4,0)</f>
        <v>0.28939999999999999</v>
      </c>
      <c r="H6924" s="225">
        <f t="shared" si="108"/>
        <v>18.04</v>
      </c>
    </row>
    <row r="6925" spans="1:8" x14ac:dyDescent="0.3">
      <c r="A6925" s="400"/>
      <c r="B6925" s="709">
        <v>103895</v>
      </c>
      <c r="C6925" s="710" t="s">
        <v>5807</v>
      </c>
      <c r="D6925" s="709" t="s">
        <v>136</v>
      </c>
      <c r="E6925" s="716">
        <v>30.63</v>
      </c>
      <c r="F6925" s="717">
        <v>0.5847</v>
      </c>
      <c r="G6925">
        <f>VLOOKUP(B6925,'SINAPI-%MO'!B:E,4,0)</f>
        <v>0.40970000000000001</v>
      </c>
      <c r="H6925" s="225">
        <f t="shared" si="108"/>
        <v>18.079999999999998</v>
      </c>
    </row>
    <row r="6926" spans="1:8" x14ac:dyDescent="0.3">
      <c r="A6926" s="400"/>
      <c r="B6926" s="709">
        <v>103826</v>
      </c>
      <c r="C6926" s="710" t="s">
        <v>5808</v>
      </c>
      <c r="D6926" s="709" t="s">
        <v>136</v>
      </c>
      <c r="E6926" s="716">
        <v>39.32</v>
      </c>
      <c r="F6926" s="717">
        <v>0.4385</v>
      </c>
      <c r="G6926">
        <f>VLOOKUP(B6926,'SINAPI-%MO'!B:E,4,0)</f>
        <v>0.5504</v>
      </c>
      <c r="H6926" s="225">
        <f t="shared" si="108"/>
        <v>17.670000000000002</v>
      </c>
    </row>
    <row r="6927" spans="1:8" x14ac:dyDescent="0.3">
      <c r="A6927" s="400"/>
      <c r="B6927" s="709">
        <v>103859</v>
      </c>
      <c r="C6927" s="710" t="s">
        <v>5809</v>
      </c>
      <c r="D6927" s="709" t="s">
        <v>136</v>
      </c>
      <c r="E6927" s="716">
        <v>32.35</v>
      </c>
      <c r="F6927" s="717">
        <v>0.55359999999999998</v>
      </c>
      <c r="G6927">
        <f>VLOOKUP(B6927,'SINAPI-%MO'!B:E,4,0)</f>
        <v>0.43769999999999998</v>
      </c>
      <c r="H6927" s="225">
        <f t="shared" si="108"/>
        <v>18.190000000000001</v>
      </c>
    </row>
    <row r="6928" spans="1:8" x14ac:dyDescent="0.3">
      <c r="A6928" s="400"/>
      <c r="B6928" s="709">
        <v>92331</v>
      </c>
      <c r="C6928" s="710" t="s">
        <v>5810</v>
      </c>
      <c r="D6928" s="709" t="s">
        <v>136</v>
      </c>
      <c r="E6928" s="716">
        <v>29.7</v>
      </c>
      <c r="F6928" s="717">
        <v>0.60299999999999998</v>
      </c>
      <c r="G6928">
        <f>VLOOKUP(B6928,'SINAPI-%MO'!B:E,4,0)</f>
        <v>0.38919999999999999</v>
      </c>
      <c r="H6928" s="225">
        <f t="shared" si="108"/>
        <v>18.14</v>
      </c>
    </row>
    <row r="6929" spans="1:8" x14ac:dyDescent="0.3">
      <c r="A6929" s="400"/>
      <c r="B6929" s="709">
        <v>92295</v>
      </c>
      <c r="C6929" s="710" t="s">
        <v>5811</v>
      </c>
      <c r="D6929" s="709" t="s">
        <v>136</v>
      </c>
      <c r="E6929" s="716">
        <v>42.85</v>
      </c>
      <c r="F6929" s="717">
        <v>0.86719999999999997</v>
      </c>
      <c r="G6929">
        <f>VLOOKUP(B6929,'SINAPI-%MO'!B:E,4,0)</f>
        <v>0.1293</v>
      </c>
      <c r="H6929" s="225">
        <f t="shared" si="108"/>
        <v>37.299999999999997</v>
      </c>
    </row>
    <row r="6930" spans="1:8" x14ac:dyDescent="0.3">
      <c r="A6930" s="400"/>
      <c r="B6930" s="709">
        <v>92296</v>
      </c>
      <c r="C6930" s="710" t="s">
        <v>5812</v>
      </c>
      <c r="D6930" s="709" t="s">
        <v>136</v>
      </c>
      <c r="E6930" s="716">
        <v>56.92</v>
      </c>
      <c r="F6930" s="717">
        <v>0.87909999999999999</v>
      </c>
      <c r="G6930">
        <f>VLOOKUP(B6930,'SINAPI-%MO'!B:E,4,0)</f>
        <v>0.1177</v>
      </c>
      <c r="H6930" s="225">
        <f t="shared" si="108"/>
        <v>50.22</v>
      </c>
    </row>
    <row r="6931" spans="1:8" x14ac:dyDescent="0.3">
      <c r="A6931" s="400"/>
      <c r="B6931" s="709">
        <v>92297</v>
      </c>
      <c r="C6931" s="710" t="s">
        <v>5813</v>
      </c>
      <c r="D6931" s="709" t="s">
        <v>136</v>
      </c>
      <c r="E6931" s="716">
        <v>88.66</v>
      </c>
      <c r="F6931" s="717">
        <v>0.89949999999999997</v>
      </c>
      <c r="G6931">
        <f>VLOOKUP(B6931,'SINAPI-%MO'!B:E,4,0)</f>
        <v>9.7900000000000001E-2</v>
      </c>
      <c r="H6931" s="225">
        <f t="shared" si="108"/>
        <v>79.98</v>
      </c>
    </row>
    <row r="6932" spans="1:8" x14ac:dyDescent="0.3">
      <c r="A6932" s="400"/>
      <c r="B6932" s="709">
        <v>92298</v>
      </c>
      <c r="C6932" s="710" t="s">
        <v>5814</v>
      </c>
      <c r="D6932" s="709" t="s">
        <v>136</v>
      </c>
      <c r="E6932" s="716">
        <v>251.89</v>
      </c>
      <c r="F6932" s="717">
        <v>0.95660000000000001</v>
      </c>
      <c r="G6932">
        <f>VLOOKUP(B6932,'SINAPI-%MO'!B:E,4,0)</f>
        <v>4.2299999999999997E-2</v>
      </c>
      <c r="H6932" s="225">
        <f t="shared" si="108"/>
        <v>241.23</v>
      </c>
    </row>
    <row r="6933" spans="1:8" x14ac:dyDescent="0.3">
      <c r="A6933" s="400"/>
      <c r="B6933" s="709">
        <v>93080</v>
      </c>
      <c r="C6933" s="710" t="s">
        <v>5815</v>
      </c>
      <c r="D6933" s="709" t="s">
        <v>136</v>
      </c>
      <c r="E6933" s="716">
        <v>11</v>
      </c>
      <c r="F6933" s="717">
        <v>0.47</v>
      </c>
      <c r="G6933">
        <f>VLOOKUP(B6933,'SINAPI-%MO'!B:E,4,0)</f>
        <v>0.52</v>
      </c>
      <c r="H6933" s="225">
        <f t="shared" si="108"/>
        <v>5.28</v>
      </c>
    </row>
    <row r="6934" spans="1:8" x14ac:dyDescent="0.3">
      <c r="A6934" s="400"/>
      <c r="B6934" s="709">
        <v>103884</v>
      </c>
      <c r="C6934" s="710" t="s">
        <v>5816</v>
      </c>
      <c r="D6934" s="709" t="s">
        <v>136</v>
      </c>
      <c r="E6934" s="716">
        <v>14.68</v>
      </c>
      <c r="F6934" s="717">
        <v>0.35220000000000001</v>
      </c>
      <c r="G6934">
        <f>VLOOKUP(B6934,'SINAPI-%MO'!B:E,4,0)</f>
        <v>0.63959999999999995</v>
      </c>
      <c r="H6934" s="225">
        <f t="shared" si="108"/>
        <v>5.29</v>
      </c>
    </row>
    <row r="6935" spans="1:8" x14ac:dyDescent="0.3">
      <c r="A6935" s="400"/>
      <c r="B6935" s="709">
        <v>103815</v>
      </c>
      <c r="C6935" s="710" t="s">
        <v>5817</v>
      </c>
      <c r="D6935" s="709" t="s">
        <v>136</v>
      </c>
      <c r="E6935" s="716">
        <v>14.65</v>
      </c>
      <c r="F6935" s="717">
        <v>0.35289999999999999</v>
      </c>
      <c r="G6935">
        <f>VLOOKUP(B6935,'SINAPI-%MO'!B:E,4,0)</f>
        <v>0.63480000000000003</v>
      </c>
      <c r="H6935" s="225">
        <f t="shared" si="108"/>
        <v>5.35</v>
      </c>
    </row>
    <row r="6936" spans="1:8" x14ac:dyDescent="0.3">
      <c r="A6936" s="400"/>
      <c r="B6936" s="709">
        <v>103848</v>
      </c>
      <c r="C6936" s="710" t="s">
        <v>5818</v>
      </c>
      <c r="D6936" s="709" t="s">
        <v>136</v>
      </c>
      <c r="E6936" s="716">
        <v>14.09</v>
      </c>
      <c r="F6936" s="717">
        <v>0.3669</v>
      </c>
      <c r="G6936">
        <f>VLOOKUP(B6936,'SINAPI-%MO'!B:E,4,0)</f>
        <v>0.621</v>
      </c>
      <c r="H6936" s="225">
        <f t="shared" si="108"/>
        <v>5.34</v>
      </c>
    </row>
    <row r="6937" spans="1:8" x14ac:dyDescent="0.3">
      <c r="A6937" s="400"/>
      <c r="B6937" s="709">
        <v>93103</v>
      </c>
      <c r="C6937" s="710" t="s">
        <v>5819</v>
      </c>
      <c r="D6937" s="709" t="s">
        <v>136</v>
      </c>
      <c r="E6937" s="716">
        <v>11.2</v>
      </c>
      <c r="F6937" s="717">
        <v>0.46160000000000001</v>
      </c>
      <c r="G6937">
        <f>VLOOKUP(B6937,'SINAPI-%MO'!B:E,4,0)</f>
        <v>0.52769999999999995</v>
      </c>
      <c r="H6937" s="225">
        <f t="shared" si="108"/>
        <v>5.28</v>
      </c>
    </row>
    <row r="6938" spans="1:8" x14ac:dyDescent="0.3">
      <c r="A6938" s="400"/>
      <c r="B6938" s="709">
        <v>93050</v>
      </c>
      <c r="C6938" s="710" t="s">
        <v>5820</v>
      </c>
      <c r="D6938" s="709" t="s">
        <v>136</v>
      </c>
      <c r="E6938" s="716">
        <v>14.91</v>
      </c>
      <c r="F6938" s="717">
        <v>0.76590000000000003</v>
      </c>
      <c r="G6938">
        <f>VLOOKUP(B6938,'SINAPI-%MO'!B:E,4,0)</f>
        <v>0.22800000000000001</v>
      </c>
      <c r="H6938" s="225">
        <f t="shared" si="108"/>
        <v>11.51</v>
      </c>
    </row>
    <row r="6939" spans="1:8" x14ac:dyDescent="0.3">
      <c r="A6939" s="400"/>
      <c r="B6939" s="709">
        <v>93084</v>
      </c>
      <c r="C6939" s="710" t="s">
        <v>5821</v>
      </c>
      <c r="D6939" s="709" t="s">
        <v>136</v>
      </c>
      <c r="E6939" s="716">
        <v>18.149999999999999</v>
      </c>
      <c r="F6939" s="717">
        <v>0.62919999999999998</v>
      </c>
      <c r="G6939">
        <f>VLOOKUP(B6939,'SINAPI-%MO'!B:E,4,0)</f>
        <v>0.36359999999999998</v>
      </c>
      <c r="H6939" s="225">
        <f t="shared" si="108"/>
        <v>11.55</v>
      </c>
    </row>
    <row r="6940" spans="1:8" x14ac:dyDescent="0.3">
      <c r="A6940" s="400"/>
      <c r="B6940" s="709">
        <v>103889</v>
      </c>
      <c r="C6940" s="710" t="s">
        <v>5822</v>
      </c>
      <c r="D6940" s="709" t="s">
        <v>136</v>
      </c>
      <c r="E6940" s="716">
        <v>22.66</v>
      </c>
      <c r="F6940" s="717">
        <v>0.504</v>
      </c>
      <c r="G6940">
        <f>VLOOKUP(B6940,'SINAPI-%MO'!B:E,4,0)</f>
        <v>0.4894</v>
      </c>
      <c r="H6940" s="225">
        <f t="shared" si="108"/>
        <v>11.57</v>
      </c>
    </row>
    <row r="6941" spans="1:8" x14ac:dyDescent="0.3">
      <c r="A6941" s="400"/>
      <c r="B6941" s="709">
        <v>103820</v>
      </c>
      <c r="C6941" s="710" t="s">
        <v>5823</v>
      </c>
      <c r="D6941" s="709" t="s">
        <v>136</v>
      </c>
      <c r="E6941" s="716">
        <v>27.68</v>
      </c>
      <c r="F6941" s="717">
        <v>0.41260000000000002</v>
      </c>
      <c r="G6941">
        <f>VLOOKUP(B6941,'SINAPI-%MO'!B:E,4,0)</f>
        <v>0.57589999999999997</v>
      </c>
      <c r="H6941" s="225">
        <f t="shared" si="108"/>
        <v>11.73</v>
      </c>
    </row>
    <row r="6942" spans="1:8" x14ac:dyDescent="0.3">
      <c r="A6942" s="400"/>
      <c r="B6942" s="709">
        <v>103853</v>
      </c>
      <c r="C6942" s="710" t="s">
        <v>5824</v>
      </c>
      <c r="D6942" s="709" t="s">
        <v>136</v>
      </c>
      <c r="E6942" s="716">
        <v>23.32</v>
      </c>
      <c r="F6942" s="717">
        <v>0.48970000000000002</v>
      </c>
      <c r="G6942">
        <f>VLOOKUP(B6942,'SINAPI-%MO'!B:E,4,0)</f>
        <v>0.50039999999999996</v>
      </c>
      <c r="H6942" s="225">
        <f t="shared" si="108"/>
        <v>11.65</v>
      </c>
    </row>
    <row r="6943" spans="1:8" x14ac:dyDescent="0.3">
      <c r="A6943" s="400"/>
      <c r="B6943" s="709">
        <v>93107</v>
      </c>
      <c r="C6943" s="710" t="s">
        <v>5825</v>
      </c>
      <c r="D6943" s="709" t="s">
        <v>136</v>
      </c>
      <c r="E6943" s="716">
        <v>20.56</v>
      </c>
      <c r="F6943" s="717">
        <v>0.5554</v>
      </c>
      <c r="G6943">
        <f>VLOOKUP(B6943,'SINAPI-%MO'!B:E,4,0)</f>
        <v>0.43580000000000002</v>
      </c>
      <c r="H6943" s="225">
        <f t="shared" si="108"/>
        <v>11.59</v>
      </c>
    </row>
    <row r="6944" spans="1:8" x14ac:dyDescent="0.3">
      <c r="A6944" s="400"/>
      <c r="B6944" s="709">
        <v>93056</v>
      </c>
      <c r="C6944" s="710" t="s">
        <v>5826</v>
      </c>
      <c r="D6944" s="709" t="s">
        <v>136</v>
      </c>
      <c r="E6944" s="716">
        <v>22.41</v>
      </c>
      <c r="F6944" s="717">
        <v>0.79920000000000002</v>
      </c>
      <c r="G6944">
        <f>VLOOKUP(B6944,'SINAPI-%MO'!B:E,4,0)</f>
        <v>0.19589999999999999</v>
      </c>
      <c r="H6944" s="225">
        <f t="shared" si="108"/>
        <v>18.010000000000002</v>
      </c>
    </row>
    <row r="6945" spans="1:8" x14ac:dyDescent="0.3">
      <c r="A6945" s="400"/>
      <c r="B6945" s="709">
        <v>93090</v>
      </c>
      <c r="C6945" s="710" t="s">
        <v>5827</v>
      </c>
      <c r="D6945" s="709" t="s">
        <v>136</v>
      </c>
      <c r="E6945" s="716">
        <v>25.4</v>
      </c>
      <c r="F6945" s="717">
        <v>0.70509999999999995</v>
      </c>
      <c r="G6945">
        <f>VLOOKUP(B6945,'SINAPI-%MO'!B:E,4,0)</f>
        <v>0.28939999999999999</v>
      </c>
      <c r="H6945" s="225">
        <f t="shared" si="108"/>
        <v>18.04</v>
      </c>
    </row>
    <row r="6946" spans="1:8" x14ac:dyDescent="0.3">
      <c r="A6946" s="400"/>
      <c r="B6946" s="709">
        <v>103896</v>
      </c>
      <c r="C6946" s="710" t="s">
        <v>5828</v>
      </c>
      <c r="D6946" s="709" t="s">
        <v>136</v>
      </c>
      <c r="E6946" s="716">
        <v>30.63</v>
      </c>
      <c r="F6946" s="717">
        <v>0.5847</v>
      </c>
      <c r="G6946">
        <f>VLOOKUP(B6946,'SINAPI-%MO'!B:E,4,0)</f>
        <v>0.40970000000000001</v>
      </c>
      <c r="H6946" s="225">
        <f t="shared" si="108"/>
        <v>18.079999999999998</v>
      </c>
    </row>
    <row r="6947" spans="1:8" x14ac:dyDescent="0.3">
      <c r="A6947" s="400"/>
      <c r="B6947" s="709">
        <v>103827</v>
      </c>
      <c r="C6947" s="710" t="s">
        <v>5829</v>
      </c>
      <c r="D6947" s="709" t="s">
        <v>136</v>
      </c>
      <c r="E6947" s="716">
        <v>39.32</v>
      </c>
      <c r="F6947" s="717">
        <v>0.4385</v>
      </c>
      <c r="G6947">
        <f>VLOOKUP(B6947,'SINAPI-%MO'!B:E,4,0)</f>
        <v>0.5504</v>
      </c>
      <c r="H6947" s="225">
        <f t="shared" si="108"/>
        <v>17.670000000000002</v>
      </c>
    </row>
    <row r="6948" spans="1:8" x14ac:dyDescent="0.3">
      <c r="A6948" s="400"/>
      <c r="B6948" s="709">
        <v>103860</v>
      </c>
      <c r="C6948" s="710" t="s">
        <v>5830</v>
      </c>
      <c r="D6948" s="709" t="s">
        <v>136</v>
      </c>
      <c r="E6948" s="716">
        <v>32.35</v>
      </c>
      <c r="F6948" s="717">
        <v>0.55359999999999998</v>
      </c>
      <c r="G6948">
        <f>VLOOKUP(B6948,'SINAPI-%MO'!B:E,4,0)</f>
        <v>0.43769999999999998</v>
      </c>
      <c r="H6948" s="225">
        <f t="shared" si="108"/>
        <v>18.190000000000001</v>
      </c>
    </row>
    <row r="6949" spans="1:8" x14ac:dyDescent="0.3">
      <c r="A6949" s="400"/>
      <c r="B6949" s="709">
        <v>93113</v>
      </c>
      <c r="C6949" s="710" t="s">
        <v>5831</v>
      </c>
      <c r="D6949" s="709" t="s">
        <v>136</v>
      </c>
      <c r="E6949" s="716">
        <v>29.7</v>
      </c>
      <c r="F6949" s="717">
        <v>0.60299999999999998</v>
      </c>
      <c r="G6949">
        <f>VLOOKUP(B6949,'SINAPI-%MO'!B:E,4,0)</f>
        <v>0.38919999999999999</v>
      </c>
      <c r="H6949" s="225">
        <f t="shared" si="108"/>
        <v>18.14</v>
      </c>
    </row>
    <row r="6950" spans="1:8" x14ac:dyDescent="0.3">
      <c r="A6950" s="400"/>
      <c r="B6950" s="709">
        <v>93061</v>
      </c>
      <c r="C6950" s="710" t="s">
        <v>5832</v>
      </c>
      <c r="D6950" s="709" t="s">
        <v>136</v>
      </c>
      <c r="E6950" s="716">
        <v>43.03</v>
      </c>
      <c r="F6950" s="717">
        <v>0.86780000000000002</v>
      </c>
      <c r="G6950">
        <f>VLOOKUP(B6950,'SINAPI-%MO'!B:E,4,0)</f>
        <v>0.12870000000000001</v>
      </c>
      <c r="H6950" s="225">
        <f t="shared" si="108"/>
        <v>37.49</v>
      </c>
    </row>
    <row r="6951" spans="1:8" x14ac:dyDescent="0.3">
      <c r="A6951" s="400"/>
      <c r="B6951" s="709">
        <v>93064</v>
      </c>
      <c r="C6951" s="710" t="s">
        <v>5833</v>
      </c>
      <c r="D6951" s="709" t="s">
        <v>136</v>
      </c>
      <c r="E6951" s="716">
        <v>66.38</v>
      </c>
      <c r="F6951" s="717">
        <v>0.89639999999999997</v>
      </c>
      <c r="G6951">
        <f>VLOOKUP(B6951,'SINAPI-%MO'!B:E,4,0)</f>
        <v>0.1009</v>
      </c>
      <c r="H6951" s="225">
        <f t="shared" si="108"/>
        <v>59.68</v>
      </c>
    </row>
    <row r="6952" spans="1:8" x14ac:dyDescent="0.3">
      <c r="A6952" s="400"/>
      <c r="B6952" s="709">
        <v>93067</v>
      </c>
      <c r="C6952" s="710" t="s">
        <v>5834</v>
      </c>
      <c r="D6952" s="709" t="s">
        <v>136</v>
      </c>
      <c r="E6952" s="716">
        <v>98.97</v>
      </c>
      <c r="F6952" s="717">
        <v>0.91</v>
      </c>
      <c r="G6952">
        <f>VLOOKUP(B6952,'SINAPI-%MO'!B:E,4,0)</f>
        <v>8.77E-2</v>
      </c>
      <c r="H6952" s="225">
        <f t="shared" si="108"/>
        <v>90.29</v>
      </c>
    </row>
    <row r="6953" spans="1:8" x14ac:dyDescent="0.3">
      <c r="A6953" s="400"/>
      <c r="B6953" s="709">
        <v>93070</v>
      </c>
      <c r="C6953" s="710" t="s">
        <v>5835</v>
      </c>
      <c r="D6953" s="709" t="s">
        <v>136</v>
      </c>
      <c r="E6953" s="716">
        <v>251.89</v>
      </c>
      <c r="F6953" s="717">
        <v>0.95660000000000001</v>
      </c>
      <c r="G6953">
        <f>VLOOKUP(B6953,'SINAPI-%MO'!B:E,4,0)</f>
        <v>4.2299999999999997E-2</v>
      </c>
      <c r="H6953" s="225">
        <f t="shared" si="108"/>
        <v>241.23</v>
      </c>
    </row>
    <row r="6954" spans="1:8" x14ac:dyDescent="0.3">
      <c r="A6954" s="400"/>
      <c r="B6954" s="709">
        <v>93117</v>
      </c>
      <c r="C6954" s="710" t="s">
        <v>5836</v>
      </c>
      <c r="D6954" s="709" t="s">
        <v>136</v>
      </c>
      <c r="E6954" s="716">
        <v>78.64</v>
      </c>
      <c r="F6954" s="717">
        <v>0.89480000000000004</v>
      </c>
      <c r="G6954">
        <f>VLOOKUP(B6954,'SINAPI-%MO'!B:E,4,0)</f>
        <v>0.1027</v>
      </c>
      <c r="H6954" s="225">
        <f t="shared" si="108"/>
        <v>70.56</v>
      </c>
    </row>
    <row r="6955" spans="1:8" x14ac:dyDescent="0.3">
      <c r="A6955" s="400"/>
      <c r="B6955" s="709">
        <v>93118</v>
      </c>
      <c r="C6955" s="710" t="s">
        <v>5837</v>
      </c>
      <c r="D6955" s="709" t="s">
        <v>136</v>
      </c>
      <c r="E6955" s="716">
        <v>115.84</v>
      </c>
      <c r="F6955" s="717">
        <v>0.89170000000000005</v>
      </c>
      <c r="G6955">
        <f>VLOOKUP(B6955,'SINAPI-%MO'!B:E,4,0)</f>
        <v>0.1061</v>
      </c>
      <c r="H6955" s="225">
        <f t="shared" si="108"/>
        <v>103.54</v>
      </c>
    </row>
    <row r="6956" spans="1:8" x14ac:dyDescent="0.3">
      <c r="A6956" s="400"/>
      <c r="B6956" s="709">
        <v>92317</v>
      </c>
      <c r="C6956" s="710" t="s">
        <v>5838</v>
      </c>
      <c r="D6956" s="709" t="s">
        <v>136</v>
      </c>
      <c r="E6956" s="716">
        <v>23.04</v>
      </c>
      <c r="F6956" s="717">
        <v>0.49569999999999997</v>
      </c>
      <c r="G6956">
        <f>VLOOKUP(B6956,'SINAPI-%MO'!B:E,4,0)</f>
        <v>0.497</v>
      </c>
      <c r="H6956" s="225">
        <f t="shared" si="108"/>
        <v>11.58</v>
      </c>
    </row>
    <row r="6957" spans="1:8" x14ac:dyDescent="0.3">
      <c r="A6957" s="400"/>
      <c r="B6957" s="709">
        <v>92332</v>
      </c>
      <c r="C6957" s="710" t="s">
        <v>5839</v>
      </c>
      <c r="D6957" s="709" t="s">
        <v>136</v>
      </c>
      <c r="E6957" s="716">
        <v>23.44</v>
      </c>
      <c r="F6957" s="717">
        <v>0.48720000000000002</v>
      </c>
      <c r="G6957">
        <f>VLOOKUP(B6957,'SINAPI-%MO'!B:E,4,0)</f>
        <v>0.50509999999999999</v>
      </c>
      <c r="H6957" s="225">
        <f t="shared" si="108"/>
        <v>11.6</v>
      </c>
    </row>
    <row r="6958" spans="1:8" x14ac:dyDescent="0.3">
      <c r="A6958" s="400"/>
      <c r="B6958" s="709">
        <v>92299</v>
      </c>
      <c r="C6958" s="710" t="s">
        <v>5840</v>
      </c>
      <c r="D6958" s="709" t="s">
        <v>136</v>
      </c>
      <c r="E6958" s="716">
        <v>30.55</v>
      </c>
      <c r="F6958" s="717">
        <v>0.77280000000000004</v>
      </c>
      <c r="G6958">
        <f>VLOOKUP(B6958,'SINAPI-%MO'!B:E,4,0)</f>
        <v>0.22289999999999999</v>
      </c>
      <c r="H6958" s="225">
        <f t="shared" si="108"/>
        <v>23.74</v>
      </c>
    </row>
    <row r="6959" spans="1:8" x14ac:dyDescent="0.3">
      <c r="A6959" s="400"/>
      <c r="B6959" s="709">
        <v>92318</v>
      </c>
      <c r="C6959" s="710" t="s">
        <v>5841</v>
      </c>
      <c r="D6959" s="709" t="s">
        <v>136</v>
      </c>
      <c r="E6959" s="716">
        <v>37.020000000000003</v>
      </c>
      <c r="F6959" s="717">
        <v>0.63780000000000003</v>
      </c>
      <c r="G6959">
        <f>VLOOKUP(B6959,'SINAPI-%MO'!B:E,4,0)</f>
        <v>0.35680000000000001</v>
      </c>
      <c r="H6959" s="225">
        <f t="shared" si="108"/>
        <v>23.81</v>
      </c>
    </row>
    <row r="6960" spans="1:8" x14ac:dyDescent="0.3">
      <c r="A6960" s="400"/>
      <c r="B6960" s="709">
        <v>103833</v>
      </c>
      <c r="C6960" s="710" t="s">
        <v>5842</v>
      </c>
      <c r="D6960" s="709" t="s">
        <v>136</v>
      </c>
      <c r="E6960" s="716">
        <v>55.99</v>
      </c>
      <c r="F6960" s="717">
        <v>0.42170000000000002</v>
      </c>
      <c r="G6960">
        <f>VLOOKUP(B6960,'SINAPI-%MO'!B:E,4,0)</f>
        <v>0.56969999999999998</v>
      </c>
      <c r="H6960" s="225">
        <f t="shared" si="108"/>
        <v>24.09</v>
      </c>
    </row>
    <row r="6961" spans="1:8" x14ac:dyDescent="0.3">
      <c r="A6961" s="400"/>
      <c r="B6961" s="709">
        <v>92333</v>
      </c>
      <c r="C6961" s="710" t="s">
        <v>5843</v>
      </c>
      <c r="D6961" s="709" t="s">
        <v>136</v>
      </c>
      <c r="E6961" s="716">
        <v>41.8</v>
      </c>
      <c r="F6961" s="717">
        <v>0.56479999999999997</v>
      </c>
      <c r="G6961">
        <f>VLOOKUP(B6961,'SINAPI-%MO'!B:E,4,0)</f>
        <v>0.42870000000000003</v>
      </c>
      <c r="H6961" s="225">
        <f t="shared" si="108"/>
        <v>23.88</v>
      </c>
    </row>
    <row r="6962" spans="1:8" x14ac:dyDescent="0.3">
      <c r="A6962" s="400"/>
      <c r="B6962" s="709">
        <v>92300</v>
      </c>
      <c r="C6962" s="710" t="s">
        <v>5844</v>
      </c>
      <c r="D6962" s="709" t="s">
        <v>136</v>
      </c>
      <c r="E6962" s="716">
        <v>46.86</v>
      </c>
      <c r="F6962" s="717">
        <v>0.80879999999999996</v>
      </c>
      <c r="G6962">
        <f>VLOOKUP(B6962,'SINAPI-%MO'!B:E,4,0)</f>
        <v>0.18759999999999999</v>
      </c>
      <c r="H6962" s="225">
        <f t="shared" si="108"/>
        <v>38.06</v>
      </c>
    </row>
    <row r="6963" spans="1:8" x14ac:dyDescent="0.3">
      <c r="A6963" s="400"/>
      <c r="B6963" s="709">
        <v>92319</v>
      </c>
      <c r="C6963" s="710" t="s">
        <v>5845</v>
      </c>
      <c r="D6963" s="709" t="s">
        <v>136</v>
      </c>
      <c r="E6963" s="716">
        <v>52.83</v>
      </c>
      <c r="F6963" s="717">
        <v>0.71740000000000004</v>
      </c>
      <c r="G6963">
        <f>VLOOKUP(B6963,'SINAPI-%MO'!B:E,4,0)</f>
        <v>0.27839999999999998</v>
      </c>
      <c r="H6963" s="225">
        <f t="shared" si="108"/>
        <v>38.119999999999997</v>
      </c>
    </row>
    <row r="6964" spans="1:8" x14ac:dyDescent="0.3">
      <c r="A6964" s="400"/>
      <c r="B6964" s="709">
        <v>92334</v>
      </c>
      <c r="C6964" s="710" t="s">
        <v>5846</v>
      </c>
      <c r="D6964" s="709" t="s">
        <v>136</v>
      </c>
      <c r="E6964" s="716">
        <v>61.37</v>
      </c>
      <c r="F6964" s="717">
        <v>0.61760000000000004</v>
      </c>
      <c r="G6964">
        <f>VLOOKUP(B6964,'SINAPI-%MO'!B:E,4,0)</f>
        <v>0.37669999999999998</v>
      </c>
      <c r="H6964" s="225">
        <f t="shared" si="108"/>
        <v>38.25</v>
      </c>
    </row>
    <row r="6965" spans="1:8" x14ac:dyDescent="0.3">
      <c r="A6965" s="400"/>
      <c r="B6965" s="709">
        <v>92301</v>
      </c>
      <c r="C6965" s="710" t="s">
        <v>5847</v>
      </c>
      <c r="D6965" s="709" t="s">
        <v>136</v>
      </c>
      <c r="E6965" s="716">
        <v>94.06</v>
      </c>
      <c r="F6965" s="717">
        <v>0.87980000000000003</v>
      </c>
      <c r="G6965">
        <f>VLOOKUP(B6965,'SINAPI-%MO'!B:E,4,0)</f>
        <v>0.1179</v>
      </c>
      <c r="H6965" s="225">
        <f t="shared" si="108"/>
        <v>82.97</v>
      </c>
    </row>
    <row r="6966" spans="1:8" x14ac:dyDescent="0.3">
      <c r="A6966" s="400"/>
      <c r="B6966" s="709">
        <v>92302</v>
      </c>
      <c r="C6966" s="710" t="s">
        <v>5848</v>
      </c>
      <c r="D6966" s="709" t="s">
        <v>136</v>
      </c>
      <c r="E6966" s="716">
        <v>124.54</v>
      </c>
      <c r="F6966" s="717">
        <v>0.89019999999999999</v>
      </c>
      <c r="G6966">
        <f>VLOOKUP(B6966,'SINAPI-%MO'!B:E,4,0)</f>
        <v>0.1076</v>
      </c>
      <c r="H6966" s="225">
        <f t="shared" si="108"/>
        <v>111.13</v>
      </c>
    </row>
    <row r="6967" spans="1:8" x14ac:dyDescent="0.3">
      <c r="A6967" s="400"/>
      <c r="B6967" s="709">
        <v>92303</v>
      </c>
      <c r="C6967" s="710" t="s">
        <v>5849</v>
      </c>
      <c r="D6967" s="709" t="s">
        <v>136</v>
      </c>
      <c r="E6967" s="716">
        <v>230.07</v>
      </c>
      <c r="F6967" s="717">
        <v>0.92300000000000004</v>
      </c>
      <c r="G6967">
        <f>VLOOKUP(B6967,'SINAPI-%MO'!B:E,4,0)</f>
        <v>7.5499999999999998E-2</v>
      </c>
      <c r="H6967" s="225">
        <f t="shared" si="108"/>
        <v>212.69</v>
      </c>
    </row>
    <row r="6968" spans="1:8" x14ac:dyDescent="0.3">
      <c r="A6968" s="400"/>
      <c r="B6968" s="709">
        <v>92304</v>
      </c>
      <c r="C6968" s="710" t="s">
        <v>5850</v>
      </c>
      <c r="D6968" s="709" t="s">
        <v>136</v>
      </c>
      <c r="E6968" s="716">
        <v>602.12</v>
      </c>
      <c r="F6968" s="717">
        <v>0.96389999999999998</v>
      </c>
      <c r="G6968">
        <f>VLOOKUP(B6968,'SINAPI-%MO'!B:E,4,0)</f>
        <v>3.5400000000000001E-2</v>
      </c>
      <c r="H6968" s="225">
        <f t="shared" si="108"/>
        <v>580.79999999999995</v>
      </c>
    </row>
    <row r="6969" spans="1:8" x14ac:dyDescent="0.3">
      <c r="A6969" s="400"/>
      <c r="B6969" s="709">
        <v>103835</v>
      </c>
      <c r="C6969" s="710" t="s">
        <v>5851</v>
      </c>
      <c r="D6969" s="709" t="s">
        <v>159</v>
      </c>
      <c r="E6969" s="716">
        <v>83.7</v>
      </c>
      <c r="F6969" s="717">
        <v>0.8004</v>
      </c>
      <c r="G6969">
        <f>VLOOKUP(B6969,'SINAPI-%MO'!B:E,4,0)</f>
        <v>0.1996</v>
      </c>
      <c r="H6969" s="225">
        <f t="shared" si="108"/>
        <v>66.989999999999995</v>
      </c>
    </row>
    <row r="6970" spans="1:8" x14ac:dyDescent="0.3">
      <c r="A6970" s="400"/>
      <c r="B6970" s="709">
        <v>92308</v>
      </c>
      <c r="C6970" s="710" t="s">
        <v>5852</v>
      </c>
      <c r="D6970" s="709" t="s">
        <v>159</v>
      </c>
      <c r="E6970" s="716">
        <v>69.13</v>
      </c>
      <c r="F6970" s="717">
        <v>0.62590000000000001</v>
      </c>
      <c r="G6970">
        <f>VLOOKUP(B6970,'SINAPI-%MO'!B:E,4,0)</f>
        <v>0.17680000000000001</v>
      </c>
      <c r="H6970" s="225">
        <f t="shared" si="108"/>
        <v>56.9</v>
      </c>
    </row>
    <row r="6971" spans="1:8" x14ac:dyDescent="0.3">
      <c r="A6971" s="400"/>
      <c r="B6971" s="709">
        <v>103871</v>
      </c>
      <c r="C6971" s="710" t="s">
        <v>5853</v>
      </c>
      <c r="D6971" s="709" t="s">
        <v>159</v>
      </c>
      <c r="E6971" s="716">
        <v>79.849999999999994</v>
      </c>
      <c r="F6971" s="717">
        <v>0.54190000000000005</v>
      </c>
      <c r="G6971">
        <f>VLOOKUP(B6971,'SINAPI-%MO'!B:E,4,0)</f>
        <v>0.2873</v>
      </c>
      <c r="H6971" s="225">
        <f t="shared" si="108"/>
        <v>56.9</v>
      </c>
    </row>
    <row r="6972" spans="1:8" x14ac:dyDescent="0.3">
      <c r="A6972" s="400"/>
      <c r="B6972" s="709">
        <v>92323</v>
      </c>
      <c r="C6972" s="710" t="s">
        <v>5854</v>
      </c>
      <c r="D6972" s="709" t="s">
        <v>159</v>
      </c>
      <c r="E6972" s="716">
        <v>79.260000000000005</v>
      </c>
      <c r="F6972" s="717">
        <v>0.54590000000000005</v>
      </c>
      <c r="G6972">
        <f>VLOOKUP(B6972,'SINAPI-%MO'!B:E,4,0)</f>
        <v>0.28199999999999997</v>
      </c>
      <c r="H6972" s="225">
        <f t="shared" si="108"/>
        <v>56.9</v>
      </c>
    </row>
    <row r="6973" spans="1:8" x14ac:dyDescent="0.3">
      <c r="A6973" s="400"/>
      <c r="B6973" s="709">
        <v>92305</v>
      </c>
      <c r="C6973" s="710" t="s">
        <v>5855</v>
      </c>
      <c r="D6973" s="709" t="s">
        <v>159</v>
      </c>
      <c r="E6973" s="716">
        <v>51.07</v>
      </c>
      <c r="F6973" s="717">
        <v>0.84730000000000005</v>
      </c>
      <c r="G6973">
        <f>VLOOKUP(B6973,'SINAPI-%MO'!B:E,4,0)</f>
        <v>0.1527</v>
      </c>
      <c r="H6973" s="225">
        <f t="shared" si="108"/>
        <v>43.27</v>
      </c>
    </row>
    <row r="6974" spans="1:8" x14ac:dyDescent="0.3">
      <c r="A6974" s="400"/>
      <c r="B6974" s="709">
        <v>103868</v>
      </c>
      <c r="C6974" s="710" t="s">
        <v>5856</v>
      </c>
      <c r="D6974" s="709" t="s">
        <v>159</v>
      </c>
      <c r="E6974" s="716">
        <v>65.12</v>
      </c>
      <c r="F6974" s="717">
        <v>0.66449999999999998</v>
      </c>
      <c r="G6974">
        <f>VLOOKUP(B6974,'SINAPI-%MO'!B:E,4,0)</f>
        <v>0.33550000000000002</v>
      </c>
      <c r="H6974" s="225">
        <f t="shared" si="108"/>
        <v>43.27</v>
      </c>
    </row>
    <row r="6975" spans="1:8" x14ac:dyDescent="0.3">
      <c r="A6975" s="400"/>
      <c r="B6975" s="709">
        <v>103802</v>
      </c>
      <c r="C6975" s="710" t="s">
        <v>5857</v>
      </c>
      <c r="D6975" s="709" t="s">
        <v>159</v>
      </c>
      <c r="E6975" s="716">
        <v>53.63</v>
      </c>
      <c r="F6975" s="717">
        <v>0.80679999999999996</v>
      </c>
      <c r="G6975">
        <f>VLOOKUP(B6975,'SINAPI-%MO'!B:E,4,0)</f>
        <v>0.19320000000000001</v>
      </c>
      <c r="H6975" s="225">
        <f t="shared" si="108"/>
        <v>43.26</v>
      </c>
    </row>
    <row r="6976" spans="1:8" x14ac:dyDescent="0.3">
      <c r="A6976" s="400"/>
      <c r="B6976" s="709">
        <v>92320</v>
      </c>
      <c r="C6976" s="710" t="s">
        <v>5858</v>
      </c>
      <c r="D6976" s="709" t="s">
        <v>159</v>
      </c>
      <c r="E6976" s="716">
        <v>64.39</v>
      </c>
      <c r="F6976" s="717">
        <v>0.67200000000000004</v>
      </c>
      <c r="G6976">
        <f>VLOOKUP(B6976,'SINAPI-%MO'!B:E,4,0)</f>
        <v>0.32800000000000001</v>
      </c>
      <c r="H6976" s="225">
        <f t="shared" si="108"/>
        <v>43.27</v>
      </c>
    </row>
    <row r="6977" spans="1:8" x14ac:dyDescent="0.3">
      <c r="A6977" s="400"/>
      <c r="B6977" s="709">
        <v>97335</v>
      </c>
      <c r="C6977" s="710" t="s">
        <v>5859</v>
      </c>
      <c r="D6977" s="709" t="s">
        <v>159</v>
      </c>
      <c r="E6977" s="716">
        <v>110.91</v>
      </c>
      <c r="F6977" s="717">
        <v>0.97740000000000005</v>
      </c>
      <c r="G6977">
        <f>VLOOKUP(B6977,'SINAPI-%MO'!B:E,4,0)</f>
        <v>2.2599999999999999E-2</v>
      </c>
      <c r="H6977" s="225">
        <f t="shared" si="108"/>
        <v>108.4</v>
      </c>
    </row>
    <row r="6978" spans="1:8" x14ac:dyDescent="0.3">
      <c r="A6978" s="400"/>
      <c r="B6978" s="709">
        <v>103836</v>
      </c>
      <c r="C6978" s="710" t="s">
        <v>5860</v>
      </c>
      <c r="D6978" s="709" t="s">
        <v>159</v>
      </c>
      <c r="E6978" s="716">
        <v>130.68</v>
      </c>
      <c r="F6978" s="717">
        <v>0.82950000000000002</v>
      </c>
      <c r="G6978">
        <f>VLOOKUP(B6978,'SINAPI-%MO'!B:E,4,0)</f>
        <v>0.17050000000000001</v>
      </c>
      <c r="H6978" s="225">
        <f t="shared" si="108"/>
        <v>108.39</v>
      </c>
    </row>
    <row r="6979" spans="1:8" x14ac:dyDescent="0.3">
      <c r="A6979" s="400"/>
      <c r="B6979" s="709">
        <v>92281</v>
      </c>
      <c r="C6979" s="710" t="s">
        <v>5861</v>
      </c>
      <c r="D6979" s="709" t="s">
        <v>159</v>
      </c>
      <c r="E6979" s="716">
        <v>145.47</v>
      </c>
      <c r="F6979" s="717">
        <v>0.51170000000000004</v>
      </c>
      <c r="G6979">
        <f>VLOOKUP(B6979,'SINAPI-%MO'!B:E,4,0)</f>
        <v>2.5499999999999998E-2</v>
      </c>
      <c r="H6979" s="225">
        <f t="shared" si="108"/>
        <v>141.76</v>
      </c>
    </row>
    <row r="6980" spans="1:8" x14ac:dyDescent="0.3">
      <c r="A6980" s="400"/>
      <c r="B6980" s="709">
        <v>92309</v>
      </c>
      <c r="C6980" s="710" t="s">
        <v>5862</v>
      </c>
      <c r="D6980" s="709" t="s">
        <v>159</v>
      </c>
      <c r="E6980" s="716">
        <v>155.19</v>
      </c>
      <c r="F6980" s="717">
        <v>0.47960000000000003</v>
      </c>
      <c r="G6980">
        <f>VLOOKUP(B6980,'SINAPI-%MO'!B:E,4,0)</f>
        <v>8.6499999999999994E-2</v>
      </c>
      <c r="H6980" s="225">
        <f t="shared" si="108"/>
        <v>141.76</v>
      </c>
    </row>
    <row r="6981" spans="1:8" x14ac:dyDescent="0.3">
      <c r="A6981" s="400"/>
      <c r="B6981" s="709">
        <v>103872</v>
      </c>
      <c r="C6981" s="710" t="s">
        <v>5863</v>
      </c>
      <c r="D6981" s="709" t="s">
        <v>159</v>
      </c>
      <c r="E6981" s="716">
        <v>168.66</v>
      </c>
      <c r="F6981" s="717">
        <v>0.44130000000000003</v>
      </c>
      <c r="G6981">
        <f>VLOOKUP(B6981,'SINAPI-%MO'!B:E,4,0)</f>
        <v>0.1595</v>
      </c>
      <c r="H6981" s="225">
        <f t="shared" si="108"/>
        <v>141.75</v>
      </c>
    </row>
    <row r="6982" spans="1:8" x14ac:dyDescent="0.3">
      <c r="A6982" s="400"/>
      <c r="B6982" s="709">
        <v>92324</v>
      </c>
      <c r="C6982" s="710" t="s">
        <v>5864</v>
      </c>
      <c r="D6982" s="709" t="s">
        <v>159</v>
      </c>
      <c r="E6982" s="716">
        <v>174.93</v>
      </c>
      <c r="F6982" s="717">
        <v>0.42549999999999999</v>
      </c>
      <c r="G6982">
        <f>VLOOKUP(B6982,'SINAPI-%MO'!B:E,4,0)</f>
        <v>0.18959999999999999</v>
      </c>
      <c r="H6982" s="225">
        <f t="shared" si="108"/>
        <v>141.76</v>
      </c>
    </row>
    <row r="6983" spans="1:8" x14ac:dyDescent="0.3">
      <c r="A6983" s="400"/>
      <c r="B6983" s="709">
        <v>92275</v>
      </c>
      <c r="C6983" s="710" t="s">
        <v>5865</v>
      </c>
      <c r="D6983" s="709" t="s">
        <v>159</v>
      </c>
      <c r="E6983" s="716">
        <v>76.94</v>
      </c>
      <c r="F6983" s="717">
        <v>0.96740000000000004</v>
      </c>
      <c r="G6983">
        <f>VLOOKUP(B6983,'SINAPI-%MO'!B:E,4,0)</f>
        <v>3.2599999999999997E-2</v>
      </c>
      <c r="H6983" s="225">
        <f t="shared" si="108"/>
        <v>74.430000000000007</v>
      </c>
    </row>
    <row r="6984" spans="1:8" x14ac:dyDescent="0.3">
      <c r="A6984" s="400"/>
      <c r="B6984" s="709">
        <v>92306</v>
      </c>
      <c r="C6984" s="710" t="s">
        <v>5866</v>
      </c>
      <c r="D6984" s="709" t="s">
        <v>159</v>
      </c>
      <c r="E6984" s="716">
        <v>83.43</v>
      </c>
      <c r="F6984" s="717">
        <v>0.8921</v>
      </c>
      <c r="G6984">
        <f>VLOOKUP(B6984,'SINAPI-%MO'!B:E,4,0)</f>
        <v>0.1079</v>
      </c>
      <c r="H6984" s="225">
        <f t="shared" si="108"/>
        <v>74.42</v>
      </c>
    </row>
    <row r="6985" spans="1:8" x14ac:dyDescent="0.3">
      <c r="A6985" s="400"/>
      <c r="B6985" s="709">
        <v>103869</v>
      </c>
      <c r="C6985" s="710" t="s">
        <v>5867</v>
      </c>
      <c r="D6985" s="709" t="s">
        <v>159</v>
      </c>
      <c r="E6985" s="716">
        <v>100.23</v>
      </c>
      <c r="F6985" s="717">
        <v>0.74260000000000004</v>
      </c>
      <c r="G6985">
        <f>VLOOKUP(B6985,'SINAPI-%MO'!B:E,4,0)</f>
        <v>0.25740000000000002</v>
      </c>
      <c r="H6985" s="225">
        <f t="shared" si="108"/>
        <v>74.430000000000007</v>
      </c>
    </row>
    <row r="6986" spans="1:8" x14ac:dyDescent="0.3">
      <c r="A6986" s="400"/>
      <c r="B6986" s="709">
        <v>103803</v>
      </c>
      <c r="C6986" s="710" t="s">
        <v>5868</v>
      </c>
      <c r="D6986" s="709" t="s">
        <v>159</v>
      </c>
      <c r="E6986" s="716">
        <v>92.18</v>
      </c>
      <c r="F6986" s="717">
        <v>0.80740000000000001</v>
      </c>
      <c r="G6986">
        <f>VLOOKUP(B6986,'SINAPI-%MO'!B:E,4,0)</f>
        <v>0.19259999999999999</v>
      </c>
      <c r="H6986" s="225">
        <f t="shared" si="108"/>
        <v>74.42</v>
      </c>
    </row>
    <row r="6987" spans="1:8" x14ac:dyDescent="0.3">
      <c r="A6987" s="400"/>
      <c r="B6987" s="709">
        <v>92321</v>
      </c>
      <c r="C6987" s="710" t="s">
        <v>5869</v>
      </c>
      <c r="D6987" s="709" t="s">
        <v>159</v>
      </c>
      <c r="E6987" s="716">
        <v>106.38</v>
      </c>
      <c r="F6987" s="717">
        <v>0.69969999999999999</v>
      </c>
      <c r="G6987">
        <f>VLOOKUP(B6987,'SINAPI-%MO'!B:E,4,0)</f>
        <v>0.30030000000000001</v>
      </c>
      <c r="H6987" s="225">
        <f t="shared" ref="H6987:H7050" si="109">IF(E6987&gt;0,TRUNC(E6987*(1-G6987),2),"")</f>
        <v>74.430000000000007</v>
      </c>
    </row>
    <row r="6988" spans="1:8" x14ac:dyDescent="0.3">
      <c r="A6988" s="400"/>
      <c r="B6988" s="709">
        <v>97336</v>
      </c>
      <c r="C6988" s="710" t="s">
        <v>5870</v>
      </c>
      <c r="D6988" s="709" t="s">
        <v>159</v>
      </c>
      <c r="E6988" s="716">
        <v>141.15</v>
      </c>
      <c r="F6988" s="717">
        <v>0.97699999999999998</v>
      </c>
      <c r="G6988">
        <f>VLOOKUP(B6988,'SINAPI-%MO'!B:E,4,0)</f>
        <v>2.3E-2</v>
      </c>
      <c r="H6988" s="225">
        <f t="shared" si="109"/>
        <v>137.9</v>
      </c>
    </row>
    <row r="6989" spans="1:8" x14ac:dyDescent="0.3">
      <c r="A6989" s="400"/>
      <c r="B6989" s="709">
        <v>103837</v>
      </c>
      <c r="C6989" s="710" t="s">
        <v>5871</v>
      </c>
      <c r="D6989" s="709" t="s">
        <v>159</v>
      </c>
      <c r="E6989" s="716">
        <v>164.95</v>
      </c>
      <c r="F6989" s="717">
        <v>0.83599999999999997</v>
      </c>
      <c r="G6989">
        <f>VLOOKUP(B6989,'SINAPI-%MO'!B:E,4,0)</f>
        <v>0.16400000000000001</v>
      </c>
      <c r="H6989" s="225">
        <f t="shared" si="109"/>
        <v>137.88999999999999</v>
      </c>
    </row>
    <row r="6990" spans="1:8" x14ac:dyDescent="0.3">
      <c r="A6990" s="400"/>
      <c r="B6990" s="709">
        <v>92282</v>
      </c>
      <c r="C6990" s="710" t="s">
        <v>5872</v>
      </c>
      <c r="D6990" s="709" t="s">
        <v>159</v>
      </c>
      <c r="E6990" s="716">
        <v>169.01</v>
      </c>
      <c r="F6990" s="717">
        <v>0.55889999999999995</v>
      </c>
      <c r="G6990">
        <f>VLOOKUP(B6990,'SINAPI-%MO'!B:E,4,0)</f>
        <v>2.63E-2</v>
      </c>
      <c r="H6990" s="225">
        <f t="shared" si="109"/>
        <v>164.56</v>
      </c>
    </row>
    <row r="6991" spans="1:8" x14ac:dyDescent="0.3">
      <c r="A6991" s="400"/>
      <c r="B6991" s="709">
        <v>92310</v>
      </c>
      <c r="C6991" s="710" t="s">
        <v>5873</v>
      </c>
      <c r="D6991" s="709" t="s">
        <v>159</v>
      </c>
      <c r="E6991" s="716">
        <v>179.03</v>
      </c>
      <c r="F6991" s="717">
        <v>0.52759999999999996</v>
      </c>
      <c r="G6991">
        <f>VLOOKUP(B6991,'SINAPI-%MO'!B:E,4,0)</f>
        <v>8.0799999999999997E-2</v>
      </c>
      <c r="H6991" s="225">
        <f t="shared" si="109"/>
        <v>164.56</v>
      </c>
    </row>
    <row r="6992" spans="1:8" x14ac:dyDescent="0.3">
      <c r="A6992" s="400"/>
      <c r="B6992" s="709">
        <v>103873</v>
      </c>
      <c r="C6992" s="710" t="s">
        <v>5874</v>
      </c>
      <c r="D6992" s="709" t="s">
        <v>159</v>
      </c>
      <c r="E6992" s="716">
        <v>194.86</v>
      </c>
      <c r="F6992" s="717">
        <v>0.48480000000000001</v>
      </c>
      <c r="G6992">
        <f>VLOOKUP(B6992,'SINAPI-%MO'!B:E,4,0)</f>
        <v>0.15540000000000001</v>
      </c>
      <c r="H6992" s="225">
        <f t="shared" si="109"/>
        <v>164.57</v>
      </c>
    </row>
    <row r="6993" spans="1:8" x14ac:dyDescent="0.3">
      <c r="A6993" s="400"/>
      <c r="B6993" s="709">
        <v>92325</v>
      </c>
      <c r="C6993" s="710" t="s">
        <v>5875</v>
      </c>
      <c r="D6993" s="709" t="s">
        <v>159</v>
      </c>
      <c r="E6993" s="716">
        <v>207.02</v>
      </c>
      <c r="F6993" s="717">
        <v>0.45629999999999998</v>
      </c>
      <c r="G6993">
        <f>VLOOKUP(B6993,'SINAPI-%MO'!B:E,4,0)</f>
        <v>0.2051</v>
      </c>
      <c r="H6993" s="225">
        <f t="shared" si="109"/>
        <v>164.56</v>
      </c>
    </row>
    <row r="6994" spans="1:8" x14ac:dyDescent="0.3">
      <c r="A6994" s="400"/>
      <c r="B6994" s="709">
        <v>92276</v>
      </c>
      <c r="C6994" s="710" t="s">
        <v>5876</v>
      </c>
      <c r="D6994" s="709" t="s">
        <v>159</v>
      </c>
      <c r="E6994" s="716">
        <v>97.71</v>
      </c>
      <c r="F6994" s="717">
        <v>0.9667</v>
      </c>
      <c r="G6994">
        <f>VLOOKUP(B6994,'SINAPI-%MO'!B:E,4,0)</f>
        <v>3.3300000000000003E-2</v>
      </c>
      <c r="H6994" s="225">
        <f t="shared" si="109"/>
        <v>94.45</v>
      </c>
    </row>
    <row r="6995" spans="1:8" x14ac:dyDescent="0.3">
      <c r="A6995" s="400"/>
      <c r="B6995" s="709">
        <v>92307</v>
      </c>
      <c r="C6995" s="710" t="s">
        <v>5877</v>
      </c>
      <c r="D6995" s="709" t="s">
        <v>159</v>
      </c>
      <c r="E6995" s="716">
        <v>104.49</v>
      </c>
      <c r="F6995" s="717">
        <v>0.90400000000000003</v>
      </c>
      <c r="G6995">
        <f>VLOOKUP(B6995,'SINAPI-%MO'!B:E,4,0)</f>
        <v>9.6000000000000002E-2</v>
      </c>
      <c r="H6995" s="225">
        <f t="shared" si="109"/>
        <v>94.45</v>
      </c>
    </row>
    <row r="6996" spans="1:8" x14ac:dyDescent="0.3">
      <c r="A6996" s="400"/>
      <c r="B6996" s="709">
        <v>103870</v>
      </c>
      <c r="C6996" s="710" t="s">
        <v>5878</v>
      </c>
      <c r="D6996" s="709" t="s">
        <v>159</v>
      </c>
      <c r="E6996" s="716">
        <v>123.66</v>
      </c>
      <c r="F6996" s="717">
        <v>0.76390000000000002</v>
      </c>
      <c r="G6996">
        <f>VLOOKUP(B6996,'SINAPI-%MO'!B:E,4,0)</f>
        <v>0.2361</v>
      </c>
      <c r="H6996" s="225">
        <f t="shared" si="109"/>
        <v>94.46</v>
      </c>
    </row>
    <row r="6997" spans="1:8" x14ac:dyDescent="0.3">
      <c r="A6997" s="400"/>
      <c r="B6997" s="709">
        <v>103804</v>
      </c>
      <c r="C6997" s="710" t="s">
        <v>5879</v>
      </c>
      <c r="D6997" s="709" t="s">
        <v>159</v>
      </c>
      <c r="E6997" s="716">
        <v>112.21</v>
      </c>
      <c r="F6997" s="717">
        <v>0.84179999999999999</v>
      </c>
      <c r="G6997">
        <f>VLOOKUP(B6997,'SINAPI-%MO'!B:E,4,0)</f>
        <v>0.15820000000000001</v>
      </c>
      <c r="H6997" s="225">
        <f t="shared" si="109"/>
        <v>94.45</v>
      </c>
    </row>
    <row r="6998" spans="1:8" x14ac:dyDescent="0.3">
      <c r="A6998" s="400"/>
      <c r="B6998" s="709">
        <v>92322</v>
      </c>
      <c r="C6998" s="710" t="s">
        <v>5880</v>
      </c>
      <c r="D6998" s="709" t="s">
        <v>159</v>
      </c>
      <c r="E6998" s="716">
        <v>135.69</v>
      </c>
      <c r="F6998" s="717">
        <v>0.69610000000000005</v>
      </c>
      <c r="G6998">
        <f>VLOOKUP(B6998,'SINAPI-%MO'!B:E,4,0)</f>
        <v>0.3039</v>
      </c>
      <c r="H6998" s="225">
        <f t="shared" si="109"/>
        <v>94.45</v>
      </c>
    </row>
    <row r="6999" spans="1:8" x14ac:dyDescent="0.3">
      <c r="A6999" s="400"/>
      <c r="B6999" s="709">
        <v>97337</v>
      </c>
      <c r="C6999" s="710" t="s">
        <v>5881</v>
      </c>
      <c r="D6999" s="709" t="s">
        <v>159</v>
      </c>
      <c r="E6999" s="716">
        <v>212.38</v>
      </c>
      <c r="F6999" s="717">
        <v>0.98070000000000002</v>
      </c>
      <c r="G6999">
        <f>VLOOKUP(B6999,'SINAPI-%MO'!B:E,4,0)</f>
        <v>1.9300000000000001E-2</v>
      </c>
      <c r="H6999" s="225">
        <f t="shared" si="109"/>
        <v>208.28</v>
      </c>
    </row>
    <row r="7000" spans="1:8" x14ac:dyDescent="0.3">
      <c r="A7000" s="400"/>
      <c r="B7000" s="709">
        <v>92283</v>
      </c>
      <c r="C7000" s="710" t="s">
        <v>5882</v>
      </c>
      <c r="D7000" s="709" t="s">
        <v>159</v>
      </c>
      <c r="E7000" s="716">
        <v>231.32</v>
      </c>
      <c r="F7000" s="717">
        <v>0.59309999999999996</v>
      </c>
      <c r="G7000">
        <f>VLOOKUP(B7000,'SINAPI-%MO'!B:E,4,0)</f>
        <v>2.29E-2</v>
      </c>
      <c r="H7000" s="225">
        <f t="shared" si="109"/>
        <v>226.02</v>
      </c>
    </row>
    <row r="7001" spans="1:8" x14ac:dyDescent="0.3">
      <c r="A7001" s="400"/>
      <c r="B7001" s="709">
        <v>92277</v>
      </c>
      <c r="C7001" s="710" t="s">
        <v>5883</v>
      </c>
      <c r="D7001" s="709" t="s">
        <v>159</v>
      </c>
      <c r="E7001" s="716">
        <v>141.29</v>
      </c>
      <c r="F7001" s="717">
        <v>0.97099999999999997</v>
      </c>
      <c r="G7001">
        <f>VLOOKUP(B7001,'SINAPI-%MO'!B:E,4,0)</f>
        <v>2.9000000000000001E-2</v>
      </c>
      <c r="H7001" s="225">
        <f t="shared" si="109"/>
        <v>137.19</v>
      </c>
    </row>
    <row r="7002" spans="1:8" x14ac:dyDescent="0.3">
      <c r="A7002" s="400"/>
      <c r="B7002" s="709">
        <v>97338</v>
      </c>
      <c r="C7002" s="710" t="s">
        <v>5884</v>
      </c>
      <c r="D7002" s="709" t="s">
        <v>159</v>
      </c>
      <c r="E7002" s="716">
        <v>255.55</v>
      </c>
      <c r="F7002" s="717">
        <v>0.98060000000000003</v>
      </c>
      <c r="G7002">
        <f>VLOOKUP(B7002,'SINAPI-%MO'!B:E,4,0)</f>
        <v>1.9400000000000001E-2</v>
      </c>
      <c r="H7002" s="225">
        <f t="shared" si="109"/>
        <v>250.59</v>
      </c>
    </row>
    <row r="7003" spans="1:8" x14ac:dyDescent="0.3">
      <c r="A7003" s="400"/>
      <c r="B7003" s="709">
        <v>92284</v>
      </c>
      <c r="C7003" s="710" t="s">
        <v>5885</v>
      </c>
      <c r="D7003" s="709" t="s">
        <v>159</v>
      </c>
      <c r="E7003" s="716">
        <v>292.8</v>
      </c>
      <c r="F7003" s="717">
        <v>0.63270000000000004</v>
      </c>
      <c r="G7003">
        <f>VLOOKUP(B7003,'SINAPI-%MO'!B:E,4,0)</f>
        <v>2.1000000000000001E-2</v>
      </c>
      <c r="H7003" s="225">
        <f t="shared" si="109"/>
        <v>286.64999999999998</v>
      </c>
    </row>
    <row r="7004" spans="1:8" x14ac:dyDescent="0.3">
      <c r="A7004" s="400"/>
      <c r="B7004" s="709">
        <v>92278</v>
      </c>
      <c r="C7004" s="710" t="s">
        <v>5886</v>
      </c>
      <c r="D7004" s="709" t="s">
        <v>159</v>
      </c>
      <c r="E7004" s="716">
        <v>190.22</v>
      </c>
      <c r="F7004" s="717">
        <v>0.97389999999999999</v>
      </c>
      <c r="G7004">
        <f>VLOOKUP(B7004,'SINAPI-%MO'!B:E,4,0)</f>
        <v>2.6100000000000002E-2</v>
      </c>
      <c r="H7004" s="225">
        <f t="shared" si="109"/>
        <v>185.25</v>
      </c>
    </row>
    <row r="7005" spans="1:8" x14ac:dyDescent="0.3">
      <c r="A7005" s="400"/>
      <c r="B7005" s="709">
        <v>97339</v>
      </c>
      <c r="C7005" s="710" t="s">
        <v>5887</v>
      </c>
      <c r="D7005" s="709" t="s">
        <v>159</v>
      </c>
      <c r="E7005" s="716">
        <v>362.98</v>
      </c>
      <c r="F7005" s="717">
        <v>0.98229999999999995</v>
      </c>
      <c r="G7005">
        <f>VLOOKUP(B7005,'SINAPI-%MO'!B:E,4,0)</f>
        <v>1.77E-2</v>
      </c>
      <c r="H7005" s="225">
        <f t="shared" si="109"/>
        <v>356.55</v>
      </c>
    </row>
    <row r="7006" spans="1:8" x14ac:dyDescent="0.3">
      <c r="A7006" s="400"/>
      <c r="B7006" s="709">
        <v>92285</v>
      </c>
      <c r="C7006" s="710" t="s">
        <v>5888</v>
      </c>
      <c r="D7006" s="709" t="s">
        <v>159</v>
      </c>
      <c r="E7006" s="716">
        <v>397.62</v>
      </c>
      <c r="F7006" s="717">
        <v>0.67569999999999997</v>
      </c>
      <c r="G7006">
        <f>VLOOKUP(B7006,'SINAPI-%MO'!B:E,4,0)</f>
        <v>1.9099999999999999E-2</v>
      </c>
      <c r="H7006" s="225">
        <f t="shared" si="109"/>
        <v>390.02</v>
      </c>
    </row>
    <row r="7007" spans="1:8" x14ac:dyDescent="0.3">
      <c r="A7007" s="400"/>
      <c r="B7007" s="709">
        <v>92279</v>
      </c>
      <c r="C7007" s="710" t="s">
        <v>5889</v>
      </c>
      <c r="D7007" s="709" t="s">
        <v>159</v>
      </c>
      <c r="E7007" s="716">
        <v>275.08999999999997</v>
      </c>
      <c r="F7007" s="717">
        <v>0.97670000000000001</v>
      </c>
      <c r="G7007">
        <f>VLOOKUP(B7007,'SINAPI-%MO'!B:E,4,0)</f>
        <v>2.3300000000000001E-2</v>
      </c>
      <c r="H7007" s="225">
        <f t="shared" si="109"/>
        <v>268.68</v>
      </c>
    </row>
    <row r="7008" spans="1:8" x14ac:dyDescent="0.3">
      <c r="A7008" s="400"/>
      <c r="B7008" s="709">
        <v>97340</v>
      </c>
      <c r="C7008" s="710" t="s">
        <v>5890</v>
      </c>
      <c r="D7008" s="709" t="s">
        <v>159</v>
      </c>
      <c r="E7008" s="716">
        <v>469.15</v>
      </c>
      <c r="F7008" s="717">
        <v>0.98319999999999996</v>
      </c>
      <c r="G7008">
        <f>VLOOKUP(B7008,'SINAPI-%MO'!B:E,4,0)</f>
        <v>1.6799999999999999E-2</v>
      </c>
      <c r="H7008" s="225">
        <f t="shared" si="109"/>
        <v>461.26</v>
      </c>
    </row>
    <row r="7009" spans="1:8" x14ac:dyDescent="0.3">
      <c r="A7009" s="400"/>
      <c r="B7009" s="709">
        <v>92286</v>
      </c>
      <c r="C7009" s="710" t="s">
        <v>5891</v>
      </c>
      <c r="D7009" s="709" t="s">
        <v>159</v>
      </c>
      <c r="E7009" s="716">
        <v>510.62</v>
      </c>
      <c r="F7009" s="717">
        <v>0.74129999999999996</v>
      </c>
      <c r="G7009">
        <f>VLOOKUP(B7009,'SINAPI-%MO'!B:E,4,0)</f>
        <v>1.78E-2</v>
      </c>
      <c r="H7009" s="225">
        <f t="shared" si="109"/>
        <v>501.53</v>
      </c>
    </row>
    <row r="7010" spans="1:8" x14ac:dyDescent="0.3">
      <c r="A7010" s="400"/>
      <c r="B7010" s="709">
        <v>92280</v>
      </c>
      <c r="C7010" s="710" t="s">
        <v>5892</v>
      </c>
      <c r="D7010" s="709" t="s">
        <v>159</v>
      </c>
      <c r="E7010" s="716">
        <v>386.38</v>
      </c>
      <c r="F7010" s="717">
        <v>0.97960000000000003</v>
      </c>
      <c r="G7010">
        <f>VLOOKUP(B7010,'SINAPI-%MO'!B:E,4,0)</f>
        <v>2.0400000000000001E-2</v>
      </c>
      <c r="H7010" s="225">
        <f t="shared" si="109"/>
        <v>378.49</v>
      </c>
    </row>
    <row r="7011" spans="1:8" x14ac:dyDescent="0.3">
      <c r="A7011" s="400"/>
      <c r="B7011" s="709">
        <v>103901</v>
      </c>
      <c r="C7011" s="710" t="s">
        <v>5893</v>
      </c>
      <c r="D7011" s="709" t="s">
        <v>136</v>
      </c>
      <c r="E7011" s="716">
        <v>30.39</v>
      </c>
      <c r="F7011" s="717">
        <v>0.37580000000000002</v>
      </c>
      <c r="G7011">
        <f>VLOOKUP(B7011,'SINAPI-%MO'!B:E,4,0)</f>
        <v>0.61799999999999999</v>
      </c>
      <c r="H7011" s="225">
        <f t="shared" si="109"/>
        <v>11.6</v>
      </c>
    </row>
    <row r="7012" spans="1:8" x14ac:dyDescent="0.3">
      <c r="A7012" s="400"/>
      <c r="B7012" s="709">
        <v>103832</v>
      </c>
      <c r="C7012" s="710" t="s">
        <v>5894</v>
      </c>
      <c r="D7012" s="709" t="s">
        <v>136</v>
      </c>
      <c r="E7012" s="716">
        <v>30.31</v>
      </c>
      <c r="F7012" s="717">
        <v>0.37680000000000002</v>
      </c>
      <c r="G7012">
        <f>VLOOKUP(B7012,'SINAPI-%MO'!B:E,4,0)</f>
        <v>0.61399999999999999</v>
      </c>
      <c r="H7012" s="225">
        <f t="shared" si="109"/>
        <v>11.69</v>
      </c>
    </row>
    <row r="7013" spans="1:8" x14ac:dyDescent="0.3">
      <c r="A7013" s="400"/>
      <c r="B7013" s="709">
        <v>103865</v>
      </c>
      <c r="C7013" s="710" t="s">
        <v>5895</v>
      </c>
      <c r="D7013" s="709" t="s">
        <v>136</v>
      </c>
      <c r="E7013" s="716">
        <v>29.19</v>
      </c>
      <c r="F7013" s="717">
        <v>0.39119999999999999</v>
      </c>
      <c r="G7013">
        <f>VLOOKUP(B7013,'SINAPI-%MO'!B:E,4,0)</f>
        <v>0.59989999999999999</v>
      </c>
      <c r="H7013" s="225">
        <f t="shared" si="109"/>
        <v>11.67</v>
      </c>
    </row>
    <row r="7014" spans="1:8" x14ac:dyDescent="0.3">
      <c r="A7014" s="400"/>
      <c r="B7014" s="709">
        <v>103902</v>
      </c>
      <c r="C7014" s="710" t="s">
        <v>5896</v>
      </c>
      <c r="D7014" s="709" t="s">
        <v>136</v>
      </c>
      <c r="E7014" s="716">
        <v>46.02</v>
      </c>
      <c r="F7014" s="717">
        <v>0.51300000000000001</v>
      </c>
      <c r="G7014">
        <f>VLOOKUP(B7014,'SINAPI-%MO'!B:E,4,0)</f>
        <v>0.48220000000000002</v>
      </c>
      <c r="H7014" s="225">
        <f t="shared" si="109"/>
        <v>23.82</v>
      </c>
    </row>
    <row r="7015" spans="1:8" x14ac:dyDescent="0.3">
      <c r="A7015" s="400"/>
      <c r="B7015" s="709">
        <v>103866</v>
      </c>
      <c r="C7015" s="710" t="s">
        <v>5897</v>
      </c>
      <c r="D7015" s="709" t="s">
        <v>136</v>
      </c>
      <c r="E7015" s="716">
        <v>47.29</v>
      </c>
      <c r="F7015" s="717">
        <v>0.49930000000000002</v>
      </c>
      <c r="G7015">
        <f>VLOOKUP(B7015,'SINAPI-%MO'!B:E,4,0)</f>
        <v>0.49330000000000002</v>
      </c>
      <c r="H7015" s="225">
        <f t="shared" si="109"/>
        <v>23.96</v>
      </c>
    </row>
    <row r="7016" spans="1:8" x14ac:dyDescent="0.3">
      <c r="A7016" s="400"/>
      <c r="B7016" s="709">
        <v>103903</v>
      </c>
      <c r="C7016" s="710" t="s">
        <v>5898</v>
      </c>
      <c r="D7016" s="709" t="s">
        <v>136</v>
      </c>
      <c r="E7016" s="716">
        <v>63.26</v>
      </c>
      <c r="F7016" s="717">
        <v>0.59909999999999997</v>
      </c>
      <c r="G7016">
        <f>VLOOKUP(B7016,'SINAPI-%MO'!B:E,4,0)</f>
        <v>0.39689999999999998</v>
      </c>
      <c r="H7016" s="225">
        <f t="shared" si="109"/>
        <v>38.15</v>
      </c>
    </row>
    <row r="7017" spans="1:8" x14ac:dyDescent="0.3">
      <c r="A7017" s="400"/>
      <c r="B7017" s="709">
        <v>103834</v>
      </c>
      <c r="C7017" s="710" t="s">
        <v>5899</v>
      </c>
      <c r="D7017" s="709" t="s">
        <v>136</v>
      </c>
      <c r="E7017" s="716">
        <v>81.849999999999994</v>
      </c>
      <c r="F7017" s="717">
        <v>0.46300000000000002</v>
      </c>
      <c r="G7017">
        <f>VLOOKUP(B7017,'SINAPI-%MO'!B:E,4,0)</f>
        <v>0.52890000000000004</v>
      </c>
      <c r="H7017" s="225">
        <f t="shared" si="109"/>
        <v>38.549999999999997</v>
      </c>
    </row>
    <row r="7018" spans="1:8" x14ac:dyDescent="0.3">
      <c r="A7018" s="400"/>
      <c r="B7018" s="709">
        <v>103867</v>
      </c>
      <c r="C7018" s="710" t="s">
        <v>5900</v>
      </c>
      <c r="D7018" s="709" t="s">
        <v>136</v>
      </c>
      <c r="E7018" s="716">
        <v>66.66</v>
      </c>
      <c r="F7018" s="717">
        <v>0.56859999999999999</v>
      </c>
      <c r="G7018">
        <f>VLOOKUP(B7018,'SINAPI-%MO'!B:E,4,0)</f>
        <v>0.42499999999999999</v>
      </c>
      <c r="H7018" s="225">
        <f t="shared" si="109"/>
        <v>38.32</v>
      </c>
    </row>
    <row r="7019" spans="1:8" x14ac:dyDescent="0.3">
      <c r="A7019" s="400"/>
      <c r="B7019" s="709">
        <v>105113</v>
      </c>
      <c r="C7019" s="710" t="s">
        <v>5901</v>
      </c>
      <c r="D7019" s="709" t="s">
        <v>136</v>
      </c>
      <c r="E7019" s="716">
        <v>9324.7900000000009</v>
      </c>
      <c r="F7019" s="717">
        <v>0</v>
      </c>
      <c r="G7019">
        <f>VLOOKUP(B7019,'SINAPI-%MO'!B:E,4,0)</f>
        <v>0.2535</v>
      </c>
      <c r="H7019" s="225">
        <f t="shared" si="109"/>
        <v>6960.95</v>
      </c>
    </row>
    <row r="7020" spans="1:8" x14ac:dyDescent="0.3">
      <c r="A7020" s="400"/>
      <c r="B7020" s="709">
        <v>98461</v>
      </c>
      <c r="C7020" s="710" t="s">
        <v>5902</v>
      </c>
      <c r="D7020" s="709" t="s">
        <v>136</v>
      </c>
      <c r="E7020" s="716">
        <v>7025.7</v>
      </c>
      <c r="F7020" s="717">
        <v>0</v>
      </c>
      <c r="G7020">
        <f>VLOOKUP(B7020,'SINAPI-%MO'!B:E,4,0)</f>
        <v>0.25309999999999999</v>
      </c>
      <c r="H7020" s="225">
        <f t="shared" si="109"/>
        <v>5247.49</v>
      </c>
    </row>
    <row r="7021" spans="1:8" x14ac:dyDescent="0.3">
      <c r="A7021" s="400"/>
      <c r="B7021" s="709">
        <v>98462</v>
      </c>
      <c r="C7021" s="710" t="s">
        <v>5903</v>
      </c>
      <c r="D7021" s="709" t="s">
        <v>136</v>
      </c>
      <c r="E7021" s="716">
        <v>12143.63</v>
      </c>
      <c r="F7021" s="717">
        <v>0</v>
      </c>
      <c r="G7021">
        <f>VLOOKUP(B7021,'SINAPI-%MO'!B:E,4,0)</f>
        <v>0.25409999999999999</v>
      </c>
      <c r="H7021" s="225">
        <f t="shared" si="109"/>
        <v>9057.93</v>
      </c>
    </row>
    <row r="7022" spans="1:8" x14ac:dyDescent="0.3">
      <c r="A7022" s="400"/>
      <c r="B7022" s="709">
        <v>105130</v>
      </c>
      <c r="C7022" s="710" t="s">
        <v>5904</v>
      </c>
      <c r="D7022" s="709" t="s">
        <v>159</v>
      </c>
      <c r="E7022" s="716">
        <v>29.08</v>
      </c>
      <c r="F7022" s="717">
        <v>0</v>
      </c>
      <c r="G7022">
        <f>VLOOKUP(B7022,'SINAPI-%MO'!B:E,4,0)</f>
        <v>0.69089999999999996</v>
      </c>
      <c r="H7022" s="225">
        <f t="shared" si="109"/>
        <v>8.98</v>
      </c>
    </row>
    <row r="7023" spans="1:8" x14ac:dyDescent="0.3">
      <c r="A7023" s="400"/>
      <c r="B7023" s="709">
        <v>105114</v>
      </c>
      <c r="C7023" s="710" t="s">
        <v>5905</v>
      </c>
      <c r="D7023" s="709" t="s">
        <v>170</v>
      </c>
      <c r="E7023" s="716">
        <v>1948.71</v>
      </c>
      <c r="F7023" s="717">
        <v>0</v>
      </c>
      <c r="G7023">
        <f>VLOOKUP(B7023,'SINAPI-%MO'!B:E,4,0)</f>
        <v>0.5978</v>
      </c>
      <c r="H7023" s="225">
        <f t="shared" si="109"/>
        <v>783.77</v>
      </c>
    </row>
    <row r="7024" spans="1:8" x14ac:dyDescent="0.3">
      <c r="A7024" s="400"/>
      <c r="B7024" s="709">
        <v>105129</v>
      </c>
      <c r="C7024" s="710" t="s">
        <v>5906</v>
      </c>
      <c r="D7024" s="709" t="s">
        <v>136</v>
      </c>
      <c r="E7024" s="716">
        <v>0</v>
      </c>
      <c r="F7024" s="717"/>
      <c r="G7024" t="e">
        <f>VLOOKUP(B7024,'SINAPI-%MO'!B:E,4,0)</f>
        <v>#N/A</v>
      </c>
      <c r="H7024" s="225" t="str">
        <f t="shared" si="109"/>
        <v/>
      </c>
    </row>
    <row r="7025" spans="1:8" x14ac:dyDescent="0.3">
      <c r="A7025" s="400"/>
      <c r="B7025" s="709">
        <v>105127</v>
      </c>
      <c r="C7025" s="710" t="s">
        <v>5907</v>
      </c>
      <c r="D7025" s="709" t="s">
        <v>159</v>
      </c>
      <c r="E7025" s="716">
        <v>28.9</v>
      </c>
      <c r="F7025" s="717">
        <v>0</v>
      </c>
      <c r="G7025">
        <f>VLOOKUP(B7025,'SINAPI-%MO'!B:E,4,0)</f>
        <v>0.1651</v>
      </c>
      <c r="H7025" s="225">
        <f t="shared" si="109"/>
        <v>24.12</v>
      </c>
    </row>
    <row r="7026" spans="1:8" x14ac:dyDescent="0.3">
      <c r="A7026" s="400"/>
      <c r="B7026" s="709">
        <v>105128</v>
      </c>
      <c r="C7026" s="710" t="s">
        <v>5908</v>
      </c>
      <c r="D7026" s="709" t="s">
        <v>159</v>
      </c>
      <c r="E7026" s="716">
        <v>92.14</v>
      </c>
      <c r="F7026" s="717">
        <v>0</v>
      </c>
      <c r="G7026">
        <f>VLOOKUP(B7026,'SINAPI-%MO'!B:E,4,0)</f>
        <v>0.29120000000000001</v>
      </c>
      <c r="H7026" s="225">
        <f t="shared" si="109"/>
        <v>65.3</v>
      </c>
    </row>
    <row r="7027" spans="1:8" x14ac:dyDescent="0.3">
      <c r="A7027" s="400"/>
      <c r="B7027" s="709">
        <v>105126</v>
      </c>
      <c r="C7027" s="710" t="s">
        <v>5909</v>
      </c>
      <c r="D7027" s="709" t="s">
        <v>159</v>
      </c>
      <c r="E7027" s="716">
        <v>30.71</v>
      </c>
      <c r="F7027" s="717">
        <v>0</v>
      </c>
      <c r="G7027">
        <f>VLOOKUP(B7027,'SINAPI-%MO'!B:E,4,0)</f>
        <v>0.1885</v>
      </c>
      <c r="H7027" s="225">
        <f t="shared" si="109"/>
        <v>24.92</v>
      </c>
    </row>
    <row r="7028" spans="1:8" x14ac:dyDescent="0.3">
      <c r="A7028" s="400"/>
      <c r="B7028" s="709">
        <v>105116</v>
      </c>
      <c r="C7028" s="710" t="s">
        <v>5910</v>
      </c>
      <c r="D7028" s="709" t="s">
        <v>136</v>
      </c>
      <c r="E7028" s="716">
        <v>13</v>
      </c>
      <c r="F7028" s="717">
        <v>0</v>
      </c>
      <c r="G7028">
        <f>VLOOKUP(B7028,'SINAPI-%MO'!B:E,4,0)</f>
        <v>1</v>
      </c>
      <c r="H7028" s="225">
        <f t="shared" si="109"/>
        <v>0</v>
      </c>
    </row>
    <row r="7029" spans="1:8" x14ac:dyDescent="0.3">
      <c r="A7029" s="400"/>
      <c r="B7029" s="709">
        <v>105115</v>
      </c>
      <c r="C7029" s="710" t="s">
        <v>5911</v>
      </c>
      <c r="D7029" s="709" t="s">
        <v>136</v>
      </c>
      <c r="E7029" s="716">
        <v>139.19999999999999</v>
      </c>
      <c r="F7029" s="717">
        <v>0</v>
      </c>
      <c r="G7029">
        <f>VLOOKUP(B7029,'SINAPI-%MO'!B:E,4,0)</f>
        <v>0.52949999999999997</v>
      </c>
      <c r="H7029" s="225">
        <f t="shared" si="109"/>
        <v>65.489999999999995</v>
      </c>
    </row>
    <row r="7030" spans="1:8" x14ac:dyDescent="0.3">
      <c r="A7030" s="400"/>
      <c r="B7030" s="709">
        <v>98453</v>
      </c>
      <c r="C7030" s="710" t="s">
        <v>5912</v>
      </c>
      <c r="D7030" s="709" t="s">
        <v>168</v>
      </c>
      <c r="E7030" s="716">
        <v>172.92</v>
      </c>
      <c r="F7030" s="717">
        <v>0</v>
      </c>
      <c r="G7030">
        <f>VLOOKUP(B7030,'SINAPI-%MO'!B:E,4,0)</f>
        <v>0.37</v>
      </c>
      <c r="H7030" s="225">
        <f t="shared" si="109"/>
        <v>108.93</v>
      </c>
    </row>
    <row r="7031" spans="1:8" x14ac:dyDescent="0.3">
      <c r="A7031" s="400"/>
      <c r="B7031" s="709">
        <v>98454</v>
      </c>
      <c r="C7031" s="710" t="s">
        <v>5913</v>
      </c>
      <c r="D7031" s="709" t="s">
        <v>168</v>
      </c>
      <c r="E7031" s="716">
        <v>212.83</v>
      </c>
      <c r="F7031" s="717">
        <v>0</v>
      </c>
      <c r="G7031">
        <f>VLOOKUP(B7031,'SINAPI-%MO'!B:E,4,0)</f>
        <v>0.4516</v>
      </c>
      <c r="H7031" s="225">
        <f t="shared" si="109"/>
        <v>116.71</v>
      </c>
    </row>
    <row r="7032" spans="1:8" x14ac:dyDescent="0.3">
      <c r="A7032" s="400"/>
      <c r="B7032" s="709">
        <v>98449</v>
      </c>
      <c r="C7032" s="710" t="s">
        <v>5914</v>
      </c>
      <c r="D7032" s="709" t="s">
        <v>168</v>
      </c>
      <c r="E7032" s="716">
        <v>151.83000000000001</v>
      </c>
      <c r="F7032" s="717">
        <v>0</v>
      </c>
      <c r="G7032">
        <f>VLOOKUP(B7032,'SINAPI-%MO'!B:E,4,0)</f>
        <v>0.31879999999999997</v>
      </c>
      <c r="H7032" s="225">
        <f t="shared" si="109"/>
        <v>103.42</v>
      </c>
    </row>
    <row r="7033" spans="1:8" x14ac:dyDescent="0.3">
      <c r="A7033" s="400"/>
      <c r="B7033" s="709">
        <v>98455</v>
      </c>
      <c r="C7033" s="710" t="s">
        <v>5915</v>
      </c>
      <c r="D7033" s="709" t="s">
        <v>168</v>
      </c>
      <c r="E7033" s="716">
        <v>142.74</v>
      </c>
      <c r="F7033" s="717">
        <v>0</v>
      </c>
      <c r="G7033">
        <f>VLOOKUP(B7033,'SINAPI-%MO'!B:E,4,0)</f>
        <v>0.25530000000000003</v>
      </c>
      <c r="H7033" s="225">
        <f t="shared" si="109"/>
        <v>106.29</v>
      </c>
    </row>
    <row r="7034" spans="1:8" x14ac:dyDescent="0.3">
      <c r="A7034" s="400"/>
      <c r="B7034" s="709">
        <v>98456</v>
      </c>
      <c r="C7034" s="710" t="s">
        <v>5916</v>
      </c>
      <c r="D7034" s="709" t="s">
        <v>168</v>
      </c>
      <c r="E7034" s="716">
        <v>176.17</v>
      </c>
      <c r="F7034" s="717">
        <v>0</v>
      </c>
      <c r="G7034">
        <f>VLOOKUP(B7034,'SINAPI-%MO'!B:E,4,0)</f>
        <v>0.35099999999999998</v>
      </c>
      <c r="H7034" s="225">
        <f t="shared" si="109"/>
        <v>114.33</v>
      </c>
    </row>
    <row r="7035" spans="1:8" x14ac:dyDescent="0.3">
      <c r="A7035" s="400"/>
      <c r="B7035" s="709">
        <v>98451</v>
      </c>
      <c r="C7035" s="710" t="s">
        <v>5917</v>
      </c>
      <c r="D7035" s="709" t="s">
        <v>168</v>
      </c>
      <c r="E7035" s="716">
        <v>126.36</v>
      </c>
      <c r="F7035" s="717">
        <v>0</v>
      </c>
      <c r="G7035">
        <f>VLOOKUP(B7035,'SINAPI-%MO'!B:E,4,0)</f>
        <v>0.20019999999999999</v>
      </c>
      <c r="H7035" s="225">
        <f t="shared" si="109"/>
        <v>101.06</v>
      </c>
    </row>
    <row r="7036" spans="1:8" x14ac:dyDescent="0.3">
      <c r="A7036" s="400"/>
      <c r="B7036" s="709">
        <v>98445</v>
      </c>
      <c r="C7036" s="710" t="s">
        <v>5918</v>
      </c>
      <c r="D7036" s="709" t="s">
        <v>168</v>
      </c>
      <c r="E7036" s="716">
        <v>121.01</v>
      </c>
      <c r="F7036" s="717">
        <v>0</v>
      </c>
      <c r="G7036">
        <f>VLOOKUP(B7036,'SINAPI-%MO'!B:E,4,0)</f>
        <v>0.45229999999999998</v>
      </c>
      <c r="H7036" s="225">
        <f t="shared" si="109"/>
        <v>66.27</v>
      </c>
    </row>
    <row r="7037" spans="1:8" x14ac:dyDescent="0.3">
      <c r="A7037" s="400"/>
      <c r="B7037" s="709">
        <v>98446</v>
      </c>
      <c r="C7037" s="710" t="s">
        <v>5919</v>
      </c>
      <c r="D7037" s="709" t="s">
        <v>168</v>
      </c>
      <c r="E7037" s="716">
        <v>152.54</v>
      </c>
      <c r="F7037" s="717">
        <v>0</v>
      </c>
      <c r="G7037">
        <f>VLOOKUP(B7037,'SINAPI-%MO'!B:E,4,0)</f>
        <v>0.5161</v>
      </c>
      <c r="H7037" s="225">
        <f t="shared" si="109"/>
        <v>73.81</v>
      </c>
    </row>
    <row r="7038" spans="1:8" x14ac:dyDescent="0.3">
      <c r="A7038" s="400"/>
      <c r="B7038" s="709">
        <v>98441</v>
      </c>
      <c r="C7038" s="710" t="s">
        <v>5920</v>
      </c>
      <c r="D7038" s="709" t="s">
        <v>168</v>
      </c>
      <c r="E7038" s="716">
        <v>104.3</v>
      </c>
      <c r="F7038" s="717">
        <v>0</v>
      </c>
      <c r="G7038">
        <f>VLOOKUP(B7038,'SINAPI-%MO'!B:E,4,0)</f>
        <v>0.41570000000000001</v>
      </c>
      <c r="H7038" s="225">
        <f t="shared" si="109"/>
        <v>60.94</v>
      </c>
    </row>
    <row r="7039" spans="1:8" x14ac:dyDescent="0.3">
      <c r="A7039" s="400"/>
      <c r="B7039" s="709">
        <v>98447</v>
      </c>
      <c r="C7039" s="710" t="s">
        <v>5921</v>
      </c>
      <c r="D7039" s="709" t="s">
        <v>168</v>
      </c>
      <c r="E7039" s="716">
        <v>94.82</v>
      </c>
      <c r="F7039" s="717">
        <v>0</v>
      </c>
      <c r="G7039">
        <f>VLOOKUP(B7039,'SINAPI-%MO'!B:E,4,0)</f>
        <v>0.32929999999999998</v>
      </c>
      <c r="H7039" s="225">
        <f t="shared" si="109"/>
        <v>63.59</v>
      </c>
    </row>
    <row r="7040" spans="1:8" x14ac:dyDescent="0.3">
      <c r="A7040" s="400"/>
      <c r="B7040" s="709">
        <v>98448</v>
      </c>
      <c r="C7040" s="710" t="s">
        <v>5922</v>
      </c>
      <c r="D7040" s="709" t="s">
        <v>168</v>
      </c>
      <c r="E7040" s="716">
        <v>119.42</v>
      </c>
      <c r="F7040" s="717">
        <v>0</v>
      </c>
      <c r="G7040">
        <f>VLOOKUP(B7040,'SINAPI-%MO'!B:E,4,0)</f>
        <v>0.40279999999999999</v>
      </c>
      <c r="H7040" s="225">
        <f t="shared" si="109"/>
        <v>71.31</v>
      </c>
    </row>
    <row r="7041" spans="1:8" x14ac:dyDescent="0.3">
      <c r="A7041" s="400"/>
      <c r="B7041" s="709">
        <v>98443</v>
      </c>
      <c r="C7041" s="710" t="s">
        <v>5923</v>
      </c>
      <c r="D7041" s="709" t="s">
        <v>168</v>
      </c>
      <c r="E7041" s="716">
        <v>81.93</v>
      </c>
      <c r="F7041" s="717">
        <v>0</v>
      </c>
      <c r="G7041">
        <f>VLOOKUP(B7041,'SINAPI-%MO'!B:E,4,0)</f>
        <v>0.28489999999999999</v>
      </c>
      <c r="H7041" s="225">
        <f t="shared" si="109"/>
        <v>58.58</v>
      </c>
    </row>
    <row r="7042" spans="1:8" x14ac:dyDescent="0.3">
      <c r="A7042" s="400"/>
      <c r="B7042" s="709">
        <v>105122</v>
      </c>
      <c r="C7042" s="710" t="s">
        <v>5924</v>
      </c>
      <c r="D7042" s="709" t="s">
        <v>168</v>
      </c>
      <c r="E7042" s="716">
        <v>0</v>
      </c>
      <c r="F7042" s="717"/>
      <c r="G7042" t="e">
        <f>VLOOKUP(B7042,'SINAPI-%MO'!B:E,4,0)</f>
        <v>#N/A</v>
      </c>
      <c r="H7042" s="225" t="str">
        <f t="shared" si="109"/>
        <v/>
      </c>
    </row>
    <row r="7043" spans="1:8" x14ac:dyDescent="0.3">
      <c r="A7043" s="400"/>
      <c r="B7043" s="709">
        <v>105125</v>
      </c>
      <c r="C7043" s="710" t="s">
        <v>5925</v>
      </c>
      <c r="D7043" s="709" t="s">
        <v>168</v>
      </c>
      <c r="E7043" s="716">
        <v>0</v>
      </c>
      <c r="F7043" s="717"/>
      <c r="G7043" t="e">
        <f>VLOOKUP(B7043,'SINAPI-%MO'!B:E,4,0)</f>
        <v>#N/A</v>
      </c>
      <c r="H7043" s="225" t="str">
        <f t="shared" si="109"/>
        <v/>
      </c>
    </row>
    <row r="7044" spans="1:8" x14ac:dyDescent="0.3">
      <c r="A7044" s="400"/>
      <c r="B7044" s="709">
        <v>105133</v>
      </c>
      <c r="C7044" s="710" t="s">
        <v>5926</v>
      </c>
      <c r="D7044" s="709" t="s">
        <v>168</v>
      </c>
      <c r="E7044" s="716">
        <v>0</v>
      </c>
      <c r="F7044" s="717"/>
      <c r="G7044" t="e">
        <f>VLOOKUP(B7044,'SINAPI-%MO'!B:E,4,0)</f>
        <v>#N/A</v>
      </c>
      <c r="H7044" s="225" t="str">
        <f t="shared" si="109"/>
        <v/>
      </c>
    </row>
    <row r="7045" spans="1:8" x14ac:dyDescent="0.3">
      <c r="A7045" s="400"/>
      <c r="B7045" s="709">
        <v>105123</v>
      </c>
      <c r="C7045" s="710" t="s">
        <v>5927</v>
      </c>
      <c r="D7045" s="709" t="s">
        <v>168</v>
      </c>
      <c r="E7045" s="716">
        <v>0</v>
      </c>
      <c r="F7045" s="717"/>
      <c r="G7045" t="e">
        <f>VLOOKUP(B7045,'SINAPI-%MO'!B:E,4,0)</f>
        <v>#N/A</v>
      </c>
      <c r="H7045" s="225" t="str">
        <f t="shared" si="109"/>
        <v/>
      </c>
    </row>
    <row r="7046" spans="1:8" x14ac:dyDescent="0.3">
      <c r="A7046" s="400"/>
      <c r="B7046" s="709">
        <v>105124</v>
      </c>
      <c r="C7046" s="710" t="s">
        <v>5928</v>
      </c>
      <c r="D7046" s="709" t="s">
        <v>168</v>
      </c>
      <c r="E7046" s="716">
        <v>0</v>
      </c>
      <c r="F7046" s="717"/>
      <c r="G7046" t="e">
        <f>VLOOKUP(B7046,'SINAPI-%MO'!B:E,4,0)</f>
        <v>#N/A</v>
      </c>
      <c r="H7046" s="225" t="str">
        <f t="shared" si="109"/>
        <v/>
      </c>
    </row>
    <row r="7047" spans="1:8" x14ac:dyDescent="0.3">
      <c r="A7047" s="400"/>
      <c r="B7047" s="709">
        <v>105134</v>
      </c>
      <c r="C7047" s="710" t="s">
        <v>5929</v>
      </c>
      <c r="D7047" s="709" t="s">
        <v>168</v>
      </c>
      <c r="E7047" s="716">
        <v>0</v>
      </c>
      <c r="F7047" s="717"/>
      <c r="G7047" t="e">
        <f>VLOOKUP(B7047,'SINAPI-%MO'!B:E,4,0)</f>
        <v>#N/A</v>
      </c>
      <c r="H7047" s="225" t="str">
        <f t="shared" si="109"/>
        <v/>
      </c>
    </row>
    <row r="7048" spans="1:8" x14ac:dyDescent="0.3">
      <c r="A7048" s="400"/>
      <c r="B7048" s="709">
        <v>105117</v>
      </c>
      <c r="C7048" s="710" t="s">
        <v>5930</v>
      </c>
      <c r="D7048" s="709" t="s">
        <v>168</v>
      </c>
      <c r="E7048" s="716">
        <v>0</v>
      </c>
      <c r="F7048" s="717"/>
      <c r="G7048" t="e">
        <f>VLOOKUP(B7048,'SINAPI-%MO'!B:E,4,0)</f>
        <v>#N/A</v>
      </c>
      <c r="H7048" s="225" t="str">
        <f t="shared" si="109"/>
        <v/>
      </c>
    </row>
    <row r="7049" spans="1:8" x14ac:dyDescent="0.3">
      <c r="A7049" s="400"/>
      <c r="B7049" s="709">
        <v>105119</v>
      </c>
      <c r="C7049" s="710" t="s">
        <v>5931</v>
      </c>
      <c r="D7049" s="709" t="s">
        <v>168</v>
      </c>
      <c r="E7049" s="716">
        <v>0</v>
      </c>
      <c r="F7049" s="717"/>
      <c r="G7049" t="e">
        <f>VLOOKUP(B7049,'SINAPI-%MO'!B:E,4,0)</f>
        <v>#N/A</v>
      </c>
      <c r="H7049" s="225" t="str">
        <f t="shared" si="109"/>
        <v/>
      </c>
    </row>
    <row r="7050" spans="1:8" x14ac:dyDescent="0.3">
      <c r="A7050" s="400"/>
      <c r="B7050" s="709">
        <v>105131</v>
      </c>
      <c r="C7050" s="710" t="s">
        <v>5932</v>
      </c>
      <c r="D7050" s="709" t="s">
        <v>168</v>
      </c>
      <c r="E7050" s="716">
        <v>0</v>
      </c>
      <c r="F7050" s="717"/>
      <c r="G7050" t="e">
        <f>VLOOKUP(B7050,'SINAPI-%MO'!B:E,4,0)</f>
        <v>#N/A</v>
      </c>
      <c r="H7050" s="225" t="str">
        <f t="shared" si="109"/>
        <v/>
      </c>
    </row>
    <row r="7051" spans="1:8" x14ac:dyDescent="0.3">
      <c r="A7051" s="400"/>
      <c r="B7051" s="709">
        <v>105120</v>
      </c>
      <c r="C7051" s="710" t="s">
        <v>5933</v>
      </c>
      <c r="D7051" s="709" t="s">
        <v>168</v>
      </c>
      <c r="E7051" s="716">
        <v>0</v>
      </c>
      <c r="F7051" s="717"/>
      <c r="G7051" t="e">
        <f>VLOOKUP(B7051,'SINAPI-%MO'!B:E,4,0)</f>
        <v>#N/A</v>
      </c>
      <c r="H7051" s="225" t="str">
        <f t="shared" ref="H7051:H7114" si="110">IF(E7051&gt;0,TRUNC(E7051*(1-G7051),2),"")</f>
        <v/>
      </c>
    </row>
    <row r="7052" spans="1:8" x14ac:dyDescent="0.3">
      <c r="A7052" s="400"/>
      <c r="B7052" s="709">
        <v>105121</v>
      </c>
      <c r="C7052" s="710" t="s">
        <v>5934</v>
      </c>
      <c r="D7052" s="709" t="s">
        <v>168</v>
      </c>
      <c r="E7052" s="716">
        <v>0</v>
      </c>
      <c r="F7052" s="717"/>
      <c r="G7052" t="e">
        <f>VLOOKUP(B7052,'SINAPI-%MO'!B:E,4,0)</f>
        <v>#N/A</v>
      </c>
      <c r="H7052" s="225" t="str">
        <f t="shared" si="110"/>
        <v/>
      </c>
    </row>
    <row r="7053" spans="1:8" x14ac:dyDescent="0.3">
      <c r="A7053" s="400"/>
      <c r="B7053" s="709">
        <v>105132</v>
      </c>
      <c r="C7053" s="710" t="s">
        <v>5935</v>
      </c>
      <c r="D7053" s="709" t="s">
        <v>168</v>
      </c>
      <c r="E7053" s="716">
        <v>0</v>
      </c>
      <c r="F7053" s="717"/>
      <c r="G7053" t="e">
        <f>VLOOKUP(B7053,'SINAPI-%MO'!B:E,4,0)</f>
        <v>#N/A</v>
      </c>
      <c r="H7053" s="225" t="str">
        <f t="shared" si="110"/>
        <v/>
      </c>
    </row>
    <row r="7054" spans="1:8" x14ac:dyDescent="0.3">
      <c r="A7054" s="400"/>
      <c r="B7054" s="709">
        <v>98460</v>
      </c>
      <c r="C7054" s="710" t="s">
        <v>5936</v>
      </c>
      <c r="D7054" s="709" t="s">
        <v>168</v>
      </c>
      <c r="E7054" s="716">
        <v>64.680000000000007</v>
      </c>
      <c r="F7054" s="717">
        <v>0</v>
      </c>
      <c r="G7054">
        <f>VLOOKUP(B7054,'SINAPI-%MO'!B:E,4,0)</f>
        <v>0.4199</v>
      </c>
      <c r="H7054" s="225">
        <f t="shared" si="110"/>
        <v>37.520000000000003</v>
      </c>
    </row>
    <row r="7055" spans="1:8" x14ac:dyDescent="0.3">
      <c r="A7055" s="400"/>
      <c r="B7055" s="709">
        <v>98457</v>
      </c>
      <c r="C7055" s="710" t="s">
        <v>5937</v>
      </c>
      <c r="D7055" s="709" t="s">
        <v>168</v>
      </c>
      <c r="E7055" s="716">
        <v>0</v>
      </c>
      <c r="F7055" s="717"/>
      <c r="G7055" t="e">
        <f>VLOOKUP(B7055,'SINAPI-%MO'!B:E,4,0)</f>
        <v>#N/A</v>
      </c>
      <c r="H7055" s="225" t="str">
        <f t="shared" si="110"/>
        <v/>
      </c>
    </row>
    <row r="7056" spans="1:8" x14ac:dyDescent="0.3">
      <c r="A7056" s="400"/>
      <c r="B7056" s="709">
        <v>98458</v>
      </c>
      <c r="C7056" s="710" t="s">
        <v>5938</v>
      </c>
      <c r="D7056" s="709" t="s">
        <v>168</v>
      </c>
      <c r="E7056" s="716">
        <v>104.12</v>
      </c>
      <c r="F7056" s="717">
        <v>0</v>
      </c>
      <c r="G7056">
        <f>VLOOKUP(B7056,'SINAPI-%MO'!B:E,4,0)</f>
        <v>0.38750000000000001</v>
      </c>
      <c r="H7056" s="225">
        <f t="shared" si="110"/>
        <v>63.77</v>
      </c>
    </row>
    <row r="7057" spans="1:8" x14ac:dyDescent="0.3">
      <c r="A7057" s="400"/>
      <c r="B7057" s="709">
        <v>98459</v>
      </c>
      <c r="C7057" s="710" t="s">
        <v>5939</v>
      </c>
      <c r="D7057" s="709" t="s">
        <v>168</v>
      </c>
      <c r="E7057" s="716">
        <v>87.55</v>
      </c>
      <c r="F7057" s="717">
        <v>0</v>
      </c>
      <c r="G7057">
        <f>VLOOKUP(B7057,'SINAPI-%MO'!B:E,4,0)</f>
        <v>0.43049999999999999</v>
      </c>
      <c r="H7057" s="225">
        <f t="shared" si="110"/>
        <v>49.85</v>
      </c>
    </row>
    <row r="7058" spans="1:8" x14ac:dyDescent="0.3">
      <c r="A7058" s="400"/>
      <c r="B7058" s="709">
        <v>105118</v>
      </c>
      <c r="C7058" s="710" t="s">
        <v>5940</v>
      </c>
      <c r="D7058" s="709" t="s">
        <v>168</v>
      </c>
      <c r="E7058" s="716">
        <v>0</v>
      </c>
      <c r="F7058" s="717"/>
      <c r="G7058" t="e">
        <f>VLOOKUP(B7058,'SINAPI-%MO'!B:E,4,0)</f>
        <v>#N/A</v>
      </c>
      <c r="H7058" s="225" t="str">
        <f t="shared" si="110"/>
        <v/>
      </c>
    </row>
    <row r="7059" spans="1:8" x14ac:dyDescent="0.3">
      <c r="A7059" s="400"/>
      <c r="B7059" s="709">
        <v>106056</v>
      </c>
      <c r="C7059" s="710" t="s">
        <v>5941</v>
      </c>
      <c r="D7059" s="709" t="s">
        <v>168</v>
      </c>
      <c r="E7059" s="716">
        <v>193.83</v>
      </c>
      <c r="F7059" s="717">
        <v>0.4924</v>
      </c>
      <c r="G7059">
        <f>VLOOKUP(B7059,'SINAPI-%MO'!B:E,4,0)</f>
        <v>0.1444</v>
      </c>
      <c r="H7059" s="225">
        <f t="shared" si="110"/>
        <v>165.84</v>
      </c>
    </row>
    <row r="7060" spans="1:8" x14ac:dyDescent="0.3">
      <c r="A7060" s="400"/>
      <c r="B7060" s="709">
        <v>106057</v>
      </c>
      <c r="C7060" s="710" t="s">
        <v>5942</v>
      </c>
      <c r="D7060" s="709" t="s">
        <v>168</v>
      </c>
      <c r="E7060" s="716">
        <v>203.41</v>
      </c>
      <c r="F7060" s="717">
        <v>0.49309999999999998</v>
      </c>
      <c r="G7060">
        <f>VLOOKUP(B7060,'SINAPI-%MO'!B:E,4,0)</f>
        <v>0.12809999999999999</v>
      </c>
      <c r="H7060" s="225">
        <f t="shared" si="110"/>
        <v>177.35</v>
      </c>
    </row>
    <row r="7061" spans="1:8" x14ac:dyDescent="0.3">
      <c r="A7061" s="400"/>
      <c r="B7061" s="709">
        <v>104690</v>
      </c>
      <c r="C7061" s="710" t="s">
        <v>5943</v>
      </c>
      <c r="D7061" s="709" t="s">
        <v>168</v>
      </c>
      <c r="E7061" s="716">
        <v>209.71</v>
      </c>
      <c r="F7061" s="717">
        <v>0.50080000000000002</v>
      </c>
      <c r="G7061">
        <f>VLOOKUP(B7061,'SINAPI-%MO'!B:E,4,0)</f>
        <v>0.1145</v>
      </c>
      <c r="H7061" s="225">
        <f t="shared" si="110"/>
        <v>185.69</v>
      </c>
    </row>
    <row r="7062" spans="1:8" x14ac:dyDescent="0.3">
      <c r="A7062" s="400"/>
      <c r="B7062" s="709">
        <v>101958</v>
      </c>
      <c r="C7062" s="710" t="s">
        <v>5944</v>
      </c>
      <c r="D7062" s="709" t="s">
        <v>168</v>
      </c>
      <c r="E7062" s="716">
        <v>251.94</v>
      </c>
      <c r="F7062" s="717">
        <v>0.50239999999999996</v>
      </c>
      <c r="G7062">
        <f>VLOOKUP(B7062,'SINAPI-%MO'!B:E,4,0)</f>
        <v>0.1077</v>
      </c>
      <c r="H7062" s="225">
        <f t="shared" si="110"/>
        <v>224.8</v>
      </c>
    </row>
    <row r="7063" spans="1:8" x14ac:dyDescent="0.3">
      <c r="A7063" s="400"/>
      <c r="B7063" s="709">
        <v>106065</v>
      </c>
      <c r="C7063" s="710" t="s">
        <v>5945</v>
      </c>
      <c r="D7063" s="709" t="s">
        <v>168</v>
      </c>
      <c r="E7063" s="716">
        <v>272.07</v>
      </c>
      <c r="F7063" s="717">
        <v>0.49880000000000002</v>
      </c>
      <c r="G7063">
        <f>VLOOKUP(B7063,'SINAPI-%MO'!B:E,4,0)</f>
        <v>0.1031</v>
      </c>
      <c r="H7063" s="225">
        <f t="shared" si="110"/>
        <v>244.01</v>
      </c>
    </row>
    <row r="7064" spans="1:8" x14ac:dyDescent="0.3">
      <c r="A7064" s="400"/>
      <c r="B7064" s="709">
        <v>101959</v>
      </c>
      <c r="C7064" s="710" t="s">
        <v>5946</v>
      </c>
      <c r="D7064" s="709" t="s">
        <v>168</v>
      </c>
      <c r="E7064" s="716">
        <v>176.9</v>
      </c>
      <c r="F7064" s="717">
        <v>0.4738</v>
      </c>
      <c r="G7064">
        <f>VLOOKUP(B7064,'SINAPI-%MO'!B:E,4,0)</f>
        <v>0.14130000000000001</v>
      </c>
      <c r="H7064" s="225">
        <f t="shared" si="110"/>
        <v>151.9</v>
      </c>
    </row>
    <row r="7065" spans="1:8" x14ac:dyDescent="0.3">
      <c r="A7065" s="400"/>
      <c r="B7065" s="709">
        <v>101960</v>
      </c>
      <c r="C7065" s="710" t="s">
        <v>5947</v>
      </c>
      <c r="D7065" s="709" t="s">
        <v>168</v>
      </c>
      <c r="E7065" s="716">
        <v>193.46</v>
      </c>
      <c r="F7065" s="717">
        <v>0.50329999999999997</v>
      </c>
      <c r="G7065">
        <f>VLOOKUP(B7065,'SINAPI-%MO'!B:E,4,0)</f>
        <v>0.11849999999999999</v>
      </c>
      <c r="H7065" s="225">
        <f t="shared" si="110"/>
        <v>170.53</v>
      </c>
    </row>
    <row r="7066" spans="1:8" x14ac:dyDescent="0.3">
      <c r="A7066" s="400"/>
      <c r="B7066" s="709">
        <v>106058</v>
      </c>
      <c r="C7066" s="710" t="s">
        <v>5948</v>
      </c>
      <c r="D7066" s="709" t="s">
        <v>168</v>
      </c>
      <c r="E7066" s="716">
        <v>205.33</v>
      </c>
      <c r="F7066" s="717">
        <v>0.53449999999999998</v>
      </c>
      <c r="G7066">
        <f>VLOOKUP(B7066,'SINAPI-%MO'!B:E,4,0)</f>
        <v>0.1028</v>
      </c>
      <c r="H7066" s="225">
        <f t="shared" si="110"/>
        <v>184.22</v>
      </c>
    </row>
    <row r="7067" spans="1:8" x14ac:dyDescent="0.3">
      <c r="A7067" s="400"/>
      <c r="B7067" s="709">
        <v>101962</v>
      </c>
      <c r="C7067" s="710" t="s">
        <v>5949</v>
      </c>
      <c r="D7067" s="709" t="s">
        <v>168</v>
      </c>
      <c r="E7067" s="716">
        <v>236.46</v>
      </c>
      <c r="F7067" s="717">
        <v>0.51549999999999996</v>
      </c>
      <c r="G7067">
        <f>VLOOKUP(B7067,'SINAPI-%MO'!B:E,4,0)</f>
        <v>0.1018</v>
      </c>
      <c r="H7067" s="225">
        <f t="shared" si="110"/>
        <v>212.38</v>
      </c>
    </row>
    <row r="7068" spans="1:8" x14ac:dyDescent="0.3">
      <c r="A7068" s="400"/>
      <c r="B7068" s="709">
        <v>106066</v>
      </c>
      <c r="C7068" s="710" t="s">
        <v>5950</v>
      </c>
      <c r="D7068" s="709" t="s">
        <v>168</v>
      </c>
      <c r="E7068" s="716">
        <v>257.89</v>
      </c>
      <c r="F7068" s="717">
        <v>0.5262</v>
      </c>
      <c r="G7068">
        <f>VLOOKUP(B7068,'SINAPI-%MO'!B:E,4,0)</f>
        <v>9.5899999999999999E-2</v>
      </c>
      <c r="H7068" s="225">
        <f t="shared" si="110"/>
        <v>233.15</v>
      </c>
    </row>
    <row r="7069" spans="1:8" x14ac:dyDescent="0.3">
      <c r="A7069" s="400"/>
      <c r="B7069" s="709">
        <v>106048</v>
      </c>
      <c r="C7069" s="710" t="s">
        <v>5951</v>
      </c>
      <c r="D7069" s="709" t="s">
        <v>168</v>
      </c>
      <c r="E7069" s="716">
        <v>166.2</v>
      </c>
      <c r="F7069" s="717">
        <v>0.57420000000000004</v>
      </c>
      <c r="G7069">
        <f>VLOOKUP(B7069,'SINAPI-%MO'!B:E,4,0)</f>
        <v>0.15670000000000001</v>
      </c>
      <c r="H7069" s="225">
        <f t="shared" si="110"/>
        <v>140.15</v>
      </c>
    </row>
    <row r="7070" spans="1:8" x14ac:dyDescent="0.3">
      <c r="A7070" s="400"/>
      <c r="B7070" s="709">
        <v>106049</v>
      </c>
      <c r="C7070" s="710" t="s">
        <v>5952</v>
      </c>
      <c r="D7070" s="709" t="s">
        <v>168</v>
      </c>
      <c r="E7070" s="716">
        <v>175.78</v>
      </c>
      <c r="F7070" s="717">
        <v>0.57069999999999999</v>
      </c>
      <c r="G7070">
        <f>VLOOKUP(B7070,'SINAPI-%MO'!B:E,4,0)</f>
        <v>0.13719999999999999</v>
      </c>
      <c r="H7070" s="225">
        <f t="shared" si="110"/>
        <v>151.66</v>
      </c>
    </row>
    <row r="7071" spans="1:8" x14ac:dyDescent="0.3">
      <c r="A7071" s="400"/>
      <c r="B7071" s="709">
        <v>106050</v>
      </c>
      <c r="C7071" s="710" t="s">
        <v>5953</v>
      </c>
      <c r="D7071" s="709" t="s">
        <v>168</v>
      </c>
      <c r="E7071" s="716">
        <v>188.95</v>
      </c>
      <c r="F7071" s="717">
        <v>0.55589999999999995</v>
      </c>
      <c r="G7071">
        <f>VLOOKUP(B7071,'SINAPI-%MO'!B:E,4,0)</f>
        <v>0.13139999999999999</v>
      </c>
      <c r="H7071" s="225">
        <f t="shared" si="110"/>
        <v>164.12</v>
      </c>
    </row>
    <row r="7072" spans="1:8" x14ac:dyDescent="0.3">
      <c r="A7072" s="400"/>
      <c r="B7072" s="709">
        <v>106051</v>
      </c>
      <c r="C7072" s="710" t="s">
        <v>5954</v>
      </c>
      <c r="D7072" s="709" t="s">
        <v>168</v>
      </c>
      <c r="E7072" s="716">
        <v>231.18</v>
      </c>
      <c r="F7072" s="717">
        <v>0.54749999999999999</v>
      </c>
      <c r="G7072">
        <f>VLOOKUP(B7072,'SINAPI-%MO'!B:E,4,0)</f>
        <v>0.12089999999999999</v>
      </c>
      <c r="H7072" s="225">
        <f t="shared" si="110"/>
        <v>203.23</v>
      </c>
    </row>
    <row r="7073" spans="1:8" x14ac:dyDescent="0.3">
      <c r="A7073" s="400"/>
      <c r="B7073" s="709">
        <v>106063</v>
      </c>
      <c r="C7073" s="710" t="s">
        <v>5955</v>
      </c>
      <c r="D7073" s="709" t="s">
        <v>168</v>
      </c>
      <c r="E7073" s="716">
        <v>251.31</v>
      </c>
      <c r="F7073" s="717">
        <v>0.54</v>
      </c>
      <c r="G7073">
        <f>VLOOKUP(B7073,'SINAPI-%MO'!B:E,4,0)</f>
        <v>0.1148</v>
      </c>
      <c r="H7073" s="225">
        <f t="shared" si="110"/>
        <v>222.45</v>
      </c>
    </row>
    <row r="7074" spans="1:8" x14ac:dyDescent="0.3">
      <c r="A7074" s="400"/>
      <c r="B7074" s="709">
        <v>106052</v>
      </c>
      <c r="C7074" s="710" t="s">
        <v>5956</v>
      </c>
      <c r="D7074" s="709" t="s">
        <v>168</v>
      </c>
      <c r="E7074" s="716">
        <v>147.22</v>
      </c>
      <c r="F7074" s="717">
        <v>0.56940000000000002</v>
      </c>
      <c r="G7074">
        <f>VLOOKUP(B7074,'SINAPI-%MO'!B:E,4,0)</f>
        <v>0.14269999999999999</v>
      </c>
      <c r="H7074" s="225">
        <f t="shared" si="110"/>
        <v>126.21</v>
      </c>
    </row>
    <row r="7075" spans="1:8" x14ac:dyDescent="0.3">
      <c r="A7075" s="400"/>
      <c r="B7075" s="709">
        <v>106053</v>
      </c>
      <c r="C7075" s="710" t="s">
        <v>5957</v>
      </c>
      <c r="D7075" s="709" t="s">
        <v>168</v>
      </c>
      <c r="E7075" s="716">
        <v>163.78</v>
      </c>
      <c r="F7075" s="717">
        <v>0.59450000000000003</v>
      </c>
      <c r="G7075">
        <f>VLOOKUP(B7075,'SINAPI-%MO'!B:E,4,0)</f>
        <v>0.11559999999999999</v>
      </c>
      <c r="H7075" s="225">
        <f t="shared" si="110"/>
        <v>144.84</v>
      </c>
    </row>
    <row r="7076" spans="1:8" x14ac:dyDescent="0.3">
      <c r="A7076" s="400"/>
      <c r="B7076" s="709">
        <v>106054</v>
      </c>
      <c r="C7076" s="710" t="s">
        <v>5958</v>
      </c>
      <c r="D7076" s="709" t="s">
        <v>168</v>
      </c>
      <c r="E7076" s="716">
        <v>182.09</v>
      </c>
      <c r="F7076" s="717">
        <v>0.60270000000000001</v>
      </c>
      <c r="G7076">
        <f>VLOOKUP(B7076,'SINAPI-%MO'!B:E,4,0)</f>
        <v>0.1067</v>
      </c>
      <c r="H7076" s="225">
        <f t="shared" si="110"/>
        <v>162.66</v>
      </c>
    </row>
    <row r="7077" spans="1:8" x14ac:dyDescent="0.3">
      <c r="A7077" s="400"/>
      <c r="B7077" s="709">
        <v>106055</v>
      </c>
      <c r="C7077" s="710" t="s">
        <v>5959</v>
      </c>
      <c r="D7077" s="709" t="s">
        <v>168</v>
      </c>
      <c r="E7077" s="716">
        <v>213.22</v>
      </c>
      <c r="F7077" s="717">
        <v>0.57169999999999999</v>
      </c>
      <c r="G7077">
        <f>VLOOKUP(B7077,'SINAPI-%MO'!B:E,4,0)</f>
        <v>0.1051</v>
      </c>
      <c r="H7077" s="225">
        <f t="shared" si="110"/>
        <v>190.81</v>
      </c>
    </row>
    <row r="7078" spans="1:8" x14ac:dyDescent="0.3">
      <c r="A7078" s="400"/>
      <c r="B7078" s="709">
        <v>106064</v>
      </c>
      <c r="C7078" s="710" t="s">
        <v>5960</v>
      </c>
      <c r="D7078" s="709" t="s">
        <v>168</v>
      </c>
      <c r="E7078" s="716">
        <v>234.65</v>
      </c>
      <c r="F7078" s="717">
        <v>0.57840000000000003</v>
      </c>
      <c r="G7078">
        <f>VLOOKUP(B7078,'SINAPI-%MO'!B:E,4,0)</f>
        <v>9.8199999999999996E-2</v>
      </c>
      <c r="H7078" s="225">
        <f t="shared" si="110"/>
        <v>211.6</v>
      </c>
    </row>
    <row r="7079" spans="1:8" x14ac:dyDescent="0.3">
      <c r="A7079" s="400"/>
      <c r="B7079" s="709">
        <v>106067</v>
      </c>
      <c r="C7079" s="710" t="s">
        <v>5961</v>
      </c>
      <c r="D7079" s="709" t="s">
        <v>168</v>
      </c>
      <c r="E7079" s="716">
        <v>294.08999999999997</v>
      </c>
      <c r="F7079" s="717">
        <v>0.36670000000000003</v>
      </c>
      <c r="G7079">
        <f>VLOOKUP(B7079,'SINAPI-%MO'!B:E,4,0)</f>
        <v>0.17419999999999999</v>
      </c>
      <c r="H7079" s="225">
        <f t="shared" si="110"/>
        <v>242.85</v>
      </c>
    </row>
    <row r="7080" spans="1:8" x14ac:dyDescent="0.3">
      <c r="A7080" s="400"/>
      <c r="B7080" s="709">
        <v>106070</v>
      </c>
      <c r="C7080" s="710" t="s">
        <v>5962</v>
      </c>
      <c r="D7080" s="709" t="s">
        <v>168</v>
      </c>
      <c r="E7080" s="716">
        <v>333.38</v>
      </c>
      <c r="F7080" s="717">
        <v>0.35220000000000001</v>
      </c>
      <c r="G7080">
        <f>VLOOKUP(B7080,'SINAPI-%MO'!B:E,4,0)</f>
        <v>0.15079999999999999</v>
      </c>
      <c r="H7080" s="225">
        <f t="shared" si="110"/>
        <v>283.10000000000002</v>
      </c>
    </row>
    <row r="7081" spans="1:8" x14ac:dyDescent="0.3">
      <c r="A7081" s="400"/>
      <c r="B7081" s="709">
        <v>106071</v>
      </c>
      <c r="C7081" s="710" t="s">
        <v>5963</v>
      </c>
      <c r="D7081" s="709" t="s">
        <v>168</v>
      </c>
      <c r="E7081" s="716">
        <v>391.89</v>
      </c>
      <c r="F7081" s="717">
        <v>0.36259999999999998</v>
      </c>
      <c r="G7081">
        <f>VLOOKUP(B7081,'SINAPI-%MO'!B:E,4,0)</f>
        <v>0.1356</v>
      </c>
      <c r="H7081" s="225">
        <f t="shared" si="110"/>
        <v>338.74</v>
      </c>
    </row>
    <row r="7082" spans="1:8" x14ac:dyDescent="0.3">
      <c r="A7082" s="400"/>
      <c r="B7082" s="709">
        <v>106072</v>
      </c>
      <c r="C7082" s="710" t="s">
        <v>5964</v>
      </c>
      <c r="D7082" s="709" t="s">
        <v>168</v>
      </c>
      <c r="E7082" s="716">
        <v>428.27</v>
      </c>
      <c r="F7082" s="717">
        <v>0.30719999999999997</v>
      </c>
      <c r="G7082">
        <f>VLOOKUP(B7082,'SINAPI-%MO'!B:E,4,0)</f>
        <v>0.13650000000000001</v>
      </c>
      <c r="H7082" s="225">
        <f t="shared" si="110"/>
        <v>369.81</v>
      </c>
    </row>
    <row r="7083" spans="1:8" x14ac:dyDescent="0.3">
      <c r="A7083" s="400"/>
      <c r="B7083" s="709">
        <v>106073</v>
      </c>
      <c r="C7083" s="710" t="s">
        <v>5965</v>
      </c>
      <c r="D7083" s="709" t="s">
        <v>168</v>
      </c>
      <c r="E7083" s="716">
        <v>523.89</v>
      </c>
      <c r="F7083" s="717">
        <v>0.35299999999999998</v>
      </c>
      <c r="G7083">
        <f>VLOOKUP(B7083,'SINAPI-%MO'!B:E,4,0)</f>
        <v>0.11840000000000001</v>
      </c>
      <c r="H7083" s="225">
        <f t="shared" si="110"/>
        <v>461.86</v>
      </c>
    </row>
    <row r="7084" spans="1:8" x14ac:dyDescent="0.3">
      <c r="A7084" s="400"/>
      <c r="B7084" s="709">
        <v>106068</v>
      </c>
      <c r="C7084" s="710" t="s">
        <v>5966</v>
      </c>
      <c r="D7084" s="709" t="s">
        <v>168</v>
      </c>
      <c r="E7084" s="716">
        <v>292.88</v>
      </c>
      <c r="F7084" s="717">
        <v>0.39290000000000003</v>
      </c>
      <c r="G7084">
        <f>VLOOKUP(B7084,'SINAPI-%MO'!B:E,4,0)</f>
        <v>0.19639999999999999</v>
      </c>
      <c r="H7084" s="225">
        <f t="shared" si="110"/>
        <v>235.35</v>
      </c>
    </row>
    <row r="7085" spans="1:8" x14ac:dyDescent="0.3">
      <c r="A7085" s="400"/>
      <c r="B7085" s="709">
        <v>106069</v>
      </c>
      <c r="C7085" s="710" t="s">
        <v>5967</v>
      </c>
      <c r="D7085" s="709" t="s">
        <v>168</v>
      </c>
      <c r="E7085" s="716">
        <v>325.83999999999997</v>
      </c>
      <c r="F7085" s="717">
        <v>0.41899999999999998</v>
      </c>
      <c r="G7085">
        <f>VLOOKUP(B7085,'SINAPI-%MO'!B:E,4,0)</f>
        <v>0.17230000000000001</v>
      </c>
      <c r="H7085" s="225">
        <f t="shared" si="110"/>
        <v>269.69</v>
      </c>
    </row>
    <row r="7086" spans="1:8" x14ac:dyDescent="0.3">
      <c r="A7086" s="400"/>
      <c r="B7086" s="709">
        <v>106074</v>
      </c>
      <c r="C7086" s="710" t="s">
        <v>5968</v>
      </c>
      <c r="D7086" s="709" t="s">
        <v>168</v>
      </c>
      <c r="E7086" s="716">
        <v>353.67</v>
      </c>
      <c r="F7086" s="717">
        <v>0.43090000000000001</v>
      </c>
      <c r="G7086">
        <f>VLOOKUP(B7086,'SINAPI-%MO'!B:E,4,0)</f>
        <v>0.1575</v>
      </c>
      <c r="H7086" s="225">
        <f t="shared" si="110"/>
        <v>297.95999999999998</v>
      </c>
    </row>
    <row r="7087" spans="1:8" x14ac:dyDescent="0.3">
      <c r="A7087" s="400"/>
      <c r="B7087" s="709">
        <v>106075</v>
      </c>
      <c r="C7087" s="710" t="s">
        <v>5969</v>
      </c>
      <c r="D7087" s="709" t="s">
        <v>168</v>
      </c>
      <c r="E7087" s="716">
        <v>391.72</v>
      </c>
      <c r="F7087" s="717">
        <v>0.43769999999999998</v>
      </c>
      <c r="G7087">
        <f>VLOOKUP(B7087,'SINAPI-%MO'!B:E,4,0)</f>
        <v>0.14979999999999999</v>
      </c>
      <c r="H7087" s="225">
        <f t="shared" si="110"/>
        <v>333.04</v>
      </c>
    </row>
    <row r="7088" spans="1:8" x14ac:dyDescent="0.3">
      <c r="A7088" s="400"/>
      <c r="B7088" s="709">
        <v>106076</v>
      </c>
      <c r="C7088" s="710" t="s">
        <v>5970</v>
      </c>
      <c r="D7088" s="709" t="s">
        <v>168</v>
      </c>
      <c r="E7088" s="716">
        <v>460.17</v>
      </c>
      <c r="F7088" s="717">
        <v>0.48280000000000001</v>
      </c>
      <c r="G7088">
        <f>VLOOKUP(B7088,'SINAPI-%MO'!B:E,4,0)</f>
        <v>0.1308</v>
      </c>
      <c r="H7088" s="225">
        <f t="shared" si="110"/>
        <v>399.97</v>
      </c>
    </row>
    <row r="7089" spans="1:8" x14ac:dyDescent="0.3">
      <c r="A7089" s="400"/>
      <c r="B7089" s="709">
        <v>101964</v>
      </c>
      <c r="C7089" s="710" t="s">
        <v>5971</v>
      </c>
      <c r="D7089" s="709" t="s">
        <v>168</v>
      </c>
      <c r="E7089" s="716">
        <v>187.2</v>
      </c>
      <c r="F7089" s="717">
        <v>0.25209999999999999</v>
      </c>
      <c r="G7089">
        <f>VLOOKUP(B7089,'SINAPI-%MO'!B:E,4,0)</f>
        <v>0.22459999999999999</v>
      </c>
      <c r="H7089" s="225">
        <f t="shared" si="110"/>
        <v>145.15</v>
      </c>
    </row>
    <row r="7090" spans="1:8" x14ac:dyDescent="0.3">
      <c r="A7090" s="400"/>
      <c r="B7090" s="709">
        <v>106059</v>
      </c>
      <c r="C7090" s="710" t="s">
        <v>5972</v>
      </c>
      <c r="D7090" s="709" t="s">
        <v>168</v>
      </c>
      <c r="E7090" s="716">
        <v>201.76</v>
      </c>
      <c r="F7090" s="717">
        <v>0.31159999999999999</v>
      </c>
      <c r="G7090">
        <f>VLOOKUP(B7090,'SINAPI-%MO'!B:E,4,0)</f>
        <v>0.2029</v>
      </c>
      <c r="H7090" s="225">
        <f t="shared" si="110"/>
        <v>160.82</v>
      </c>
    </row>
    <row r="7091" spans="1:8" x14ac:dyDescent="0.3">
      <c r="A7091" s="400"/>
      <c r="B7091" s="709">
        <v>101963</v>
      </c>
      <c r="C7091" s="710" t="s">
        <v>5973</v>
      </c>
      <c r="D7091" s="709" t="s">
        <v>168</v>
      </c>
      <c r="E7091" s="716">
        <v>207.64</v>
      </c>
      <c r="F7091" s="717">
        <v>0.30969999999999998</v>
      </c>
      <c r="G7091">
        <f>VLOOKUP(B7091,'SINAPI-%MO'!B:E,4,0)</f>
        <v>0.2099</v>
      </c>
      <c r="H7091" s="225">
        <f t="shared" si="110"/>
        <v>164.05</v>
      </c>
    </row>
    <row r="7092" spans="1:8" x14ac:dyDescent="0.3">
      <c r="A7092" s="400"/>
      <c r="B7092" s="709">
        <v>101947</v>
      </c>
      <c r="C7092" s="710" t="s">
        <v>5974</v>
      </c>
      <c r="D7092" s="709" t="s">
        <v>168</v>
      </c>
      <c r="E7092" s="716">
        <v>213.02</v>
      </c>
      <c r="F7092" s="717">
        <v>0.33239999999999997</v>
      </c>
      <c r="G7092">
        <f>VLOOKUP(B7092,'SINAPI-%MO'!B:E,4,0)</f>
        <v>0.19939999999999999</v>
      </c>
      <c r="H7092" s="225">
        <f t="shared" si="110"/>
        <v>170.54</v>
      </c>
    </row>
    <row r="7093" spans="1:8" x14ac:dyDescent="0.3">
      <c r="A7093" s="400"/>
      <c r="B7093" s="709">
        <v>101948</v>
      </c>
      <c r="C7093" s="710" t="s">
        <v>5975</v>
      </c>
      <c r="D7093" s="709" t="s">
        <v>168</v>
      </c>
      <c r="E7093" s="716">
        <v>229.29</v>
      </c>
      <c r="F7093" s="717">
        <v>0.38600000000000001</v>
      </c>
      <c r="G7093">
        <f>VLOOKUP(B7093,'SINAPI-%MO'!B:E,4,0)</f>
        <v>0.16669999999999999</v>
      </c>
      <c r="H7093" s="225">
        <f t="shared" si="110"/>
        <v>191.06</v>
      </c>
    </row>
    <row r="7094" spans="1:8" x14ac:dyDescent="0.3">
      <c r="A7094" s="400"/>
      <c r="B7094" s="709">
        <v>101949</v>
      </c>
      <c r="C7094" s="710" t="s">
        <v>5976</v>
      </c>
      <c r="D7094" s="709" t="s">
        <v>168</v>
      </c>
      <c r="E7094" s="716">
        <v>241.8</v>
      </c>
      <c r="F7094" s="717">
        <v>0.40410000000000001</v>
      </c>
      <c r="G7094">
        <f>VLOOKUP(B7094,'SINAPI-%MO'!B:E,4,0)</f>
        <v>0.15279999999999999</v>
      </c>
      <c r="H7094" s="225">
        <f t="shared" si="110"/>
        <v>204.85</v>
      </c>
    </row>
    <row r="7095" spans="1:8" x14ac:dyDescent="0.3">
      <c r="A7095" s="400"/>
      <c r="B7095" s="709">
        <v>101950</v>
      </c>
      <c r="C7095" s="710" t="s">
        <v>5977</v>
      </c>
      <c r="D7095" s="709" t="s">
        <v>168</v>
      </c>
      <c r="E7095" s="716">
        <v>280.37</v>
      </c>
      <c r="F7095" s="717">
        <v>0.42509999999999998</v>
      </c>
      <c r="G7095">
        <f>VLOOKUP(B7095,'SINAPI-%MO'!B:E,4,0)</f>
        <v>0.13700000000000001</v>
      </c>
      <c r="H7095" s="225">
        <f t="shared" si="110"/>
        <v>241.95</v>
      </c>
    </row>
    <row r="7096" spans="1:8" x14ac:dyDescent="0.3">
      <c r="A7096" s="400"/>
      <c r="B7096" s="709">
        <v>106061</v>
      </c>
      <c r="C7096" s="710" t="s">
        <v>5978</v>
      </c>
      <c r="D7096" s="709" t="s">
        <v>168</v>
      </c>
      <c r="E7096" s="716">
        <v>319.51</v>
      </c>
      <c r="F7096" s="717">
        <v>0.4839</v>
      </c>
      <c r="G7096">
        <f>VLOOKUP(B7096,'SINAPI-%MO'!B:E,4,0)</f>
        <v>0.11749999999999999</v>
      </c>
      <c r="H7096" s="225">
        <f t="shared" si="110"/>
        <v>281.95999999999998</v>
      </c>
    </row>
    <row r="7097" spans="1:8" x14ac:dyDescent="0.3">
      <c r="A7097" s="400"/>
      <c r="B7097" s="709">
        <v>101951</v>
      </c>
      <c r="C7097" s="710" t="s">
        <v>5979</v>
      </c>
      <c r="D7097" s="709" t="s">
        <v>168</v>
      </c>
      <c r="E7097" s="716">
        <v>212.88</v>
      </c>
      <c r="F7097" s="717">
        <v>0.36309999999999998</v>
      </c>
      <c r="G7097">
        <f>VLOOKUP(B7097,'SINAPI-%MO'!B:E,4,0)</f>
        <v>0.17929999999999999</v>
      </c>
      <c r="H7097" s="225">
        <f t="shared" si="110"/>
        <v>174.71</v>
      </c>
    </row>
    <row r="7098" spans="1:8" x14ac:dyDescent="0.3">
      <c r="A7098" s="400"/>
      <c r="B7098" s="709">
        <v>101952</v>
      </c>
      <c r="C7098" s="710" t="s">
        <v>5980</v>
      </c>
      <c r="D7098" s="709" t="s">
        <v>168</v>
      </c>
      <c r="E7098" s="716">
        <v>233.75</v>
      </c>
      <c r="F7098" s="717">
        <v>0.42909999999999998</v>
      </c>
      <c r="G7098">
        <f>VLOOKUP(B7098,'SINAPI-%MO'!B:E,4,0)</f>
        <v>0.1421</v>
      </c>
      <c r="H7098" s="225">
        <f t="shared" si="110"/>
        <v>200.53</v>
      </c>
    </row>
    <row r="7099" spans="1:8" x14ac:dyDescent="0.3">
      <c r="A7099" s="400"/>
      <c r="B7099" s="709">
        <v>101953</v>
      </c>
      <c r="C7099" s="710" t="s">
        <v>5981</v>
      </c>
      <c r="D7099" s="709" t="s">
        <v>168</v>
      </c>
      <c r="E7099" s="716">
        <v>251.91</v>
      </c>
      <c r="F7099" s="717">
        <v>0.46250000000000002</v>
      </c>
      <c r="G7099">
        <f>VLOOKUP(B7099,'SINAPI-%MO'!B:E,4,0)</f>
        <v>0.1275</v>
      </c>
      <c r="H7099" s="225">
        <f t="shared" si="110"/>
        <v>219.79</v>
      </c>
    </row>
    <row r="7100" spans="1:8" x14ac:dyDescent="0.3">
      <c r="A7100" s="400"/>
      <c r="B7100" s="709">
        <v>101954</v>
      </c>
      <c r="C7100" s="710" t="s">
        <v>5982</v>
      </c>
      <c r="D7100" s="709" t="s">
        <v>168</v>
      </c>
      <c r="E7100" s="716">
        <v>289</v>
      </c>
      <c r="F7100" s="717">
        <v>0.4743</v>
      </c>
      <c r="G7100">
        <f>VLOOKUP(B7100,'SINAPI-%MO'!B:E,4,0)</f>
        <v>0.11700000000000001</v>
      </c>
      <c r="H7100" s="225">
        <f t="shared" si="110"/>
        <v>255.18</v>
      </c>
    </row>
    <row r="7101" spans="1:8" x14ac:dyDescent="0.3">
      <c r="A7101" s="400"/>
      <c r="B7101" s="709">
        <v>106062</v>
      </c>
      <c r="C7101" s="710" t="s">
        <v>5983</v>
      </c>
      <c r="D7101" s="709" t="s">
        <v>168</v>
      </c>
      <c r="E7101" s="716">
        <v>314.64999999999998</v>
      </c>
      <c r="F7101" s="717">
        <v>0.53129999999999999</v>
      </c>
      <c r="G7101">
        <f>VLOOKUP(B7101,'SINAPI-%MO'!B:E,4,0)</f>
        <v>0.1033</v>
      </c>
      <c r="H7101" s="225">
        <f t="shared" si="110"/>
        <v>282.14</v>
      </c>
    </row>
    <row r="7102" spans="1:8" x14ac:dyDescent="0.3">
      <c r="A7102" s="400"/>
      <c r="B7102" s="709">
        <v>100323</v>
      </c>
      <c r="C7102" s="710" t="s">
        <v>5984</v>
      </c>
      <c r="D7102" s="709" t="s">
        <v>170</v>
      </c>
      <c r="E7102" s="716">
        <v>184.84</v>
      </c>
      <c r="F7102" s="717">
        <v>0</v>
      </c>
      <c r="G7102">
        <f>VLOOKUP(B7102,'SINAPI-%MO'!B:E,4,0)</f>
        <v>0.3543</v>
      </c>
      <c r="H7102" s="225">
        <f t="shared" si="110"/>
        <v>119.35</v>
      </c>
    </row>
    <row r="7103" spans="1:8" x14ac:dyDescent="0.3">
      <c r="A7103" s="400"/>
      <c r="B7103" s="709">
        <v>100324</v>
      </c>
      <c r="C7103" s="710" t="s">
        <v>5985</v>
      </c>
      <c r="D7103" s="709" t="s">
        <v>170</v>
      </c>
      <c r="E7103" s="716">
        <v>187.72</v>
      </c>
      <c r="F7103" s="717">
        <v>0</v>
      </c>
      <c r="G7103">
        <f>VLOOKUP(B7103,'SINAPI-%MO'!B:E,4,0)</f>
        <v>0.3488</v>
      </c>
      <c r="H7103" s="225">
        <f t="shared" si="110"/>
        <v>122.24</v>
      </c>
    </row>
    <row r="7104" spans="1:8" x14ac:dyDescent="0.3">
      <c r="A7104" s="400"/>
      <c r="B7104" s="709">
        <v>96624</v>
      </c>
      <c r="C7104" s="710" t="s">
        <v>271</v>
      </c>
      <c r="D7104" s="709" t="s">
        <v>170</v>
      </c>
      <c r="E7104" s="716">
        <v>188.05</v>
      </c>
      <c r="F7104" s="717">
        <v>0</v>
      </c>
      <c r="G7104">
        <f>VLOOKUP(B7104,'SINAPI-%MO'!B:E,4,0)</f>
        <v>0.34820000000000001</v>
      </c>
      <c r="H7104" s="225">
        <f t="shared" si="110"/>
        <v>122.57</v>
      </c>
    </row>
    <row r="7105" spans="1:8" x14ac:dyDescent="0.3">
      <c r="A7105" s="400"/>
      <c r="B7105" s="709">
        <v>100322</v>
      </c>
      <c r="C7105" s="710" t="s">
        <v>275</v>
      </c>
      <c r="D7105" s="709" t="s">
        <v>170</v>
      </c>
      <c r="E7105" s="716">
        <v>180.67</v>
      </c>
      <c r="F7105" s="717">
        <v>0</v>
      </c>
      <c r="G7105">
        <f>VLOOKUP(B7105,'SINAPI-%MO'!B:E,4,0)</f>
        <v>0.3624</v>
      </c>
      <c r="H7105" s="225">
        <f t="shared" si="110"/>
        <v>115.19</v>
      </c>
    </row>
    <row r="7106" spans="1:8" x14ac:dyDescent="0.3">
      <c r="A7106" s="400"/>
      <c r="B7106" s="709">
        <v>96623</v>
      </c>
      <c r="C7106" s="710" t="s">
        <v>5986</v>
      </c>
      <c r="D7106" s="709" t="s">
        <v>170</v>
      </c>
      <c r="E7106" s="716">
        <v>204.6</v>
      </c>
      <c r="F7106" s="717">
        <v>0</v>
      </c>
      <c r="G7106">
        <f>VLOOKUP(B7106,'SINAPI-%MO'!B:E,4,0)</f>
        <v>0.3987</v>
      </c>
      <c r="H7106" s="225">
        <f t="shared" si="110"/>
        <v>123.02</v>
      </c>
    </row>
    <row r="7107" spans="1:8" x14ac:dyDescent="0.3">
      <c r="A7107" s="400"/>
      <c r="B7107" s="709">
        <v>96622</v>
      </c>
      <c r="C7107" s="710" t="s">
        <v>5987</v>
      </c>
      <c r="D7107" s="709" t="s">
        <v>170</v>
      </c>
      <c r="E7107" s="716">
        <v>222.23</v>
      </c>
      <c r="F7107" s="717">
        <v>0</v>
      </c>
      <c r="G7107">
        <f>VLOOKUP(B7107,'SINAPI-%MO'!B:E,4,0)</f>
        <v>0.36070000000000002</v>
      </c>
      <c r="H7107" s="225">
        <f t="shared" si="110"/>
        <v>142.07</v>
      </c>
    </row>
    <row r="7108" spans="1:8" x14ac:dyDescent="0.3">
      <c r="A7108" s="400"/>
      <c r="B7108" s="709">
        <v>96621</v>
      </c>
      <c r="C7108" s="710" t="s">
        <v>5988</v>
      </c>
      <c r="D7108" s="709" t="s">
        <v>170</v>
      </c>
      <c r="E7108" s="716">
        <v>238.78</v>
      </c>
      <c r="F7108" s="717">
        <v>0</v>
      </c>
      <c r="G7108">
        <f>VLOOKUP(B7108,'SINAPI-%MO'!B:E,4,0)</f>
        <v>0.40310000000000001</v>
      </c>
      <c r="H7108" s="225">
        <f t="shared" si="110"/>
        <v>142.52000000000001</v>
      </c>
    </row>
    <row r="7109" spans="1:8" x14ac:dyDescent="0.3">
      <c r="A7109" s="400"/>
      <c r="B7109" s="709">
        <v>96617</v>
      </c>
      <c r="C7109" s="710" t="s">
        <v>5989</v>
      </c>
      <c r="D7109" s="709" t="s">
        <v>168</v>
      </c>
      <c r="E7109" s="716">
        <v>22.22</v>
      </c>
      <c r="F7109" s="717">
        <v>0</v>
      </c>
      <c r="G7109">
        <f>VLOOKUP(B7109,'SINAPI-%MO'!B:E,4,0)</f>
        <v>0.46529999999999999</v>
      </c>
      <c r="H7109" s="225">
        <f t="shared" si="110"/>
        <v>11.88</v>
      </c>
    </row>
    <row r="7110" spans="1:8" x14ac:dyDescent="0.3">
      <c r="A7110" s="400"/>
      <c r="B7110" s="709">
        <v>96619</v>
      </c>
      <c r="C7110" s="710" t="s">
        <v>5990</v>
      </c>
      <c r="D7110" s="709" t="s">
        <v>168</v>
      </c>
      <c r="E7110" s="716">
        <v>44.48</v>
      </c>
      <c r="F7110" s="717">
        <v>0</v>
      </c>
      <c r="G7110">
        <f>VLOOKUP(B7110,'SINAPI-%MO'!B:E,4,0)</f>
        <v>0.45660000000000001</v>
      </c>
      <c r="H7110" s="225">
        <f t="shared" si="110"/>
        <v>24.17</v>
      </c>
    </row>
    <row r="7111" spans="1:8" x14ac:dyDescent="0.3">
      <c r="A7111" s="400"/>
      <c r="B7111" s="709">
        <v>96616</v>
      </c>
      <c r="C7111" s="710" t="s">
        <v>5991</v>
      </c>
      <c r="D7111" s="709" t="s">
        <v>170</v>
      </c>
      <c r="E7111" s="716">
        <v>889.9</v>
      </c>
      <c r="F7111" s="717">
        <v>0</v>
      </c>
      <c r="G7111">
        <f>VLOOKUP(B7111,'SINAPI-%MO'!B:E,4,0)</f>
        <v>0.45679999999999998</v>
      </c>
      <c r="H7111" s="225">
        <f t="shared" si="110"/>
        <v>483.39</v>
      </c>
    </row>
    <row r="7112" spans="1:8" x14ac:dyDescent="0.3">
      <c r="A7112" s="400"/>
      <c r="B7112" s="709">
        <v>95240</v>
      </c>
      <c r="C7112" s="710" t="s">
        <v>5992</v>
      </c>
      <c r="D7112" s="709" t="s">
        <v>168</v>
      </c>
      <c r="E7112" s="716">
        <v>21.33</v>
      </c>
      <c r="F7112" s="717">
        <v>0</v>
      </c>
      <c r="G7112">
        <f>VLOOKUP(B7112,'SINAPI-%MO'!B:E,4,0)</f>
        <v>0.443</v>
      </c>
      <c r="H7112" s="225">
        <f t="shared" si="110"/>
        <v>11.88</v>
      </c>
    </row>
    <row r="7113" spans="1:8" x14ac:dyDescent="0.3">
      <c r="A7113" s="400"/>
      <c r="B7113" s="709">
        <v>95241</v>
      </c>
      <c r="C7113" s="710" t="s">
        <v>5993</v>
      </c>
      <c r="D7113" s="709" t="s">
        <v>168</v>
      </c>
      <c r="E7113" s="716">
        <v>41.05</v>
      </c>
      <c r="F7113" s="717">
        <v>0</v>
      </c>
      <c r="G7113">
        <f>VLOOKUP(B7113,'SINAPI-%MO'!B:E,4,0)</f>
        <v>0.41120000000000001</v>
      </c>
      <c r="H7113" s="225">
        <f t="shared" si="110"/>
        <v>24.17</v>
      </c>
    </row>
    <row r="7114" spans="1:8" x14ac:dyDescent="0.3">
      <c r="A7114" s="400"/>
      <c r="B7114" s="709">
        <v>96620</v>
      </c>
      <c r="C7114" s="710" t="s">
        <v>286</v>
      </c>
      <c r="D7114" s="709" t="s">
        <v>170</v>
      </c>
      <c r="E7114" s="716">
        <v>821.2</v>
      </c>
      <c r="F7114" s="717">
        <v>0</v>
      </c>
      <c r="G7114">
        <f>VLOOKUP(B7114,'SINAPI-%MO'!B:E,4,0)</f>
        <v>0.4113</v>
      </c>
      <c r="H7114" s="225">
        <f t="shared" si="110"/>
        <v>483.44</v>
      </c>
    </row>
    <row r="7115" spans="1:8" x14ac:dyDescent="0.3">
      <c r="A7115" s="400"/>
      <c r="B7115" s="709">
        <v>104043</v>
      </c>
      <c r="C7115" s="710" t="s">
        <v>5994</v>
      </c>
      <c r="D7115" s="709" t="s">
        <v>136</v>
      </c>
      <c r="E7115" s="716">
        <v>10.85</v>
      </c>
      <c r="F7115" s="717">
        <v>0</v>
      </c>
      <c r="G7115">
        <f>VLOOKUP(B7115,'SINAPI-%MO'!B:E,4,0)</f>
        <v>0.34010000000000001</v>
      </c>
      <c r="H7115" s="225">
        <f t="shared" ref="H7115:H7178" si="111">IF(E7115&gt;0,TRUNC(E7115*(1-G7115),2),"")</f>
        <v>7.15</v>
      </c>
    </row>
    <row r="7116" spans="1:8" x14ac:dyDescent="0.3">
      <c r="A7116" s="400"/>
      <c r="B7116" s="709">
        <v>104044</v>
      </c>
      <c r="C7116" s="710" t="s">
        <v>5995</v>
      </c>
      <c r="D7116" s="709" t="s">
        <v>136</v>
      </c>
      <c r="E7116" s="716">
        <v>11.15</v>
      </c>
      <c r="F7116" s="717">
        <v>0</v>
      </c>
      <c r="G7116">
        <f>VLOOKUP(B7116,'SINAPI-%MO'!B:E,4,0)</f>
        <v>0.39100000000000001</v>
      </c>
      <c r="H7116" s="225">
        <f t="shared" si="111"/>
        <v>6.79</v>
      </c>
    </row>
    <row r="7117" spans="1:8" x14ac:dyDescent="0.3">
      <c r="A7117" s="400"/>
      <c r="B7117" s="709">
        <v>104045</v>
      </c>
      <c r="C7117" s="710" t="s">
        <v>5996</v>
      </c>
      <c r="D7117" s="709" t="s">
        <v>136</v>
      </c>
      <c r="E7117" s="716">
        <v>19.04</v>
      </c>
      <c r="F7117" s="717">
        <v>0</v>
      </c>
      <c r="G7117">
        <f>VLOOKUP(B7117,'SINAPI-%MO'!B:E,4,0)</f>
        <v>0.26369999999999999</v>
      </c>
      <c r="H7117" s="225">
        <f t="shared" si="111"/>
        <v>14.01</v>
      </c>
    </row>
    <row r="7118" spans="1:8" x14ac:dyDescent="0.3">
      <c r="A7118" s="400"/>
      <c r="B7118" s="709">
        <v>104049</v>
      </c>
      <c r="C7118" s="710" t="s">
        <v>5997</v>
      </c>
      <c r="D7118" s="709" t="s">
        <v>136</v>
      </c>
      <c r="E7118" s="716">
        <v>5.55</v>
      </c>
      <c r="F7118" s="717">
        <v>0</v>
      </c>
      <c r="G7118">
        <f>VLOOKUP(B7118,'SINAPI-%MO'!B:E,4,0)</f>
        <v>0.75680000000000003</v>
      </c>
      <c r="H7118" s="225">
        <f t="shared" si="111"/>
        <v>1.34</v>
      </c>
    </row>
    <row r="7119" spans="1:8" x14ac:dyDescent="0.3">
      <c r="A7119" s="400"/>
      <c r="B7119" s="709">
        <v>104050</v>
      </c>
      <c r="C7119" s="710" t="s">
        <v>5998</v>
      </c>
      <c r="D7119" s="709" t="s">
        <v>136</v>
      </c>
      <c r="E7119" s="716">
        <v>8.5500000000000007</v>
      </c>
      <c r="F7119" s="717">
        <v>0</v>
      </c>
      <c r="G7119">
        <f>VLOOKUP(B7119,'SINAPI-%MO'!B:E,4,0)</f>
        <v>0.67020000000000002</v>
      </c>
      <c r="H7119" s="225">
        <f t="shared" si="111"/>
        <v>2.81</v>
      </c>
    </row>
    <row r="7120" spans="1:8" x14ac:dyDescent="0.3">
      <c r="A7120" s="400"/>
      <c r="B7120" s="709">
        <v>104084</v>
      </c>
      <c r="C7120" s="710" t="s">
        <v>5999</v>
      </c>
      <c r="D7120" s="709" t="s">
        <v>136</v>
      </c>
      <c r="E7120" s="716">
        <v>100.96</v>
      </c>
      <c r="F7120" s="717">
        <v>0</v>
      </c>
      <c r="G7120">
        <f>VLOOKUP(B7120,'SINAPI-%MO'!B:E,4,0)</f>
        <v>3.6299999999999999E-2</v>
      </c>
      <c r="H7120" s="225">
        <f t="shared" si="111"/>
        <v>97.29</v>
      </c>
    </row>
    <row r="7121" spans="1:8" x14ac:dyDescent="0.3">
      <c r="A7121" s="400"/>
      <c r="B7121" s="709">
        <v>104037</v>
      </c>
      <c r="C7121" s="710" t="s">
        <v>6000</v>
      </c>
      <c r="D7121" s="709" t="s">
        <v>136</v>
      </c>
      <c r="E7121" s="716">
        <v>0</v>
      </c>
      <c r="F7121" s="717"/>
      <c r="G7121" t="e">
        <f>VLOOKUP(B7121,'SINAPI-%MO'!B:E,4,0)</f>
        <v>#N/A</v>
      </c>
      <c r="H7121" s="225" t="str">
        <f t="shared" si="111"/>
        <v/>
      </c>
    </row>
    <row r="7122" spans="1:8" x14ac:dyDescent="0.3">
      <c r="A7122" s="400"/>
      <c r="B7122" s="709">
        <v>104035</v>
      </c>
      <c r="C7122" s="710" t="s">
        <v>6001</v>
      </c>
      <c r="D7122" s="709" t="s">
        <v>136</v>
      </c>
      <c r="E7122" s="716">
        <v>47.1</v>
      </c>
      <c r="F7122" s="717">
        <v>0</v>
      </c>
      <c r="G7122">
        <f>VLOOKUP(B7122,'SINAPI-%MO'!B:E,4,0)</f>
        <v>0.4</v>
      </c>
      <c r="H7122" s="225">
        <f t="shared" si="111"/>
        <v>28.26</v>
      </c>
    </row>
    <row r="7123" spans="1:8" x14ac:dyDescent="0.3">
      <c r="A7123" s="400"/>
      <c r="B7123" s="709">
        <v>104036</v>
      </c>
      <c r="C7123" s="710" t="s">
        <v>6002</v>
      </c>
      <c r="D7123" s="709" t="s">
        <v>136</v>
      </c>
      <c r="E7123" s="716">
        <v>48.53</v>
      </c>
      <c r="F7123" s="717">
        <v>0</v>
      </c>
      <c r="G7123">
        <f>VLOOKUP(B7123,'SINAPI-%MO'!B:E,4,0)</f>
        <v>0.40200000000000002</v>
      </c>
      <c r="H7123" s="225">
        <f t="shared" si="111"/>
        <v>29.02</v>
      </c>
    </row>
    <row r="7124" spans="1:8" x14ac:dyDescent="0.3">
      <c r="A7124" s="400"/>
      <c r="B7124" s="709">
        <v>104034</v>
      </c>
      <c r="C7124" s="710" t="s">
        <v>6003</v>
      </c>
      <c r="D7124" s="709" t="s">
        <v>136</v>
      </c>
      <c r="E7124" s="716">
        <v>29.88</v>
      </c>
      <c r="F7124" s="717">
        <v>0.69910000000000005</v>
      </c>
      <c r="G7124">
        <f>VLOOKUP(B7124,'SINAPI-%MO'!B:E,4,0)</f>
        <v>0.3009</v>
      </c>
      <c r="H7124" s="225">
        <f t="shared" si="111"/>
        <v>20.88</v>
      </c>
    </row>
    <row r="7125" spans="1:8" x14ac:dyDescent="0.3">
      <c r="A7125" s="400"/>
      <c r="B7125" s="709">
        <v>104031</v>
      </c>
      <c r="C7125" s="710" t="s">
        <v>6004</v>
      </c>
      <c r="D7125" s="709" t="s">
        <v>136</v>
      </c>
      <c r="E7125" s="716">
        <v>19.46</v>
      </c>
      <c r="F7125" s="717">
        <v>0.56469999999999998</v>
      </c>
      <c r="G7125">
        <f>VLOOKUP(B7125,'SINAPI-%MO'!B:E,4,0)</f>
        <v>0.43530000000000002</v>
      </c>
      <c r="H7125" s="225">
        <f t="shared" si="111"/>
        <v>10.98</v>
      </c>
    </row>
    <row r="7126" spans="1:8" x14ac:dyDescent="0.3">
      <c r="A7126" s="400"/>
      <c r="B7126" s="709">
        <v>104032</v>
      </c>
      <c r="C7126" s="710" t="s">
        <v>6005</v>
      </c>
      <c r="D7126" s="709" t="s">
        <v>136</v>
      </c>
      <c r="E7126" s="716">
        <v>24.9</v>
      </c>
      <c r="F7126" s="717">
        <v>0.65180000000000005</v>
      </c>
      <c r="G7126">
        <f>VLOOKUP(B7126,'SINAPI-%MO'!B:E,4,0)</f>
        <v>0.34820000000000001</v>
      </c>
      <c r="H7126" s="225">
        <f t="shared" si="111"/>
        <v>16.22</v>
      </c>
    </row>
    <row r="7127" spans="1:8" x14ac:dyDescent="0.3">
      <c r="A7127" s="400"/>
      <c r="B7127" s="709">
        <v>104033</v>
      </c>
      <c r="C7127" s="710" t="s">
        <v>6006</v>
      </c>
      <c r="D7127" s="709" t="s">
        <v>136</v>
      </c>
      <c r="E7127" s="716">
        <v>22.52</v>
      </c>
      <c r="F7127" s="717">
        <v>0.61060000000000003</v>
      </c>
      <c r="G7127">
        <f>VLOOKUP(B7127,'SINAPI-%MO'!B:E,4,0)</f>
        <v>0.38940000000000002</v>
      </c>
      <c r="H7127" s="225">
        <f t="shared" si="111"/>
        <v>13.75</v>
      </c>
    </row>
    <row r="7128" spans="1:8" x14ac:dyDescent="0.3">
      <c r="A7128" s="400"/>
      <c r="B7128" s="709">
        <v>104038</v>
      </c>
      <c r="C7128" s="710" t="s">
        <v>6007</v>
      </c>
      <c r="D7128" s="709" t="s">
        <v>136</v>
      </c>
      <c r="E7128" s="716">
        <v>0</v>
      </c>
      <c r="F7128" s="717"/>
      <c r="G7128" t="e">
        <f>VLOOKUP(B7128,'SINAPI-%MO'!B:E,4,0)</f>
        <v>#N/A</v>
      </c>
      <c r="H7128" s="225" t="str">
        <f t="shared" si="111"/>
        <v/>
      </c>
    </row>
    <row r="7129" spans="1:8" x14ac:dyDescent="0.3">
      <c r="A7129" s="400"/>
      <c r="B7129" s="709">
        <v>104051</v>
      </c>
      <c r="C7129" s="710" t="s">
        <v>6008</v>
      </c>
      <c r="D7129" s="709" t="s">
        <v>136</v>
      </c>
      <c r="E7129" s="716">
        <v>9.5500000000000007</v>
      </c>
      <c r="F7129" s="717">
        <v>0</v>
      </c>
      <c r="G7129">
        <f>VLOOKUP(B7129,'SINAPI-%MO'!B:E,4,0)</f>
        <v>0.3654</v>
      </c>
      <c r="H7129" s="225">
        <f t="shared" si="111"/>
        <v>6.06</v>
      </c>
    </row>
    <row r="7130" spans="1:8" x14ac:dyDescent="0.3">
      <c r="A7130" s="400"/>
      <c r="B7130" s="709">
        <v>104052</v>
      </c>
      <c r="C7130" s="710" t="s">
        <v>6009</v>
      </c>
      <c r="D7130" s="709" t="s">
        <v>136</v>
      </c>
      <c r="E7130" s="716">
        <v>13.47</v>
      </c>
      <c r="F7130" s="717">
        <v>0</v>
      </c>
      <c r="G7130">
        <f>VLOOKUP(B7130,'SINAPI-%MO'!B:E,4,0)</f>
        <v>0.35339999999999999</v>
      </c>
      <c r="H7130" s="225">
        <f t="shared" si="111"/>
        <v>8.6999999999999993</v>
      </c>
    </row>
    <row r="7131" spans="1:8" x14ac:dyDescent="0.3">
      <c r="A7131" s="400"/>
      <c r="B7131" s="709">
        <v>104046</v>
      </c>
      <c r="C7131" s="710" t="s">
        <v>6010</v>
      </c>
      <c r="D7131" s="709" t="s">
        <v>136</v>
      </c>
      <c r="E7131" s="716">
        <v>10.220000000000001</v>
      </c>
      <c r="F7131" s="717">
        <v>0</v>
      </c>
      <c r="G7131">
        <f>VLOOKUP(B7131,'SINAPI-%MO'!B:E,4,0)</f>
        <v>0.36109999999999998</v>
      </c>
      <c r="H7131" s="225">
        <f t="shared" si="111"/>
        <v>6.52</v>
      </c>
    </row>
    <row r="7132" spans="1:8" x14ac:dyDescent="0.3">
      <c r="A7132" s="400"/>
      <c r="B7132" s="709">
        <v>104047</v>
      </c>
      <c r="C7132" s="710" t="s">
        <v>6011</v>
      </c>
      <c r="D7132" s="709" t="s">
        <v>136</v>
      </c>
      <c r="E7132" s="716">
        <v>11.79</v>
      </c>
      <c r="F7132" s="717">
        <v>0</v>
      </c>
      <c r="G7132">
        <f>VLOOKUP(B7132,'SINAPI-%MO'!B:E,4,0)</f>
        <v>0.36980000000000002</v>
      </c>
      <c r="H7132" s="225">
        <f t="shared" si="111"/>
        <v>7.43</v>
      </c>
    </row>
    <row r="7133" spans="1:8" x14ac:dyDescent="0.3">
      <c r="A7133" s="400"/>
      <c r="B7133" s="709">
        <v>104048</v>
      </c>
      <c r="C7133" s="710" t="s">
        <v>6012</v>
      </c>
      <c r="D7133" s="709" t="s">
        <v>136</v>
      </c>
      <c r="E7133" s="716">
        <v>18.48</v>
      </c>
      <c r="F7133" s="717">
        <v>0</v>
      </c>
      <c r="G7133">
        <f>VLOOKUP(B7133,'SINAPI-%MO'!B:E,4,0)</f>
        <v>0.27160000000000001</v>
      </c>
      <c r="H7133" s="225">
        <f t="shared" si="111"/>
        <v>13.46</v>
      </c>
    </row>
    <row r="7134" spans="1:8" x14ac:dyDescent="0.3">
      <c r="A7134" s="400"/>
      <c r="B7134" s="709">
        <v>104063</v>
      </c>
      <c r="C7134" s="710" t="s">
        <v>6013</v>
      </c>
      <c r="D7134" s="709" t="s">
        <v>136</v>
      </c>
      <c r="E7134" s="716">
        <v>84.77</v>
      </c>
      <c r="F7134" s="717">
        <v>0</v>
      </c>
      <c r="G7134">
        <f>VLOOKUP(B7134,'SINAPI-%MO'!B:E,4,0)</f>
        <v>8.3000000000000004E-2</v>
      </c>
      <c r="H7134" s="225">
        <f t="shared" si="111"/>
        <v>77.73</v>
      </c>
    </row>
    <row r="7135" spans="1:8" x14ac:dyDescent="0.3">
      <c r="A7135" s="400"/>
      <c r="B7135" s="709">
        <v>104065</v>
      </c>
      <c r="C7135" s="710" t="s">
        <v>6014</v>
      </c>
      <c r="D7135" s="709" t="s">
        <v>136</v>
      </c>
      <c r="E7135" s="716">
        <v>186.01</v>
      </c>
      <c r="F7135" s="717">
        <v>0</v>
      </c>
      <c r="G7135">
        <f>VLOOKUP(B7135,'SINAPI-%MO'!B:E,4,0)</f>
        <v>3.95E-2</v>
      </c>
      <c r="H7135" s="225">
        <f t="shared" si="111"/>
        <v>178.66</v>
      </c>
    </row>
    <row r="7136" spans="1:8" x14ac:dyDescent="0.3">
      <c r="A7136" s="400"/>
      <c r="B7136" s="709">
        <v>104062</v>
      </c>
      <c r="C7136" s="710" t="s">
        <v>6015</v>
      </c>
      <c r="D7136" s="709" t="s">
        <v>136</v>
      </c>
      <c r="E7136" s="716">
        <v>89.41</v>
      </c>
      <c r="F7136" s="717">
        <v>0</v>
      </c>
      <c r="G7136">
        <f>VLOOKUP(B7136,'SINAPI-%MO'!B:E,4,0)</f>
        <v>7.8700000000000006E-2</v>
      </c>
      <c r="H7136" s="225">
        <f t="shared" si="111"/>
        <v>82.37</v>
      </c>
    </row>
    <row r="7137" spans="1:8" x14ac:dyDescent="0.3">
      <c r="A7137" s="400"/>
      <c r="B7137" s="709">
        <v>104064</v>
      </c>
      <c r="C7137" s="710" t="s">
        <v>6016</v>
      </c>
      <c r="D7137" s="709" t="s">
        <v>136</v>
      </c>
      <c r="E7137" s="716">
        <v>220.94</v>
      </c>
      <c r="F7137" s="717">
        <v>0</v>
      </c>
      <c r="G7137">
        <f>VLOOKUP(B7137,'SINAPI-%MO'!B:E,4,0)</f>
        <v>3.32E-2</v>
      </c>
      <c r="H7137" s="225">
        <f t="shared" si="111"/>
        <v>213.6</v>
      </c>
    </row>
    <row r="7138" spans="1:8" x14ac:dyDescent="0.3">
      <c r="A7138" s="400"/>
      <c r="B7138" s="709">
        <v>104059</v>
      </c>
      <c r="C7138" s="710" t="s">
        <v>6017</v>
      </c>
      <c r="D7138" s="709" t="s">
        <v>136</v>
      </c>
      <c r="E7138" s="716">
        <v>11.16</v>
      </c>
      <c r="F7138" s="717">
        <v>0</v>
      </c>
      <c r="G7138">
        <f>VLOOKUP(B7138,'SINAPI-%MO'!B:E,4,0)</f>
        <v>0.47399999999999998</v>
      </c>
      <c r="H7138" s="225">
        <f t="shared" si="111"/>
        <v>5.87</v>
      </c>
    </row>
    <row r="7139" spans="1:8" x14ac:dyDescent="0.3">
      <c r="A7139" s="400"/>
      <c r="B7139" s="709">
        <v>104058</v>
      </c>
      <c r="C7139" s="710" t="s">
        <v>6018</v>
      </c>
      <c r="D7139" s="709" t="s">
        <v>136</v>
      </c>
      <c r="E7139" s="716">
        <v>7.5</v>
      </c>
      <c r="F7139" s="717">
        <v>0</v>
      </c>
      <c r="G7139">
        <f>VLOOKUP(B7139,'SINAPI-%MO'!B:E,4,0)</f>
        <v>0.748</v>
      </c>
      <c r="H7139" s="225">
        <f t="shared" si="111"/>
        <v>1.89</v>
      </c>
    </row>
    <row r="7140" spans="1:8" x14ac:dyDescent="0.3">
      <c r="A7140" s="400"/>
      <c r="B7140" s="709">
        <v>104082</v>
      </c>
      <c r="C7140" s="710" t="s">
        <v>6019</v>
      </c>
      <c r="D7140" s="709" t="s">
        <v>136</v>
      </c>
      <c r="E7140" s="716">
        <v>35.81</v>
      </c>
      <c r="F7140" s="717">
        <v>0</v>
      </c>
      <c r="G7140">
        <f>VLOOKUP(B7140,'SINAPI-%MO'!B:E,4,0)</f>
        <v>9.8299999999999998E-2</v>
      </c>
      <c r="H7140" s="225">
        <f t="shared" si="111"/>
        <v>32.28</v>
      </c>
    </row>
    <row r="7141" spans="1:8" x14ac:dyDescent="0.3">
      <c r="A7141" s="400"/>
      <c r="B7141" s="709">
        <v>104083</v>
      </c>
      <c r="C7141" s="710" t="s">
        <v>6020</v>
      </c>
      <c r="D7141" s="709" t="s">
        <v>136</v>
      </c>
      <c r="E7141" s="716">
        <v>87.8</v>
      </c>
      <c r="F7141" s="717">
        <v>0</v>
      </c>
      <c r="G7141">
        <f>VLOOKUP(B7141,'SINAPI-%MO'!B:E,4,0)</f>
        <v>4.1700000000000001E-2</v>
      </c>
      <c r="H7141" s="225">
        <f t="shared" si="111"/>
        <v>84.13</v>
      </c>
    </row>
    <row r="7142" spans="1:8" x14ac:dyDescent="0.3">
      <c r="A7142" s="400"/>
      <c r="B7142" s="709">
        <v>104057</v>
      </c>
      <c r="C7142" s="710" t="s">
        <v>6021</v>
      </c>
      <c r="D7142" s="709" t="s">
        <v>136</v>
      </c>
      <c r="E7142" s="716">
        <v>0</v>
      </c>
      <c r="F7142" s="717"/>
      <c r="G7142" t="e">
        <f>VLOOKUP(B7142,'SINAPI-%MO'!B:E,4,0)</f>
        <v>#N/A</v>
      </c>
      <c r="H7142" s="225" t="str">
        <f t="shared" si="111"/>
        <v/>
      </c>
    </row>
    <row r="7143" spans="1:8" x14ac:dyDescent="0.3">
      <c r="A7143" s="400"/>
      <c r="B7143" s="709">
        <v>104056</v>
      </c>
      <c r="C7143" s="710" t="s">
        <v>6022</v>
      </c>
      <c r="D7143" s="709" t="s">
        <v>136</v>
      </c>
      <c r="E7143" s="716">
        <v>30.2</v>
      </c>
      <c r="F7143" s="717">
        <v>0</v>
      </c>
      <c r="G7143">
        <f>VLOOKUP(B7143,'SINAPI-%MO'!B:E,4,0)</f>
        <v>0.1288</v>
      </c>
      <c r="H7143" s="225">
        <f t="shared" si="111"/>
        <v>26.31</v>
      </c>
    </row>
    <row r="7144" spans="1:8" x14ac:dyDescent="0.3">
      <c r="A7144" s="400"/>
      <c r="B7144" s="709">
        <v>104055</v>
      </c>
      <c r="C7144" s="710" t="s">
        <v>6023</v>
      </c>
      <c r="D7144" s="709" t="s">
        <v>136</v>
      </c>
      <c r="E7144" s="716">
        <v>19.68</v>
      </c>
      <c r="F7144" s="717">
        <v>0</v>
      </c>
      <c r="G7144">
        <f>VLOOKUP(B7144,'SINAPI-%MO'!B:E,4,0)</f>
        <v>0.17730000000000001</v>
      </c>
      <c r="H7144" s="225">
        <f t="shared" si="111"/>
        <v>16.190000000000001</v>
      </c>
    </row>
    <row r="7145" spans="1:8" x14ac:dyDescent="0.3">
      <c r="A7145" s="400"/>
      <c r="B7145" s="709">
        <v>104076</v>
      </c>
      <c r="C7145" s="710" t="s">
        <v>6024</v>
      </c>
      <c r="D7145" s="709" t="s">
        <v>136</v>
      </c>
      <c r="E7145" s="716">
        <v>54.66</v>
      </c>
      <c r="F7145" s="717">
        <v>0</v>
      </c>
      <c r="G7145">
        <f>VLOOKUP(B7145,'SINAPI-%MO'!B:E,4,0)</f>
        <v>0.2014</v>
      </c>
      <c r="H7145" s="225">
        <f t="shared" si="111"/>
        <v>43.65</v>
      </c>
    </row>
    <row r="7146" spans="1:8" x14ac:dyDescent="0.3">
      <c r="A7146" s="400"/>
      <c r="B7146" s="709">
        <v>104060</v>
      </c>
      <c r="C7146" s="710" t="s">
        <v>276</v>
      </c>
      <c r="D7146" s="709" t="s">
        <v>159</v>
      </c>
      <c r="E7146" s="716">
        <v>8.9700000000000006</v>
      </c>
      <c r="F7146" s="717">
        <v>0</v>
      </c>
      <c r="G7146">
        <f>VLOOKUP(B7146,'SINAPI-%MO'!B:E,4,0)</f>
        <v>0.3523</v>
      </c>
      <c r="H7146" s="225">
        <f t="shared" si="111"/>
        <v>5.8</v>
      </c>
    </row>
    <row r="7147" spans="1:8" x14ac:dyDescent="0.3">
      <c r="A7147" s="400"/>
      <c r="B7147" s="709">
        <v>104061</v>
      </c>
      <c r="C7147" s="710" t="s">
        <v>6025</v>
      </c>
      <c r="D7147" s="709" t="s">
        <v>159</v>
      </c>
      <c r="E7147" s="716">
        <v>16.260000000000002</v>
      </c>
      <c r="F7147" s="717">
        <v>0</v>
      </c>
      <c r="G7147">
        <f>VLOOKUP(B7147,'SINAPI-%MO'!B:E,4,0)</f>
        <v>0.29399999999999998</v>
      </c>
      <c r="H7147" s="225">
        <f t="shared" si="111"/>
        <v>11.47</v>
      </c>
    </row>
    <row r="7148" spans="1:8" x14ac:dyDescent="0.3">
      <c r="A7148" s="400"/>
      <c r="B7148" s="709">
        <v>104085</v>
      </c>
      <c r="C7148" s="710" t="s">
        <v>6026</v>
      </c>
      <c r="D7148" s="709" t="s">
        <v>159</v>
      </c>
      <c r="E7148" s="716">
        <v>66.099999999999994</v>
      </c>
      <c r="F7148" s="717">
        <v>0</v>
      </c>
      <c r="G7148">
        <f>VLOOKUP(B7148,'SINAPI-%MO'!B:E,4,0)</f>
        <v>0.14399999999999999</v>
      </c>
      <c r="H7148" s="225">
        <f t="shared" si="111"/>
        <v>56.58</v>
      </c>
    </row>
    <row r="7149" spans="1:8" x14ac:dyDescent="0.3">
      <c r="A7149" s="400"/>
      <c r="B7149" s="709">
        <v>104086</v>
      </c>
      <c r="C7149" s="710" t="s">
        <v>6027</v>
      </c>
      <c r="D7149" s="709" t="s">
        <v>159</v>
      </c>
      <c r="E7149" s="716">
        <v>121</v>
      </c>
      <c r="F7149" s="717">
        <v>0</v>
      </c>
      <c r="G7149">
        <f>VLOOKUP(B7149,'SINAPI-%MO'!B:E,4,0)</f>
        <v>8.7900000000000006E-2</v>
      </c>
      <c r="H7149" s="225">
        <f t="shared" si="111"/>
        <v>110.36</v>
      </c>
    </row>
    <row r="7150" spans="1:8" x14ac:dyDescent="0.3">
      <c r="A7150" s="400"/>
      <c r="B7150" s="709">
        <v>104073</v>
      </c>
      <c r="C7150" s="710" t="s">
        <v>6028</v>
      </c>
      <c r="D7150" s="709" t="s">
        <v>136</v>
      </c>
      <c r="E7150" s="716">
        <v>0</v>
      </c>
      <c r="F7150" s="717"/>
      <c r="G7150" t="e">
        <f>VLOOKUP(B7150,'SINAPI-%MO'!B:E,4,0)</f>
        <v>#N/A</v>
      </c>
      <c r="H7150" s="225" t="str">
        <f t="shared" si="111"/>
        <v/>
      </c>
    </row>
    <row r="7151" spans="1:8" x14ac:dyDescent="0.3">
      <c r="A7151" s="400"/>
      <c r="B7151" s="709">
        <v>104074</v>
      </c>
      <c r="C7151" s="710" t="s">
        <v>6029</v>
      </c>
      <c r="D7151" s="709" t="s">
        <v>136</v>
      </c>
      <c r="E7151" s="716">
        <v>0</v>
      </c>
      <c r="F7151" s="717"/>
      <c r="G7151" t="e">
        <f>VLOOKUP(B7151,'SINAPI-%MO'!B:E,4,0)</f>
        <v>#N/A</v>
      </c>
      <c r="H7151" s="225" t="str">
        <f t="shared" si="111"/>
        <v/>
      </c>
    </row>
    <row r="7152" spans="1:8" x14ac:dyDescent="0.3">
      <c r="A7152" s="400"/>
      <c r="B7152" s="709">
        <v>104075</v>
      </c>
      <c r="C7152" s="710" t="s">
        <v>6030</v>
      </c>
      <c r="D7152" s="709" t="s">
        <v>136</v>
      </c>
      <c r="E7152" s="716">
        <v>0</v>
      </c>
      <c r="F7152" s="717"/>
      <c r="G7152" t="e">
        <f>VLOOKUP(B7152,'SINAPI-%MO'!B:E,4,0)</f>
        <v>#N/A</v>
      </c>
      <c r="H7152" s="225" t="str">
        <f t="shared" si="111"/>
        <v/>
      </c>
    </row>
    <row r="7153" spans="1:8" x14ac:dyDescent="0.3">
      <c r="A7153" s="400"/>
      <c r="B7153" s="709">
        <v>104039</v>
      </c>
      <c r="C7153" s="710" t="s">
        <v>6031</v>
      </c>
      <c r="D7153" s="709" t="s">
        <v>136</v>
      </c>
      <c r="E7153" s="716">
        <v>105.85</v>
      </c>
      <c r="F7153" s="717">
        <v>0</v>
      </c>
      <c r="G7153">
        <f>VLOOKUP(B7153,'SINAPI-%MO'!B:E,4,0)</f>
        <v>0.17599999999999999</v>
      </c>
      <c r="H7153" s="225">
        <f t="shared" si="111"/>
        <v>87.22</v>
      </c>
    </row>
    <row r="7154" spans="1:8" x14ac:dyDescent="0.3">
      <c r="A7154" s="400"/>
      <c r="B7154" s="709">
        <v>104040</v>
      </c>
      <c r="C7154" s="710" t="s">
        <v>6032</v>
      </c>
      <c r="D7154" s="709" t="s">
        <v>136</v>
      </c>
      <c r="E7154" s="716">
        <v>0</v>
      </c>
      <c r="F7154" s="717"/>
      <c r="G7154" t="e">
        <f>VLOOKUP(B7154,'SINAPI-%MO'!B:E,4,0)</f>
        <v>#N/A</v>
      </c>
      <c r="H7154" s="225" t="str">
        <f t="shared" si="111"/>
        <v/>
      </c>
    </row>
    <row r="7155" spans="1:8" x14ac:dyDescent="0.3">
      <c r="A7155" s="400"/>
      <c r="B7155" s="709">
        <v>104041</v>
      </c>
      <c r="C7155" s="710" t="s">
        <v>6033</v>
      </c>
      <c r="D7155" s="709" t="s">
        <v>136</v>
      </c>
      <c r="E7155" s="716">
        <v>0</v>
      </c>
      <c r="F7155" s="717"/>
      <c r="G7155" t="e">
        <f>VLOOKUP(B7155,'SINAPI-%MO'!B:E,4,0)</f>
        <v>#N/A</v>
      </c>
      <c r="H7155" s="225" t="str">
        <f t="shared" si="111"/>
        <v/>
      </c>
    </row>
    <row r="7156" spans="1:8" x14ac:dyDescent="0.3">
      <c r="A7156" s="400"/>
      <c r="B7156" s="709">
        <v>104042</v>
      </c>
      <c r="C7156" s="710" t="s">
        <v>6034</v>
      </c>
      <c r="D7156" s="709" t="s">
        <v>136</v>
      </c>
      <c r="E7156" s="716">
        <v>0</v>
      </c>
      <c r="F7156" s="717"/>
      <c r="G7156" t="e">
        <f>VLOOKUP(B7156,'SINAPI-%MO'!B:E,4,0)</f>
        <v>#N/A</v>
      </c>
      <c r="H7156" s="225" t="str">
        <f t="shared" si="111"/>
        <v/>
      </c>
    </row>
    <row r="7157" spans="1:8" x14ac:dyDescent="0.3">
      <c r="A7157" s="400"/>
      <c r="B7157" s="709">
        <v>104072</v>
      </c>
      <c r="C7157" s="710" t="s">
        <v>6035</v>
      </c>
      <c r="D7157" s="709" t="s">
        <v>136</v>
      </c>
      <c r="E7157" s="716">
        <v>332.21</v>
      </c>
      <c r="F7157" s="717">
        <v>0</v>
      </c>
      <c r="G7157">
        <f>VLOOKUP(B7157,'SINAPI-%MO'!B:E,4,0)</f>
        <v>3.4099999999999998E-2</v>
      </c>
      <c r="H7157" s="225">
        <f t="shared" si="111"/>
        <v>320.88</v>
      </c>
    </row>
    <row r="7158" spans="1:8" x14ac:dyDescent="0.3">
      <c r="A7158" s="400"/>
      <c r="B7158" s="709">
        <v>104053</v>
      </c>
      <c r="C7158" s="710" t="s">
        <v>6036</v>
      </c>
      <c r="D7158" s="709" t="s">
        <v>136</v>
      </c>
      <c r="E7158" s="716">
        <v>11.6</v>
      </c>
      <c r="F7158" s="717">
        <v>0</v>
      </c>
      <c r="G7158">
        <f>VLOOKUP(B7158,'SINAPI-%MO'!B:E,4,0)</f>
        <v>0.3009</v>
      </c>
      <c r="H7158" s="225">
        <f t="shared" si="111"/>
        <v>8.1</v>
      </c>
    </row>
    <row r="7159" spans="1:8" x14ac:dyDescent="0.3">
      <c r="A7159" s="400"/>
      <c r="B7159" s="709">
        <v>104054</v>
      </c>
      <c r="C7159" s="710" t="s">
        <v>6037</v>
      </c>
      <c r="D7159" s="709" t="s">
        <v>136</v>
      </c>
      <c r="E7159" s="716">
        <v>24.79</v>
      </c>
      <c r="F7159" s="717">
        <v>0</v>
      </c>
      <c r="G7159">
        <f>VLOOKUP(B7159,'SINAPI-%MO'!B:E,4,0)</f>
        <v>0.192</v>
      </c>
      <c r="H7159" s="225">
        <f t="shared" si="111"/>
        <v>20.03</v>
      </c>
    </row>
    <row r="7160" spans="1:8" x14ac:dyDescent="0.3">
      <c r="A7160" s="400"/>
      <c r="B7160" s="709">
        <v>99818</v>
      </c>
      <c r="C7160" s="710" t="s">
        <v>14221</v>
      </c>
      <c r="D7160" s="709" t="s">
        <v>136</v>
      </c>
      <c r="E7160" s="716">
        <v>6.07</v>
      </c>
      <c r="F7160" s="717">
        <v>0</v>
      </c>
      <c r="G7160">
        <f>VLOOKUP(B7160,'SINAPI-%MO'!B:E,4,0)</f>
        <v>0.67049999999999998</v>
      </c>
      <c r="H7160" s="225">
        <f t="shared" si="111"/>
        <v>2</v>
      </c>
    </row>
    <row r="7161" spans="1:8" x14ac:dyDescent="0.3">
      <c r="A7161" s="400"/>
      <c r="B7161" s="709">
        <v>99819</v>
      </c>
      <c r="C7161" s="710" t="s">
        <v>14222</v>
      </c>
      <c r="D7161" s="709" t="s">
        <v>168</v>
      </c>
      <c r="E7161" s="716">
        <v>19.809999999999999</v>
      </c>
      <c r="F7161" s="717">
        <v>0</v>
      </c>
      <c r="G7161">
        <f>VLOOKUP(B7161,'SINAPI-%MO'!B:E,4,0)</f>
        <v>0.99139999999999995</v>
      </c>
      <c r="H7161" s="225">
        <f t="shared" si="111"/>
        <v>0.17</v>
      </c>
    </row>
    <row r="7162" spans="1:8" x14ac:dyDescent="0.3">
      <c r="A7162" s="400"/>
      <c r="B7162" s="709">
        <v>99817</v>
      </c>
      <c r="C7162" s="710" t="s">
        <v>14223</v>
      </c>
      <c r="D7162" s="709" t="s">
        <v>136</v>
      </c>
      <c r="E7162" s="716">
        <v>6.97</v>
      </c>
      <c r="F7162" s="717">
        <v>0</v>
      </c>
      <c r="G7162">
        <f>VLOOKUP(B7162,'SINAPI-%MO'!B:E,4,0)</f>
        <v>0.71309999999999996</v>
      </c>
      <c r="H7162" s="225">
        <f t="shared" si="111"/>
        <v>1.99</v>
      </c>
    </row>
    <row r="7163" spans="1:8" x14ac:dyDescent="0.3">
      <c r="A7163" s="400"/>
      <c r="B7163" s="709">
        <v>99815</v>
      </c>
      <c r="C7163" s="710" t="s">
        <v>14224</v>
      </c>
      <c r="D7163" s="709" t="s">
        <v>136</v>
      </c>
      <c r="E7163" s="716">
        <v>9.9</v>
      </c>
      <c r="F7163" s="717">
        <v>0</v>
      </c>
      <c r="G7163">
        <f>VLOOKUP(B7163,'SINAPI-%MO'!B:E,4,0)</f>
        <v>0.79800000000000004</v>
      </c>
      <c r="H7163" s="225">
        <f t="shared" si="111"/>
        <v>1.99</v>
      </c>
    </row>
    <row r="7164" spans="1:8" x14ac:dyDescent="0.3">
      <c r="A7164" s="400"/>
      <c r="B7164" s="709">
        <v>99811</v>
      </c>
      <c r="C7164" s="710" t="s">
        <v>14225</v>
      </c>
      <c r="D7164" s="709" t="s">
        <v>168</v>
      </c>
      <c r="E7164" s="716">
        <v>0.73</v>
      </c>
      <c r="F7164" s="717">
        <v>0</v>
      </c>
      <c r="G7164">
        <f>VLOOKUP(B7164,'SINAPI-%MO'!B:E,4,0)</f>
        <v>1</v>
      </c>
      <c r="H7164" s="225">
        <f t="shared" si="111"/>
        <v>0</v>
      </c>
    </row>
    <row r="7165" spans="1:8" x14ac:dyDescent="0.3">
      <c r="A7165" s="400"/>
      <c r="B7165" s="709">
        <v>99826</v>
      </c>
      <c r="C7165" s="710" t="s">
        <v>14226</v>
      </c>
      <c r="D7165" s="709" t="s">
        <v>168</v>
      </c>
      <c r="E7165" s="716">
        <v>1.83</v>
      </c>
      <c r="F7165" s="717">
        <v>0</v>
      </c>
      <c r="G7165">
        <f>VLOOKUP(B7165,'SINAPI-%MO'!B:E,4,0)</f>
        <v>0.95630000000000004</v>
      </c>
      <c r="H7165" s="225">
        <f t="shared" si="111"/>
        <v>7.0000000000000007E-2</v>
      </c>
    </row>
    <row r="7166" spans="1:8" x14ac:dyDescent="0.3">
      <c r="A7166" s="400"/>
      <c r="B7166" s="709">
        <v>106170</v>
      </c>
      <c r="C7166" s="710" t="s">
        <v>14227</v>
      </c>
      <c r="D7166" s="709" t="s">
        <v>168</v>
      </c>
      <c r="E7166" s="716">
        <v>7.47</v>
      </c>
      <c r="F7166" s="717">
        <v>0</v>
      </c>
      <c r="G7166">
        <f>VLOOKUP(B7166,'SINAPI-%MO'!B:E,4,0)</f>
        <v>0.98929999999999996</v>
      </c>
      <c r="H7166" s="225">
        <f t="shared" si="111"/>
        <v>7.0000000000000007E-2</v>
      </c>
    </row>
    <row r="7167" spans="1:8" x14ac:dyDescent="0.3">
      <c r="A7167" s="400"/>
      <c r="B7167" s="709">
        <v>99821</v>
      </c>
      <c r="C7167" s="710" t="s">
        <v>14228</v>
      </c>
      <c r="D7167" s="709" t="s">
        <v>168</v>
      </c>
      <c r="E7167" s="716">
        <v>5.34</v>
      </c>
      <c r="F7167" s="717">
        <v>0</v>
      </c>
      <c r="G7167">
        <f>VLOOKUP(B7167,'SINAPI-%MO'!B:E,4,0)</f>
        <v>0.87270000000000003</v>
      </c>
      <c r="H7167" s="225">
        <f t="shared" si="111"/>
        <v>0.67</v>
      </c>
    </row>
    <row r="7168" spans="1:8" x14ac:dyDescent="0.3">
      <c r="A7168" s="400"/>
      <c r="B7168" s="709">
        <v>99820</v>
      </c>
      <c r="C7168" s="710" t="s">
        <v>14229</v>
      </c>
      <c r="D7168" s="709" t="s">
        <v>168</v>
      </c>
      <c r="E7168" s="716">
        <v>2.89</v>
      </c>
      <c r="F7168" s="717">
        <v>0</v>
      </c>
      <c r="G7168">
        <f>VLOOKUP(B7168,'SINAPI-%MO'!B:E,4,0)</f>
        <v>0.76470000000000005</v>
      </c>
      <c r="H7168" s="225">
        <f t="shared" si="111"/>
        <v>0.68</v>
      </c>
    </row>
    <row r="7169" spans="1:8" x14ac:dyDescent="0.3">
      <c r="A7169" s="400"/>
      <c r="B7169" s="709">
        <v>99805</v>
      </c>
      <c r="C7169" s="710" t="s">
        <v>14230</v>
      </c>
      <c r="D7169" s="709" t="s">
        <v>168</v>
      </c>
      <c r="E7169" s="716">
        <v>12.29</v>
      </c>
      <c r="F7169" s="717">
        <v>0</v>
      </c>
      <c r="G7169">
        <f>VLOOKUP(B7169,'SINAPI-%MO'!B:E,4,0)</f>
        <v>0.9032</v>
      </c>
      <c r="H7169" s="225">
        <f t="shared" si="111"/>
        <v>1.18</v>
      </c>
    </row>
    <row r="7170" spans="1:8" x14ac:dyDescent="0.3">
      <c r="A7170" s="400"/>
      <c r="B7170" s="709">
        <v>99803</v>
      </c>
      <c r="C7170" s="710" t="s">
        <v>14231</v>
      </c>
      <c r="D7170" s="709" t="s">
        <v>168</v>
      </c>
      <c r="E7170" s="716">
        <v>4.45</v>
      </c>
      <c r="F7170" s="717">
        <v>0</v>
      </c>
      <c r="G7170">
        <f>VLOOKUP(B7170,'SINAPI-%MO'!B:E,4,0)</f>
        <v>0.86739999999999995</v>
      </c>
      <c r="H7170" s="225">
        <f t="shared" si="111"/>
        <v>0.59</v>
      </c>
    </row>
    <row r="7171" spans="1:8" x14ac:dyDescent="0.3">
      <c r="A7171" s="400"/>
      <c r="B7171" s="709">
        <v>99802</v>
      </c>
      <c r="C7171" s="710" t="s">
        <v>14232</v>
      </c>
      <c r="D7171" s="709" t="s">
        <v>168</v>
      </c>
      <c r="E7171" s="716">
        <v>0.59</v>
      </c>
      <c r="F7171" s="717">
        <v>0</v>
      </c>
      <c r="G7171">
        <f>VLOOKUP(B7171,'SINAPI-%MO'!B:E,4,0)</f>
        <v>1</v>
      </c>
      <c r="H7171" s="225">
        <f t="shared" si="111"/>
        <v>0</v>
      </c>
    </row>
    <row r="7172" spans="1:8" x14ac:dyDescent="0.3">
      <c r="A7172" s="400"/>
      <c r="B7172" s="709">
        <v>99810</v>
      </c>
      <c r="C7172" s="710" t="s">
        <v>14233</v>
      </c>
      <c r="D7172" s="709" t="s">
        <v>168</v>
      </c>
      <c r="E7172" s="716">
        <v>7.26</v>
      </c>
      <c r="F7172" s="717">
        <v>0</v>
      </c>
      <c r="G7172">
        <f>VLOOKUP(B7172,'SINAPI-%MO'!B:E,4,0)</f>
        <v>0.90629999999999999</v>
      </c>
      <c r="H7172" s="225">
        <f t="shared" si="111"/>
        <v>0.68</v>
      </c>
    </row>
    <row r="7173" spans="1:8" x14ac:dyDescent="0.3">
      <c r="A7173" s="400"/>
      <c r="B7173" s="709">
        <v>99809</v>
      </c>
      <c r="C7173" s="710" t="s">
        <v>14234</v>
      </c>
      <c r="D7173" s="709" t="s">
        <v>168</v>
      </c>
      <c r="E7173" s="716">
        <v>7.65</v>
      </c>
      <c r="F7173" s="717">
        <v>0</v>
      </c>
      <c r="G7173">
        <f>VLOOKUP(B7173,'SINAPI-%MO'!B:E,4,0)</f>
        <v>0.92290000000000005</v>
      </c>
      <c r="H7173" s="225">
        <f t="shared" si="111"/>
        <v>0.57999999999999996</v>
      </c>
    </row>
    <row r="7174" spans="1:8" x14ac:dyDescent="0.3">
      <c r="A7174" s="400"/>
      <c r="B7174" s="709">
        <v>99801</v>
      </c>
      <c r="C7174" s="710" t="s">
        <v>15132</v>
      </c>
      <c r="D7174" s="709" t="s">
        <v>168</v>
      </c>
      <c r="E7174" s="716">
        <v>0</v>
      </c>
      <c r="F7174" s="717"/>
      <c r="G7174" t="e">
        <f>VLOOKUP(B7174,'SINAPI-%MO'!B:E,4,0)</f>
        <v>#N/A</v>
      </c>
      <c r="H7174" s="225" t="str">
        <f t="shared" si="111"/>
        <v/>
      </c>
    </row>
    <row r="7175" spans="1:8" x14ac:dyDescent="0.3">
      <c r="A7175" s="400"/>
      <c r="B7175" s="709">
        <v>106166</v>
      </c>
      <c r="C7175" s="710" t="s">
        <v>14235</v>
      </c>
      <c r="D7175" s="709" t="s">
        <v>168</v>
      </c>
      <c r="E7175" s="716">
        <v>1.52</v>
      </c>
      <c r="F7175" s="717">
        <v>0</v>
      </c>
      <c r="G7175">
        <f>VLOOKUP(B7175,'SINAPI-%MO'!B:E,4,0)</f>
        <v>0.94740000000000002</v>
      </c>
      <c r="H7175" s="225">
        <f t="shared" si="111"/>
        <v>7.0000000000000007E-2</v>
      </c>
    </row>
    <row r="7176" spans="1:8" x14ac:dyDescent="0.3">
      <c r="A7176" s="400"/>
      <c r="B7176" s="709">
        <v>99822</v>
      </c>
      <c r="C7176" s="710" t="s">
        <v>14236</v>
      </c>
      <c r="D7176" s="709" t="s">
        <v>168</v>
      </c>
      <c r="E7176" s="716">
        <v>1.2</v>
      </c>
      <c r="F7176" s="717">
        <v>0</v>
      </c>
      <c r="G7176">
        <f>VLOOKUP(B7176,'SINAPI-%MO'!B:E,4,0)</f>
        <v>0.93330000000000002</v>
      </c>
      <c r="H7176" s="225">
        <f t="shared" si="111"/>
        <v>0.08</v>
      </c>
    </row>
    <row r="7177" spans="1:8" x14ac:dyDescent="0.3">
      <c r="A7177" s="400"/>
      <c r="B7177" s="709">
        <v>99825</v>
      </c>
      <c r="C7177" s="710" t="s">
        <v>14237</v>
      </c>
      <c r="D7177" s="709" t="s">
        <v>168</v>
      </c>
      <c r="E7177" s="716">
        <v>5.12</v>
      </c>
      <c r="F7177" s="717">
        <v>0</v>
      </c>
      <c r="G7177">
        <f>VLOOKUP(B7177,'SINAPI-%MO'!B:E,4,0)</f>
        <v>0.86719999999999997</v>
      </c>
      <c r="H7177" s="225">
        <f t="shared" si="111"/>
        <v>0.67</v>
      </c>
    </row>
    <row r="7178" spans="1:8" x14ac:dyDescent="0.3">
      <c r="A7178" s="400"/>
      <c r="B7178" s="709">
        <v>99824</v>
      </c>
      <c r="C7178" s="710" t="s">
        <v>14238</v>
      </c>
      <c r="D7178" s="709" t="s">
        <v>168</v>
      </c>
      <c r="E7178" s="716">
        <v>3.03</v>
      </c>
      <c r="F7178" s="717">
        <v>0</v>
      </c>
      <c r="G7178">
        <f>VLOOKUP(B7178,'SINAPI-%MO'!B:E,4,0)</f>
        <v>0.77559999999999996</v>
      </c>
      <c r="H7178" s="225">
        <f t="shared" si="111"/>
        <v>0.67</v>
      </c>
    </row>
    <row r="7179" spans="1:8" x14ac:dyDescent="0.3">
      <c r="A7179" s="400"/>
      <c r="B7179" s="709">
        <v>99823</v>
      </c>
      <c r="C7179" s="710" t="s">
        <v>14239</v>
      </c>
      <c r="D7179" s="709" t="s">
        <v>168</v>
      </c>
      <c r="E7179" s="716">
        <v>2.67</v>
      </c>
      <c r="F7179" s="717">
        <v>0</v>
      </c>
      <c r="G7179">
        <f>VLOOKUP(B7179,'SINAPI-%MO'!B:E,4,0)</f>
        <v>0.74529999999999996</v>
      </c>
      <c r="H7179" s="225">
        <f t="shared" ref="H7179:H7242" si="112">IF(E7179&gt;0,TRUNC(E7179*(1-G7179),2),"")</f>
        <v>0.68</v>
      </c>
    </row>
    <row r="7180" spans="1:8" x14ac:dyDescent="0.3">
      <c r="A7180" s="400"/>
      <c r="B7180" s="709">
        <v>99806</v>
      </c>
      <c r="C7180" s="710" t="s">
        <v>14240</v>
      </c>
      <c r="D7180" s="709" t="s">
        <v>168</v>
      </c>
      <c r="E7180" s="716">
        <v>3.2</v>
      </c>
      <c r="F7180" s="717">
        <v>0</v>
      </c>
      <c r="G7180">
        <f>VLOOKUP(B7180,'SINAPI-%MO'!B:E,4,0)</f>
        <v>0.81559999999999999</v>
      </c>
      <c r="H7180" s="225">
        <f t="shared" si="112"/>
        <v>0.59</v>
      </c>
    </row>
    <row r="7181" spans="1:8" x14ac:dyDescent="0.3">
      <c r="A7181" s="400"/>
      <c r="B7181" s="709">
        <v>99813</v>
      </c>
      <c r="C7181" s="710" t="s">
        <v>14241</v>
      </c>
      <c r="D7181" s="709" t="s">
        <v>168</v>
      </c>
      <c r="E7181" s="716">
        <v>3.38</v>
      </c>
      <c r="F7181" s="717">
        <v>0</v>
      </c>
      <c r="G7181">
        <f>VLOOKUP(B7181,'SINAPI-%MO'!B:E,4,0)</f>
        <v>0.79879999999999995</v>
      </c>
      <c r="H7181" s="225">
        <f t="shared" si="112"/>
        <v>0.68</v>
      </c>
    </row>
    <row r="7182" spans="1:8" x14ac:dyDescent="0.3">
      <c r="A7182" s="400"/>
      <c r="B7182" s="709">
        <v>106169</v>
      </c>
      <c r="C7182" s="710" t="s">
        <v>14242</v>
      </c>
      <c r="D7182" s="709" t="s">
        <v>136</v>
      </c>
      <c r="E7182" s="716">
        <v>3.98</v>
      </c>
      <c r="F7182" s="717">
        <v>0</v>
      </c>
      <c r="G7182">
        <f>VLOOKUP(B7182,'SINAPI-%MO'!B:E,4,0)</f>
        <v>0.93469999999999998</v>
      </c>
      <c r="H7182" s="225">
        <f t="shared" si="112"/>
        <v>0.25</v>
      </c>
    </row>
    <row r="7183" spans="1:8" x14ac:dyDescent="0.3">
      <c r="A7183" s="400"/>
      <c r="B7183" s="709">
        <v>106167</v>
      </c>
      <c r="C7183" s="710" t="s">
        <v>14243</v>
      </c>
      <c r="D7183" s="709" t="s">
        <v>168</v>
      </c>
      <c r="E7183" s="716">
        <v>0.08</v>
      </c>
      <c r="F7183" s="717">
        <v>0</v>
      </c>
      <c r="G7183">
        <f>VLOOKUP(B7183,'SINAPI-%MO'!B:E,4,0)</f>
        <v>0.125</v>
      </c>
      <c r="H7183" s="225">
        <f t="shared" si="112"/>
        <v>7.0000000000000007E-2</v>
      </c>
    </row>
    <row r="7184" spans="1:8" x14ac:dyDescent="0.3">
      <c r="A7184" s="400"/>
      <c r="B7184" s="709">
        <v>106168</v>
      </c>
      <c r="C7184" s="710" t="s">
        <v>14244</v>
      </c>
      <c r="D7184" s="709" t="s">
        <v>168</v>
      </c>
      <c r="E7184" s="716">
        <v>0.69</v>
      </c>
      <c r="F7184" s="717">
        <v>0</v>
      </c>
      <c r="G7184">
        <f>VLOOKUP(B7184,'SINAPI-%MO'!B:E,4,0)</f>
        <v>0.94199999999999995</v>
      </c>
      <c r="H7184" s="225">
        <f t="shared" si="112"/>
        <v>0.04</v>
      </c>
    </row>
    <row r="7185" spans="1:8" x14ac:dyDescent="0.3">
      <c r="A7185" s="400"/>
      <c r="B7185" s="709">
        <v>99814</v>
      </c>
      <c r="C7185" s="710" t="s">
        <v>14245</v>
      </c>
      <c r="D7185" s="709" t="s">
        <v>168</v>
      </c>
      <c r="E7185" s="716">
        <v>1.81</v>
      </c>
      <c r="F7185" s="717">
        <v>0</v>
      </c>
      <c r="G7185">
        <f>VLOOKUP(B7185,'SINAPI-%MO'!B:E,4,0)</f>
        <v>0.97240000000000004</v>
      </c>
      <c r="H7185" s="225">
        <f t="shared" si="112"/>
        <v>0.04</v>
      </c>
    </row>
    <row r="7186" spans="1:8" x14ac:dyDescent="0.3">
      <c r="A7186" s="400"/>
      <c r="B7186" s="709">
        <v>99816</v>
      </c>
      <c r="C7186" s="710" t="s">
        <v>14246</v>
      </c>
      <c r="D7186" s="709" t="s">
        <v>136</v>
      </c>
      <c r="E7186" s="716">
        <v>9.52</v>
      </c>
      <c r="F7186" s="717">
        <v>0</v>
      </c>
      <c r="G7186">
        <f>VLOOKUP(B7186,'SINAPI-%MO'!B:E,4,0)</f>
        <v>0.78990000000000005</v>
      </c>
      <c r="H7186" s="225">
        <f t="shared" si="112"/>
        <v>2</v>
      </c>
    </row>
    <row r="7187" spans="1:8" x14ac:dyDescent="0.3">
      <c r="A7187" s="400"/>
      <c r="B7187" s="709">
        <v>106171</v>
      </c>
      <c r="C7187" s="710" t="s">
        <v>14247</v>
      </c>
      <c r="D7187" s="709" t="s">
        <v>168</v>
      </c>
      <c r="E7187" s="716">
        <v>1.83</v>
      </c>
      <c r="F7187" s="717">
        <v>0</v>
      </c>
      <c r="G7187">
        <f>VLOOKUP(B7187,'SINAPI-%MO'!B:E,4,0)</f>
        <v>1</v>
      </c>
      <c r="H7187" s="225">
        <f t="shared" si="112"/>
        <v>0</v>
      </c>
    </row>
    <row r="7188" spans="1:8" x14ac:dyDescent="0.3">
      <c r="A7188" s="400"/>
      <c r="B7188" s="709">
        <v>88238</v>
      </c>
      <c r="C7188" s="710" t="s">
        <v>6038</v>
      </c>
      <c r="D7188" s="709" t="s">
        <v>234</v>
      </c>
      <c r="E7188" s="716">
        <v>27.13</v>
      </c>
      <c r="F7188" s="717">
        <v>0</v>
      </c>
      <c r="G7188">
        <f>VLOOKUP(B7188,'SINAPI-%MO'!B:E,4,0)</f>
        <v>1</v>
      </c>
      <c r="H7188" s="225">
        <f t="shared" si="112"/>
        <v>0</v>
      </c>
    </row>
    <row r="7189" spans="1:8" x14ac:dyDescent="0.3">
      <c r="A7189" s="400"/>
      <c r="B7189" s="709">
        <v>101374</v>
      </c>
      <c r="C7189" s="710" t="s">
        <v>6038</v>
      </c>
      <c r="D7189" s="709" t="s">
        <v>208</v>
      </c>
      <c r="E7189" s="716">
        <v>4672.07</v>
      </c>
      <c r="F7189" s="717">
        <v>0</v>
      </c>
      <c r="G7189">
        <f>VLOOKUP(B7189,'SINAPI-%MO'!B:E,4,0)</f>
        <v>1</v>
      </c>
      <c r="H7189" s="225">
        <f t="shared" si="112"/>
        <v>0</v>
      </c>
    </row>
    <row r="7190" spans="1:8" x14ac:dyDescent="0.3">
      <c r="A7190" s="400"/>
      <c r="B7190" s="709">
        <v>88239</v>
      </c>
      <c r="C7190" s="710" t="s">
        <v>6039</v>
      </c>
      <c r="D7190" s="709" t="s">
        <v>234</v>
      </c>
      <c r="E7190" s="716">
        <v>26.76</v>
      </c>
      <c r="F7190" s="717">
        <v>0</v>
      </c>
      <c r="G7190">
        <f>VLOOKUP(B7190,'SINAPI-%MO'!B:E,4,0)</f>
        <v>1</v>
      </c>
      <c r="H7190" s="225">
        <f t="shared" si="112"/>
        <v>0</v>
      </c>
    </row>
    <row r="7191" spans="1:8" x14ac:dyDescent="0.3">
      <c r="A7191" s="400"/>
      <c r="B7191" s="709">
        <v>101375</v>
      </c>
      <c r="C7191" s="710" t="s">
        <v>6040</v>
      </c>
      <c r="D7191" s="709" t="s">
        <v>208</v>
      </c>
      <c r="E7191" s="716">
        <v>4688.92</v>
      </c>
      <c r="F7191" s="717">
        <v>0</v>
      </c>
      <c r="G7191">
        <f>VLOOKUP(B7191,'SINAPI-%MO'!B:E,4,0)</f>
        <v>1</v>
      </c>
      <c r="H7191" s="225">
        <f t="shared" si="112"/>
        <v>0</v>
      </c>
    </row>
    <row r="7192" spans="1:8" x14ac:dyDescent="0.3">
      <c r="A7192" s="400"/>
      <c r="B7192" s="709">
        <v>88240</v>
      </c>
      <c r="C7192" s="710" t="s">
        <v>6041</v>
      </c>
      <c r="D7192" s="709" t="s">
        <v>234</v>
      </c>
      <c r="E7192" s="716">
        <v>25.85</v>
      </c>
      <c r="F7192" s="717">
        <v>0</v>
      </c>
      <c r="G7192">
        <f>VLOOKUP(B7192,'SINAPI-%MO'!B:E,4,0)</f>
        <v>1</v>
      </c>
      <c r="H7192" s="225">
        <f t="shared" si="112"/>
        <v>0</v>
      </c>
    </row>
    <row r="7193" spans="1:8" x14ac:dyDescent="0.3">
      <c r="A7193" s="400"/>
      <c r="B7193" s="709">
        <v>101376</v>
      </c>
      <c r="C7193" s="710" t="s">
        <v>6042</v>
      </c>
      <c r="D7193" s="709" t="s">
        <v>208</v>
      </c>
      <c r="E7193" s="716">
        <v>4457.3599999999997</v>
      </c>
      <c r="F7193" s="717">
        <v>0</v>
      </c>
      <c r="G7193">
        <f>VLOOKUP(B7193,'SINAPI-%MO'!B:E,4,0)</f>
        <v>1</v>
      </c>
      <c r="H7193" s="225">
        <f t="shared" si="112"/>
        <v>0</v>
      </c>
    </row>
    <row r="7194" spans="1:8" x14ac:dyDescent="0.3">
      <c r="A7194" s="400"/>
      <c r="B7194" s="709">
        <v>88241</v>
      </c>
      <c r="C7194" s="710" t="s">
        <v>6043</v>
      </c>
      <c r="D7194" s="709" t="s">
        <v>234</v>
      </c>
      <c r="E7194" s="716">
        <v>27.02</v>
      </c>
      <c r="F7194" s="717">
        <v>0</v>
      </c>
      <c r="G7194">
        <f>VLOOKUP(B7194,'SINAPI-%MO'!B:E,4,0)</f>
        <v>1</v>
      </c>
      <c r="H7194" s="225">
        <f t="shared" si="112"/>
        <v>0</v>
      </c>
    </row>
    <row r="7195" spans="1:8" x14ac:dyDescent="0.3">
      <c r="A7195" s="400"/>
      <c r="B7195" s="709">
        <v>101377</v>
      </c>
      <c r="C7195" s="710" t="s">
        <v>6043</v>
      </c>
      <c r="D7195" s="709" t="s">
        <v>208</v>
      </c>
      <c r="E7195" s="716">
        <v>4654.8599999999997</v>
      </c>
      <c r="F7195" s="717">
        <v>0</v>
      </c>
      <c r="G7195">
        <f>VLOOKUP(B7195,'SINAPI-%MO'!B:E,4,0)</f>
        <v>1</v>
      </c>
      <c r="H7195" s="225">
        <f t="shared" si="112"/>
        <v>0</v>
      </c>
    </row>
    <row r="7196" spans="1:8" x14ac:dyDescent="0.3">
      <c r="A7196" s="400"/>
      <c r="B7196" s="709">
        <v>88242</v>
      </c>
      <c r="C7196" s="710" t="s">
        <v>6044</v>
      </c>
      <c r="D7196" s="709" t="s">
        <v>234</v>
      </c>
      <c r="E7196" s="716">
        <v>27.19</v>
      </c>
      <c r="F7196" s="717">
        <v>0</v>
      </c>
      <c r="G7196">
        <f>VLOOKUP(B7196,'SINAPI-%MO'!B:E,4,0)</f>
        <v>1</v>
      </c>
      <c r="H7196" s="225">
        <f t="shared" si="112"/>
        <v>0</v>
      </c>
    </row>
    <row r="7197" spans="1:8" x14ac:dyDescent="0.3">
      <c r="A7197" s="400"/>
      <c r="B7197" s="709">
        <v>100301</v>
      </c>
      <c r="C7197" s="710" t="s">
        <v>6045</v>
      </c>
      <c r="D7197" s="709" t="s">
        <v>234</v>
      </c>
      <c r="E7197" s="716">
        <v>29.05</v>
      </c>
      <c r="F7197" s="717">
        <v>0</v>
      </c>
      <c r="G7197">
        <f>VLOOKUP(B7197,'SINAPI-%MO'!B:E,4,0)</f>
        <v>1</v>
      </c>
      <c r="H7197" s="225">
        <f t="shared" si="112"/>
        <v>0</v>
      </c>
    </row>
    <row r="7198" spans="1:8" x14ac:dyDescent="0.3">
      <c r="A7198" s="400"/>
      <c r="B7198" s="709">
        <v>101378</v>
      </c>
      <c r="C7198" s="710" t="s">
        <v>6045</v>
      </c>
      <c r="D7198" s="709" t="s">
        <v>208</v>
      </c>
      <c r="E7198" s="716">
        <v>4983.32</v>
      </c>
      <c r="F7198" s="717">
        <v>0</v>
      </c>
      <c r="G7198">
        <f>VLOOKUP(B7198,'SINAPI-%MO'!B:E,4,0)</f>
        <v>1</v>
      </c>
      <c r="H7198" s="225">
        <f t="shared" si="112"/>
        <v>0</v>
      </c>
    </row>
    <row r="7199" spans="1:8" x14ac:dyDescent="0.3">
      <c r="A7199" s="400"/>
      <c r="B7199" s="709">
        <v>101379</v>
      </c>
      <c r="C7199" s="710" t="s">
        <v>6046</v>
      </c>
      <c r="D7199" s="709" t="s">
        <v>208</v>
      </c>
      <c r="E7199" s="716">
        <v>4672.07</v>
      </c>
      <c r="F7199" s="717">
        <v>0</v>
      </c>
      <c r="G7199">
        <f>VLOOKUP(B7199,'SINAPI-%MO'!B:E,4,0)</f>
        <v>1</v>
      </c>
      <c r="H7199" s="225">
        <f t="shared" si="112"/>
        <v>0</v>
      </c>
    </row>
    <row r="7200" spans="1:8" x14ac:dyDescent="0.3">
      <c r="A7200" s="400"/>
      <c r="B7200" s="709">
        <v>88243</v>
      </c>
      <c r="C7200" s="710" t="s">
        <v>6047</v>
      </c>
      <c r="D7200" s="709" t="s">
        <v>234</v>
      </c>
      <c r="E7200" s="716">
        <v>26.96</v>
      </c>
      <c r="F7200" s="717">
        <v>0</v>
      </c>
      <c r="G7200">
        <f>VLOOKUP(B7200,'SINAPI-%MO'!B:E,4,0)</f>
        <v>1</v>
      </c>
      <c r="H7200" s="225">
        <f t="shared" si="112"/>
        <v>0</v>
      </c>
    </row>
    <row r="7201" spans="1:8" x14ac:dyDescent="0.3">
      <c r="A7201" s="400"/>
      <c r="B7201" s="709">
        <v>101380</v>
      </c>
      <c r="C7201" s="710" t="s">
        <v>6047</v>
      </c>
      <c r="D7201" s="709" t="s">
        <v>208</v>
      </c>
      <c r="E7201" s="716">
        <v>4645.1400000000003</v>
      </c>
      <c r="F7201" s="717">
        <v>0</v>
      </c>
      <c r="G7201">
        <f>VLOOKUP(B7201,'SINAPI-%MO'!B:E,4,0)</f>
        <v>1</v>
      </c>
      <c r="H7201" s="225">
        <f t="shared" si="112"/>
        <v>0</v>
      </c>
    </row>
    <row r="7202" spans="1:8" x14ac:dyDescent="0.3">
      <c r="A7202" s="400"/>
      <c r="B7202" s="709">
        <v>90766</v>
      </c>
      <c r="C7202" s="710" t="s">
        <v>6048</v>
      </c>
      <c r="D7202" s="709" t="s">
        <v>234</v>
      </c>
      <c r="E7202" s="716">
        <v>31.57</v>
      </c>
      <c r="F7202" s="717">
        <v>0</v>
      </c>
      <c r="G7202">
        <f>VLOOKUP(B7202,'SINAPI-%MO'!B:E,4,0)</f>
        <v>1</v>
      </c>
      <c r="H7202" s="225">
        <f t="shared" si="112"/>
        <v>0</v>
      </c>
    </row>
    <row r="7203" spans="1:8" x14ac:dyDescent="0.3">
      <c r="A7203" s="400"/>
      <c r="B7203" s="709">
        <v>93563</v>
      </c>
      <c r="C7203" s="710" t="s">
        <v>6048</v>
      </c>
      <c r="D7203" s="709" t="s">
        <v>208</v>
      </c>
      <c r="E7203" s="716">
        <v>5481.71</v>
      </c>
      <c r="F7203" s="717">
        <v>0</v>
      </c>
      <c r="G7203">
        <f>VLOOKUP(B7203,'SINAPI-%MO'!B:E,4,0)</f>
        <v>1</v>
      </c>
      <c r="H7203" s="225">
        <f t="shared" si="112"/>
        <v>0</v>
      </c>
    </row>
    <row r="7204" spans="1:8" x14ac:dyDescent="0.3">
      <c r="A7204" s="400"/>
      <c r="B7204" s="709">
        <v>90767</v>
      </c>
      <c r="C7204" s="710" t="s">
        <v>6049</v>
      </c>
      <c r="D7204" s="709" t="s">
        <v>234</v>
      </c>
      <c r="E7204" s="716">
        <v>31.62</v>
      </c>
      <c r="F7204" s="717">
        <v>0</v>
      </c>
      <c r="G7204">
        <f>VLOOKUP(B7204,'SINAPI-%MO'!B:E,4,0)</f>
        <v>1</v>
      </c>
      <c r="H7204" s="225">
        <f t="shared" si="112"/>
        <v>0</v>
      </c>
    </row>
    <row r="7205" spans="1:8" x14ac:dyDescent="0.3">
      <c r="A7205" s="400"/>
      <c r="B7205" s="709">
        <v>93564</v>
      </c>
      <c r="C7205" s="710" t="s">
        <v>6049</v>
      </c>
      <c r="D7205" s="709" t="s">
        <v>208</v>
      </c>
      <c r="E7205" s="716">
        <v>5421.43</v>
      </c>
      <c r="F7205" s="717">
        <v>0</v>
      </c>
      <c r="G7205">
        <f>VLOOKUP(B7205,'SINAPI-%MO'!B:E,4,0)</f>
        <v>1</v>
      </c>
      <c r="H7205" s="225">
        <f t="shared" si="112"/>
        <v>0</v>
      </c>
    </row>
    <row r="7206" spans="1:8" x14ac:dyDescent="0.3">
      <c r="A7206" s="400"/>
      <c r="B7206" s="709">
        <v>88245</v>
      </c>
      <c r="C7206" s="710" t="s">
        <v>6050</v>
      </c>
      <c r="D7206" s="709" t="s">
        <v>234</v>
      </c>
      <c r="E7206" s="716">
        <v>30.88</v>
      </c>
      <c r="F7206" s="717">
        <v>0</v>
      </c>
      <c r="G7206">
        <f>VLOOKUP(B7206,'SINAPI-%MO'!B:E,4,0)</f>
        <v>1</v>
      </c>
      <c r="H7206" s="225">
        <f t="shared" si="112"/>
        <v>0</v>
      </c>
    </row>
    <row r="7207" spans="1:8" x14ac:dyDescent="0.3">
      <c r="A7207" s="400"/>
      <c r="B7207" s="709">
        <v>101381</v>
      </c>
      <c r="C7207" s="710" t="s">
        <v>6050</v>
      </c>
      <c r="D7207" s="709" t="s">
        <v>208</v>
      </c>
      <c r="E7207" s="716">
        <v>5322.08</v>
      </c>
      <c r="F7207" s="717">
        <v>0</v>
      </c>
      <c r="G7207">
        <f>VLOOKUP(B7207,'SINAPI-%MO'!B:E,4,0)</f>
        <v>1</v>
      </c>
      <c r="H7207" s="225">
        <f t="shared" si="112"/>
        <v>0</v>
      </c>
    </row>
    <row r="7208" spans="1:8" x14ac:dyDescent="0.3">
      <c r="A7208" s="400"/>
      <c r="B7208" s="709">
        <v>90768</v>
      </c>
      <c r="C7208" s="710" t="s">
        <v>6051</v>
      </c>
      <c r="D7208" s="709" t="s">
        <v>234</v>
      </c>
      <c r="E7208" s="716">
        <v>135.68</v>
      </c>
      <c r="F7208" s="717">
        <v>0</v>
      </c>
      <c r="G7208">
        <f>VLOOKUP(B7208,'SINAPI-%MO'!B:E,4,0)</f>
        <v>1</v>
      </c>
      <c r="H7208" s="225">
        <f t="shared" si="112"/>
        <v>0</v>
      </c>
    </row>
    <row r="7209" spans="1:8" x14ac:dyDescent="0.3">
      <c r="A7209" s="400"/>
      <c r="B7209" s="709">
        <v>90769</v>
      </c>
      <c r="C7209" s="710" t="s">
        <v>6052</v>
      </c>
      <c r="D7209" s="709" t="s">
        <v>234</v>
      </c>
      <c r="E7209" s="716">
        <v>143.47999999999999</v>
      </c>
      <c r="F7209" s="717">
        <v>0</v>
      </c>
      <c r="G7209">
        <f>VLOOKUP(B7209,'SINAPI-%MO'!B:E,4,0)</f>
        <v>1</v>
      </c>
      <c r="H7209" s="225">
        <f t="shared" si="112"/>
        <v>0</v>
      </c>
    </row>
    <row r="7210" spans="1:8" x14ac:dyDescent="0.3">
      <c r="A7210" s="400"/>
      <c r="B7210" s="709">
        <v>90770</v>
      </c>
      <c r="C7210" s="710" t="s">
        <v>6053</v>
      </c>
      <c r="D7210" s="709" t="s">
        <v>234</v>
      </c>
      <c r="E7210" s="716">
        <v>150.16999999999999</v>
      </c>
      <c r="F7210" s="717">
        <v>0</v>
      </c>
      <c r="G7210">
        <f>VLOOKUP(B7210,'SINAPI-%MO'!B:E,4,0)</f>
        <v>1</v>
      </c>
      <c r="H7210" s="225">
        <f t="shared" si="112"/>
        <v>0</v>
      </c>
    </row>
    <row r="7211" spans="1:8" x14ac:dyDescent="0.3">
      <c r="A7211" s="400"/>
      <c r="B7211" s="709">
        <v>93569</v>
      </c>
      <c r="C7211" s="710" t="s">
        <v>6054</v>
      </c>
      <c r="D7211" s="709" t="s">
        <v>208</v>
      </c>
      <c r="E7211" s="716">
        <v>23618.05</v>
      </c>
      <c r="F7211" s="717">
        <v>0</v>
      </c>
      <c r="G7211">
        <f>VLOOKUP(B7211,'SINAPI-%MO'!B:E,4,0)</f>
        <v>1</v>
      </c>
      <c r="H7211" s="225">
        <f t="shared" si="112"/>
        <v>0</v>
      </c>
    </row>
    <row r="7212" spans="1:8" x14ac:dyDescent="0.3">
      <c r="A7212" s="400"/>
      <c r="B7212" s="709">
        <v>93570</v>
      </c>
      <c r="C7212" s="710" t="s">
        <v>6055</v>
      </c>
      <c r="D7212" s="709" t="s">
        <v>208</v>
      </c>
      <c r="E7212" s="716">
        <v>24978.080000000002</v>
      </c>
      <c r="F7212" s="717">
        <v>0</v>
      </c>
      <c r="G7212">
        <f>VLOOKUP(B7212,'SINAPI-%MO'!B:E,4,0)</f>
        <v>1</v>
      </c>
      <c r="H7212" s="225">
        <f t="shared" si="112"/>
        <v>0</v>
      </c>
    </row>
    <row r="7213" spans="1:8" x14ac:dyDescent="0.3">
      <c r="A7213" s="400"/>
      <c r="B7213" s="709">
        <v>93571</v>
      </c>
      <c r="C7213" s="710" t="s">
        <v>6056</v>
      </c>
      <c r="D7213" s="709" t="s">
        <v>208</v>
      </c>
      <c r="E7213" s="716">
        <v>26143.1</v>
      </c>
      <c r="F7213" s="717">
        <v>0</v>
      </c>
      <c r="G7213">
        <f>VLOOKUP(B7213,'SINAPI-%MO'!B:E,4,0)</f>
        <v>1</v>
      </c>
      <c r="H7213" s="225">
        <f t="shared" si="112"/>
        <v>0</v>
      </c>
    </row>
    <row r="7214" spans="1:8" x14ac:dyDescent="0.3">
      <c r="A7214" s="400"/>
      <c r="B7214" s="709">
        <v>101382</v>
      </c>
      <c r="C7214" s="710" t="s">
        <v>6057</v>
      </c>
      <c r="D7214" s="709" t="s">
        <v>208</v>
      </c>
      <c r="E7214" s="716">
        <v>3378.48</v>
      </c>
      <c r="F7214" s="717">
        <v>0</v>
      </c>
      <c r="G7214">
        <f>VLOOKUP(B7214,'SINAPI-%MO'!B:E,4,0)</f>
        <v>1</v>
      </c>
      <c r="H7214" s="225">
        <f t="shared" si="112"/>
        <v>0</v>
      </c>
    </row>
    <row r="7215" spans="1:8" x14ac:dyDescent="0.3">
      <c r="A7215" s="400"/>
      <c r="B7215" s="709">
        <v>88246</v>
      </c>
      <c r="C7215" s="710" t="s">
        <v>6058</v>
      </c>
      <c r="D7215" s="709" t="s">
        <v>234</v>
      </c>
      <c r="E7215" s="716">
        <v>19.670000000000002</v>
      </c>
      <c r="F7215" s="717">
        <v>0</v>
      </c>
      <c r="G7215">
        <f>VLOOKUP(B7215,'SINAPI-%MO'!B:E,4,0)</f>
        <v>1</v>
      </c>
      <c r="H7215" s="225">
        <f t="shared" si="112"/>
        <v>0</v>
      </c>
    </row>
    <row r="7216" spans="1:8" x14ac:dyDescent="0.3">
      <c r="A7216" s="400"/>
      <c r="B7216" s="709">
        <v>100303</v>
      </c>
      <c r="C7216" s="710" t="s">
        <v>6059</v>
      </c>
      <c r="D7216" s="709" t="s">
        <v>234</v>
      </c>
      <c r="E7216" s="716">
        <v>25.75</v>
      </c>
      <c r="F7216" s="717">
        <v>0</v>
      </c>
      <c r="G7216">
        <f>VLOOKUP(B7216,'SINAPI-%MO'!B:E,4,0)</f>
        <v>1</v>
      </c>
      <c r="H7216" s="225">
        <f t="shared" si="112"/>
        <v>0</v>
      </c>
    </row>
    <row r="7217" spans="1:8" x14ac:dyDescent="0.3">
      <c r="A7217" s="400"/>
      <c r="B7217" s="709">
        <v>101383</v>
      </c>
      <c r="C7217" s="710" t="s">
        <v>6059</v>
      </c>
      <c r="D7217" s="709" t="s">
        <v>208</v>
      </c>
      <c r="E7217" s="716">
        <v>4423.45</v>
      </c>
      <c r="F7217" s="717">
        <v>0</v>
      </c>
      <c r="G7217">
        <f>VLOOKUP(B7217,'SINAPI-%MO'!B:E,4,0)</f>
        <v>1</v>
      </c>
      <c r="H7217" s="225">
        <f t="shared" si="112"/>
        <v>0</v>
      </c>
    </row>
    <row r="7218" spans="1:8" x14ac:dyDescent="0.3">
      <c r="A7218" s="400"/>
      <c r="B7218" s="709">
        <v>88247</v>
      </c>
      <c r="C7218" s="710" t="s">
        <v>6060</v>
      </c>
      <c r="D7218" s="709" t="s">
        <v>234</v>
      </c>
      <c r="E7218" s="716">
        <v>27.75</v>
      </c>
      <c r="F7218" s="717">
        <v>0</v>
      </c>
      <c r="G7218">
        <f>VLOOKUP(B7218,'SINAPI-%MO'!B:E,4,0)</f>
        <v>1</v>
      </c>
      <c r="H7218" s="225">
        <f t="shared" si="112"/>
        <v>0</v>
      </c>
    </row>
    <row r="7219" spans="1:8" x14ac:dyDescent="0.3">
      <c r="A7219" s="400"/>
      <c r="B7219" s="709">
        <v>88248</v>
      </c>
      <c r="C7219" s="710" t="s">
        <v>6061</v>
      </c>
      <c r="D7219" s="709" t="s">
        <v>234</v>
      </c>
      <c r="E7219" s="716">
        <v>26.76</v>
      </c>
      <c r="F7219" s="717">
        <v>0</v>
      </c>
      <c r="G7219">
        <f>VLOOKUP(B7219,'SINAPI-%MO'!B:E,4,0)</f>
        <v>1</v>
      </c>
      <c r="H7219" s="225">
        <f t="shared" si="112"/>
        <v>0</v>
      </c>
    </row>
    <row r="7220" spans="1:8" x14ac:dyDescent="0.3">
      <c r="A7220" s="400"/>
      <c r="B7220" s="709">
        <v>101384</v>
      </c>
      <c r="C7220" s="710" t="s">
        <v>6061</v>
      </c>
      <c r="D7220" s="709" t="s">
        <v>208</v>
      </c>
      <c r="E7220" s="716">
        <v>4589.57</v>
      </c>
      <c r="F7220" s="717">
        <v>0</v>
      </c>
      <c r="G7220">
        <f>VLOOKUP(B7220,'SINAPI-%MO'!B:E,4,0)</f>
        <v>1</v>
      </c>
      <c r="H7220" s="225">
        <f t="shared" si="112"/>
        <v>0</v>
      </c>
    </row>
    <row r="7221" spans="1:8" x14ac:dyDescent="0.3">
      <c r="A7221" s="400"/>
      <c r="B7221" s="709">
        <v>90772</v>
      </c>
      <c r="C7221" s="710" t="s">
        <v>6062</v>
      </c>
      <c r="D7221" s="709" t="s">
        <v>234</v>
      </c>
      <c r="E7221" s="716">
        <v>27.56</v>
      </c>
      <c r="F7221" s="717">
        <v>0</v>
      </c>
      <c r="G7221">
        <f>VLOOKUP(B7221,'SINAPI-%MO'!B:E,4,0)</f>
        <v>1</v>
      </c>
      <c r="H7221" s="225">
        <f t="shared" si="112"/>
        <v>0</v>
      </c>
    </row>
    <row r="7222" spans="1:8" x14ac:dyDescent="0.3">
      <c r="A7222" s="400"/>
      <c r="B7222" s="709">
        <v>93566</v>
      </c>
      <c r="C7222" s="710" t="s">
        <v>6062</v>
      </c>
      <c r="D7222" s="709" t="s">
        <v>208</v>
      </c>
      <c r="E7222" s="716">
        <v>4782.54</v>
      </c>
      <c r="F7222" s="717">
        <v>0</v>
      </c>
      <c r="G7222">
        <f>VLOOKUP(B7222,'SINAPI-%MO'!B:E,4,0)</f>
        <v>1</v>
      </c>
      <c r="H7222" s="225">
        <f t="shared" si="112"/>
        <v>0</v>
      </c>
    </row>
    <row r="7223" spans="1:8" x14ac:dyDescent="0.3">
      <c r="A7223" s="400"/>
      <c r="B7223" s="709">
        <v>101385</v>
      </c>
      <c r="C7223" s="710" t="s">
        <v>6063</v>
      </c>
      <c r="D7223" s="709" t="s">
        <v>208</v>
      </c>
      <c r="E7223" s="716">
        <v>6137.61</v>
      </c>
      <c r="F7223" s="717">
        <v>0</v>
      </c>
      <c r="G7223">
        <f>VLOOKUP(B7223,'SINAPI-%MO'!B:E,4,0)</f>
        <v>1</v>
      </c>
      <c r="H7223" s="225">
        <f t="shared" si="112"/>
        <v>0</v>
      </c>
    </row>
    <row r="7224" spans="1:8" x14ac:dyDescent="0.3">
      <c r="A7224" s="400"/>
      <c r="B7224" s="709">
        <v>88249</v>
      </c>
      <c r="C7224" s="710" t="s">
        <v>6064</v>
      </c>
      <c r="D7224" s="709" t="s">
        <v>234</v>
      </c>
      <c r="E7224" s="716">
        <v>35.409999999999997</v>
      </c>
      <c r="F7224" s="717">
        <v>0</v>
      </c>
      <c r="G7224">
        <f>VLOOKUP(B7224,'SINAPI-%MO'!B:E,4,0)</f>
        <v>1</v>
      </c>
      <c r="H7224" s="225">
        <f t="shared" si="112"/>
        <v>0</v>
      </c>
    </row>
    <row r="7225" spans="1:8" x14ac:dyDescent="0.3">
      <c r="A7225" s="400"/>
      <c r="B7225" s="709">
        <v>88250</v>
      </c>
      <c r="C7225" s="710" t="s">
        <v>6065</v>
      </c>
      <c r="D7225" s="709" t="s">
        <v>234</v>
      </c>
      <c r="E7225" s="716">
        <v>25.85</v>
      </c>
      <c r="F7225" s="717">
        <v>0</v>
      </c>
      <c r="G7225">
        <f>VLOOKUP(B7225,'SINAPI-%MO'!B:E,4,0)</f>
        <v>1</v>
      </c>
      <c r="H7225" s="225">
        <f t="shared" si="112"/>
        <v>0</v>
      </c>
    </row>
    <row r="7226" spans="1:8" x14ac:dyDescent="0.3">
      <c r="A7226" s="400"/>
      <c r="B7226" s="709">
        <v>101386</v>
      </c>
      <c r="C7226" s="710" t="s">
        <v>6065</v>
      </c>
      <c r="D7226" s="709" t="s">
        <v>208</v>
      </c>
      <c r="E7226" s="716">
        <v>4457.3599999999997</v>
      </c>
      <c r="F7226" s="717">
        <v>0</v>
      </c>
      <c r="G7226">
        <f>VLOOKUP(B7226,'SINAPI-%MO'!B:E,4,0)</f>
        <v>1</v>
      </c>
      <c r="H7226" s="225">
        <f t="shared" si="112"/>
        <v>0</v>
      </c>
    </row>
    <row r="7227" spans="1:8" x14ac:dyDescent="0.3">
      <c r="A7227" s="400"/>
      <c r="B7227" s="709">
        <v>101387</v>
      </c>
      <c r="C7227" s="710" t="s">
        <v>6066</v>
      </c>
      <c r="D7227" s="709" t="s">
        <v>208</v>
      </c>
      <c r="E7227" s="716">
        <v>4672.07</v>
      </c>
      <c r="F7227" s="717">
        <v>0</v>
      </c>
      <c r="G7227">
        <f>VLOOKUP(B7227,'SINAPI-%MO'!B:E,4,0)</f>
        <v>1</v>
      </c>
      <c r="H7227" s="225">
        <f t="shared" si="112"/>
        <v>0</v>
      </c>
    </row>
    <row r="7228" spans="1:8" x14ac:dyDescent="0.3">
      <c r="A7228" s="400"/>
      <c r="B7228" s="709">
        <v>88251</v>
      </c>
      <c r="C7228" s="710" t="s">
        <v>6067</v>
      </c>
      <c r="D7228" s="709" t="s">
        <v>234</v>
      </c>
      <c r="E7228" s="716">
        <v>27.13</v>
      </c>
      <c r="F7228" s="717">
        <v>0</v>
      </c>
      <c r="G7228">
        <f>VLOOKUP(B7228,'SINAPI-%MO'!B:E,4,0)</f>
        <v>1</v>
      </c>
      <c r="H7228" s="225">
        <f t="shared" si="112"/>
        <v>0</v>
      </c>
    </row>
    <row r="7229" spans="1:8" x14ac:dyDescent="0.3">
      <c r="A7229" s="400"/>
      <c r="B7229" s="709">
        <v>88252</v>
      </c>
      <c r="C7229" s="710" t="s">
        <v>6068</v>
      </c>
      <c r="D7229" s="709" t="s">
        <v>234</v>
      </c>
      <c r="E7229" s="716">
        <v>25.63</v>
      </c>
      <c r="F7229" s="717">
        <v>0</v>
      </c>
      <c r="G7229">
        <f>VLOOKUP(B7229,'SINAPI-%MO'!B:E,4,0)</f>
        <v>1</v>
      </c>
      <c r="H7229" s="225">
        <f t="shared" si="112"/>
        <v>0</v>
      </c>
    </row>
    <row r="7230" spans="1:8" x14ac:dyDescent="0.3">
      <c r="A7230" s="400"/>
      <c r="B7230" s="709">
        <v>101388</v>
      </c>
      <c r="C7230" s="710" t="s">
        <v>6068</v>
      </c>
      <c r="D7230" s="709" t="s">
        <v>208</v>
      </c>
      <c r="E7230" s="716">
        <v>4411.0600000000004</v>
      </c>
      <c r="F7230" s="717">
        <v>0</v>
      </c>
      <c r="G7230">
        <f>VLOOKUP(B7230,'SINAPI-%MO'!B:E,4,0)</f>
        <v>1</v>
      </c>
      <c r="H7230" s="225">
        <f t="shared" si="112"/>
        <v>0</v>
      </c>
    </row>
    <row r="7231" spans="1:8" x14ac:dyDescent="0.3">
      <c r="A7231" s="400"/>
      <c r="B7231" s="709">
        <v>88253</v>
      </c>
      <c r="C7231" s="710" t="s">
        <v>6069</v>
      </c>
      <c r="D7231" s="709" t="s">
        <v>234</v>
      </c>
      <c r="E7231" s="716">
        <v>24.37</v>
      </c>
      <c r="F7231" s="717">
        <v>0</v>
      </c>
      <c r="G7231">
        <f>VLOOKUP(B7231,'SINAPI-%MO'!B:E,4,0)</f>
        <v>1</v>
      </c>
      <c r="H7231" s="225">
        <f t="shared" si="112"/>
        <v>0</v>
      </c>
    </row>
    <row r="7232" spans="1:8" x14ac:dyDescent="0.3">
      <c r="A7232" s="400"/>
      <c r="B7232" s="709">
        <v>101389</v>
      </c>
      <c r="C7232" s="710" t="s">
        <v>6069</v>
      </c>
      <c r="D7232" s="709" t="s">
        <v>208</v>
      </c>
      <c r="E7232" s="716">
        <v>4213.37</v>
      </c>
      <c r="F7232" s="717">
        <v>0</v>
      </c>
      <c r="G7232">
        <f>VLOOKUP(B7232,'SINAPI-%MO'!B:E,4,0)</f>
        <v>1</v>
      </c>
      <c r="H7232" s="225">
        <f t="shared" si="112"/>
        <v>0</v>
      </c>
    </row>
    <row r="7233" spans="1:8" x14ac:dyDescent="0.3">
      <c r="A7233" s="400"/>
      <c r="B7233" s="709">
        <v>101390</v>
      </c>
      <c r="C7233" s="710" t="s">
        <v>6070</v>
      </c>
      <c r="D7233" s="709" t="s">
        <v>208</v>
      </c>
      <c r="E7233" s="716">
        <v>7171.12</v>
      </c>
      <c r="F7233" s="717">
        <v>0</v>
      </c>
      <c r="G7233">
        <f>VLOOKUP(B7233,'SINAPI-%MO'!B:E,4,0)</f>
        <v>1</v>
      </c>
      <c r="H7233" s="225">
        <f t="shared" si="112"/>
        <v>0</v>
      </c>
    </row>
    <row r="7234" spans="1:8" x14ac:dyDescent="0.3">
      <c r="A7234" s="400"/>
      <c r="B7234" s="709">
        <v>88255</v>
      </c>
      <c r="C7234" s="710" t="s">
        <v>6071</v>
      </c>
      <c r="D7234" s="709" t="s">
        <v>234</v>
      </c>
      <c r="E7234" s="716">
        <v>41.34</v>
      </c>
      <c r="F7234" s="717">
        <v>0</v>
      </c>
      <c r="G7234">
        <f>VLOOKUP(B7234,'SINAPI-%MO'!B:E,4,0)</f>
        <v>1</v>
      </c>
      <c r="H7234" s="225">
        <f t="shared" si="112"/>
        <v>0</v>
      </c>
    </row>
    <row r="7235" spans="1:8" x14ac:dyDescent="0.3">
      <c r="A7235" s="400"/>
      <c r="B7235" s="709">
        <v>88256</v>
      </c>
      <c r="C7235" s="710" t="s">
        <v>6072</v>
      </c>
      <c r="D7235" s="709" t="s">
        <v>234</v>
      </c>
      <c r="E7235" s="716">
        <v>30.96</v>
      </c>
      <c r="F7235" s="717">
        <v>0</v>
      </c>
      <c r="G7235">
        <f>VLOOKUP(B7235,'SINAPI-%MO'!B:E,4,0)</f>
        <v>1</v>
      </c>
      <c r="H7235" s="225">
        <f t="shared" si="112"/>
        <v>0</v>
      </c>
    </row>
    <row r="7236" spans="1:8" x14ac:dyDescent="0.3">
      <c r="A7236" s="400"/>
      <c r="B7236" s="709">
        <v>101391</v>
      </c>
      <c r="C7236" s="710" t="s">
        <v>6072</v>
      </c>
      <c r="D7236" s="709" t="s">
        <v>208</v>
      </c>
      <c r="E7236" s="716">
        <v>5322.08</v>
      </c>
      <c r="F7236" s="717">
        <v>0</v>
      </c>
      <c r="G7236">
        <f>VLOOKUP(B7236,'SINAPI-%MO'!B:E,4,0)</f>
        <v>1</v>
      </c>
      <c r="H7236" s="225">
        <f t="shared" si="112"/>
        <v>0</v>
      </c>
    </row>
    <row r="7237" spans="1:8" x14ac:dyDescent="0.3">
      <c r="A7237" s="400"/>
      <c r="B7237" s="709">
        <v>88257</v>
      </c>
      <c r="C7237" s="710" t="s">
        <v>6073</v>
      </c>
      <c r="D7237" s="709" t="s">
        <v>234</v>
      </c>
      <c r="E7237" s="716">
        <v>39.119999999999997</v>
      </c>
      <c r="F7237" s="717">
        <v>0</v>
      </c>
      <c r="G7237">
        <f>VLOOKUP(B7237,'SINAPI-%MO'!B:E,4,0)</f>
        <v>1</v>
      </c>
      <c r="H7237" s="225">
        <f t="shared" si="112"/>
        <v>0</v>
      </c>
    </row>
    <row r="7238" spans="1:8" x14ac:dyDescent="0.3">
      <c r="A7238" s="400"/>
      <c r="B7238" s="709">
        <v>101392</v>
      </c>
      <c r="C7238" s="710" t="s">
        <v>6074</v>
      </c>
      <c r="D7238" s="709" t="s">
        <v>208</v>
      </c>
      <c r="E7238" s="716">
        <v>6726.71</v>
      </c>
      <c r="F7238" s="717">
        <v>0</v>
      </c>
      <c r="G7238">
        <f>VLOOKUP(B7238,'SINAPI-%MO'!B:E,4,0)</f>
        <v>1</v>
      </c>
      <c r="H7238" s="225">
        <f t="shared" si="112"/>
        <v>0</v>
      </c>
    </row>
    <row r="7239" spans="1:8" x14ac:dyDescent="0.3">
      <c r="A7239" s="400"/>
      <c r="B7239" s="709">
        <v>88260</v>
      </c>
      <c r="C7239" s="710" t="s">
        <v>6075</v>
      </c>
      <c r="D7239" s="709" t="s">
        <v>234</v>
      </c>
      <c r="E7239" s="716">
        <v>27.34</v>
      </c>
      <c r="F7239" s="717">
        <v>0</v>
      </c>
      <c r="G7239">
        <f>VLOOKUP(B7239,'SINAPI-%MO'!B:E,4,0)</f>
        <v>1</v>
      </c>
      <c r="H7239" s="225">
        <f t="shared" si="112"/>
        <v>0</v>
      </c>
    </row>
    <row r="7240" spans="1:8" x14ac:dyDescent="0.3">
      <c r="A7240" s="400"/>
      <c r="B7240" s="709">
        <v>101394</v>
      </c>
      <c r="C7240" s="710" t="s">
        <v>6075</v>
      </c>
      <c r="D7240" s="709" t="s">
        <v>208</v>
      </c>
      <c r="E7240" s="716">
        <v>4708</v>
      </c>
      <c r="F7240" s="717">
        <v>0</v>
      </c>
      <c r="G7240">
        <f>VLOOKUP(B7240,'SINAPI-%MO'!B:E,4,0)</f>
        <v>1</v>
      </c>
      <c r="H7240" s="225">
        <f t="shared" si="112"/>
        <v>0</v>
      </c>
    </row>
    <row r="7241" spans="1:8" x14ac:dyDescent="0.3">
      <c r="A7241" s="400"/>
      <c r="B7241" s="709">
        <v>101395</v>
      </c>
      <c r="C7241" s="710" t="s">
        <v>6076</v>
      </c>
      <c r="D7241" s="709" t="s">
        <v>208</v>
      </c>
      <c r="E7241" s="716">
        <v>4599.26</v>
      </c>
      <c r="F7241" s="717">
        <v>0</v>
      </c>
      <c r="G7241">
        <f>VLOOKUP(B7241,'SINAPI-%MO'!B:E,4,0)</f>
        <v>1</v>
      </c>
      <c r="H7241" s="225">
        <f t="shared" si="112"/>
        <v>0</v>
      </c>
    </row>
    <row r="7242" spans="1:8" x14ac:dyDescent="0.3">
      <c r="A7242" s="400"/>
      <c r="B7242" s="709">
        <v>88261</v>
      </c>
      <c r="C7242" s="710" t="s">
        <v>6077</v>
      </c>
      <c r="D7242" s="709" t="s">
        <v>234</v>
      </c>
      <c r="E7242" s="716">
        <v>29.11</v>
      </c>
      <c r="F7242" s="717">
        <v>0</v>
      </c>
      <c r="G7242">
        <f>VLOOKUP(B7242,'SINAPI-%MO'!B:E,4,0)</f>
        <v>1</v>
      </c>
      <c r="H7242" s="225">
        <f t="shared" si="112"/>
        <v>0</v>
      </c>
    </row>
    <row r="7243" spans="1:8" x14ac:dyDescent="0.3">
      <c r="A7243" s="400"/>
      <c r="B7243" s="709">
        <v>101396</v>
      </c>
      <c r="C7243" s="710" t="s">
        <v>6077</v>
      </c>
      <c r="D7243" s="709" t="s">
        <v>208</v>
      </c>
      <c r="E7243" s="716">
        <v>5003.4799999999996</v>
      </c>
      <c r="F7243" s="717">
        <v>0</v>
      </c>
      <c r="G7243">
        <f>VLOOKUP(B7243,'SINAPI-%MO'!B:E,4,0)</f>
        <v>1</v>
      </c>
      <c r="H7243" s="225">
        <f t="shared" ref="H7243:H7306" si="113">IF(E7243&gt;0,TRUNC(E7243*(1-G7243),2),"")</f>
        <v>0</v>
      </c>
    </row>
    <row r="7244" spans="1:8" x14ac:dyDescent="0.3">
      <c r="A7244" s="400"/>
      <c r="B7244" s="709">
        <v>88262</v>
      </c>
      <c r="C7244" s="710" t="s">
        <v>6078</v>
      </c>
      <c r="D7244" s="709" t="s">
        <v>234</v>
      </c>
      <c r="E7244" s="716">
        <v>30.45</v>
      </c>
      <c r="F7244" s="717">
        <v>0</v>
      </c>
      <c r="G7244">
        <f>VLOOKUP(B7244,'SINAPI-%MO'!B:E,4,0)</f>
        <v>1</v>
      </c>
      <c r="H7244" s="225">
        <f t="shared" si="113"/>
        <v>0</v>
      </c>
    </row>
    <row r="7245" spans="1:8" x14ac:dyDescent="0.3">
      <c r="A7245" s="400"/>
      <c r="B7245" s="709">
        <v>101397</v>
      </c>
      <c r="C7245" s="710" t="s">
        <v>6078</v>
      </c>
      <c r="D7245" s="709" t="s">
        <v>208</v>
      </c>
      <c r="E7245" s="716">
        <v>5249.27</v>
      </c>
      <c r="F7245" s="717">
        <v>0</v>
      </c>
      <c r="G7245">
        <f>VLOOKUP(B7245,'SINAPI-%MO'!B:E,4,0)</f>
        <v>1</v>
      </c>
      <c r="H7245" s="225">
        <f t="shared" si="113"/>
        <v>0</v>
      </c>
    </row>
    <row r="7246" spans="1:8" x14ac:dyDescent="0.3">
      <c r="A7246" s="400"/>
      <c r="B7246" s="709">
        <v>101398</v>
      </c>
      <c r="C7246" s="710" t="s">
        <v>6079</v>
      </c>
      <c r="D7246" s="709" t="s">
        <v>208</v>
      </c>
      <c r="E7246" s="716">
        <v>4625.82</v>
      </c>
      <c r="F7246" s="717">
        <v>0</v>
      </c>
      <c r="G7246">
        <f>VLOOKUP(B7246,'SINAPI-%MO'!B:E,4,0)</f>
        <v>1</v>
      </c>
      <c r="H7246" s="225">
        <f t="shared" si="113"/>
        <v>0</v>
      </c>
    </row>
    <row r="7247" spans="1:8" x14ac:dyDescent="0.3">
      <c r="A7247" s="400"/>
      <c r="B7247" s="709">
        <v>88263</v>
      </c>
      <c r="C7247" s="710" t="s">
        <v>6080</v>
      </c>
      <c r="D7247" s="709" t="s">
        <v>234</v>
      </c>
      <c r="E7247" s="716">
        <v>26.81</v>
      </c>
      <c r="F7247" s="717">
        <v>0</v>
      </c>
      <c r="G7247">
        <f>VLOOKUP(B7247,'SINAPI-%MO'!B:E,4,0)</f>
        <v>1</v>
      </c>
      <c r="H7247" s="225">
        <f t="shared" si="113"/>
        <v>0</v>
      </c>
    </row>
    <row r="7248" spans="1:8" x14ac:dyDescent="0.3">
      <c r="A7248" s="400"/>
      <c r="B7248" s="709">
        <v>95308</v>
      </c>
      <c r="C7248" s="710" t="s">
        <v>6081</v>
      </c>
      <c r="D7248" s="709" t="s">
        <v>234</v>
      </c>
      <c r="E7248" s="716">
        <v>0.23</v>
      </c>
      <c r="F7248" s="717">
        <v>0</v>
      </c>
      <c r="G7248">
        <f>VLOOKUP(B7248,'SINAPI-%MO'!B:E,4,0)</f>
        <v>1</v>
      </c>
      <c r="H7248" s="225">
        <f t="shared" si="113"/>
        <v>0</v>
      </c>
    </row>
    <row r="7249" spans="1:8" x14ac:dyDescent="0.3">
      <c r="A7249" s="400"/>
      <c r="B7249" s="709">
        <v>101286</v>
      </c>
      <c r="C7249" s="710" t="s">
        <v>6082</v>
      </c>
      <c r="D7249" s="709" t="s">
        <v>208</v>
      </c>
      <c r="E7249" s="716">
        <v>30.95</v>
      </c>
      <c r="F7249" s="717">
        <v>0</v>
      </c>
      <c r="G7249">
        <f>VLOOKUP(B7249,'SINAPI-%MO'!B:E,4,0)</f>
        <v>1</v>
      </c>
      <c r="H7249" s="225">
        <f t="shared" si="113"/>
        <v>0</v>
      </c>
    </row>
    <row r="7250" spans="1:8" x14ac:dyDescent="0.3">
      <c r="A7250" s="400"/>
      <c r="B7250" s="709">
        <v>95309</v>
      </c>
      <c r="C7250" s="710" t="s">
        <v>6083</v>
      </c>
      <c r="D7250" s="709" t="s">
        <v>234</v>
      </c>
      <c r="E7250" s="716">
        <v>0.28999999999999998</v>
      </c>
      <c r="F7250" s="717">
        <v>0</v>
      </c>
      <c r="G7250">
        <f>VLOOKUP(B7250,'SINAPI-%MO'!B:E,4,0)</f>
        <v>1</v>
      </c>
      <c r="H7250" s="225">
        <f t="shared" si="113"/>
        <v>0</v>
      </c>
    </row>
    <row r="7251" spans="1:8" x14ac:dyDescent="0.3">
      <c r="A7251" s="400"/>
      <c r="B7251" s="709">
        <v>101287</v>
      </c>
      <c r="C7251" s="710" t="s">
        <v>6084</v>
      </c>
      <c r="D7251" s="709" t="s">
        <v>208</v>
      </c>
      <c r="E7251" s="716">
        <v>100.13</v>
      </c>
      <c r="F7251" s="717">
        <v>0</v>
      </c>
      <c r="G7251">
        <f>VLOOKUP(B7251,'SINAPI-%MO'!B:E,4,0)</f>
        <v>1</v>
      </c>
      <c r="H7251" s="225">
        <f t="shared" si="113"/>
        <v>0</v>
      </c>
    </row>
    <row r="7252" spans="1:8" x14ac:dyDescent="0.3">
      <c r="A7252" s="400"/>
      <c r="B7252" s="709">
        <v>95310</v>
      </c>
      <c r="C7252" s="710" t="s">
        <v>6085</v>
      </c>
      <c r="D7252" s="709" t="s">
        <v>234</v>
      </c>
      <c r="E7252" s="716">
        <v>0.23</v>
      </c>
      <c r="F7252" s="717">
        <v>0</v>
      </c>
      <c r="G7252">
        <f>VLOOKUP(B7252,'SINAPI-%MO'!B:E,4,0)</f>
        <v>1</v>
      </c>
      <c r="H7252" s="225">
        <f t="shared" si="113"/>
        <v>0</v>
      </c>
    </row>
    <row r="7253" spans="1:8" x14ac:dyDescent="0.3">
      <c r="A7253" s="400"/>
      <c r="B7253" s="709">
        <v>101288</v>
      </c>
      <c r="C7253" s="710" t="s">
        <v>6086</v>
      </c>
      <c r="D7253" s="709" t="s">
        <v>208</v>
      </c>
      <c r="E7253" s="716">
        <v>30.95</v>
      </c>
      <c r="F7253" s="717">
        <v>0</v>
      </c>
      <c r="G7253">
        <f>VLOOKUP(B7253,'SINAPI-%MO'!B:E,4,0)</f>
        <v>1</v>
      </c>
      <c r="H7253" s="225">
        <f t="shared" si="113"/>
        <v>0</v>
      </c>
    </row>
    <row r="7254" spans="1:8" x14ac:dyDescent="0.3">
      <c r="A7254" s="400"/>
      <c r="B7254" s="709">
        <v>95311</v>
      </c>
      <c r="C7254" s="710" t="s">
        <v>6087</v>
      </c>
      <c r="D7254" s="709" t="s">
        <v>234</v>
      </c>
      <c r="E7254" s="716">
        <v>0.23</v>
      </c>
      <c r="F7254" s="717">
        <v>0</v>
      </c>
      <c r="G7254">
        <f>VLOOKUP(B7254,'SINAPI-%MO'!B:E,4,0)</f>
        <v>1</v>
      </c>
      <c r="H7254" s="225">
        <f t="shared" si="113"/>
        <v>0</v>
      </c>
    </row>
    <row r="7255" spans="1:8" x14ac:dyDescent="0.3">
      <c r="A7255" s="400"/>
      <c r="B7255" s="709">
        <v>101289</v>
      </c>
      <c r="C7255" s="710" t="s">
        <v>6088</v>
      </c>
      <c r="D7255" s="709" t="s">
        <v>208</v>
      </c>
      <c r="E7255" s="716">
        <v>30.8</v>
      </c>
      <c r="F7255" s="717">
        <v>0</v>
      </c>
      <c r="G7255">
        <f>VLOOKUP(B7255,'SINAPI-%MO'!B:E,4,0)</f>
        <v>1</v>
      </c>
      <c r="H7255" s="225">
        <f t="shared" si="113"/>
        <v>0</v>
      </c>
    </row>
    <row r="7256" spans="1:8" x14ac:dyDescent="0.3">
      <c r="A7256" s="400"/>
      <c r="B7256" s="709">
        <v>95312</v>
      </c>
      <c r="C7256" s="710" t="s">
        <v>6089</v>
      </c>
      <c r="D7256" s="709" t="s">
        <v>234</v>
      </c>
      <c r="E7256" s="716">
        <v>0.28999999999999998</v>
      </c>
      <c r="F7256" s="717">
        <v>0</v>
      </c>
      <c r="G7256">
        <f>VLOOKUP(B7256,'SINAPI-%MO'!B:E,4,0)</f>
        <v>1</v>
      </c>
      <c r="H7256" s="225">
        <f t="shared" si="113"/>
        <v>0</v>
      </c>
    </row>
    <row r="7257" spans="1:8" x14ac:dyDescent="0.3">
      <c r="A7257" s="400"/>
      <c r="B7257" s="709">
        <v>100291</v>
      </c>
      <c r="C7257" s="710" t="s">
        <v>6090</v>
      </c>
      <c r="D7257" s="709" t="s">
        <v>234</v>
      </c>
      <c r="E7257" s="716">
        <v>0.28999999999999998</v>
      </c>
      <c r="F7257" s="717">
        <v>0</v>
      </c>
      <c r="G7257">
        <f>VLOOKUP(B7257,'SINAPI-%MO'!B:E,4,0)</f>
        <v>1</v>
      </c>
      <c r="H7257" s="225">
        <f t="shared" si="113"/>
        <v>0</v>
      </c>
    </row>
    <row r="7258" spans="1:8" x14ac:dyDescent="0.3">
      <c r="A7258" s="400"/>
      <c r="B7258" s="709">
        <v>101290</v>
      </c>
      <c r="C7258" s="710" t="s">
        <v>6091</v>
      </c>
      <c r="D7258" s="709" t="s">
        <v>208</v>
      </c>
      <c r="E7258" s="716">
        <v>39.61</v>
      </c>
      <c r="F7258" s="717">
        <v>0</v>
      </c>
      <c r="G7258">
        <f>VLOOKUP(B7258,'SINAPI-%MO'!B:E,4,0)</f>
        <v>1</v>
      </c>
      <c r="H7258" s="225">
        <f t="shared" si="113"/>
        <v>0</v>
      </c>
    </row>
    <row r="7259" spans="1:8" x14ac:dyDescent="0.3">
      <c r="A7259" s="400"/>
      <c r="B7259" s="709">
        <v>101291</v>
      </c>
      <c r="C7259" s="710" t="s">
        <v>6092</v>
      </c>
      <c r="D7259" s="709" t="s">
        <v>208</v>
      </c>
      <c r="E7259" s="716">
        <v>30.95</v>
      </c>
      <c r="F7259" s="717">
        <v>0</v>
      </c>
      <c r="G7259">
        <f>VLOOKUP(B7259,'SINAPI-%MO'!B:E,4,0)</f>
        <v>1</v>
      </c>
      <c r="H7259" s="225">
        <f t="shared" si="113"/>
        <v>0</v>
      </c>
    </row>
    <row r="7260" spans="1:8" x14ac:dyDescent="0.3">
      <c r="A7260" s="400"/>
      <c r="B7260" s="709">
        <v>95313</v>
      </c>
      <c r="C7260" s="710" t="s">
        <v>6093</v>
      </c>
      <c r="D7260" s="709" t="s">
        <v>234</v>
      </c>
      <c r="E7260" s="716">
        <v>0.23</v>
      </c>
      <c r="F7260" s="717">
        <v>0</v>
      </c>
      <c r="G7260">
        <f>VLOOKUP(B7260,'SINAPI-%MO'!B:E,4,0)</f>
        <v>1</v>
      </c>
      <c r="H7260" s="225">
        <f t="shared" si="113"/>
        <v>0</v>
      </c>
    </row>
    <row r="7261" spans="1:8" x14ac:dyDescent="0.3">
      <c r="A7261" s="400"/>
      <c r="B7261" s="709">
        <v>101292</v>
      </c>
      <c r="C7261" s="710" t="s">
        <v>6094</v>
      </c>
      <c r="D7261" s="709" t="s">
        <v>208</v>
      </c>
      <c r="E7261" s="716">
        <v>30.8</v>
      </c>
      <c r="F7261" s="717">
        <v>0</v>
      </c>
      <c r="G7261">
        <f>VLOOKUP(B7261,'SINAPI-%MO'!B:E,4,0)</f>
        <v>1</v>
      </c>
      <c r="H7261" s="225">
        <f t="shared" si="113"/>
        <v>0</v>
      </c>
    </row>
    <row r="7262" spans="1:8" x14ac:dyDescent="0.3">
      <c r="A7262" s="400"/>
      <c r="B7262" s="709">
        <v>95392</v>
      </c>
      <c r="C7262" s="710" t="s">
        <v>6095</v>
      </c>
      <c r="D7262" s="709" t="s">
        <v>234</v>
      </c>
      <c r="E7262" s="716">
        <v>0.13</v>
      </c>
      <c r="F7262" s="717">
        <v>0</v>
      </c>
      <c r="G7262">
        <f>VLOOKUP(B7262,'SINAPI-%MO'!B:E,4,0)</f>
        <v>1</v>
      </c>
      <c r="H7262" s="225">
        <f t="shared" si="113"/>
        <v>0</v>
      </c>
    </row>
    <row r="7263" spans="1:8" x14ac:dyDescent="0.3">
      <c r="A7263" s="400"/>
      <c r="B7263" s="709">
        <v>95413</v>
      </c>
      <c r="C7263" s="710" t="s">
        <v>6096</v>
      </c>
      <c r="D7263" s="709" t="s">
        <v>208</v>
      </c>
      <c r="E7263" s="716">
        <v>17.670000000000002</v>
      </c>
      <c r="F7263" s="717">
        <v>0</v>
      </c>
      <c r="G7263">
        <f>VLOOKUP(B7263,'SINAPI-%MO'!B:E,4,0)</f>
        <v>1</v>
      </c>
      <c r="H7263" s="225">
        <f t="shared" si="113"/>
        <v>0</v>
      </c>
    </row>
    <row r="7264" spans="1:8" x14ac:dyDescent="0.3">
      <c r="A7264" s="400"/>
      <c r="B7264" s="709">
        <v>95393</v>
      </c>
      <c r="C7264" s="710" t="s">
        <v>6097</v>
      </c>
      <c r="D7264" s="709" t="s">
        <v>234</v>
      </c>
      <c r="E7264" s="716">
        <v>0.54</v>
      </c>
      <c r="F7264" s="717">
        <v>0</v>
      </c>
      <c r="G7264">
        <f>VLOOKUP(B7264,'SINAPI-%MO'!B:E,4,0)</f>
        <v>1</v>
      </c>
      <c r="H7264" s="225">
        <f t="shared" si="113"/>
        <v>0</v>
      </c>
    </row>
    <row r="7265" spans="1:8" x14ac:dyDescent="0.3">
      <c r="A7265" s="400"/>
      <c r="B7265" s="709">
        <v>95414</v>
      </c>
      <c r="C7265" s="710" t="s">
        <v>6098</v>
      </c>
      <c r="D7265" s="709" t="s">
        <v>208</v>
      </c>
      <c r="E7265" s="716">
        <v>72.73</v>
      </c>
      <c r="F7265" s="717">
        <v>0</v>
      </c>
      <c r="G7265">
        <f>VLOOKUP(B7265,'SINAPI-%MO'!B:E,4,0)</f>
        <v>1</v>
      </c>
      <c r="H7265" s="225">
        <f t="shared" si="113"/>
        <v>0</v>
      </c>
    </row>
    <row r="7266" spans="1:8" x14ac:dyDescent="0.3">
      <c r="A7266" s="400"/>
      <c r="B7266" s="709">
        <v>95314</v>
      </c>
      <c r="C7266" s="710" t="s">
        <v>6099</v>
      </c>
      <c r="D7266" s="709" t="s">
        <v>234</v>
      </c>
      <c r="E7266" s="716">
        <v>0.27</v>
      </c>
      <c r="F7266" s="717">
        <v>0</v>
      </c>
      <c r="G7266">
        <f>VLOOKUP(B7266,'SINAPI-%MO'!B:E,4,0)</f>
        <v>1</v>
      </c>
      <c r="H7266" s="225">
        <f t="shared" si="113"/>
        <v>0</v>
      </c>
    </row>
    <row r="7267" spans="1:8" x14ac:dyDescent="0.3">
      <c r="A7267" s="400"/>
      <c r="B7267" s="709">
        <v>101293</v>
      </c>
      <c r="C7267" s="710" t="s">
        <v>6100</v>
      </c>
      <c r="D7267" s="709" t="s">
        <v>208</v>
      </c>
      <c r="E7267" s="716">
        <v>36.6</v>
      </c>
      <c r="F7267" s="717">
        <v>0</v>
      </c>
      <c r="G7267">
        <f>VLOOKUP(B7267,'SINAPI-%MO'!B:E,4,0)</f>
        <v>1</v>
      </c>
      <c r="H7267" s="225">
        <f t="shared" si="113"/>
        <v>0</v>
      </c>
    </row>
    <row r="7268" spans="1:8" x14ac:dyDescent="0.3">
      <c r="A7268" s="400"/>
      <c r="B7268" s="709">
        <v>95394</v>
      </c>
      <c r="C7268" s="710" t="s">
        <v>6101</v>
      </c>
      <c r="D7268" s="709" t="s">
        <v>234</v>
      </c>
      <c r="E7268" s="716">
        <v>1.08</v>
      </c>
      <c r="F7268" s="717">
        <v>0</v>
      </c>
      <c r="G7268">
        <f>VLOOKUP(B7268,'SINAPI-%MO'!B:E,4,0)</f>
        <v>1</v>
      </c>
      <c r="H7268" s="225">
        <f t="shared" si="113"/>
        <v>0</v>
      </c>
    </row>
    <row r="7269" spans="1:8" x14ac:dyDescent="0.3">
      <c r="A7269" s="400"/>
      <c r="B7269" s="709">
        <v>95395</v>
      </c>
      <c r="C7269" s="710" t="s">
        <v>6102</v>
      </c>
      <c r="D7269" s="709" t="s">
        <v>234</v>
      </c>
      <c r="E7269" s="716">
        <v>1.1399999999999999</v>
      </c>
      <c r="F7269" s="717">
        <v>0</v>
      </c>
      <c r="G7269">
        <f>VLOOKUP(B7269,'SINAPI-%MO'!B:E,4,0)</f>
        <v>1</v>
      </c>
      <c r="H7269" s="225">
        <f t="shared" si="113"/>
        <v>0</v>
      </c>
    </row>
    <row r="7270" spans="1:8" x14ac:dyDescent="0.3">
      <c r="A7270" s="400"/>
      <c r="B7270" s="709">
        <v>95396</v>
      </c>
      <c r="C7270" s="710" t="s">
        <v>6103</v>
      </c>
      <c r="D7270" s="709" t="s">
        <v>234</v>
      </c>
      <c r="E7270" s="716">
        <v>1.2</v>
      </c>
      <c r="F7270" s="717">
        <v>0</v>
      </c>
      <c r="G7270">
        <f>VLOOKUP(B7270,'SINAPI-%MO'!B:E,4,0)</f>
        <v>1</v>
      </c>
      <c r="H7270" s="225">
        <f t="shared" si="113"/>
        <v>0</v>
      </c>
    </row>
    <row r="7271" spans="1:8" x14ac:dyDescent="0.3">
      <c r="A7271" s="400"/>
      <c r="B7271" s="709">
        <v>95419</v>
      </c>
      <c r="C7271" s="710" t="s">
        <v>6104</v>
      </c>
      <c r="D7271" s="709" t="s">
        <v>208</v>
      </c>
      <c r="E7271" s="716">
        <v>143.32</v>
      </c>
      <c r="F7271" s="717">
        <v>0</v>
      </c>
      <c r="G7271">
        <f>VLOOKUP(B7271,'SINAPI-%MO'!B:E,4,0)</f>
        <v>1</v>
      </c>
      <c r="H7271" s="225">
        <f t="shared" si="113"/>
        <v>0</v>
      </c>
    </row>
    <row r="7272" spans="1:8" x14ac:dyDescent="0.3">
      <c r="A7272" s="400"/>
      <c r="B7272" s="709">
        <v>95420</v>
      </c>
      <c r="C7272" s="710" t="s">
        <v>6105</v>
      </c>
      <c r="D7272" s="709" t="s">
        <v>208</v>
      </c>
      <c r="E7272" s="716">
        <v>151.83000000000001</v>
      </c>
      <c r="F7272" s="717">
        <v>0</v>
      </c>
      <c r="G7272">
        <f>VLOOKUP(B7272,'SINAPI-%MO'!B:E,4,0)</f>
        <v>1</v>
      </c>
      <c r="H7272" s="225">
        <f t="shared" si="113"/>
        <v>0</v>
      </c>
    </row>
    <row r="7273" spans="1:8" x14ac:dyDescent="0.3">
      <c r="A7273" s="400"/>
      <c r="B7273" s="709">
        <v>95421</v>
      </c>
      <c r="C7273" s="710" t="s">
        <v>6106</v>
      </c>
      <c r="D7273" s="709" t="s">
        <v>208</v>
      </c>
      <c r="E7273" s="716">
        <v>159.12</v>
      </c>
      <c r="F7273" s="717">
        <v>0</v>
      </c>
      <c r="G7273">
        <f>VLOOKUP(B7273,'SINAPI-%MO'!B:E,4,0)</f>
        <v>1</v>
      </c>
      <c r="H7273" s="225">
        <f t="shared" si="113"/>
        <v>0</v>
      </c>
    </row>
    <row r="7274" spans="1:8" x14ac:dyDescent="0.3">
      <c r="A7274" s="400"/>
      <c r="B7274" s="709">
        <v>101294</v>
      </c>
      <c r="C7274" s="710" t="s">
        <v>6107</v>
      </c>
      <c r="D7274" s="709" t="s">
        <v>208</v>
      </c>
      <c r="E7274" s="716">
        <v>27.61</v>
      </c>
      <c r="F7274" s="717">
        <v>0</v>
      </c>
      <c r="G7274">
        <f>VLOOKUP(B7274,'SINAPI-%MO'!B:E,4,0)</f>
        <v>1</v>
      </c>
      <c r="H7274" s="225">
        <f t="shared" si="113"/>
        <v>0</v>
      </c>
    </row>
    <row r="7275" spans="1:8" x14ac:dyDescent="0.3">
      <c r="A7275" s="400"/>
      <c r="B7275" s="709">
        <v>95315</v>
      </c>
      <c r="C7275" s="710" t="s">
        <v>6108</v>
      </c>
      <c r="D7275" s="709" t="s">
        <v>234</v>
      </c>
      <c r="E7275" s="716">
        <v>0.2</v>
      </c>
      <c r="F7275" s="717">
        <v>0</v>
      </c>
      <c r="G7275">
        <f>VLOOKUP(B7275,'SINAPI-%MO'!B:E,4,0)</f>
        <v>1</v>
      </c>
      <c r="H7275" s="225">
        <f t="shared" si="113"/>
        <v>0</v>
      </c>
    </row>
    <row r="7276" spans="1:8" x14ac:dyDescent="0.3">
      <c r="A7276" s="400"/>
      <c r="B7276" s="709">
        <v>100293</v>
      </c>
      <c r="C7276" s="710" t="s">
        <v>6109</v>
      </c>
      <c r="D7276" s="709" t="s">
        <v>234</v>
      </c>
      <c r="E7276" s="716">
        <v>0.27</v>
      </c>
      <c r="F7276" s="717">
        <v>0</v>
      </c>
      <c r="G7276">
        <f>VLOOKUP(B7276,'SINAPI-%MO'!B:E,4,0)</f>
        <v>1</v>
      </c>
      <c r="H7276" s="225">
        <f t="shared" si="113"/>
        <v>0</v>
      </c>
    </row>
    <row r="7277" spans="1:8" x14ac:dyDescent="0.3">
      <c r="A7277" s="400"/>
      <c r="B7277" s="709">
        <v>101295</v>
      </c>
      <c r="C7277" s="710" t="s">
        <v>6110</v>
      </c>
      <c r="D7277" s="709" t="s">
        <v>208</v>
      </c>
      <c r="E7277" s="716">
        <v>36.840000000000003</v>
      </c>
      <c r="F7277" s="717">
        <v>0</v>
      </c>
      <c r="G7277">
        <f>VLOOKUP(B7277,'SINAPI-%MO'!B:E,4,0)</f>
        <v>1</v>
      </c>
      <c r="H7277" s="225">
        <f t="shared" si="113"/>
        <v>0</v>
      </c>
    </row>
    <row r="7278" spans="1:8" x14ac:dyDescent="0.3">
      <c r="A7278" s="400"/>
      <c r="B7278" s="709">
        <v>95316</v>
      </c>
      <c r="C7278" s="710" t="s">
        <v>6111</v>
      </c>
      <c r="D7278" s="709" t="s">
        <v>234</v>
      </c>
      <c r="E7278" s="716">
        <v>0.75</v>
      </c>
      <c r="F7278" s="717">
        <v>0</v>
      </c>
      <c r="G7278">
        <f>VLOOKUP(B7278,'SINAPI-%MO'!B:E,4,0)</f>
        <v>1</v>
      </c>
      <c r="H7278" s="225">
        <f t="shared" si="113"/>
        <v>0</v>
      </c>
    </row>
    <row r="7279" spans="1:8" x14ac:dyDescent="0.3">
      <c r="A7279" s="400"/>
      <c r="B7279" s="709">
        <v>95317</v>
      </c>
      <c r="C7279" s="710" t="s">
        <v>6112</v>
      </c>
      <c r="D7279" s="709" t="s">
        <v>234</v>
      </c>
      <c r="E7279" s="716">
        <v>0.36</v>
      </c>
      <c r="F7279" s="717">
        <v>0</v>
      </c>
      <c r="G7279">
        <f>VLOOKUP(B7279,'SINAPI-%MO'!B:E,4,0)</f>
        <v>1</v>
      </c>
      <c r="H7279" s="225">
        <f t="shared" si="113"/>
        <v>0</v>
      </c>
    </row>
    <row r="7280" spans="1:8" x14ac:dyDescent="0.3">
      <c r="A7280" s="400"/>
      <c r="B7280" s="709">
        <v>101296</v>
      </c>
      <c r="C7280" s="710" t="s">
        <v>6113</v>
      </c>
      <c r="D7280" s="709" t="s">
        <v>208</v>
      </c>
      <c r="E7280" s="716">
        <v>48.23</v>
      </c>
      <c r="F7280" s="717">
        <v>0</v>
      </c>
      <c r="G7280">
        <f>VLOOKUP(B7280,'SINAPI-%MO'!B:E,4,0)</f>
        <v>1</v>
      </c>
      <c r="H7280" s="225">
        <f t="shared" si="113"/>
        <v>0</v>
      </c>
    </row>
    <row r="7281" spans="1:8" x14ac:dyDescent="0.3">
      <c r="A7281" s="400"/>
      <c r="B7281" s="709">
        <v>95398</v>
      </c>
      <c r="C7281" s="710" t="s">
        <v>6114</v>
      </c>
      <c r="D7281" s="709" t="s">
        <v>234</v>
      </c>
      <c r="E7281" s="716">
        <v>0.11</v>
      </c>
      <c r="F7281" s="717">
        <v>0</v>
      </c>
      <c r="G7281">
        <f>VLOOKUP(B7281,'SINAPI-%MO'!B:E,4,0)</f>
        <v>1</v>
      </c>
      <c r="H7281" s="225">
        <f t="shared" si="113"/>
        <v>0</v>
      </c>
    </row>
    <row r="7282" spans="1:8" x14ac:dyDescent="0.3">
      <c r="A7282" s="400"/>
      <c r="B7282" s="709">
        <v>95416</v>
      </c>
      <c r="C7282" s="710" t="s">
        <v>6115</v>
      </c>
      <c r="D7282" s="709" t="s">
        <v>208</v>
      </c>
      <c r="E7282" s="716">
        <v>14.99</v>
      </c>
      <c r="F7282" s="717">
        <v>0</v>
      </c>
      <c r="G7282">
        <f>VLOOKUP(B7282,'SINAPI-%MO'!B:E,4,0)</f>
        <v>1</v>
      </c>
      <c r="H7282" s="225">
        <f t="shared" si="113"/>
        <v>0</v>
      </c>
    </row>
    <row r="7283" spans="1:8" x14ac:dyDescent="0.3">
      <c r="A7283" s="400"/>
      <c r="B7283" s="709">
        <v>101297</v>
      </c>
      <c r="C7283" s="710" t="s">
        <v>6116</v>
      </c>
      <c r="D7283" s="709" t="s">
        <v>208</v>
      </c>
      <c r="E7283" s="716">
        <v>32.99</v>
      </c>
      <c r="F7283" s="717">
        <v>0</v>
      </c>
      <c r="G7283">
        <f>VLOOKUP(B7283,'SINAPI-%MO'!B:E,4,0)</f>
        <v>1</v>
      </c>
      <c r="H7283" s="225">
        <f t="shared" si="113"/>
        <v>0</v>
      </c>
    </row>
    <row r="7284" spans="1:8" x14ac:dyDescent="0.3">
      <c r="A7284" s="400"/>
      <c r="B7284" s="709">
        <v>95318</v>
      </c>
      <c r="C7284" s="710" t="s">
        <v>6117</v>
      </c>
      <c r="D7284" s="709" t="s">
        <v>234</v>
      </c>
      <c r="E7284" s="716">
        <v>0.24</v>
      </c>
      <c r="F7284" s="717">
        <v>0</v>
      </c>
      <c r="G7284">
        <f>VLOOKUP(B7284,'SINAPI-%MO'!B:E,4,0)</f>
        <v>1</v>
      </c>
      <c r="H7284" s="225">
        <f t="shared" si="113"/>
        <v>0</v>
      </c>
    </row>
    <row r="7285" spans="1:8" x14ac:dyDescent="0.3">
      <c r="A7285" s="400"/>
      <c r="B7285" s="709">
        <v>101298</v>
      </c>
      <c r="C7285" s="710" t="s">
        <v>6118</v>
      </c>
      <c r="D7285" s="709" t="s">
        <v>208</v>
      </c>
      <c r="E7285" s="716">
        <v>30.95</v>
      </c>
      <c r="F7285" s="717">
        <v>0</v>
      </c>
      <c r="G7285">
        <f>VLOOKUP(B7285,'SINAPI-%MO'!B:E,4,0)</f>
        <v>1</v>
      </c>
      <c r="H7285" s="225">
        <f t="shared" si="113"/>
        <v>0</v>
      </c>
    </row>
    <row r="7286" spans="1:8" x14ac:dyDescent="0.3">
      <c r="A7286" s="400"/>
      <c r="B7286" s="709">
        <v>95319</v>
      </c>
      <c r="C7286" s="710" t="s">
        <v>6119</v>
      </c>
      <c r="D7286" s="709" t="s">
        <v>234</v>
      </c>
      <c r="E7286" s="716">
        <v>0.23</v>
      </c>
      <c r="F7286" s="717">
        <v>0</v>
      </c>
      <c r="G7286">
        <f>VLOOKUP(B7286,'SINAPI-%MO'!B:E,4,0)</f>
        <v>1</v>
      </c>
      <c r="H7286" s="225">
        <f t="shared" si="113"/>
        <v>0</v>
      </c>
    </row>
    <row r="7287" spans="1:8" x14ac:dyDescent="0.3">
      <c r="A7287" s="400"/>
      <c r="B7287" s="709">
        <v>101299</v>
      </c>
      <c r="C7287" s="710" t="s">
        <v>6120</v>
      </c>
      <c r="D7287" s="709" t="s">
        <v>208</v>
      </c>
      <c r="E7287" s="716">
        <v>39.61</v>
      </c>
      <c r="F7287" s="717">
        <v>0</v>
      </c>
      <c r="G7287">
        <f>VLOOKUP(B7287,'SINAPI-%MO'!B:E,4,0)</f>
        <v>1</v>
      </c>
      <c r="H7287" s="225">
        <f t="shared" si="113"/>
        <v>0</v>
      </c>
    </row>
    <row r="7288" spans="1:8" x14ac:dyDescent="0.3">
      <c r="A7288" s="400"/>
      <c r="B7288" s="709">
        <v>95320</v>
      </c>
      <c r="C7288" s="710" t="s">
        <v>6121</v>
      </c>
      <c r="D7288" s="709" t="s">
        <v>234</v>
      </c>
      <c r="E7288" s="716">
        <v>0.23</v>
      </c>
      <c r="F7288" s="717">
        <v>0</v>
      </c>
      <c r="G7288">
        <f>VLOOKUP(B7288,'SINAPI-%MO'!B:E,4,0)</f>
        <v>1</v>
      </c>
      <c r="H7288" s="225">
        <f t="shared" si="113"/>
        <v>0</v>
      </c>
    </row>
    <row r="7289" spans="1:8" x14ac:dyDescent="0.3">
      <c r="A7289" s="400"/>
      <c r="B7289" s="709">
        <v>95321</v>
      </c>
      <c r="C7289" s="710" t="s">
        <v>6122</v>
      </c>
      <c r="D7289" s="709" t="s">
        <v>234</v>
      </c>
      <c r="E7289" s="716">
        <v>0.21</v>
      </c>
      <c r="F7289" s="717">
        <v>0</v>
      </c>
      <c r="G7289">
        <f>VLOOKUP(B7289,'SINAPI-%MO'!B:E,4,0)</f>
        <v>1</v>
      </c>
      <c r="H7289" s="225">
        <f t="shared" si="113"/>
        <v>0</v>
      </c>
    </row>
    <row r="7290" spans="1:8" x14ac:dyDescent="0.3">
      <c r="A7290" s="400"/>
      <c r="B7290" s="709">
        <v>101300</v>
      </c>
      <c r="C7290" s="710" t="s">
        <v>6123</v>
      </c>
      <c r="D7290" s="709" t="s">
        <v>208</v>
      </c>
      <c r="E7290" s="716">
        <v>28.77</v>
      </c>
      <c r="F7290" s="717">
        <v>0</v>
      </c>
      <c r="G7290">
        <f>VLOOKUP(B7290,'SINAPI-%MO'!B:E,4,0)</f>
        <v>1</v>
      </c>
      <c r="H7290" s="225">
        <f t="shared" si="113"/>
        <v>0</v>
      </c>
    </row>
    <row r="7291" spans="1:8" x14ac:dyDescent="0.3">
      <c r="A7291" s="400"/>
      <c r="B7291" s="709">
        <v>95322</v>
      </c>
      <c r="C7291" s="710" t="s">
        <v>6124</v>
      </c>
      <c r="D7291" s="709" t="s">
        <v>234</v>
      </c>
      <c r="E7291" s="716">
        <v>0.15</v>
      </c>
      <c r="F7291" s="717">
        <v>0</v>
      </c>
      <c r="G7291">
        <f>VLOOKUP(B7291,'SINAPI-%MO'!B:E,4,0)</f>
        <v>1</v>
      </c>
      <c r="H7291" s="225">
        <f t="shared" si="113"/>
        <v>0</v>
      </c>
    </row>
    <row r="7292" spans="1:8" x14ac:dyDescent="0.3">
      <c r="A7292" s="400"/>
      <c r="B7292" s="709">
        <v>101301</v>
      </c>
      <c r="C7292" s="710" t="s">
        <v>6125</v>
      </c>
      <c r="D7292" s="709" t="s">
        <v>208</v>
      </c>
      <c r="E7292" s="716">
        <v>20.92</v>
      </c>
      <c r="F7292" s="717">
        <v>0</v>
      </c>
      <c r="G7292">
        <f>VLOOKUP(B7292,'SINAPI-%MO'!B:E,4,0)</f>
        <v>1</v>
      </c>
      <c r="H7292" s="225">
        <f t="shared" si="113"/>
        <v>0</v>
      </c>
    </row>
    <row r="7293" spans="1:8" x14ac:dyDescent="0.3">
      <c r="A7293" s="400"/>
      <c r="B7293" s="709">
        <v>95323</v>
      </c>
      <c r="C7293" s="710" t="s">
        <v>6126</v>
      </c>
      <c r="D7293" s="709" t="s">
        <v>234</v>
      </c>
      <c r="E7293" s="716">
        <v>0.28999999999999998</v>
      </c>
      <c r="F7293" s="717">
        <v>0</v>
      </c>
      <c r="G7293">
        <f>VLOOKUP(B7293,'SINAPI-%MO'!B:E,4,0)</f>
        <v>1</v>
      </c>
      <c r="H7293" s="225">
        <f t="shared" si="113"/>
        <v>0</v>
      </c>
    </row>
    <row r="7294" spans="1:8" x14ac:dyDescent="0.3">
      <c r="A7294" s="400"/>
      <c r="B7294" s="709">
        <v>101302</v>
      </c>
      <c r="C7294" s="710" t="s">
        <v>6127</v>
      </c>
      <c r="D7294" s="709" t="s">
        <v>208</v>
      </c>
      <c r="E7294" s="716">
        <v>39.29</v>
      </c>
      <c r="F7294" s="717">
        <v>0</v>
      </c>
      <c r="G7294">
        <f>VLOOKUP(B7294,'SINAPI-%MO'!B:E,4,0)</f>
        <v>1</v>
      </c>
      <c r="H7294" s="225">
        <f t="shared" si="113"/>
        <v>0</v>
      </c>
    </row>
    <row r="7295" spans="1:8" x14ac:dyDescent="0.3">
      <c r="A7295" s="400"/>
      <c r="B7295" s="709">
        <v>95324</v>
      </c>
      <c r="C7295" s="710" t="s">
        <v>6128</v>
      </c>
      <c r="D7295" s="709" t="s">
        <v>234</v>
      </c>
      <c r="E7295" s="716">
        <v>0.35</v>
      </c>
      <c r="F7295" s="717">
        <v>0</v>
      </c>
      <c r="G7295">
        <f>VLOOKUP(B7295,'SINAPI-%MO'!B:E,4,0)</f>
        <v>1</v>
      </c>
      <c r="H7295" s="225">
        <f t="shared" si="113"/>
        <v>0</v>
      </c>
    </row>
    <row r="7296" spans="1:8" x14ac:dyDescent="0.3">
      <c r="A7296" s="400"/>
      <c r="B7296" s="709">
        <v>101304</v>
      </c>
      <c r="C7296" s="710" t="s">
        <v>6129</v>
      </c>
      <c r="D7296" s="709" t="s">
        <v>208</v>
      </c>
      <c r="E7296" s="716">
        <v>46.84</v>
      </c>
      <c r="F7296" s="717">
        <v>0</v>
      </c>
      <c r="G7296">
        <f>VLOOKUP(B7296,'SINAPI-%MO'!B:E,4,0)</f>
        <v>1</v>
      </c>
      <c r="H7296" s="225">
        <f t="shared" si="113"/>
        <v>0</v>
      </c>
    </row>
    <row r="7297" spans="1:8" x14ac:dyDescent="0.3">
      <c r="A7297" s="400"/>
      <c r="B7297" s="709">
        <v>95325</v>
      </c>
      <c r="C7297" s="710" t="s">
        <v>6130</v>
      </c>
      <c r="D7297" s="709" t="s">
        <v>234</v>
      </c>
      <c r="E7297" s="716">
        <v>0.59</v>
      </c>
      <c r="F7297" s="717">
        <v>0</v>
      </c>
      <c r="G7297">
        <f>VLOOKUP(B7297,'SINAPI-%MO'!B:E,4,0)</f>
        <v>1</v>
      </c>
      <c r="H7297" s="225">
        <f t="shared" si="113"/>
        <v>0</v>
      </c>
    </row>
    <row r="7298" spans="1:8" x14ac:dyDescent="0.3">
      <c r="A7298" s="400"/>
      <c r="B7298" s="709">
        <v>101305</v>
      </c>
      <c r="C7298" s="710" t="s">
        <v>6131</v>
      </c>
      <c r="D7298" s="709" t="s">
        <v>208</v>
      </c>
      <c r="E7298" s="716">
        <v>78.95</v>
      </c>
      <c r="F7298" s="717">
        <v>0</v>
      </c>
      <c r="G7298">
        <f>VLOOKUP(B7298,'SINAPI-%MO'!B:E,4,0)</f>
        <v>1</v>
      </c>
      <c r="H7298" s="225">
        <f t="shared" si="113"/>
        <v>0</v>
      </c>
    </row>
    <row r="7299" spans="1:8" x14ac:dyDescent="0.3">
      <c r="A7299" s="400"/>
      <c r="B7299" s="709">
        <v>95328</v>
      </c>
      <c r="C7299" s="710" t="s">
        <v>6132</v>
      </c>
      <c r="D7299" s="709" t="s">
        <v>234</v>
      </c>
      <c r="E7299" s="716">
        <v>0.23</v>
      </c>
      <c r="F7299" s="717">
        <v>0</v>
      </c>
      <c r="G7299">
        <f>VLOOKUP(B7299,'SINAPI-%MO'!B:E,4,0)</f>
        <v>1</v>
      </c>
      <c r="H7299" s="225">
        <f t="shared" si="113"/>
        <v>0</v>
      </c>
    </row>
    <row r="7300" spans="1:8" x14ac:dyDescent="0.3">
      <c r="A7300" s="400"/>
      <c r="B7300" s="709">
        <v>101307</v>
      </c>
      <c r="C7300" s="710" t="s">
        <v>6133</v>
      </c>
      <c r="D7300" s="709" t="s">
        <v>208</v>
      </c>
      <c r="E7300" s="716">
        <v>31.26</v>
      </c>
      <c r="F7300" s="717">
        <v>0</v>
      </c>
      <c r="G7300">
        <f>VLOOKUP(B7300,'SINAPI-%MO'!B:E,4,0)</f>
        <v>1</v>
      </c>
      <c r="H7300" s="225">
        <f t="shared" si="113"/>
        <v>0</v>
      </c>
    </row>
    <row r="7301" spans="1:8" x14ac:dyDescent="0.3">
      <c r="A7301" s="400"/>
      <c r="B7301" s="709">
        <v>101309</v>
      </c>
      <c r="C7301" s="710" t="s">
        <v>6134</v>
      </c>
      <c r="D7301" s="709" t="s">
        <v>208</v>
      </c>
      <c r="E7301" s="716">
        <v>39.61</v>
      </c>
      <c r="F7301" s="717">
        <v>0</v>
      </c>
      <c r="G7301">
        <f>VLOOKUP(B7301,'SINAPI-%MO'!B:E,4,0)</f>
        <v>1</v>
      </c>
      <c r="H7301" s="225">
        <f t="shared" si="113"/>
        <v>0</v>
      </c>
    </row>
    <row r="7302" spans="1:8" x14ac:dyDescent="0.3">
      <c r="A7302" s="400"/>
      <c r="B7302" s="709">
        <v>95329</v>
      </c>
      <c r="C7302" s="710" t="s">
        <v>6135</v>
      </c>
      <c r="D7302" s="709" t="s">
        <v>234</v>
      </c>
      <c r="E7302" s="716">
        <v>0.33</v>
      </c>
      <c r="F7302" s="717">
        <v>0</v>
      </c>
      <c r="G7302">
        <f>VLOOKUP(B7302,'SINAPI-%MO'!B:E,4,0)</f>
        <v>1</v>
      </c>
      <c r="H7302" s="225">
        <f t="shared" si="113"/>
        <v>0</v>
      </c>
    </row>
    <row r="7303" spans="1:8" x14ac:dyDescent="0.3">
      <c r="A7303" s="400"/>
      <c r="B7303" s="709">
        <v>101310</v>
      </c>
      <c r="C7303" s="710" t="s">
        <v>6136</v>
      </c>
      <c r="D7303" s="709" t="s">
        <v>208</v>
      </c>
      <c r="E7303" s="716">
        <v>44.1</v>
      </c>
      <c r="F7303" s="717">
        <v>0</v>
      </c>
      <c r="G7303">
        <f>VLOOKUP(B7303,'SINAPI-%MO'!B:E,4,0)</f>
        <v>1</v>
      </c>
      <c r="H7303" s="225">
        <f t="shared" si="113"/>
        <v>0</v>
      </c>
    </row>
    <row r="7304" spans="1:8" x14ac:dyDescent="0.3">
      <c r="A7304" s="400"/>
      <c r="B7304" s="709">
        <v>101311</v>
      </c>
      <c r="C7304" s="710" t="s">
        <v>6137</v>
      </c>
      <c r="D7304" s="709" t="s">
        <v>208</v>
      </c>
      <c r="E7304" s="716">
        <v>36.6</v>
      </c>
      <c r="F7304" s="717">
        <v>0</v>
      </c>
      <c r="G7304">
        <f>VLOOKUP(B7304,'SINAPI-%MO'!B:E,4,0)</f>
        <v>1</v>
      </c>
      <c r="H7304" s="225">
        <f t="shared" si="113"/>
        <v>0</v>
      </c>
    </row>
    <row r="7305" spans="1:8" x14ac:dyDescent="0.3">
      <c r="A7305" s="400"/>
      <c r="B7305" s="709">
        <v>95330</v>
      </c>
      <c r="C7305" s="710" t="s">
        <v>6138</v>
      </c>
      <c r="D7305" s="709" t="s">
        <v>234</v>
      </c>
      <c r="E7305" s="716">
        <v>0.27</v>
      </c>
      <c r="F7305" s="717">
        <v>0</v>
      </c>
      <c r="G7305">
        <f>VLOOKUP(B7305,'SINAPI-%MO'!B:E,4,0)</f>
        <v>1</v>
      </c>
      <c r="H7305" s="225">
        <f t="shared" si="113"/>
        <v>0</v>
      </c>
    </row>
    <row r="7306" spans="1:8" x14ac:dyDescent="0.3">
      <c r="A7306" s="400"/>
      <c r="B7306" s="709">
        <v>101312</v>
      </c>
      <c r="C7306" s="710" t="s">
        <v>6139</v>
      </c>
      <c r="D7306" s="709" t="s">
        <v>208</v>
      </c>
      <c r="E7306" s="716">
        <v>32.409999999999997</v>
      </c>
      <c r="F7306" s="717">
        <v>0</v>
      </c>
      <c r="G7306">
        <f>VLOOKUP(B7306,'SINAPI-%MO'!B:E,4,0)</f>
        <v>1</v>
      </c>
      <c r="H7306" s="225">
        <f t="shared" si="113"/>
        <v>0</v>
      </c>
    </row>
    <row r="7307" spans="1:8" x14ac:dyDescent="0.3">
      <c r="A7307" s="400"/>
      <c r="B7307" s="709">
        <v>95331</v>
      </c>
      <c r="C7307" s="710" t="s">
        <v>6140</v>
      </c>
      <c r="D7307" s="709" t="s">
        <v>234</v>
      </c>
      <c r="E7307" s="716">
        <v>0.24</v>
      </c>
      <c r="F7307" s="717">
        <v>0</v>
      </c>
      <c r="G7307">
        <f>VLOOKUP(B7307,'SINAPI-%MO'!B:E,4,0)</f>
        <v>1</v>
      </c>
      <c r="H7307" s="225">
        <f t="shared" ref="H7307:H7370" si="114">IF(E7307&gt;0,TRUNC(E7307*(1-G7307),2),"")</f>
        <v>0</v>
      </c>
    </row>
    <row r="7308" spans="1:8" x14ac:dyDescent="0.3">
      <c r="A7308" s="400"/>
      <c r="B7308" s="709">
        <v>95400</v>
      </c>
      <c r="C7308" s="710" t="s">
        <v>6141</v>
      </c>
      <c r="D7308" s="709" t="s">
        <v>234</v>
      </c>
      <c r="E7308" s="716">
        <v>0.19</v>
      </c>
      <c r="F7308" s="717">
        <v>0</v>
      </c>
      <c r="G7308">
        <f>VLOOKUP(B7308,'SINAPI-%MO'!B:E,4,0)</f>
        <v>1</v>
      </c>
      <c r="H7308" s="225">
        <f t="shared" si="114"/>
        <v>0</v>
      </c>
    </row>
    <row r="7309" spans="1:8" x14ac:dyDescent="0.3">
      <c r="A7309" s="400"/>
      <c r="B7309" s="709">
        <v>95411</v>
      </c>
      <c r="C7309" s="710" t="s">
        <v>6142</v>
      </c>
      <c r="D7309" s="709" t="s">
        <v>208</v>
      </c>
      <c r="E7309" s="716">
        <v>25.26</v>
      </c>
      <c r="F7309" s="717">
        <v>0</v>
      </c>
      <c r="G7309">
        <f>VLOOKUP(B7309,'SINAPI-%MO'!B:E,4,0)</f>
        <v>1</v>
      </c>
      <c r="H7309" s="225">
        <f t="shared" si="114"/>
        <v>0</v>
      </c>
    </row>
    <row r="7310" spans="1:8" x14ac:dyDescent="0.3">
      <c r="A7310" s="400"/>
      <c r="B7310" s="709">
        <v>95332</v>
      </c>
      <c r="C7310" s="710" t="s">
        <v>6143</v>
      </c>
      <c r="D7310" s="709" t="s">
        <v>234</v>
      </c>
      <c r="E7310" s="716">
        <v>0.9</v>
      </c>
      <c r="F7310" s="717">
        <v>0</v>
      </c>
      <c r="G7310">
        <f>VLOOKUP(B7310,'SINAPI-%MO'!B:E,4,0)</f>
        <v>1</v>
      </c>
      <c r="H7310" s="225">
        <f t="shared" si="114"/>
        <v>0</v>
      </c>
    </row>
    <row r="7311" spans="1:8" x14ac:dyDescent="0.3">
      <c r="A7311" s="400"/>
      <c r="B7311" s="709">
        <v>101313</v>
      </c>
      <c r="C7311" s="710" t="s">
        <v>6144</v>
      </c>
      <c r="D7311" s="709" t="s">
        <v>208</v>
      </c>
      <c r="E7311" s="716">
        <v>120.29</v>
      </c>
      <c r="F7311" s="717">
        <v>0</v>
      </c>
      <c r="G7311">
        <f>VLOOKUP(B7311,'SINAPI-%MO'!B:E,4,0)</f>
        <v>1</v>
      </c>
      <c r="H7311" s="225">
        <f t="shared" si="114"/>
        <v>0</v>
      </c>
    </row>
    <row r="7312" spans="1:8" x14ac:dyDescent="0.3">
      <c r="A7312" s="400"/>
      <c r="B7312" s="709">
        <v>95334</v>
      </c>
      <c r="C7312" s="710" t="s">
        <v>6145</v>
      </c>
      <c r="D7312" s="709" t="s">
        <v>234</v>
      </c>
      <c r="E7312" s="716">
        <v>0.95</v>
      </c>
      <c r="F7312" s="717">
        <v>0</v>
      </c>
      <c r="G7312">
        <f>VLOOKUP(B7312,'SINAPI-%MO'!B:E,4,0)</f>
        <v>1</v>
      </c>
      <c r="H7312" s="225">
        <f t="shared" si="114"/>
        <v>0</v>
      </c>
    </row>
    <row r="7313" spans="1:8" x14ac:dyDescent="0.3">
      <c r="A7313" s="400"/>
      <c r="B7313" s="709">
        <v>101315</v>
      </c>
      <c r="C7313" s="710" t="s">
        <v>6146</v>
      </c>
      <c r="D7313" s="709" t="s">
        <v>208</v>
      </c>
      <c r="E7313" s="716">
        <v>125.88</v>
      </c>
      <c r="F7313" s="717">
        <v>0</v>
      </c>
      <c r="G7313">
        <f>VLOOKUP(B7313,'SINAPI-%MO'!B:E,4,0)</f>
        <v>1</v>
      </c>
      <c r="H7313" s="225">
        <f t="shared" si="114"/>
        <v>0</v>
      </c>
    </row>
    <row r="7314" spans="1:8" x14ac:dyDescent="0.3">
      <c r="A7314" s="400"/>
      <c r="B7314" s="709">
        <v>95335</v>
      </c>
      <c r="C7314" s="710" t="s">
        <v>6147</v>
      </c>
      <c r="D7314" s="709" t="s">
        <v>234</v>
      </c>
      <c r="E7314" s="716">
        <v>0.43</v>
      </c>
      <c r="F7314" s="717">
        <v>0</v>
      </c>
      <c r="G7314">
        <f>VLOOKUP(B7314,'SINAPI-%MO'!B:E,4,0)</f>
        <v>1</v>
      </c>
      <c r="H7314" s="225">
        <f t="shared" si="114"/>
        <v>0</v>
      </c>
    </row>
    <row r="7315" spans="1:8" x14ac:dyDescent="0.3">
      <c r="A7315" s="400"/>
      <c r="B7315" s="709">
        <v>101316</v>
      </c>
      <c r="C7315" s="710" t="s">
        <v>6148</v>
      </c>
      <c r="D7315" s="709" t="s">
        <v>208</v>
      </c>
      <c r="E7315" s="716">
        <v>57.48</v>
      </c>
      <c r="F7315" s="717">
        <v>0</v>
      </c>
      <c r="G7315">
        <f>VLOOKUP(B7315,'SINAPI-%MO'!B:E,4,0)</f>
        <v>1</v>
      </c>
      <c r="H7315" s="225">
        <f t="shared" si="114"/>
        <v>0</v>
      </c>
    </row>
    <row r="7316" spans="1:8" x14ac:dyDescent="0.3">
      <c r="A7316" s="400"/>
      <c r="B7316" s="709">
        <v>95401</v>
      </c>
      <c r="C7316" s="710" t="s">
        <v>6149</v>
      </c>
      <c r="D7316" s="709" t="s">
        <v>234</v>
      </c>
      <c r="E7316" s="716">
        <v>1.49</v>
      </c>
      <c r="F7316" s="717">
        <v>0</v>
      </c>
      <c r="G7316">
        <f>VLOOKUP(B7316,'SINAPI-%MO'!B:E,4,0)</f>
        <v>1</v>
      </c>
      <c r="H7316" s="225">
        <f t="shared" si="114"/>
        <v>0</v>
      </c>
    </row>
    <row r="7317" spans="1:8" x14ac:dyDescent="0.3">
      <c r="A7317" s="400"/>
      <c r="B7317" s="709">
        <v>95422</v>
      </c>
      <c r="C7317" s="710" t="s">
        <v>6150</v>
      </c>
      <c r="D7317" s="709" t="s">
        <v>208</v>
      </c>
      <c r="E7317" s="716">
        <v>198.53</v>
      </c>
      <c r="F7317" s="717">
        <v>0</v>
      </c>
      <c r="G7317">
        <f>VLOOKUP(B7317,'SINAPI-%MO'!B:E,4,0)</f>
        <v>1</v>
      </c>
      <c r="H7317" s="225">
        <f t="shared" si="114"/>
        <v>0</v>
      </c>
    </row>
    <row r="7318" spans="1:8" x14ac:dyDescent="0.3">
      <c r="A7318" s="400"/>
      <c r="B7318" s="709">
        <v>95402</v>
      </c>
      <c r="C7318" s="710" t="s">
        <v>6151</v>
      </c>
      <c r="D7318" s="709" t="s">
        <v>234</v>
      </c>
      <c r="E7318" s="716">
        <v>1.95</v>
      </c>
      <c r="F7318" s="717">
        <v>0</v>
      </c>
      <c r="G7318">
        <f>VLOOKUP(B7318,'SINAPI-%MO'!B:E,4,0)</f>
        <v>1</v>
      </c>
      <c r="H7318" s="225">
        <f t="shared" si="114"/>
        <v>0</v>
      </c>
    </row>
    <row r="7319" spans="1:8" x14ac:dyDescent="0.3">
      <c r="A7319" s="400"/>
      <c r="B7319" s="709">
        <v>95415</v>
      </c>
      <c r="C7319" s="710" t="s">
        <v>6152</v>
      </c>
      <c r="D7319" s="709" t="s">
        <v>208</v>
      </c>
      <c r="E7319" s="716">
        <v>259.38</v>
      </c>
      <c r="F7319" s="717">
        <v>0</v>
      </c>
      <c r="G7319">
        <f>VLOOKUP(B7319,'SINAPI-%MO'!B:E,4,0)</f>
        <v>1</v>
      </c>
      <c r="H7319" s="225">
        <f t="shared" si="114"/>
        <v>0</v>
      </c>
    </row>
    <row r="7320" spans="1:8" x14ac:dyDescent="0.3">
      <c r="A7320" s="400"/>
      <c r="B7320" s="709">
        <v>95403</v>
      </c>
      <c r="C7320" s="710" t="s">
        <v>6153</v>
      </c>
      <c r="D7320" s="709" t="s">
        <v>234</v>
      </c>
      <c r="E7320" s="716">
        <v>2.06</v>
      </c>
      <c r="F7320" s="717">
        <v>0</v>
      </c>
      <c r="G7320">
        <f>VLOOKUP(B7320,'SINAPI-%MO'!B:E,4,0)</f>
        <v>1</v>
      </c>
      <c r="H7320" s="225">
        <f t="shared" si="114"/>
        <v>0</v>
      </c>
    </row>
    <row r="7321" spans="1:8" x14ac:dyDescent="0.3">
      <c r="A7321" s="400"/>
      <c r="B7321" s="709">
        <v>95417</v>
      </c>
      <c r="C7321" s="710" t="s">
        <v>6154</v>
      </c>
      <c r="D7321" s="709" t="s">
        <v>208</v>
      </c>
      <c r="E7321" s="716">
        <v>273.39999999999998</v>
      </c>
      <c r="F7321" s="717">
        <v>0</v>
      </c>
      <c r="G7321">
        <f>VLOOKUP(B7321,'SINAPI-%MO'!B:E,4,0)</f>
        <v>1</v>
      </c>
      <c r="H7321" s="225">
        <f t="shared" si="114"/>
        <v>0</v>
      </c>
    </row>
    <row r="7322" spans="1:8" x14ac:dyDescent="0.3">
      <c r="A7322" s="400"/>
      <c r="B7322" s="709">
        <v>95404</v>
      </c>
      <c r="C7322" s="710" t="s">
        <v>6155</v>
      </c>
      <c r="D7322" s="709" t="s">
        <v>234</v>
      </c>
      <c r="E7322" s="716">
        <v>2.27</v>
      </c>
      <c r="F7322" s="717">
        <v>0</v>
      </c>
      <c r="G7322">
        <f>VLOOKUP(B7322,'SINAPI-%MO'!B:E,4,0)</f>
        <v>1</v>
      </c>
      <c r="H7322" s="225">
        <f t="shared" si="114"/>
        <v>0</v>
      </c>
    </row>
    <row r="7323" spans="1:8" x14ac:dyDescent="0.3">
      <c r="A7323" s="400"/>
      <c r="B7323" s="709">
        <v>95418</v>
      </c>
      <c r="C7323" s="710" t="s">
        <v>6156</v>
      </c>
      <c r="D7323" s="709" t="s">
        <v>208</v>
      </c>
      <c r="E7323" s="716">
        <v>300.89999999999998</v>
      </c>
      <c r="F7323" s="717">
        <v>0</v>
      </c>
      <c r="G7323">
        <f>VLOOKUP(B7323,'SINAPI-%MO'!B:E,4,0)</f>
        <v>1</v>
      </c>
      <c r="H7323" s="225">
        <f t="shared" si="114"/>
        <v>0</v>
      </c>
    </row>
    <row r="7324" spans="1:8" x14ac:dyDescent="0.3">
      <c r="A7324" s="400"/>
      <c r="B7324" s="709">
        <v>95337</v>
      </c>
      <c r="C7324" s="710" t="s">
        <v>6157</v>
      </c>
      <c r="D7324" s="709" t="s">
        <v>234</v>
      </c>
      <c r="E7324" s="716">
        <v>0.27</v>
      </c>
      <c r="F7324" s="717">
        <v>0</v>
      </c>
      <c r="G7324">
        <f>VLOOKUP(B7324,'SINAPI-%MO'!B:E,4,0)</f>
        <v>1</v>
      </c>
      <c r="H7324" s="225">
        <f t="shared" si="114"/>
        <v>0</v>
      </c>
    </row>
    <row r="7325" spans="1:8" x14ac:dyDescent="0.3">
      <c r="A7325" s="400"/>
      <c r="B7325" s="709">
        <v>101322</v>
      </c>
      <c r="C7325" s="710" t="s">
        <v>6158</v>
      </c>
      <c r="D7325" s="709" t="s">
        <v>208</v>
      </c>
      <c r="E7325" s="716">
        <v>36.6</v>
      </c>
      <c r="F7325" s="717">
        <v>0</v>
      </c>
      <c r="G7325">
        <f>VLOOKUP(B7325,'SINAPI-%MO'!B:E,4,0)</f>
        <v>1</v>
      </c>
      <c r="H7325" s="225">
        <f t="shared" si="114"/>
        <v>0</v>
      </c>
    </row>
    <row r="7326" spans="1:8" x14ac:dyDescent="0.3">
      <c r="A7326" s="400"/>
      <c r="B7326" s="709">
        <v>95338</v>
      </c>
      <c r="C7326" s="710" t="s">
        <v>6159</v>
      </c>
      <c r="D7326" s="709" t="s">
        <v>234</v>
      </c>
      <c r="E7326" s="716">
        <v>0.54</v>
      </c>
      <c r="F7326" s="717">
        <v>0</v>
      </c>
      <c r="G7326">
        <f>VLOOKUP(B7326,'SINAPI-%MO'!B:E,4,0)</f>
        <v>1</v>
      </c>
      <c r="H7326" s="225">
        <f t="shared" si="114"/>
        <v>0</v>
      </c>
    </row>
    <row r="7327" spans="1:8" x14ac:dyDescent="0.3">
      <c r="A7327" s="400"/>
      <c r="B7327" s="709">
        <v>101323</v>
      </c>
      <c r="C7327" s="710" t="s">
        <v>6160</v>
      </c>
      <c r="D7327" s="709" t="s">
        <v>208</v>
      </c>
      <c r="E7327" s="716">
        <v>71.88</v>
      </c>
      <c r="F7327" s="717">
        <v>0</v>
      </c>
      <c r="G7327">
        <f>VLOOKUP(B7327,'SINAPI-%MO'!B:E,4,0)</f>
        <v>1</v>
      </c>
      <c r="H7327" s="225">
        <f t="shared" si="114"/>
        <v>0</v>
      </c>
    </row>
    <row r="7328" spans="1:8" x14ac:dyDescent="0.3">
      <c r="A7328" s="400"/>
      <c r="B7328" s="709">
        <v>102918</v>
      </c>
      <c r="C7328" s="710" t="s">
        <v>6161</v>
      </c>
      <c r="D7328" s="709" t="s">
        <v>234</v>
      </c>
      <c r="E7328" s="716">
        <v>0</v>
      </c>
      <c r="F7328" s="717"/>
      <c r="G7328" t="e">
        <f>VLOOKUP(B7328,'SINAPI-%MO'!B:E,4,0)</f>
        <v>#N/A</v>
      </c>
      <c r="H7328" s="225" t="str">
        <f t="shared" si="114"/>
        <v/>
      </c>
    </row>
    <row r="7329" spans="1:8" x14ac:dyDescent="0.3">
      <c r="A7329" s="400"/>
      <c r="B7329" s="709">
        <v>101325</v>
      </c>
      <c r="C7329" s="710" t="s">
        <v>6162</v>
      </c>
      <c r="D7329" s="709" t="s">
        <v>208</v>
      </c>
      <c r="E7329" s="716">
        <v>66.22</v>
      </c>
      <c r="F7329" s="717">
        <v>0</v>
      </c>
      <c r="G7329">
        <f>VLOOKUP(B7329,'SINAPI-%MO'!B:E,4,0)</f>
        <v>1</v>
      </c>
      <c r="H7329" s="225">
        <f t="shared" si="114"/>
        <v>0</v>
      </c>
    </row>
    <row r="7330" spans="1:8" x14ac:dyDescent="0.3">
      <c r="A7330" s="400"/>
      <c r="B7330" s="709">
        <v>95390</v>
      </c>
      <c r="C7330" s="710" t="s">
        <v>6163</v>
      </c>
      <c r="D7330" s="709" t="s">
        <v>234</v>
      </c>
      <c r="E7330" s="716">
        <v>0.1</v>
      </c>
      <c r="F7330" s="717">
        <v>0</v>
      </c>
      <c r="G7330">
        <f>VLOOKUP(B7330,'SINAPI-%MO'!B:E,4,0)</f>
        <v>1</v>
      </c>
      <c r="H7330" s="225">
        <f t="shared" si="114"/>
        <v>0</v>
      </c>
    </row>
    <row r="7331" spans="1:8" x14ac:dyDescent="0.3">
      <c r="A7331" s="400"/>
      <c r="B7331" s="709">
        <v>101326</v>
      </c>
      <c r="C7331" s="710" t="s">
        <v>6164</v>
      </c>
      <c r="D7331" s="709" t="s">
        <v>208</v>
      </c>
      <c r="E7331" s="716">
        <v>13.59</v>
      </c>
      <c r="F7331" s="717">
        <v>0</v>
      </c>
      <c r="G7331">
        <f>VLOOKUP(B7331,'SINAPI-%MO'!B:E,4,0)</f>
        <v>1</v>
      </c>
      <c r="H7331" s="225">
        <f t="shared" si="114"/>
        <v>0</v>
      </c>
    </row>
    <row r="7332" spans="1:8" x14ac:dyDescent="0.3">
      <c r="A7332" s="400"/>
      <c r="B7332" s="709">
        <v>95340</v>
      </c>
      <c r="C7332" s="710" t="s">
        <v>6165</v>
      </c>
      <c r="D7332" s="709" t="s">
        <v>234</v>
      </c>
      <c r="E7332" s="716">
        <v>0.32</v>
      </c>
      <c r="F7332" s="717">
        <v>0</v>
      </c>
      <c r="G7332">
        <f>VLOOKUP(B7332,'SINAPI-%MO'!B:E,4,0)</f>
        <v>1</v>
      </c>
      <c r="H7332" s="225">
        <f t="shared" si="114"/>
        <v>0</v>
      </c>
    </row>
    <row r="7333" spans="1:8" x14ac:dyDescent="0.3">
      <c r="A7333" s="400"/>
      <c r="B7333" s="709">
        <v>101330</v>
      </c>
      <c r="C7333" s="710" t="s">
        <v>6166</v>
      </c>
      <c r="D7333" s="709" t="s">
        <v>208</v>
      </c>
      <c r="E7333" s="716">
        <v>43.41</v>
      </c>
      <c r="F7333" s="717">
        <v>0</v>
      </c>
      <c r="G7333">
        <f>VLOOKUP(B7333,'SINAPI-%MO'!B:E,4,0)</f>
        <v>1</v>
      </c>
      <c r="H7333" s="225">
        <f t="shared" si="114"/>
        <v>0</v>
      </c>
    </row>
    <row r="7334" spans="1:8" x14ac:dyDescent="0.3">
      <c r="A7334" s="400"/>
      <c r="B7334" s="709">
        <v>101331</v>
      </c>
      <c r="C7334" s="710" t="s">
        <v>6167</v>
      </c>
      <c r="D7334" s="709" t="s">
        <v>208</v>
      </c>
      <c r="E7334" s="716">
        <v>46.77</v>
      </c>
      <c r="F7334" s="717">
        <v>0</v>
      </c>
      <c r="G7334">
        <f>VLOOKUP(B7334,'SINAPI-%MO'!B:E,4,0)</f>
        <v>1</v>
      </c>
      <c r="H7334" s="225">
        <f t="shared" si="114"/>
        <v>0</v>
      </c>
    </row>
    <row r="7335" spans="1:8" x14ac:dyDescent="0.3">
      <c r="A7335" s="400"/>
      <c r="B7335" s="709">
        <v>95341</v>
      </c>
      <c r="C7335" s="710" t="s">
        <v>6168</v>
      </c>
      <c r="D7335" s="709" t="s">
        <v>234</v>
      </c>
      <c r="E7335" s="716">
        <v>0.35</v>
      </c>
      <c r="F7335" s="717">
        <v>0</v>
      </c>
      <c r="G7335">
        <f>VLOOKUP(B7335,'SINAPI-%MO'!B:E,4,0)</f>
        <v>1</v>
      </c>
      <c r="H7335" s="225">
        <f t="shared" si="114"/>
        <v>0</v>
      </c>
    </row>
    <row r="7336" spans="1:8" x14ac:dyDescent="0.3">
      <c r="A7336" s="400"/>
      <c r="B7336" s="709">
        <v>95339</v>
      </c>
      <c r="C7336" s="710" t="s">
        <v>6169</v>
      </c>
      <c r="D7336" s="709" t="s">
        <v>234</v>
      </c>
      <c r="E7336" s="716">
        <v>0.4</v>
      </c>
      <c r="F7336" s="717">
        <v>0</v>
      </c>
      <c r="G7336">
        <f>VLOOKUP(B7336,'SINAPI-%MO'!B:E,4,0)</f>
        <v>1</v>
      </c>
      <c r="H7336" s="225">
        <f t="shared" si="114"/>
        <v>0</v>
      </c>
    </row>
    <row r="7337" spans="1:8" x14ac:dyDescent="0.3">
      <c r="A7337" s="400"/>
      <c r="B7337" s="709">
        <v>101329</v>
      </c>
      <c r="C7337" s="710" t="s">
        <v>6170</v>
      </c>
      <c r="D7337" s="709" t="s">
        <v>208</v>
      </c>
      <c r="E7337" s="716">
        <v>54.18</v>
      </c>
      <c r="F7337" s="717">
        <v>0</v>
      </c>
      <c r="G7337">
        <f>VLOOKUP(B7337,'SINAPI-%MO'!B:E,4,0)</f>
        <v>1</v>
      </c>
      <c r="H7337" s="225">
        <f t="shared" si="114"/>
        <v>0</v>
      </c>
    </row>
    <row r="7338" spans="1:8" x14ac:dyDescent="0.3">
      <c r="A7338" s="400"/>
      <c r="B7338" s="709">
        <v>95342</v>
      </c>
      <c r="C7338" s="710" t="s">
        <v>6171</v>
      </c>
      <c r="D7338" s="709" t="s">
        <v>234</v>
      </c>
      <c r="E7338" s="716">
        <v>0.31</v>
      </c>
      <c r="F7338" s="717">
        <v>0</v>
      </c>
      <c r="G7338">
        <f>VLOOKUP(B7338,'SINAPI-%MO'!B:E,4,0)</f>
        <v>1</v>
      </c>
      <c r="H7338" s="225">
        <f t="shared" si="114"/>
        <v>0</v>
      </c>
    </row>
    <row r="7339" spans="1:8" x14ac:dyDescent="0.3">
      <c r="A7339" s="400"/>
      <c r="B7339" s="709">
        <v>101333</v>
      </c>
      <c r="C7339" s="710" t="s">
        <v>6172</v>
      </c>
      <c r="D7339" s="709" t="s">
        <v>208</v>
      </c>
      <c r="E7339" s="716">
        <v>42.1</v>
      </c>
      <c r="F7339" s="717">
        <v>0</v>
      </c>
      <c r="G7339">
        <f>VLOOKUP(B7339,'SINAPI-%MO'!B:E,4,0)</f>
        <v>1</v>
      </c>
      <c r="H7339" s="225">
        <f t="shared" si="114"/>
        <v>0</v>
      </c>
    </row>
    <row r="7340" spans="1:8" x14ac:dyDescent="0.3">
      <c r="A7340" s="400"/>
      <c r="B7340" s="709">
        <v>100298</v>
      </c>
      <c r="C7340" s="710" t="s">
        <v>6173</v>
      </c>
      <c r="D7340" s="709" t="s">
        <v>234</v>
      </c>
      <c r="E7340" s="716">
        <v>0.7</v>
      </c>
      <c r="F7340" s="717">
        <v>0</v>
      </c>
      <c r="G7340">
        <f>VLOOKUP(B7340,'SINAPI-%MO'!B:E,4,0)</f>
        <v>1</v>
      </c>
      <c r="H7340" s="225">
        <f t="shared" si="114"/>
        <v>0</v>
      </c>
    </row>
    <row r="7341" spans="1:8" x14ac:dyDescent="0.3">
      <c r="A7341" s="400"/>
      <c r="B7341" s="709">
        <v>101334</v>
      </c>
      <c r="C7341" s="710" t="s">
        <v>6174</v>
      </c>
      <c r="D7341" s="709" t="s">
        <v>208</v>
      </c>
      <c r="E7341" s="716">
        <v>93.49</v>
      </c>
      <c r="F7341" s="717">
        <v>0</v>
      </c>
      <c r="G7341">
        <f>VLOOKUP(B7341,'SINAPI-%MO'!B:E,4,0)</f>
        <v>1</v>
      </c>
      <c r="H7341" s="225">
        <f t="shared" si="114"/>
        <v>0</v>
      </c>
    </row>
    <row r="7342" spans="1:8" x14ac:dyDescent="0.3">
      <c r="A7342" s="400"/>
      <c r="B7342" s="709">
        <v>95405</v>
      </c>
      <c r="C7342" s="710" t="s">
        <v>6175</v>
      </c>
      <c r="D7342" s="709" t="s">
        <v>234</v>
      </c>
      <c r="E7342" s="716">
        <v>2.5099999999999998</v>
      </c>
      <c r="F7342" s="717">
        <v>0</v>
      </c>
      <c r="G7342">
        <f>VLOOKUP(B7342,'SINAPI-%MO'!B:E,4,0)</f>
        <v>1</v>
      </c>
      <c r="H7342" s="225">
        <f t="shared" si="114"/>
        <v>0</v>
      </c>
    </row>
    <row r="7343" spans="1:8" x14ac:dyDescent="0.3">
      <c r="A7343" s="400"/>
      <c r="B7343" s="709">
        <v>95423</v>
      </c>
      <c r="C7343" s="710" t="s">
        <v>6176</v>
      </c>
      <c r="D7343" s="709" t="s">
        <v>208</v>
      </c>
      <c r="E7343" s="716">
        <v>332.62</v>
      </c>
      <c r="F7343" s="717">
        <v>0</v>
      </c>
      <c r="G7343">
        <f>VLOOKUP(B7343,'SINAPI-%MO'!B:E,4,0)</f>
        <v>1</v>
      </c>
      <c r="H7343" s="225">
        <f t="shared" si="114"/>
        <v>0</v>
      </c>
    </row>
    <row r="7344" spans="1:8" x14ac:dyDescent="0.3">
      <c r="A7344" s="400"/>
      <c r="B7344" s="709">
        <v>100295</v>
      </c>
      <c r="C7344" s="710" t="s">
        <v>6177</v>
      </c>
      <c r="D7344" s="709" t="s">
        <v>234</v>
      </c>
      <c r="E7344" s="716">
        <v>0.63</v>
      </c>
      <c r="F7344" s="717">
        <v>0</v>
      </c>
      <c r="G7344">
        <f>VLOOKUP(B7344,'SINAPI-%MO'!B:E,4,0)</f>
        <v>1</v>
      </c>
      <c r="H7344" s="225">
        <f t="shared" si="114"/>
        <v>0</v>
      </c>
    </row>
    <row r="7345" spans="1:8" x14ac:dyDescent="0.3">
      <c r="A7345" s="400"/>
      <c r="B7345" s="709">
        <v>101303</v>
      </c>
      <c r="C7345" s="710" t="s">
        <v>6178</v>
      </c>
      <c r="D7345" s="709" t="s">
        <v>208</v>
      </c>
      <c r="E7345" s="716">
        <v>84.26</v>
      </c>
      <c r="F7345" s="717">
        <v>0</v>
      </c>
      <c r="G7345">
        <f>VLOOKUP(B7345,'SINAPI-%MO'!B:E,4,0)</f>
        <v>1</v>
      </c>
      <c r="H7345" s="225">
        <f t="shared" si="114"/>
        <v>0</v>
      </c>
    </row>
    <row r="7346" spans="1:8" x14ac:dyDescent="0.3">
      <c r="A7346" s="400"/>
      <c r="B7346" s="709">
        <v>95344</v>
      </c>
      <c r="C7346" s="710" t="s">
        <v>6179</v>
      </c>
      <c r="D7346" s="709" t="s">
        <v>234</v>
      </c>
      <c r="E7346" s="716">
        <v>0.27</v>
      </c>
      <c r="F7346" s="717">
        <v>0</v>
      </c>
      <c r="G7346">
        <f>VLOOKUP(B7346,'SINAPI-%MO'!B:E,4,0)</f>
        <v>1</v>
      </c>
      <c r="H7346" s="225">
        <f t="shared" si="114"/>
        <v>0</v>
      </c>
    </row>
    <row r="7347" spans="1:8" x14ac:dyDescent="0.3">
      <c r="A7347" s="400"/>
      <c r="B7347" s="709">
        <v>101308</v>
      </c>
      <c r="C7347" s="710" t="s">
        <v>6180</v>
      </c>
      <c r="D7347" s="709" t="s">
        <v>208</v>
      </c>
      <c r="E7347" s="716">
        <v>35.89</v>
      </c>
      <c r="F7347" s="717">
        <v>0</v>
      </c>
      <c r="G7347">
        <f>VLOOKUP(B7347,'SINAPI-%MO'!B:E,4,0)</f>
        <v>1</v>
      </c>
      <c r="H7347" s="225">
        <f t="shared" si="114"/>
        <v>0</v>
      </c>
    </row>
    <row r="7348" spans="1:8" x14ac:dyDescent="0.3">
      <c r="A7348" s="400"/>
      <c r="B7348" s="709">
        <v>105536</v>
      </c>
      <c r="C7348" s="710" t="s">
        <v>6181</v>
      </c>
      <c r="D7348" s="709" t="s">
        <v>234</v>
      </c>
      <c r="E7348" s="716">
        <v>0</v>
      </c>
      <c r="F7348" s="717"/>
      <c r="G7348" t="e">
        <f>VLOOKUP(B7348,'SINAPI-%MO'!B:E,4,0)</f>
        <v>#N/A</v>
      </c>
      <c r="H7348" s="225" t="str">
        <f t="shared" si="114"/>
        <v/>
      </c>
    </row>
    <row r="7349" spans="1:8" x14ac:dyDescent="0.3">
      <c r="A7349" s="400"/>
      <c r="B7349" s="709">
        <v>101320</v>
      </c>
      <c r="C7349" s="710" t="s">
        <v>6182</v>
      </c>
      <c r="D7349" s="709" t="s">
        <v>208</v>
      </c>
      <c r="E7349" s="716">
        <v>35.619999999999997</v>
      </c>
      <c r="F7349" s="717">
        <v>0</v>
      </c>
      <c r="G7349">
        <f>VLOOKUP(B7349,'SINAPI-%MO'!B:E,4,0)</f>
        <v>1</v>
      </c>
      <c r="H7349" s="225">
        <f t="shared" si="114"/>
        <v>0</v>
      </c>
    </row>
    <row r="7350" spans="1:8" x14ac:dyDescent="0.3">
      <c r="A7350" s="400"/>
      <c r="B7350" s="709">
        <v>95343</v>
      </c>
      <c r="C7350" s="710" t="s">
        <v>6183</v>
      </c>
      <c r="D7350" s="709" t="s">
        <v>234</v>
      </c>
      <c r="E7350" s="716">
        <v>0.49</v>
      </c>
      <c r="F7350" s="717">
        <v>0</v>
      </c>
      <c r="G7350">
        <f>VLOOKUP(B7350,'SINAPI-%MO'!B:E,4,0)</f>
        <v>1</v>
      </c>
      <c r="H7350" s="225">
        <f t="shared" si="114"/>
        <v>0</v>
      </c>
    </row>
    <row r="7351" spans="1:8" x14ac:dyDescent="0.3">
      <c r="A7351" s="400"/>
      <c r="B7351" s="709">
        <v>95345</v>
      </c>
      <c r="C7351" s="710" t="s">
        <v>6184</v>
      </c>
      <c r="D7351" s="709" t="s">
        <v>234</v>
      </c>
      <c r="E7351" s="716">
        <v>0.99</v>
      </c>
      <c r="F7351" s="717">
        <v>0</v>
      </c>
      <c r="G7351">
        <f>VLOOKUP(B7351,'SINAPI-%MO'!B:E,4,0)</f>
        <v>1</v>
      </c>
      <c r="H7351" s="225">
        <f t="shared" si="114"/>
        <v>0</v>
      </c>
    </row>
    <row r="7352" spans="1:8" x14ac:dyDescent="0.3">
      <c r="A7352" s="400"/>
      <c r="B7352" s="709">
        <v>95346</v>
      </c>
      <c r="C7352" s="710" t="s">
        <v>6185</v>
      </c>
      <c r="D7352" s="709" t="s">
        <v>234</v>
      </c>
      <c r="E7352" s="716">
        <v>0.12</v>
      </c>
      <c r="F7352" s="717">
        <v>0</v>
      </c>
      <c r="G7352">
        <f>VLOOKUP(B7352,'SINAPI-%MO'!B:E,4,0)</f>
        <v>1</v>
      </c>
      <c r="H7352" s="225">
        <f t="shared" si="114"/>
        <v>0</v>
      </c>
    </row>
    <row r="7353" spans="1:8" x14ac:dyDescent="0.3">
      <c r="A7353" s="400"/>
      <c r="B7353" s="709">
        <v>101324</v>
      </c>
      <c r="C7353" s="710" t="s">
        <v>6186</v>
      </c>
      <c r="D7353" s="709" t="s">
        <v>208</v>
      </c>
      <c r="E7353" s="716">
        <v>15.93</v>
      </c>
      <c r="F7353" s="717">
        <v>0</v>
      </c>
      <c r="G7353">
        <f>VLOOKUP(B7353,'SINAPI-%MO'!B:E,4,0)</f>
        <v>1</v>
      </c>
      <c r="H7353" s="225">
        <f t="shared" si="114"/>
        <v>0</v>
      </c>
    </row>
    <row r="7354" spans="1:8" x14ac:dyDescent="0.3">
      <c r="A7354" s="400"/>
      <c r="B7354" s="709">
        <v>101328</v>
      </c>
      <c r="C7354" s="710" t="s">
        <v>6187</v>
      </c>
      <c r="D7354" s="709" t="s">
        <v>208</v>
      </c>
      <c r="E7354" s="716">
        <v>19.07</v>
      </c>
      <c r="F7354" s="717">
        <v>0</v>
      </c>
      <c r="G7354">
        <f>VLOOKUP(B7354,'SINAPI-%MO'!B:E,4,0)</f>
        <v>1</v>
      </c>
      <c r="H7354" s="225">
        <f t="shared" si="114"/>
        <v>0</v>
      </c>
    </row>
    <row r="7355" spans="1:8" x14ac:dyDescent="0.3">
      <c r="A7355" s="400"/>
      <c r="B7355" s="709">
        <v>95347</v>
      </c>
      <c r="C7355" s="710" t="s">
        <v>6188</v>
      </c>
      <c r="D7355" s="709" t="s">
        <v>234</v>
      </c>
      <c r="E7355" s="716">
        <v>0.11</v>
      </c>
      <c r="F7355" s="717">
        <v>0</v>
      </c>
      <c r="G7355">
        <f>VLOOKUP(B7355,'SINAPI-%MO'!B:E,4,0)</f>
        <v>1</v>
      </c>
      <c r="H7355" s="225">
        <f t="shared" si="114"/>
        <v>0</v>
      </c>
    </row>
    <row r="7356" spans="1:8" x14ac:dyDescent="0.3">
      <c r="A7356" s="400"/>
      <c r="B7356" s="709">
        <v>95408</v>
      </c>
      <c r="C7356" s="710" t="s">
        <v>6189</v>
      </c>
      <c r="D7356" s="709" t="s">
        <v>208</v>
      </c>
      <c r="E7356" s="716">
        <v>15.33</v>
      </c>
      <c r="F7356" s="717">
        <v>0</v>
      </c>
      <c r="G7356">
        <f>VLOOKUP(B7356,'SINAPI-%MO'!B:E,4,0)</f>
        <v>1</v>
      </c>
      <c r="H7356" s="225">
        <f t="shared" si="114"/>
        <v>0</v>
      </c>
    </row>
    <row r="7357" spans="1:8" x14ac:dyDescent="0.3">
      <c r="A7357" s="400"/>
      <c r="B7357" s="709">
        <v>95348</v>
      </c>
      <c r="C7357" s="710" t="s">
        <v>6190</v>
      </c>
      <c r="D7357" s="709" t="s">
        <v>234</v>
      </c>
      <c r="E7357" s="716">
        <v>0.14000000000000001</v>
      </c>
      <c r="F7357" s="717">
        <v>0</v>
      </c>
      <c r="G7357">
        <f>VLOOKUP(B7357,'SINAPI-%MO'!B:E,4,0)</f>
        <v>1</v>
      </c>
      <c r="H7357" s="225">
        <f t="shared" si="114"/>
        <v>0</v>
      </c>
    </row>
    <row r="7358" spans="1:8" x14ac:dyDescent="0.3">
      <c r="A7358" s="400"/>
      <c r="B7358" s="709">
        <v>101332</v>
      </c>
      <c r="C7358" s="710" t="s">
        <v>6191</v>
      </c>
      <c r="D7358" s="709" t="s">
        <v>208</v>
      </c>
      <c r="E7358" s="716">
        <v>13.61</v>
      </c>
      <c r="F7358" s="717">
        <v>0</v>
      </c>
      <c r="G7358">
        <f>VLOOKUP(B7358,'SINAPI-%MO'!B:E,4,0)</f>
        <v>1</v>
      </c>
      <c r="H7358" s="225">
        <f t="shared" si="114"/>
        <v>0</v>
      </c>
    </row>
    <row r="7359" spans="1:8" x14ac:dyDescent="0.3">
      <c r="A7359" s="400"/>
      <c r="B7359" s="709">
        <v>95349</v>
      </c>
      <c r="C7359" s="710" t="s">
        <v>6192</v>
      </c>
      <c r="D7359" s="709" t="s">
        <v>234</v>
      </c>
      <c r="E7359" s="716">
        <v>0.1</v>
      </c>
      <c r="F7359" s="717">
        <v>0</v>
      </c>
      <c r="G7359">
        <f>VLOOKUP(B7359,'SINAPI-%MO'!B:E,4,0)</f>
        <v>1</v>
      </c>
      <c r="H7359" s="225">
        <f t="shared" si="114"/>
        <v>0</v>
      </c>
    </row>
    <row r="7360" spans="1:8" x14ac:dyDescent="0.3">
      <c r="A7360" s="400"/>
      <c r="B7360" s="709">
        <v>101336</v>
      </c>
      <c r="C7360" s="710" t="s">
        <v>6193</v>
      </c>
      <c r="D7360" s="709" t="s">
        <v>208</v>
      </c>
      <c r="E7360" s="716">
        <v>59.57</v>
      </c>
      <c r="F7360" s="717">
        <v>0</v>
      </c>
      <c r="G7360">
        <f>VLOOKUP(B7360,'SINAPI-%MO'!B:E,4,0)</f>
        <v>1</v>
      </c>
      <c r="H7360" s="225">
        <f t="shared" si="114"/>
        <v>0</v>
      </c>
    </row>
    <row r="7361" spans="1:8" x14ac:dyDescent="0.3">
      <c r="A7361" s="400"/>
      <c r="B7361" s="709">
        <v>95351</v>
      </c>
      <c r="C7361" s="710" t="s">
        <v>6194</v>
      </c>
      <c r="D7361" s="709" t="s">
        <v>234</v>
      </c>
      <c r="E7361" s="716">
        <v>0.44</v>
      </c>
      <c r="F7361" s="717">
        <v>0</v>
      </c>
      <c r="G7361">
        <f>VLOOKUP(B7361,'SINAPI-%MO'!B:E,4,0)</f>
        <v>1</v>
      </c>
      <c r="H7361" s="225">
        <f t="shared" si="114"/>
        <v>0</v>
      </c>
    </row>
    <row r="7362" spans="1:8" x14ac:dyDescent="0.3">
      <c r="A7362" s="400"/>
      <c r="B7362" s="709">
        <v>95352</v>
      </c>
      <c r="C7362" s="710" t="s">
        <v>6195</v>
      </c>
      <c r="D7362" s="709" t="s">
        <v>234</v>
      </c>
      <c r="E7362" s="716">
        <v>0.16</v>
      </c>
      <c r="F7362" s="717">
        <v>0</v>
      </c>
      <c r="G7362">
        <f>VLOOKUP(B7362,'SINAPI-%MO'!B:E,4,0)</f>
        <v>1</v>
      </c>
      <c r="H7362" s="225">
        <f t="shared" si="114"/>
        <v>0</v>
      </c>
    </row>
    <row r="7363" spans="1:8" x14ac:dyDescent="0.3">
      <c r="A7363" s="400"/>
      <c r="B7363" s="709">
        <v>101337</v>
      </c>
      <c r="C7363" s="710" t="s">
        <v>6196</v>
      </c>
      <c r="D7363" s="709" t="s">
        <v>208</v>
      </c>
      <c r="E7363" s="716">
        <v>22.29</v>
      </c>
      <c r="F7363" s="717">
        <v>0</v>
      </c>
      <c r="G7363">
        <f>VLOOKUP(B7363,'SINAPI-%MO'!B:E,4,0)</f>
        <v>1</v>
      </c>
      <c r="H7363" s="225">
        <f t="shared" si="114"/>
        <v>0</v>
      </c>
    </row>
    <row r="7364" spans="1:8" x14ac:dyDescent="0.3">
      <c r="A7364" s="400"/>
      <c r="B7364" s="709">
        <v>101338</v>
      </c>
      <c r="C7364" s="710" t="s">
        <v>6197</v>
      </c>
      <c r="D7364" s="709" t="s">
        <v>208</v>
      </c>
      <c r="E7364" s="716">
        <v>32.18</v>
      </c>
      <c r="F7364" s="717">
        <v>0</v>
      </c>
      <c r="G7364">
        <f>VLOOKUP(B7364,'SINAPI-%MO'!B:E,4,0)</f>
        <v>1</v>
      </c>
      <c r="H7364" s="225">
        <f t="shared" si="114"/>
        <v>0</v>
      </c>
    </row>
    <row r="7365" spans="1:8" x14ac:dyDescent="0.3">
      <c r="A7365" s="400"/>
      <c r="B7365" s="709">
        <v>95354</v>
      </c>
      <c r="C7365" s="710" t="s">
        <v>6198</v>
      </c>
      <c r="D7365" s="709" t="s">
        <v>234</v>
      </c>
      <c r="E7365" s="716">
        <v>0.25</v>
      </c>
      <c r="F7365" s="717">
        <v>0</v>
      </c>
      <c r="G7365">
        <f>VLOOKUP(B7365,'SINAPI-%MO'!B:E,4,0)</f>
        <v>1</v>
      </c>
      <c r="H7365" s="225">
        <f t="shared" si="114"/>
        <v>0</v>
      </c>
    </row>
    <row r="7366" spans="1:8" x14ac:dyDescent="0.3">
      <c r="A7366" s="400"/>
      <c r="B7366" s="709">
        <v>101339</v>
      </c>
      <c r="C7366" s="710" t="s">
        <v>6199</v>
      </c>
      <c r="D7366" s="709" t="s">
        <v>208</v>
      </c>
      <c r="E7366" s="716">
        <v>34.03</v>
      </c>
      <c r="F7366" s="717">
        <v>0</v>
      </c>
      <c r="G7366">
        <f>VLOOKUP(B7366,'SINAPI-%MO'!B:E,4,0)</f>
        <v>1</v>
      </c>
      <c r="H7366" s="225">
        <f t="shared" si="114"/>
        <v>0</v>
      </c>
    </row>
    <row r="7367" spans="1:8" x14ac:dyDescent="0.3">
      <c r="A7367" s="400"/>
      <c r="B7367" s="709">
        <v>101340</v>
      </c>
      <c r="C7367" s="710" t="s">
        <v>6200</v>
      </c>
      <c r="D7367" s="709" t="s">
        <v>208</v>
      </c>
      <c r="E7367" s="716">
        <v>28.15</v>
      </c>
      <c r="F7367" s="717">
        <v>0</v>
      </c>
      <c r="G7367">
        <f>VLOOKUP(B7367,'SINAPI-%MO'!B:E,4,0)</f>
        <v>1</v>
      </c>
      <c r="H7367" s="225">
        <f t="shared" si="114"/>
        <v>0</v>
      </c>
    </row>
    <row r="7368" spans="1:8" x14ac:dyDescent="0.3">
      <c r="A7368" s="400"/>
      <c r="B7368" s="709">
        <v>95389</v>
      </c>
      <c r="C7368" s="710" t="s">
        <v>6201</v>
      </c>
      <c r="D7368" s="709" t="s">
        <v>234</v>
      </c>
      <c r="E7368" s="716">
        <v>0.21</v>
      </c>
      <c r="F7368" s="717">
        <v>0</v>
      </c>
      <c r="G7368">
        <f>VLOOKUP(B7368,'SINAPI-%MO'!B:E,4,0)</f>
        <v>1</v>
      </c>
      <c r="H7368" s="225">
        <f t="shared" si="114"/>
        <v>0</v>
      </c>
    </row>
    <row r="7369" spans="1:8" x14ac:dyDescent="0.3">
      <c r="A7369" s="400"/>
      <c r="B7369" s="709">
        <v>101341</v>
      </c>
      <c r="C7369" s="710" t="s">
        <v>6202</v>
      </c>
      <c r="D7369" s="709" t="s">
        <v>208</v>
      </c>
      <c r="E7369" s="716">
        <v>21.1</v>
      </c>
      <c r="F7369" s="717">
        <v>0</v>
      </c>
      <c r="G7369">
        <f>VLOOKUP(B7369,'SINAPI-%MO'!B:E,4,0)</f>
        <v>1</v>
      </c>
      <c r="H7369" s="225">
        <f t="shared" si="114"/>
        <v>0</v>
      </c>
    </row>
    <row r="7370" spans="1:8" x14ac:dyDescent="0.3">
      <c r="A7370" s="400"/>
      <c r="B7370" s="709">
        <v>95355</v>
      </c>
      <c r="C7370" s="710" t="s">
        <v>6203</v>
      </c>
      <c r="D7370" s="709" t="s">
        <v>234</v>
      </c>
      <c r="E7370" s="716">
        <v>0.15</v>
      </c>
      <c r="F7370" s="717">
        <v>0</v>
      </c>
      <c r="G7370">
        <f>VLOOKUP(B7370,'SINAPI-%MO'!B:E,4,0)</f>
        <v>1</v>
      </c>
      <c r="H7370" s="225">
        <f t="shared" si="114"/>
        <v>0</v>
      </c>
    </row>
    <row r="7371" spans="1:8" x14ac:dyDescent="0.3">
      <c r="A7371" s="400"/>
      <c r="B7371" s="709">
        <v>95356</v>
      </c>
      <c r="C7371" s="710" t="s">
        <v>6204</v>
      </c>
      <c r="D7371" s="709" t="s">
        <v>234</v>
      </c>
      <c r="E7371" s="716">
        <v>0.25</v>
      </c>
      <c r="F7371" s="717">
        <v>0</v>
      </c>
      <c r="G7371">
        <f>VLOOKUP(B7371,'SINAPI-%MO'!B:E,4,0)</f>
        <v>1</v>
      </c>
      <c r="H7371" s="225">
        <f t="shared" ref="H7371:H7434" si="115">IF(E7371&gt;0,TRUNC(E7371*(1-G7371),2),"")</f>
        <v>0</v>
      </c>
    </row>
    <row r="7372" spans="1:8" x14ac:dyDescent="0.3">
      <c r="A7372" s="400"/>
      <c r="B7372" s="709">
        <v>101342</v>
      </c>
      <c r="C7372" s="710" t="s">
        <v>6205</v>
      </c>
      <c r="D7372" s="709" t="s">
        <v>208</v>
      </c>
      <c r="E7372" s="716">
        <v>34.03</v>
      </c>
      <c r="F7372" s="717">
        <v>0</v>
      </c>
      <c r="G7372">
        <f>VLOOKUP(B7372,'SINAPI-%MO'!B:E,4,0)</f>
        <v>1</v>
      </c>
      <c r="H7372" s="225">
        <f t="shared" si="115"/>
        <v>0</v>
      </c>
    </row>
    <row r="7373" spans="1:8" x14ac:dyDescent="0.3">
      <c r="A7373" s="400"/>
      <c r="B7373" s="709">
        <v>95357</v>
      </c>
      <c r="C7373" s="710" t="s">
        <v>6206</v>
      </c>
      <c r="D7373" s="709" t="s">
        <v>234</v>
      </c>
      <c r="E7373" s="716">
        <v>0.32</v>
      </c>
      <c r="F7373" s="717">
        <v>0</v>
      </c>
      <c r="G7373">
        <f>VLOOKUP(B7373,'SINAPI-%MO'!B:E,4,0)</f>
        <v>1</v>
      </c>
      <c r="H7373" s="225">
        <f t="shared" si="115"/>
        <v>0</v>
      </c>
    </row>
    <row r="7374" spans="1:8" x14ac:dyDescent="0.3">
      <c r="A7374" s="400"/>
      <c r="B7374" s="709">
        <v>101343</v>
      </c>
      <c r="C7374" s="710" t="s">
        <v>6207</v>
      </c>
      <c r="D7374" s="709" t="s">
        <v>208</v>
      </c>
      <c r="E7374" s="716">
        <v>42.68</v>
      </c>
      <c r="F7374" s="717">
        <v>0</v>
      </c>
      <c r="G7374">
        <f>VLOOKUP(B7374,'SINAPI-%MO'!B:E,4,0)</f>
        <v>1</v>
      </c>
      <c r="H7374" s="225">
        <f t="shared" si="115"/>
        <v>0</v>
      </c>
    </row>
    <row r="7375" spans="1:8" x14ac:dyDescent="0.3">
      <c r="A7375" s="400"/>
      <c r="B7375" s="709">
        <v>95358</v>
      </c>
      <c r="C7375" s="710" t="s">
        <v>6208</v>
      </c>
      <c r="D7375" s="709" t="s">
        <v>234</v>
      </c>
      <c r="E7375" s="716">
        <v>0.41</v>
      </c>
      <c r="F7375" s="717">
        <v>0</v>
      </c>
      <c r="G7375">
        <f>VLOOKUP(B7375,'SINAPI-%MO'!B:E,4,0)</f>
        <v>1</v>
      </c>
      <c r="H7375" s="225">
        <f t="shared" si="115"/>
        <v>0</v>
      </c>
    </row>
    <row r="7376" spans="1:8" x14ac:dyDescent="0.3">
      <c r="A7376" s="400"/>
      <c r="B7376" s="709">
        <v>101344</v>
      </c>
      <c r="C7376" s="710" t="s">
        <v>6209</v>
      </c>
      <c r="D7376" s="709" t="s">
        <v>208</v>
      </c>
      <c r="E7376" s="716">
        <v>55.45</v>
      </c>
      <c r="F7376" s="717">
        <v>0</v>
      </c>
      <c r="G7376">
        <f>VLOOKUP(B7376,'SINAPI-%MO'!B:E,4,0)</f>
        <v>1</v>
      </c>
      <c r="H7376" s="225">
        <f t="shared" si="115"/>
        <v>0</v>
      </c>
    </row>
    <row r="7377" spans="1:8" x14ac:dyDescent="0.3">
      <c r="A7377" s="400"/>
      <c r="B7377" s="709">
        <v>95359</v>
      </c>
      <c r="C7377" s="710" t="s">
        <v>6210</v>
      </c>
      <c r="D7377" s="709" t="s">
        <v>234</v>
      </c>
      <c r="E7377" s="716">
        <v>0.67</v>
      </c>
      <c r="F7377" s="717">
        <v>0</v>
      </c>
      <c r="G7377">
        <f>VLOOKUP(B7377,'SINAPI-%MO'!B:E,4,0)</f>
        <v>1</v>
      </c>
      <c r="H7377" s="225">
        <f t="shared" si="115"/>
        <v>0</v>
      </c>
    </row>
    <row r="7378" spans="1:8" x14ac:dyDescent="0.3">
      <c r="A7378" s="400"/>
      <c r="B7378" s="709">
        <v>101345</v>
      </c>
      <c r="C7378" s="710" t="s">
        <v>6211</v>
      </c>
      <c r="D7378" s="709" t="s">
        <v>208</v>
      </c>
      <c r="E7378" s="716">
        <v>88.92</v>
      </c>
      <c r="F7378" s="717">
        <v>0</v>
      </c>
      <c r="G7378">
        <f>VLOOKUP(B7378,'SINAPI-%MO'!B:E,4,0)</f>
        <v>1</v>
      </c>
      <c r="H7378" s="225">
        <f t="shared" si="115"/>
        <v>0</v>
      </c>
    </row>
    <row r="7379" spans="1:8" x14ac:dyDescent="0.3">
      <c r="A7379" s="400"/>
      <c r="B7379" s="709">
        <v>101346</v>
      </c>
      <c r="C7379" s="710" t="s">
        <v>6212</v>
      </c>
      <c r="D7379" s="709" t="s">
        <v>208</v>
      </c>
      <c r="E7379" s="716">
        <v>38.369999999999997</v>
      </c>
      <c r="F7379" s="717">
        <v>0</v>
      </c>
      <c r="G7379">
        <f>VLOOKUP(B7379,'SINAPI-%MO'!B:E,4,0)</f>
        <v>1</v>
      </c>
      <c r="H7379" s="225">
        <f t="shared" si="115"/>
        <v>0</v>
      </c>
    </row>
    <row r="7380" spans="1:8" x14ac:dyDescent="0.3">
      <c r="A7380" s="400"/>
      <c r="B7380" s="709">
        <v>101347</v>
      </c>
      <c r="C7380" s="710" t="s">
        <v>6213</v>
      </c>
      <c r="D7380" s="709" t="s">
        <v>208</v>
      </c>
      <c r="E7380" s="716">
        <v>45.88</v>
      </c>
      <c r="F7380" s="717">
        <v>0</v>
      </c>
      <c r="G7380">
        <f>VLOOKUP(B7380,'SINAPI-%MO'!B:E,4,0)</f>
        <v>1</v>
      </c>
      <c r="H7380" s="225">
        <f t="shared" si="115"/>
        <v>0</v>
      </c>
    </row>
    <row r="7381" spans="1:8" x14ac:dyDescent="0.3">
      <c r="A7381" s="400"/>
      <c r="B7381" s="709">
        <v>95361</v>
      </c>
      <c r="C7381" s="710" t="s">
        <v>6214</v>
      </c>
      <c r="D7381" s="709" t="s">
        <v>234</v>
      </c>
      <c r="E7381" s="716">
        <v>0.2</v>
      </c>
      <c r="F7381" s="717">
        <v>0</v>
      </c>
      <c r="G7381">
        <f>VLOOKUP(B7381,'SINAPI-%MO'!B:E,4,0)</f>
        <v>1</v>
      </c>
      <c r="H7381" s="225">
        <f t="shared" si="115"/>
        <v>0</v>
      </c>
    </row>
    <row r="7382" spans="1:8" x14ac:dyDescent="0.3">
      <c r="A7382" s="400"/>
      <c r="B7382" s="709">
        <v>101348</v>
      </c>
      <c r="C7382" s="710" t="s">
        <v>6215</v>
      </c>
      <c r="D7382" s="709" t="s">
        <v>208</v>
      </c>
      <c r="E7382" s="716">
        <v>27.27</v>
      </c>
      <c r="F7382" s="717">
        <v>0</v>
      </c>
      <c r="G7382">
        <f>VLOOKUP(B7382,'SINAPI-%MO'!B:E,4,0)</f>
        <v>1</v>
      </c>
      <c r="H7382" s="225">
        <f t="shared" si="115"/>
        <v>0</v>
      </c>
    </row>
    <row r="7383" spans="1:8" x14ac:dyDescent="0.3">
      <c r="A7383" s="400"/>
      <c r="B7383" s="709">
        <v>101349</v>
      </c>
      <c r="C7383" s="710" t="s">
        <v>6216</v>
      </c>
      <c r="D7383" s="709" t="s">
        <v>208</v>
      </c>
      <c r="E7383" s="716">
        <v>46.18</v>
      </c>
      <c r="F7383" s="717">
        <v>0</v>
      </c>
      <c r="G7383">
        <f>VLOOKUP(B7383,'SINAPI-%MO'!B:E,4,0)</f>
        <v>1</v>
      </c>
      <c r="H7383" s="225">
        <f t="shared" si="115"/>
        <v>0</v>
      </c>
    </row>
    <row r="7384" spans="1:8" x14ac:dyDescent="0.3">
      <c r="A7384" s="400"/>
      <c r="B7384" s="709">
        <v>95362</v>
      </c>
      <c r="C7384" s="710" t="s">
        <v>6217</v>
      </c>
      <c r="D7384" s="709" t="s">
        <v>234</v>
      </c>
      <c r="E7384" s="716">
        <v>0.34</v>
      </c>
      <c r="F7384" s="717">
        <v>0</v>
      </c>
      <c r="G7384">
        <f>VLOOKUP(B7384,'SINAPI-%MO'!B:E,4,0)</f>
        <v>1</v>
      </c>
      <c r="H7384" s="225">
        <f t="shared" si="115"/>
        <v>0</v>
      </c>
    </row>
    <row r="7385" spans="1:8" x14ac:dyDescent="0.3">
      <c r="A7385" s="400"/>
      <c r="B7385" s="709">
        <v>95363</v>
      </c>
      <c r="C7385" s="710" t="s">
        <v>6218</v>
      </c>
      <c r="D7385" s="709" t="s">
        <v>234</v>
      </c>
      <c r="E7385" s="716">
        <v>0.34</v>
      </c>
      <c r="F7385" s="717">
        <v>0</v>
      </c>
      <c r="G7385">
        <f>VLOOKUP(B7385,'SINAPI-%MO'!B:E,4,0)</f>
        <v>1</v>
      </c>
      <c r="H7385" s="225">
        <f t="shared" si="115"/>
        <v>0</v>
      </c>
    </row>
    <row r="7386" spans="1:8" x14ac:dyDescent="0.3">
      <c r="A7386" s="400"/>
      <c r="B7386" s="709">
        <v>101350</v>
      </c>
      <c r="C7386" s="710" t="s">
        <v>6219</v>
      </c>
      <c r="D7386" s="709" t="s">
        <v>208</v>
      </c>
      <c r="E7386" s="716">
        <v>46.18</v>
      </c>
      <c r="F7386" s="717">
        <v>0</v>
      </c>
      <c r="G7386">
        <f>VLOOKUP(B7386,'SINAPI-%MO'!B:E,4,0)</f>
        <v>1</v>
      </c>
      <c r="H7386" s="225">
        <f t="shared" si="115"/>
        <v>0</v>
      </c>
    </row>
    <row r="7387" spans="1:8" x14ac:dyDescent="0.3">
      <c r="A7387" s="400"/>
      <c r="B7387" s="709">
        <v>95360</v>
      </c>
      <c r="C7387" s="710" t="s">
        <v>6220</v>
      </c>
      <c r="D7387" s="709" t="s">
        <v>234</v>
      </c>
      <c r="E7387" s="716">
        <v>0.34</v>
      </c>
      <c r="F7387" s="717">
        <v>0</v>
      </c>
      <c r="G7387">
        <f>VLOOKUP(B7387,'SINAPI-%MO'!B:E,4,0)</f>
        <v>1</v>
      </c>
      <c r="H7387" s="225">
        <f t="shared" si="115"/>
        <v>0</v>
      </c>
    </row>
    <row r="7388" spans="1:8" x14ac:dyDescent="0.3">
      <c r="A7388" s="400"/>
      <c r="B7388" s="709">
        <v>101351</v>
      </c>
      <c r="C7388" s="710" t="s">
        <v>6221</v>
      </c>
      <c r="D7388" s="709" t="s">
        <v>208</v>
      </c>
      <c r="E7388" s="716">
        <v>34.03</v>
      </c>
      <c r="F7388" s="717">
        <v>0</v>
      </c>
      <c r="G7388">
        <f>VLOOKUP(B7388,'SINAPI-%MO'!B:E,4,0)</f>
        <v>1</v>
      </c>
      <c r="H7388" s="225">
        <f t="shared" si="115"/>
        <v>0</v>
      </c>
    </row>
    <row r="7389" spans="1:8" x14ac:dyDescent="0.3">
      <c r="A7389" s="400"/>
      <c r="B7389" s="709">
        <v>95365</v>
      </c>
      <c r="C7389" s="710" t="s">
        <v>6222</v>
      </c>
      <c r="D7389" s="709" t="s">
        <v>234</v>
      </c>
      <c r="E7389" s="716">
        <v>0.25</v>
      </c>
      <c r="F7389" s="717">
        <v>0</v>
      </c>
      <c r="G7389">
        <f>VLOOKUP(B7389,'SINAPI-%MO'!B:E,4,0)</f>
        <v>1</v>
      </c>
      <c r="H7389" s="225">
        <f t="shared" si="115"/>
        <v>0</v>
      </c>
    </row>
    <row r="7390" spans="1:8" x14ac:dyDescent="0.3">
      <c r="A7390" s="400"/>
      <c r="B7390" s="709">
        <v>101352</v>
      </c>
      <c r="C7390" s="710" t="s">
        <v>6223</v>
      </c>
      <c r="D7390" s="709" t="s">
        <v>208</v>
      </c>
      <c r="E7390" s="716">
        <v>34.03</v>
      </c>
      <c r="F7390" s="717">
        <v>0</v>
      </c>
      <c r="G7390">
        <f>VLOOKUP(B7390,'SINAPI-%MO'!B:E,4,0)</f>
        <v>1</v>
      </c>
      <c r="H7390" s="225">
        <f t="shared" si="115"/>
        <v>0</v>
      </c>
    </row>
    <row r="7391" spans="1:8" x14ac:dyDescent="0.3">
      <c r="A7391" s="400"/>
      <c r="B7391" s="709">
        <v>95364</v>
      </c>
      <c r="C7391" s="710" t="s">
        <v>6224</v>
      </c>
      <c r="D7391" s="709" t="s">
        <v>234</v>
      </c>
      <c r="E7391" s="716">
        <v>0.25</v>
      </c>
      <c r="F7391" s="717">
        <v>0</v>
      </c>
      <c r="G7391">
        <f>VLOOKUP(B7391,'SINAPI-%MO'!B:E,4,0)</f>
        <v>1</v>
      </c>
      <c r="H7391" s="225">
        <f t="shared" si="115"/>
        <v>0</v>
      </c>
    </row>
    <row r="7392" spans="1:8" x14ac:dyDescent="0.3">
      <c r="A7392" s="400"/>
      <c r="B7392" s="709">
        <v>95366</v>
      </c>
      <c r="C7392" s="710" t="s">
        <v>6225</v>
      </c>
      <c r="D7392" s="709" t="s">
        <v>234</v>
      </c>
      <c r="E7392" s="716">
        <v>0.2</v>
      </c>
      <c r="F7392" s="717">
        <v>0</v>
      </c>
      <c r="G7392">
        <f>VLOOKUP(B7392,'SINAPI-%MO'!B:E,4,0)</f>
        <v>1</v>
      </c>
      <c r="H7392" s="225">
        <f t="shared" si="115"/>
        <v>0</v>
      </c>
    </row>
    <row r="7393" spans="1:8" x14ac:dyDescent="0.3">
      <c r="A7393" s="400"/>
      <c r="B7393" s="709">
        <v>101353</v>
      </c>
      <c r="C7393" s="710" t="s">
        <v>6226</v>
      </c>
      <c r="D7393" s="709" t="s">
        <v>208</v>
      </c>
      <c r="E7393" s="716">
        <v>27.78</v>
      </c>
      <c r="F7393" s="717">
        <v>0</v>
      </c>
      <c r="G7393">
        <f>VLOOKUP(B7393,'SINAPI-%MO'!B:E,4,0)</f>
        <v>1</v>
      </c>
      <c r="H7393" s="225">
        <f t="shared" si="115"/>
        <v>0</v>
      </c>
    </row>
    <row r="7394" spans="1:8" x14ac:dyDescent="0.3">
      <c r="A7394" s="400"/>
      <c r="B7394" s="709">
        <v>95367</v>
      </c>
      <c r="C7394" s="710" t="s">
        <v>6227</v>
      </c>
      <c r="D7394" s="709" t="s">
        <v>234</v>
      </c>
      <c r="E7394" s="716">
        <v>0.34</v>
      </c>
      <c r="F7394" s="717">
        <v>0</v>
      </c>
      <c r="G7394">
        <f>VLOOKUP(B7394,'SINAPI-%MO'!B:E,4,0)</f>
        <v>1</v>
      </c>
      <c r="H7394" s="225">
        <f t="shared" si="115"/>
        <v>0</v>
      </c>
    </row>
    <row r="7395" spans="1:8" x14ac:dyDescent="0.3">
      <c r="A7395" s="400"/>
      <c r="B7395" s="709">
        <v>101355</v>
      </c>
      <c r="C7395" s="710" t="s">
        <v>6228</v>
      </c>
      <c r="D7395" s="709" t="s">
        <v>208</v>
      </c>
      <c r="E7395" s="716">
        <v>46.18</v>
      </c>
      <c r="F7395" s="717">
        <v>0</v>
      </c>
      <c r="G7395">
        <f>VLOOKUP(B7395,'SINAPI-%MO'!B:E,4,0)</f>
        <v>1</v>
      </c>
      <c r="H7395" s="225">
        <f t="shared" si="115"/>
        <v>0</v>
      </c>
    </row>
    <row r="7396" spans="1:8" x14ac:dyDescent="0.3">
      <c r="A7396" s="400"/>
      <c r="B7396" s="709">
        <v>95368</v>
      </c>
      <c r="C7396" s="710" t="s">
        <v>6229</v>
      </c>
      <c r="D7396" s="709" t="s">
        <v>234</v>
      </c>
      <c r="E7396" s="716">
        <v>0.28000000000000003</v>
      </c>
      <c r="F7396" s="717">
        <v>0</v>
      </c>
      <c r="G7396">
        <f>VLOOKUP(B7396,'SINAPI-%MO'!B:E,4,0)</f>
        <v>1</v>
      </c>
      <c r="H7396" s="225">
        <f t="shared" si="115"/>
        <v>0</v>
      </c>
    </row>
    <row r="7397" spans="1:8" x14ac:dyDescent="0.3">
      <c r="A7397" s="400"/>
      <c r="B7397" s="709">
        <v>95369</v>
      </c>
      <c r="C7397" s="710" t="s">
        <v>6230</v>
      </c>
      <c r="D7397" s="709" t="s">
        <v>234</v>
      </c>
      <c r="E7397" s="716">
        <v>0.24</v>
      </c>
      <c r="F7397" s="717">
        <v>0</v>
      </c>
      <c r="G7397">
        <f>VLOOKUP(B7397,'SINAPI-%MO'!B:E,4,0)</f>
        <v>1</v>
      </c>
      <c r="H7397" s="225">
        <f t="shared" si="115"/>
        <v>0</v>
      </c>
    </row>
    <row r="7398" spans="1:8" x14ac:dyDescent="0.3">
      <c r="A7398" s="400"/>
      <c r="B7398" s="709">
        <v>95370</v>
      </c>
      <c r="C7398" s="710" t="s">
        <v>6231</v>
      </c>
      <c r="D7398" s="709" t="s">
        <v>234</v>
      </c>
      <c r="E7398" s="716">
        <v>0.35</v>
      </c>
      <c r="F7398" s="717">
        <v>0</v>
      </c>
      <c r="G7398">
        <f>VLOOKUP(B7398,'SINAPI-%MO'!B:E,4,0)</f>
        <v>1</v>
      </c>
      <c r="H7398" s="225">
        <f t="shared" si="115"/>
        <v>0</v>
      </c>
    </row>
    <row r="7399" spans="1:8" x14ac:dyDescent="0.3">
      <c r="A7399" s="400"/>
      <c r="B7399" s="709">
        <v>101356</v>
      </c>
      <c r="C7399" s="710" t="s">
        <v>6232</v>
      </c>
      <c r="D7399" s="709" t="s">
        <v>208</v>
      </c>
      <c r="E7399" s="716">
        <v>46.84</v>
      </c>
      <c r="F7399" s="717">
        <v>0</v>
      </c>
      <c r="G7399">
        <f>VLOOKUP(B7399,'SINAPI-%MO'!B:E,4,0)</f>
        <v>1</v>
      </c>
      <c r="H7399" s="225">
        <f t="shared" si="115"/>
        <v>0</v>
      </c>
    </row>
    <row r="7400" spans="1:8" x14ac:dyDescent="0.3">
      <c r="A7400" s="400"/>
      <c r="B7400" s="709">
        <v>95371</v>
      </c>
      <c r="C7400" s="710" t="s">
        <v>6233</v>
      </c>
      <c r="D7400" s="709" t="s">
        <v>234</v>
      </c>
      <c r="E7400" s="716">
        <v>0.5</v>
      </c>
      <c r="F7400" s="717">
        <v>0</v>
      </c>
      <c r="G7400">
        <f>VLOOKUP(B7400,'SINAPI-%MO'!B:E,4,0)</f>
        <v>1</v>
      </c>
      <c r="H7400" s="225">
        <f t="shared" si="115"/>
        <v>0</v>
      </c>
    </row>
    <row r="7401" spans="1:8" x14ac:dyDescent="0.3">
      <c r="A7401" s="400"/>
      <c r="B7401" s="709">
        <v>101357</v>
      </c>
      <c r="C7401" s="710" t="s">
        <v>6234</v>
      </c>
      <c r="D7401" s="709" t="s">
        <v>208</v>
      </c>
      <c r="E7401" s="716">
        <v>67.260000000000005</v>
      </c>
      <c r="F7401" s="717">
        <v>0</v>
      </c>
      <c r="G7401">
        <f>VLOOKUP(B7401,'SINAPI-%MO'!B:E,4,0)</f>
        <v>1</v>
      </c>
      <c r="H7401" s="225">
        <f t="shared" si="115"/>
        <v>0</v>
      </c>
    </row>
    <row r="7402" spans="1:8" x14ac:dyDescent="0.3">
      <c r="A7402" s="400"/>
      <c r="B7402" s="709">
        <v>95372</v>
      </c>
      <c r="C7402" s="710" t="s">
        <v>6235</v>
      </c>
      <c r="D7402" s="709" t="s">
        <v>234</v>
      </c>
      <c r="E7402" s="716">
        <v>0.35</v>
      </c>
      <c r="F7402" s="717">
        <v>0</v>
      </c>
      <c r="G7402">
        <f>VLOOKUP(B7402,'SINAPI-%MO'!B:E,4,0)</f>
        <v>1</v>
      </c>
      <c r="H7402" s="225">
        <f t="shared" si="115"/>
        <v>0</v>
      </c>
    </row>
    <row r="7403" spans="1:8" x14ac:dyDescent="0.3">
      <c r="A7403" s="400"/>
      <c r="B7403" s="709">
        <v>101358</v>
      </c>
      <c r="C7403" s="710" t="s">
        <v>6236</v>
      </c>
      <c r="D7403" s="709" t="s">
        <v>208</v>
      </c>
      <c r="E7403" s="716">
        <v>46.84</v>
      </c>
      <c r="F7403" s="717">
        <v>0</v>
      </c>
      <c r="G7403">
        <f>VLOOKUP(B7403,'SINAPI-%MO'!B:E,4,0)</f>
        <v>1</v>
      </c>
      <c r="H7403" s="225">
        <f t="shared" si="115"/>
        <v>0</v>
      </c>
    </row>
    <row r="7404" spans="1:8" x14ac:dyDescent="0.3">
      <c r="A7404" s="400"/>
      <c r="B7404" s="709">
        <v>95373</v>
      </c>
      <c r="C7404" s="710" t="s">
        <v>6237</v>
      </c>
      <c r="D7404" s="709" t="s">
        <v>234</v>
      </c>
      <c r="E7404" s="716">
        <v>0.34</v>
      </c>
      <c r="F7404" s="717">
        <v>0</v>
      </c>
      <c r="G7404">
        <f>VLOOKUP(B7404,'SINAPI-%MO'!B:E,4,0)</f>
        <v>1</v>
      </c>
      <c r="H7404" s="225">
        <f t="shared" si="115"/>
        <v>0</v>
      </c>
    </row>
    <row r="7405" spans="1:8" x14ac:dyDescent="0.3">
      <c r="A7405" s="400"/>
      <c r="B7405" s="709">
        <v>101359</v>
      </c>
      <c r="C7405" s="710" t="s">
        <v>6238</v>
      </c>
      <c r="D7405" s="709" t="s">
        <v>208</v>
      </c>
      <c r="E7405" s="716">
        <v>45.48</v>
      </c>
      <c r="F7405" s="717">
        <v>0</v>
      </c>
      <c r="G7405">
        <f>VLOOKUP(B7405,'SINAPI-%MO'!B:E,4,0)</f>
        <v>1</v>
      </c>
      <c r="H7405" s="225">
        <f t="shared" si="115"/>
        <v>0</v>
      </c>
    </row>
    <row r="7406" spans="1:8" x14ac:dyDescent="0.3">
      <c r="A7406" s="400"/>
      <c r="B7406" s="709">
        <v>101360</v>
      </c>
      <c r="C7406" s="710" t="s">
        <v>6239</v>
      </c>
      <c r="D7406" s="709" t="s">
        <v>208</v>
      </c>
      <c r="E7406" s="716">
        <v>46.84</v>
      </c>
      <c r="F7406" s="717">
        <v>0</v>
      </c>
      <c r="G7406">
        <f>VLOOKUP(B7406,'SINAPI-%MO'!B:E,4,0)</f>
        <v>1</v>
      </c>
      <c r="H7406" s="225">
        <f t="shared" si="115"/>
        <v>0</v>
      </c>
    </row>
    <row r="7407" spans="1:8" x14ac:dyDescent="0.3">
      <c r="A7407" s="400"/>
      <c r="B7407" s="709">
        <v>95374</v>
      </c>
      <c r="C7407" s="710" t="s">
        <v>6240</v>
      </c>
      <c r="D7407" s="709" t="s">
        <v>234</v>
      </c>
      <c r="E7407" s="716">
        <v>0.35</v>
      </c>
      <c r="F7407" s="717">
        <v>0</v>
      </c>
      <c r="G7407">
        <f>VLOOKUP(B7407,'SINAPI-%MO'!B:E,4,0)</f>
        <v>1</v>
      </c>
      <c r="H7407" s="225">
        <f t="shared" si="115"/>
        <v>0</v>
      </c>
    </row>
    <row r="7408" spans="1:8" x14ac:dyDescent="0.3">
      <c r="A7408" s="400"/>
      <c r="B7408" s="709">
        <v>95375</v>
      </c>
      <c r="C7408" s="710" t="s">
        <v>6241</v>
      </c>
      <c r="D7408" s="709" t="s">
        <v>234</v>
      </c>
      <c r="E7408" s="716">
        <v>0.44</v>
      </c>
      <c r="F7408" s="717">
        <v>0</v>
      </c>
      <c r="G7408">
        <f>VLOOKUP(B7408,'SINAPI-%MO'!B:E,4,0)</f>
        <v>1</v>
      </c>
      <c r="H7408" s="225">
        <f t="shared" si="115"/>
        <v>0</v>
      </c>
    </row>
    <row r="7409" spans="1:8" x14ac:dyDescent="0.3">
      <c r="A7409" s="400"/>
      <c r="B7409" s="709">
        <v>101361</v>
      </c>
      <c r="C7409" s="710" t="s">
        <v>6242</v>
      </c>
      <c r="D7409" s="709" t="s">
        <v>208</v>
      </c>
      <c r="E7409" s="716">
        <v>58.47</v>
      </c>
      <c r="F7409" s="717">
        <v>0</v>
      </c>
      <c r="G7409">
        <f>VLOOKUP(B7409,'SINAPI-%MO'!B:E,4,0)</f>
        <v>1</v>
      </c>
      <c r="H7409" s="225">
        <f t="shared" si="115"/>
        <v>0</v>
      </c>
    </row>
    <row r="7410" spans="1:8" x14ac:dyDescent="0.3">
      <c r="A7410" s="400"/>
      <c r="B7410" s="709">
        <v>95376</v>
      </c>
      <c r="C7410" s="710" t="s">
        <v>6243</v>
      </c>
      <c r="D7410" s="709" t="s">
        <v>234</v>
      </c>
      <c r="E7410" s="716">
        <v>0.1</v>
      </c>
      <c r="F7410" s="717">
        <v>0</v>
      </c>
      <c r="G7410">
        <f>VLOOKUP(B7410,'SINAPI-%MO'!B:E,4,0)</f>
        <v>1</v>
      </c>
      <c r="H7410" s="225">
        <f t="shared" si="115"/>
        <v>0</v>
      </c>
    </row>
    <row r="7411" spans="1:8" x14ac:dyDescent="0.3">
      <c r="A7411" s="400"/>
      <c r="B7411" s="709">
        <v>95377</v>
      </c>
      <c r="C7411" s="710" t="s">
        <v>6244</v>
      </c>
      <c r="D7411" s="709" t="s">
        <v>234</v>
      </c>
      <c r="E7411" s="716">
        <v>0.27</v>
      </c>
      <c r="F7411" s="717">
        <v>0</v>
      </c>
      <c r="G7411">
        <f>VLOOKUP(B7411,'SINAPI-%MO'!B:E,4,0)</f>
        <v>1</v>
      </c>
      <c r="H7411" s="225">
        <f t="shared" si="115"/>
        <v>0</v>
      </c>
    </row>
    <row r="7412" spans="1:8" x14ac:dyDescent="0.3">
      <c r="A7412" s="400"/>
      <c r="B7412" s="709">
        <v>101363</v>
      </c>
      <c r="C7412" s="710" t="s">
        <v>6245</v>
      </c>
      <c r="D7412" s="709" t="s">
        <v>208</v>
      </c>
      <c r="E7412" s="716">
        <v>36.6</v>
      </c>
      <c r="F7412" s="717">
        <v>0</v>
      </c>
      <c r="G7412">
        <f>VLOOKUP(B7412,'SINAPI-%MO'!B:E,4,0)</f>
        <v>1</v>
      </c>
      <c r="H7412" s="225">
        <f t="shared" si="115"/>
        <v>0</v>
      </c>
    </row>
    <row r="7413" spans="1:8" x14ac:dyDescent="0.3">
      <c r="A7413" s="400"/>
      <c r="B7413" s="709">
        <v>95378</v>
      </c>
      <c r="C7413" s="710" t="s">
        <v>6246</v>
      </c>
      <c r="D7413" s="709" t="s">
        <v>234</v>
      </c>
      <c r="E7413" s="716">
        <v>0.39</v>
      </c>
      <c r="F7413" s="717">
        <v>0</v>
      </c>
      <c r="G7413">
        <f>VLOOKUP(B7413,'SINAPI-%MO'!B:E,4,0)</f>
        <v>1</v>
      </c>
      <c r="H7413" s="225">
        <f t="shared" si="115"/>
        <v>0</v>
      </c>
    </row>
    <row r="7414" spans="1:8" x14ac:dyDescent="0.3">
      <c r="A7414" s="400"/>
      <c r="B7414" s="709">
        <v>101364</v>
      </c>
      <c r="C7414" s="710" t="s">
        <v>6247</v>
      </c>
      <c r="D7414" s="709" t="s">
        <v>208</v>
      </c>
      <c r="E7414" s="716">
        <v>52.87</v>
      </c>
      <c r="F7414" s="717">
        <v>0</v>
      </c>
      <c r="G7414">
        <f>VLOOKUP(B7414,'SINAPI-%MO'!B:E,4,0)</f>
        <v>1</v>
      </c>
      <c r="H7414" s="225">
        <f t="shared" si="115"/>
        <v>0</v>
      </c>
    </row>
    <row r="7415" spans="1:8" x14ac:dyDescent="0.3">
      <c r="A7415" s="400"/>
      <c r="B7415" s="709">
        <v>95379</v>
      </c>
      <c r="C7415" s="710" t="s">
        <v>6248</v>
      </c>
      <c r="D7415" s="709" t="s">
        <v>234</v>
      </c>
      <c r="E7415" s="716">
        <v>0.3</v>
      </c>
      <c r="F7415" s="717">
        <v>0</v>
      </c>
      <c r="G7415">
        <f>VLOOKUP(B7415,'SINAPI-%MO'!B:E,4,0)</f>
        <v>1</v>
      </c>
      <c r="H7415" s="225">
        <f t="shared" si="115"/>
        <v>0</v>
      </c>
    </row>
    <row r="7416" spans="1:8" x14ac:dyDescent="0.3">
      <c r="A7416" s="400"/>
      <c r="B7416" s="709">
        <v>101365</v>
      </c>
      <c r="C7416" s="710" t="s">
        <v>6249</v>
      </c>
      <c r="D7416" s="709" t="s">
        <v>208</v>
      </c>
      <c r="E7416" s="716">
        <v>40.32</v>
      </c>
      <c r="F7416" s="717">
        <v>0</v>
      </c>
      <c r="G7416">
        <f>VLOOKUP(B7416,'SINAPI-%MO'!B:E,4,0)</f>
        <v>1</v>
      </c>
      <c r="H7416" s="225">
        <f t="shared" si="115"/>
        <v>0</v>
      </c>
    </row>
    <row r="7417" spans="1:8" x14ac:dyDescent="0.3">
      <c r="A7417" s="400"/>
      <c r="B7417" s="709">
        <v>95380</v>
      </c>
      <c r="C7417" s="710" t="s">
        <v>6250</v>
      </c>
      <c r="D7417" s="709" t="s">
        <v>234</v>
      </c>
      <c r="E7417" s="716">
        <v>0.33</v>
      </c>
      <c r="F7417" s="717">
        <v>0</v>
      </c>
      <c r="G7417">
        <f>VLOOKUP(B7417,'SINAPI-%MO'!B:E,4,0)</f>
        <v>1</v>
      </c>
      <c r="H7417" s="225">
        <f t="shared" si="115"/>
        <v>0</v>
      </c>
    </row>
    <row r="7418" spans="1:8" x14ac:dyDescent="0.3">
      <c r="A7418" s="400"/>
      <c r="B7418" s="709">
        <v>101366</v>
      </c>
      <c r="C7418" s="710" t="s">
        <v>6251</v>
      </c>
      <c r="D7418" s="709" t="s">
        <v>208</v>
      </c>
      <c r="E7418" s="716">
        <v>44.61</v>
      </c>
      <c r="F7418" s="717">
        <v>0</v>
      </c>
      <c r="G7418">
        <f>VLOOKUP(B7418,'SINAPI-%MO'!B:E,4,0)</f>
        <v>1</v>
      </c>
      <c r="H7418" s="225">
        <f t="shared" si="115"/>
        <v>0</v>
      </c>
    </row>
    <row r="7419" spans="1:8" x14ac:dyDescent="0.3">
      <c r="A7419" s="400"/>
      <c r="B7419" s="709">
        <v>100535</v>
      </c>
      <c r="C7419" s="710" t="s">
        <v>6252</v>
      </c>
      <c r="D7419" s="709" t="s">
        <v>234</v>
      </c>
      <c r="E7419" s="716">
        <v>0.6</v>
      </c>
      <c r="F7419" s="717">
        <v>0</v>
      </c>
      <c r="G7419">
        <f>VLOOKUP(B7419,'SINAPI-%MO'!B:E,4,0)</f>
        <v>1</v>
      </c>
      <c r="H7419" s="225">
        <f t="shared" si="115"/>
        <v>0</v>
      </c>
    </row>
    <row r="7420" spans="1:8" x14ac:dyDescent="0.3">
      <c r="A7420" s="400"/>
      <c r="B7420" s="709">
        <v>100536</v>
      </c>
      <c r="C7420" s="710" t="s">
        <v>6253</v>
      </c>
      <c r="D7420" s="709" t="s">
        <v>208</v>
      </c>
      <c r="E7420" s="716">
        <v>79.44</v>
      </c>
      <c r="F7420" s="717">
        <v>0</v>
      </c>
      <c r="G7420">
        <f>VLOOKUP(B7420,'SINAPI-%MO'!B:E,4,0)</f>
        <v>1</v>
      </c>
      <c r="H7420" s="225">
        <f t="shared" si="115"/>
        <v>0</v>
      </c>
    </row>
    <row r="7421" spans="1:8" x14ac:dyDescent="0.3">
      <c r="A7421" s="400"/>
      <c r="B7421" s="709">
        <v>101368</v>
      </c>
      <c r="C7421" s="710" t="s">
        <v>6254</v>
      </c>
      <c r="D7421" s="709" t="s">
        <v>208</v>
      </c>
      <c r="E7421" s="716">
        <v>39.56</v>
      </c>
      <c r="F7421" s="717">
        <v>0</v>
      </c>
      <c r="G7421">
        <f>VLOOKUP(B7421,'SINAPI-%MO'!B:E,4,0)</f>
        <v>1</v>
      </c>
      <c r="H7421" s="225">
        <f t="shared" si="115"/>
        <v>0</v>
      </c>
    </row>
    <row r="7422" spans="1:8" x14ac:dyDescent="0.3">
      <c r="A7422" s="400"/>
      <c r="B7422" s="709">
        <v>101369</v>
      </c>
      <c r="C7422" s="710" t="s">
        <v>6255</v>
      </c>
      <c r="D7422" s="709" t="s">
        <v>208</v>
      </c>
      <c r="E7422" s="716">
        <v>61.54</v>
      </c>
      <c r="F7422" s="717">
        <v>0</v>
      </c>
      <c r="G7422">
        <f>VLOOKUP(B7422,'SINAPI-%MO'!B:E,4,0)</f>
        <v>1</v>
      </c>
      <c r="H7422" s="225">
        <f t="shared" si="115"/>
        <v>0</v>
      </c>
    </row>
    <row r="7423" spans="1:8" x14ac:dyDescent="0.3">
      <c r="A7423" s="400"/>
      <c r="B7423" s="709">
        <v>95385</v>
      </c>
      <c r="C7423" s="710" t="s">
        <v>6256</v>
      </c>
      <c r="D7423" s="709" t="s">
        <v>234</v>
      </c>
      <c r="E7423" s="716">
        <v>0.27</v>
      </c>
      <c r="F7423" s="717">
        <v>0</v>
      </c>
      <c r="G7423">
        <f>VLOOKUP(B7423,'SINAPI-%MO'!B:E,4,0)</f>
        <v>1</v>
      </c>
      <c r="H7423" s="225">
        <f t="shared" si="115"/>
        <v>0</v>
      </c>
    </row>
    <row r="7424" spans="1:8" x14ac:dyDescent="0.3">
      <c r="A7424" s="400"/>
      <c r="B7424" s="709">
        <v>101370</v>
      </c>
      <c r="C7424" s="710" t="s">
        <v>6257</v>
      </c>
      <c r="D7424" s="709" t="s">
        <v>208</v>
      </c>
      <c r="E7424" s="716">
        <v>36.159999999999997</v>
      </c>
      <c r="F7424" s="717">
        <v>0</v>
      </c>
      <c r="G7424">
        <f>VLOOKUP(B7424,'SINAPI-%MO'!B:E,4,0)</f>
        <v>1</v>
      </c>
      <c r="H7424" s="225">
        <f t="shared" si="115"/>
        <v>0</v>
      </c>
    </row>
    <row r="7425" spans="1:8" x14ac:dyDescent="0.3">
      <c r="A7425" s="400"/>
      <c r="B7425" s="709">
        <v>95406</v>
      </c>
      <c r="C7425" s="710" t="s">
        <v>6258</v>
      </c>
      <c r="D7425" s="709" t="s">
        <v>234</v>
      </c>
      <c r="E7425" s="716">
        <v>0.35</v>
      </c>
      <c r="F7425" s="717">
        <v>0</v>
      </c>
      <c r="G7425">
        <f>VLOOKUP(B7425,'SINAPI-%MO'!B:E,4,0)</f>
        <v>1</v>
      </c>
      <c r="H7425" s="225">
        <f t="shared" si="115"/>
        <v>0</v>
      </c>
    </row>
    <row r="7426" spans="1:8" x14ac:dyDescent="0.3">
      <c r="A7426" s="400"/>
      <c r="B7426" s="709">
        <v>95424</v>
      </c>
      <c r="C7426" s="710" t="s">
        <v>6259</v>
      </c>
      <c r="D7426" s="709" t="s">
        <v>208</v>
      </c>
      <c r="E7426" s="716">
        <v>46.48</v>
      </c>
      <c r="F7426" s="717">
        <v>0</v>
      </c>
      <c r="G7426">
        <f>VLOOKUP(B7426,'SINAPI-%MO'!B:E,4,0)</f>
        <v>1</v>
      </c>
      <c r="H7426" s="225">
        <f t="shared" si="115"/>
        <v>0</v>
      </c>
    </row>
    <row r="7427" spans="1:8" x14ac:dyDescent="0.3">
      <c r="A7427" s="400"/>
      <c r="B7427" s="709">
        <v>95386</v>
      </c>
      <c r="C7427" s="710" t="s">
        <v>6260</v>
      </c>
      <c r="D7427" s="709" t="s">
        <v>234</v>
      </c>
      <c r="E7427" s="716">
        <v>0.34</v>
      </c>
      <c r="F7427" s="717">
        <v>0</v>
      </c>
      <c r="G7427">
        <f>VLOOKUP(B7427,'SINAPI-%MO'!B:E,4,0)</f>
        <v>1</v>
      </c>
      <c r="H7427" s="225">
        <f t="shared" si="115"/>
        <v>0</v>
      </c>
    </row>
    <row r="7428" spans="1:8" x14ac:dyDescent="0.3">
      <c r="A7428" s="400"/>
      <c r="B7428" s="709">
        <v>95383</v>
      </c>
      <c r="C7428" s="710" t="s">
        <v>6261</v>
      </c>
      <c r="D7428" s="709" t="s">
        <v>234</v>
      </c>
      <c r="E7428" s="716">
        <v>0.28999999999999998</v>
      </c>
      <c r="F7428" s="717">
        <v>0</v>
      </c>
      <c r="G7428">
        <f>VLOOKUP(B7428,'SINAPI-%MO'!B:E,4,0)</f>
        <v>1</v>
      </c>
      <c r="H7428" s="225">
        <f t="shared" si="115"/>
        <v>0</v>
      </c>
    </row>
    <row r="7429" spans="1:8" x14ac:dyDescent="0.3">
      <c r="A7429" s="400"/>
      <c r="B7429" s="709">
        <v>95384</v>
      </c>
      <c r="C7429" s="710" t="s">
        <v>6262</v>
      </c>
      <c r="D7429" s="709" t="s">
        <v>234</v>
      </c>
      <c r="E7429" s="716">
        <v>0.46</v>
      </c>
      <c r="F7429" s="717">
        <v>0</v>
      </c>
      <c r="G7429">
        <f>VLOOKUP(B7429,'SINAPI-%MO'!B:E,4,0)</f>
        <v>1</v>
      </c>
      <c r="H7429" s="225">
        <f t="shared" si="115"/>
        <v>0</v>
      </c>
    </row>
    <row r="7430" spans="1:8" x14ac:dyDescent="0.3">
      <c r="A7430" s="400"/>
      <c r="B7430" s="709">
        <v>100299</v>
      </c>
      <c r="C7430" s="710" t="s">
        <v>6263</v>
      </c>
      <c r="D7430" s="709" t="s">
        <v>234</v>
      </c>
      <c r="E7430" s="716">
        <v>0.74</v>
      </c>
      <c r="F7430" s="717">
        <v>0</v>
      </c>
      <c r="G7430">
        <f>VLOOKUP(B7430,'SINAPI-%MO'!B:E,4,0)</f>
        <v>1</v>
      </c>
      <c r="H7430" s="225">
        <f t="shared" si="115"/>
        <v>0</v>
      </c>
    </row>
    <row r="7431" spans="1:8" x14ac:dyDescent="0.3">
      <c r="A7431" s="400"/>
      <c r="B7431" s="709">
        <v>100315</v>
      </c>
      <c r="C7431" s="710" t="s">
        <v>6264</v>
      </c>
      <c r="D7431" s="709" t="s">
        <v>208</v>
      </c>
      <c r="E7431" s="716">
        <v>98.7</v>
      </c>
      <c r="F7431" s="717">
        <v>0</v>
      </c>
      <c r="G7431">
        <f>VLOOKUP(B7431,'SINAPI-%MO'!B:E,4,0)</f>
        <v>1</v>
      </c>
      <c r="H7431" s="225">
        <f t="shared" si="115"/>
        <v>0</v>
      </c>
    </row>
    <row r="7432" spans="1:8" x14ac:dyDescent="0.3">
      <c r="A7432" s="400"/>
      <c r="B7432" s="709">
        <v>95387</v>
      </c>
      <c r="C7432" s="710" t="s">
        <v>6265</v>
      </c>
      <c r="D7432" s="709" t="s">
        <v>234</v>
      </c>
      <c r="E7432" s="716">
        <v>0.31</v>
      </c>
      <c r="F7432" s="717">
        <v>0</v>
      </c>
      <c r="G7432">
        <f>VLOOKUP(B7432,'SINAPI-%MO'!B:E,4,0)</f>
        <v>1</v>
      </c>
      <c r="H7432" s="225">
        <f t="shared" si="115"/>
        <v>0</v>
      </c>
    </row>
    <row r="7433" spans="1:8" x14ac:dyDescent="0.3">
      <c r="A7433" s="400"/>
      <c r="B7433" s="709">
        <v>101371</v>
      </c>
      <c r="C7433" s="710" t="s">
        <v>6266</v>
      </c>
      <c r="D7433" s="709" t="s">
        <v>208</v>
      </c>
      <c r="E7433" s="716">
        <v>41.12</v>
      </c>
      <c r="F7433" s="717">
        <v>0</v>
      </c>
      <c r="G7433">
        <f>VLOOKUP(B7433,'SINAPI-%MO'!B:E,4,0)</f>
        <v>1</v>
      </c>
      <c r="H7433" s="225">
        <f t="shared" si="115"/>
        <v>0</v>
      </c>
    </row>
    <row r="7434" spans="1:8" x14ac:dyDescent="0.3">
      <c r="A7434" s="400"/>
      <c r="B7434" s="709">
        <v>100288</v>
      </c>
      <c r="C7434" s="710" t="s">
        <v>6267</v>
      </c>
      <c r="D7434" s="709" t="s">
        <v>234</v>
      </c>
      <c r="E7434" s="716">
        <v>0.1</v>
      </c>
      <c r="F7434" s="717">
        <v>0</v>
      </c>
      <c r="G7434">
        <f>VLOOKUP(B7434,'SINAPI-%MO'!B:E,4,0)</f>
        <v>1</v>
      </c>
      <c r="H7434" s="225">
        <f t="shared" si="115"/>
        <v>0</v>
      </c>
    </row>
    <row r="7435" spans="1:8" x14ac:dyDescent="0.3">
      <c r="A7435" s="400"/>
      <c r="B7435" s="709">
        <v>101372</v>
      </c>
      <c r="C7435" s="710" t="s">
        <v>6268</v>
      </c>
      <c r="D7435" s="709" t="s">
        <v>208</v>
      </c>
      <c r="E7435" s="716">
        <v>14.19</v>
      </c>
      <c r="F7435" s="717">
        <v>0</v>
      </c>
      <c r="G7435">
        <f>VLOOKUP(B7435,'SINAPI-%MO'!B:E,4,0)</f>
        <v>1</v>
      </c>
      <c r="H7435" s="225">
        <f t="shared" ref="H7435:H7498" si="116">IF(E7435&gt;0,TRUNC(E7435*(1-G7435),2),"")</f>
        <v>0</v>
      </c>
    </row>
    <row r="7436" spans="1:8" x14ac:dyDescent="0.3">
      <c r="A7436" s="400"/>
      <c r="B7436" s="709">
        <v>90775</v>
      </c>
      <c r="C7436" s="710" t="s">
        <v>6269</v>
      </c>
      <c r="D7436" s="709" t="s">
        <v>234</v>
      </c>
      <c r="E7436" s="716">
        <v>42.93</v>
      </c>
      <c r="F7436" s="717">
        <v>0</v>
      </c>
      <c r="G7436">
        <f>VLOOKUP(B7436,'SINAPI-%MO'!B:E,4,0)</f>
        <v>1</v>
      </c>
      <c r="H7436" s="225">
        <f t="shared" si="116"/>
        <v>0</v>
      </c>
    </row>
    <row r="7437" spans="1:8" x14ac:dyDescent="0.3">
      <c r="A7437" s="400"/>
      <c r="B7437" s="709">
        <v>93561</v>
      </c>
      <c r="C7437" s="710" t="s">
        <v>6269</v>
      </c>
      <c r="D7437" s="709" t="s">
        <v>208</v>
      </c>
      <c r="E7437" s="716">
        <v>7468.16</v>
      </c>
      <c r="F7437" s="717">
        <v>0</v>
      </c>
      <c r="G7437">
        <f>VLOOKUP(B7437,'SINAPI-%MO'!B:E,4,0)</f>
        <v>1</v>
      </c>
      <c r="H7437" s="225">
        <f t="shared" si="116"/>
        <v>0</v>
      </c>
    </row>
    <row r="7438" spans="1:8" x14ac:dyDescent="0.3">
      <c r="A7438" s="400"/>
      <c r="B7438" s="709">
        <v>88264</v>
      </c>
      <c r="C7438" s="710" t="s">
        <v>6270</v>
      </c>
      <c r="D7438" s="709" t="s">
        <v>234</v>
      </c>
      <c r="E7438" s="716">
        <v>31.99</v>
      </c>
      <c r="F7438" s="717">
        <v>0</v>
      </c>
      <c r="G7438">
        <f>VLOOKUP(B7438,'SINAPI-%MO'!B:E,4,0)</f>
        <v>1</v>
      </c>
      <c r="H7438" s="225">
        <f t="shared" si="116"/>
        <v>0</v>
      </c>
    </row>
    <row r="7439" spans="1:8" x14ac:dyDescent="0.3">
      <c r="A7439" s="400"/>
      <c r="B7439" s="709">
        <v>101399</v>
      </c>
      <c r="C7439" s="710" t="s">
        <v>6270</v>
      </c>
      <c r="D7439" s="709" t="s">
        <v>208</v>
      </c>
      <c r="E7439" s="716">
        <v>5405.97</v>
      </c>
      <c r="F7439" s="717">
        <v>0</v>
      </c>
      <c r="G7439">
        <f>VLOOKUP(B7439,'SINAPI-%MO'!B:E,4,0)</f>
        <v>1</v>
      </c>
      <c r="H7439" s="225">
        <f t="shared" si="116"/>
        <v>0</v>
      </c>
    </row>
    <row r="7440" spans="1:8" x14ac:dyDescent="0.3">
      <c r="A7440" s="400"/>
      <c r="B7440" s="709">
        <v>88266</v>
      </c>
      <c r="C7440" s="710" t="s">
        <v>6271</v>
      </c>
      <c r="D7440" s="709" t="s">
        <v>234</v>
      </c>
      <c r="E7440" s="716">
        <v>38.479999999999997</v>
      </c>
      <c r="F7440" s="717">
        <v>0</v>
      </c>
      <c r="G7440">
        <f>VLOOKUP(B7440,'SINAPI-%MO'!B:E,4,0)</f>
        <v>1</v>
      </c>
      <c r="H7440" s="225">
        <f t="shared" si="116"/>
        <v>0</v>
      </c>
    </row>
    <row r="7441" spans="1:8" x14ac:dyDescent="0.3">
      <c r="A7441" s="400"/>
      <c r="B7441" s="709">
        <v>101401</v>
      </c>
      <c r="C7441" s="710" t="s">
        <v>6271</v>
      </c>
      <c r="D7441" s="709" t="s">
        <v>208</v>
      </c>
      <c r="E7441" s="716">
        <v>6541.23</v>
      </c>
      <c r="F7441" s="717">
        <v>0</v>
      </c>
      <c r="G7441">
        <f>VLOOKUP(B7441,'SINAPI-%MO'!B:E,4,0)</f>
        <v>1</v>
      </c>
      <c r="H7441" s="225">
        <f t="shared" si="116"/>
        <v>0</v>
      </c>
    </row>
    <row r="7442" spans="1:8" x14ac:dyDescent="0.3">
      <c r="A7442" s="400"/>
      <c r="B7442" s="709">
        <v>88267</v>
      </c>
      <c r="C7442" s="710" t="s">
        <v>6272</v>
      </c>
      <c r="D7442" s="709" t="s">
        <v>234</v>
      </c>
      <c r="E7442" s="716">
        <v>30.73</v>
      </c>
      <c r="F7442" s="717">
        <v>0</v>
      </c>
      <c r="G7442">
        <f>VLOOKUP(B7442,'SINAPI-%MO'!B:E,4,0)</f>
        <v>1</v>
      </c>
      <c r="H7442" s="225">
        <f t="shared" si="116"/>
        <v>0</v>
      </c>
    </row>
    <row r="7443" spans="1:8" x14ac:dyDescent="0.3">
      <c r="A7443" s="400"/>
      <c r="B7443" s="709">
        <v>101402</v>
      </c>
      <c r="C7443" s="710" t="s">
        <v>6272</v>
      </c>
      <c r="D7443" s="709" t="s">
        <v>208</v>
      </c>
      <c r="E7443" s="716">
        <v>5273.1</v>
      </c>
      <c r="F7443" s="717">
        <v>0</v>
      </c>
      <c r="G7443">
        <f>VLOOKUP(B7443,'SINAPI-%MO'!B:E,4,0)</f>
        <v>1</v>
      </c>
      <c r="H7443" s="225">
        <f t="shared" si="116"/>
        <v>0</v>
      </c>
    </row>
    <row r="7444" spans="1:8" x14ac:dyDescent="0.3">
      <c r="A7444" s="400"/>
      <c r="B7444" s="709">
        <v>90776</v>
      </c>
      <c r="C7444" s="710" t="s">
        <v>6273</v>
      </c>
      <c r="D7444" s="709" t="s">
        <v>234</v>
      </c>
      <c r="E7444" s="716">
        <v>78.069999999999993</v>
      </c>
      <c r="F7444" s="717">
        <v>0</v>
      </c>
      <c r="G7444">
        <f>VLOOKUP(B7444,'SINAPI-%MO'!B:E,4,0)</f>
        <v>1</v>
      </c>
      <c r="H7444" s="225">
        <f t="shared" si="116"/>
        <v>0</v>
      </c>
    </row>
    <row r="7445" spans="1:8" x14ac:dyDescent="0.3">
      <c r="A7445" s="400"/>
      <c r="B7445" s="709">
        <v>93572</v>
      </c>
      <c r="C7445" s="710" t="s">
        <v>6274</v>
      </c>
      <c r="D7445" s="709" t="s">
        <v>208</v>
      </c>
      <c r="E7445" s="716">
        <v>13407.94</v>
      </c>
      <c r="F7445" s="717">
        <v>0</v>
      </c>
      <c r="G7445">
        <f>VLOOKUP(B7445,'SINAPI-%MO'!B:E,4,0)</f>
        <v>1</v>
      </c>
      <c r="H7445" s="225">
        <f t="shared" si="116"/>
        <v>0</v>
      </c>
    </row>
    <row r="7446" spans="1:8" x14ac:dyDescent="0.3">
      <c r="A7446" s="400"/>
      <c r="B7446" s="709">
        <v>90777</v>
      </c>
      <c r="C7446" s="710" t="s">
        <v>6275</v>
      </c>
      <c r="D7446" s="709" t="s">
        <v>234</v>
      </c>
      <c r="E7446" s="716">
        <v>139.01</v>
      </c>
      <c r="F7446" s="717">
        <v>0</v>
      </c>
      <c r="G7446">
        <f>VLOOKUP(B7446,'SINAPI-%MO'!B:E,4,0)</f>
        <v>1</v>
      </c>
      <c r="H7446" s="225">
        <f t="shared" si="116"/>
        <v>0</v>
      </c>
    </row>
    <row r="7447" spans="1:8" x14ac:dyDescent="0.3">
      <c r="A7447" s="400"/>
      <c r="B7447" s="709">
        <v>93565</v>
      </c>
      <c r="C7447" s="710" t="s">
        <v>6275</v>
      </c>
      <c r="D7447" s="709" t="s">
        <v>208</v>
      </c>
      <c r="E7447" s="716">
        <v>24049.17</v>
      </c>
      <c r="F7447" s="717">
        <v>0</v>
      </c>
      <c r="G7447">
        <f>VLOOKUP(B7447,'SINAPI-%MO'!B:E,4,0)</f>
        <v>1</v>
      </c>
      <c r="H7447" s="225">
        <f t="shared" si="116"/>
        <v>0</v>
      </c>
    </row>
    <row r="7448" spans="1:8" x14ac:dyDescent="0.3">
      <c r="A7448" s="400"/>
      <c r="B7448" s="709">
        <v>90778</v>
      </c>
      <c r="C7448" s="710" t="s">
        <v>6276</v>
      </c>
      <c r="D7448" s="709" t="s">
        <v>234</v>
      </c>
      <c r="E7448" s="716">
        <v>146.28</v>
      </c>
      <c r="F7448" s="717">
        <v>0</v>
      </c>
      <c r="G7448">
        <f>VLOOKUP(B7448,'SINAPI-%MO'!B:E,4,0)</f>
        <v>1</v>
      </c>
      <c r="H7448" s="225">
        <f t="shared" si="116"/>
        <v>0</v>
      </c>
    </row>
    <row r="7449" spans="1:8" x14ac:dyDescent="0.3">
      <c r="A7449" s="400"/>
      <c r="B7449" s="709">
        <v>93567</v>
      </c>
      <c r="C7449" s="710" t="s">
        <v>6276</v>
      </c>
      <c r="D7449" s="709" t="s">
        <v>208</v>
      </c>
      <c r="E7449" s="716">
        <v>25310.16</v>
      </c>
      <c r="F7449" s="717">
        <v>0</v>
      </c>
      <c r="G7449">
        <f>VLOOKUP(B7449,'SINAPI-%MO'!B:E,4,0)</f>
        <v>1</v>
      </c>
      <c r="H7449" s="225">
        <f t="shared" si="116"/>
        <v>0</v>
      </c>
    </row>
    <row r="7450" spans="1:8" x14ac:dyDescent="0.3">
      <c r="A7450" s="400"/>
      <c r="B7450" s="709">
        <v>90779</v>
      </c>
      <c r="C7450" s="710" t="s">
        <v>6277</v>
      </c>
      <c r="D7450" s="709" t="s">
        <v>234</v>
      </c>
      <c r="E7450" s="716">
        <v>160.57</v>
      </c>
      <c r="F7450" s="717">
        <v>0</v>
      </c>
      <c r="G7450">
        <f>VLOOKUP(B7450,'SINAPI-%MO'!B:E,4,0)</f>
        <v>1</v>
      </c>
      <c r="H7450" s="225">
        <f t="shared" si="116"/>
        <v>0</v>
      </c>
    </row>
    <row r="7451" spans="1:8" x14ac:dyDescent="0.3">
      <c r="A7451" s="400"/>
      <c r="B7451" s="709">
        <v>93568</v>
      </c>
      <c r="C7451" s="710" t="s">
        <v>6277</v>
      </c>
      <c r="D7451" s="709" t="s">
        <v>208</v>
      </c>
      <c r="E7451" s="716">
        <v>27783.03</v>
      </c>
      <c r="F7451" s="717">
        <v>0</v>
      </c>
      <c r="G7451">
        <f>VLOOKUP(B7451,'SINAPI-%MO'!B:E,4,0)</f>
        <v>1</v>
      </c>
      <c r="H7451" s="225">
        <f t="shared" si="116"/>
        <v>0</v>
      </c>
    </row>
    <row r="7452" spans="1:8" x14ac:dyDescent="0.3">
      <c r="A7452" s="400"/>
      <c r="B7452" s="709">
        <v>88269</v>
      </c>
      <c r="C7452" s="710" t="s">
        <v>6278</v>
      </c>
      <c r="D7452" s="709" t="s">
        <v>234</v>
      </c>
      <c r="E7452" s="716">
        <v>30.88</v>
      </c>
      <c r="F7452" s="717">
        <v>0</v>
      </c>
      <c r="G7452">
        <f>VLOOKUP(B7452,'SINAPI-%MO'!B:E,4,0)</f>
        <v>1</v>
      </c>
      <c r="H7452" s="225">
        <f t="shared" si="116"/>
        <v>0</v>
      </c>
    </row>
    <row r="7453" spans="1:8" x14ac:dyDescent="0.3">
      <c r="A7453" s="400"/>
      <c r="B7453" s="709">
        <v>101407</v>
      </c>
      <c r="C7453" s="710" t="s">
        <v>6278</v>
      </c>
      <c r="D7453" s="709" t="s">
        <v>208</v>
      </c>
      <c r="E7453" s="716">
        <v>5322.08</v>
      </c>
      <c r="F7453" s="717">
        <v>0</v>
      </c>
      <c r="G7453">
        <f>VLOOKUP(B7453,'SINAPI-%MO'!B:E,4,0)</f>
        <v>1</v>
      </c>
      <c r="H7453" s="225">
        <f t="shared" si="116"/>
        <v>0</v>
      </c>
    </row>
    <row r="7454" spans="1:8" x14ac:dyDescent="0.3">
      <c r="A7454" s="400"/>
      <c r="B7454" s="709">
        <v>88270</v>
      </c>
      <c r="C7454" s="710" t="s">
        <v>6279</v>
      </c>
      <c r="D7454" s="709" t="s">
        <v>234</v>
      </c>
      <c r="E7454" s="716">
        <v>32.78</v>
      </c>
      <c r="F7454" s="717">
        <v>0</v>
      </c>
      <c r="G7454">
        <f>VLOOKUP(B7454,'SINAPI-%MO'!B:E,4,0)</f>
        <v>1</v>
      </c>
      <c r="H7454" s="225">
        <f t="shared" si="116"/>
        <v>0</v>
      </c>
    </row>
    <row r="7455" spans="1:8" x14ac:dyDescent="0.3">
      <c r="A7455" s="400"/>
      <c r="B7455" s="709">
        <v>101408</v>
      </c>
      <c r="C7455" s="710" t="s">
        <v>6279</v>
      </c>
      <c r="D7455" s="709" t="s">
        <v>208</v>
      </c>
      <c r="E7455" s="716">
        <v>5611.31</v>
      </c>
      <c r="F7455" s="717">
        <v>0</v>
      </c>
      <c r="G7455">
        <f>VLOOKUP(B7455,'SINAPI-%MO'!B:E,4,0)</f>
        <v>1</v>
      </c>
      <c r="H7455" s="225">
        <f t="shared" si="116"/>
        <v>0</v>
      </c>
    </row>
    <row r="7456" spans="1:8" x14ac:dyDescent="0.3">
      <c r="A7456" s="400"/>
      <c r="B7456" s="709">
        <v>102919</v>
      </c>
      <c r="C7456" s="710" t="s">
        <v>6280</v>
      </c>
      <c r="D7456" s="709" t="s">
        <v>234</v>
      </c>
      <c r="E7456" s="716">
        <v>0</v>
      </c>
      <c r="F7456" s="717"/>
      <c r="G7456" t="e">
        <f>VLOOKUP(B7456,'SINAPI-%MO'!B:E,4,0)</f>
        <v>#N/A</v>
      </c>
      <c r="H7456" s="225" t="str">
        <f t="shared" si="116"/>
        <v/>
      </c>
    </row>
    <row r="7457" spans="1:8" x14ac:dyDescent="0.3">
      <c r="A7457" s="400"/>
      <c r="B7457" s="709">
        <v>101409</v>
      </c>
      <c r="C7457" s="710" t="s">
        <v>6281</v>
      </c>
      <c r="D7457" s="709" t="s">
        <v>208</v>
      </c>
      <c r="E7457" s="716">
        <v>6850.16</v>
      </c>
      <c r="F7457" s="717">
        <v>0</v>
      </c>
      <c r="G7457">
        <f>VLOOKUP(B7457,'SINAPI-%MO'!B:E,4,0)</f>
        <v>1</v>
      </c>
      <c r="H7457" s="225">
        <f t="shared" si="116"/>
        <v>0</v>
      </c>
    </row>
    <row r="7458" spans="1:8" x14ac:dyDescent="0.3">
      <c r="A7458" s="400"/>
      <c r="B7458" s="709">
        <v>88441</v>
      </c>
      <c r="C7458" s="710" t="s">
        <v>6282</v>
      </c>
      <c r="D7458" s="709" t="s">
        <v>234</v>
      </c>
      <c r="E7458" s="716">
        <v>26.93</v>
      </c>
      <c r="F7458" s="717">
        <v>0</v>
      </c>
      <c r="G7458">
        <f>VLOOKUP(B7458,'SINAPI-%MO'!B:E,4,0)</f>
        <v>1</v>
      </c>
      <c r="H7458" s="225">
        <f t="shared" si="116"/>
        <v>0</v>
      </c>
    </row>
    <row r="7459" spans="1:8" x14ac:dyDescent="0.3">
      <c r="A7459" s="400"/>
      <c r="B7459" s="709">
        <v>101410</v>
      </c>
      <c r="C7459" s="710" t="s">
        <v>6282</v>
      </c>
      <c r="D7459" s="709" t="s">
        <v>208</v>
      </c>
      <c r="E7459" s="716">
        <v>4659.3599999999997</v>
      </c>
      <c r="F7459" s="717">
        <v>0</v>
      </c>
      <c r="G7459">
        <f>VLOOKUP(B7459,'SINAPI-%MO'!B:E,4,0)</f>
        <v>1</v>
      </c>
      <c r="H7459" s="225">
        <f t="shared" si="116"/>
        <v>0</v>
      </c>
    </row>
    <row r="7460" spans="1:8" x14ac:dyDescent="0.3">
      <c r="A7460" s="400"/>
      <c r="B7460" s="709">
        <v>88272</v>
      </c>
      <c r="C7460" s="710" t="s">
        <v>6283</v>
      </c>
      <c r="D7460" s="709" t="s">
        <v>234</v>
      </c>
      <c r="E7460" s="716">
        <v>31.28</v>
      </c>
      <c r="F7460" s="717">
        <v>0</v>
      </c>
      <c r="G7460">
        <f>VLOOKUP(B7460,'SINAPI-%MO'!B:E,4,0)</f>
        <v>1</v>
      </c>
      <c r="H7460" s="225">
        <f t="shared" si="116"/>
        <v>0</v>
      </c>
    </row>
    <row r="7461" spans="1:8" x14ac:dyDescent="0.3">
      <c r="A7461" s="400"/>
      <c r="B7461" s="709">
        <v>88273</v>
      </c>
      <c r="C7461" s="710" t="s">
        <v>6284</v>
      </c>
      <c r="D7461" s="709" t="s">
        <v>234</v>
      </c>
      <c r="E7461" s="716">
        <v>28.74</v>
      </c>
      <c r="F7461" s="717">
        <v>0</v>
      </c>
      <c r="G7461">
        <f>VLOOKUP(B7461,'SINAPI-%MO'!B:E,4,0)</f>
        <v>1</v>
      </c>
      <c r="H7461" s="225">
        <f t="shared" si="116"/>
        <v>0</v>
      </c>
    </row>
    <row r="7462" spans="1:8" x14ac:dyDescent="0.3">
      <c r="A7462" s="400"/>
      <c r="B7462" s="709">
        <v>101413</v>
      </c>
      <c r="C7462" s="710" t="s">
        <v>6284</v>
      </c>
      <c r="D7462" s="709" t="s">
        <v>208</v>
      </c>
      <c r="E7462" s="716">
        <v>4940.87</v>
      </c>
      <c r="F7462" s="717">
        <v>0</v>
      </c>
      <c r="G7462">
        <f>VLOOKUP(B7462,'SINAPI-%MO'!B:E,4,0)</f>
        <v>1</v>
      </c>
      <c r="H7462" s="225">
        <f t="shared" si="116"/>
        <v>0</v>
      </c>
    </row>
    <row r="7463" spans="1:8" x14ac:dyDescent="0.3">
      <c r="A7463" s="400"/>
      <c r="B7463" s="709">
        <v>101414</v>
      </c>
      <c r="C7463" s="710" t="s">
        <v>6285</v>
      </c>
      <c r="D7463" s="709" t="s">
        <v>208</v>
      </c>
      <c r="E7463" s="716">
        <v>5316.46</v>
      </c>
      <c r="F7463" s="717">
        <v>0</v>
      </c>
      <c r="G7463">
        <f>VLOOKUP(B7463,'SINAPI-%MO'!B:E,4,0)</f>
        <v>1</v>
      </c>
      <c r="H7463" s="225">
        <f t="shared" si="116"/>
        <v>0</v>
      </c>
    </row>
    <row r="7464" spans="1:8" x14ac:dyDescent="0.3">
      <c r="A7464" s="400"/>
      <c r="B7464" s="709">
        <v>88274</v>
      </c>
      <c r="C7464" s="710" t="s">
        <v>6286</v>
      </c>
      <c r="D7464" s="709" t="s">
        <v>234</v>
      </c>
      <c r="E7464" s="716">
        <v>30.91</v>
      </c>
      <c r="F7464" s="717">
        <v>0</v>
      </c>
      <c r="G7464">
        <f>VLOOKUP(B7464,'SINAPI-%MO'!B:E,4,0)</f>
        <v>1</v>
      </c>
      <c r="H7464" s="225">
        <f t="shared" si="116"/>
        <v>0</v>
      </c>
    </row>
    <row r="7465" spans="1:8" x14ac:dyDescent="0.3">
      <c r="A7465" s="400"/>
      <c r="B7465" s="709">
        <v>101412</v>
      </c>
      <c r="C7465" s="710" t="s">
        <v>6287</v>
      </c>
      <c r="D7465" s="709" t="s">
        <v>208</v>
      </c>
      <c r="E7465" s="716">
        <v>5358.77</v>
      </c>
      <c r="F7465" s="717">
        <v>0</v>
      </c>
      <c r="G7465">
        <f>VLOOKUP(B7465,'SINAPI-%MO'!B:E,4,0)</f>
        <v>1</v>
      </c>
      <c r="H7465" s="225">
        <f t="shared" si="116"/>
        <v>0</v>
      </c>
    </row>
    <row r="7466" spans="1:8" x14ac:dyDescent="0.3">
      <c r="A7466" s="400"/>
      <c r="B7466" s="709">
        <v>101415</v>
      </c>
      <c r="C7466" s="710" t="s">
        <v>6288</v>
      </c>
      <c r="D7466" s="709" t="s">
        <v>208</v>
      </c>
      <c r="E7466" s="716">
        <v>7621.83</v>
      </c>
      <c r="F7466" s="717">
        <v>0</v>
      </c>
      <c r="G7466">
        <f>VLOOKUP(B7466,'SINAPI-%MO'!B:E,4,0)</f>
        <v>1</v>
      </c>
      <c r="H7466" s="225">
        <f t="shared" si="116"/>
        <v>0</v>
      </c>
    </row>
    <row r="7467" spans="1:8" x14ac:dyDescent="0.3">
      <c r="A7467" s="400"/>
      <c r="B7467" s="709">
        <v>100308</v>
      </c>
      <c r="C7467" s="710" t="s">
        <v>6289</v>
      </c>
      <c r="D7467" s="709" t="s">
        <v>234</v>
      </c>
      <c r="E7467" s="716">
        <v>32.97</v>
      </c>
      <c r="F7467" s="717">
        <v>0</v>
      </c>
      <c r="G7467">
        <f>VLOOKUP(B7467,'SINAPI-%MO'!B:E,4,0)</f>
        <v>1</v>
      </c>
      <c r="H7467" s="225">
        <f t="shared" si="116"/>
        <v>0</v>
      </c>
    </row>
    <row r="7468" spans="1:8" x14ac:dyDescent="0.3">
      <c r="A7468" s="400"/>
      <c r="B7468" s="709">
        <v>101416</v>
      </c>
      <c r="C7468" s="710" t="s">
        <v>6289</v>
      </c>
      <c r="D7468" s="709" t="s">
        <v>208</v>
      </c>
      <c r="E7468" s="716">
        <v>5617.41</v>
      </c>
      <c r="F7468" s="717">
        <v>0</v>
      </c>
      <c r="G7468">
        <f>VLOOKUP(B7468,'SINAPI-%MO'!B:E,4,0)</f>
        <v>1</v>
      </c>
      <c r="H7468" s="225">
        <f t="shared" si="116"/>
        <v>0</v>
      </c>
    </row>
    <row r="7469" spans="1:8" x14ac:dyDescent="0.3">
      <c r="A7469" s="400"/>
      <c r="B7469" s="709">
        <v>88275</v>
      </c>
      <c r="C7469" s="710" t="s">
        <v>6290</v>
      </c>
      <c r="D7469" s="709" t="s">
        <v>234</v>
      </c>
      <c r="E7469" s="716">
        <v>43.94</v>
      </c>
      <c r="F7469" s="717">
        <v>0</v>
      </c>
      <c r="G7469">
        <f>VLOOKUP(B7469,'SINAPI-%MO'!B:E,4,0)</f>
        <v>1</v>
      </c>
      <c r="H7469" s="225">
        <f t="shared" si="116"/>
        <v>0</v>
      </c>
    </row>
    <row r="7470" spans="1:8" x14ac:dyDescent="0.3">
      <c r="A7470" s="400"/>
      <c r="B7470" s="709">
        <v>90780</v>
      </c>
      <c r="C7470" s="710" t="s">
        <v>6291</v>
      </c>
      <c r="D7470" s="709" t="s">
        <v>234</v>
      </c>
      <c r="E7470" s="716">
        <v>126.87</v>
      </c>
      <c r="F7470" s="717">
        <v>0</v>
      </c>
      <c r="G7470">
        <f>VLOOKUP(B7470,'SINAPI-%MO'!B:E,4,0)</f>
        <v>1</v>
      </c>
      <c r="H7470" s="225">
        <f t="shared" si="116"/>
        <v>0</v>
      </c>
    </row>
    <row r="7471" spans="1:8" x14ac:dyDescent="0.3">
      <c r="A7471" s="400"/>
      <c r="B7471" s="709">
        <v>94295</v>
      </c>
      <c r="C7471" s="710" t="s">
        <v>6291</v>
      </c>
      <c r="D7471" s="709" t="s">
        <v>208</v>
      </c>
      <c r="E7471" s="716">
        <v>21804.16</v>
      </c>
      <c r="F7471" s="717">
        <v>0</v>
      </c>
      <c r="G7471">
        <f>VLOOKUP(B7471,'SINAPI-%MO'!B:E,4,0)</f>
        <v>1</v>
      </c>
      <c r="H7471" s="225">
        <f t="shared" si="116"/>
        <v>0</v>
      </c>
    </row>
    <row r="7472" spans="1:8" x14ac:dyDescent="0.3">
      <c r="A7472" s="400"/>
      <c r="B7472" s="709">
        <v>88277</v>
      </c>
      <c r="C7472" s="710" t="s">
        <v>6292</v>
      </c>
      <c r="D7472" s="709" t="s">
        <v>234</v>
      </c>
      <c r="E7472" s="716">
        <v>39.71</v>
      </c>
      <c r="F7472" s="717">
        <v>0</v>
      </c>
      <c r="G7472">
        <f>VLOOKUP(B7472,'SINAPI-%MO'!B:E,4,0)</f>
        <v>1</v>
      </c>
      <c r="H7472" s="225">
        <f t="shared" si="116"/>
        <v>0</v>
      </c>
    </row>
    <row r="7473" spans="1:8" x14ac:dyDescent="0.3">
      <c r="A7473" s="400"/>
      <c r="B7473" s="709">
        <v>100307</v>
      </c>
      <c r="C7473" s="710" t="s">
        <v>6293</v>
      </c>
      <c r="D7473" s="709" t="s">
        <v>234</v>
      </c>
      <c r="E7473" s="716">
        <v>27.99</v>
      </c>
      <c r="F7473" s="717">
        <v>0</v>
      </c>
      <c r="G7473">
        <f>VLOOKUP(B7473,'SINAPI-%MO'!B:E,4,0)</f>
        <v>1</v>
      </c>
      <c r="H7473" s="225">
        <f t="shared" si="116"/>
        <v>0</v>
      </c>
    </row>
    <row r="7474" spans="1:8" x14ac:dyDescent="0.3">
      <c r="A7474" s="400"/>
      <c r="B7474" s="709">
        <v>101417</v>
      </c>
      <c r="C7474" s="710" t="s">
        <v>6293</v>
      </c>
      <c r="D7474" s="709" t="s">
        <v>208</v>
      </c>
      <c r="E7474" s="716">
        <v>4750.82</v>
      </c>
      <c r="F7474" s="717">
        <v>0</v>
      </c>
      <c r="G7474">
        <f>VLOOKUP(B7474,'SINAPI-%MO'!B:E,4,0)</f>
        <v>1</v>
      </c>
      <c r="H7474" s="225">
        <f t="shared" si="116"/>
        <v>0</v>
      </c>
    </row>
    <row r="7475" spans="1:8" x14ac:dyDescent="0.3">
      <c r="A7475" s="400"/>
      <c r="B7475" s="709">
        <v>88278</v>
      </c>
      <c r="C7475" s="710" t="s">
        <v>6294</v>
      </c>
      <c r="D7475" s="709" t="s">
        <v>234</v>
      </c>
      <c r="E7475" s="716">
        <v>29.13</v>
      </c>
      <c r="F7475" s="717">
        <v>0</v>
      </c>
      <c r="G7475">
        <f>VLOOKUP(B7475,'SINAPI-%MO'!B:E,4,0)</f>
        <v>1</v>
      </c>
      <c r="H7475" s="225">
        <f t="shared" si="116"/>
        <v>0</v>
      </c>
    </row>
    <row r="7476" spans="1:8" x14ac:dyDescent="0.3">
      <c r="A7476" s="400"/>
      <c r="B7476" s="709">
        <v>101418</v>
      </c>
      <c r="C7476" s="710" t="s">
        <v>6294</v>
      </c>
      <c r="D7476" s="709" t="s">
        <v>208</v>
      </c>
      <c r="E7476" s="716">
        <v>5025.82</v>
      </c>
      <c r="F7476" s="717">
        <v>0</v>
      </c>
      <c r="G7476">
        <f>VLOOKUP(B7476,'SINAPI-%MO'!B:E,4,0)</f>
        <v>1</v>
      </c>
      <c r="H7476" s="225">
        <f t="shared" si="116"/>
        <v>0</v>
      </c>
    </row>
    <row r="7477" spans="1:8" x14ac:dyDescent="0.3">
      <c r="A7477" s="400"/>
      <c r="B7477" s="709">
        <v>105535</v>
      </c>
      <c r="C7477" s="710" t="s">
        <v>6295</v>
      </c>
      <c r="D7477" s="709" t="s">
        <v>234</v>
      </c>
      <c r="E7477" s="716">
        <v>0</v>
      </c>
      <c r="F7477" s="717"/>
      <c r="G7477" t="e">
        <f>VLOOKUP(B7477,'SINAPI-%MO'!B:E,4,0)</f>
        <v>#N/A</v>
      </c>
      <c r="H7477" s="225" t="str">
        <f t="shared" si="116"/>
        <v/>
      </c>
    </row>
    <row r="7478" spans="1:8" x14ac:dyDescent="0.3">
      <c r="A7478" s="400"/>
      <c r="B7478" s="709">
        <v>101419</v>
      </c>
      <c r="C7478" s="710" t="s">
        <v>6296</v>
      </c>
      <c r="D7478" s="709" t="s">
        <v>208</v>
      </c>
      <c r="E7478" s="716">
        <v>6817.88</v>
      </c>
      <c r="F7478" s="717">
        <v>0</v>
      </c>
      <c r="G7478">
        <f>VLOOKUP(B7478,'SINAPI-%MO'!B:E,4,0)</f>
        <v>1</v>
      </c>
      <c r="H7478" s="225">
        <f t="shared" si="116"/>
        <v>0</v>
      </c>
    </row>
    <row r="7479" spans="1:8" x14ac:dyDescent="0.3">
      <c r="A7479" s="400"/>
      <c r="B7479" s="709">
        <v>88279</v>
      </c>
      <c r="C7479" s="710" t="s">
        <v>6297</v>
      </c>
      <c r="D7479" s="709" t="s">
        <v>234</v>
      </c>
      <c r="E7479" s="716">
        <v>40.11</v>
      </c>
      <c r="F7479" s="717">
        <v>0</v>
      </c>
      <c r="G7479">
        <f>VLOOKUP(B7479,'SINAPI-%MO'!B:E,4,0)</f>
        <v>1</v>
      </c>
      <c r="H7479" s="225">
        <f t="shared" si="116"/>
        <v>0</v>
      </c>
    </row>
    <row r="7480" spans="1:8" x14ac:dyDescent="0.3">
      <c r="A7480" s="400"/>
      <c r="B7480" s="709">
        <v>88281</v>
      </c>
      <c r="C7480" s="710" t="s">
        <v>6298</v>
      </c>
      <c r="D7480" s="709" t="s">
        <v>234</v>
      </c>
      <c r="E7480" s="716">
        <v>29.15</v>
      </c>
      <c r="F7480" s="717">
        <v>0</v>
      </c>
      <c r="G7480">
        <f>VLOOKUP(B7480,'SINAPI-%MO'!B:E,4,0)</f>
        <v>1</v>
      </c>
      <c r="H7480" s="225">
        <f t="shared" si="116"/>
        <v>0</v>
      </c>
    </row>
    <row r="7481" spans="1:8" x14ac:dyDescent="0.3">
      <c r="A7481" s="400"/>
      <c r="B7481" s="709">
        <v>93558</v>
      </c>
      <c r="C7481" s="710" t="s">
        <v>6299</v>
      </c>
      <c r="D7481" s="709" t="s">
        <v>208</v>
      </c>
      <c r="E7481" s="716">
        <v>4898.8</v>
      </c>
      <c r="F7481" s="717">
        <v>0</v>
      </c>
      <c r="G7481">
        <f>VLOOKUP(B7481,'SINAPI-%MO'!B:E,4,0)</f>
        <v>1</v>
      </c>
      <c r="H7481" s="225">
        <f t="shared" si="116"/>
        <v>0</v>
      </c>
    </row>
    <row r="7482" spans="1:8" x14ac:dyDescent="0.3">
      <c r="A7482" s="400"/>
      <c r="B7482" s="709">
        <v>101420</v>
      </c>
      <c r="C7482" s="710" t="s">
        <v>6300</v>
      </c>
      <c r="D7482" s="709" t="s">
        <v>208</v>
      </c>
      <c r="E7482" s="716">
        <v>5055.7700000000004</v>
      </c>
      <c r="F7482" s="717">
        <v>0</v>
      </c>
      <c r="G7482">
        <f>VLOOKUP(B7482,'SINAPI-%MO'!B:E,4,0)</f>
        <v>1</v>
      </c>
      <c r="H7482" s="225">
        <f t="shared" si="116"/>
        <v>0</v>
      </c>
    </row>
    <row r="7483" spans="1:8" x14ac:dyDescent="0.3">
      <c r="A7483" s="400"/>
      <c r="B7483" s="709">
        <v>101421</v>
      </c>
      <c r="C7483" s="710" t="s">
        <v>6301</v>
      </c>
      <c r="D7483" s="709" t="s">
        <v>208</v>
      </c>
      <c r="E7483" s="716">
        <v>5875</v>
      </c>
      <c r="F7483" s="717">
        <v>0</v>
      </c>
      <c r="G7483">
        <f>VLOOKUP(B7483,'SINAPI-%MO'!B:E,4,0)</f>
        <v>1</v>
      </c>
      <c r="H7483" s="225">
        <f t="shared" si="116"/>
        <v>0</v>
      </c>
    </row>
    <row r="7484" spans="1:8" x14ac:dyDescent="0.3">
      <c r="A7484" s="400"/>
      <c r="B7484" s="709">
        <v>88282</v>
      </c>
      <c r="C7484" s="710" t="s">
        <v>6302</v>
      </c>
      <c r="D7484" s="709" t="s">
        <v>234</v>
      </c>
      <c r="E7484" s="716">
        <v>28.25</v>
      </c>
      <c r="F7484" s="717">
        <v>0</v>
      </c>
      <c r="G7484">
        <f>VLOOKUP(B7484,'SINAPI-%MO'!B:E,4,0)</f>
        <v>1</v>
      </c>
      <c r="H7484" s="225">
        <f t="shared" si="116"/>
        <v>0</v>
      </c>
    </row>
    <row r="7485" spans="1:8" x14ac:dyDescent="0.3">
      <c r="A7485" s="400"/>
      <c r="B7485" s="709">
        <v>88283</v>
      </c>
      <c r="C7485" s="710" t="s">
        <v>6303</v>
      </c>
      <c r="D7485" s="709" t="s">
        <v>234</v>
      </c>
      <c r="E7485" s="716">
        <v>33.83</v>
      </c>
      <c r="F7485" s="717">
        <v>0</v>
      </c>
      <c r="G7485">
        <f>VLOOKUP(B7485,'SINAPI-%MO'!B:E,4,0)</f>
        <v>1</v>
      </c>
      <c r="H7485" s="225">
        <f t="shared" si="116"/>
        <v>0</v>
      </c>
    </row>
    <row r="7486" spans="1:8" x14ac:dyDescent="0.3">
      <c r="A7486" s="400"/>
      <c r="B7486" s="709">
        <v>101422</v>
      </c>
      <c r="C7486" s="710" t="s">
        <v>6304</v>
      </c>
      <c r="D7486" s="709" t="s">
        <v>208</v>
      </c>
      <c r="E7486" s="716">
        <v>4451.17</v>
      </c>
      <c r="F7486" s="717">
        <v>0</v>
      </c>
      <c r="G7486">
        <f>VLOOKUP(B7486,'SINAPI-%MO'!B:E,4,0)</f>
        <v>1</v>
      </c>
      <c r="H7486" s="225">
        <f t="shared" si="116"/>
        <v>0</v>
      </c>
    </row>
    <row r="7487" spans="1:8" x14ac:dyDescent="0.3">
      <c r="A7487" s="400"/>
      <c r="B7487" s="709">
        <v>88284</v>
      </c>
      <c r="C7487" s="710" t="s">
        <v>6305</v>
      </c>
      <c r="D7487" s="709" t="s">
        <v>234</v>
      </c>
      <c r="E7487" s="716">
        <v>25.68</v>
      </c>
      <c r="F7487" s="717">
        <v>0</v>
      </c>
      <c r="G7487">
        <f>VLOOKUP(B7487,'SINAPI-%MO'!B:E,4,0)</f>
        <v>1</v>
      </c>
      <c r="H7487" s="225">
        <f t="shared" si="116"/>
        <v>0</v>
      </c>
    </row>
    <row r="7488" spans="1:8" x14ac:dyDescent="0.3">
      <c r="A7488" s="400"/>
      <c r="B7488" s="709">
        <v>101424</v>
      </c>
      <c r="C7488" s="710" t="s">
        <v>6306</v>
      </c>
      <c r="D7488" s="709" t="s">
        <v>208</v>
      </c>
      <c r="E7488" s="716">
        <v>5726.55</v>
      </c>
      <c r="F7488" s="717">
        <v>0</v>
      </c>
      <c r="G7488">
        <f>VLOOKUP(B7488,'SINAPI-%MO'!B:E,4,0)</f>
        <v>1</v>
      </c>
      <c r="H7488" s="225">
        <f t="shared" si="116"/>
        <v>0</v>
      </c>
    </row>
    <row r="7489" spans="1:8" x14ac:dyDescent="0.3">
      <c r="A7489" s="400"/>
      <c r="B7489" s="709">
        <v>88286</v>
      </c>
      <c r="C7489" s="710" t="s">
        <v>6307</v>
      </c>
      <c r="D7489" s="709" t="s">
        <v>234</v>
      </c>
      <c r="E7489" s="716">
        <v>33.28</v>
      </c>
      <c r="F7489" s="717">
        <v>0</v>
      </c>
      <c r="G7489">
        <f>VLOOKUP(B7489,'SINAPI-%MO'!B:E,4,0)</f>
        <v>1</v>
      </c>
      <c r="H7489" s="225">
        <f t="shared" si="116"/>
        <v>0</v>
      </c>
    </row>
    <row r="7490" spans="1:8" x14ac:dyDescent="0.3">
      <c r="A7490" s="400"/>
      <c r="B7490" s="709">
        <v>88288</v>
      </c>
      <c r="C7490" s="710" t="s">
        <v>6308</v>
      </c>
      <c r="D7490" s="709" t="s">
        <v>234</v>
      </c>
      <c r="E7490" s="716">
        <v>25.63</v>
      </c>
      <c r="F7490" s="717">
        <v>0</v>
      </c>
      <c r="G7490">
        <f>VLOOKUP(B7490,'SINAPI-%MO'!B:E,4,0)</f>
        <v>1</v>
      </c>
      <c r="H7490" s="225">
        <f t="shared" si="116"/>
        <v>0</v>
      </c>
    </row>
    <row r="7491" spans="1:8" x14ac:dyDescent="0.3">
      <c r="A7491" s="400"/>
      <c r="B7491" s="709">
        <v>101425</v>
      </c>
      <c r="C7491" s="710" t="s">
        <v>6308</v>
      </c>
      <c r="D7491" s="709" t="s">
        <v>208</v>
      </c>
      <c r="E7491" s="716">
        <v>4433.53</v>
      </c>
      <c r="F7491" s="717">
        <v>0</v>
      </c>
      <c r="G7491">
        <f>VLOOKUP(B7491,'SINAPI-%MO'!B:E,4,0)</f>
        <v>1</v>
      </c>
      <c r="H7491" s="225">
        <f t="shared" si="116"/>
        <v>0</v>
      </c>
    </row>
    <row r="7492" spans="1:8" x14ac:dyDescent="0.3">
      <c r="A7492" s="400"/>
      <c r="B7492" s="709">
        <v>101426</v>
      </c>
      <c r="C7492" s="710" t="s">
        <v>6309</v>
      </c>
      <c r="D7492" s="709" t="s">
        <v>208</v>
      </c>
      <c r="E7492" s="716">
        <v>6035.91</v>
      </c>
      <c r="F7492" s="717">
        <v>0</v>
      </c>
      <c r="G7492">
        <f>VLOOKUP(B7492,'SINAPI-%MO'!B:E,4,0)</f>
        <v>1</v>
      </c>
      <c r="H7492" s="225">
        <f t="shared" si="116"/>
        <v>0</v>
      </c>
    </row>
    <row r="7493" spans="1:8" x14ac:dyDescent="0.3">
      <c r="A7493" s="400"/>
      <c r="B7493" s="709">
        <v>88291</v>
      </c>
      <c r="C7493" s="710" t="s">
        <v>6310</v>
      </c>
      <c r="D7493" s="709" t="s">
        <v>234</v>
      </c>
      <c r="E7493" s="716">
        <v>36.53</v>
      </c>
      <c r="F7493" s="717">
        <v>0</v>
      </c>
      <c r="G7493">
        <f>VLOOKUP(B7493,'SINAPI-%MO'!B:E,4,0)</f>
        <v>1</v>
      </c>
      <c r="H7493" s="225">
        <f t="shared" si="116"/>
        <v>0</v>
      </c>
    </row>
    <row r="7494" spans="1:8" x14ac:dyDescent="0.3">
      <c r="A7494" s="400"/>
      <c r="B7494" s="709">
        <v>101427</v>
      </c>
      <c r="C7494" s="710" t="s">
        <v>6310</v>
      </c>
      <c r="D7494" s="709" t="s">
        <v>208</v>
      </c>
      <c r="E7494" s="716">
        <v>6332.2</v>
      </c>
      <c r="F7494" s="717">
        <v>0</v>
      </c>
      <c r="G7494">
        <f>VLOOKUP(B7494,'SINAPI-%MO'!B:E,4,0)</f>
        <v>1</v>
      </c>
      <c r="H7494" s="225">
        <f t="shared" si="116"/>
        <v>0</v>
      </c>
    </row>
    <row r="7495" spans="1:8" x14ac:dyDescent="0.3">
      <c r="A7495" s="400"/>
      <c r="B7495" s="709">
        <v>101428</v>
      </c>
      <c r="C7495" s="710" t="s">
        <v>6311</v>
      </c>
      <c r="D7495" s="709" t="s">
        <v>208</v>
      </c>
      <c r="E7495" s="716">
        <v>5392.99</v>
      </c>
      <c r="F7495" s="717">
        <v>0</v>
      </c>
      <c r="G7495">
        <f>VLOOKUP(B7495,'SINAPI-%MO'!B:E,4,0)</f>
        <v>1</v>
      </c>
      <c r="H7495" s="225">
        <f t="shared" si="116"/>
        <v>0</v>
      </c>
    </row>
    <row r="7496" spans="1:8" x14ac:dyDescent="0.3">
      <c r="A7496" s="400"/>
      <c r="B7496" s="709">
        <v>88377</v>
      </c>
      <c r="C7496" s="710" t="s">
        <v>6312</v>
      </c>
      <c r="D7496" s="709" t="s">
        <v>234</v>
      </c>
      <c r="E7496" s="716">
        <v>31.15</v>
      </c>
      <c r="F7496" s="717">
        <v>0</v>
      </c>
      <c r="G7496">
        <f>VLOOKUP(B7496,'SINAPI-%MO'!B:E,4,0)</f>
        <v>1</v>
      </c>
      <c r="H7496" s="225">
        <f t="shared" si="116"/>
        <v>0</v>
      </c>
    </row>
    <row r="7497" spans="1:8" x14ac:dyDescent="0.3">
      <c r="A7497" s="400"/>
      <c r="B7497" s="709">
        <v>101429</v>
      </c>
      <c r="C7497" s="710" t="s">
        <v>6313</v>
      </c>
      <c r="D7497" s="709" t="s">
        <v>208</v>
      </c>
      <c r="E7497" s="716">
        <v>4266.83</v>
      </c>
      <c r="F7497" s="717">
        <v>0</v>
      </c>
      <c r="G7497">
        <f>VLOOKUP(B7497,'SINAPI-%MO'!B:E,4,0)</f>
        <v>1</v>
      </c>
      <c r="H7497" s="225">
        <f t="shared" si="116"/>
        <v>0</v>
      </c>
    </row>
    <row r="7498" spans="1:8" x14ac:dyDescent="0.3">
      <c r="A7498" s="400"/>
      <c r="B7498" s="709">
        <v>88292</v>
      </c>
      <c r="C7498" s="710" t="s">
        <v>6314</v>
      </c>
      <c r="D7498" s="709" t="s">
        <v>234</v>
      </c>
      <c r="E7498" s="716">
        <v>24.69</v>
      </c>
      <c r="F7498" s="717">
        <v>0</v>
      </c>
      <c r="G7498">
        <f>VLOOKUP(B7498,'SINAPI-%MO'!B:E,4,0)</f>
        <v>1</v>
      </c>
      <c r="H7498" s="225">
        <f t="shared" si="116"/>
        <v>0</v>
      </c>
    </row>
    <row r="7499" spans="1:8" x14ac:dyDescent="0.3">
      <c r="A7499" s="400"/>
      <c r="B7499" s="709">
        <v>88293</v>
      </c>
      <c r="C7499" s="710" t="s">
        <v>6315</v>
      </c>
      <c r="D7499" s="709" t="s">
        <v>234</v>
      </c>
      <c r="E7499" s="716">
        <v>36.53</v>
      </c>
      <c r="F7499" s="717">
        <v>0</v>
      </c>
      <c r="G7499">
        <f>VLOOKUP(B7499,'SINAPI-%MO'!B:E,4,0)</f>
        <v>1</v>
      </c>
      <c r="H7499" s="225">
        <f t="shared" ref="H7499:H7562" si="117">IF(E7499&gt;0,TRUNC(E7499*(1-G7499),2),"")</f>
        <v>0</v>
      </c>
    </row>
    <row r="7500" spans="1:8" x14ac:dyDescent="0.3">
      <c r="A7500" s="400"/>
      <c r="B7500" s="709">
        <v>101430</v>
      </c>
      <c r="C7500" s="710" t="s">
        <v>6316</v>
      </c>
      <c r="D7500" s="709" t="s">
        <v>208</v>
      </c>
      <c r="E7500" s="716">
        <v>6332.2</v>
      </c>
      <c r="F7500" s="717">
        <v>0</v>
      </c>
      <c r="G7500">
        <f>VLOOKUP(B7500,'SINAPI-%MO'!B:E,4,0)</f>
        <v>1</v>
      </c>
      <c r="H7500" s="225">
        <f t="shared" si="117"/>
        <v>0</v>
      </c>
    </row>
    <row r="7501" spans="1:8" x14ac:dyDescent="0.3">
      <c r="A7501" s="400"/>
      <c r="B7501" s="709">
        <v>88294</v>
      </c>
      <c r="C7501" s="710" t="s">
        <v>6317</v>
      </c>
      <c r="D7501" s="709" t="s">
        <v>234</v>
      </c>
      <c r="E7501" s="716">
        <v>33.630000000000003</v>
      </c>
      <c r="F7501" s="717">
        <v>0</v>
      </c>
      <c r="G7501">
        <f>VLOOKUP(B7501,'SINAPI-%MO'!B:E,4,0)</f>
        <v>1</v>
      </c>
      <c r="H7501" s="225">
        <f t="shared" si="117"/>
        <v>0</v>
      </c>
    </row>
    <row r="7502" spans="1:8" x14ac:dyDescent="0.3">
      <c r="A7502" s="400"/>
      <c r="B7502" s="709">
        <v>101431</v>
      </c>
      <c r="C7502" s="710" t="s">
        <v>6317</v>
      </c>
      <c r="D7502" s="709" t="s">
        <v>208</v>
      </c>
      <c r="E7502" s="716">
        <v>5807.55</v>
      </c>
      <c r="F7502" s="717">
        <v>0</v>
      </c>
      <c r="G7502">
        <f>VLOOKUP(B7502,'SINAPI-%MO'!B:E,4,0)</f>
        <v>1</v>
      </c>
      <c r="H7502" s="225">
        <f t="shared" si="117"/>
        <v>0</v>
      </c>
    </row>
    <row r="7503" spans="1:8" x14ac:dyDescent="0.3">
      <c r="A7503" s="400"/>
      <c r="B7503" s="709">
        <v>88295</v>
      </c>
      <c r="C7503" s="710" t="s">
        <v>6318</v>
      </c>
      <c r="D7503" s="709" t="s">
        <v>234</v>
      </c>
      <c r="E7503" s="716">
        <v>31.35</v>
      </c>
      <c r="F7503" s="717">
        <v>0</v>
      </c>
      <c r="G7503">
        <f>VLOOKUP(B7503,'SINAPI-%MO'!B:E,4,0)</f>
        <v>1</v>
      </c>
      <c r="H7503" s="225">
        <f t="shared" si="117"/>
        <v>0</v>
      </c>
    </row>
    <row r="7504" spans="1:8" x14ac:dyDescent="0.3">
      <c r="A7504" s="400"/>
      <c r="B7504" s="709">
        <v>101432</v>
      </c>
      <c r="C7504" s="710" t="s">
        <v>6319</v>
      </c>
      <c r="D7504" s="709" t="s">
        <v>208</v>
      </c>
      <c r="E7504" s="716">
        <v>5392.99</v>
      </c>
      <c r="F7504" s="717">
        <v>0</v>
      </c>
      <c r="G7504">
        <f>VLOOKUP(B7504,'SINAPI-%MO'!B:E,4,0)</f>
        <v>1</v>
      </c>
      <c r="H7504" s="225">
        <f t="shared" si="117"/>
        <v>0</v>
      </c>
    </row>
    <row r="7505" spans="1:8" x14ac:dyDescent="0.3">
      <c r="A7505" s="400"/>
      <c r="B7505" s="709">
        <v>88296</v>
      </c>
      <c r="C7505" s="710" t="s">
        <v>6320</v>
      </c>
      <c r="D7505" s="709" t="s">
        <v>234</v>
      </c>
      <c r="E7505" s="716">
        <v>47.06</v>
      </c>
      <c r="F7505" s="717">
        <v>0</v>
      </c>
      <c r="G7505">
        <f>VLOOKUP(B7505,'SINAPI-%MO'!B:E,4,0)</f>
        <v>1</v>
      </c>
      <c r="H7505" s="225">
        <f t="shared" si="117"/>
        <v>0</v>
      </c>
    </row>
    <row r="7506" spans="1:8" x14ac:dyDescent="0.3">
      <c r="A7506" s="400"/>
      <c r="B7506" s="709">
        <v>101433</v>
      </c>
      <c r="C7506" s="710" t="s">
        <v>6320</v>
      </c>
      <c r="D7506" s="709" t="s">
        <v>208</v>
      </c>
      <c r="E7506" s="716">
        <v>8106.98</v>
      </c>
      <c r="F7506" s="717">
        <v>0</v>
      </c>
      <c r="G7506">
        <f>VLOOKUP(B7506,'SINAPI-%MO'!B:E,4,0)</f>
        <v>1</v>
      </c>
      <c r="H7506" s="225">
        <f t="shared" si="117"/>
        <v>0</v>
      </c>
    </row>
    <row r="7507" spans="1:8" x14ac:dyDescent="0.3">
      <c r="A7507" s="400"/>
      <c r="B7507" s="709">
        <v>101434</v>
      </c>
      <c r="C7507" s="710" t="s">
        <v>6321</v>
      </c>
      <c r="D7507" s="709" t="s">
        <v>208</v>
      </c>
      <c r="E7507" s="716">
        <v>5310.55</v>
      </c>
      <c r="F7507" s="717">
        <v>0</v>
      </c>
      <c r="G7507">
        <f>VLOOKUP(B7507,'SINAPI-%MO'!B:E,4,0)</f>
        <v>1</v>
      </c>
      <c r="H7507" s="225">
        <f t="shared" si="117"/>
        <v>0</v>
      </c>
    </row>
    <row r="7508" spans="1:8" x14ac:dyDescent="0.3">
      <c r="A7508" s="400"/>
      <c r="B7508" s="709">
        <v>88298</v>
      </c>
      <c r="C7508" s="710" t="s">
        <v>6322</v>
      </c>
      <c r="D7508" s="709" t="s">
        <v>234</v>
      </c>
      <c r="E7508" s="716">
        <v>30.33</v>
      </c>
      <c r="F7508" s="717">
        <v>0</v>
      </c>
      <c r="G7508">
        <f>VLOOKUP(B7508,'SINAPI-%MO'!B:E,4,0)</f>
        <v>1</v>
      </c>
      <c r="H7508" s="225">
        <f t="shared" si="117"/>
        <v>0</v>
      </c>
    </row>
    <row r="7509" spans="1:8" x14ac:dyDescent="0.3">
      <c r="A7509" s="400"/>
      <c r="B7509" s="709">
        <v>101436</v>
      </c>
      <c r="C7509" s="710" t="s">
        <v>6322</v>
      </c>
      <c r="D7509" s="709" t="s">
        <v>208</v>
      </c>
      <c r="E7509" s="716">
        <v>5252.6</v>
      </c>
      <c r="F7509" s="717">
        <v>0</v>
      </c>
      <c r="G7509">
        <f>VLOOKUP(B7509,'SINAPI-%MO'!B:E,4,0)</f>
        <v>1</v>
      </c>
      <c r="H7509" s="225">
        <f t="shared" si="117"/>
        <v>0</v>
      </c>
    </row>
    <row r="7510" spans="1:8" x14ac:dyDescent="0.3">
      <c r="A7510" s="400"/>
      <c r="B7510" s="709">
        <v>101437</v>
      </c>
      <c r="C7510" s="710" t="s">
        <v>6323</v>
      </c>
      <c r="D7510" s="709" t="s">
        <v>208</v>
      </c>
      <c r="E7510" s="716">
        <v>8272.9699999999993</v>
      </c>
      <c r="F7510" s="717">
        <v>0</v>
      </c>
      <c r="G7510">
        <f>VLOOKUP(B7510,'SINAPI-%MO'!B:E,4,0)</f>
        <v>1</v>
      </c>
      <c r="H7510" s="225">
        <f t="shared" si="117"/>
        <v>0</v>
      </c>
    </row>
    <row r="7511" spans="1:8" x14ac:dyDescent="0.3">
      <c r="A7511" s="400"/>
      <c r="B7511" s="709">
        <v>88299</v>
      </c>
      <c r="C7511" s="710" t="s">
        <v>6324</v>
      </c>
      <c r="D7511" s="709" t="s">
        <v>234</v>
      </c>
      <c r="E7511" s="716">
        <v>47.66</v>
      </c>
      <c r="F7511" s="717">
        <v>0</v>
      </c>
      <c r="G7511">
        <f>VLOOKUP(B7511,'SINAPI-%MO'!B:E,4,0)</f>
        <v>1</v>
      </c>
      <c r="H7511" s="225">
        <f t="shared" si="117"/>
        <v>0</v>
      </c>
    </row>
    <row r="7512" spans="1:8" x14ac:dyDescent="0.3">
      <c r="A7512" s="400"/>
      <c r="B7512" s="709">
        <v>88300</v>
      </c>
      <c r="C7512" s="710" t="s">
        <v>6325</v>
      </c>
      <c r="D7512" s="709" t="s">
        <v>234</v>
      </c>
      <c r="E7512" s="716">
        <v>47.66</v>
      </c>
      <c r="F7512" s="717">
        <v>0</v>
      </c>
      <c r="G7512">
        <f>VLOOKUP(B7512,'SINAPI-%MO'!B:E,4,0)</f>
        <v>1</v>
      </c>
      <c r="H7512" s="225">
        <f t="shared" si="117"/>
        <v>0</v>
      </c>
    </row>
    <row r="7513" spans="1:8" x14ac:dyDescent="0.3">
      <c r="A7513" s="400"/>
      <c r="B7513" s="709">
        <v>101438</v>
      </c>
      <c r="C7513" s="710" t="s">
        <v>6325</v>
      </c>
      <c r="D7513" s="709" t="s">
        <v>208</v>
      </c>
      <c r="E7513" s="716">
        <v>8272.9699999999993</v>
      </c>
      <c r="F7513" s="717">
        <v>0</v>
      </c>
      <c r="G7513">
        <f>VLOOKUP(B7513,'SINAPI-%MO'!B:E,4,0)</f>
        <v>1</v>
      </c>
      <c r="H7513" s="225">
        <f t="shared" si="117"/>
        <v>0</v>
      </c>
    </row>
    <row r="7514" spans="1:8" x14ac:dyDescent="0.3">
      <c r="A7514" s="400"/>
      <c r="B7514" s="709">
        <v>88297</v>
      </c>
      <c r="C7514" s="710" t="s">
        <v>6326</v>
      </c>
      <c r="D7514" s="709" t="s">
        <v>234</v>
      </c>
      <c r="E7514" s="716">
        <v>35.729999999999997</v>
      </c>
      <c r="F7514" s="717">
        <v>0</v>
      </c>
      <c r="G7514">
        <f>VLOOKUP(B7514,'SINAPI-%MO'!B:E,4,0)</f>
        <v>1</v>
      </c>
      <c r="H7514" s="225">
        <f t="shared" si="117"/>
        <v>0</v>
      </c>
    </row>
    <row r="7515" spans="1:8" x14ac:dyDescent="0.3">
      <c r="A7515" s="400"/>
      <c r="B7515" s="709">
        <v>101435</v>
      </c>
      <c r="C7515" s="710" t="s">
        <v>6327</v>
      </c>
      <c r="D7515" s="709" t="s">
        <v>208</v>
      </c>
      <c r="E7515" s="716">
        <v>6175.35</v>
      </c>
      <c r="F7515" s="717">
        <v>0</v>
      </c>
      <c r="G7515">
        <f>VLOOKUP(B7515,'SINAPI-%MO'!B:E,4,0)</f>
        <v>1</v>
      </c>
      <c r="H7515" s="225">
        <f t="shared" si="117"/>
        <v>0</v>
      </c>
    </row>
    <row r="7516" spans="1:8" x14ac:dyDescent="0.3">
      <c r="A7516" s="400"/>
      <c r="B7516" s="709">
        <v>101440</v>
      </c>
      <c r="C7516" s="710" t="s">
        <v>6328</v>
      </c>
      <c r="D7516" s="709" t="s">
        <v>208</v>
      </c>
      <c r="E7516" s="716">
        <v>6332.2</v>
      </c>
      <c r="F7516" s="717">
        <v>0</v>
      </c>
      <c r="G7516">
        <f>VLOOKUP(B7516,'SINAPI-%MO'!B:E,4,0)</f>
        <v>1</v>
      </c>
      <c r="H7516" s="225">
        <f t="shared" si="117"/>
        <v>0</v>
      </c>
    </row>
    <row r="7517" spans="1:8" x14ac:dyDescent="0.3">
      <c r="A7517" s="400"/>
      <c r="B7517" s="709">
        <v>88302</v>
      </c>
      <c r="C7517" s="710" t="s">
        <v>6329</v>
      </c>
      <c r="D7517" s="709" t="s">
        <v>234</v>
      </c>
      <c r="E7517" s="716">
        <v>36.53</v>
      </c>
      <c r="F7517" s="717">
        <v>0</v>
      </c>
      <c r="G7517">
        <f>VLOOKUP(B7517,'SINAPI-%MO'!B:E,4,0)</f>
        <v>1</v>
      </c>
      <c r="H7517" s="225">
        <f t="shared" si="117"/>
        <v>0</v>
      </c>
    </row>
    <row r="7518" spans="1:8" x14ac:dyDescent="0.3">
      <c r="A7518" s="400"/>
      <c r="B7518" s="709">
        <v>88301</v>
      </c>
      <c r="C7518" s="710" t="s">
        <v>6330</v>
      </c>
      <c r="D7518" s="709" t="s">
        <v>234</v>
      </c>
      <c r="E7518" s="716">
        <v>36.53</v>
      </c>
      <c r="F7518" s="717">
        <v>0</v>
      </c>
      <c r="G7518">
        <f>VLOOKUP(B7518,'SINAPI-%MO'!B:E,4,0)</f>
        <v>1</v>
      </c>
      <c r="H7518" s="225">
        <f t="shared" si="117"/>
        <v>0</v>
      </c>
    </row>
    <row r="7519" spans="1:8" x14ac:dyDescent="0.3">
      <c r="A7519" s="400"/>
      <c r="B7519" s="709">
        <v>101439</v>
      </c>
      <c r="C7519" s="710" t="s">
        <v>6330</v>
      </c>
      <c r="D7519" s="709" t="s">
        <v>208</v>
      </c>
      <c r="E7519" s="716">
        <v>6332.2</v>
      </c>
      <c r="F7519" s="717">
        <v>0</v>
      </c>
      <c r="G7519">
        <f>VLOOKUP(B7519,'SINAPI-%MO'!B:E,4,0)</f>
        <v>1</v>
      </c>
      <c r="H7519" s="225">
        <f t="shared" si="117"/>
        <v>0</v>
      </c>
    </row>
    <row r="7520" spans="1:8" x14ac:dyDescent="0.3">
      <c r="A7520" s="400"/>
      <c r="B7520" s="709">
        <v>88303</v>
      </c>
      <c r="C7520" s="710" t="s">
        <v>6331</v>
      </c>
      <c r="D7520" s="709" t="s">
        <v>234</v>
      </c>
      <c r="E7520" s="716">
        <v>30.8</v>
      </c>
      <c r="F7520" s="717">
        <v>0</v>
      </c>
      <c r="G7520">
        <f>VLOOKUP(B7520,'SINAPI-%MO'!B:E,4,0)</f>
        <v>1</v>
      </c>
      <c r="H7520" s="225">
        <f t="shared" si="117"/>
        <v>0</v>
      </c>
    </row>
    <row r="7521" spans="1:8" x14ac:dyDescent="0.3">
      <c r="A7521" s="400"/>
      <c r="B7521" s="709">
        <v>101441</v>
      </c>
      <c r="C7521" s="710" t="s">
        <v>6331</v>
      </c>
      <c r="D7521" s="709" t="s">
        <v>208</v>
      </c>
      <c r="E7521" s="716">
        <v>5334.07</v>
      </c>
      <c r="F7521" s="717">
        <v>0</v>
      </c>
      <c r="G7521">
        <f>VLOOKUP(B7521,'SINAPI-%MO'!B:E,4,0)</f>
        <v>1</v>
      </c>
      <c r="H7521" s="225">
        <f t="shared" si="117"/>
        <v>0</v>
      </c>
    </row>
    <row r="7522" spans="1:8" x14ac:dyDescent="0.3">
      <c r="A7522" s="400"/>
      <c r="B7522" s="709">
        <v>88304</v>
      </c>
      <c r="C7522" s="710" t="s">
        <v>6332</v>
      </c>
      <c r="D7522" s="709" t="s">
        <v>234</v>
      </c>
      <c r="E7522" s="716">
        <v>47.66</v>
      </c>
      <c r="F7522" s="717">
        <v>0</v>
      </c>
      <c r="G7522">
        <f>VLOOKUP(B7522,'SINAPI-%MO'!B:E,4,0)</f>
        <v>1</v>
      </c>
      <c r="H7522" s="225">
        <f t="shared" si="117"/>
        <v>0</v>
      </c>
    </row>
    <row r="7523" spans="1:8" x14ac:dyDescent="0.3">
      <c r="A7523" s="400"/>
      <c r="B7523" s="709">
        <v>101443</v>
      </c>
      <c r="C7523" s="710" t="s">
        <v>6332</v>
      </c>
      <c r="D7523" s="709" t="s">
        <v>208</v>
      </c>
      <c r="E7523" s="716">
        <v>8272.9699999999993</v>
      </c>
      <c r="F7523" s="717">
        <v>0</v>
      </c>
      <c r="G7523">
        <f>VLOOKUP(B7523,'SINAPI-%MO'!B:E,4,0)</f>
        <v>1</v>
      </c>
      <c r="H7523" s="225">
        <f t="shared" si="117"/>
        <v>0</v>
      </c>
    </row>
    <row r="7524" spans="1:8" x14ac:dyDescent="0.3">
      <c r="A7524" s="400"/>
      <c r="B7524" s="709">
        <v>88306</v>
      </c>
      <c r="C7524" s="710" t="s">
        <v>6333</v>
      </c>
      <c r="D7524" s="709" t="s">
        <v>234</v>
      </c>
      <c r="E7524" s="716">
        <v>30.75</v>
      </c>
      <c r="F7524" s="717">
        <v>0</v>
      </c>
      <c r="G7524">
        <f>VLOOKUP(B7524,'SINAPI-%MO'!B:E,4,0)</f>
        <v>1</v>
      </c>
      <c r="H7524" s="225">
        <f t="shared" si="117"/>
        <v>0</v>
      </c>
    </row>
    <row r="7525" spans="1:8" x14ac:dyDescent="0.3">
      <c r="A7525" s="400"/>
      <c r="B7525" s="709">
        <v>88307</v>
      </c>
      <c r="C7525" s="710" t="s">
        <v>6334</v>
      </c>
      <c r="D7525" s="709" t="s">
        <v>234</v>
      </c>
      <c r="E7525" s="716">
        <v>34.840000000000003</v>
      </c>
      <c r="F7525" s="717">
        <v>0</v>
      </c>
      <c r="G7525">
        <f>VLOOKUP(B7525,'SINAPI-%MO'!B:E,4,0)</f>
        <v>1</v>
      </c>
      <c r="H7525" s="225">
        <f t="shared" si="117"/>
        <v>0</v>
      </c>
    </row>
    <row r="7526" spans="1:8" x14ac:dyDescent="0.3">
      <c r="A7526" s="400"/>
      <c r="B7526" s="709">
        <v>88308</v>
      </c>
      <c r="C7526" s="710" t="s">
        <v>6335</v>
      </c>
      <c r="D7526" s="709" t="s">
        <v>234</v>
      </c>
      <c r="E7526" s="716">
        <v>30.96</v>
      </c>
      <c r="F7526" s="717">
        <v>0</v>
      </c>
      <c r="G7526">
        <f>VLOOKUP(B7526,'SINAPI-%MO'!B:E,4,0)</f>
        <v>1</v>
      </c>
      <c r="H7526" s="225">
        <f t="shared" si="117"/>
        <v>0</v>
      </c>
    </row>
    <row r="7527" spans="1:8" x14ac:dyDescent="0.3">
      <c r="A7527" s="400"/>
      <c r="B7527" s="709">
        <v>101444</v>
      </c>
      <c r="C7527" s="710" t="s">
        <v>6335</v>
      </c>
      <c r="D7527" s="709" t="s">
        <v>208</v>
      </c>
      <c r="E7527" s="716">
        <v>5322.08</v>
      </c>
      <c r="F7527" s="717">
        <v>0</v>
      </c>
      <c r="G7527">
        <f>VLOOKUP(B7527,'SINAPI-%MO'!B:E,4,0)</f>
        <v>1</v>
      </c>
      <c r="H7527" s="225">
        <f t="shared" si="117"/>
        <v>0</v>
      </c>
    </row>
    <row r="7528" spans="1:8" x14ac:dyDescent="0.3">
      <c r="A7528" s="400"/>
      <c r="B7528" s="709">
        <v>88309</v>
      </c>
      <c r="C7528" s="710" t="s">
        <v>6336</v>
      </c>
      <c r="D7528" s="709" t="s">
        <v>234</v>
      </c>
      <c r="E7528" s="716">
        <v>31.11</v>
      </c>
      <c r="F7528" s="717">
        <v>0</v>
      </c>
      <c r="G7528">
        <f>VLOOKUP(B7528,'SINAPI-%MO'!B:E,4,0)</f>
        <v>1</v>
      </c>
      <c r="H7528" s="225">
        <f t="shared" si="117"/>
        <v>0</v>
      </c>
    </row>
    <row r="7529" spans="1:8" x14ac:dyDescent="0.3">
      <c r="A7529" s="400"/>
      <c r="B7529" s="709">
        <v>101445</v>
      </c>
      <c r="C7529" s="710" t="s">
        <v>6336</v>
      </c>
      <c r="D7529" s="709" t="s">
        <v>208</v>
      </c>
      <c r="E7529" s="716">
        <v>5322.08</v>
      </c>
      <c r="F7529" s="717">
        <v>0</v>
      </c>
      <c r="G7529">
        <f>VLOOKUP(B7529,'SINAPI-%MO'!B:E,4,0)</f>
        <v>1</v>
      </c>
      <c r="H7529" s="225">
        <f t="shared" si="117"/>
        <v>0</v>
      </c>
    </row>
    <row r="7530" spans="1:8" x14ac:dyDescent="0.3">
      <c r="A7530" s="400"/>
      <c r="B7530" s="709">
        <v>88310</v>
      </c>
      <c r="C7530" s="710" t="s">
        <v>6337</v>
      </c>
      <c r="D7530" s="709" t="s">
        <v>234</v>
      </c>
      <c r="E7530" s="716">
        <v>32.82</v>
      </c>
      <c r="F7530" s="717">
        <v>0</v>
      </c>
      <c r="G7530">
        <f>VLOOKUP(B7530,'SINAPI-%MO'!B:E,4,0)</f>
        <v>1</v>
      </c>
      <c r="H7530" s="225">
        <f t="shared" si="117"/>
        <v>0</v>
      </c>
    </row>
    <row r="7531" spans="1:8" x14ac:dyDescent="0.3">
      <c r="A7531" s="400"/>
      <c r="B7531" s="709">
        <v>101446</v>
      </c>
      <c r="C7531" s="710" t="s">
        <v>6337</v>
      </c>
      <c r="D7531" s="709" t="s">
        <v>208</v>
      </c>
      <c r="E7531" s="716">
        <v>5633.33</v>
      </c>
      <c r="F7531" s="717">
        <v>0</v>
      </c>
      <c r="G7531">
        <f>VLOOKUP(B7531,'SINAPI-%MO'!B:E,4,0)</f>
        <v>1</v>
      </c>
      <c r="H7531" s="225">
        <f t="shared" si="117"/>
        <v>0</v>
      </c>
    </row>
    <row r="7532" spans="1:8" x14ac:dyDescent="0.3">
      <c r="A7532" s="400"/>
      <c r="B7532" s="709">
        <v>88311</v>
      </c>
      <c r="C7532" s="710" t="s">
        <v>6338</v>
      </c>
      <c r="D7532" s="709" t="s">
        <v>234</v>
      </c>
      <c r="E7532" s="716">
        <v>32.11</v>
      </c>
      <c r="F7532" s="717">
        <v>0</v>
      </c>
      <c r="G7532">
        <f>VLOOKUP(B7532,'SINAPI-%MO'!B:E,4,0)</f>
        <v>1</v>
      </c>
      <c r="H7532" s="225">
        <f t="shared" si="117"/>
        <v>0</v>
      </c>
    </row>
    <row r="7533" spans="1:8" x14ac:dyDescent="0.3">
      <c r="A7533" s="400"/>
      <c r="B7533" s="709">
        <v>101447</v>
      </c>
      <c r="C7533" s="710" t="s">
        <v>6338</v>
      </c>
      <c r="D7533" s="709" t="s">
        <v>208</v>
      </c>
      <c r="E7533" s="716">
        <v>5511.46</v>
      </c>
      <c r="F7533" s="717">
        <v>0</v>
      </c>
      <c r="G7533">
        <f>VLOOKUP(B7533,'SINAPI-%MO'!B:E,4,0)</f>
        <v>1</v>
      </c>
      <c r="H7533" s="225">
        <f t="shared" si="117"/>
        <v>0</v>
      </c>
    </row>
    <row r="7534" spans="1:8" x14ac:dyDescent="0.3">
      <c r="A7534" s="400"/>
      <c r="B7534" s="709">
        <v>88312</v>
      </c>
      <c r="C7534" s="710" t="s">
        <v>6339</v>
      </c>
      <c r="D7534" s="709" t="s">
        <v>234</v>
      </c>
      <c r="E7534" s="716">
        <v>32.82</v>
      </c>
      <c r="F7534" s="717">
        <v>0</v>
      </c>
      <c r="G7534">
        <f>VLOOKUP(B7534,'SINAPI-%MO'!B:E,4,0)</f>
        <v>1</v>
      </c>
      <c r="H7534" s="225">
        <f t="shared" si="117"/>
        <v>0</v>
      </c>
    </row>
    <row r="7535" spans="1:8" x14ac:dyDescent="0.3">
      <c r="A7535" s="400"/>
      <c r="B7535" s="709">
        <v>101448</v>
      </c>
      <c r="C7535" s="710" t="s">
        <v>6339</v>
      </c>
      <c r="D7535" s="709" t="s">
        <v>208</v>
      </c>
      <c r="E7535" s="716">
        <v>5633.33</v>
      </c>
      <c r="F7535" s="717">
        <v>0</v>
      </c>
      <c r="G7535">
        <f>VLOOKUP(B7535,'SINAPI-%MO'!B:E,4,0)</f>
        <v>1</v>
      </c>
      <c r="H7535" s="225">
        <f t="shared" si="117"/>
        <v>0</v>
      </c>
    </row>
    <row r="7536" spans="1:8" x14ac:dyDescent="0.3">
      <c r="A7536" s="400"/>
      <c r="B7536" s="709">
        <v>101449</v>
      </c>
      <c r="C7536" s="710" t="s">
        <v>6340</v>
      </c>
      <c r="D7536" s="709" t="s">
        <v>208</v>
      </c>
      <c r="E7536" s="716">
        <v>4556.45</v>
      </c>
      <c r="F7536" s="717">
        <v>0</v>
      </c>
      <c r="G7536">
        <f>VLOOKUP(B7536,'SINAPI-%MO'!B:E,4,0)</f>
        <v>1</v>
      </c>
      <c r="H7536" s="225">
        <f t="shared" si="117"/>
        <v>0</v>
      </c>
    </row>
    <row r="7537" spans="1:8" x14ac:dyDescent="0.3">
      <c r="A7537" s="400"/>
      <c r="B7537" s="709">
        <v>88313</v>
      </c>
      <c r="C7537" s="710" t="s">
        <v>6341</v>
      </c>
      <c r="D7537" s="709" t="s">
        <v>234</v>
      </c>
      <c r="E7537" s="716">
        <v>26.63</v>
      </c>
      <c r="F7537" s="717">
        <v>0</v>
      </c>
      <c r="G7537">
        <f>VLOOKUP(B7537,'SINAPI-%MO'!B:E,4,0)</f>
        <v>1</v>
      </c>
      <c r="H7537" s="225">
        <f t="shared" si="117"/>
        <v>0</v>
      </c>
    </row>
    <row r="7538" spans="1:8" x14ac:dyDescent="0.3">
      <c r="A7538" s="400"/>
      <c r="B7538" s="709">
        <v>88314</v>
      </c>
      <c r="C7538" s="710" t="s">
        <v>6342</v>
      </c>
      <c r="D7538" s="709" t="s">
        <v>234</v>
      </c>
      <c r="E7538" s="716">
        <v>25.93</v>
      </c>
      <c r="F7538" s="717">
        <v>0</v>
      </c>
      <c r="G7538">
        <f>VLOOKUP(B7538,'SINAPI-%MO'!B:E,4,0)</f>
        <v>1</v>
      </c>
      <c r="H7538" s="225">
        <f t="shared" si="117"/>
        <v>0</v>
      </c>
    </row>
    <row r="7539" spans="1:8" x14ac:dyDescent="0.3">
      <c r="A7539" s="400"/>
      <c r="B7539" s="709">
        <v>88315</v>
      </c>
      <c r="C7539" s="710" t="s">
        <v>6343</v>
      </c>
      <c r="D7539" s="709" t="s">
        <v>234</v>
      </c>
      <c r="E7539" s="716">
        <v>30.88</v>
      </c>
      <c r="F7539" s="717">
        <v>0</v>
      </c>
      <c r="G7539">
        <f>VLOOKUP(B7539,'SINAPI-%MO'!B:E,4,0)</f>
        <v>1</v>
      </c>
      <c r="H7539" s="225">
        <f t="shared" si="117"/>
        <v>0</v>
      </c>
    </row>
    <row r="7540" spans="1:8" x14ac:dyDescent="0.3">
      <c r="A7540" s="400"/>
      <c r="B7540" s="709">
        <v>101451</v>
      </c>
      <c r="C7540" s="710" t="s">
        <v>6343</v>
      </c>
      <c r="D7540" s="709" t="s">
        <v>208</v>
      </c>
      <c r="E7540" s="716">
        <v>5322.08</v>
      </c>
      <c r="F7540" s="717">
        <v>0</v>
      </c>
      <c r="G7540">
        <f>VLOOKUP(B7540,'SINAPI-%MO'!B:E,4,0)</f>
        <v>1</v>
      </c>
      <c r="H7540" s="225">
        <f t="shared" si="117"/>
        <v>0</v>
      </c>
    </row>
    <row r="7541" spans="1:8" x14ac:dyDescent="0.3">
      <c r="A7541" s="400"/>
      <c r="B7541" s="709">
        <v>88316</v>
      </c>
      <c r="C7541" s="710" t="s">
        <v>6344</v>
      </c>
      <c r="D7541" s="709" t="s">
        <v>234</v>
      </c>
      <c r="E7541" s="716">
        <v>25.81</v>
      </c>
      <c r="F7541" s="717">
        <v>0</v>
      </c>
      <c r="G7541">
        <f>VLOOKUP(B7541,'SINAPI-%MO'!B:E,4,0)</f>
        <v>1</v>
      </c>
      <c r="H7541" s="225">
        <f t="shared" si="117"/>
        <v>0</v>
      </c>
    </row>
    <row r="7542" spans="1:8" x14ac:dyDescent="0.3">
      <c r="A7542" s="400"/>
      <c r="B7542" s="709">
        <v>101452</v>
      </c>
      <c r="C7542" s="710" t="s">
        <v>6345</v>
      </c>
      <c r="D7542" s="709" t="s">
        <v>208</v>
      </c>
      <c r="E7542" s="716">
        <v>4411.0600000000004</v>
      </c>
      <c r="F7542" s="717">
        <v>0</v>
      </c>
      <c r="G7542">
        <f>VLOOKUP(B7542,'SINAPI-%MO'!B:E,4,0)</f>
        <v>1</v>
      </c>
      <c r="H7542" s="225">
        <f t="shared" si="117"/>
        <v>0</v>
      </c>
    </row>
    <row r="7543" spans="1:8" x14ac:dyDescent="0.3">
      <c r="A7543" s="400"/>
      <c r="B7543" s="709">
        <v>88318</v>
      </c>
      <c r="C7543" s="710" t="s">
        <v>6346</v>
      </c>
      <c r="D7543" s="709" t="s">
        <v>234</v>
      </c>
      <c r="E7543" s="716">
        <v>37.65</v>
      </c>
      <c r="F7543" s="717">
        <v>0</v>
      </c>
      <c r="G7543">
        <f>VLOOKUP(B7543,'SINAPI-%MO'!B:E,4,0)</f>
        <v>1</v>
      </c>
      <c r="H7543" s="225">
        <f t="shared" si="117"/>
        <v>0</v>
      </c>
    </row>
    <row r="7544" spans="1:8" x14ac:dyDescent="0.3">
      <c r="A7544" s="400"/>
      <c r="B7544" s="709">
        <v>88317</v>
      </c>
      <c r="C7544" s="710" t="s">
        <v>6347</v>
      </c>
      <c r="D7544" s="709" t="s">
        <v>234</v>
      </c>
      <c r="E7544" s="716">
        <v>34.82</v>
      </c>
      <c r="F7544" s="717">
        <v>0</v>
      </c>
      <c r="G7544">
        <f>VLOOKUP(B7544,'SINAPI-%MO'!B:E,4,0)</f>
        <v>1</v>
      </c>
      <c r="H7544" s="225">
        <f t="shared" si="117"/>
        <v>0</v>
      </c>
    </row>
    <row r="7545" spans="1:8" x14ac:dyDescent="0.3">
      <c r="A7545" s="400"/>
      <c r="B7545" s="709">
        <v>101453</v>
      </c>
      <c r="C7545" s="710" t="s">
        <v>6347</v>
      </c>
      <c r="D7545" s="709" t="s">
        <v>208</v>
      </c>
      <c r="E7545" s="716">
        <v>5997.45</v>
      </c>
      <c r="F7545" s="717">
        <v>0</v>
      </c>
      <c r="G7545">
        <f>VLOOKUP(B7545,'SINAPI-%MO'!B:E,4,0)</f>
        <v>1</v>
      </c>
      <c r="H7545" s="225">
        <f t="shared" si="117"/>
        <v>0</v>
      </c>
    </row>
    <row r="7546" spans="1:8" x14ac:dyDescent="0.3">
      <c r="A7546" s="400"/>
      <c r="B7546" s="709">
        <v>101454</v>
      </c>
      <c r="C7546" s="710" t="s">
        <v>6348</v>
      </c>
      <c r="D7546" s="709" t="s">
        <v>208</v>
      </c>
      <c r="E7546" s="716">
        <v>6490.75</v>
      </c>
      <c r="F7546" s="717">
        <v>0</v>
      </c>
      <c r="G7546">
        <f>VLOOKUP(B7546,'SINAPI-%MO'!B:E,4,0)</f>
        <v>1</v>
      </c>
      <c r="H7546" s="225">
        <f t="shared" si="117"/>
        <v>0</v>
      </c>
    </row>
    <row r="7547" spans="1:8" x14ac:dyDescent="0.3">
      <c r="A7547" s="400"/>
      <c r="B7547" s="709">
        <v>100533</v>
      </c>
      <c r="C7547" s="710" t="s">
        <v>6349</v>
      </c>
      <c r="D7547" s="709" t="s">
        <v>234</v>
      </c>
      <c r="E7547" s="716">
        <v>39.19</v>
      </c>
      <c r="F7547" s="717">
        <v>0</v>
      </c>
      <c r="G7547">
        <f>VLOOKUP(B7547,'SINAPI-%MO'!B:E,4,0)</f>
        <v>1</v>
      </c>
      <c r="H7547" s="225">
        <f t="shared" si="117"/>
        <v>0</v>
      </c>
    </row>
    <row r="7548" spans="1:8" x14ac:dyDescent="0.3">
      <c r="A7548" s="400"/>
      <c r="B7548" s="709">
        <v>100534</v>
      </c>
      <c r="C7548" s="710" t="s">
        <v>6349</v>
      </c>
      <c r="D7548" s="709" t="s">
        <v>208</v>
      </c>
      <c r="E7548" s="716">
        <v>6735</v>
      </c>
      <c r="F7548" s="717">
        <v>0</v>
      </c>
      <c r="G7548">
        <f>VLOOKUP(B7548,'SINAPI-%MO'!B:E,4,0)</f>
        <v>1</v>
      </c>
      <c r="H7548" s="225">
        <f t="shared" si="117"/>
        <v>0</v>
      </c>
    </row>
    <row r="7549" spans="1:8" x14ac:dyDescent="0.3">
      <c r="A7549" s="400"/>
      <c r="B7549" s="709">
        <v>88323</v>
      </c>
      <c r="C7549" s="710" t="s">
        <v>6350</v>
      </c>
      <c r="D7549" s="709" t="s">
        <v>234</v>
      </c>
      <c r="E7549" s="716">
        <v>30.15</v>
      </c>
      <c r="F7549" s="717">
        <v>0</v>
      </c>
      <c r="G7549">
        <f>VLOOKUP(B7549,'SINAPI-%MO'!B:E,4,0)</f>
        <v>1</v>
      </c>
      <c r="H7549" s="225">
        <f t="shared" si="117"/>
        <v>0</v>
      </c>
    </row>
    <row r="7550" spans="1:8" x14ac:dyDescent="0.3">
      <c r="A7550" s="400"/>
      <c r="B7550" s="709">
        <v>101458</v>
      </c>
      <c r="C7550" s="710" t="s">
        <v>6351</v>
      </c>
      <c r="D7550" s="709" t="s">
        <v>208</v>
      </c>
      <c r="E7550" s="716">
        <v>5199.1899999999996</v>
      </c>
      <c r="F7550" s="717">
        <v>0</v>
      </c>
      <c r="G7550">
        <f>VLOOKUP(B7550,'SINAPI-%MO'!B:E,4,0)</f>
        <v>1</v>
      </c>
      <c r="H7550" s="225">
        <f t="shared" si="117"/>
        <v>0</v>
      </c>
    </row>
    <row r="7551" spans="1:8" x14ac:dyDescent="0.3">
      <c r="A7551" s="400"/>
      <c r="B7551" s="709">
        <v>90781</v>
      </c>
      <c r="C7551" s="710" t="s">
        <v>6352</v>
      </c>
      <c r="D7551" s="709" t="s">
        <v>234</v>
      </c>
      <c r="E7551" s="716">
        <v>47.82</v>
      </c>
      <c r="F7551" s="717">
        <v>0</v>
      </c>
      <c r="G7551">
        <f>VLOOKUP(B7551,'SINAPI-%MO'!B:E,4,0)</f>
        <v>1</v>
      </c>
      <c r="H7551" s="225">
        <f t="shared" si="117"/>
        <v>0</v>
      </c>
    </row>
    <row r="7552" spans="1:8" x14ac:dyDescent="0.3">
      <c r="A7552" s="400"/>
      <c r="B7552" s="709">
        <v>94296</v>
      </c>
      <c r="C7552" s="710" t="s">
        <v>6352</v>
      </c>
      <c r="D7552" s="709" t="s">
        <v>208</v>
      </c>
      <c r="E7552" s="716">
        <v>8297.68</v>
      </c>
      <c r="F7552" s="717">
        <v>0</v>
      </c>
      <c r="G7552">
        <f>VLOOKUP(B7552,'SINAPI-%MO'!B:E,4,0)</f>
        <v>1</v>
      </c>
      <c r="H7552" s="225">
        <f t="shared" si="117"/>
        <v>0</v>
      </c>
    </row>
    <row r="7553" spans="1:8" x14ac:dyDescent="0.3">
      <c r="A7553" s="400"/>
      <c r="B7553" s="709">
        <v>88324</v>
      </c>
      <c r="C7553" s="710" t="s">
        <v>6353</v>
      </c>
      <c r="D7553" s="709" t="s">
        <v>234</v>
      </c>
      <c r="E7553" s="716">
        <v>35.729999999999997</v>
      </c>
      <c r="F7553" s="717">
        <v>0</v>
      </c>
      <c r="G7553">
        <f>VLOOKUP(B7553,'SINAPI-%MO'!B:E,4,0)</f>
        <v>1</v>
      </c>
      <c r="H7553" s="225">
        <f t="shared" si="117"/>
        <v>0</v>
      </c>
    </row>
    <row r="7554" spans="1:8" x14ac:dyDescent="0.3">
      <c r="A7554" s="400"/>
      <c r="B7554" s="709">
        <v>88321</v>
      </c>
      <c r="C7554" s="710" t="s">
        <v>6354</v>
      </c>
      <c r="D7554" s="709" t="s">
        <v>234</v>
      </c>
      <c r="E7554" s="716">
        <v>41.43</v>
      </c>
      <c r="F7554" s="717">
        <v>0</v>
      </c>
      <c r="G7554">
        <f>VLOOKUP(B7554,'SINAPI-%MO'!B:E,4,0)</f>
        <v>1</v>
      </c>
      <c r="H7554" s="225">
        <f t="shared" si="117"/>
        <v>0</v>
      </c>
    </row>
    <row r="7555" spans="1:8" x14ac:dyDescent="0.3">
      <c r="A7555" s="400"/>
      <c r="B7555" s="709">
        <v>101456</v>
      </c>
      <c r="C7555" s="710" t="s">
        <v>6355</v>
      </c>
      <c r="D7555" s="709" t="s">
        <v>208</v>
      </c>
      <c r="E7555" s="716">
        <v>7187.66</v>
      </c>
      <c r="F7555" s="717">
        <v>0</v>
      </c>
      <c r="G7555">
        <f>VLOOKUP(B7555,'SINAPI-%MO'!B:E,4,0)</f>
        <v>1</v>
      </c>
      <c r="H7555" s="225">
        <f t="shared" si="117"/>
        <v>0</v>
      </c>
    </row>
    <row r="7556" spans="1:8" x14ac:dyDescent="0.3">
      <c r="A7556" s="400"/>
      <c r="B7556" s="709">
        <v>100309</v>
      </c>
      <c r="C7556" s="710" t="s">
        <v>6356</v>
      </c>
      <c r="D7556" s="709" t="s">
        <v>234</v>
      </c>
      <c r="E7556" s="716">
        <v>47.39</v>
      </c>
      <c r="F7556" s="717">
        <v>0</v>
      </c>
      <c r="G7556">
        <f>VLOOKUP(B7556,'SINAPI-%MO'!B:E,4,0)</f>
        <v>1</v>
      </c>
      <c r="H7556" s="225">
        <f t="shared" si="117"/>
        <v>0</v>
      </c>
    </row>
    <row r="7557" spans="1:8" x14ac:dyDescent="0.3">
      <c r="A7557" s="400"/>
      <c r="B7557" s="709">
        <v>100321</v>
      </c>
      <c r="C7557" s="710" t="s">
        <v>6356</v>
      </c>
      <c r="D7557" s="709" t="s">
        <v>208</v>
      </c>
      <c r="E7557" s="716">
        <v>8156.88</v>
      </c>
      <c r="F7557" s="717">
        <v>0</v>
      </c>
      <c r="G7557">
        <f>VLOOKUP(B7557,'SINAPI-%MO'!B:E,4,0)</f>
        <v>1</v>
      </c>
      <c r="H7557" s="225">
        <f t="shared" si="117"/>
        <v>0</v>
      </c>
    </row>
    <row r="7558" spans="1:8" x14ac:dyDescent="0.3">
      <c r="A7558" s="400"/>
      <c r="B7558" s="709">
        <v>88322</v>
      </c>
      <c r="C7558" s="710" t="s">
        <v>6357</v>
      </c>
      <c r="D7558" s="709" t="s">
        <v>234</v>
      </c>
      <c r="E7558" s="716">
        <v>46.11</v>
      </c>
      <c r="F7558" s="717">
        <v>0</v>
      </c>
      <c r="G7558">
        <f>VLOOKUP(B7558,'SINAPI-%MO'!B:E,4,0)</f>
        <v>1</v>
      </c>
      <c r="H7558" s="225">
        <f t="shared" si="117"/>
        <v>0</v>
      </c>
    </row>
    <row r="7559" spans="1:8" x14ac:dyDescent="0.3">
      <c r="A7559" s="400"/>
      <c r="B7559" s="709">
        <v>101457</v>
      </c>
      <c r="C7559" s="710" t="s">
        <v>6357</v>
      </c>
      <c r="D7559" s="709" t="s">
        <v>208</v>
      </c>
      <c r="E7559" s="716">
        <v>7977.22</v>
      </c>
      <c r="F7559" s="717">
        <v>0</v>
      </c>
      <c r="G7559">
        <f>VLOOKUP(B7559,'SINAPI-%MO'!B:E,4,0)</f>
        <v>1</v>
      </c>
      <c r="H7559" s="225">
        <f t="shared" si="117"/>
        <v>0</v>
      </c>
    </row>
    <row r="7560" spans="1:8" x14ac:dyDescent="0.3">
      <c r="A7560" s="400"/>
      <c r="B7560" s="709">
        <v>88325</v>
      </c>
      <c r="C7560" s="710" t="s">
        <v>6358</v>
      </c>
      <c r="D7560" s="709" t="s">
        <v>234</v>
      </c>
      <c r="E7560" s="716">
        <v>27.99</v>
      </c>
      <c r="F7560" s="717">
        <v>0</v>
      </c>
      <c r="G7560">
        <f>VLOOKUP(B7560,'SINAPI-%MO'!B:E,4,0)</f>
        <v>1</v>
      </c>
      <c r="H7560" s="225">
        <f t="shared" si="117"/>
        <v>0</v>
      </c>
    </row>
    <row r="7561" spans="1:8" x14ac:dyDescent="0.3">
      <c r="A7561" s="400"/>
      <c r="B7561" s="709">
        <v>101459</v>
      </c>
      <c r="C7561" s="710" t="s">
        <v>6358</v>
      </c>
      <c r="D7561" s="709" t="s">
        <v>208</v>
      </c>
      <c r="E7561" s="716">
        <v>4808.3999999999996</v>
      </c>
      <c r="F7561" s="717">
        <v>0</v>
      </c>
      <c r="G7561">
        <f>VLOOKUP(B7561,'SINAPI-%MO'!B:E,4,0)</f>
        <v>1</v>
      </c>
      <c r="H7561" s="225">
        <f t="shared" si="117"/>
        <v>0</v>
      </c>
    </row>
    <row r="7562" spans="1:8" x14ac:dyDescent="0.3">
      <c r="A7562" s="400"/>
      <c r="B7562" s="709">
        <v>100289</v>
      </c>
      <c r="C7562" s="710" t="s">
        <v>6359</v>
      </c>
      <c r="D7562" s="709" t="s">
        <v>234</v>
      </c>
      <c r="E7562" s="716">
        <v>27.76</v>
      </c>
      <c r="F7562" s="717">
        <v>0</v>
      </c>
      <c r="G7562">
        <f>VLOOKUP(B7562,'SINAPI-%MO'!B:E,4,0)</f>
        <v>1</v>
      </c>
      <c r="H7562" s="225">
        <f t="shared" si="117"/>
        <v>0</v>
      </c>
    </row>
    <row r="7563" spans="1:8" x14ac:dyDescent="0.3">
      <c r="A7563" s="400"/>
      <c r="B7563" s="709">
        <v>101460</v>
      </c>
      <c r="C7563" s="710" t="s">
        <v>6359</v>
      </c>
      <c r="D7563" s="709" t="s">
        <v>208</v>
      </c>
      <c r="E7563" s="716">
        <v>4806.2</v>
      </c>
      <c r="F7563" s="717">
        <v>0</v>
      </c>
      <c r="G7563">
        <f>VLOOKUP(B7563,'SINAPI-%MO'!B:E,4,0)</f>
        <v>1</v>
      </c>
      <c r="H7563" s="225">
        <f t="shared" ref="H7563:H7626" si="118">IF(E7563&gt;0,TRUNC(E7563*(1-G7563),2),"")</f>
        <v>0</v>
      </c>
    </row>
    <row r="7564" spans="1:8" x14ac:dyDescent="0.3">
      <c r="A7564" s="400"/>
      <c r="B7564" s="709">
        <v>105011</v>
      </c>
      <c r="C7564" s="710" t="s">
        <v>6360</v>
      </c>
      <c r="D7564" s="709" t="s">
        <v>159</v>
      </c>
      <c r="E7564" s="716">
        <v>0.61</v>
      </c>
      <c r="F7564" s="717">
        <v>0</v>
      </c>
      <c r="G7564">
        <f>VLOOKUP(B7564,'SINAPI-%MO'!B:E,4,0)</f>
        <v>0.77049999999999996</v>
      </c>
      <c r="H7564" s="225">
        <f t="shared" si="118"/>
        <v>0.13</v>
      </c>
    </row>
    <row r="7565" spans="1:8" x14ac:dyDescent="0.3">
      <c r="A7565" s="400"/>
      <c r="B7565" s="709">
        <v>99061</v>
      </c>
      <c r="C7565" s="710" t="s">
        <v>6361</v>
      </c>
      <c r="D7565" s="709" t="s">
        <v>136</v>
      </c>
      <c r="E7565" s="716">
        <v>125.91</v>
      </c>
      <c r="F7565" s="717">
        <v>0</v>
      </c>
      <c r="G7565">
        <f>VLOOKUP(B7565,'SINAPI-%MO'!B:E,4,0)</f>
        <v>0.69799999999999995</v>
      </c>
      <c r="H7565" s="225">
        <f t="shared" si="118"/>
        <v>38.020000000000003</v>
      </c>
    </row>
    <row r="7566" spans="1:8" x14ac:dyDescent="0.3">
      <c r="A7566" s="400"/>
      <c r="B7566" s="709">
        <v>99060</v>
      </c>
      <c r="C7566" s="710" t="s">
        <v>6362</v>
      </c>
      <c r="D7566" s="709" t="s">
        <v>136</v>
      </c>
      <c r="E7566" s="716">
        <v>204.36</v>
      </c>
      <c r="F7566" s="717">
        <v>0</v>
      </c>
      <c r="G7566">
        <f>VLOOKUP(B7566,'SINAPI-%MO'!B:E,4,0)</f>
        <v>0.6734</v>
      </c>
      <c r="H7566" s="225">
        <f t="shared" si="118"/>
        <v>66.739999999999995</v>
      </c>
    </row>
    <row r="7567" spans="1:8" x14ac:dyDescent="0.3">
      <c r="A7567" s="400"/>
      <c r="B7567" s="709">
        <v>105008</v>
      </c>
      <c r="C7567" s="710" t="s">
        <v>6363</v>
      </c>
      <c r="D7567" s="709" t="s">
        <v>136</v>
      </c>
      <c r="E7567" s="716">
        <v>0</v>
      </c>
      <c r="F7567" s="717"/>
      <c r="G7567" t="e">
        <f>VLOOKUP(B7567,'SINAPI-%MO'!B:E,4,0)</f>
        <v>#N/A</v>
      </c>
      <c r="H7567" s="225" t="str">
        <f t="shared" si="118"/>
        <v/>
      </c>
    </row>
    <row r="7568" spans="1:8" x14ac:dyDescent="0.3">
      <c r="A7568" s="400"/>
      <c r="B7568" s="709">
        <v>105009</v>
      </c>
      <c r="C7568" s="710" t="s">
        <v>6364</v>
      </c>
      <c r="D7568" s="709" t="s">
        <v>159</v>
      </c>
      <c r="E7568" s="716">
        <v>83.98</v>
      </c>
      <c r="F7568" s="717">
        <v>0</v>
      </c>
      <c r="G7568">
        <f>VLOOKUP(B7568,'SINAPI-%MO'!B:E,4,0)</f>
        <v>0.65</v>
      </c>
      <c r="H7568" s="225">
        <f t="shared" si="118"/>
        <v>29.39</v>
      </c>
    </row>
    <row r="7569" spans="1:8" x14ac:dyDescent="0.3">
      <c r="A7569" s="400"/>
      <c r="B7569" s="709">
        <v>99059</v>
      </c>
      <c r="C7569" s="710" t="s">
        <v>6365</v>
      </c>
      <c r="D7569" s="709" t="s">
        <v>159</v>
      </c>
      <c r="E7569" s="716">
        <v>68.22</v>
      </c>
      <c r="F7569" s="717">
        <v>0</v>
      </c>
      <c r="G7569">
        <f>VLOOKUP(B7569,'SINAPI-%MO'!B:E,4,0)</f>
        <v>0.63529999999999998</v>
      </c>
      <c r="H7569" s="225">
        <f t="shared" si="118"/>
        <v>24.87</v>
      </c>
    </row>
    <row r="7570" spans="1:8" x14ac:dyDescent="0.3">
      <c r="A7570" s="400"/>
      <c r="B7570" s="709">
        <v>105137</v>
      </c>
      <c r="C7570" s="710" t="s">
        <v>6366</v>
      </c>
      <c r="D7570" s="709" t="s">
        <v>159</v>
      </c>
      <c r="E7570" s="716">
        <v>0</v>
      </c>
      <c r="F7570" s="717"/>
      <c r="G7570" t="e">
        <f>VLOOKUP(B7570,'SINAPI-%MO'!B:E,4,0)</f>
        <v>#N/A</v>
      </c>
      <c r="H7570" s="225" t="str">
        <f t="shared" si="118"/>
        <v/>
      </c>
    </row>
    <row r="7571" spans="1:8" x14ac:dyDescent="0.3">
      <c r="A7571" s="400"/>
      <c r="B7571" s="709">
        <v>105136</v>
      </c>
      <c r="C7571" s="710" t="s">
        <v>6367</v>
      </c>
      <c r="D7571" s="709" t="s">
        <v>136</v>
      </c>
      <c r="E7571" s="716">
        <v>0</v>
      </c>
      <c r="F7571" s="717"/>
      <c r="G7571" t="e">
        <f>VLOOKUP(B7571,'SINAPI-%MO'!B:E,4,0)</f>
        <v>#N/A</v>
      </c>
      <c r="H7571" s="225" t="str">
        <f t="shared" si="118"/>
        <v/>
      </c>
    </row>
    <row r="7572" spans="1:8" x14ac:dyDescent="0.3">
      <c r="A7572" s="400"/>
      <c r="B7572" s="709">
        <v>105007</v>
      </c>
      <c r="C7572" s="710" t="s">
        <v>6368</v>
      </c>
      <c r="D7572" s="709" t="s">
        <v>136</v>
      </c>
      <c r="E7572" s="716">
        <v>42.37</v>
      </c>
      <c r="F7572" s="717">
        <v>0</v>
      </c>
      <c r="G7572">
        <f>VLOOKUP(B7572,'SINAPI-%MO'!B:E,4,0)</f>
        <v>0.97330000000000005</v>
      </c>
      <c r="H7572" s="225">
        <f t="shared" si="118"/>
        <v>1.1299999999999999</v>
      </c>
    </row>
    <row r="7573" spans="1:8" x14ac:dyDescent="0.3">
      <c r="A7573" s="400"/>
      <c r="B7573" s="709">
        <v>99063</v>
      </c>
      <c r="C7573" s="710" t="s">
        <v>6369</v>
      </c>
      <c r="D7573" s="709" t="s">
        <v>159</v>
      </c>
      <c r="E7573" s="716">
        <v>10.15</v>
      </c>
      <c r="F7573" s="717">
        <v>0</v>
      </c>
      <c r="G7573">
        <f>VLOOKUP(B7573,'SINAPI-%MO'!B:E,4,0)</f>
        <v>0.80200000000000005</v>
      </c>
      <c r="H7573" s="225">
        <f t="shared" si="118"/>
        <v>2</v>
      </c>
    </row>
    <row r="7574" spans="1:8" x14ac:dyDescent="0.3">
      <c r="A7574" s="400"/>
      <c r="B7574" s="709">
        <v>105010</v>
      </c>
      <c r="C7574" s="710" t="s">
        <v>6370</v>
      </c>
      <c r="D7574" s="709" t="s">
        <v>136</v>
      </c>
      <c r="E7574" s="716">
        <v>0</v>
      </c>
      <c r="F7574" s="717"/>
      <c r="G7574" t="e">
        <f>VLOOKUP(B7574,'SINAPI-%MO'!B:E,4,0)</f>
        <v>#N/A</v>
      </c>
      <c r="H7574" s="225" t="str">
        <f t="shared" si="118"/>
        <v/>
      </c>
    </row>
    <row r="7575" spans="1:8" x14ac:dyDescent="0.3">
      <c r="A7575" s="400"/>
      <c r="B7575" s="709">
        <v>99062</v>
      </c>
      <c r="C7575" s="710" t="s">
        <v>6371</v>
      </c>
      <c r="D7575" s="709" t="s">
        <v>136</v>
      </c>
      <c r="E7575" s="716">
        <v>2.2799999999999998</v>
      </c>
      <c r="F7575" s="717">
        <v>0</v>
      </c>
      <c r="G7575">
        <f>VLOOKUP(B7575,'SINAPI-%MO'!B:E,4,0)</f>
        <v>0.98250000000000004</v>
      </c>
      <c r="H7575" s="225">
        <f t="shared" si="118"/>
        <v>0.03</v>
      </c>
    </row>
    <row r="7576" spans="1:8" x14ac:dyDescent="0.3">
      <c r="A7576" s="400"/>
      <c r="B7576" s="709">
        <v>100857</v>
      </c>
      <c r="C7576" s="710" t="s">
        <v>14248</v>
      </c>
      <c r="D7576" s="709" t="s">
        <v>136</v>
      </c>
      <c r="E7576" s="716">
        <v>998.14</v>
      </c>
      <c r="F7576" s="717">
        <v>0</v>
      </c>
      <c r="G7576">
        <f>VLOOKUP(B7576,'SINAPI-%MO'!B:E,4,0)</f>
        <v>1.49E-2</v>
      </c>
      <c r="H7576" s="225">
        <f t="shared" si="118"/>
        <v>983.26</v>
      </c>
    </row>
    <row r="7577" spans="1:8" x14ac:dyDescent="0.3">
      <c r="A7577" s="400"/>
      <c r="B7577" s="709">
        <v>86905</v>
      </c>
      <c r="C7577" s="710" t="s">
        <v>14249</v>
      </c>
      <c r="D7577" s="709" t="s">
        <v>136</v>
      </c>
      <c r="E7577" s="716">
        <v>764.56</v>
      </c>
      <c r="F7577" s="717">
        <v>0</v>
      </c>
      <c r="G7577">
        <f>VLOOKUP(B7577,'SINAPI-%MO'!B:E,4,0)</f>
        <v>2.58E-2</v>
      </c>
      <c r="H7577" s="225">
        <f t="shared" si="118"/>
        <v>744.83</v>
      </c>
    </row>
    <row r="7578" spans="1:8" x14ac:dyDescent="0.3">
      <c r="A7578" s="400"/>
      <c r="B7578" s="709">
        <v>86908</v>
      </c>
      <c r="C7578" s="710" t="s">
        <v>14250</v>
      </c>
      <c r="D7578" s="709" t="s">
        <v>136</v>
      </c>
      <c r="E7578" s="716">
        <v>922.11</v>
      </c>
      <c r="F7578" s="717">
        <v>0</v>
      </c>
      <c r="G7578">
        <f>VLOOKUP(B7578,'SINAPI-%MO'!B:E,4,0)</f>
        <v>1.06E-2</v>
      </c>
      <c r="H7578" s="225">
        <f t="shared" si="118"/>
        <v>912.33</v>
      </c>
    </row>
    <row r="7579" spans="1:8" x14ac:dyDescent="0.3">
      <c r="A7579" s="400"/>
      <c r="B7579" s="709">
        <v>100849</v>
      </c>
      <c r="C7579" s="710" t="s">
        <v>14251</v>
      </c>
      <c r="D7579" s="709" t="s">
        <v>136</v>
      </c>
      <c r="E7579" s="716">
        <v>39.44</v>
      </c>
      <c r="F7579" s="717">
        <v>0</v>
      </c>
      <c r="G7579">
        <f>VLOOKUP(B7579,'SINAPI-%MO'!B:E,4,0)</f>
        <v>0.1169</v>
      </c>
      <c r="H7579" s="225">
        <f t="shared" si="118"/>
        <v>34.82</v>
      </c>
    </row>
    <row r="7580" spans="1:8" x14ac:dyDescent="0.3">
      <c r="A7580" s="400"/>
      <c r="B7580" s="709">
        <v>100851</v>
      </c>
      <c r="C7580" s="710" t="s">
        <v>14252</v>
      </c>
      <c r="D7580" s="709" t="s">
        <v>136</v>
      </c>
      <c r="E7580" s="716">
        <v>78.73</v>
      </c>
      <c r="F7580" s="717">
        <v>0</v>
      </c>
      <c r="G7580">
        <f>VLOOKUP(B7580,'SINAPI-%MO'!B:E,4,0)</f>
        <v>5.8599999999999999E-2</v>
      </c>
      <c r="H7580" s="225">
        <f t="shared" si="118"/>
        <v>74.11</v>
      </c>
    </row>
    <row r="7581" spans="1:8" x14ac:dyDescent="0.3">
      <c r="A7581" s="400"/>
      <c r="B7581" s="709">
        <v>100850</v>
      </c>
      <c r="C7581" s="710" t="s">
        <v>15133</v>
      </c>
      <c r="D7581" s="709" t="s">
        <v>136</v>
      </c>
      <c r="E7581" s="716">
        <v>0</v>
      </c>
      <c r="F7581" s="717"/>
      <c r="G7581" t="e">
        <f>VLOOKUP(B7581,'SINAPI-%MO'!B:E,4,0)</f>
        <v>#N/A</v>
      </c>
      <c r="H7581" s="225" t="str">
        <f t="shared" si="118"/>
        <v/>
      </c>
    </row>
    <row r="7582" spans="1:8" x14ac:dyDescent="0.3">
      <c r="A7582" s="400"/>
      <c r="B7582" s="709">
        <v>86888</v>
      </c>
      <c r="C7582" s="710" t="s">
        <v>14253</v>
      </c>
      <c r="D7582" s="709" t="s">
        <v>136</v>
      </c>
      <c r="E7582" s="716">
        <v>616.02</v>
      </c>
      <c r="F7582" s="717">
        <v>6.7500000000000004E-2</v>
      </c>
      <c r="G7582">
        <f>VLOOKUP(B7582,'SINAPI-%MO'!B:E,4,0)</f>
        <v>6.7299999999999999E-2</v>
      </c>
      <c r="H7582" s="225">
        <f t="shared" si="118"/>
        <v>574.55999999999995</v>
      </c>
    </row>
    <row r="7583" spans="1:8" x14ac:dyDescent="0.3">
      <c r="A7583" s="400"/>
      <c r="B7583" s="709">
        <v>86932</v>
      </c>
      <c r="C7583" s="710" t="s">
        <v>14254</v>
      </c>
      <c r="D7583" s="709" t="s">
        <v>136</v>
      </c>
      <c r="E7583" s="716">
        <v>697.82</v>
      </c>
      <c r="F7583" s="717">
        <v>5.96E-2</v>
      </c>
      <c r="G7583">
        <f>VLOOKUP(B7583,'SINAPI-%MO'!B:E,4,0)</f>
        <v>6.8199999999999997E-2</v>
      </c>
      <c r="H7583" s="225">
        <f t="shared" si="118"/>
        <v>650.22</v>
      </c>
    </row>
    <row r="7584" spans="1:8" x14ac:dyDescent="0.3">
      <c r="A7584" s="400"/>
      <c r="B7584" s="709">
        <v>86931</v>
      </c>
      <c r="C7584" s="710" t="s">
        <v>14255</v>
      </c>
      <c r="D7584" s="709" t="s">
        <v>136</v>
      </c>
      <c r="E7584" s="716">
        <v>630.61</v>
      </c>
      <c r="F7584" s="717">
        <v>6.59E-2</v>
      </c>
      <c r="G7584">
        <f>VLOOKUP(B7584,'SINAPI-%MO'!B:E,4,0)</f>
        <v>7.5399999999999995E-2</v>
      </c>
      <c r="H7584" s="225">
        <f t="shared" si="118"/>
        <v>583.05999999999995</v>
      </c>
    </row>
    <row r="7585" spans="1:8" x14ac:dyDescent="0.3">
      <c r="A7585" s="400"/>
      <c r="B7585" s="709">
        <v>106771</v>
      </c>
      <c r="C7585" s="710" t="s">
        <v>15134</v>
      </c>
      <c r="D7585" s="709" t="s">
        <v>136</v>
      </c>
      <c r="E7585" s="716">
        <v>0</v>
      </c>
      <c r="F7585" s="717"/>
      <c r="G7585" t="e">
        <f>VLOOKUP(B7585,'SINAPI-%MO'!B:E,4,0)</f>
        <v>#N/A</v>
      </c>
      <c r="H7585" s="225" t="str">
        <f t="shared" si="118"/>
        <v/>
      </c>
    </row>
    <row r="7586" spans="1:8" x14ac:dyDescent="0.3">
      <c r="A7586" s="400"/>
      <c r="B7586" s="709">
        <v>100878</v>
      </c>
      <c r="C7586" s="710" t="s">
        <v>14256</v>
      </c>
      <c r="D7586" s="709" t="s">
        <v>136</v>
      </c>
      <c r="E7586" s="716">
        <v>835.09</v>
      </c>
      <c r="F7586" s="717">
        <v>4.9799999999999997E-2</v>
      </c>
      <c r="G7586">
        <f>VLOOKUP(B7586,'SINAPI-%MO'!B:E,4,0)</f>
        <v>7.5399999999999995E-2</v>
      </c>
      <c r="H7586" s="225">
        <f t="shared" si="118"/>
        <v>772.12</v>
      </c>
    </row>
    <row r="7587" spans="1:8" x14ac:dyDescent="0.3">
      <c r="A7587" s="400"/>
      <c r="B7587" s="709">
        <v>95471</v>
      </c>
      <c r="C7587" s="710" t="s">
        <v>14257</v>
      </c>
      <c r="D7587" s="709" t="s">
        <v>136</v>
      </c>
      <c r="E7587" s="716">
        <v>1006.89</v>
      </c>
      <c r="F7587" s="717">
        <v>4.1300000000000003E-2</v>
      </c>
      <c r="G7587">
        <f>VLOOKUP(B7587,'SINAPI-%MO'!B:E,4,0)</f>
        <v>6.6100000000000006E-2</v>
      </c>
      <c r="H7587" s="225">
        <f t="shared" si="118"/>
        <v>940.33</v>
      </c>
    </row>
    <row r="7588" spans="1:8" x14ac:dyDescent="0.3">
      <c r="A7588" s="400"/>
      <c r="B7588" s="709">
        <v>95469</v>
      </c>
      <c r="C7588" s="710" t="s">
        <v>14258</v>
      </c>
      <c r="D7588" s="709" t="s">
        <v>136</v>
      </c>
      <c r="E7588" s="716">
        <v>387.84</v>
      </c>
      <c r="F7588" s="717">
        <v>0.1072</v>
      </c>
      <c r="G7588">
        <f>VLOOKUP(B7588,'SINAPI-%MO'!B:E,4,0)</f>
        <v>9.7500000000000003E-2</v>
      </c>
      <c r="H7588" s="225">
        <f t="shared" si="118"/>
        <v>350.02</v>
      </c>
    </row>
    <row r="7589" spans="1:8" x14ac:dyDescent="0.3">
      <c r="A7589" s="400"/>
      <c r="B7589" s="709">
        <v>100848</v>
      </c>
      <c r="C7589" s="710" t="s">
        <v>14259</v>
      </c>
      <c r="D7589" s="709" t="s">
        <v>136</v>
      </c>
      <c r="E7589" s="716">
        <v>722.23</v>
      </c>
      <c r="F7589" s="717">
        <v>5.7500000000000002E-2</v>
      </c>
      <c r="G7589">
        <f>VLOOKUP(B7589,'SINAPI-%MO'!B:E,4,0)</f>
        <v>5.2299999999999999E-2</v>
      </c>
      <c r="H7589" s="225">
        <f t="shared" si="118"/>
        <v>684.45</v>
      </c>
    </row>
    <row r="7590" spans="1:8" x14ac:dyDescent="0.3">
      <c r="A7590" s="400"/>
      <c r="B7590" s="709">
        <v>86895</v>
      </c>
      <c r="C7590" s="710" t="s">
        <v>14260</v>
      </c>
      <c r="D7590" s="709" t="s">
        <v>136</v>
      </c>
      <c r="E7590" s="716">
        <v>388.07</v>
      </c>
      <c r="F7590" s="717">
        <v>0</v>
      </c>
      <c r="G7590">
        <f>VLOOKUP(B7590,'SINAPI-%MO'!B:E,4,0)</f>
        <v>0.13569999999999999</v>
      </c>
      <c r="H7590" s="225">
        <f t="shared" si="118"/>
        <v>335.4</v>
      </c>
    </row>
    <row r="7591" spans="1:8" x14ac:dyDescent="0.3">
      <c r="A7591" s="400"/>
      <c r="B7591" s="709">
        <v>86889</v>
      </c>
      <c r="C7591" s="710" t="s">
        <v>14261</v>
      </c>
      <c r="D7591" s="709" t="s">
        <v>136</v>
      </c>
      <c r="E7591" s="716">
        <v>884.5</v>
      </c>
      <c r="F7591" s="717">
        <v>0</v>
      </c>
      <c r="G7591">
        <f>VLOOKUP(B7591,'SINAPI-%MO'!B:E,4,0)</f>
        <v>9.0800000000000006E-2</v>
      </c>
      <c r="H7591" s="225">
        <f t="shared" si="118"/>
        <v>804.18</v>
      </c>
    </row>
    <row r="7592" spans="1:8" x14ac:dyDescent="0.3">
      <c r="A7592" s="400"/>
      <c r="B7592" s="709">
        <v>106780</v>
      </c>
      <c r="C7592" s="710" t="s">
        <v>14262</v>
      </c>
      <c r="D7592" s="709" t="s">
        <v>136</v>
      </c>
      <c r="E7592" s="716">
        <v>1167.73</v>
      </c>
      <c r="F7592" s="717">
        <v>0</v>
      </c>
      <c r="G7592">
        <f>VLOOKUP(B7592,'SINAPI-%MO'!B:E,4,0)</f>
        <v>8.3500000000000005E-2</v>
      </c>
      <c r="H7592" s="225">
        <f t="shared" si="118"/>
        <v>1070.22</v>
      </c>
    </row>
    <row r="7593" spans="1:8" x14ac:dyDescent="0.3">
      <c r="A7593" s="400"/>
      <c r="B7593" s="709">
        <v>106781</v>
      </c>
      <c r="C7593" s="710" t="s">
        <v>14263</v>
      </c>
      <c r="D7593" s="709" t="s">
        <v>136</v>
      </c>
      <c r="E7593" s="716">
        <v>1725.56</v>
      </c>
      <c r="F7593" s="717">
        <v>0</v>
      </c>
      <c r="G7593">
        <f>VLOOKUP(B7593,'SINAPI-%MO'!B:E,4,0)</f>
        <v>7.6499999999999999E-2</v>
      </c>
      <c r="H7593" s="225">
        <f t="shared" si="118"/>
        <v>1593.55</v>
      </c>
    </row>
    <row r="7594" spans="1:8" x14ac:dyDescent="0.3">
      <c r="A7594" s="400"/>
      <c r="B7594" s="709">
        <v>86899</v>
      </c>
      <c r="C7594" s="710" t="s">
        <v>14264</v>
      </c>
      <c r="D7594" s="709" t="s">
        <v>136</v>
      </c>
      <c r="E7594" s="716">
        <v>392.45</v>
      </c>
      <c r="F7594" s="717">
        <v>0</v>
      </c>
      <c r="G7594">
        <f>VLOOKUP(B7594,'SINAPI-%MO'!B:E,4,0)</f>
        <v>0.13420000000000001</v>
      </c>
      <c r="H7594" s="225">
        <f t="shared" si="118"/>
        <v>339.78</v>
      </c>
    </row>
    <row r="7595" spans="1:8" x14ac:dyDescent="0.3">
      <c r="A7595" s="400"/>
      <c r="B7595" s="709">
        <v>86893</v>
      </c>
      <c r="C7595" s="710" t="s">
        <v>14265</v>
      </c>
      <c r="D7595" s="709" t="s">
        <v>136</v>
      </c>
      <c r="E7595" s="716">
        <v>896.18</v>
      </c>
      <c r="F7595" s="717">
        <v>0</v>
      </c>
      <c r="G7595">
        <f>VLOOKUP(B7595,'SINAPI-%MO'!B:E,4,0)</f>
        <v>8.9599999999999999E-2</v>
      </c>
      <c r="H7595" s="225">
        <f t="shared" si="118"/>
        <v>815.88</v>
      </c>
    </row>
    <row r="7596" spans="1:8" x14ac:dyDescent="0.3">
      <c r="A7596" s="400"/>
      <c r="B7596" s="709">
        <v>86934</v>
      </c>
      <c r="C7596" s="710" t="s">
        <v>14266</v>
      </c>
      <c r="D7596" s="709" t="s">
        <v>136</v>
      </c>
      <c r="E7596" s="716">
        <v>590.49</v>
      </c>
      <c r="F7596" s="717">
        <v>0</v>
      </c>
      <c r="G7596">
        <f>VLOOKUP(B7596,'SINAPI-%MO'!B:E,4,0)</f>
        <v>9.5299999999999996E-2</v>
      </c>
      <c r="H7596" s="225">
        <f t="shared" si="118"/>
        <v>534.21</v>
      </c>
    </row>
    <row r="7597" spans="1:8" x14ac:dyDescent="0.3">
      <c r="A7597" s="400"/>
      <c r="B7597" s="709">
        <v>86933</v>
      </c>
      <c r="C7597" s="710" t="s">
        <v>14267</v>
      </c>
      <c r="D7597" s="709" t="s">
        <v>136</v>
      </c>
      <c r="E7597" s="716">
        <v>603.1</v>
      </c>
      <c r="F7597" s="717">
        <v>0</v>
      </c>
      <c r="G7597">
        <f>VLOOKUP(B7597,'SINAPI-%MO'!B:E,4,0)</f>
        <v>9.74E-2</v>
      </c>
      <c r="H7597" s="225">
        <f t="shared" si="118"/>
        <v>544.35</v>
      </c>
    </row>
    <row r="7598" spans="1:8" x14ac:dyDescent="0.3">
      <c r="A7598" s="400"/>
      <c r="B7598" s="709">
        <v>86894</v>
      </c>
      <c r="C7598" s="710" t="s">
        <v>14268</v>
      </c>
      <c r="D7598" s="709" t="s">
        <v>136</v>
      </c>
      <c r="E7598" s="716">
        <v>379.85</v>
      </c>
      <c r="F7598" s="717">
        <v>0</v>
      </c>
      <c r="G7598">
        <f>VLOOKUP(B7598,'SINAPI-%MO'!B:E,4,0)</f>
        <v>0.1145</v>
      </c>
      <c r="H7598" s="225">
        <f t="shared" si="118"/>
        <v>336.35</v>
      </c>
    </row>
    <row r="7599" spans="1:8" x14ac:dyDescent="0.3">
      <c r="A7599" s="400"/>
      <c r="B7599" s="709">
        <v>93441</v>
      </c>
      <c r="C7599" s="710" t="s">
        <v>14269</v>
      </c>
      <c r="D7599" s="709" t="s">
        <v>136</v>
      </c>
      <c r="E7599" s="716">
        <v>1622.5</v>
      </c>
      <c r="F7599" s="717">
        <v>0</v>
      </c>
      <c r="G7599">
        <f>VLOOKUP(B7599,'SINAPI-%MO'!B:E,4,0)</f>
        <v>7.2499999999999995E-2</v>
      </c>
      <c r="H7599" s="225">
        <f t="shared" si="118"/>
        <v>1504.86</v>
      </c>
    </row>
    <row r="7600" spans="1:8" x14ac:dyDescent="0.3">
      <c r="A7600" s="400"/>
      <c r="B7600" s="709">
        <v>93396</v>
      </c>
      <c r="C7600" s="710" t="s">
        <v>14270</v>
      </c>
      <c r="D7600" s="709" t="s">
        <v>136</v>
      </c>
      <c r="E7600" s="716">
        <v>1086.7</v>
      </c>
      <c r="F7600" s="717">
        <v>0</v>
      </c>
      <c r="G7600">
        <f>VLOOKUP(B7600,'SINAPI-%MO'!B:E,4,0)</f>
        <v>0.10100000000000001</v>
      </c>
      <c r="H7600" s="225">
        <f t="shared" si="118"/>
        <v>976.94</v>
      </c>
    </row>
    <row r="7601" spans="1:8" x14ac:dyDescent="0.3">
      <c r="A7601" s="400"/>
      <c r="B7601" s="709">
        <v>93442</v>
      </c>
      <c r="C7601" s="710" t="s">
        <v>14271</v>
      </c>
      <c r="D7601" s="709" t="s">
        <v>136</v>
      </c>
      <c r="E7601" s="716">
        <v>2046.07</v>
      </c>
      <c r="F7601" s="717">
        <v>0</v>
      </c>
      <c r="G7601">
        <f>VLOOKUP(B7601,'SINAPI-%MO'!B:E,4,0)</f>
        <v>6.2899999999999998E-2</v>
      </c>
      <c r="H7601" s="225">
        <f t="shared" si="118"/>
        <v>1917.37</v>
      </c>
    </row>
    <row r="7602" spans="1:8" x14ac:dyDescent="0.3">
      <c r="A7602" s="400"/>
      <c r="B7602" s="709">
        <v>86947</v>
      </c>
      <c r="C7602" s="710" t="s">
        <v>14272</v>
      </c>
      <c r="D7602" s="709" t="s">
        <v>136</v>
      </c>
      <c r="E7602" s="716">
        <v>2230.02</v>
      </c>
      <c r="F7602" s="717">
        <v>0</v>
      </c>
      <c r="G7602">
        <f>VLOOKUP(B7602,'SINAPI-%MO'!B:E,4,0)</f>
        <v>6.3100000000000003E-2</v>
      </c>
      <c r="H7602" s="225">
        <f t="shared" si="118"/>
        <v>2089.3000000000002</v>
      </c>
    </row>
    <row r="7603" spans="1:8" x14ac:dyDescent="0.3">
      <c r="A7603" s="400"/>
      <c r="B7603" s="709">
        <v>100875</v>
      </c>
      <c r="C7603" s="710" t="s">
        <v>14273</v>
      </c>
      <c r="D7603" s="709" t="s">
        <v>136</v>
      </c>
      <c r="E7603" s="716">
        <v>1524.39</v>
      </c>
      <c r="F7603" s="717">
        <v>8.0799999999999997E-2</v>
      </c>
      <c r="G7603">
        <f>VLOOKUP(B7603,'SINAPI-%MO'!B:E,4,0)</f>
        <v>4.0099999999999997E-2</v>
      </c>
      <c r="H7603" s="225">
        <f t="shared" si="118"/>
        <v>1463.26</v>
      </c>
    </row>
    <row r="7604" spans="1:8" x14ac:dyDescent="0.3">
      <c r="A7604" s="400"/>
      <c r="B7604" s="709">
        <v>100863</v>
      </c>
      <c r="C7604" s="710" t="s">
        <v>14274</v>
      </c>
      <c r="D7604" s="709" t="s">
        <v>136</v>
      </c>
      <c r="E7604" s="716">
        <v>800.92</v>
      </c>
      <c r="F7604" s="717">
        <v>0.1731</v>
      </c>
      <c r="G7604">
        <f>VLOOKUP(B7604,'SINAPI-%MO'!B:E,4,0)</f>
        <v>8.5900000000000004E-2</v>
      </c>
      <c r="H7604" s="225">
        <f t="shared" si="118"/>
        <v>732.12</v>
      </c>
    </row>
    <row r="7605" spans="1:8" x14ac:dyDescent="0.3">
      <c r="A7605" s="400"/>
      <c r="B7605" s="709">
        <v>100864</v>
      </c>
      <c r="C7605" s="710" t="s">
        <v>14275</v>
      </c>
      <c r="D7605" s="709" t="s">
        <v>136</v>
      </c>
      <c r="E7605" s="716">
        <v>888.56</v>
      </c>
      <c r="F7605" s="717">
        <v>0.156</v>
      </c>
      <c r="G7605">
        <f>VLOOKUP(B7605,'SINAPI-%MO'!B:E,4,0)</f>
        <v>7.7399999999999997E-2</v>
      </c>
      <c r="H7605" s="225">
        <f t="shared" si="118"/>
        <v>819.78</v>
      </c>
    </row>
    <row r="7606" spans="1:8" x14ac:dyDescent="0.3">
      <c r="A7606" s="400"/>
      <c r="B7606" s="709">
        <v>100865</v>
      </c>
      <c r="C7606" s="710" t="s">
        <v>14276</v>
      </c>
      <c r="D7606" s="709" t="s">
        <v>136</v>
      </c>
      <c r="E7606" s="716">
        <v>829.19</v>
      </c>
      <c r="F7606" s="717">
        <v>7.4300000000000005E-2</v>
      </c>
      <c r="G7606">
        <f>VLOOKUP(B7606,'SINAPI-%MO'!B:E,4,0)</f>
        <v>3.6900000000000002E-2</v>
      </c>
      <c r="H7606" s="225">
        <f t="shared" si="118"/>
        <v>798.59</v>
      </c>
    </row>
    <row r="7607" spans="1:8" x14ac:dyDescent="0.3">
      <c r="A7607" s="400"/>
      <c r="B7607" s="709">
        <v>100870</v>
      </c>
      <c r="C7607" s="710" t="s">
        <v>14277</v>
      </c>
      <c r="D7607" s="709" t="s">
        <v>136</v>
      </c>
      <c r="E7607" s="716">
        <v>311.5</v>
      </c>
      <c r="F7607" s="717">
        <v>0.8528</v>
      </c>
      <c r="G7607">
        <f>VLOOKUP(B7607,'SINAPI-%MO'!B:E,4,0)</f>
        <v>0.1472</v>
      </c>
      <c r="H7607" s="225">
        <f t="shared" si="118"/>
        <v>265.64</v>
      </c>
    </row>
    <row r="7608" spans="1:8" x14ac:dyDescent="0.3">
      <c r="A7608" s="400"/>
      <c r="B7608" s="709">
        <v>100871</v>
      </c>
      <c r="C7608" s="710" t="s">
        <v>14278</v>
      </c>
      <c r="D7608" s="709" t="s">
        <v>136</v>
      </c>
      <c r="E7608" s="716">
        <v>336.92</v>
      </c>
      <c r="F7608" s="717">
        <v>0.8639</v>
      </c>
      <c r="G7608">
        <f>VLOOKUP(B7608,'SINAPI-%MO'!B:E,4,0)</f>
        <v>0.1361</v>
      </c>
      <c r="H7608" s="225">
        <f t="shared" si="118"/>
        <v>291.06</v>
      </c>
    </row>
    <row r="7609" spans="1:8" x14ac:dyDescent="0.3">
      <c r="A7609" s="400"/>
      <c r="B7609" s="709">
        <v>100872</v>
      </c>
      <c r="C7609" s="710" t="s">
        <v>14279</v>
      </c>
      <c r="D7609" s="709" t="s">
        <v>136</v>
      </c>
      <c r="E7609" s="716">
        <v>353.14</v>
      </c>
      <c r="F7609" s="717">
        <v>0.87019999999999997</v>
      </c>
      <c r="G7609">
        <f>VLOOKUP(B7609,'SINAPI-%MO'!B:E,4,0)</f>
        <v>0.1298</v>
      </c>
      <c r="H7609" s="225">
        <f t="shared" si="118"/>
        <v>307.3</v>
      </c>
    </row>
    <row r="7610" spans="1:8" x14ac:dyDescent="0.3">
      <c r="A7610" s="400"/>
      <c r="B7610" s="709">
        <v>100873</v>
      </c>
      <c r="C7610" s="710" t="s">
        <v>14280</v>
      </c>
      <c r="D7610" s="709" t="s">
        <v>136</v>
      </c>
      <c r="E7610" s="716">
        <v>363.27</v>
      </c>
      <c r="F7610" s="717">
        <v>0.87380000000000002</v>
      </c>
      <c r="G7610">
        <f>VLOOKUP(B7610,'SINAPI-%MO'!B:E,4,0)</f>
        <v>0.12620000000000001</v>
      </c>
      <c r="H7610" s="225">
        <f t="shared" si="118"/>
        <v>317.42</v>
      </c>
    </row>
    <row r="7611" spans="1:8" x14ac:dyDescent="0.3">
      <c r="A7611" s="400"/>
      <c r="B7611" s="709">
        <v>106770</v>
      </c>
      <c r="C7611" s="710" t="s">
        <v>15135</v>
      </c>
      <c r="D7611" s="709" t="s">
        <v>136</v>
      </c>
      <c r="E7611" s="716">
        <v>0</v>
      </c>
      <c r="F7611" s="717"/>
      <c r="G7611" t="e">
        <f>VLOOKUP(B7611,'SINAPI-%MO'!B:E,4,0)</f>
        <v>#N/A</v>
      </c>
      <c r="H7611" s="225" t="str">
        <f t="shared" si="118"/>
        <v/>
      </c>
    </row>
    <row r="7612" spans="1:8" x14ac:dyDescent="0.3">
      <c r="A7612" s="400"/>
      <c r="B7612" s="709">
        <v>100866</v>
      </c>
      <c r="C7612" s="710" t="s">
        <v>14281</v>
      </c>
      <c r="D7612" s="709" t="s">
        <v>136</v>
      </c>
      <c r="E7612" s="716">
        <v>399.56</v>
      </c>
      <c r="F7612" s="717">
        <v>0.23130000000000001</v>
      </c>
      <c r="G7612">
        <f>VLOOKUP(B7612,'SINAPI-%MO'!B:E,4,0)</f>
        <v>0.1147</v>
      </c>
      <c r="H7612" s="225">
        <f t="shared" si="118"/>
        <v>353.73</v>
      </c>
    </row>
    <row r="7613" spans="1:8" x14ac:dyDescent="0.3">
      <c r="A7613" s="400"/>
      <c r="B7613" s="709">
        <v>100867</v>
      </c>
      <c r="C7613" s="710" t="s">
        <v>14282</v>
      </c>
      <c r="D7613" s="709" t="s">
        <v>136</v>
      </c>
      <c r="E7613" s="716">
        <v>428.46</v>
      </c>
      <c r="F7613" s="717">
        <v>0.2157</v>
      </c>
      <c r="G7613">
        <f>VLOOKUP(B7613,'SINAPI-%MO'!B:E,4,0)</f>
        <v>0.107</v>
      </c>
      <c r="H7613" s="225">
        <f t="shared" si="118"/>
        <v>382.61</v>
      </c>
    </row>
    <row r="7614" spans="1:8" x14ac:dyDescent="0.3">
      <c r="A7614" s="400"/>
      <c r="B7614" s="709">
        <v>100868</v>
      </c>
      <c r="C7614" s="710" t="s">
        <v>14283</v>
      </c>
      <c r="D7614" s="709" t="s">
        <v>136</v>
      </c>
      <c r="E7614" s="716">
        <v>447.69</v>
      </c>
      <c r="F7614" s="717">
        <v>0.2064</v>
      </c>
      <c r="G7614">
        <f>VLOOKUP(B7614,'SINAPI-%MO'!B:E,4,0)</f>
        <v>0.1024</v>
      </c>
      <c r="H7614" s="225">
        <f t="shared" si="118"/>
        <v>401.84</v>
      </c>
    </row>
    <row r="7615" spans="1:8" x14ac:dyDescent="0.3">
      <c r="A7615" s="400"/>
      <c r="B7615" s="709">
        <v>100869</v>
      </c>
      <c r="C7615" s="710" t="s">
        <v>14284</v>
      </c>
      <c r="D7615" s="709" t="s">
        <v>136</v>
      </c>
      <c r="E7615" s="716">
        <v>462.44</v>
      </c>
      <c r="F7615" s="717">
        <v>0.19980000000000001</v>
      </c>
      <c r="G7615">
        <f>VLOOKUP(B7615,'SINAPI-%MO'!B:E,4,0)</f>
        <v>9.9099999999999994E-2</v>
      </c>
      <c r="H7615" s="225">
        <f t="shared" si="118"/>
        <v>416.61</v>
      </c>
    </row>
    <row r="7616" spans="1:8" x14ac:dyDescent="0.3">
      <c r="A7616" s="400"/>
      <c r="B7616" s="709">
        <v>106764</v>
      </c>
      <c r="C7616" s="710" t="s">
        <v>14285</v>
      </c>
      <c r="D7616" s="709" t="s">
        <v>136</v>
      </c>
      <c r="E7616" s="716">
        <v>69.89</v>
      </c>
      <c r="F7616" s="717">
        <v>0</v>
      </c>
      <c r="G7616">
        <f>VLOOKUP(B7616,'SINAPI-%MO'!B:E,4,0)</f>
        <v>0.2185</v>
      </c>
      <c r="H7616" s="225">
        <f t="shared" si="118"/>
        <v>54.61</v>
      </c>
    </row>
    <row r="7617" spans="1:8" x14ac:dyDescent="0.3">
      <c r="A7617" s="400"/>
      <c r="B7617" s="709">
        <v>100860</v>
      </c>
      <c r="C7617" s="710" t="s">
        <v>14286</v>
      </c>
      <c r="D7617" s="709" t="s">
        <v>136</v>
      </c>
      <c r="E7617" s="716">
        <v>141</v>
      </c>
      <c r="F7617" s="717">
        <v>0</v>
      </c>
      <c r="G7617">
        <f>VLOOKUP(B7617,'SINAPI-%MO'!B:E,4,0)</f>
        <v>0.34050000000000002</v>
      </c>
      <c r="H7617" s="225">
        <f t="shared" si="118"/>
        <v>92.98</v>
      </c>
    </row>
    <row r="7618" spans="1:8" x14ac:dyDescent="0.3">
      <c r="A7618" s="400"/>
      <c r="B7618" s="709">
        <v>86936</v>
      </c>
      <c r="C7618" s="710" t="s">
        <v>14287</v>
      </c>
      <c r="D7618" s="709" t="s">
        <v>136</v>
      </c>
      <c r="E7618" s="716">
        <v>641.6</v>
      </c>
      <c r="F7618" s="717">
        <v>0</v>
      </c>
      <c r="G7618">
        <f>VLOOKUP(B7618,'SINAPI-%MO'!B:E,4,0)</f>
        <v>5.5E-2</v>
      </c>
      <c r="H7618" s="225">
        <f t="shared" si="118"/>
        <v>606.30999999999995</v>
      </c>
    </row>
    <row r="7619" spans="1:8" x14ac:dyDescent="0.3">
      <c r="A7619" s="400"/>
      <c r="B7619" s="709">
        <v>86935</v>
      </c>
      <c r="C7619" s="710" t="s">
        <v>14288</v>
      </c>
      <c r="D7619" s="709" t="s">
        <v>136</v>
      </c>
      <c r="E7619" s="716">
        <v>342.37</v>
      </c>
      <c r="F7619" s="717">
        <v>0</v>
      </c>
      <c r="G7619">
        <f>VLOOKUP(B7619,'SINAPI-%MO'!B:E,4,0)</f>
        <v>7.6799999999999993E-2</v>
      </c>
      <c r="H7619" s="225">
        <f t="shared" si="118"/>
        <v>316.07</v>
      </c>
    </row>
    <row r="7620" spans="1:8" x14ac:dyDescent="0.3">
      <c r="A7620" s="400"/>
      <c r="B7620" s="709">
        <v>86938</v>
      </c>
      <c r="C7620" s="710" t="s">
        <v>14289</v>
      </c>
      <c r="D7620" s="709" t="s">
        <v>136</v>
      </c>
      <c r="E7620" s="716">
        <v>594.04999999999995</v>
      </c>
      <c r="F7620" s="717">
        <v>0</v>
      </c>
      <c r="G7620">
        <f>VLOOKUP(B7620,'SINAPI-%MO'!B:E,4,0)</f>
        <v>9.4600000000000004E-2</v>
      </c>
      <c r="H7620" s="225">
        <f t="shared" si="118"/>
        <v>537.85</v>
      </c>
    </row>
    <row r="7621" spans="1:8" x14ac:dyDescent="0.3">
      <c r="A7621" s="400"/>
      <c r="B7621" s="709">
        <v>86937</v>
      </c>
      <c r="C7621" s="710" t="s">
        <v>14290</v>
      </c>
      <c r="D7621" s="709" t="s">
        <v>136</v>
      </c>
      <c r="E7621" s="716">
        <v>294.82</v>
      </c>
      <c r="F7621" s="717">
        <v>0</v>
      </c>
      <c r="G7621">
        <f>VLOOKUP(B7621,'SINAPI-%MO'!B:E,4,0)</f>
        <v>0.1603</v>
      </c>
      <c r="H7621" s="225">
        <f t="shared" si="118"/>
        <v>247.56</v>
      </c>
    </row>
    <row r="7622" spans="1:8" x14ac:dyDescent="0.3">
      <c r="A7622" s="400"/>
      <c r="B7622" s="709">
        <v>86901</v>
      </c>
      <c r="C7622" s="710" t="s">
        <v>14291</v>
      </c>
      <c r="D7622" s="709" t="s">
        <v>136</v>
      </c>
      <c r="E7622" s="716">
        <v>178.32</v>
      </c>
      <c r="F7622" s="717">
        <v>0</v>
      </c>
      <c r="G7622">
        <f>VLOOKUP(B7622,'SINAPI-%MO'!B:E,4,0)</f>
        <v>0.20519999999999999</v>
      </c>
      <c r="H7622" s="225">
        <f t="shared" si="118"/>
        <v>141.72</v>
      </c>
    </row>
    <row r="7623" spans="1:8" x14ac:dyDescent="0.3">
      <c r="A7623" s="400"/>
      <c r="B7623" s="709">
        <v>106773</v>
      </c>
      <c r="C7623" s="710" t="s">
        <v>15136</v>
      </c>
      <c r="D7623" s="709" t="s">
        <v>136</v>
      </c>
      <c r="E7623" s="716">
        <v>0</v>
      </c>
      <c r="F7623" s="717"/>
      <c r="G7623" t="e">
        <f>VLOOKUP(B7623,'SINAPI-%MO'!B:E,4,0)</f>
        <v>#N/A</v>
      </c>
      <c r="H7623" s="225" t="str">
        <f t="shared" si="118"/>
        <v/>
      </c>
    </row>
    <row r="7624" spans="1:8" x14ac:dyDescent="0.3">
      <c r="A7624" s="400"/>
      <c r="B7624" s="709">
        <v>86900</v>
      </c>
      <c r="C7624" s="710" t="s">
        <v>14292</v>
      </c>
      <c r="D7624" s="709" t="s">
        <v>136</v>
      </c>
      <c r="E7624" s="716">
        <v>217.76</v>
      </c>
      <c r="F7624" s="717">
        <v>0</v>
      </c>
      <c r="G7624">
        <f>VLOOKUP(B7624,'SINAPI-%MO'!B:E,4,0)</f>
        <v>7.1800000000000003E-2</v>
      </c>
      <c r="H7624" s="225">
        <f t="shared" si="118"/>
        <v>202.12</v>
      </c>
    </row>
    <row r="7625" spans="1:8" x14ac:dyDescent="0.3">
      <c r="A7625" s="400"/>
      <c r="B7625" s="709">
        <v>100852</v>
      </c>
      <c r="C7625" s="710" t="s">
        <v>14293</v>
      </c>
      <c r="D7625" s="709" t="s">
        <v>136</v>
      </c>
      <c r="E7625" s="716">
        <v>238.29</v>
      </c>
      <c r="F7625" s="717">
        <v>0</v>
      </c>
      <c r="G7625">
        <f>VLOOKUP(B7625,'SINAPI-%MO'!B:E,4,0)</f>
        <v>6.5600000000000006E-2</v>
      </c>
      <c r="H7625" s="225">
        <f t="shared" si="118"/>
        <v>222.65</v>
      </c>
    </row>
    <row r="7626" spans="1:8" x14ac:dyDescent="0.3">
      <c r="A7626" s="400"/>
      <c r="B7626" s="709">
        <v>106769</v>
      </c>
      <c r="C7626" s="710" t="s">
        <v>15137</v>
      </c>
      <c r="D7626" s="709" t="s">
        <v>136</v>
      </c>
      <c r="E7626" s="716">
        <v>0</v>
      </c>
      <c r="F7626" s="717"/>
      <c r="G7626" t="e">
        <f>VLOOKUP(B7626,'SINAPI-%MO'!B:E,4,0)</f>
        <v>#N/A</v>
      </c>
      <c r="H7626" s="225" t="str">
        <f t="shared" si="118"/>
        <v/>
      </c>
    </row>
    <row r="7627" spans="1:8" x14ac:dyDescent="0.3">
      <c r="A7627" s="400"/>
      <c r="B7627" s="709">
        <v>106768</v>
      </c>
      <c r="C7627" s="710" t="s">
        <v>15138</v>
      </c>
      <c r="D7627" s="709" t="s">
        <v>136</v>
      </c>
      <c r="E7627" s="716">
        <v>0</v>
      </c>
      <c r="F7627" s="717"/>
      <c r="G7627" t="e">
        <f>VLOOKUP(B7627,'SINAPI-%MO'!B:E,4,0)</f>
        <v>#N/A</v>
      </c>
      <c r="H7627" s="225" t="str">
        <f t="shared" ref="H7627:H7690" si="119">IF(E7627&gt;0,TRUNC(E7627*(1-G7627),2),"")</f>
        <v/>
      </c>
    </row>
    <row r="7628" spans="1:8" x14ac:dyDescent="0.3">
      <c r="A7628" s="400"/>
      <c r="B7628" s="709">
        <v>106766</v>
      </c>
      <c r="C7628" s="710" t="s">
        <v>14294</v>
      </c>
      <c r="D7628" s="709" t="s">
        <v>136</v>
      </c>
      <c r="E7628" s="716">
        <v>70.69</v>
      </c>
      <c r="F7628" s="717">
        <v>0</v>
      </c>
      <c r="G7628">
        <f>VLOOKUP(B7628,'SINAPI-%MO'!B:E,4,0)</f>
        <v>0.3241</v>
      </c>
      <c r="H7628" s="225">
        <f t="shared" si="119"/>
        <v>47.77</v>
      </c>
    </row>
    <row r="7629" spans="1:8" x14ac:dyDescent="0.3">
      <c r="A7629" s="400"/>
      <c r="B7629" s="709">
        <v>106765</v>
      </c>
      <c r="C7629" s="710" t="s">
        <v>14295</v>
      </c>
      <c r="D7629" s="709" t="s">
        <v>136</v>
      </c>
      <c r="E7629" s="716">
        <v>70.69</v>
      </c>
      <c r="F7629" s="717">
        <v>0</v>
      </c>
      <c r="G7629">
        <f>VLOOKUP(B7629,'SINAPI-%MO'!B:E,4,0)</f>
        <v>0.3241</v>
      </c>
      <c r="H7629" s="225">
        <f t="shared" si="119"/>
        <v>47.77</v>
      </c>
    </row>
    <row r="7630" spans="1:8" x14ac:dyDescent="0.3">
      <c r="A7630" s="400"/>
      <c r="B7630" s="709">
        <v>106774</v>
      </c>
      <c r="C7630" s="710" t="s">
        <v>15139</v>
      </c>
      <c r="D7630" s="709" t="s">
        <v>136</v>
      </c>
      <c r="E7630" s="716">
        <v>0</v>
      </c>
      <c r="F7630" s="717"/>
      <c r="G7630" t="e">
        <f>VLOOKUP(B7630,'SINAPI-%MO'!B:E,4,0)</f>
        <v>#N/A</v>
      </c>
      <c r="H7630" s="225" t="str">
        <f t="shared" si="119"/>
        <v/>
      </c>
    </row>
    <row r="7631" spans="1:8" x14ac:dyDescent="0.3">
      <c r="A7631" s="400"/>
      <c r="B7631" s="709">
        <v>86886</v>
      </c>
      <c r="C7631" s="710" t="s">
        <v>14296</v>
      </c>
      <c r="D7631" s="709" t="s">
        <v>136</v>
      </c>
      <c r="E7631" s="716">
        <v>75.27</v>
      </c>
      <c r="F7631" s="717">
        <v>0</v>
      </c>
      <c r="G7631">
        <f>VLOOKUP(B7631,'SINAPI-%MO'!B:E,4,0)</f>
        <v>8.09E-2</v>
      </c>
      <c r="H7631" s="225">
        <f t="shared" si="119"/>
        <v>69.180000000000007</v>
      </c>
    </row>
    <row r="7632" spans="1:8" x14ac:dyDescent="0.3">
      <c r="A7632" s="400"/>
      <c r="B7632" s="709">
        <v>86887</v>
      </c>
      <c r="C7632" s="710" t="s">
        <v>14297</v>
      </c>
      <c r="D7632" s="709" t="s">
        <v>136</v>
      </c>
      <c r="E7632" s="716">
        <v>81.8</v>
      </c>
      <c r="F7632" s="717">
        <v>0</v>
      </c>
      <c r="G7632">
        <f>VLOOKUP(B7632,'SINAPI-%MO'!B:E,4,0)</f>
        <v>7.4399999999999994E-2</v>
      </c>
      <c r="H7632" s="225">
        <f t="shared" si="119"/>
        <v>75.709999999999994</v>
      </c>
    </row>
    <row r="7633" spans="1:8" x14ac:dyDescent="0.3">
      <c r="A7633" s="400"/>
      <c r="B7633" s="709">
        <v>86884</v>
      </c>
      <c r="C7633" s="710" t="s">
        <v>14298</v>
      </c>
      <c r="D7633" s="709" t="s">
        <v>136</v>
      </c>
      <c r="E7633" s="716">
        <v>12.85</v>
      </c>
      <c r="F7633" s="717">
        <v>0</v>
      </c>
      <c r="G7633">
        <f>VLOOKUP(B7633,'SINAPI-%MO'!B:E,4,0)</f>
        <v>0.47389999999999999</v>
      </c>
      <c r="H7633" s="225">
        <f t="shared" si="119"/>
        <v>6.76</v>
      </c>
    </row>
    <row r="7634" spans="1:8" x14ac:dyDescent="0.3">
      <c r="A7634" s="400"/>
      <c r="B7634" s="709">
        <v>86885</v>
      </c>
      <c r="C7634" s="710" t="s">
        <v>14299</v>
      </c>
      <c r="D7634" s="709" t="s">
        <v>136</v>
      </c>
      <c r="E7634" s="716">
        <v>14.59</v>
      </c>
      <c r="F7634" s="717">
        <v>0</v>
      </c>
      <c r="G7634">
        <f>VLOOKUP(B7634,'SINAPI-%MO'!B:E,4,0)</f>
        <v>0.41739999999999999</v>
      </c>
      <c r="H7634" s="225">
        <f t="shared" si="119"/>
        <v>8.5</v>
      </c>
    </row>
    <row r="7635" spans="1:8" x14ac:dyDescent="0.3">
      <c r="A7635" s="400"/>
      <c r="B7635" s="709">
        <v>95546</v>
      </c>
      <c r="C7635" s="710" t="s">
        <v>14300</v>
      </c>
      <c r="D7635" s="709" t="s">
        <v>136</v>
      </c>
      <c r="E7635" s="716">
        <v>303.66000000000003</v>
      </c>
      <c r="F7635" s="717">
        <v>0</v>
      </c>
      <c r="G7635">
        <f>VLOOKUP(B7635,'SINAPI-%MO'!B:E,4,0)</f>
        <v>0.30199999999999999</v>
      </c>
      <c r="H7635" s="225">
        <f t="shared" si="119"/>
        <v>211.95</v>
      </c>
    </row>
    <row r="7636" spans="1:8" x14ac:dyDescent="0.3">
      <c r="A7636" s="400"/>
      <c r="B7636" s="709">
        <v>106775</v>
      </c>
      <c r="C7636" s="710" t="s">
        <v>15140</v>
      </c>
      <c r="D7636" s="709" t="s">
        <v>136</v>
      </c>
      <c r="E7636" s="716">
        <v>0</v>
      </c>
      <c r="F7636" s="717"/>
      <c r="G7636" t="e">
        <f>VLOOKUP(B7636,'SINAPI-%MO'!B:E,4,0)</f>
        <v>#N/A</v>
      </c>
      <c r="H7636" s="225" t="str">
        <f t="shared" si="119"/>
        <v/>
      </c>
    </row>
    <row r="7637" spans="1:8" x14ac:dyDescent="0.3">
      <c r="A7637" s="400"/>
      <c r="B7637" s="709">
        <v>86902</v>
      </c>
      <c r="C7637" s="710" t="s">
        <v>14301</v>
      </c>
      <c r="D7637" s="709" t="s">
        <v>136</v>
      </c>
      <c r="E7637" s="716">
        <v>347.59</v>
      </c>
      <c r="F7637" s="717">
        <v>0.26579999999999998</v>
      </c>
      <c r="G7637">
        <f>VLOOKUP(B7637,'SINAPI-%MO'!B:E,4,0)</f>
        <v>9.8100000000000007E-2</v>
      </c>
      <c r="H7637" s="225">
        <f t="shared" si="119"/>
        <v>313.49</v>
      </c>
    </row>
    <row r="7638" spans="1:8" x14ac:dyDescent="0.3">
      <c r="A7638" s="400"/>
      <c r="B7638" s="709">
        <v>86939</v>
      </c>
      <c r="C7638" s="710" t="s">
        <v>14302</v>
      </c>
      <c r="D7638" s="709" t="s">
        <v>136</v>
      </c>
      <c r="E7638" s="716">
        <v>526.58000000000004</v>
      </c>
      <c r="F7638" s="717">
        <v>0.17549999999999999</v>
      </c>
      <c r="G7638">
        <f>VLOOKUP(B7638,'SINAPI-%MO'!B:E,4,0)</f>
        <v>9.8199999999999996E-2</v>
      </c>
      <c r="H7638" s="225">
        <f t="shared" si="119"/>
        <v>474.86</v>
      </c>
    </row>
    <row r="7639" spans="1:8" x14ac:dyDescent="0.3">
      <c r="A7639" s="400"/>
      <c r="B7639" s="709">
        <v>86903</v>
      </c>
      <c r="C7639" s="710" t="s">
        <v>14303</v>
      </c>
      <c r="D7639" s="709" t="s">
        <v>136</v>
      </c>
      <c r="E7639" s="716">
        <v>410.71</v>
      </c>
      <c r="F7639" s="717">
        <v>0.22500000000000001</v>
      </c>
      <c r="G7639">
        <f>VLOOKUP(B7639,'SINAPI-%MO'!B:E,4,0)</f>
        <v>0.17219999999999999</v>
      </c>
      <c r="H7639" s="225">
        <f t="shared" si="119"/>
        <v>339.98</v>
      </c>
    </row>
    <row r="7640" spans="1:8" x14ac:dyDescent="0.3">
      <c r="A7640" s="400"/>
      <c r="B7640" s="709">
        <v>86940</v>
      </c>
      <c r="C7640" s="710" t="s">
        <v>14304</v>
      </c>
      <c r="D7640" s="709" t="s">
        <v>136</v>
      </c>
      <c r="E7640" s="716">
        <v>1754.6</v>
      </c>
      <c r="F7640" s="717">
        <v>5.2699999999999997E-2</v>
      </c>
      <c r="G7640">
        <f>VLOOKUP(B7640,'SINAPI-%MO'!B:E,4,0)</f>
        <v>6.9699999999999998E-2</v>
      </c>
      <c r="H7640" s="225">
        <f t="shared" si="119"/>
        <v>1632.3</v>
      </c>
    </row>
    <row r="7641" spans="1:8" x14ac:dyDescent="0.3">
      <c r="A7641" s="400"/>
      <c r="B7641" s="709">
        <v>86941</v>
      </c>
      <c r="C7641" s="710" t="s">
        <v>14305</v>
      </c>
      <c r="D7641" s="709" t="s">
        <v>136</v>
      </c>
      <c r="E7641" s="716">
        <v>1179.96</v>
      </c>
      <c r="F7641" s="717">
        <v>7.8299999999999995E-2</v>
      </c>
      <c r="G7641">
        <f>VLOOKUP(B7641,'SINAPI-%MO'!B:E,4,0)</f>
        <v>8.4900000000000003E-2</v>
      </c>
      <c r="H7641" s="225">
        <f t="shared" si="119"/>
        <v>1079.78</v>
      </c>
    </row>
    <row r="7642" spans="1:8" x14ac:dyDescent="0.3">
      <c r="A7642" s="400"/>
      <c r="B7642" s="709">
        <v>86904</v>
      </c>
      <c r="C7642" s="710" t="s">
        <v>14306</v>
      </c>
      <c r="D7642" s="709" t="s">
        <v>136</v>
      </c>
      <c r="E7642" s="716">
        <v>175.81</v>
      </c>
      <c r="F7642" s="717">
        <v>0.17519999999999999</v>
      </c>
      <c r="G7642">
        <f>VLOOKUP(B7642,'SINAPI-%MO'!B:E,4,0)</f>
        <v>0.1123</v>
      </c>
      <c r="H7642" s="225">
        <f t="shared" si="119"/>
        <v>156.06</v>
      </c>
    </row>
    <row r="7643" spans="1:8" x14ac:dyDescent="0.3">
      <c r="A7643" s="400"/>
      <c r="B7643" s="709">
        <v>86943</v>
      </c>
      <c r="C7643" s="710" t="s">
        <v>14307</v>
      </c>
      <c r="D7643" s="709" t="s">
        <v>136</v>
      </c>
      <c r="E7643" s="716">
        <v>354.8</v>
      </c>
      <c r="F7643" s="717">
        <v>8.6800000000000002E-2</v>
      </c>
      <c r="G7643">
        <f>VLOOKUP(B7643,'SINAPI-%MO'!B:E,4,0)</f>
        <v>0.1053</v>
      </c>
      <c r="H7643" s="225">
        <f t="shared" si="119"/>
        <v>317.43</v>
      </c>
    </row>
    <row r="7644" spans="1:8" x14ac:dyDescent="0.3">
      <c r="A7644" s="400"/>
      <c r="B7644" s="709">
        <v>86942</v>
      </c>
      <c r="C7644" s="710" t="s">
        <v>14308</v>
      </c>
      <c r="D7644" s="709" t="s">
        <v>136</v>
      </c>
      <c r="E7644" s="716">
        <v>367.41</v>
      </c>
      <c r="F7644" s="717">
        <v>8.3799999999999999E-2</v>
      </c>
      <c r="G7644">
        <f>VLOOKUP(B7644,'SINAPI-%MO'!B:E,4,0)</f>
        <v>0.10829999999999999</v>
      </c>
      <c r="H7644" s="225">
        <f t="shared" si="119"/>
        <v>327.61</v>
      </c>
    </row>
    <row r="7645" spans="1:8" x14ac:dyDescent="0.3">
      <c r="A7645" s="400"/>
      <c r="B7645" s="709">
        <v>100856</v>
      </c>
      <c r="C7645" s="710" t="s">
        <v>14309</v>
      </c>
      <c r="D7645" s="709" t="s">
        <v>136</v>
      </c>
      <c r="E7645" s="716">
        <v>71.069999999999993</v>
      </c>
      <c r="F7645" s="717">
        <v>0</v>
      </c>
      <c r="G7645">
        <f>VLOOKUP(B7645,'SINAPI-%MO'!B:E,4,0)</f>
        <v>6.1499999999999999E-2</v>
      </c>
      <c r="H7645" s="225">
        <f t="shared" si="119"/>
        <v>66.69</v>
      </c>
    </row>
    <row r="7646" spans="1:8" x14ac:dyDescent="0.3">
      <c r="A7646" s="400"/>
      <c r="B7646" s="709">
        <v>106776</v>
      </c>
      <c r="C7646" s="710" t="s">
        <v>14310</v>
      </c>
      <c r="D7646" s="709" t="s">
        <v>136</v>
      </c>
      <c r="E7646" s="716">
        <v>764.94</v>
      </c>
      <c r="F7646" s="717">
        <v>0</v>
      </c>
      <c r="G7646">
        <f>VLOOKUP(B7646,'SINAPI-%MO'!B:E,4,0)</f>
        <v>0.02</v>
      </c>
      <c r="H7646" s="225">
        <f t="shared" si="119"/>
        <v>749.64</v>
      </c>
    </row>
    <row r="7647" spans="1:8" x14ac:dyDescent="0.3">
      <c r="A7647" s="400"/>
      <c r="B7647" s="709">
        <v>100858</v>
      </c>
      <c r="C7647" s="710" t="s">
        <v>14311</v>
      </c>
      <c r="D7647" s="709" t="s">
        <v>136</v>
      </c>
      <c r="E7647" s="716">
        <v>949.75</v>
      </c>
      <c r="F7647" s="717">
        <v>3.2399999999999998E-2</v>
      </c>
      <c r="G7647">
        <f>VLOOKUP(B7647,'SINAPI-%MO'!B:E,4,0)</f>
        <v>4.58E-2</v>
      </c>
      <c r="H7647" s="225">
        <f t="shared" si="119"/>
        <v>906.25</v>
      </c>
    </row>
    <row r="7648" spans="1:8" x14ac:dyDescent="0.3">
      <c r="A7648" s="400"/>
      <c r="B7648" s="709">
        <v>100859</v>
      </c>
      <c r="C7648" s="710" t="s">
        <v>14312</v>
      </c>
      <c r="D7648" s="709" t="s">
        <v>136</v>
      </c>
      <c r="E7648" s="716">
        <v>1303.3800000000001</v>
      </c>
      <c r="F7648" s="717">
        <v>2.3599999999999999E-2</v>
      </c>
      <c r="G7648">
        <f>VLOOKUP(B7648,'SINAPI-%MO'!B:E,4,0)</f>
        <v>6.9900000000000004E-2</v>
      </c>
      <c r="H7648" s="225">
        <f t="shared" si="119"/>
        <v>1212.27</v>
      </c>
    </row>
    <row r="7649" spans="1:8" x14ac:dyDescent="0.3">
      <c r="A7649" s="400"/>
      <c r="B7649" s="709">
        <v>95544</v>
      </c>
      <c r="C7649" s="710" t="s">
        <v>14313</v>
      </c>
      <c r="D7649" s="709" t="s">
        <v>136</v>
      </c>
      <c r="E7649" s="716">
        <v>97.75</v>
      </c>
      <c r="F7649" s="717">
        <v>0</v>
      </c>
      <c r="G7649">
        <f>VLOOKUP(B7649,'SINAPI-%MO'!B:E,4,0)</f>
        <v>0.15620000000000001</v>
      </c>
      <c r="H7649" s="225">
        <f t="shared" si="119"/>
        <v>82.48</v>
      </c>
    </row>
    <row r="7650" spans="1:8" x14ac:dyDescent="0.3">
      <c r="A7650" s="400"/>
      <c r="B7650" s="709">
        <v>106772</v>
      </c>
      <c r="C7650" s="710" t="s">
        <v>14314</v>
      </c>
      <c r="D7650" s="709" t="s">
        <v>136</v>
      </c>
      <c r="E7650" s="716">
        <v>347.72</v>
      </c>
      <c r="F7650" s="717">
        <v>0</v>
      </c>
      <c r="G7650">
        <f>VLOOKUP(B7650,'SINAPI-%MO'!B:E,4,0)</f>
        <v>0.19670000000000001</v>
      </c>
      <c r="H7650" s="225">
        <f t="shared" si="119"/>
        <v>279.32</v>
      </c>
    </row>
    <row r="7651" spans="1:8" x14ac:dyDescent="0.3">
      <c r="A7651" s="400"/>
      <c r="B7651" s="709">
        <v>95543</v>
      </c>
      <c r="C7651" s="710" t="s">
        <v>14315</v>
      </c>
      <c r="D7651" s="709" t="s">
        <v>136</v>
      </c>
      <c r="E7651" s="716">
        <v>128.68</v>
      </c>
      <c r="F7651" s="717">
        <v>0</v>
      </c>
      <c r="G7651">
        <f>VLOOKUP(B7651,'SINAPI-%MO'!B:E,4,0)</f>
        <v>0.23749999999999999</v>
      </c>
      <c r="H7651" s="225">
        <f t="shared" si="119"/>
        <v>98.11</v>
      </c>
    </row>
    <row r="7652" spans="1:8" x14ac:dyDescent="0.3">
      <c r="A7652" s="400"/>
      <c r="B7652" s="709">
        <v>95542</v>
      </c>
      <c r="C7652" s="710" t="s">
        <v>14316</v>
      </c>
      <c r="D7652" s="709" t="s">
        <v>136</v>
      </c>
      <c r="E7652" s="716">
        <v>78.28</v>
      </c>
      <c r="F7652" s="717">
        <v>0</v>
      </c>
      <c r="G7652">
        <f>VLOOKUP(B7652,'SINAPI-%MO'!B:E,4,0)</f>
        <v>0.1951</v>
      </c>
      <c r="H7652" s="225">
        <f t="shared" si="119"/>
        <v>63</v>
      </c>
    </row>
    <row r="7653" spans="1:8" x14ac:dyDescent="0.3">
      <c r="A7653" s="400"/>
      <c r="B7653" s="709">
        <v>106767</v>
      </c>
      <c r="C7653" s="710" t="s">
        <v>15141</v>
      </c>
      <c r="D7653" s="709" t="s">
        <v>136</v>
      </c>
      <c r="E7653" s="716">
        <v>0</v>
      </c>
      <c r="F7653" s="717"/>
      <c r="G7653" t="e">
        <f>VLOOKUP(B7653,'SINAPI-%MO'!B:E,4,0)</f>
        <v>#N/A</v>
      </c>
      <c r="H7653" s="225" t="str">
        <f t="shared" si="119"/>
        <v/>
      </c>
    </row>
    <row r="7654" spans="1:8" x14ac:dyDescent="0.3">
      <c r="A7654" s="400"/>
      <c r="B7654" s="709">
        <v>100874</v>
      </c>
      <c r="C7654" s="710" t="s">
        <v>14317</v>
      </c>
      <c r="D7654" s="709" t="s">
        <v>136</v>
      </c>
      <c r="E7654" s="716">
        <v>399.56</v>
      </c>
      <c r="F7654" s="717">
        <v>0.23130000000000001</v>
      </c>
      <c r="G7654">
        <f>VLOOKUP(B7654,'SINAPI-%MO'!B:E,4,0)</f>
        <v>0.1147</v>
      </c>
      <c r="H7654" s="225">
        <f t="shared" si="119"/>
        <v>353.73</v>
      </c>
    </row>
    <row r="7655" spans="1:8" x14ac:dyDescent="0.3">
      <c r="A7655" s="400"/>
      <c r="B7655" s="709">
        <v>95545</v>
      </c>
      <c r="C7655" s="710" t="s">
        <v>14318</v>
      </c>
      <c r="D7655" s="709" t="s">
        <v>136</v>
      </c>
      <c r="E7655" s="716">
        <v>95.67</v>
      </c>
      <c r="F7655" s="717">
        <v>0</v>
      </c>
      <c r="G7655">
        <f>VLOOKUP(B7655,'SINAPI-%MO'!B:E,4,0)</f>
        <v>0.15959999999999999</v>
      </c>
      <c r="H7655" s="225">
        <f t="shared" si="119"/>
        <v>80.400000000000006</v>
      </c>
    </row>
    <row r="7656" spans="1:8" x14ac:dyDescent="0.3">
      <c r="A7656" s="400"/>
      <c r="B7656" s="709">
        <v>95547</v>
      </c>
      <c r="C7656" s="710" t="s">
        <v>14319</v>
      </c>
      <c r="D7656" s="709" t="s">
        <v>136</v>
      </c>
      <c r="E7656" s="716">
        <v>61.17</v>
      </c>
      <c r="F7656" s="717">
        <v>0</v>
      </c>
      <c r="G7656">
        <f>VLOOKUP(B7656,'SINAPI-%MO'!B:E,4,0)</f>
        <v>0.24959999999999999</v>
      </c>
      <c r="H7656" s="225">
        <f t="shared" si="119"/>
        <v>45.9</v>
      </c>
    </row>
    <row r="7657" spans="1:8" x14ac:dyDescent="0.3">
      <c r="A7657" s="400"/>
      <c r="B7657" s="709">
        <v>86883</v>
      </c>
      <c r="C7657" s="710" t="s">
        <v>14320</v>
      </c>
      <c r="D7657" s="709" t="s">
        <v>136</v>
      </c>
      <c r="E7657" s="716">
        <v>14.44</v>
      </c>
      <c r="F7657" s="717">
        <v>0</v>
      </c>
      <c r="G7657">
        <f>VLOOKUP(B7657,'SINAPI-%MO'!B:E,4,0)</f>
        <v>0.23549999999999999</v>
      </c>
      <c r="H7657" s="225">
        <f t="shared" si="119"/>
        <v>11.03</v>
      </c>
    </row>
    <row r="7658" spans="1:8" x14ac:dyDescent="0.3">
      <c r="A7658" s="400"/>
      <c r="B7658" s="709">
        <v>86881</v>
      </c>
      <c r="C7658" s="710" t="s">
        <v>14321</v>
      </c>
      <c r="D7658" s="709" t="s">
        <v>136</v>
      </c>
      <c r="E7658" s="716">
        <v>313.67</v>
      </c>
      <c r="F7658" s="717">
        <v>0</v>
      </c>
      <c r="G7658">
        <f>VLOOKUP(B7658,'SINAPI-%MO'!B:E,4,0)</f>
        <v>3.9399999999999998E-2</v>
      </c>
      <c r="H7658" s="225">
        <f t="shared" si="119"/>
        <v>301.31</v>
      </c>
    </row>
    <row r="7659" spans="1:8" x14ac:dyDescent="0.3">
      <c r="A7659" s="400"/>
      <c r="B7659" s="709">
        <v>86882</v>
      </c>
      <c r="C7659" s="710" t="s">
        <v>14322</v>
      </c>
      <c r="D7659" s="709" t="s">
        <v>136</v>
      </c>
      <c r="E7659" s="716">
        <v>27.05</v>
      </c>
      <c r="F7659" s="717">
        <v>0</v>
      </c>
      <c r="G7659">
        <f>VLOOKUP(B7659,'SINAPI-%MO'!B:E,4,0)</f>
        <v>0.2155</v>
      </c>
      <c r="H7659" s="225">
        <f t="shared" si="119"/>
        <v>21.22</v>
      </c>
    </row>
    <row r="7660" spans="1:8" x14ac:dyDescent="0.3">
      <c r="A7660" s="400"/>
      <c r="B7660" s="709">
        <v>100861</v>
      </c>
      <c r="C7660" s="710" t="s">
        <v>14323</v>
      </c>
      <c r="D7660" s="709" t="s">
        <v>136</v>
      </c>
      <c r="E7660" s="716">
        <v>45.18</v>
      </c>
      <c r="F7660" s="717">
        <v>0</v>
      </c>
      <c r="G7660">
        <f>VLOOKUP(B7660,'SINAPI-%MO'!B:E,4,0)</f>
        <v>0.5071</v>
      </c>
      <c r="H7660" s="225">
        <f t="shared" si="119"/>
        <v>22.26</v>
      </c>
    </row>
    <row r="7661" spans="1:8" x14ac:dyDescent="0.3">
      <c r="A7661" s="400"/>
      <c r="B7661" s="709">
        <v>100862</v>
      </c>
      <c r="C7661" s="710" t="s">
        <v>14324</v>
      </c>
      <c r="D7661" s="709" t="s">
        <v>136</v>
      </c>
      <c r="E7661" s="716">
        <v>48.89</v>
      </c>
      <c r="F7661" s="717">
        <v>0</v>
      </c>
      <c r="G7661">
        <f>VLOOKUP(B7661,'SINAPI-%MO'!B:E,4,0)</f>
        <v>0.46860000000000002</v>
      </c>
      <c r="H7661" s="225">
        <f t="shared" si="119"/>
        <v>25.98</v>
      </c>
    </row>
    <row r="7662" spans="1:8" x14ac:dyDescent="0.3">
      <c r="A7662" s="400"/>
      <c r="B7662" s="709">
        <v>86872</v>
      </c>
      <c r="C7662" s="710" t="s">
        <v>14325</v>
      </c>
      <c r="D7662" s="709" t="s">
        <v>136</v>
      </c>
      <c r="E7662" s="716">
        <v>892.95</v>
      </c>
      <c r="F7662" s="717">
        <v>0.10349999999999999</v>
      </c>
      <c r="G7662">
        <f>VLOOKUP(B7662,'SINAPI-%MO'!B:E,4,0)</f>
        <v>9.11E-2</v>
      </c>
      <c r="H7662" s="225">
        <f t="shared" si="119"/>
        <v>811.6</v>
      </c>
    </row>
    <row r="7663" spans="1:8" x14ac:dyDescent="0.3">
      <c r="A7663" s="400"/>
      <c r="B7663" s="709">
        <v>86919</v>
      </c>
      <c r="C7663" s="710" t="s">
        <v>14326</v>
      </c>
      <c r="D7663" s="709" t="s">
        <v>136</v>
      </c>
      <c r="E7663" s="716">
        <v>1194.6300000000001</v>
      </c>
      <c r="F7663" s="717">
        <v>7.7299999999999994E-2</v>
      </c>
      <c r="G7663">
        <f>VLOOKUP(B7663,'SINAPI-%MO'!B:E,4,0)</f>
        <v>8.2500000000000004E-2</v>
      </c>
      <c r="H7663" s="225">
        <f t="shared" si="119"/>
        <v>1096.07</v>
      </c>
    </row>
    <row r="7664" spans="1:8" x14ac:dyDescent="0.3">
      <c r="A7664" s="400"/>
      <c r="B7664" s="709">
        <v>86920</v>
      </c>
      <c r="C7664" s="710" t="s">
        <v>14327</v>
      </c>
      <c r="D7664" s="709" t="s">
        <v>136</v>
      </c>
      <c r="E7664" s="716">
        <v>1020.24</v>
      </c>
      <c r="F7664" s="717">
        <v>9.06E-2</v>
      </c>
      <c r="G7664">
        <f>VLOOKUP(B7664,'SINAPI-%MO'!B:E,4,0)</f>
        <v>9.3799999999999994E-2</v>
      </c>
      <c r="H7664" s="225">
        <f t="shared" si="119"/>
        <v>924.54</v>
      </c>
    </row>
    <row r="7665" spans="1:8" x14ac:dyDescent="0.3">
      <c r="A7665" s="400"/>
      <c r="B7665" s="709">
        <v>86921</v>
      </c>
      <c r="C7665" s="710" t="s">
        <v>14328</v>
      </c>
      <c r="D7665" s="709" t="s">
        <v>136</v>
      </c>
      <c r="E7665" s="716">
        <v>946.07</v>
      </c>
      <c r="F7665" s="717">
        <v>9.7699999999999995E-2</v>
      </c>
      <c r="G7665">
        <f>VLOOKUP(B7665,'SINAPI-%MO'!B:E,4,0)</f>
        <v>0.1011</v>
      </c>
      <c r="H7665" s="225">
        <f t="shared" si="119"/>
        <v>850.42</v>
      </c>
    </row>
    <row r="7666" spans="1:8" x14ac:dyDescent="0.3">
      <c r="A7666" s="400"/>
      <c r="B7666" s="709">
        <v>86874</v>
      </c>
      <c r="C7666" s="710" t="s">
        <v>14329</v>
      </c>
      <c r="D7666" s="709" t="s">
        <v>136</v>
      </c>
      <c r="E7666" s="716">
        <v>626.09</v>
      </c>
      <c r="F7666" s="717">
        <v>9.8400000000000001E-2</v>
      </c>
      <c r="G7666">
        <f>VLOOKUP(B7666,'SINAPI-%MO'!B:E,4,0)</f>
        <v>5.8599999999999999E-2</v>
      </c>
      <c r="H7666" s="225">
        <f t="shared" si="119"/>
        <v>589.4</v>
      </c>
    </row>
    <row r="7667" spans="1:8" x14ac:dyDescent="0.3">
      <c r="A7667" s="400"/>
      <c r="B7667" s="709">
        <v>86922</v>
      </c>
      <c r="C7667" s="710" t="s">
        <v>14330</v>
      </c>
      <c r="D7667" s="709" t="s">
        <v>136</v>
      </c>
      <c r="E7667" s="716">
        <v>1227</v>
      </c>
      <c r="F7667" s="717">
        <v>5.0200000000000002E-2</v>
      </c>
      <c r="G7667">
        <f>VLOOKUP(B7667,'SINAPI-%MO'!B:E,4,0)</f>
        <v>5.1299999999999998E-2</v>
      </c>
      <c r="H7667" s="225">
        <f t="shared" si="119"/>
        <v>1164.05</v>
      </c>
    </row>
    <row r="7668" spans="1:8" x14ac:dyDescent="0.3">
      <c r="A7668" s="400"/>
      <c r="B7668" s="709">
        <v>86923</v>
      </c>
      <c r="C7668" s="710" t="s">
        <v>14331</v>
      </c>
      <c r="D7668" s="709" t="s">
        <v>136</v>
      </c>
      <c r="E7668" s="716">
        <v>765.99</v>
      </c>
      <c r="F7668" s="717">
        <v>8.0399999999999999E-2</v>
      </c>
      <c r="G7668">
        <f>VLOOKUP(B7668,'SINAPI-%MO'!B:E,4,0)</f>
        <v>6.9800000000000001E-2</v>
      </c>
      <c r="H7668" s="225">
        <f t="shared" si="119"/>
        <v>712.52</v>
      </c>
    </row>
    <row r="7669" spans="1:8" x14ac:dyDescent="0.3">
      <c r="A7669" s="400"/>
      <c r="B7669" s="709">
        <v>86924</v>
      </c>
      <c r="C7669" s="710" t="s">
        <v>14332</v>
      </c>
      <c r="D7669" s="709" t="s">
        <v>136</v>
      </c>
      <c r="E7669" s="716">
        <v>691.82</v>
      </c>
      <c r="F7669" s="717">
        <v>8.8999999999999996E-2</v>
      </c>
      <c r="G7669">
        <f>VLOOKUP(B7669,'SINAPI-%MO'!B:E,4,0)</f>
        <v>7.7299999999999994E-2</v>
      </c>
      <c r="H7669" s="225">
        <f t="shared" si="119"/>
        <v>638.34</v>
      </c>
    </row>
    <row r="7670" spans="1:8" x14ac:dyDescent="0.3">
      <c r="A7670" s="400"/>
      <c r="B7670" s="709">
        <v>86875</v>
      </c>
      <c r="C7670" s="710" t="s">
        <v>14333</v>
      </c>
      <c r="D7670" s="709" t="s">
        <v>136</v>
      </c>
      <c r="E7670" s="716">
        <v>661.98</v>
      </c>
      <c r="F7670" s="717">
        <v>0.1396</v>
      </c>
      <c r="G7670">
        <f>VLOOKUP(B7670,'SINAPI-%MO'!B:E,4,0)</f>
        <v>7.1099999999999997E-2</v>
      </c>
      <c r="H7670" s="225">
        <f t="shared" si="119"/>
        <v>614.91</v>
      </c>
    </row>
    <row r="7671" spans="1:8" x14ac:dyDescent="0.3">
      <c r="A7671" s="400"/>
      <c r="B7671" s="709">
        <v>86925</v>
      </c>
      <c r="C7671" s="710" t="s">
        <v>14334</v>
      </c>
      <c r="D7671" s="709" t="s">
        <v>136</v>
      </c>
      <c r="E7671" s="716">
        <v>789.27</v>
      </c>
      <c r="F7671" s="717">
        <v>0.1171</v>
      </c>
      <c r="G7671">
        <f>VLOOKUP(B7671,'SINAPI-%MO'!B:E,4,0)</f>
        <v>7.7799999999999994E-2</v>
      </c>
      <c r="H7671" s="225">
        <f t="shared" si="119"/>
        <v>727.86</v>
      </c>
    </row>
    <row r="7672" spans="1:8" x14ac:dyDescent="0.3">
      <c r="A7672" s="400"/>
      <c r="B7672" s="709">
        <v>86926</v>
      </c>
      <c r="C7672" s="710" t="s">
        <v>14335</v>
      </c>
      <c r="D7672" s="709" t="s">
        <v>136</v>
      </c>
      <c r="E7672" s="716">
        <v>715.1</v>
      </c>
      <c r="F7672" s="717">
        <v>0.12920000000000001</v>
      </c>
      <c r="G7672">
        <f>VLOOKUP(B7672,'SINAPI-%MO'!B:E,4,0)</f>
        <v>8.5900000000000004E-2</v>
      </c>
      <c r="H7672" s="225">
        <f t="shared" si="119"/>
        <v>653.66999999999996</v>
      </c>
    </row>
    <row r="7673" spans="1:8" x14ac:dyDescent="0.3">
      <c r="A7673" s="400"/>
      <c r="B7673" s="709">
        <v>86876</v>
      </c>
      <c r="C7673" s="710" t="s">
        <v>14336</v>
      </c>
      <c r="D7673" s="709" t="s">
        <v>136</v>
      </c>
      <c r="E7673" s="716">
        <v>373.53</v>
      </c>
      <c r="F7673" s="717">
        <v>0.16489999999999999</v>
      </c>
      <c r="G7673">
        <f>VLOOKUP(B7673,'SINAPI-%MO'!B:E,4,0)</f>
        <v>9.1600000000000001E-2</v>
      </c>
      <c r="H7673" s="225">
        <f t="shared" si="119"/>
        <v>339.31</v>
      </c>
    </row>
    <row r="7674" spans="1:8" x14ac:dyDescent="0.3">
      <c r="A7674" s="400"/>
      <c r="B7674" s="709">
        <v>86929</v>
      </c>
      <c r="C7674" s="710" t="s">
        <v>14337</v>
      </c>
      <c r="D7674" s="709" t="s">
        <v>136</v>
      </c>
      <c r="E7674" s="716">
        <v>500.82</v>
      </c>
      <c r="F7674" s="717">
        <v>0.123</v>
      </c>
      <c r="G7674">
        <f>VLOOKUP(B7674,'SINAPI-%MO'!B:E,4,0)</f>
        <v>9.69E-2</v>
      </c>
      <c r="H7674" s="225">
        <f t="shared" si="119"/>
        <v>452.29</v>
      </c>
    </row>
    <row r="7675" spans="1:8" x14ac:dyDescent="0.3">
      <c r="A7675" s="400"/>
      <c r="B7675" s="709">
        <v>86930</v>
      </c>
      <c r="C7675" s="710" t="s">
        <v>14338</v>
      </c>
      <c r="D7675" s="709" t="s">
        <v>136</v>
      </c>
      <c r="E7675" s="716">
        <v>426.65</v>
      </c>
      <c r="F7675" s="717">
        <v>0.1444</v>
      </c>
      <c r="G7675">
        <f>VLOOKUP(B7675,'SINAPI-%MO'!B:E,4,0)</f>
        <v>0.1137</v>
      </c>
      <c r="H7675" s="225">
        <f t="shared" si="119"/>
        <v>378.13</v>
      </c>
    </row>
    <row r="7676" spans="1:8" x14ac:dyDescent="0.3">
      <c r="A7676" s="400"/>
      <c r="B7676" s="709">
        <v>86927</v>
      </c>
      <c r="C7676" s="710" t="s">
        <v>14339</v>
      </c>
      <c r="D7676" s="709" t="s">
        <v>136</v>
      </c>
      <c r="E7676" s="716">
        <v>513.42999999999995</v>
      </c>
      <c r="F7676" s="717">
        <v>0.12</v>
      </c>
      <c r="G7676">
        <f>VLOOKUP(B7676,'SINAPI-%MO'!B:E,4,0)</f>
        <v>9.9299999999999999E-2</v>
      </c>
      <c r="H7676" s="225">
        <f t="shared" si="119"/>
        <v>462.44</v>
      </c>
    </row>
    <row r="7677" spans="1:8" x14ac:dyDescent="0.3">
      <c r="A7677" s="400"/>
      <c r="B7677" s="709">
        <v>86928</v>
      </c>
      <c r="C7677" s="710" t="s">
        <v>14340</v>
      </c>
      <c r="D7677" s="709" t="s">
        <v>136</v>
      </c>
      <c r="E7677" s="716">
        <v>439.26</v>
      </c>
      <c r="F7677" s="717">
        <v>0.14019999999999999</v>
      </c>
      <c r="G7677">
        <f>VLOOKUP(B7677,'SINAPI-%MO'!B:E,4,0)</f>
        <v>0.11600000000000001</v>
      </c>
      <c r="H7677" s="225">
        <f t="shared" si="119"/>
        <v>388.3</v>
      </c>
    </row>
    <row r="7678" spans="1:8" x14ac:dyDescent="0.3">
      <c r="A7678" s="400"/>
      <c r="B7678" s="709">
        <v>106777</v>
      </c>
      <c r="C7678" s="710" t="s">
        <v>15142</v>
      </c>
      <c r="D7678" s="709" t="s">
        <v>136</v>
      </c>
      <c r="E7678" s="716">
        <v>0</v>
      </c>
      <c r="F7678" s="717"/>
      <c r="G7678" t="e">
        <f>VLOOKUP(B7678,'SINAPI-%MO'!B:E,4,0)</f>
        <v>#N/A</v>
      </c>
      <c r="H7678" s="225" t="str">
        <f t="shared" si="119"/>
        <v/>
      </c>
    </row>
    <row r="7679" spans="1:8" x14ac:dyDescent="0.3">
      <c r="A7679" s="400"/>
      <c r="B7679" s="709">
        <v>86914</v>
      </c>
      <c r="C7679" s="710" t="s">
        <v>14341</v>
      </c>
      <c r="D7679" s="709" t="s">
        <v>136</v>
      </c>
      <c r="E7679" s="716">
        <v>185.18</v>
      </c>
      <c r="F7679" s="717">
        <v>0</v>
      </c>
      <c r="G7679">
        <f>VLOOKUP(B7679,'SINAPI-%MO'!B:E,4,0)</f>
        <v>3.5400000000000001E-2</v>
      </c>
      <c r="H7679" s="225">
        <f t="shared" si="119"/>
        <v>178.62</v>
      </c>
    </row>
    <row r="7680" spans="1:8" x14ac:dyDescent="0.3">
      <c r="A7680" s="400"/>
      <c r="B7680" s="709">
        <v>86913</v>
      </c>
      <c r="C7680" s="710" t="s">
        <v>14342</v>
      </c>
      <c r="D7680" s="709" t="s">
        <v>136</v>
      </c>
      <c r="E7680" s="716">
        <v>101.99</v>
      </c>
      <c r="F7680" s="717">
        <v>0</v>
      </c>
      <c r="G7680">
        <f>VLOOKUP(B7680,'SINAPI-%MO'!B:E,4,0)</f>
        <v>6.4299999999999996E-2</v>
      </c>
      <c r="H7680" s="225">
        <f t="shared" si="119"/>
        <v>95.43</v>
      </c>
    </row>
    <row r="7681" spans="1:8" x14ac:dyDescent="0.3">
      <c r="A7681" s="400"/>
      <c r="B7681" s="709">
        <v>106778</v>
      </c>
      <c r="C7681" s="710" t="s">
        <v>15143</v>
      </c>
      <c r="D7681" s="709" t="s">
        <v>136</v>
      </c>
      <c r="E7681" s="716">
        <v>0</v>
      </c>
      <c r="F7681" s="717"/>
      <c r="G7681" t="e">
        <f>VLOOKUP(B7681,'SINAPI-%MO'!B:E,4,0)</f>
        <v>#N/A</v>
      </c>
      <c r="H7681" s="225" t="str">
        <f t="shared" si="119"/>
        <v/>
      </c>
    </row>
    <row r="7682" spans="1:8" x14ac:dyDescent="0.3">
      <c r="A7682" s="400"/>
      <c r="B7682" s="709">
        <v>106779</v>
      </c>
      <c r="C7682" s="710" t="s">
        <v>14343</v>
      </c>
      <c r="D7682" s="709" t="s">
        <v>136</v>
      </c>
      <c r="E7682" s="716">
        <v>285.29000000000002</v>
      </c>
      <c r="F7682" s="717">
        <v>0</v>
      </c>
      <c r="G7682">
        <f>VLOOKUP(B7682,'SINAPI-%MO'!B:E,4,0)</f>
        <v>1.32E-2</v>
      </c>
      <c r="H7682" s="225">
        <f t="shared" si="119"/>
        <v>281.52</v>
      </c>
    </row>
    <row r="7683" spans="1:8" x14ac:dyDescent="0.3">
      <c r="A7683" s="400"/>
      <c r="B7683" s="709">
        <v>100854</v>
      </c>
      <c r="C7683" s="710" t="s">
        <v>14344</v>
      </c>
      <c r="D7683" s="709" t="s">
        <v>136</v>
      </c>
      <c r="E7683" s="716">
        <v>3407.73</v>
      </c>
      <c r="F7683" s="717">
        <v>0</v>
      </c>
      <c r="G7683">
        <f>VLOOKUP(B7683,'SINAPI-%MO'!B:E,4,0)</f>
        <v>5.7999999999999996E-3</v>
      </c>
      <c r="H7683" s="225">
        <f t="shared" si="119"/>
        <v>3387.96</v>
      </c>
    </row>
    <row r="7684" spans="1:8" x14ac:dyDescent="0.3">
      <c r="A7684" s="400"/>
      <c r="B7684" s="709">
        <v>100853</v>
      </c>
      <c r="C7684" s="710" t="s">
        <v>14345</v>
      </c>
      <c r="D7684" s="709" t="s">
        <v>136</v>
      </c>
      <c r="E7684" s="716">
        <v>648.5</v>
      </c>
      <c r="F7684" s="717">
        <v>0</v>
      </c>
      <c r="G7684">
        <f>VLOOKUP(B7684,'SINAPI-%MO'!B:E,4,0)</f>
        <v>3.0499999999999999E-2</v>
      </c>
      <c r="H7684" s="225">
        <f t="shared" si="119"/>
        <v>628.72</v>
      </c>
    </row>
    <row r="7685" spans="1:8" x14ac:dyDescent="0.3">
      <c r="A7685" s="400"/>
      <c r="B7685" s="709">
        <v>86915</v>
      </c>
      <c r="C7685" s="710" t="s">
        <v>14346</v>
      </c>
      <c r="D7685" s="709" t="s">
        <v>136</v>
      </c>
      <c r="E7685" s="716">
        <v>271.72000000000003</v>
      </c>
      <c r="F7685" s="717">
        <v>0</v>
      </c>
      <c r="G7685">
        <f>VLOOKUP(B7685,'SINAPI-%MO'!B:E,4,0)</f>
        <v>1.38E-2</v>
      </c>
      <c r="H7685" s="225">
        <f t="shared" si="119"/>
        <v>267.97000000000003</v>
      </c>
    </row>
    <row r="7686" spans="1:8" x14ac:dyDescent="0.3">
      <c r="A7686" s="400"/>
      <c r="B7686" s="709">
        <v>86906</v>
      </c>
      <c r="C7686" s="710" t="s">
        <v>14347</v>
      </c>
      <c r="D7686" s="709" t="s">
        <v>136</v>
      </c>
      <c r="E7686" s="716">
        <v>140.84</v>
      </c>
      <c r="F7686" s="717">
        <v>0</v>
      </c>
      <c r="G7686">
        <f>VLOOKUP(B7686,'SINAPI-%MO'!B:E,4,0)</f>
        <v>2.6700000000000002E-2</v>
      </c>
      <c r="H7686" s="225">
        <f t="shared" si="119"/>
        <v>137.07</v>
      </c>
    </row>
    <row r="7687" spans="1:8" x14ac:dyDescent="0.3">
      <c r="A7687" s="400"/>
      <c r="B7687" s="709">
        <v>86911</v>
      </c>
      <c r="C7687" s="710" t="s">
        <v>14348</v>
      </c>
      <c r="D7687" s="709" t="s">
        <v>136</v>
      </c>
      <c r="E7687" s="716">
        <v>165.28</v>
      </c>
      <c r="F7687" s="717">
        <v>0</v>
      </c>
      <c r="G7687">
        <f>VLOOKUP(B7687,'SINAPI-%MO'!B:E,4,0)</f>
        <v>3.0300000000000001E-2</v>
      </c>
      <c r="H7687" s="225">
        <f t="shared" si="119"/>
        <v>160.27000000000001</v>
      </c>
    </row>
    <row r="7688" spans="1:8" x14ac:dyDescent="0.3">
      <c r="A7688" s="400"/>
      <c r="B7688" s="709">
        <v>86909</v>
      </c>
      <c r="C7688" s="710" t="s">
        <v>14349</v>
      </c>
      <c r="D7688" s="709" t="s">
        <v>136</v>
      </c>
      <c r="E7688" s="716">
        <v>245.32</v>
      </c>
      <c r="F7688" s="717">
        <v>0</v>
      </c>
      <c r="G7688">
        <f>VLOOKUP(B7688,'SINAPI-%MO'!B:E,4,0)</f>
        <v>2.92E-2</v>
      </c>
      <c r="H7688" s="225">
        <f t="shared" si="119"/>
        <v>238.15</v>
      </c>
    </row>
    <row r="7689" spans="1:8" x14ac:dyDescent="0.3">
      <c r="A7689" s="400"/>
      <c r="B7689" s="709">
        <v>86910</v>
      </c>
      <c r="C7689" s="710" t="s">
        <v>14350</v>
      </c>
      <c r="D7689" s="709" t="s">
        <v>136</v>
      </c>
      <c r="E7689" s="716">
        <v>242.49</v>
      </c>
      <c r="F7689" s="717">
        <v>0</v>
      </c>
      <c r="G7689">
        <f>VLOOKUP(B7689,'SINAPI-%MO'!B:E,4,0)</f>
        <v>2.07E-2</v>
      </c>
      <c r="H7689" s="225">
        <f t="shared" si="119"/>
        <v>237.47</v>
      </c>
    </row>
    <row r="7690" spans="1:8" x14ac:dyDescent="0.3">
      <c r="A7690" s="400"/>
      <c r="B7690" s="709">
        <v>86916</v>
      </c>
      <c r="C7690" s="710" t="s">
        <v>14351</v>
      </c>
      <c r="D7690" s="709" t="s">
        <v>136</v>
      </c>
      <c r="E7690" s="716">
        <v>27.82</v>
      </c>
      <c r="F7690" s="717">
        <v>0</v>
      </c>
      <c r="G7690">
        <f>VLOOKUP(B7690,'SINAPI-%MO'!B:E,4,0)</f>
        <v>0.23580000000000001</v>
      </c>
      <c r="H7690" s="225">
        <f t="shared" si="119"/>
        <v>21.26</v>
      </c>
    </row>
    <row r="7691" spans="1:8" x14ac:dyDescent="0.3">
      <c r="A7691" s="400"/>
      <c r="B7691" s="709">
        <v>86877</v>
      </c>
      <c r="C7691" s="710" t="s">
        <v>14352</v>
      </c>
      <c r="D7691" s="709" t="s">
        <v>136</v>
      </c>
      <c r="E7691" s="716">
        <v>102.06</v>
      </c>
      <c r="F7691" s="717">
        <v>0</v>
      </c>
      <c r="G7691">
        <f>VLOOKUP(B7691,'SINAPI-%MO'!B:E,4,0)</f>
        <v>7.1199999999999999E-2</v>
      </c>
      <c r="H7691" s="225">
        <f t="shared" ref="H7691:H7754" si="120">IF(E7691&gt;0,TRUNC(E7691*(1-G7691),2),"")</f>
        <v>94.79</v>
      </c>
    </row>
    <row r="7692" spans="1:8" x14ac:dyDescent="0.3">
      <c r="A7692" s="400"/>
      <c r="B7692" s="709">
        <v>86878</v>
      </c>
      <c r="C7692" s="710" t="s">
        <v>14353</v>
      </c>
      <c r="D7692" s="709" t="s">
        <v>136</v>
      </c>
      <c r="E7692" s="716">
        <v>110.17</v>
      </c>
      <c r="F7692" s="717">
        <v>0</v>
      </c>
      <c r="G7692">
        <f>VLOOKUP(B7692,'SINAPI-%MO'!B:E,4,0)</f>
        <v>6.6000000000000003E-2</v>
      </c>
      <c r="H7692" s="225">
        <f t="shared" si="120"/>
        <v>102.89</v>
      </c>
    </row>
    <row r="7693" spans="1:8" x14ac:dyDescent="0.3">
      <c r="A7693" s="400"/>
      <c r="B7693" s="709">
        <v>86879</v>
      </c>
      <c r="C7693" s="710" t="s">
        <v>14354</v>
      </c>
      <c r="D7693" s="709" t="s">
        <v>136</v>
      </c>
      <c r="E7693" s="716">
        <v>10.86</v>
      </c>
      <c r="F7693" s="717">
        <v>0</v>
      </c>
      <c r="G7693">
        <f>VLOOKUP(B7693,'SINAPI-%MO'!B:E,4,0)</f>
        <v>0.40239999999999998</v>
      </c>
      <c r="H7693" s="225">
        <f t="shared" si="120"/>
        <v>6.48</v>
      </c>
    </row>
    <row r="7694" spans="1:8" x14ac:dyDescent="0.3">
      <c r="A7694" s="400"/>
      <c r="B7694" s="709">
        <v>86880</v>
      </c>
      <c r="C7694" s="710" t="s">
        <v>14355</v>
      </c>
      <c r="D7694" s="709" t="s">
        <v>136</v>
      </c>
      <c r="E7694" s="716">
        <v>30.92</v>
      </c>
      <c r="F7694" s="717">
        <v>0</v>
      </c>
      <c r="G7694">
        <f>VLOOKUP(B7694,'SINAPI-%MO'!B:E,4,0)</f>
        <v>0.14130000000000001</v>
      </c>
      <c r="H7694" s="225">
        <f t="shared" si="120"/>
        <v>26.55</v>
      </c>
    </row>
    <row r="7695" spans="1:8" x14ac:dyDescent="0.3">
      <c r="A7695" s="400"/>
      <c r="B7695" s="709">
        <v>101663</v>
      </c>
      <c r="C7695" s="710" t="s">
        <v>6372</v>
      </c>
      <c r="D7695" s="709" t="s">
        <v>136</v>
      </c>
      <c r="E7695" s="716">
        <v>26.23</v>
      </c>
      <c r="F7695" s="717">
        <v>0.27300000000000002</v>
      </c>
      <c r="G7695">
        <f>VLOOKUP(B7695,'SINAPI-%MO'!B:E,4,0)</f>
        <v>0.72699999999999998</v>
      </c>
      <c r="H7695" s="225">
        <f t="shared" si="120"/>
        <v>7.16</v>
      </c>
    </row>
    <row r="7696" spans="1:8" x14ac:dyDescent="0.3">
      <c r="A7696" s="400"/>
      <c r="B7696" s="709">
        <v>101664</v>
      </c>
      <c r="C7696" s="710" t="s">
        <v>6373</v>
      </c>
      <c r="D7696" s="709" t="s">
        <v>136</v>
      </c>
      <c r="E7696" s="716">
        <v>27.27</v>
      </c>
      <c r="F7696" s="717">
        <v>0.30070000000000002</v>
      </c>
      <c r="G7696">
        <f>VLOOKUP(B7696,'SINAPI-%MO'!B:E,4,0)</f>
        <v>0.69930000000000003</v>
      </c>
      <c r="H7696" s="225">
        <f t="shared" si="120"/>
        <v>8.1999999999999993</v>
      </c>
    </row>
    <row r="7697" spans="1:8" x14ac:dyDescent="0.3">
      <c r="A7697" s="400"/>
      <c r="B7697" s="709">
        <v>101665</v>
      </c>
      <c r="C7697" s="710" t="s">
        <v>6374</v>
      </c>
      <c r="D7697" s="709" t="s">
        <v>136</v>
      </c>
      <c r="E7697" s="716">
        <v>31.76</v>
      </c>
      <c r="F7697" s="717">
        <v>0.39960000000000001</v>
      </c>
      <c r="G7697">
        <f>VLOOKUP(B7697,'SINAPI-%MO'!B:E,4,0)</f>
        <v>0.60040000000000004</v>
      </c>
      <c r="H7697" s="225">
        <f t="shared" si="120"/>
        <v>12.69</v>
      </c>
    </row>
    <row r="7698" spans="1:8" x14ac:dyDescent="0.3">
      <c r="A7698" s="400"/>
      <c r="B7698" s="709">
        <v>101634</v>
      </c>
      <c r="C7698" s="710" t="s">
        <v>6375</v>
      </c>
      <c r="D7698" s="709" t="s">
        <v>136</v>
      </c>
      <c r="E7698" s="716">
        <v>0</v>
      </c>
      <c r="F7698" s="717"/>
      <c r="G7698" t="e">
        <f>VLOOKUP(B7698,'SINAPI-%MO'!B:E,4,0)</f>
        <v>#N/A</v>
      </c>
      <c r="H7698" s="225" t="str">
        <f t="shared" si="120"/>
        <v/>
      </c>
    </row>
    <row r="7699" spans="1:8" x14ac:dyDescent="0.3">
      <c r="A7699" s="400"/>
      <c r="B7699" s="709">
        <v>101635</v>
      </c>
      <c r="C7699" s="710" t="s">
        <v>6376</v>
      </c>
      <c r="D7699" s="709" t="s">
        <v>136</v>
      </c>
      <c r="E7699" s="716">
        <v>0</v>
      </c>
      <c r="F7699" s="717"/>
      <c r="G7699" t="e">
        <f>VLOOKUP(B7699,'SINAPI-%MO'!B:E,4,0)</f>
        <v>#N/A</v>
      </c>
      <c r="H7699" s="225" t="str">
        <f t="shared" si="120"/>
        <v/>
      </c>
    </row>
    <row r="7700" spans="1:8" x14ac:dyDescent="0.3">
      <c r="A7700" s="400"/>
      <c r="B7700" s="709">
        <v>101636</v>
      </c>
      <c r="C7700" s="710" t="s">
        <v>6377</v>
      </c>
      <c r="D7700" s="709" t="s">
        <v>136</v>
      </c>
      <c r="E7700" s="716">
        <v>144.52000000000001</v>
      </c>
      <c r="F7700" s="717">
        <v>0.2072</v>
      </c>
      <c r="G7700">
        <f>VLOOKUP(B7700,'SINAPI-%MO'!B:E,4,0)</f>
        <v>0.29549999999999998</v>
      </c>
      <c r="H7700" s="225">
        <f t="shared" si="120"/>
        <v>101.81</v>
      </c>
    </row>
    <row r="7701" spans="1:8" x14ac:dyDescent="0.3">
      <c r="A7701" s="400"/>
      <c r="B7701" s="709">
        <v>101637</v>
      </c>
      <c r="C7701" s="710" t="s">
        <v>6378</v>
      </c>
      <c r="D7701" s="709" t="s">
        <v>136</v>
      </c>
      <c r="E7701" s="716">
        <v>138.34</v>
      </c>
      <c r="F7701" s="717">
        <v>0.21640000000000001</v>
      </c>
      <c r="G7701">
        <f>VLOOKUP(B7701,'SINAPI-%MO'!B:E,4,0)</f>
        <v>0.30869999999999997</v>
      </c>
      <c r="H7701" s="225">
        <f t="shared" si="120"/>
        <v>95.63</v>
      </c>
    </row>
    <row r="7702" spans="1:8" x14ac:dyDescent="0.3">
      <c r="A7702" s="400"/>
      <c r="B7702" s="709">
        <v>101638</v>
      </c>
      <c r="C7702" s="710" t="s">
        <v>6379</v>
      </c>
      <c r="D7702" s="709" t="s">
        <v>136</v>
      </c>
      <c r="E7702" s="716">
        <v>0</v>
      </c>
      <c r="F7702" s="717"/>
      <c r="G7702" t="e">
        <f>VLOOKUP(B7702,'SINAPI-%MO'!B:E,4,0)</f>
        <v>#N/A</v>
      </c>
      <c r="H7702" s="225" t="str">
        <f t="shared" si="120"/>
        <v/>
      </c>
    </row>
    <row r="7703" spans="1:8" x14ac:dyDescent="0.3">
      <c r="A7703" s="400"/>
      <c r="B7703" s="709">
        <v>101639</v>
      </c>
      <c r="C7703" s="710" t="s">
        <v>6380</v>
      </c>
      <c r="D7703" s="709" t="s">
        <v>136</v>
      </c>
      <c r="E7703" s="716">
        <v>0</v>
      </c>
      <c r="F7703" s="717"/>
      <c r="G7703" t="e">
        <f>VLOOKUP(B7703,'SINAPI-%MO'!B:E,4,0)</f>
        <v>#N/A</v>
      </c>
      <c r="H7703" s="225" t="str">
        <f t="shared" si="120"/>
        <v/>
      </c>
    </row>
    <row r="7704" spans="1:8" x14ac:dyDescent="0.3">
      <c r="A7704" s="400"/>
      <c r="B7704" s="709">
        <v>105919</v>
      </c>
      <c r="C7704" s="710" t="s">
        <v>6381</v>
      </c>
      <c r="D7704" s="709" t="s">
        <v>136</v>
      </c>
      <c r="E7704" s="716">
        <v>0</v>
      </c>
      <c r="F7704" s="717"/>
      <c r="G7704" t="e">
        <f>VLOOKUP(B7704,'SINAPI-%MO'!B:E,4,0)</f>
        <v>#N/A</v>
      </c>
      <c r="H7704" s="225" t="str">
        <f t="shared" si="120"/>
        <v/>
      </c>
    </row>
    <row r="7705" spans="1:8" x14ac:dyDescent="0.3">
      <c r="A7705" s="400"/>
      <c r="B7705" s="709">
        <v>101658</v>
      </c>
      <c r="C7705" s="710" t="s">
        <v>6382</v>
      </c>
      <c r="D7705" s="709" t="s">
        <v>136</v>
      </c>
      <c r="E7705" s="716">
        <v>445.11</v>
      </c>
      <c r="F7705" s="717">
        <v>0</v>
      </c>
      <c r="G7705">
        <f>VLOOKUP(B7705,'SINAPI-%MO'!B:E,4,0)</f>
        <v>4.6600000000000003E-2</v>
      </c>
      <c r="H7705" s="225">
        <f t="shared" si="120"/>
        <v>424.36</v>
      </c>
    </row>
    <row r="7706" spans="1:8" x14ac:dyDescent="0.3">
      <c r="A7706" s="400"/>
      <c r="B7706" s="709">
        <v>101659</v>
      </c>
      <c r="C7706" s="710" t="s">
        <v>6383</v>
      </c>
      <c r="D7706" s="709" t="s">
        <v>136</v>
      </c>
      <c r="E7706" s="716">
        <v>504.55</v>
      </c>
      <c r="F7706" s="717">
        <v>0</v>
      </c>
      <c r="G7706">
        <f>VLOOKUP(B7706,'SINAPI-%MO'!B:E,4,0)</f>
        <v>4.1099999999999998E-2</v>
      </c>
      <c r="H7706" s="225">
        <f t="shared" si="120"/>
        <v>483.81</v>
      </c>
    </row>
    <row r="7707" spans="1:8" x14ac:dyDescent="0.3">
      <c r="A7707" s="400"/>
      <c r="B7707" s="709">
        <v>101660</v>
      </c>
      <c r="C7707" s="710" t="s">
        <v>6384</v>
      </c>
      <c r="D7707" s="709" t="s">
        <v>136</v>
      </c>
      <c r="E7707" s="716">
        <v>785.13</v>
      </c>
      <c r="F7707" s="717">
        <v>0</v>
      </c>
      <c r="G7707">
        <f>VLOOKUP(B7707,'SINAPI-%MO'!B:E,4,0)</f>
        <v>2.64E-2</v>
      </c>
      <c r="H7707" s="225">
        <f t="shared" si="120"/>
        <v>764.4</v>
      </c>
    </row>
    <row r="7708" spans="1:8" x14ac:dyDescent="0.3">
      <c r="A7708" s="400"/>
      <c r="B7708" s="709">
        <v>101654</v>
      </c>
      <c r="C7708" s="710" t="s">
        <v>6385</v>
      </c>
      <c r="D7708" s="709" t="s">
        <v>136</v>
      </c>
      <c r="E7708" s="716">
        <v>187.8</v>
      </c>
      <c r="F7708" s="717">
        <v>0</v>
      </c>
      <c r="G7708">
        <f>VLOOKUP(B7708,'SINAPI-%MO'!B:E,4,0)</f>
        <v>0.1104</v>
      </c>
      <c r="H7708" s="225">
        <f t="shared" si="120"/>
        <v>167.06</v>
      </c>
    </row>
    <row r="7709" spans="1:8" x14ac:dyDescent="0.3">
      <c r="A7709" s="400"/>
      <c r="B7709" s="709">
        <v>101655</v>
      </c>
      <c r="C7709" s="710" t="s">
        <v>6386</v>
      </c>
      <c r="D7709" s="709" t="s">
        <v>136</v>
      </c>
      <c r="E7709" s="716">
        <v>281.25</v>
      </c>
      <c r="F7709" s="717">
        <v>0</v>
      </c>
      <c r="G7709">
        <f>VLOOKUP(B7709,'SINAPI-%MO'!B:E,4,0)</f>
        <v>7.3700000000000002E-2</v>
      </c>
      <c r="H7709" s="225">
        <f t="shared" si="120"/>
        <v>260.52</v>
      </c>
    </row>
    <row r="7710" spans="1:8" x14ac:dyDescent="0.3">
      <c r="A7710" s="400"/>
      <c r="B7710" s="709">
        <v>101656</v>
      </c>
      <c r="C7710" s="710" t="s">
        <v>6387</v>
      </c>
      <c r="D7710" s="709" t="s">
        <v>136</v>
      </c>
      <c r="E7710" s="716">
        <v>303.06</v>
      </c>
      <c r="F7710" s="717">
        <v>0</v>
      </c>
      <c r="G7710">
        <f>VLOOKUP(B7710,'SINAPI-%MO'!B:E,4,0)</f>
        <v>6.8400000000000002E-2</v>
      </c>
      <c r="H7710" s="225">
        <f t="shared" si="120"/>
        <v>282.33</v>
      </c>
    </row>
    <row r="7711" spans="1:8" x14ac:dyDescent="0.3">
      <c r="A7711" s="400"/>
      <c r="B7711" s="709">
        <v>101657</v>
      </c>
      <c r="C7711" s="710" t="s">
        <v>6388</v>
      </c>
      <c r="D7711" s="709" t="s">
        <v>136</v>
      </c>
      <c r="E7711" s="716">
        <v>349.54</v>
      </c>
      <c r="F7711" s="717">
        <v>0</v>
      </c>
      <c r="G7711">
        <f>VLOOKUP(B7711,'SINAPI-%MO'!B:E,4,0)</f>
        <v>5.9299999999999999E-2</v>
      </c>
      <c r="H7711" s="225">
        <f t="shared" si="120"/>
        <v>328.81</v>
      </c>
    </row>
    <row r="7712" spans="1:8" x14ac:dyDescent="0.3">
      <c r="A7712" s="400"/>
      <c r="B7712" s="709">
        <v>105923</v>
      </c>
      <c r="C7712" s="710" t="s">
        <v>6389</v>
      </c>
      <c r="D7712" s="709" t="s">
        <v>136</v>
      </c>
      <c r="E7712" s="716">
        <v>0</v>
      </c>
      <c r="F7712" s="717"/>
      <c r="G7712" t="e">
        <f>VLOOKUP(B7712,'SINAPI-%MO'!B:E,4,0)</f>
        <v>#N/A</v>
      </c>
      <c r="H7712" s="225" t="str">
        <f t="shared" si="120"/>
        <v/>
      </c>
    </row>
    <row r="7713" spans="1:8" x14ac:dyDescent="0.3">
      <c r="A7713" s="400"/>
      <c r="B7713" s="709">
        <v>105921</v>
      </c>
      <c r="C7713" s="710" t="s">
        <v>6390</v>
      </c>
      <c r="D7713" s="709" t="s">
        <v>136</v>
      </c>
      <c r="E7713" s="716">
        <v>0</v>
      </c>
      <c r="F7713" s="717"/>
      <c r="G7713" t="e">
        <f>VLOOKUP(B7713,'SINAPI-%MO'!B:E,4,0)</f>
        <v>#N/A</v>
      </c>
      <c r="H7713" s="225" t="str">
        <f t="shared" si="120"/>
        <v/>
      </c>
    </row>
    <row r="7714" spans="1:8" x14ac:dyDescent="0.3">
      <c r="A7714" s="400"/>
      <c r="B7714" s="709">
        <v>105920</v>
      </c>
      <c r="C7714" s="710" t="s">
        <v>6391</v>
      </c>
      <c r="D7714" s="709" t="s">
        <v>136</v>
      </c>
      <c r="E7714" s="716">
        <v>0</v>
      </c>
      <c r="F7714" s="717"/>
      <c r="G7714" t="e">
        <f>VLOOKUP(B7714,'SINAPI-%MO'!B:E,4,0)</f>
        <v>#N/A</v>
      </c>
      <c r="H7714" s="225" t="str">
        <f t="shared" si="120"/>
        <v/>
      </c>
    </row>
    <row r="7715" spans="1:8" x14ac:dyDescent="0.3">
      <c r="A7715" s="400"/>
      <c r="B7715" s="709">
        <v>105922</v>
      </c>
      <c r="C7715" s="710" t="s">
        <v>6392</v>
      </c>
      <c r="D7715" s="709" t="s">
        <v>136</v>
      </c>
      <c r="E7715" s="716">
        <v>0</v>
      </c>
      <c r="F7715" s="717"/>
      <c r="G7715" t="e">
        <f>VLOOKUP(B7715,'SINAPI-%MO'!B:E,4,0)</f>
        <v>#N/A</v>
      </c>
      <c r="H7715" s="225" t="str">
        <f t="shared" si="120"/>
        <v/>
      </c>
    </row>
    <row r="7716" spans="1:8" x14ac:dyDescent="0.3">
      <c r="A7716" s="400"/>
      <c r="B7716" s="709">
        <v>101632</v>
      </c>
      <c r="C7716" s="710" t="s">
        <v>6393</v>
      </c>
      <c r="D7716" s="709" t="s">
        <v>136</v>
      </c>
      <c r="E7716" s="716">
        <v>28.22</v>
      </c>
      <c r="F7716" s="717">
        <v>0.96489999999999998</v>
      </c>
      <c r="G7716">
        <f>VLOOKUP(B7716,'SINAPI-%MO'!B:E,4,0)</f>
        <v>3.0499999999999999E-2</v>
      </c>
      <c r="H7716" s="225">
        <f t="shared" si="120"/>
        <v>27.35</v>
      </c>
    </row>
    <row r="7717" spans="1:8" x14ac:dyDescent="0.3">
      <c r="A7717" s="400"/>
      <c r="B7717" s="709">
        <v>101661</v>
      </c>
      <c r="C7717" s="710" t="s">
        <v>6394</v>
      </c>
      <c r="D7717" s="709" t="s">
        <v>136</v>
      </c>
      <c r="E7717" s="716">
        <v>137.66</v>
      </c>
      <c r="F7717" s="717">
        <v>0</v>
      </c>
      <c r="G7717">
        <f>VLOOKUP(B7717,'SINAPI-%MO'!B:E,4,0)</f>
        <v>0.59009999999999996</v>
      </c>
      <c r="H7717" s="225">
        <f t="shared" si="120"/>
        <v>56.42</v>
      </c>
    </row>
    <row r="7718" spans="1:8" x14ac:dyDescent="0.3">
      <c r="A7718" s="400"/>
      <c r="B7718" s="709">
        <v>105924</v>
      </c>
      <c r="C7718" s="710" t="s">
        <v>6395</v>
      </c>
      <c r="D7718" s="709" t="s">
        <v>136</v>
      </c>
      <c r="E7718" s="716">
        <v>13.95</v>
      </c>
      <c r="F7718" s="717">
        <v>0</v>
      </c>
      <c r="G7718">
        <f>VLOOKUP(B7718,'SINAPI-%MO'!B:E,4,0)</f>
        <v>0.98140000000000005</v>
      </c>
      <c r="H7718" s="225">
        <f t="shared" si="120"/>
        <v>0.25</v>
      </c>
    </row>
    <row r="7719" spans="1:8" x14ac:dyDescent="0.3">
      <c r="A7719" s="400"/>
      <c r="B7719" s="709">
        <v>101651</v>
      </c>
      <c r="C7719" s="710" t="s">
        <v>6396</v>
      </c>
      <c r="D7719" s="709" t="s">
        <v>136</v>
      </c>
      <c r="E7719" s="716">
        <v>67.87</v>
      </c>
      <c r="F7719" s="717">
        <v>0</v>
      </c>
      <c r="G7719">
        <f>VLOOKUP(B7719,'SINAPI-%MO'!B:E,4,0)</f>
        <v>0.1686</v>
      </c>
      <c r="H7719" s="225">
        <f t="shared" si="120"/>
        <v>56.42</v>
      </c>
    </row>
    <row r="7720" spans="1:8" x14ac:dyDescent="0.3">
      <c r="A7720" s="400"/>
      <c r="B7720" s="709">
        <v>101630</v>
      </c>
      <c r="C7720" s="710" t="s">
        <v>6397</v>
      </c>
      <c r="D7720" s="709" t="s">
        <v>136</v>
      </c>
      <c r="E7720" s="716">
        <v>79.25</v>
      </c>
      <c r="F7720" s="717">
        <v>0</v>
      </c>
      <c r="G7720">
        <f>VLOOKUP(B7720,'SINAPI-%MO'!B:E,4,0)</f>
        <v>0.28789999999999999</v>
      </c>
      <c r="H7720" s="225">
        <f t="shared" si="120"/>
        <v>56.43</v>
      </c>
    </row>
    <row r="7721" spans="1:8" x14ac:dyDescent="0.3">
      <c r="A7721" s="400"/>
      <c r="B7721" s="709">
        <v>101633</v>
      </c>
      <c r="C7721" s="710" t="s">
        <v>6398</v>
      </c>
      <c r="D7721" s="709" t="s">
        <v>136</v>
      </c>
      <c r="E7721" s="716">
        <v>93.44</v>
      </c>
      <c r="F7721" s="717">
        <v>0.29139999999999999</v>
      </c>
      <c r="G7721">
        <f>VLOOKUP(B7721,'SINAPI-%MO'!B:E,4,0)</f>
        <v>0.1033</v>
      </c>
      <c r="H7721" s="225">
        <f t="shared" si="120"/>
        <v>83.78</v>
      </c>
    </row>
    <row r="7722" spans="1:8" x14ac:dyDescent="0.3">
      <c r="A7722" s="400"/>
      <c r="B7722" s="709">
        <v>104219</v>
      </c>
      <c r="C7722" s="710" t="s">
        <v>6399</v>
      </c>
      <c r="D7722" s="709" t="s">
        <v>168</v>
      </c>
      <c r="E7722" s="716">
        <v>89.5</v>
      </c>
      <c r="F7722" s="717">
        <v>0</v>
      </c>
      <c r="G7722">
        <f>VLOOKUP(B7722,'SINAPI-%MO'!B:E,4,0)</f>
        <v>0.39400000000000002</v>
      </c>
      <c r="H7722" s="225">
        <f t="shared" si="120"/>
        <v>54.23</v>
      </c>
    </row>
    <row r="7723" spans="1:8" x14ac:dyDescent="0.3">
      <c r="A7723" s="400"/>
      <c r="B7723" s="709">
        <v>104223</v>
      </c>
      <c r="C7723" s="710" t="s">
        <v>6400</v>
      </c>
      <c r="D7723" s="709" t="s">
        <v>168</v>
      </c>
      <c r="E7723" s="716">
        <v>117.25</v>
      </c>
      <c r="F7723" s="717">
        <v>0</v>
      </c>
      <c r="G7723">
        <f>VLOOKUP(B7723,'SINAPI-%MO'!B:E,4,0)</f>
        <v>0.3871</v>
      </c>
      <c r="H7723" s="225">
        <f t="shared" si="120"/>
        <v>71.86</v>
      </c>
    </row>
    <row r="7724" spans="1:8" x14ac:dyDescent="0.3">
      <c r="A7724" s="400"/>
      <c r="B7724" s="709">
        <v>104227</v>
      </c>
      <c r="C7724" s="710" t="s">
        <v>6401</v>
      </c>
      <c r="D7724" s="709" t="s">
        <v>168</v>
      </c>
      <c r="E7724" s="716">
        <v>136.28</v>
      </c>
      <c r="F7724" s="717">
        <v>0</v>
      </c>
      <c r="G7724">
        <f>VLOOKUP(B7724,'SINAPI-%MO'!B:E,4,0)</f>
        <v>0.34339999999999998</v>
      </c>
      <c r="H7724" s="225">
        <f t="shared" si="120"/>
        <v>89.48</v>
      </c>
    </row>
    <row r="7725" spans="1:8" x14ac:dyDescent="0.3">
      <c r="A7725" s="400"/>
      <c r="B7725" s="709">
        <v>104231</v>
      </c>
      <c r="C7725" s="710" t="s">
        <v>6402</v>
      </c>
      <c r="D7725" s="709" t="s">
        <v>168</v>
      </c>
      <c r="E7725" s="716">
        <v>150.27000000000001</v>
      </c>
      <c r="F7725" s="717">
        <v>0</v>
      </c>
      <c r="G7725">
        <f>VLOOKUP(B7725,'SINAPI-%MO'!B:E,4,0)</f>
        <v>0.34639999999999999</v>
      </c>
      <c r="H7725" s="225">
        <f t="shared" si="120"/>
        <v>98.21</v>
      </c>
    </row>
    <row r="7726" spans="1:8" x14ac:dyDescent="0.3">
      <c r="A7726" s="400"/>
      <c r="B7726" s="709">
        <v>104235</v>
      </c>
      <c r="C7726" s="710" t="s">
        <v>6403</v>
      </c>
      <c r="D7726" s="709" t="s">
        <v>168</v>
      </c>
      <c r="E7726" s="716">
        <v>73.709999999999994</v>
      </c>
      <c r="F7726" s="717">
        <v>0</v>
      </c>
      <c r="G7726">
        <f>VLOOKUP(B7726,'SINAPI-%MO'!B:E,4,0)</f>
        <v>0.30649999999999999</v>
      </c>
      <c r="H7726" s="225">
        <f t="shared" si="120"/>
        <v>51.11</v>
      </c>
    </row>
    <row r="7727" spans="1:8" x14ac:dyDescent="0.3">
      <c r="A7727" s="400"/>
      <c r="B7727" s="709">
        <v>104239</v>
      </c>
      <c r="C7727" s="710" t="s">
        <v>6404</v>
      </c>
      <c r="D7727" s="709" t="s">
        <v>168</v>
      </c>
      <c r="E7727" s="716">
        <v>100.26</v>
      </c>
      <c r="F7727" s="717">
        <v>0</v>
      </c>
      <c r="G7727">
        <f>VLOOKUP(B7727,'SINAPI-%MO'!B:E,4,0)</f>
        <v>0.32590000000000002</v>
      </c>
      <c r="H7727" s="225">
        <f t="shared" si="120"/>
        <v>67.58</v>
      </c>
    </row>
    <row r="7728" spans="1:8" x14ac:dyDescent="0.3">
      <c r="A7728" s="400"/>
      <c r="B7728" s="709">
        <v>104243</v>
      </c>
      <c r="C7728" s="710" t="s">
        <v>6405</v>
      </c>
      <c r="D7728" s="709" t="s">
        <v>168</v>
      </c>
      <c r="E7728" s="716">
        <v>118.06</v>
      </c>
      <c r="F7728" s="717">
        <v>0</v>
      </c>
      <c r="G7728">
        <f>VLOOKUP(B7728,'SINAPI-%MO'!B:E,4,0)</f>
        <v>0.28789999999999999</v>
      </c>
      <c r="H7728" s="225">
        <f t="shared" si="120"/>
        <v>84.07</v>
      </c>
    </row>
    <row r="7729" spans="1:8" x14ac:dyDescent="0.3">
      <c r="A7729" s="400"/>
      <c r="B7729" s="709">
        <v>104247</v>
      </c>
      <c r="C7729" s="710" t="s">
        <v>6406</v>
      </c>
      <c r="D7729" s="709" t="s">
        <v>168</v>
      </c>
      <c r="E7729" s="716">
        <v>126.27</v>
      </c>
      <c r="F7729" s="717">
        <v>0</v>
      </c>
      <c r="G7729">
        <f>VLOOKUP(B7729,'SINAPI-%MO'!B:E,4,0)</f>
        <v>0.26900000000000002</v>
      </c>
      <c r="H7729" s="225">
        <f t="shared" si="120"/>
        <v>92.3</v>
      </c>
    </row>
    <row r="7730" spans="1:8" x14ac:dyDescent="0.3">
      <c r="A7730" s="400"/>
      <c r="B7730" s="709">
        <v>87795</v>
      </c>
      <c r="C7730" s="710" t="s">
        <v>6407</v>
      </c>
      <c r="D7730" s="709" t="s">
        <v>168</v>
      </c>
      <c r="E7730" s="716">
        <v>76.16</v>
      </c>
      <c r="F7730" s="717">
        <v>0</v>
      </c>
      <c r="G7730">
        <f>VLOOKUP(B7730,'SINAPI-%MO'!B:E,4,0)</f>
        <v>0.32879999999999998</v>
      </c>
      <c r="H7730" s="225">
        <f t="shared" si="120"/>
        <v>51.11</v>
      </c>
    </row>
    <row r="7731" spans="1:8" x14ac:dyDescent="0.3">
      <c r="A7731" s="400"/>
      <c r="B7731" s="709">
        <v>87800</v>
      </c>
      <c r="C7731" s="710" t="s">
        <v>6408</v>
      </c>
      <c r="D7731" s="709" t="s">
        <v>168</v>
      </c>
      <c r="E7731" s="716">
        <v>103.79</v>
      </c>
      <c r="F7731" s="717">
        <v>0</v>
      </c>
      <c r="G7731">
        <f>VLOOKUP(B7731,'SINAPI-%MO'!B:E,4,0)</f>
        <v>0.3488</v>
      </c>
      <c r="H7731" s="225">
        <f t="shared" si="120"/>
        <v>67.58</v>
      </c>
    </row>
    <row r="7732" spans="1:8" x14ac:dyDescent="0.3">
      <c r="A7732" s="400"/>
      <c r="B7732" s="709">
        <v>87804</v>
      </c>
      <c r="C7732" s="710" t="s">
        <v>6409</v>
      </c>
      <c r="D7732" s="709" t="s">
        <v>168</v>
      </c>
      <c r="E7732" s="716">
        <v>121.59</v>
      </c>
      <c r="F7732" s="717">
        <v>0</v>
      </c>
      <c r="G7732">
        <f>VLOOKUP(B7732,'SINAPI-%MO'!B:E,4,0)</f>
        <v>0.30859999999999999</v>
      </c>
      <c r="H7732" s="225">
        <f t="shared" si="120"/>
        <v>84.06</v>
      </c>
    </row>
    <row r="7733" spans="1:8" x14ac:dyDescent="0.3">
      <c r="A7733" s="400"/>
      <c r="B7733" s="709">
        <v>87808</v>
      </c>
      <c r="C7733" s="710" t="s">
        <v>6410</v>
      </c>
      <c r="D7733" s="709" t="s">
        <v>168</v>
      </c>
      <c r="E7733" s="716">
        <v>129.68</v>
      </c>
      <c r="F7733" s="717">
        <v>0</v>
      </c>
      <c r="G7733">
        <f>VLOOKUP(B7733,'SINAPI-%MO'!B:E,4,0)</f>
        <v>0.28820000000000001</v>
      </c>
      <c r="H7733" s="225">
        <f t="shared" si="120"/>
        <v>92.3</v>
      </c>
    </row>
    <row r="7734" spans="1:8" x14ac:dyDescent="0.3">
      <c r="A7734" s="400"/>
      <c r="B7734" s="709">
        <v>87778</v>
      </c>
      <c r="C7734" s="710" t="s">
        <v>6411</v>
      </c>
      <c r="D7734" s="709" t="s">
        <v>168</v>
      </c>
      <c r="E7734" s="716">
        <v>93.49</v>
      </c>
      <c r="F7734" s="717">
        <v>0</v>
      </c>
      <c r="G7734">
        <f>VLOOKUP(B7734,'SINAPI-%MO'!B:E,4,0)</f>
        <v>0.41980000000000001</v>
      </c>
      <c r="H7734" s="225">
        <f t="shared" si="120"/>
        <v>54.24</v>
      </c>
    </row>
    <row r="7735" spans="1:8" x14ac:dyDescent="0.3">
      <c r="A7735" s="400"/>
      <c r="B7735" s="709">
        <v>87783</v>
      </c>
      <c r="C7735" s="710" t="s">
        <v>6412</v>
      </c>
      <c r="D7735" s="709" t="s">
        <v>168</v>
      </c>
      <c r="E7735" s="716">
        <v>122.43</v>
      </c>
      <c r="F7735" s="717">
        <v>0</v>
      </c>
      <c r="G7735">
        <f>VLOOKUP(B7735,'SINAPI-%MO'!B:E,4,0)</f>
        <v>0.41310000000000002</v>
      </c>
      <c r="H7735" s="225">
        <f t="shared" si="120"/>
        <v>71.849999999999994</v>
      </c>
    </row>
    <row r="7736" spans="1:8" x14ac:dyDescent="0.3">
      <c r="A7736" s="400"/>
      <c r="B7736" s="709">
        <v>87787</v>
      </c>
      <c r="C7736" s="710" t="s">
        <v>6413</v>
      </c>
      <c r="D7736" s="709" t="s">
        <v>168</v>
      </c>
      <c r="E7736" s="716">
        <v>141.46</v>
      </c>
      <c r="F7736" s="717">
        <v>0</v>
      </c>
      <c r="G7736">
        <f>VLOOKUP(B7736,'SINAPI-%MO'!B:E,4,0)</f>
        <v>0.36749999999999999</v>
      </c>
      <c r="H7736" s="225">
        <f t="shared" si="120"/>
        <v>89.47</v>
      </c>
    </row>
    <row r="7737" spans="1:8" x14ac:dyDescent="0.3">
      <c r="A7737" s="400"/>
      <c r="B7737" s="709">
        <v>87791</v>
      </c>
      <c r="C7737" s="710" t="s">
        <v>6414</v>
      </c>
      <c r="D7737" s="709" t="s">
        <v>168</v>
      </c>
      <c r="E7737" s="716">
        <v>155.96</v>
      </c>
      <c r="F7737" s="717">
        <v>0</v>
      </c>
      <c r="G7737">
        <f>VLOOKUP(B7737,'SINAPI-%MO'!B:E,4,0)</f>
        <v>0.37030000000000002</v>
      </c>
      <c r="H7737" s="225">
        <f t="shared" si="120"/>
        <v>98.2</v>
      </c>
    </row>
    <row r="7738" spans="1:8" x14ac:dyDescent="0.3">
      <c r="A7738" s="400"/>
      <c r="B7738" s="709">
        <v>87832</v>
      </c>
      <c r="C7738" s="710" t="s">
        <v>6415</v>
      </c>
      <c r="D7738" s="709" t="s">
        <v>168</v>
      </c>
      <c r="E7738" s="716">
        <v>147.72999999999999</v>
      </c>
      <c r="F7738" s="717">
        <v>0</v>
      </c>
      <c r="G7738">
        <f>VLOOKUP(B7738,'SINAPI-%MO'!B:E,4,0)</f>
        <v>0.4637</v>
      </c>
      <c r="H7738" s="225">
        <f t="shared" si="120"/>
        <v>79.22</v>
      </c>
    </row>
    <row r="7739" spans="1:8" x14ac:dyDescent="0.3">
      <c r="A7739" s="400"/>
      <c r="B7739" s="709">
        <v>87812</v>
      </c>
      <c r="C7739" s="710" t="s">
        <v>6416</v>
      </c>
      <c r="D7739" s="709" t="s">
        <v>168</v>
      </c>
      <c r="E7739" s="716">
        <v>115.02</v>
      </c>
      <c r="F7739" s="717">
        <v>0</v>
      </c>
      <c r="G7739">
        <f>VLOOKUP(B7739,'SINAPI-%MO'!B:E,4,0)</f>
        <v>0.58040000000000003</v>
      </c>
      <c r="H7739" s="225">
        <f t="shared" si="120"/>
        <v>48.26</v>
      </c>
    </row>
    <row r="7740" spans="1:8" x14ac:dyDescent="0.3">
      <c r="A7740" s="400"/>
      <c r="B7740" s="709">
        <v>87816</v>
      </c>
      <c r="C7740" s="710" t="s">
        <v>6417</v>
      </c>
      <c r="D7740" s="709" t="s">
        <v>168</v>
      </c>
      <c r="E7740" s="716">
        <v>142.71</v>
      </c>
      <c r="F7740" s="717">
        <v>0</v>
      </c>
      <c r="G7740">
        <f>VLOOKUP(B7740,'SINAPI-%MO'!B:E,4,0)</f>
        <v>0.5464</v>
      </c>
      <c r="H7740" s="225">
        <f t="shared" si="120"/>
        <v>64.73</v>
      </c>
    </row>
    <row r="7741" spans="1:8" x14ac:dyDescent="0.3">
      <c r="A7741" s="400"/>
      <c r="B7741" s="709">
        <v>87820</v>
      </c>
      <c r="C7741" s="710" t="s">
        <v>6418</v>
      </c>
      <c r="D7741" s="709" t="s">
        <v>168</v>
      </c>
      <c r="E7741" s="716">
        <v>160.51</v>
      </c>
      <c r="F7741" s="717">
        <v>0</v>
      </c>
      <c r="G7741">
        <f>VLOOKUP(B7741,'SINAPI-%MO'!B:E,4,0)</f>
        <v>0.49409999999999998</v>
      </c>
      <c r="H7741" s="225">
        <f t="shared" si="120"/>
        <v>81.2</v>
      </c>
    </row>
    <row r="7742" spans="1:8" x14ac:dyDescent="0.3">
      <c r="A7742" s="400"/>
      <c r="B7742" s="709">
        <v>87824</v>
      </c>
      <c r="C7742" s="710" t="s">
        <v>6419</v>
      </c>
      <c r="D7742" s="709" t="s">
        <v>168</v>
      </c>
      <c r="E7742" s="716">
        <v>186.37</v>
      </c>
      <c r="F7742" s="717">
        <v>0</v>
      </c>
      <c r="G7742">
        <f>VLOOKUP(B7742,'SINAPI-%MO'!B:E,4,0)</f>
        <v>0.52010000000000001</v>
      </c>
      <c r="H7742" s="225">
        <f t="shared" si="120"/>
        <v>89.43</v>
      </c>
    </row>
    <row r="7743" spans="1:8" x14ac:dyDescent="0.3">
      <c r="A7743" s="400"/>
      <c r="B7743" s="709">
        <v>87828</v>
      </c>
      <c r="C7743" s="710" t="s">
        <v>6420</v>
      </c>
      <c r="D7743" s="709" t="s">
        <v>168</v>
      </c>
      <c r="E7743" s="716">
        <v>117.59</v>
      </c>
      <c r="F7743" s="717">
        <v>0</v>
      </c>
      <c r="G7743">
        <f>VLOOKUP(B7743,'SINAPI-%MO'!B:E,4,0)</f>
        <v>0.49719999999999998</v>
      </c>
      <c r="H7743" s="225">
        <f t="shared" si="120"/>
        <v>59.12</v>
      </c>
    </row>
    <row r="7744" spans="1:8" x14ac:dyDescent="0.3">
      <c r="A7744" s="400"/>
      <c r="B7744" s="709">
        <v>104251</v>
      </c>
      <c r="C7744" s="710" t="s">
        <v>6421</v>
      </c>
      <c r="D7744" s="709" t="s">
        <v>168</v>
      </c>
      <c r="E7744" s="716">
        <v>107.84</v>
      </c>
      <c r="F7744" s="717">
        <v>0</v>
      </c>
      <c r="G7744">
        <f>VLOOKUP(B7744,'SINAPI-%MO'!B:E,4,0)</f>
        <v>0.55249999999999999</v>
      </c>
      <c r="H7744" s="225">
        <f t="shared" si="120"/>
        <v>48.25</v>
      </c>
    </row>
    <row r="7745" spans="1:8" x14ac:dyDescent="0.3">
      <c r="A7745" s="400"/>
      <c r="B7745" s="709">
        <v>104255</v>
      </c>
      <c r="C7745" s="710" t="s">
        <v>6422</v>
      </c>
      <c r="D7745" s="709" t="s">
        <v>168</v>
      </c>
      <c r="E7745" s="716">
        <v>134.4</v>
      </c>
      <c r="F7745" s="717">
        <v>0</v>
      </c>
      <c r="G7745">
        <f>VLOOKUP(B7745,'SINAPI-%MO'!B:E,4,0)</f>
        <v>0.51839999999999997</v>
      </c>
      <c r="H7745" s="225">
        <f t="shared" si="120"/>
        <v>64.72</v>
      </c>
    </row>
    <row r="7746" spans="1:8" x14ac:dyDescent="0.3">
      <c r="A7746" s="400"/>
      <c r="B7746" s="709">
        <v>104259</v>
      </c>
      <c r="C7746" s="710" t="s">
        <v>6423</v>
      </c>
      <c r="D7746" s="709" t="s">
        <v>168</v>
      </c>
      <c r="E7746" s="716">
        <v>152.19999999999999</v>
      </c>
      <c r="F7746" s="717">
        <v>0</v>
      </c>
      <c r="G7746">
        <f>VLOOKUP(B7746,'SINAPI-%MO'!B:E,4,0)</f>
        <v>0.46639999999999998</v>
      </c>
      <c r="H7746" s="225">
        <f t="shared" si="120"/>
        <v>81.209999999999994</v>
      </c>
    </row>
    <row r="7747" spans="1:8" x14ac:dyDescent="0.3">
      <c r="A7747" s="400"/>
      <c r="B7747" s="709">
        <v>104263</v>
      </c>
      <c r="C7747" s="710" t="s">
        <v>6424</v>
      </c>
      <c r="D7747" s="709" t="s">
        <v>168</v>
      </c>
      <c r="E7747" s="716">
        <v>176.12</v>
      </c>
      <c r="F7747" s="717">
        <v>0</v>
      </c>
      <c r="G7747">
        <f>VLOOKUP(B7747,'SINAPI-%MO'!B:E,4,0)</f>
        <v>0.49220000000000003</v>
      </c>
      <c r="H7747" s="225">
        <f t="shared" si="120"/>
        <v>89.43</v>
      </c>
    </row>
    <row r="7748" spans="1:8" x14ac:dyDescent="0.3">
      <c r="A7748" s="400"/>
      <c r="B7748" s="709">
        <v>87794</v>
      </c>
      <c r="C7748" s="710" t="s">
        <v>6425</v>
      </c>
      <c r="D7748" s="709" t="s">
        <v>168</v>
      </c>
      <c r="E7748" s="716">
        <v>49.29</v>
      </c>
      <c r="F7748" s="717">
        <v>0</v>
      </c>
      <c r="G7748">
        <f>VLOOKUP(B7748,'SINAPI-%MO'!B:E,4,0)</f>
        <v>0.65769999999999995</v>
      </c>
      <c r="H7748" s="225">
        <f t="shared" si="120"/>
        <v>16.87</v>
      </c>
    </row>
    <row r="7749" spans="1:8" x14ac:dyDescent="0.3">
      <c r="A7749" s="400"/>
      <c r="B7749" s="709">
        <v>87799</v>
      </c>
      <c r="C7749" s="710" t="s">
        <v>6426</v>
      </c>
      <c r="D7749" s="709" t="s">
        <v>168</v>
      </c>
      <c r="E7749" s="716">
        <v>68.069999999999993</v>
      </c>
      <c r="F7749" s="717">
        <v>0</v>
      </c>
      <c r="G7749">
        <f>VLOOKUP(B7749,'SINAPI-%MO'!B:E,4,0)</f>
        <v>0.68179999999999996</v>
      </c>
      <c r="H7749" s="225">
        <f t="shared" si="120"/>
        <v>21.65</v>
      </c>
    </row>
    <row r="7750" spans="1:8" x14ac:dyDescent="0.3">
      <c r="A7750" s="400"/>
      <c r="B7750" s="709">
        <v>87803</v>
      </c>
      <c r="C7750" s="710" t="s">
        <v>6427</v>
      </c>
      <c r="D7750" s="709" t="s">
        <v>168</v>
      </c>
      <c r="E7750" s="716">
        <v>75.98</v>
      </c>
      <c r="F7750" s="717">
        <v>0</v>
      </c>
      <c r="G7750">
        <f>VLOOKUP(B7750,'SINAPI-%MO'!B:E,4,0)</f>
        <v>0.65190000000000003</v>
      </c>
      <c r="H7750" s="225">
        <f t="shared" si="120"/>
        <v>26.44</v>
      </c>
    </row>
    <row r="7751" spans="1:8" x14ac:dyDescent="0.3">
      <c r="A7751" s="400"/>
      <c r="B7751" s="709">
        <v>87807</v>
      </c>
      <c r="C7751" s="710" t="s">
        <v>6428</v>
      </c>
      <c r="D7751" s="709" t="s">
        <v>168</v>
      </c>
      <c r="E7751" s="716">
        <v>83.06</v>
      </c>
      <c r="F7751" s="717">
        <v>0</v>
      </c>
      <c r="G7751">
        <f>VLOOKUP(B7751,'SINAPI-%MO'!B:E,4,0)</f>
        <v>0.65290000000000004</v>
      </c>
      <c r="H7751" s="225">
        <f t="shared" si="120"/>
        <v>28.83</v>
      </c>
    </row>
    <row r="7752" spans="1:8" x14ac:dyDescent="0.3">
      <c r="A7752" s="400"/>
      <c r="B7752" s="709">
        <v>104218</v>
      </c>
      <c r="C7752" s="710" t="s">
        <v>6429</v>
      </c>
      <c r="D7752" s="709" t="s">
        <v>168</v>
      </c>
      <c r="E7752" s="716">
        <v>61.53</v>
      </c>
      <c r="F7752" s="717">
        <v>0</v>
      </c>
      <c r="G7752">
        <f>VLOOKUP(B7752,'SINAPI-%MO'!B:E,4,0)</f>
        <v>0.71509999999999996</v>
      </c>
      <c r="H7752" s="225">
        <f t="shared" si="120"/>
        <v>17.52</v>
      </c>
    </row>
    <row r="7753" spans="1:8" x14ac:dyDescent="0.3">
      <c r="A7753" s="400"/>
      <c r="B7753" s="709">
        <v>87777</v>
      </c>
      <c r="C7753" s="710" t="s">
        <v>6430</v>
      </c>
      <c r="D7753" s="709" t="s">
        <v>168</v>
      </c>
      <c r="E7753" s="716">
        <v>65.97</v>
      </c>
      <c r="F7753" s="717">
        <v>0</v>
      </c>
      <c r="G7753">
        <f>VLOOKUP(B7753,'SINAPI-%MO'!B:E,4,0)</f>
        <v>0.73429999999999995</v>
      </c>
      <c r="H7753" s="225">
        <f t="shared" si="120"/>
        <v>17.52</v>
      </c>
    </row>
    <row r="7754" spans="1:8" x14ac:dyDescent="0.3">
      <c r="A7754" s="400"/>
      <c r="B7754" s="709">
        <v>104222</v>
      </c>
      <c r="C7754" s="710" t="s">
        <v>6431</v>
      </c>
      <c r="D7754" s="709" t="s">
        <v>168</v>
      </c>
      <c r="E7754" s="716">
        <v>79.55</v>
      </c>
      <c r="F7754" s="717">
        <v>0</v>
      </c>
      <c r="G7754">
        <f>VLOOKUP(B7754,'SINAPI-%MO'!B:E,4,0)</f>
        <v>0.71540000000000004</v>
      </c>
      <c r="H7754" s="225">
        <f t="shared" si="120"/>
        <v>22.63</v>
      </c>
    </row>
    <row r="7755" spans="1:8" x14ac:dyDescent="0.3">
      <c r="A7755" s="400"/>
      <c r="B7755" s="709">
        <v>87781</v>
      </c>
      <c r="C7755" s="710" t="s">
        <v>6432</v>
      </c>
      <c r="D7755" s="709" t="s">
        <v>168</v>
      </c>
      <c r="E7755" s="716">
        <v>85.24</v>
      </c>
      <c r="F7755" s="717">
        <v>0</v>
      </c>
      <c r="G7755">
        <f>VLOOKUP(B7755,'SINAPI-%MO'!B:E,4,0)</f>
        <v>0.73440000000000005</v>
      </c>
      <c r="H7755" s="225">
        <f t="shared" ref="H7755:H7818" si="121">IF(E7755&gt;0,TRUNC(E7755*(1-G7755),2),"")</f>
        <v>22.63</v>
      </c>
    </row>
    <row r="7756" spans="1:8" x14ac:dyDescent="0.3">
      <c r="A7756" s="400"/>
      <c r="B7756" s="709">
        <v>104226</v>
      </c>
      <c r="C7756" s="710" t="s">
        <v>6433</v>
      </c>
      <c r="D7756" s="709" t="s">
        <v>168</v>
      </c>
      <c r="E7756" s="716">
        <v>88.02</v>
      </c>
      <c r="F7756" s="717">
        <v>0</v>
      </c>
      <c r="G7756">
        <f>VLOOKUP(B7756,'SINAPI-%MO'!B:E,4,0)</f>
        <v>0.6845</v>
      </c>
      <c r="H7756" s="225">
        <f t="shared" si="121"/>
        <v>27.77</v>
      </c>
    </row>
    <row r="7757" spans="1:8" x14ac:dyDescent="0.3">
      <c r="A7757" s="400"/>
      <c r="B7757" s="709">
        <v>87786</v>
      </c>
      <c r="C7757" s="710" t="s">
        <v>6434</v>
      </c>
      <c r="D7757" s="709" t="s">
        <v>168</v>
      </c>
      <c r="E7757" s="716">
        <v>93.71</v>
      </c>
      <c r="F7757" s="717">
        <v>0</v>
      </c>
      <c r="G7757">
        <f>VLOOKUP(B7757,'SINAPI-%MO'!B:E,4,0)</f>
        <v>0.70369999999999999</v>
      </c>
      <c r="H7757" s="225">
        <f t="shared" si="121"/>
        <v>27.76</v>
      </c>
    </row>
    <row r="7758" spans="1:8" x14ac:dyDescent="0.3">
      <c r="A7758" s="400"/>
      <c r="B7758" s="709">
        <v>104230</v>
      </c>
      <c r="C7758" s="710" t="s">
        <v>6435</v>
      </c>
      <c r="D7758" s="709" t="s">
        <v>168</v>
      </c>
      <c r="E7758" s="716">
        <v>103.14</v>
      </c>
      <c r="F7758" s="717">
        <v>0</v>
      </c>
      <c r="G7758">
        <f>VLOOKUP(B7758,'SINAPI-%MO'!B:E,4,0)</f>
        <v>0.70609999999999995</v>
      </c>
      <c r="H7758" s="225">
        <f t="shared" si="121"/>
        <v>30.31</v>
      </c>
    </row>
    <row r="7759" spans="1:8" x14ac:dyDescent="0.3">
      <c r="A7759" s="400"/>
      <c r="B7759" s="709">
        <v>104234</v>
      </c>
      <c r="C7759" s="710" t="s">
        <v>6436</v>
      </c>
      <c r="D7759" s="709" t="s">
        <v>168</v>
      </c>
      <c r="E7759" s="716">
        <v>46.67</v>
      </c>
      <c r="F7759" s="717">
        <v>0</v>
      </c>
      <c r="G7759">
        <f>VLOOKUP(B7759,'SINAPI-%MO'!B:E,4,0)</f>
        <v>0.63849999999999996</v>
      </c>
      <c r="H7759" s="225">
        <f t="shared" si="121"/>
        <v>16.87</v>
      </c>
    </row>
    <row r="7760" spans="1:8" x14ac:dyDescent="0.3">
      <c r="A7760" s="400"/>
      <c r="B7760" s="709">
        <v>104238</v>
      </c>
      <c r="C7760" s="710" t="s">
        <v>6437</v>
      </c>
      <c r="D7760" s="709" t="s">
        <v>168</v>
      </c>
      <c r="E7760" s="716">
        <v>64.209999999999994</v>
      </c>
      <c r="F7760" s="717">
        <v>0</v>
      </c>
      <c r="G7760">
        <f>VLOOKUP(B7760,'SINAPI-%MO'!B:E,4,0)</f>
        <v>0.66269999999999996</v>
      </c>
      <c r="H7760" s="225">
        <f t="shared" si="121"/>
        <v>21.65</v>
      </c>
    </row>
    <row r="7761" spans="1:8" x14ac:dyDescent="0.3">
      <c r="A7761" s="400"/>
      <c r="B7761" s="709">
        <v>104242</v>
      </c>
      <c r="C7761" s="710" t="s">
        <v>6438</v>
      </c>
      <c r="D7761" s="709" t="s">
        <v>168</v>
      </c>
      <c r="E7761" s="716">
        <v>72.12</v>
      </c>
      <c r="F7761" s="717">
        <v>0</v>
      </c>
      <c r="G7761">
        <f>VLOOKUP(B7761,'SINAPI-%MO'!B:E,4,0)</f>
        <v>0.63329999999999997</v>
      </c>
      <c r="H7761" s="225">
        <f t="shared" si="121"/>
        <v>26.44</v>
      </c>
    </row>
    <row r="7762" spans="1:8" x14ac:dyDescent="0.3">
      <c r="A7762" s="400"/>
      <c r="B7762" s="709">
        <v>104246</v>
      </c>
      <c r="C7762" s="710" t="s">
        <v>6439</v>
      </c>
      <c r="D7762" s="709" t="s">
        <v>168</v>
      </c>
      <c r="E7762" s="716">
        <v>78.790000000000006</v>
      </c>
      <c r="F7762" s="717">
        <v>0</v>
      </c>
      <c r="G7762">
        <f>VLOOKUP(B7762,'SINAPI-%MO'!B:E,4,0)</f>
        <v>0.6341</v>
      </c>
      <c r="H7762" s="225">
        <f t="shared" si="121"/>
        <v>28.82</v>
      </c>
    </row>
    <row r="7763" spans="1:8" x14ac:dyDescent="0.3">
      <c r="A7763" s="400"/>
      <c r="B7763" s="709">
        <v>104250</v>
      </c>
      <c r="C7763" s="710" t="s">
        <v>6440</v>
      </c>
      <c r="D7763" s="709" t="s">
        <v>168</v>
      </c>
      <c r="E7763" s="716">
        <v>84.4</v>
      </c>
      <c r="F7763" s="717">
        <v>0</v>
      </c>
      <c r="G7763">
        <f>VLOOKUP(B7763,'SINAPI-%MO'!B:E,4,0)</f>
        <v>0.83399999999999996</v>
      </c>
      <c r="H7763" s="225">
        <f t="shared" si="121"/>
        <v>14.01</v>
      </c>
    </row>
    <row r="7764" spans="1:8" x14ac:dyDescent="0.3">
      <c r="A7764" s="400"/>
      <c r="B7764" s="709">
        <v>87811</v>
      </c>
      <c r="C7764" s="710" t="s">
        <v>6441</v>
      </c>
      <c r="D7764" s="709" t="s">
        <v>168</v>
      </c>
      <c r="E7764" s="716">
        <v>92.36</v>
      </c>
      <c r="F7764" s="717">
        <v>0</v>
      </c>
      <c r="G7764">
        <f>VLOOKUP(B7764,'SINAPI-%MO'!B:E,4,0)</f>
        <v>0.84830000000000005</v>
      </c>
      <c r="H7764" s="225">
        <f t="shared" si="121"/>
        <v>14.01</v>
      </c>
    </row>
    <row r="7765" spans="1:8" x14ac:dyDescent="0.3">
      <c r="A7765" s="400"/>
      <c r="B7765" s="709">
        <v>104254</v>
      </c>
      <c r="C7765" s="710" t="s">
        <v>6442</v>
      </c>
      <c r="D7765" s="709" t="s">
        <v>168</v>
      </c>
      <c r="E7765" s="716">
        <v>101.93</v>
      </c>
      <c r="F7765" s="717">
        <v>0</v>
      </c>
      <c r="G7765">
        <f>VLOOKUP(B7765,'SINAPI-%MO'!B:E,4,0)</f>
        <v>0.81559999999999999</v>
      </c>
      <c r="H7765" s="225">
        <f t="shared" si="121"/>
        <v>18.79</v>
      </c>
    </row>
    <row r="7766" spans="1:8" x14ac:dyDescent="0.3">
      <c r="A7766" s="400"/>
      <c r="B7766" s="709">
        <v>87815</v>
      </c>
      <c r="C7766" s="710" t="s">
        <v>6443</v>
      </c>
      <c r="D7766" s="709" t="s">
        <v>168</v>
      </c>
      <c r="E7766" s="716">
        <v>111.15</v>
      </c>
      <c r="F7766" s="717">
        <v>0</v>
      </c>
      <c r="G7766">
        <f>VLOOKUP(B7766,'SINAPI-%MO'!B:E,4,0)</f>
        <v>0.83089999999999997</v>
      </c>
      <c r="H7766" s="225">
        <f t="shared" si="121"/>
        <v>18.79</v>
      </c>
    </row>
    <row r="7767" spans="1:8" x14ac:dyDescent="0.3">
      <c r="A7767" s="400"/>
      <c r="B7767" s="709">
        <v>104258</v>
      </c>
      <c r="C7767" s="710" t="s">
        <v>6444</v>
      </c>
      <c r="D7767" s="709" t="s">
        <v>168</v>
      </c>
      <c r="E7767" s="716">
        <v>109.84</v>
      </c>
      <c r="F7767" s="717">
        <v>0</v>
      </c>
      <c r="G7767">
        <f>VLOOKUP(B7767,'SINAPI-%MO'!B:E,4,0)</f>
        <v>0.78520000000000001</v>
      </c>
      <c r="H7767" s="225">
        <f t="shared" si="121"/>
        <v>23.59</v>
      </c>
    </row>
    <row r="7768" spans="1:8" x14ac:dyDescent="0.3">
      <c r="A7768" s="400"/>
      <c r="B7768" s="709">
        <v>87819</v>
      </c>
      <c r="C7768" s="710" t="s">
        <v>6445</v>
      </c>
      <c r="D7768" s="709" t="s">
        <v>168</v>
      </c>
      <c r="E7768" s="716">
        <v>119.06</v>
      </c>
      <c r="F7768" s="717">
        <v>0</v>
      </c>
      <c r="G7768">
        <f>VLOOKUP(B7768,'SINAPI-%MO'!B:E,4,0)</f>
        <v>0.80189999999999995</v>
      </c>
      <c r="H7768" s="225">
        <f t="shared" si="121"/>
        <v>23.58</v>
      </c>
    </row>
    <row r="7769" spans="1:8" x14ac:dyDescent="0.3">
      <c r="A7769" s="400"/>
      <c r="B7769" s="709">
        <v>104262</v>
      </c>
      <c r="C7769" s="710" t="s">
        <v>6446</v>
      </c>
      <c r="D7769" s="709" t="s">
        <v>168</v>
      </c>
      <c r="E7769" s="716">
        <v>141</v>
      </c>
      <c r="F7769" s="717">
        <v>0</v>
      </c>
      <c r="G7769">
        <f>VLOOKUP(B7769,'SINAPI-%MO'!B:E,4,0)</f>
        <v>0.81579999999999997</v>
      </c>
      <c r="H7769" s="225">
        <f t="shared" si="121"/>
        <v>25.97</v>
      </c>
    </row>
    <row r="7770" spans="1:8" x14ac:dyDescent="0.3">
      <c r="A7770" s="400"/>
      <c r="B7770" s="709">
        <v>87823</v>
      </c>
      <c r="C7770" s="710" t="s">
        <v>6447</v>
      </c>
      <c r="D7770" s="709" t="s">
        <v>168</v>
      </c>
      <c r="E7770" s="716">
        <v>153.57</v>
      </c>
      <c r="F7770" s="717">
        <v>0</v>
      </c>
      <c r="G7770">
        <f>VLOOKUP(B7770,'SINAPI-%MO'!B:E,4,0)</f>
        <v>0.83089999999999997</v>
      </c>
      <c r="H7770" s="225">
        <f t="shared" si="121"/>
        <v>25.96</v>
      </c>
    </row>
    <row r="7771" spans="1:8" x14ac:dyDescent="0.3">
      <c r="A7771" s="400"/>
      <c r="B7771" s="709">
        <v>87827</v>
      </c>
      <c r="C7771" s="710" t="s">
        <v>6448</v>
      </c>
      <c r="D7771" s="709" t="s">
        <v>168</v>
      </c>
      <c r="E7771" s="716">
        <v>87.4</v>
      </c>
      <c r="F7771" s="717">
        <v>0</v>
      </c>
      <c r="G7771">
        <f>VLOOKUP(B7771,'SINAPI-%MO'!B:E,4,0)</f>
        <v>0.80349999999999999</v>
      </c>
      <c r="H7771" s="225">
        <f t="shared" si="121"/>
        <v>17.170000000000002</v>
      </c>
    </row>
    <row r="7772" spans="1:8" x14ac:dyDescent="0.3">
      <c r="A7772" s="400"/>
      <c r="B7772" s="709">
        <v>87831</v>
      </c>
      <c r="C7772" s="710" t="s">
        <v>6449</v>
      </c>
      <c r="D7772" s="709" t="s">
        <v>168</v>
      </c>
      <c r="E7772" s="716">
        <v>106.33</v>
      </c>
      <c r="F7772" s="717">
        <v>0</v>
      </c>
      <c r="G7772">
        <f>VLOOKUP(B7772,'SINAPI-%MO'!B:E,4,0)</f>
        <v>0.78359999999999996</v>
      </c>
      <c r="H7772" s="225">
        <f t="shared" si="121"/>
        <v>23</v>
      </c>
    </row>
    <row r="7773" spans="1:8" x14ac:dyDescent="0.3">
      <c r="A7773" s="400"/>
      <c r="B7773" s="709">
        <v>104220</v>
      </c>
      <c r="C7773" s="710" t="s">
        <v>6450</v>
      </c>
      <c r="D7773" s="709" t="s">
        <v>168</v>
      </c>
      <c r="E7773" s="716">
        <v>60.44</v>
      </c>
      <c r="F7773" s="717">
        <v>9.0800000000000006E-2</v>
      </c>
      <c r="G7773">
        <f>VLOOKUP(B7773,'SINAPI-%MO'!B:E,4,0)</f>
        <v>0.59219999999999995</v>
      </c>
      <c r="H7773" s="225">
        <f t="shared" si="121"/>
        <v>24.64</v>
      </c>
    </row>
    <row r="7774" spans="1:8" x14ac:dyDescent="0.3">
      <c r="A7774" s="400"/>
      <c r="B7774" s="709">
        <v>104203</v>
      </c>
      <c r="C7774" s="710" t="s">
        <v>6451</v>
      </c>
      <c r="D7774" s="709" t="s">
        <v>168</v>
      </c>
      <c r="E7774" s="716">
        <v>65.06</v>
      </c>
      <c r="F7774" s="717">
        <v>9.3899999999999997E-2</v>
      </c>
      <c r="G7774">
        <f>VLOOKUP(B7774,'SINAPI-%MO'!B:E,4,0)</f>
        <v>0.61140000000000005</v>
      </c>
      <c r="H7774" s="225">
        <f t="shared" si="121"/>
        <v>25.28</v>
      </c>
    </row>
    <row r="7775" spans="1:8" x14ac:dyDescent="0.3">
      <c r="A7775" s="400"/>
      <c r="B7775" s="709">
        <v>104224</v>
      </c>
      <c r="C7775" s="710" t="s">
        <v>6452</v>
      </c>
      <c r="D7775" s="709" t="s">
        <v>168</v>
      </c>
      <c r="E7775" s="716">
        <v>78.099999999999994</v>
      </c>
      <c r="F7775" s="717">
        <v>9.0999999999999998E-2</v>
      </c>
      <c r="G7775">
        <f>VLOOKUP(B7775,'SINAPI-%MO'!B:E,4,0)</f>
        <v>0.59030000000000005</v>
      </c>
      <c r="H7775" s="225">
        <f t="shared" si="121"/>
        <v>31.99</v>
      </c>
    </row>
    <row r="7776" spans="1:8" x14ac:dyDescent="0.3">
      <c r="A7776" s="400"/>
      <c r="B7776" s="709">
        <v>104204</v>
      </c>
      <c r="C7776" s="710" t="s">
        <v>6453</v>
      </c>
      <c r="D7776" s="709" t="s">
        <v>168</v>
      </c>
      <c r="E7776" s="716">
        <v>84.09</v>
      </c>
      <c r="F7776" s="717">
        <v>9.4200000000000006E-2</v>
      </c>
      <c r="G7776">
        <f>VLOOKUP(B7776,'SINAPI-%MO'!B:E,4,0)</f>
        <v>0.60980000000000001</v>
      </c>
      <c r="H7776" s="225">
        <f t="shared" si="121"/>
        <v>32.81</v>
      </c>
    </row>
    <row r="7777" spans="1:8" x14ac:dyDescent="0.3">
      <c r="A7777" s="400"/>
      <c r="B7777" s="709">
        <v>104228</v>
      </c>
      <c r="C7777" s="710" t="s">
        <v>6454</v>
      </c>
      <c r="D7777" s="709" t="s">
        <v>168</v>
      </c>
      <c r="E7777" s="716">
        <v>85.67</v>
      </c>
      <c r="F7777" s="717">
        <v>8.5900000000000004E-2</v>
      </c>
      <c r="G7777">
        <f>VLOOKUP(B7777,'SINAPI-%MO'!B:E,4,0)</f>
        <v>0.55669999999999997</v>
      </c>
      <c r="H7777" s="225">
        <f t="shared" si="121"/>
        <v>37.97</v>
      </c>
    </row>
    <row r="7778" spans="1:8" x14ac:dyDescent="0.3">
      <c r="A7778" s="400"/>
      <c r="B7778" s="709">
        <v>104205</v>
      </c>
      <c r="C7778" s="710" t="s">
        <v>6455</v>
      </c>
      <c r="D7778" s="709" t="s">
        <v>168</v>
      </c>
      <c r="E7778" s="716">
        <v>91.67</v>
      </c>
      <c r="F7778" s="717">
        <v>8.9099999999999999E-2</v>
      </c>
      <c r="G7778">
        <f>VLOOKUP(B7778,'SINAPI-%MO'!B:E,4,0)</f>
        <v>0.57669999999999999</v>
      </c>
      <c r="H7778" s="225">
        <f t="shared" si="121"/>
        <v>38.799999999999997</v>
      </c>
    </row>
    <row r="7779" spans="1:8" x14ac:dyDescent="0.3">
      <c r="A7779" s="400"/>
      <c r="B7779" s="709">
        <v>104232</v>
      </c>
      <c r="C7779" s="710" t="s">
        <v>6456</v>
      </c>
      <c r="D7779" s="709" t="s">
        <v>168</v>
      </c>
      <c r="E7779" s="716">
        <v>94.7</v>
      </c>
      <c r="F7779" s="717">
        <v>8.6499999999999994E-2</v>
      </c>
      <c r="G7779">
        <f>VLOOKUP(B7779,'SINAPI-%MO'!B:E,4,0)</f>
        <v>0.56010000000000004</v>
      </c>
      <c r="H7779" s="225">
        <f t="shared" si="121"/>
        <v>41.65</v>
      </c>
    </row>
    <row r="7780" spans="1:8" x14ac:dyDescent="0.3">
      <c r="A7780" s="400"/>
      <c r="B7780" s="709">
        <v>104206</v>
      </c>
      <c r="C7780" s="710" t="s">
        <v>6457</v>
      </c>
      <c r="D7780" s="709" t="s">
        <v>168</v>
      </c>
      <c r="E7780" s="716">
        <v>101.28</v>
      </c>
      <c r="F7780" s="717">
        <v>8.9700000000000002E-2</v>
      </c>
      <c r="G7780">
        <f>VLOOKUP(B7780,'SINAPI-%MO'!B:E,4,0)</f>
        <v>0.57989999999999997</v>
      </c>
      <c r="H7780" s="225">
        <f t="shared" si="121"/>
        <v>42.54</v>
      </c>
    </row>
    <row r="7781" spans="1:8" x14ac:dyDescent="0.3">
      <c r="A7781" s="400"/>
      <c r="B7781" s="709">
        <v>104236</v>
      </c>
      <c r="C7781" s="710" t="s">
        <v>6458</v>
      </c>
      <c r="D7781" s="709" t="s">
        <v>168</v>
      </c>
      <c r="E7781" s="716">
        <v>45.09</v>
      </c>
      <c r="F7781" s="717">
        <v>7.8700000000000006E-2</v>
      </c>
      <c r="G7781">
        <f>VLOOKUP(B7781,'SINAPI-%MO'!B:E,4,0)</f>
        <v>0.51190000000000002</v>
      </c>
      <c r="H7781" s="225">
        <f t="shared" si="121"/>
        <v>22</v>
      </c>
    </row>
    <row r="7782" spans="1:8" x14ac:dyDescent="0.3">
      <c r="A7782" s="400"/>
      <c r="B7782" s="709">
        <v>104207</v>
      </c>
      <c r="C7782" s="710" t="s">
        <v>6459</v>
      </c>
      <c r="D7782" s="709" t="s">
        <v>168</v>
      </c>
      <c r="E7782" s="716">
        <v>47.93</v>
      </c>
      <c r="F7782" s="717">
        <v>8.2000000000000003E-2</v>
      </c>
      <c r="G7782">
        <f>VLOOKUP(B7782,'SINAPI-%MO'!B:E,4,0)</f>
        <v>0.53269999999999995</v>
      </c>
      <c r="H7782" s="225">
        <f t="shared" si="121"/>
        <v>22.39</v>
      </c>
    </row>
    <row r="7783" spans="1:8" x14ac:dyDescent="0.3">
      <c r="A7783" s="400"/>
      <c r="B7783" s="709">
        <v>104240</v>
      </c>
      <c r="C7783" s="710" t="s">
        <v>6460</v>
      </c>
      <c r="D7783" s="709" t="s">
        <v>168</v>
      </c>
      <c r="E7783" s="716">
        <v>62.36</v>
      </c>
      <c r="F7783" s="717">
        <v>8.3099999999999993E-2</v>
      </c>
      <c r="G7783">
        <f>VLOOKUP(B7783,'SINAPI-%MO'!B:E,4,0)</f>
        <v>0.53449999999999998</v>
      </c>
      <c r="H7783" s="225">
        <f t="shared" si="121"/>
        <v>29.02</v>
      </c>
    </row>
    <row r="7784" spans="1:8" x14ac:dyDescent="0.3">
      <c r="A7784" s="400"/>
      <c r="B7784" s="709">
        <v>104208</v>
      </c>
      <c r="C7784" s="710" t="s">
        <v>6461</v>
      </c>
      <c r="D7784" s="709" t="s">
        <v>168</v>
      </c>
      <c r="E7784" s="716">
        <v>66.45</v>
      </c>
      <c r="F7784" s="717">
        <v>8.6199999999999999E-2</v>
      </c>
      <c r="G7784">
        <f>VLOOKUP(B7784,'SINAPI-%MO'!B:E,4,0)</f>
        <v>0.55469999999999997</v>
      </c>
      <c r="H7784" s="225">
        <f t="shared" si="121"/>
        <v>29.59</v>
      </c>
    </row>
    <row r="7785" spans="1:8" x14ac:dyDescent="0.3">
      <c r="A7785" s="400"/>
      <c r="B7785" s="709">
        <v>104244</v>
      </c>
      <c r="C7785" s="710" t="s">
        <v>6462</v>
      </c>
      <c r="D7785" s="709" t="s">
        <v>168</v>
      </c>
      <c r="E7785" s="716">
        <v>69.48</v>
      </c>
      <c r="F7785" s="717">
        <v>7.8200000000000006E-2</v>
      </c>
      <c r="G7785">
        <f>VLOOKUP(B7785,'SINAPI-%MO'!B:E,4,0)</f>
        <v>0.50119999999999998</v>
      </c>
      <c r="H7785" s="225">
        <f t="shared" si="121"/>
        <v>34.65</v>
      </c>
    </row>
    <row r="7786" spans="1:8" x14ac:dyDescent="0.3">
      <c r="A7786" s="400"/>
      <c r="B7786" s="709">
        <v>104209</v>
      </c>
      <c r="C7786" s="710" t="s">
        <v>6463</v>
      </c>
      <c r="D7786" s="709" t="s">
        <v>168</v>
      </c>
      <c r="E7786" s="716">
        <v>73.569999999999993</v>
      </c>
      <c r="F7786" s="717">
        <v>8.1299999999999997E-2</v>
      </c>
      <c r="G7786">
        <f>VLOOKUP(B7786,'SINAPI-%MO'!B:E,4,0)</f>
        <v>0.52129999999999999</v>
      </c>
      <c r="H7786" s="225">
        <f t="shared" si="121"/>
        <v>35.21</v>
      </c>
    </row>
    <row r="7787" spans="1:8" x14ac:dyDescent="0.3">
      <c r="A7787" s="400"/>
      <c r="B7787" s="709">
        <v>104248</v>
      </c>
      <c r="C7787" s="710" t="s">
        <v>6464</v>
      </c>
      <c r="D7787" s="709" t="s">
        <v>168</v>
      </c>
      <c r="E7787" s="716">
        <v>72.27</v>
      </c>
      <c r="F7787" s="717">
        <v>7.5300000000000006E-2</v>
      </c>
      <c r="G7787">
        <f>VLOOKUP(B7787,'SINAPI-%MO'!B:E,4,0)</f>
        <v>0.48259999999999997</v>
      </c>
      <c r="H7787" s="225">
        <f t="shared" si="121"/>
        <v>37.39</v>
      </c>
    </row>
    <row r="7788" spans="1:8" x14ac:dyDescent="0.3">
      <c r="A7788" s="400"/>
      <c r="B7788" s="709">
        <v>104210</v>
      </c>
      <c r="C7788" s="710" t="s">
        <v>6465</v>
      </c>
      <c r="D7788" s="709" t="s">
        <v>168</v>
      </c>
      <c r="E7788" s="716">
        <v>76.209999999999994</v>
      </c>
      <c r="F7788" s="717">
        <v>7.85E-2</v>
      </c>
      <c r="G7788">
        <f>VLOOKUP(B7788,'SINAPI-%MO'!B:E,4,0)</f>
        <v>0.50239999999999996</v>
      </c>
      <c r="H7788" s="225">
        <f t="shared" si="121"/>
        <v>37.92</v>
      </c>
    </row>
    <row r="7789" spans="1:8" x14ac:dyDescent="0.3">
      <c r="A7789" s="400"/>
      <c r="B7789" s="709">
        <v>104252</v>
      </c>
      <c r="C7789" s="710" t="s">
        <v>6466</v>
      </c>
      <c r="D7789" s="709" t="s">
        <v>168</v>
      </c>
      <c r="E7789" s="716">
        <v>85.03</v>
      </c>
      <c r="F7789" s="717">
        <v>0.10979999999999999</v>
      </c>
      <c r="G7789">
        <f>VLOOKUP(B7789,'SINAPI-%MO'!B:E,4,0)</f>
        <v>0.70650000000000002</v>
      </c>
      <c r="H7789" s="225">
        <f t="shared" si="121"/>
        <v>24.95</v>
      </c>
    </row>
    <row r="7790" spans="1:8" x14ac:dyDescent="0.3">
      <c r="A7790" s="400"/>
      <c r="B7790" s="709">
        <v>104211</v>
      </c>
      <c r="C7790" s="710" t="s">
        <v>6467</v>
      </c>
      <c r="D7790" s="709" t="s">
        <v>168</v>
      </c>
      <c r="E7790" s="716">
        <v>93.34</v>
      </c>
      <c r="F7790" s="717">
        <v>0.11210000000000001</v>
      </c>
      <c r="G7790">
        <f>VLOOKUP(B7790,'SINAPI-%MO'!B:E,4,0)</f>
        <v>0.72050000000000003</v>
      </c>
      <c r="H7790" s="225">
        <f t="shared" si="121"/>
        <v>26.08</v>
      </c>
    </row>
    <row r="7791" spans="1:8" x14ac:dyDescent="0.3">
      <c r="A7791" s="400"/>
      <c r="B7791" s="709">
        <v>104212</v>
      </c>
      <c r="C7791" s="710" t="s">
        <v>6468</v>
      </c>
      <c r="D7791" s="709" t="s">
        <v>168</v>
      </c>
      <c r="E7791" s="716">
        <v>111.93</v>
      </c>
      <c r="F7791" s="717">
        <v>0.1095</v>
      </c>
      <c r="G7791">
        <f>VLOOKUP(B7791,'SINAPI-%MO'!B:E,4,0)</f>
        <v>0.7026</v>
      </c>
      <c r="H7791" s="225">
        <f t="shared" si="121"/>
        <v>33.28</v>
      </c>
    </row>
    <row r="7792" spans="1:8" x14ac:dyDescent="0.3">
      <c r="A7792" s="400"/>
      <c r="B7792" s="709">
        <v>104213</v>
      </c>
      <c r="C7792" s="710" t="s">
        <v>6469</v>
      </c>
      <c r="D7792" s="709" t="s">
        <v>168</v>
      </c>
      <c r="E7792" s="716">
        <v>119.05</v>
      </c>
      <c r="F7792" s="717">
        <v>0.1051</v>
      </c>
      <c r="G7792">
        <f>VLOOKUP(B7792,'SINAPI-%MO'!B:E,4,0)</f>
        <v>0.67310000000000003</v>
      </c>
      <c r="H7792" s="225">
        <f t="shared" si="121"/>
        <v>38.909999999999997</v>
      </c>
    </row>
    <row r="7793" spans="1:8" x14ac:dyDescent="0.3">
      <c r="A7793" s="400"/>
      <c r="B7793" s="709">
        <v>104214</v>
      </c>
      <c r="C7793" s="710" t="s">
        <v>6470</v>
      </c>
      <c r="D7793" s="709" t="s">
        <v>168</v>
      </c>
      <c r="E7793" s="716">
        <v>142.26</v>
      </c>
      <c r="F7793" s="717">
        <v>0.1075</v>
      </c>
      <c r="G7793">
        <f>VLOOKUP(B7793,'SINAPI-%MO'!B:E,4,0)</f>
        <v>0.68779999999999997</v>
      </c>
      <c r="H7793" s="225">
        <f t="shared" si="121"/>
        <v>44.41</v>
      </c>
    </row>
    <row r="7794" spans="1:8" x14ac:dyDescent="0.3">
      <c r="A7794" s="400"/>
      <c r="B7794" s="709">
        <v>104215</v>
      </c>
      <c r="C7794" s="710" t="s">
        <v>6471</v>
      </c>
      <c r="D7794" s="709" t="s">
        <v>168</v>
      </c>
      <c r="E7794" s="716">
        <v>86.96</v>
      </c>
      <c r="F7794" s="717">
        <v>0.1037</v>
      </c>
      <c r="G7794">
        <f>VLOOKUP(B7794,'SINAPI-%MO'!B:E,4,0)</f>
        <v>0.67920000000000003</v>
      </c>
      <c r="H7794" s="225">
        <f t="shared" si="121"/>
        <v>27.89</v>
      </c>
    </row>
    <row r="7795" spans="1:8" x14ac:dyDescent="0.3">
      <c r="A7795" s="400"/>
      <c r="B7795" s="709">
        <v>104216</v>
      </c>
      <c r="C7795" s="710" t="s">
        <v>6472</v>
      </c>
      <c r="D7795" s="709" t="s">
        <v>168</v>
      </c>
      <c r="E7795" s="716">
        <v>105.26</v>
      </c>
      <c r="F7795" s="717">
        <v>0.1007</v>
      </c>
      <c r="G7795">
        <f>VLOOKUP(B7795,'SINAPI-%MO'!B:E,4,0)</f>
        <v>0.65849999999999997</v>
      </c>
      <c r="H7795" s="225">
        <f t="shared" si="121"/>
        <v>35.94</v>
      </c>
    </row>
    <row r="7796" spans="1:8" x14ac:dyDescent="0.3">
      <c r="A7796" s="400"/>
      <c r="B7796" s="709">
        <v>104217</v>
      </c>
      <c r="C7796" s="710" t="s">
        <v>6473</v>
      </c>
      <c r="D7796" s="709" t="s">
        <v>168</v>
      </c>
      <c r="E7796" s="716">
        <v>56.84</v>
      </c>
      <c r="F7796" s="717">
        <v>0</v>
      </c>
      <c r="G7796">
        <f>VLOOKUP(B7796,'SINAPI-%MO'!B:E,4,0)</f>
        <v>0.68379999999999996</v>
      </c>
      <c r="H7796" s="225">
        <f t="shared" si="121"/>
        <v>17.97</v>
      </c>
    </row>
    <row r="7797" spans="1:8" x14ac:dyDescent="0.3">
      <c r="A7797" s="400"/>
      <c r="B7797" s="709">
        <v>104221</v>
      </c>
      <c r="C7797" s="710" t="s">
        <v>6474</v>
      </c>
      <c r="D7797" s="709" t="s">
        <v>168</v>
      </c>
      <c r="E7797" s="716">
        <v>73.260000000000005</v>
      </c>
      <c r="F7797" s="717">
        <v>0</v>
      </c>
      <c r="G7797">
        <f>VLOOKUP(B7797,'SINAPI-%MO'!B:E,4,0)</f>
        <v>0.68289999999999995</v>
      </c>
      <c r="H7797" s="225">
        <f t="shared" si="121"/>
        <v>23.23</v>
      </c>
    </row>
    <row r="7798" spans="1:8" x14ac:dyDescent="0.3">
      <c r="A7798" s="400"/>
      <c r="B7798" s="709">
        <v>104225</v>
      </c>
      <c r="C7798" s="710" t="s">
        <v>6475</v>
      </c>
      <c r="D7798" s="709" t="s">
        <v>168</v>
      </c>
      <c r="E7798" s="716">
        <v>80.12</v>
      </c>
      <c r="F7798" s="717">
        <v>0</v>
      </c>
      <c r="G7798">
        <f>VLOOKUP(B7798,'SINAPI-%MO'!B:E,4,0)</f>
        <v>0.64429999999999998</v>
      </c>
      <c r="H7798" s="225">
        <f t="shared" si="121"/>
        <v>28.49</v>
      </c>
    </row>
    <row r="7799" spans="1:8" x14ac:dyDescent="0.3">
      <c r="A7799" s="400"/>
      <c r="B7799" s="709">
        <v>104229</v>
      </c>
      <c r="C7799" s="710" t="s">
        <v>6476</v>
      </c>
      <c r="D7799" s="709" t="s">
        <v>168</v>
      </c>
      <c r="E7799" s="716">
        <v>94.44</v>
      </c>
      <c r="F7799" s="717">
        <v>0</v>
      </c>
      <c r="G7799">
        <f>VLOOKUP(B7799,'SINAPI-%MO'!B:E,4,0)</f>
        <v>0.67069999999999996</v>
      </c>
      <c r="H7799" s="225">
        <f t="shared" si="121"/>
        <v>31.09</v>
      </c>
    </row>
    <row r="7800" spans="1:8" x14ac:dyDescent="0.3">
      <c r="A7800" s="400"/>
      <c r="B7800" s="709">
        <v>104233</v>
      </c>
      <c r="C7800" s="710" t="s">
        <v>6477</v>
      </c>
      <c r="D7800" s="709" t="s">
        <v>168</v>
      </c>
      <c r="E7800" s="716">
        <v>42.29</v>
      </c>
      <c r="F7800" s="717">
        <v>0</v>
      </c>
      <c r="G7800">
        <f>VLOOKUP(B7800,'SINAPI-%MO'!B:E,4,0)</f>
        <v>0.59140000000000004</v>
      </c>
      <c r="H7800" s="225">
        <f t="shared" si="121"/>
        <v>17.27</v>
      </c>
    </row>
    <row r="7801" spans="1:8" x14ac:dyDescent="0.3">
      <c r="A7801" s="400"/>
      <c r="B7801" s="709">
        <v>104237</v>
      </c>
      <c r="C7801" s="710" t="s">
        <v>6478</v>
      </c>
      <c r="D7801" s="709" t="s">
        <v>168</v>
      </c>
      <c r="E7801" s="716">
        <v>58.33</v>
      </c>
      <c r="F7801" s="717">
        <v>0</v>
      </c>
      <c r="G7801">
        <f>VLOOKUP(B7801,'SINAPI-%MO'!B:E,4,0)</f>
        <v>0.61939999999999995</v>
      </c>
      <c r="H7801" s="225">
        <f t="shared" si="121"/>
        <v>22.2</v>
      </c>
    </row>
    <row r="7802" spans="1:8" x14ac:dyDescent="0.3">
      <c r="A7802" s="400"/>
      <c r="B7802" s="709">
        <v>104241</v>
      </c>
      <c r="C7802" s="710" t="s">
        <v>6479</v>
      </c>
      <c r="D7802" s="709" t="s">
        <v>168</v>
      </c>
      <c r="E7802" s="716">
        <v>64.739999999999995</v>
      </c>
      <c r="F7802" s="717">
        <v>0</v>
      </c>
      <c r="G7802">
        <f>VLOOKUP(B7802,'SINAPI-%MO'!B:E,4,0)</f>
        <v>0.58109999999999995</v>
      </c>
      <c r="H7802" s="225">
        <f t="shared" si="121"/>
        <v>27.11</v>
      </c>
    </row>
    <row r="7803" spans="1:8" x14ac:dyDescent="0.3">
      <c r="A7803" s="400"/>
      <c r="B7803" s="709">
        <v>104245</v>
      </c>
      <c r="C7803" s="710" t="s">
        <v>6480</v>
      </c>
      <c r="D7803" s="709" t="s">
        <v>168</v>
      </c>
      <c r="E7803" s="716">
        <v>70.67</v>
      </c>
      <c r="F7803" s="717">
        <v>0</v>
      </c>
      <c r="G7803">
        <f>VLOOKUP(B7803,'SINAPI-%MO'!B:E,4,0)</f>
        <v>0.58130000000000004</v>
      </c>
      <c r="H7803" s="225">
        <f t="shared" si="121"/>
        <v>29.58</v>
      </c>
    </row>
    <row r="7804" spans="1:8" x14ac:dyDescent="0.3">
      <c r="A7804" s="400"/>
      <c r="B7804" s="709">
        <v>104249</v>
      </c>
      <c r="C7804" s="710" t="s">
        <v>6481</v>
      </c>
      <c r="D7804" s="709" t="s">
        <v>168</v>
      </c>
      <c r="E7804" s="716">
        <v>80.02</v>
      </c>
      <c r="F7804" s="717">
        <v>0</v>
      </c>
      <c r="G7804">
        <f>VLOOKUP(B7804,'SINAPI-%MO'!B:E,4,0)</f>
        <v>0.81979999999999997</v>
      </c>
      <c r="H7804" s="225">
        <f t="shared" si="121"/>
        <v>14.41</v>
      </c>
    </row>
    <row r="7805" spans="1:8" x14ac:dyDescent="0.3">
      <c r="A7805" s="400"/>
      <c r="B7805" s="709">
        <v>104253</v>
      </c>
      <c r="C7805" s="710" t="s">
        <v>6482</v>
      </c>
      <c r="D7805" s="709" t="s">
        <v>168</v>
      </c>
      <c r="E7805" s="716">
        <v>96.05</v>
      </c>
      <c r="F7805" s="717">
        <v>0</v>
      </c>
      <c r="G7805">
        <f>VLOOKUP(B7805,'SINAPI-%MO'!B:E,4,0)</f>
        <v>0.79859999999999998</v>
      </c>
      <c r="H7805" s="225">
        <f t="shared" si="121"/>
        <v>19.34</v>
      </c>
    </row>
    <row r="7806" spans="1:8" x14ac:dyDescent="0.3">
      <c r="A7806" s="400"/>
      <c r="B7806" s="709">
        <v>104256</v>
      </c>
      <c r="C7806" s="710" t="s">
        <v>6483</v>
      </c>
      <c r="D7806" s="709" t="s">
        <v>168</v>
      </c>
      <c r="E7806" s="716">
        <v>102.31</v>
      </c>
      <c r="F7806" s="717">
        <v>0.1071</v>
      </c>
      <c r="G7806">
        <f>VLOOKUP(B7806,'SINAPI-%MO'!B:E,4,0)</f>
        <v>0.68740000000000001</v>
      </c>
      <c r="H7806" s="225">
        <f t="shared" si="121"/>
        <v>31.98</v>
      </c>
    </row>
    <row r="7807" spans="1:8" x14ac:dyDescent="0.3">
      <c r="A7807" s="400"/>
      <c r="B7807" s="709">
        <v>104260</v>
      </c>
      <c r="C7807" s="710" t="s">
        <v>6484</v>
      </c>
      <c r="D7807" s="709" t="s">
        <v>168</v>
      </c>
      <c r="E7807" s="716">
        <v>109.43</v>
      </c>
      <c r="F7807" s="717">
        <v>0.1024</v>
      </c>
      <c r="G7807">
        <f>VLOOKUP(B7807,'SINAPI-%MO'!B:E,4,0)</f>
        <v>0.65629999999999999</v>
      </c>
      <c r="H7807" s="225">
        <f t="shared" si="121"/>
        <v>37.61</v>
      </c>
    </row>
    <row r="7808" spans="1:8" x14ac:dyDescent="0.3">
      <c r="A7808" s="400"/>
      <c r="B7808" s="709">
        <v>104264</v>
      </c>
      <c r="C7808" s="710" t="s">
        <v>6485</v>
      </c>
      <c r="D7808" s="709" t="s">
        <v>168</v>
      </c>
      <c r="E7808" s="716">
        <v>130.4</v>
      </c>
      <c r="F7808" s="717">
        <v>0.105</v>
      </c>
      <c r="G7808">
        <f>VLOOKUP(B7808,'SINAPI-%MO'!B:E,4,0)</f>
        <v>0.67169999999999996</v>
      </c>
      <c r="H7808" s="225">
        <f t="shared" si="121"/>
        <v>42.81</v>
      </c>
    </row>
    <row r="7809" spans="1:8" x14ac:dyDescent="0.3">
      <c r="A7809" s="400"/>
      <c r="B7809" s="709">
        <v>87792</v>
      </c>
      <c r="C7809" s="710" t="s">
        <v>6486</v>
      </c>
      <c r="D7809" s="709" t="s">
        <v>168</v>
      </c>
      <c r="E7809" s="716">
        <v>44.91</v>
      </c>
      <c r="F7809" s="717">
        <v>0</v>
      </c>
      <c r="G7809">
        <f>VLOOKUP(B7809,'SINAPI-%MO'!B:E,4,0)</f>
        <v>0.61519999999999997</v>
      </c>
      <c r="H7809" s="225">
        <f t="shared" si="121"/>
        <v>17.28</v>
      </c>
    </row>
    <row r="7810" spans="1:8" x14ac:dyDescent="0.3">
      <c r="A7810" s="400"/>
      <c r="B7810" s="709">
        <v>87797</v>
      </c>
      <c r="C7810" s="710" t="s">
        <v>6487</v>
      </c>
      <c r="D7810" s="709" t="s">
        <v>168</v>
      </c>
      <c r="E7810" s="716">
        <v>62.19</v>
      </c>
      <c r="F7810" s="717">
        <v>0</v>
      </c>
      <c r="G7810">
        <f>VLOOKUP(B7810,'SINAPI-%MO'!B:E,4,0)</f>
        <v>0.64300000000000002</v>
      </c>
      <c r="H7810" s="225">
        <f t="shared" si="121"/>
        <v>22.2</v>
      </c>
    </row>
    <row r="7811" spans="1:8" x14ac:dyDescent="0.3">
      <c r="A7811" s="400"/>
      <c r="B7811" s="709">
        <v>87801</v>
      </c>
      <c r="C7811" s="710" t="s">
        <v>6488</v>
      </c>
      <c r="D7811" s="709" t="s">
        <v>168</v>
      </c>
      <c r="E7811" s="716">
        <v>68.599999999999994</v>
      </c>
      <c r="F7811" s="717">
        <v>0</v>
      </c>
      <c r="G7811">
        <f>VLOOKUP(B7811,'SINAPI-%MO'!B:E,4,0)</f>
        <v>0.60470000000000002</v>
      </c>
      <c r="H7811" s="225">
        <f t="shared" si="121"/>
        <v>27.11</v>
      </c>
    </row>
    <row r="7812" spans="1:8" x14ac:dyDescent="0.3">
      <c r="A7812" s="400"/>
      <c r="B7812" s="709">
        <v>87805</v>
      </c>
      <c r="C7812" s="710" t="s">
        <v>6489</v>
      </c>
      <c r="D7812" s="709" t="s">
        <v>168</v>
      </c>
      <c r="E7812" s="716">
        <v>74.94</v>
      </c>
      <c r="F7812" s="717">
        <v>0</v>
      </c>
      <c r="G7812">
        <f>VLOOKUP(B7812,'SINAPI-%MO'!B:E,4,0)</f>
        <v>0.60519999999999996</v>
      </c>
      <c r="H7812" s="225">
        <f t="shared" si="121"/>
        <v>29.58</v>
      </c>
    </row>
    <row r="7813" spans="1:8" x14ac:dyDescent="0.3">
      <c r="A7813" s="400"/>
      <c r="B7813" s="709">
        <v>87775</v>
      </c>
      <c r="C7813" s="710" t="s">
        <v>6490</v>
      </c>
      <c r="D7813" s="709" t="s">
        <v>168</v>
      </c>
      <c r="E7813" s="716">
        <v>61.28</v>
      </c>
      <c r="F7813" s="717">
        <v>0</v>
      </c>
      <c r="G7813">
        <f>VLOOKUP(B7813,'SINAPI-%MO'!B:E,4,0)</f>
        <v>0.70679999999999998</v>
      </c>
      <c r="H7813" s="225">
        <f t="shared" si="121"/>
        <v>17.96</v>
      </c>
    </row>
    <row r="7814" spans="1:8" x14ac:dyDescent="0.3">
      <c r="A7814" s="400"/>
      <c r="B7814" s="709">
        <v>87779</v>
      </c>
      <c r="C7814" s="710" t="s">
        <v>6491</v>
      </c>
      <c r="D7814" s="709" t="s">
        <v>168</v>
      </c>
      <c r="E7814" s="716">
        <v>78.95</v>
      </c>
      <c r="F7814" s="717">
        <v>0</v>
      </c>
      <c r="G7814">
        <f>VLOOKUP(B7814,'SINAPI-%MO'!B:E,4,0)</f>
        <v>0.70579999999999998</v>
      </c>
      <c r="H7814" s="225">
        <f t="shared" si="121"/>
        <v>23.22</v>
      </c>
    </row>
    <row r="7815" spans="1:8" x14ac:dyDescent="0.3">
      <c r="A7815" s="400"/>
      <c r="B7815" s="709">
        <v>87784</v>
      </c>
      <c r="C7815" s="710" t="s">
        <v>6492</v>
      </c>
      <c r="D7815" s="709" t="s">
        <v>168</v>
      </c>
      <c r="E7815" s="716">
        <v>85.81</v>
      </c>
      <c r="F7815" s="717">
        <v>0</v>
      </c>
      <c r="G7815">
        <f>VLOOKUP(B7815,'SINAPI-%MO'!B:E,4,0)</f>
        <v>0.66790000000000005</v>
      </c>
      <c r="H7815" s="225">
        <f t="shared" si="121"/>
        <v>28.49</v>
      </c>
    </row>
    <row r="7816" spans="1:8" x14ac:dyDescent="0.3">
      <c r="A7816" s="400"/>
      <c r="B7816" s="709">
        <v>87788</v>
      </c>
      <c r="C7816" s="710" t="s">
        <v>6493</v>
      </c>
      <c r="D7816" s="709" t="s">
        <v>168</v>
      </c>
      <c r="E7816" s="716">
        <v>101.5</v>
      </c>
      <c r="F7816" s="717">
        <v>0</v>
      </c>
      <c r="G7816">
        <f>VLOOKUP(B7816,'SINAPI-%MO'!B:E,4,0)</f>
        <v>0.69359999999999999</v>
      </c>
      <c r="H7816" s="225">
        <f t="shared" si="121"/>
        <v>31.09</v>
      </c>
    </row>
    <row r="7817" spans="1:8" x14ac:dyDescent="0.3">
      <c r="A7817" s="400"/>
      <c r="B7817" s="709">
        <v>87809</v>
      </c>
      <c r="C7817" s="710" t="s">
        <v>6494</v>
      </c>
      <c r="D7817" s="709" t="s">
        <v>168</v>
      </c>
      <c r="E7817" s="716">
        <v>87.98</v>
      </c>
      <c r="F7817" s="717">
        <v>0</v>
      </c>
      <c r="G7817">
        <f>VLOOKUP(B7817,'SINAPI-%MO'!B:E,4,0)</f>
        <v>0.83609999999999995</v>
      </c>
      <c r="H7817" s="225">
        <f t="shared" si="121"/>
        <v>14.41</v>
      </c>
    </row>
    <row r="7818" spans="1:8" x14ac:dyDescent="0.3">
      <c r="A7818" s="400"/>
      <c r="B7818" s="709">
        <v>87813</v>
      </c>
      <c r="C7818" s="710" t="s">
        <v>6495</v>
      </c>
      <c r="D7818" s="709" t="s">
        <v>168</v>
      </c>
      <c r="E7818" s="716">
        <v>105.27</v>
      </c>
      <c r="F7818" s="717">
        <v>0</v>
      </c>
      <c r="G7818">
        <f>VLOOKUP(B7818,'SINAPI-%MO'!B:E,4,0)</f>
        <v>0.81630000000000003</v>
      </c>
      <c r="H7818" s="225">
        <f t="shared" si="121"/>
        <v>19.329999999999998</v>
      </c>
    </row>
    <row r="7819" spans="1:8" x14ac:dyDescent="0.3">
      <c r="A7819" s="400"/>
      <c r="B7819" s="709">
        <v>104257</v>
      </c>
      <c r="C7819" s="710" t="s">
        <v>6496</v>
      </c>
      <c r="D7819" s="709" t="s">
        <v>168</v>
      </c>
      <c r="E7819" s="716">
        <v>102.46</v>
      </c>
      <c r="F7819" s="717">
        <v>0</v>
      </c>
      <c r="G7819">
        <f>VLOOKUP(B7819,'SINAPI-%MO'!B:E,4,0)</f>
        <v>0.76319999999999999</v>
      </c>
      <c r="H7819" s="225">
        <f t="shared" ref="H7819:H7882" si="122">IF(E7819&gt;0,TRUNC(E7819*(1-G7819),2),"")</f>
        <v>24.26</v>
      </c>
    </row>
    <row r="7820" spans="1:8" x14ac:dyDescent="0.3">
      <c r="A7820" s="400"/>
      <c r="B7820" s="709">
        <v>87817</v>
      </c>
      <c r="C7820" s="710" t="s">
        <v>6497</v>
      </c>
      <c r="D7820" s="709" t="s">
        <v>168</v>
      </c>
      <c r="E7820" s="716">
        <v>111.68</v>
      </c>
      <c r="F7820" s="717">
        <v>0</v>
      </c>
      <c r="G7820">
        <f>VLOOKUP(B7820,'SINAPI-%MO'!B:E,4,0)</f>
        <v>0.78280000000000005</v>
      </c>
      <c r="H7820" s="225">
        <f t="shared" si="122"/>
        <v>24.25</v>
      </c>
    </row>
    <row r="7821" spans="1:8" x14ac:dyDescent="0.3">
      <c r="A7821" s="400"/>
      <c r="B7821" s="709">
        <v>104261</v>
      </c>
      <c r="C7821" s="710" t="s">
        <v>6498</v>
      </c>
      <c r="D7821" s="709" t="s">
        <v>168</v>
      </c>
      <c r="E7821" s="716">
        <v>132.88</v>
      </c>
      <c r="F7821" s="717">
        <v>0</v>
      </c>
      <c r="G7821">
        <f>VLOOKUP(B7821,'SINAPI-%MO'!B:E,4,0)</f>
        <v>0.79879999999999995</v>
      </c>
      <c r="H7821" s="225">
        <f t="shared" si="122"/>
        <v>26.73</v>
      </c>
    </row>
    <row r="7822" spans="1:8" x14ac:dyDescent="0.3">
      <c r="A7822" s="400"/>
      <c r="B7822" s="709">
        <v>87821</v>
      </c>
      <c r="C7822" s="710" t="s">
        <v>6499</v>
      </c>
      <c r="D7822" s="709" t="s">
        <v>168</v>
      </c>
      <c r="E7822" s="716">
        <v>145.44999999999999</v>
      </c>
      <c r="F7822" s="717">
        <v>0</v>
      </c>
      <c r="G7822">
        <f>VLOOKUP(B7822,'SINAPI-%MO'!B:E,4,0)</f>
        <v>0.81620000000000004</v>
      </c>
      <c r="H7822" s="225">
        <f t="shared" si="122"/>
        <v>26.73</v>
      </c>
    </row>
    <row r="7823" spans="1:8" x14ac:dyDescent="0.3">
      <c r="A7823" s="400"/>
      <c r="B7823" s="709">
        <v>87825</v>
      </c>
      <c r="C7823" s="710" t="s">
        <v>6500</v>
      </c>
      <c r="D7823" s="709" t="s">
        <v>168</v>
      </c>
      <c r="E7823" s="716">
        <v>82.03</v>
      </c>
      <c r="F7823" s="717">
        <v>0</v>
      </c>
      <c r="G7823">
        <f>VLOOKUP(B7823,'SINAPI-%MO'!B:E,4,0)</f>
        <v>0.78459999999999996</v>
      </c>
      <c r="H7823" s="225">
        <f t="shared" si="122"/>
        <v>17.66</v>
      </c>
    </row>
    <row r="7824" spans="1:8" x14ac:dyDescent="0.3">
      <c r="A7824" s="400"/>
      <c r="B7824" s="709">
        <v>87829</v>
      </c>
      <c r="C7824" s="710" t="s">
        <v>6501</v>
      </c>
      <c r="D7824" s="709" t="s">
        <v>168</v>
      </c>
      <c r="E7824" s="716">
        <v>99.13</v>
      </c>
      <c r="F7824" s="717">
        <v>0</v>
      </c>
      <c r="G7824">
        <f>VLOOKUP(B7824,'SINAPI-%MO'!B:E,4,0)</f>
        <v>0.76119999999999999</v>
      </c>
      <c r="H7824" s="225">
        <f t="shared" si="122"/>
        <v>23.67</v>
      </c>
    </row>
    <row r="7825" spans="1:8" x14ac:dyDescent="0.3">
      <c r="A7825" s="400"/>
      <c r="B7825" s="709">
        <v>87557</v>
      </c>
      <c r="C7825" s="710" t="s">
        <v>6502</v>
      </c>
      <c r="D7825" s="709" t="s">
        <v>168</v>
      </c>
      <c r="E7825" s="716">
        <v>44.71</v>
      </c>
      <c r="F7825" s="717">
        <v>0</v>
      </c>
      <c r="G7825">
        <f>VLOOKUP(B7825,'SINAPI-%MO'!B:E,4,0)</f>
        <v>0.28539999999999999</v>
      </c>
      <c r="H7825" s="225">
        <f t="shared" si="122"/>
        <v>31.94</v>
      </c>
    </row>
    <row r="7826" spans="1:8" x14ac:dyDescent="0.3">
      <c r="A7826" s="400"/>
      <c r="B7826" s="709">
        <v>87539</v>
      </c>
      <c r="C7826" s="710" t="s">
        <v>6503</v>
      </c>
      <c r="D7826" s="709" t="s">
        <v>168</v>
      </c>
      <c r="E7826" s="716">
        <v>67.5</v>
      </c>
      <c r="F7826" s="717">
        <v>0</v>
      </c>
      <c r="G7826">
        <f>VLOOKUP(B7826,'SINAPI-%MO'!B:E,4,0)</f>
        <v>0.2581</v>
      </c>
      <c r="H7826" s="225">
        <f t="shared" si="122"/>
        <v>50.07</v>
      </c>
    </row>
    <row r="7827" spans="1:8" x14ac:dyDescent="0.3">
      <c r="A7827" s="400"/>
      <c r="B7827" s="709">
        <v>104972</v>
      </c>
      <c r="C7827" s="710" t="s">
        <v>6504</v>
      </c>
      <c r="D7827" s="709" t="s">
        <v>168</v>
      </c>
      <c r="E7827" s="716">
        <v>38.979999999999997</v>
      </c>
      <c r="F7827" s="717">
        <v>0</v>
      </c>
      <c r="G7827">
        <f>VLOOKUP(B7827,'SINAPI-%MO'!B:E,4,0)</f>
        <v>0.76170000000000004</v>
      </c>
      <c r="H7827" s="225">
        <f t="shared" si="122"/>
        <v>9.2799999999999994</v>
      </c>
    </row>
    <row r="7828" spans="1:8" x14ac:dyDescent="0.3">
      <c r="A7828" s="400"/>
      <c r="B7828" s="709">
        <v>104954</v>
      </c>
      <c r="C7828" s="710" t="s">
        <v>6505</v>
      </c>
      <c r="D7828" s="709" t="s">
        <v>168</v>
      </c>
      <c r="E7828" s="716">
        <v>54.05</v>
      </c>
      <c r="F7828" s="717">
        <v>0</v>
      </c>
      <c r="G7828">
        <f>VLOOKUP(B7828,'SINAPI-%MO'!B:E,4,0)</f>
        <v>0.73099999999999998</v>
      </c>
      <c r="H7828" s="225">
        <f t="shared" si="122"/>
        <v>14.53</v>
      </c>
    </row>
    <row r="7829" spans="1:8" x14ac:dyDescent="0.3">
      <c r="A7829" s="400"/>
      <c r="B7829" s="709">
        <v>104976</v>
      </c>
      <c r="C7829" s="710" t="s">
        <v>6506</v>
      </c>
      <c r="D7829" s="709" t="s">
        <v>168</v>
      </c>
      <c r="E7829" s="716">
        <v>34.46</v>
      </c>
      <c r="F7829" s="717">
        <v>0</v>
      </c>
      <c r="G7829">
        <f>VLOOKUP(B7829,'SINAPI-%MO'!B:E,4,0)</f>
        <v>0.73040000000000005</v>
      </c>
      <c r="H7829" s="225">
        <f t="shared" si="122"/>
        <v>9.2899999999999991</v>
      </c>
    </row>
    <row r="7830" spans="1:8" x14ac:dyDescent="0.3">
      <c r="A7830" s="400"/>
      <c r="B7830" s="709">
        <v>104966</v>
      </c>
      <c r="C7830" s="710" t="s">
        <v>6507</v>
      </c>
      <c r="D7830" s="709" t="s">
        <v>168</v>
      </c>
      <c r="E7830" s="716">
        <v>49.52</v>
      </c>
      <c r="F7830" s="717">
        <v>0</v>
      </c>
      <c r="G7830">
        <f>VLOOKUP(B7830,'SINAPI-%MO'!B:E,4,0)</f>
        <v>0.70640000000000003</v>
      </c>
      <c r="H7830" s="225">
        <f t="shared" si="122"/>
        <v>14.53</v>
      </c>
    </row>
    <row r="7831" spans="1:8" x14ac:dyDescent="0.3">
      <c r="A7831" s="400"/>
      <c r="B7831" s="709">
        <v>104968</v>
      </c>
      <c r="C7831" s="710" t="s">
        <v>6508</v>
      </c>
      <c r="D7831" s="709" t="s">
        <v>168</v>
      </c>
      <c r="E7831" s="716">
        <v>46.56</v>
      </c>
      <c r="F7831" s="717">
        <v>0</v>
      </c>
      <c r="G7831">
        <f>VLOOKUP(B7831,'SINAPI-%MO'!B:E,4,0)</f>
        <v>0.80049999999999999</v>
      </c>
      <c r="H7831" s="225">
        <f t="shared" si="122"/>
        <v>9.2799999999999994</v>
      </c>
    </row>
    <row r="7832" spans="1:8" x14ac:dyDescent="0.3">
      <c r="A7832" s="400"/>
      <c r="B7832" s="709">
        <v>104962</v>
      </c>
      <c r="C7832" s="710" t="s">
        <v>6509</v>
      </c>
      <c r="D7832" s="709" t="s">
        <v>168</v>
      </c>
      <c r="E7832" s="716">
        <v>61.63</v>
      </c>
      <c r="F7832" s="717">
        <v>0</v>
      </c>
      <c r="G7832">
        <f>VLOOKUP(B7832,'SINAPI-%MO'!B:E,4,0)</f>
        <v>0.7641</v>
      </c>
      <c r="H7832" s="225">
        <f t="shared" si="122"/>
        <v>14.53</v>
      </c>
    </row>
    <row r="7833" spans="1:8" x14ac:dyDescent="0.3">
      <c r="A7833" s="400"/>
      <c r="B7833" s="709">
        <v>87550</v>
      </c>
      <c r="C7833" s="710" t="s">
        <v>6510</v>
      </c>
      <c r="D7833" s="709" t="s">
        <v>168</v>
      </c>
      <c r="E7833" s="716">
        <v>30.59</v>
      </c>
      <c r="F7833" s="717">
        <v>0</v>
      </c>
      <c r="G7833">
        <f>VLOOKUP(B7833,'SINAPI-%MO'!B:E,4,0)</f>
        <v>0.69630000000000003</v>
      </c>
      <c r="H7833" s="225">
        <f t="shared" si="122"/>
        <v>9.2899999999999991</v>
      </c>
    </row>
    <row r="7834" spans="1:8" x14ac:dyDescent="0.3">
      <c r="A7834" s="400"/>
      <c r="B7834" s="709">
        <v>87532</v>
      </c>
      <c r="C7834" s="710" t="s">
        <v>6511</v>
      </c>
      <c r="D7834" s="709" t="s">
        <v>168</v>
      </c>
      <c r="E7834" s="716">
        <v>43.4</v>
      </c>
      <c r="F7834" s="717">
        <v>0</v>
      </c>
      <c r="G7834">
        <f>VLOOKUP(B7834,'SINAPI-%MO'!B:E,4,0)</f>
        <v>0.66500000000000004</v>
      </c>
      <c r="H7834" s="225">
        <f t="shared" si="122"/>
        <v>14.53</v>
      </c>
    </row>
    <row r="7835" spans="1:8" x14ac:dyDescent="0.3">
      <c r="A7835" s="400"/>
      <c r="B7835" s="709">
        <v>87554</v>
      </c>
      <c r="C7835" s="710" t="s">
        <v>6512</v>
      </c>
      <c r="D7835" s="709" t="s">
        <v>168</v>
      </c>
      <c r="E7835" s="716">
        <v>27.67</v>
      </c>
      <c r="F7835" s="717">
        <v>0</v>
      </c>
      <c r="G7835">
        <f>VLOOKUP(B7835,'SINAPI-%MO'!B:E,4,0)</f>
        <v>0.6643</v>
      </c>
      <c r="H7835" s="225">
        <f t="shared" si="122"/>
        <v>9.2799999999999994</v>
      </c>
    </row>
    <row r="7836" spans="1:8" x14ac:dyDescent="0.3">
      <c r="A7836" s="400"/>
      <c r="B7836" s="709">
        <v>87536</v>
      </c>
      <c r="C7836" s="710" t="s">
        <v>6513</v>
      </c>
      <c r="D7836" s="709" t="s">
        <v>168</v>
      </c>
      <c r="E7836" s="716">
        <v>40.479999999999997</v>
      </c>
      <c r="F7836" s="717">
        <v>0</v>
      </c>
      <c r="G7836">
        <f>VLOOKUP(B7836,'SINAPI-%MO'!B:E,4,0)</f>
        <v>0.64080000000000004</v>
      </c>
      <c r="H7836" s="225">
        <f t="shared" si="122"/>
        <v>14.54</v>
      </c>
    </row>
    <row r="7837" spans="1:8" x14ac:dyDescent="0.3">
      <c r="A7837" s="400"/>
      <c r="B7837" s="709">
        <v>87528</v>
      </c>
      <c r="C7837" s="710" t="s">
        <v>6514</v>
      </c>
      <c r="D7837" s="709" t="s">
        <v>168</v>
      </c>
      <c r="E7837" s="716">
        <v>48.29</v>
      </c>
      <c r="F7837" s="717">
        <v>0</v>
      </c>
      <c r="G7837">
        <f>VLOOKUP(B7837,'SINAPI-%MO'!B:E,4,0)</f>
        <v>0.69889999999999997</v>
      </c>
      <c r="H7837" s="225">
        <f t="shared" si="122"/>
        <v>14.54</v>
      </c>
    </row>
    <row r="7838" spans="1:8" x14ac:dyDescent="0.3">
      <c r="A7838" s="400"/>
      <c r="B7838" s="709">
        <v>87546</v>
      </c>
      <c r="C7838" s="710" t="s">
        <v>6515</v>
      </c>
      <c r="D7838" s="709" t="s">
        <v>168</v>
      </c>
      <c r="E7838" s="716">
        <v>35.49</v>
      </c>
      <c r="F7838" s="717">
        <v>0</v>
      </c>
      <c r="G7838">
        <f>VLOOKUP(B7838,'SINAPI-%MO'!B:E,4,0)</f>
        <v>0.73819999999999997</v>
      </c>
      <c r="H7838" s="225">
        <f t="shared" si="122"/>
        <v>9.2899999999999991</v>
      </c>
    </row>
    <row r="7839" spans="1:8" x14ac:dyDescent="0.3">
      <c r="A7839" s="400"/>
      <c r="B7839" s="709">
        <v>104971</v>
      </c>
      <c r="C7839" s="710" t="s">
        <v>6516</v>
      </c>
      <c r="D7839" s="709" t="s">
        <v>168</v>
      </c>
      <c r="E7839" s="716">
        <v>36.07</v>
      </c>
      <c r="F7839" s="717">
        <v>0</v>
      </c>
      <c r="G7839">
        <f>VLOOKUP(B7839,'SINAPI-%MO'!B:E,4,0)</f>
        <v>0.73519999999999996</v>
      </c>
      <c r="H7839" s="225">
        <f t="shared" si="122"/>
        <v>9.5500000000000007</v>
      </c>
    </row>
    <row r="7840" spans="1:8" x14ac:dyDescent="0.3">
      <c r="A7840" s="400"/>
      <c r="B7840" s="709">
        <v>104965</v>
      </c>
      <c r="C7840" s="710" t="s">
        <v>6517</v>
      </c>
      <c r="D7840" s="709" t="s">
        <v>168</v>
      </c>
      <c r="E7840" s="716">
        <v>49.5</v>
      </c>
      <c r="F7840" s="717">
        <v>0</v>
      </c>
      <c r="G7840">
        <f>VLOOKUP(B7840,'SINAPI-%MO'!B:E,4,0)</f>
        <v>0.69779999999999998</v>
      </c>
      <c r="H7840" s="225">
        <f t="shared" si="122"/>
        <v>14.95</v>
      </c>
    </row>
    <row r="7841" spans="1:8" x14ac:dyDescent="0.3">
      <c r="A7841" s="400"/>
      <c r="B7841" s="709">
        <v>104975</v>
      </c>
      <c r="C7841" s="710" t="s">
        <v>6518</v>
      </c>
      <c r="D7841" s="709" t="s">
        <v>168</v>
      </c>
      <c r="E7841" s="716">
        <v>31.55</v>
      </c>
      <c r="F7841" s="717">
        <v>0</v>
      </c>
      <c r="G7841">
        <f>VLOOKUP(B7841,'SINAPI-%MO'!B:E,4,0)</f>
        <v>0.69730000000000003</v>
      </c>
      <c r="H7841" s="225">
        <f t="shared" si="122"/>
        <v>9.5500000000000007</v>
      </c>
    </row>
    <row r="7842" spans="1:8" x14ac:dyDescent="0.3">
      <c r="A7842" s="400"/>
      <c r="B7842" s="709">
        <v>104957</v>
      </c>
      <c r="C7842" s="710" t="s">
        <v>6519</v>
      </c>
      <c r="D7842" s="709" t="s">
        <v>168</v>
      </c>
      <c r="E7842" s="716">
        <v>44.97</v>
      </c>
      <c r="F7842" s="717">
        <v>0</v>
      </c>
      <c r="G7842">
        <f>VLOOKUP(B7842,'SINAPI-%MO'!B:E,4,0)</f>
        <v>0.6673</v>
      </c>
      <c r="H7842" s="225">
        <f t="shared" si="122"/>
        <v>14.96</v>
      </c>
    </row>
    <row r="7843" spans="1:8" x14ac:dyDescent="0.3">
      <c r="A7843" s="400"/>
      <c r="B7843" s="709">
        <v>104967</v>
      </c>
      <c r="C7843" s="710" t="s">
        <v>6520</v>
      </c>
      <c r="D7843" s="709" t="s">
        <v>168</v>
      </c>
      <c r="E7843" s="716">
        <v>43.65</v>
      </c>
      <c r="F7843" s="717">
        <v>0</v>
      </c>
      <c r="G7843">
        <f>VLOOKUP(B7843,'SINAPI-%MO'!B:E,4,0)</f>
        <v>0.78120000000000001</v>
      </c>
      <c r="H7843" s="225">
        <f t="shared" si="122"/>
        <v>9.5500000000000007</v>
      </c>
    </row>
    <row r="7844" spans="1:8" x14ac:dyDescent="0.3">
      <c r="A7844" s="400"/>
      <c r="B7844" s="709">
        <v>104961</v>
      </c>
      <c r="C7844" s="710" t="s">
        <v>6521</v>
      </c>
      <c r="D7844" s="709" t="s">
        <v>168</v>
      </c>
      <c r="E7844" s="716">
        <v>57.08</v>
      </c>
      <c r="F7844" s="717">
        <v>0</v>
      </c>
      <c r="G7844">
        <f>VLOOKUP(B7844,'SINAPI-%MO'!B:E,4,0)</f>
        <v>0.7379</v>
      </c>
      <c r="H7844" s="225">
        <f t="shared" si="122"/>
        <v>14.96</v>
      </c>
    </row>
    <row r="7845" spans="1:8" x14ac:dyDescent="0.3">
      <c r="A7845" s="400"/>
      <c r="B7845" s="709">
        <v>87549</v>
      </c>
      <c r="C7845" s="710" t="s">
        <v>6522</v>
      </c>
      <c r="D7845" s="709" t="s">
        <v>168</v>
      </c>
      <c r="E7845" s="716">
        <v>27.68</v>
      </c>
      <c r="F7845" s="717">
        <v>0</v>
      </c>
      <c r="G7845">
        <f>VLOOKUP(B7845,'SINAPI-%MO'!B:E,4,0)</f>
        <v>0.65500000000000003</v>
      </c>
      <c r="H7845" s="225">
        <f t="shared" si="122"/>
        <v>9.5399999999999991</v>
      </c>
    </row>
    <row r="7846" spans="1:8" x14ac:dyDescent="0.3">
      <c r="A7846" s="400"/>
      <c r="B7846" s="709">
        <v>87531</v>
      </c>
      <c r="C7846" s="710" t="s">
        <v>6523</v>
      </c>
      <c r="D7846" s="709" t="s">
        <v>168</v>
      </c>
      <c r="E7846" s="716">
        <v>38.85</v>
      </c>
      <c r="F7846" s="717">
        <v>0</v>
      </c>
      <c r="G7846">
        <f>VLOOKUP(B7846,'SINAPI-%MO'!B:E,4,0)</f>
        <v>0.6149</v>
      </c>
      <c r="H7846" s="225">
        <f t="shared" si="122"/>
        <v>14.96</v>
      </c>
    </row>
    <row r="7847" spans="1:8" x14ac:dyDescent="0.3">
      <c r="A7847" s="400"/>
      <c r="B7847" s="709">
        <v>87553</v>
      </c>
      <c r="C7847" s="710" t="s">
        <v>6524</v>
      </c>
      <c r="D7847" s="709" t="s">
        <v>168</v>
      </c>
      <c r="E7847" s="716">
        <v>24.76</v>
      </c>
      <c r="F7847" s="717">
        <v>0</v>
      </c>
      <c r="G7847">
        <f>VLOOKUP(B7847,'SINAPI-%MO'!B:E,4,0)</f>
        <v>0.61429999999999996</v>
      </c>
      <c r="H7847" s="225">
        <f t="shared" si="122"/>
        <v>9.5399999999999991</v>
      </c>
    </row>
    <row r="7848" spans="1:8" x14ac:dyDescent="0.3">
      <c r="A7848" s="400"/>
      <c r="B7848" s="709">
        <v>87535</v>
      </c>
      <c r="C7848" s="710" t="s">
        <v>6525</v>
      </c>
      <c r="D7848" s="709" t="s">
        <v>168</v>
      </c>
      <c r="E7848" s="716">
        <v>35.93</v>
      </c>
      <c r="F7848" s="717">
        <v>0</v>
      </c>
      <c r="G7848">
        <f>VLOOKUP(B7848,'SINAPI-%MO'!B:E,4,0)</f>
        <v>0.58360000000000001</v>
      </c>
      <c r="H7848" s="225">
        <f t="shared" si="122"/>
        <v>14.96</v>
      </c>
    </row>
    <row r="7849" spans="1:8" x14ac:dyDescent="0.3">
      <c r="A7849" s="400"/>
      <c r="B7849" s="709">
        <v>87527</v>
      </c>
      <c r="C7849" s="710" t="s">
        <v>6526</v>
      </c>
      <c r="D7849" s="709" t="s">
        <v>168</v>
      </c>
      <c r="E7849" s="716">
        <v>43.74</v>
      </c>
      <c r="F7849" s="717">
        <v>0</v>
      </c>
      <c r="G7849">
        <f>VLOOKUP(B7849,'SINAPI-%MO'!B:E,4,0)</f>
        <v>0.65800000000000003</v>
      </c>
      <c r="H7849" s="225">
        <f t="shared" si="122"/>
        <v>14.95</v>
      </c>
    </row>
    <row r="7850" spans="1:8" x14ac:dyDescent="0.3">
      <c r="A7850" s="400"/>
      <c r="B7850" s="709">
        <v>87545</v>
      </c>
      <c r="C7850" s="710" t="s">
        <v>6527</v>
      </c>
      <c r="D7850" s="709" t="s">
        <v>168</v>
      </c>
      <c r="E7850" s="716">
        <v>32.58</v>
      </c>
      <c r="F7850" s="717">
        <v>0</v>
      </c>
      <c r="G7850">
        <f>VLOOKUP(B7850,'SINAPI-%MO'!B:E,4,0)</f>
        <v>0.70689999999999997</v>
      </c>
      <c r="H7850" s="225">
        <f t="shared" si="122"/>
        <v>9.5399999999999991</v>
      </c>
    </row>
    <row r="7851" spans="1:8" x14ac:dyDescent="0.3">
      <c r="A7851" s="400"/>
      <c r="B7851" s="709">
        <v>104960</v>
      </c>
      <c r="C7851" s="710" t="s">
        <v>6528</v>
      </c>
      <c r="D7851" s="709" t="s">
        <v>168</v>
      </c>
      <c r="E7851" s="716">
        <v>43</v>
      </c>
      <c r="F7851" s="717">
        <v>0</v>
      </c>
      <c r="G7851">
        <f>VLOOKUP(B7851,'SINAPI-%MO'!B:E,4,0)</f>
        <v>0.25700000000000001</v>
      </c>
      <c r="H7851" s="225">
        <f t="shared" si="122"/>
        <v>31.94</v>
      </c>
    </row>
    <row r="7852" spans="1:8" x14ac:dyDescent="0.3">
      <c r="A7852" s="400"/>
      <c r="B7852" s="709">
        <v>87561</v>
      </c>
      <c r="C7852" s="710" t="s">
        <v>6529</v>
      </c>
      <c r="D7852" s="709" t="s">
        <v>168</v>
      </c>
      <c r="E7852" s="716">
        <v>44.09</v>
      </c>
      <c r="F7852" s="717">
        <v>0</v>
      </c>
      <c r="G7852">
        <f>VLOOKUP(B7852,'SINAPI-%MO'!B:E,4,0)</f>
        <v>0.27529999999999999</v>
      </c>
      <c r="H7852" s="225">
        <f t="shared" si="122"/>
        <v>31.95</v>
      </c>
    </row>
    <row r="7853" spans="1:8" x14ac:dyDescent="0.3">
      <c r="A7853" s="400"/>
      <c r="B7853" s="709">
        <v>104953</v>
      </c>
      <c r="C7853" s="710" t="s">
        <v>6530</v>
      </c>
      <c r="D7853" s="709" t="s">
        <v>168</v>
      </c>
      <c r="E7853" s="716">
        <v>65.790000000000006</v>
      </c>
      <c r="F7853" s="717">
        <v>0</v>
      </c>
      <c r="G7853">
        <f>VLOOKUP(B7853,'SINAPI-%MO'!B:E,4,0)</f>
        <v>0.23880000000000001</v>
      </c>
      <c r="H7853" s="225">
        <f t="shared" si="122"/>
        <v>50.07</v>
      </c>
    </row>
    <row r="7854" spans="1:8" x14ac:dyDescent="0.3">
      <c r="A7854" s="400"/>
      <c r="B7854" s="709">
        <v>87543</v>
      </c>
      <c r="C7854" s="710" t="s">
        <v>6531</v>
      </c>
      <c r="D7854" s="709" t="s">
        <v>168</v>
      </c>
      <c r="E7854" s="716">
        <v>25.96</v>
      </c>
      <c r="F7854" s="717">
        <v>0</v>
      </c>
      <c r="G7854">
        <f>VLOOKUP(B7854,'SINAPI-%MO'!B:E,4,0)</f>
        <v>0.34010000000000001</v>
      </c>
      <c r="H7854" s="225">
        <f t="shared" si="122"/>
        <v>17.13</v>
      </c>
    </row>
    <row r="7855" spans="1:8" x14ac:dyDescent="0.3">
      <c r="A7855" s="400"/>
      <c r="B7855" s="709">
        <v>104959</v>
      </c>
      <c r="C7855" s="710" t="s">
        <v>6532</v>
      </c>
      <c r="D7855" s="709" t="s">
        <v>168</v>
      </c>
      <c r="E7855" s="716">
        <v>28.41</v>
      </c>
      <c r="F7855" s="717">
        <v>0</v>
      </c>
      <c r="G7855">
        <f>VLOOKUP(B7855,'SINAPI-%MO'!B:E,4,0)</f>
        <v>0.67300000000000004</v>
      </c>
      <c r="H7855" s="225">
        <f t="shared" si="122"/>
        <v>9.2899999999999991</v>
      </c>
    </row>
    <row r="7856" spans="1:8" x14ac:dyDescent="0.3">
      <c r="A7856" s="400"/>
      <c r="B7856" s="709">
        <v>104958</v>
      </c>
      <c r="C7856" s="710" t="s">
        <v>6533</v>
      </c>
      <c r="D7856" s="709" t="s">
        <v>168</v>
      </c>
      <c r="E7856" s="716">
        <v>25.5</v>
      </c>
      <c r="F7856" s="717">
        <v>0</v>
      </c>
      <c r="G7856">
        <f>VLOOKUP(B7856,'SINAPI-%MO'!B:E,4,0)</f>
        <v>0.62549999999999994</v>
      </c>
      <c r="H7856" s="225">
        <f t="shared" si="122"/>
        <v>9.5399999999999991</v>
      </c>
    </row>
    <row r="7857" spans="1:8" x14ac:dyDescent="0.3">
      <c r="A7857" s="400"/>
      <c r="B7857" s="709">
        <v>104970</v>
      </c>
      <c r="C7857" s="710" t="s">
        <v>6534</v>
      </c>
      <c r="D7857" s="709" t="s">
        <v>168</v>
      </c>
      <c r="E7857" s="716">
        <v>41.17</v>
      </c>
      <c r="F7857" s="717">
        <v>0</v>
      </c>
      <c r="G7857">
        <f>VLOOKUP(B7857,'SINAPI-%MO'!B:E,4,0)</f>
        <v>0.77439999999999998</v>
      </c>
      <c r="H7857" s="225">
        <f t="shared" si="122"/>
        <v>9.2799999999999994</v>
      </c>
    </row>
    <row r="7858" spans="1:8" x14ac:dyDescent="0.3">
      <c r="A7858" s="400"/>
      <c r="B7858" s="709">
        <v>104964</v>
      </c>
      <c r="C7858" s="710" t="s">
        <v>6535</v>
      </c>
      <c r="D7858" s="709" t="s">
        <v>168</v>
      </c>
      <c r="E7858" s="716">
        <v>56.23</v>
      </c>
      <c r="F7858" s="717">
        <v>0</v>
      </c>
      <c r="G7858">
        <f>VLOOKUP(B7858,'SINAPI-%MO'!B:E,4,0)</f>
        <v>0.74139999999999995</v>
      </c>
      <c r="H7858" s="225">
        <f t="shared" si="122"/>
        <v>14.54</v>
      </c>
    </row>
    <row r="7859" spans="1:8" x14ac:dyDescent="0.3">
      <c r="A7859" s="400"/>
      <c r="B7859" s="709">
        <v>104956</v>
      </c>
      <c r="C7859" s="710" t="s">
        <v>6536</v>
      </c>
      <c r="D7859" s="709" t="s">
        <v>168</v>
      </c>
      <c r="E7859" s="716">
        <v>50.65</v>
      </c>
      <c r="F7859" s="717">
        <v>0</v>
      </c>
      <c r="G7859">
        <f>VLOOKUP(B7859,'SINAPI-%MO'!B:E,4,0)</f>
        <v>0.71289999999999998</v>
      </c>
      <c r="H7859" s="225">
        <f t="shared" si="122"/>
        <v>14.54</v>
      </c>
    </row>
    <row r="7860" spans="1:8" x14ac:dyDescent="0.3">
      <c r="A7860" s="400"/>
      <c r="B7860" s="709">
        <v>104974</v>
      </c>
      <c r="C7860" s="710" t="s">
        <v>6537</v>
      </c>
      <c r="D7860" s="709" t="s">
        <v>168</v>
      </c>
      <c r="E7860" s="716">
        <v>35.58</v>
      </c>
      <c r="F7860" s="717">
        <v>0</v>
      </c>
      <c r="G7860">
        <f>VLOOKUP(B7860,'SINAPI-%MO'!B:E,4,0)</f>
        <v>0.7389</v>
      </c>
      <c r="H7860" s="225">
        <f t="shared" si="122"/>
        <v>9.2799999999999994</v>
      </c>
    </row>
    <row r="7861" spans="1:8" x14ac:dyDescent="0.3">
      <c r="A7861" s="400"/>
      <c r="B7861" s="709">
        <v>87548</v>
      </c>
      <c r="C7861" s="710" t="s">
        <v>6538</v>
      </c>
      <c r="D7861" s="709" t="s">
        <v>168</v>
      </c>
      <c r="E7861" s="716">
        <v>32</v>
      </c>
      <c r="F7861" s="717">
        <v>0</v>
      </c>
      <c r="G7861">
        <f>VLOOKUP(B7861,'SINAPI-%MO'!B:E,4,0)</f>
        <v>0.7097</v>
      </c>
      <c r="H7861" s="225">
        <f t="shared" si="122"/>
        <v>9.2799999999999994</v>
      </c>
    </row>
    <row r="7862" spans="1:8" x14ac:dyDescent="0.3">
      <c r="A7862" s="400"/>
      <c r="B7862" s="709">
        <v>87530</v>
      </c>
      <c r="C7862" s="710" t="s">
        <v>6539</v>
      </c>
      <c r="D7862" s="709" t="s">
        <v>168</v>
      </c>
      <c r="E7862" s="716">
        <v>44.81</v>
      </c>
      <c r="F7862" s="717">
        <v>0</v>
      </c>
      <c r="G7862">
        <f>VLOOKUP(B7862,'SINAPI-%MO'!B:E,4,0)</f>
        <v>0.67549999999999999</v>
      </c>
      <c r="H7862" s="225">
        <f t="shared" si="122"/>
        <v>14.54</v>
      </c>
    </row>
    <row r="7863" spans="1:8" x14ac:dyDescent="0.3">
      <c r="A7863" s="400"/>
      <c r="B7863" s="709">
        <v>104952</v>
      </c>
      <c r="C7863" s="710" t="s">
        <v>6540</v>
      </c>
      <c r="D7863" s="709" t="s">
        <v>168</v>
      </c>
      <c r="E7863" s="716">
        <v>41.22</v>
      </c>
      <c r="F7863" s="717">
        <v>0</v>
      </c>
      <c r="G7863">
        <f>VLOOKUP(B7863,'SINAPI-%MO'!B:E,4,0)</f>
        <v>0.64729999999999999</v>
      </c>
      <c r="H7863" s="225">
        <f t="shared" si="122"/>
        <v>14.53</v>
      </c>
    </row>
    <row r="7864" spans="1:8" x14ac:dyDescent="0.3">
      <c r="A7864" s="400"/>
      <c r="B7864" s="709">
        <v>104969</v>
      </c>
      <c r="C7864" s="710" t="s">
        <v>6541</v>
      </c>
      <c r="D7864" s="709" t="s">
        <v>168</v>
      </c>
      <c r="E7864" s="716">
        <v>38.26</v>
      </c>
      <c r="F7864" s="717">
        <v>0</v>
      </c>
      <c r="G7864">
        <f>VLOOKUP(B7864,'SINAPI-%MO'!B:E,4,0)</f>
        <v>0.75039999999999996</v>
      </c>
      <c r="H7864" s="225">
        <f t="shared" si="122"/>
        <v>9.5399999999999991</v>
      </c>
    </row>
    <row r="7865" spans="1:8" x14ac:dyDescent="0.3">
      <c r="A7865" s="400"/>
      <c r="B7865" s="709">
        <v>104963</v>
      </c>
      <c r="C7865" s="710" t="s">
        <v>6542</v>
      </c>
      <c r="D7865" s="709" t="s">
        <v>168</v>
      </c>
      <c r="E7865" s="716">
        <v>51.68</v>
      </c>
      <c r="F7865" s="717">
        <v>0</v>
      </c>
      <c r="G7865">
        <f>VLOOKUP(B7865,'SINAPI-%MO'!B:E,4,0)</f>
        <v>0.71050000000000002</v>
      </c>
      <c r="H7865" s="225">
        <f t="shared" si="122"/>
        <v>14.96</v>
      </c>
    </row>
    <row r="7866" spans="1:8" x14ac:dyDescent="0.3">
      <c r="A7866" s="400"/>
      <c r="B7866" s="709">
        <v>104955</v>
      </c>
      <c r="C7866" s="710" t="s">
        <v>6543</v>
      </c>
      <c r="D7866" s="709" t="s">
        <v>168</v>
      </c>
      <c r="E7866" s="716">
        <v>46.1</v>
      </c>
      <c r="F7866" s="717">
        <v>0</v>
      </c>
      <c r="G7866">
        <f>VLOOKUP(B7866,'SINAPI-%MO'!B:E,4,0)</f>
        <v>0.67549999999999999</v>
      </c>
      <c r="H7866" s="225">
        <f t="shared" si="122"/>
        <v>14.95</v>
      </c>
    </row>
    <row r="7867" spans="1:8" x14ac:dyDescent="0.3">
      <c r="A7867" s="400"/>
      <c r="B7867" s="709">
        <v>104973</v>
      </c>
      <c r="C7867" s="710" t="s">
        <v>6544</v>
      </c>
      <c r="D7867" s="709" t="s">
        <v>168</v>
      </c>
      <c r="E7867" s="716">
        <v>32.67</v>
      </c>
      <c r="F7867" s="717">
        <v>0</v>
      </c>
      <c r="G7867">
        <f>VLOOKUP(B7867,'SINAPI-%MO'!B:E,4,0)</f>
        <v>0.7077</v>
      </c>
      <c r="H7867" s="225">
        <f t="shared" si="122"/>
        <v>9.5399999999999991</v>
      </c>
    </row>
    <row r="7868" spans="1:8" x14ac:dyDescent="0.3">
      <c r="A7868" s="400"/>
      <c r="B7868" s="709">
        <v>87547</v>
      </c>
      <c r="C7868" s="710" t="s">
        <v>6545</v>
      </c>
      <c r="D7868" s="709" t="s">
        <v>168</v>
      </c>
      <c r="E7868" s="716">
        <v>29.09</v>
      </c>
      <c r="F7868" s="717">
        <v>0</v>
      </c>
      <c r="G7868">
        <f>VLOOKUP(B7868,'SINAPI-%MO'!B:E,4,0)</f>
        <v>0.67169999999999996</v>
      </c>
      <c r="H7868" s="225">
        <f t="shared" si="122"/>
        <v>9.5500000000000007</v>
      </c>
    </row>
    <row r="7869" spans="1:8" x14ac:dyDescent="0.3">
      <c r="A7869" s="400"/>
      <c r="B7869" s="709">
        <v>87529</v>
      </c>
      <c r="C7869" s="710" t="s">
        <v>6546</v>
      </c>
      <c r="D7869" s="709" t="s">
        <v>168</v>
      </c>
      <c r="E7869" s="716">
        <v>40.26</v>
      </c>
      <c r="F7869" s="717">
        <v>0</v>
      </c>
      <c r="G7869">
        <f>VLOOKUP(B7869,'SINAPI-%MO'!B:E,4,0)</f>
        <v>0.62839999999999996</v>
      </c>
      <c r="H7869" s="225">
        <f t="shared" si="122"/>
        <v>14.96</v>
      </c>
    </row>
    <row r="7870" spans="1:8" x14ac:dyDescent="0.3">
      <c r="A7870" s="400"/>
      <c r="B7870" s="709">
        <v>104951</v>
      </c>
      <c r="C7870" s="710" t="s">
        <v>6547</v>
      </c>
      <c r="D7870" s="709" t="s">
        <v>168</v>
      </c>
      <c r="E7870" s="716">
        <v>36.67</v>
      </c>
      <c r="F7870" s="717">
        <v>0</v>
      </c>
      <c r="G7870">
        <f>VLOOKUP(B7870,'SINAPI-%MO'!B:E,4,0)</f>
        <v>0.59199999999999997</v>
      </c>
      <c r="H7870" s="225">
        <f t="shared" si="122"/>
        <v>14.96</v>
      </c>
    </row>
    <row r="7871" spans="1:8" x14ac:dyDescent="0.3">
      <c r="A7871" s="400"/>
      <c r="B7871" s="709">
        <v>104978</v>
      </c>
      <c r="C7871" s="710" t="s">
        <v>6548</v>
      </c>
      <c r="D7871" s="709" t="s">
        <v>168</v>
      </c>
      <c r="E7871" s="716">
        <v>41.02</v>
      </c>
      <c r="F7871" s="717">
        <v>0</v>
      </c>
      <c r="G7871">
        <f>VLOOKUP(B7871,'SINAPI-%MO'!B:E,4,0)</f>
        <v>0.76719999999999999</v>
      </c>
      <c r="H7871" s="225">
        <f t="shared" si="122"/>
        <v>9.5399999999999991</v>
      </c>
    </row>
    <row r="7872" spans="1:8" x14ac:dyDescent="0.3">
      <c r="A7872" s="400"/>
      <c r="B7872" s="709">
        <v>104977</v>
      </c>
      <c r="C7872" s="710" t="s">
        <v>6549</v>
      </c>
      <c r="D7872" s="709" t="s">
        <v>168</v>
      </c>
      <c r="E7872" s="716">
        <v>54.25</v>
      </c>
      <c r="F7872" s="717">
        <v>0</v>
      </c>
      <c r="G7872">
        <f>VLOOKUP(B7872,'SINAPI-%MO'!B:E,4,0)</f>
        <v>0.72419999999999995</v>
      </c>
      <c r="H7872" s="225">
        <f t="shared" si="122"/>
        <v>14.96</v>
      </c>
    </row>
    <row r="7873" spans="1:8" x14ac:dyDescent="0.3">
      <c r="A7873" s="400"/>
      <c r="B7873" s="709">
        <v>90408</v>
      </c>
      <c r="C7873" s="710" t="s">
        <v>6550</v>
      </c>
      <c r="D7873" s="709" t="s">
        <v>168</v>
      </c>
      <c r="E7873" s="716">
        <v>35.86</v>
      </c>
      <c r="F7873" s="717">
        <v>0</v>
      </c>
      <c r="G7873">
        <f>VLOOKUP(B7873,'SINAPI-%MO'!B:E,4,0)</f>
        <v>0.73370000000000002</v>
      </c>
      <c r="H7873" s="225">
        <f t="shared" si="122"/>
        <v>9.5399999999999991</v>
      </c>
    </row>
    <row r="7874" spans="1:8" x14ac:dyDescent="0.3">
      <c r="A7874" s="400"/>
      <c r="B7874" s="709">
        <v>90406</v>
      </c>
      <c r="C7874" s="710" t="s">
        <v>6551</v>
      </c>
      <c r="D7874" s="709" t="s">
        <v>168</v>
      </c>
      <c r="E7874" s="716">
        <v>47.97</v>
      </c>
      <c r="F7874" s="717">
        <v>0</v>
      </c>
      <c r="G7874">
        <f>VLOOKUP(B7874,'SINAPI-%MO'!B:E,4,0)</f>
        <v>0.68810000000000004</v>
      </c>
      <c r="H7874" s="225">
        <f t="shared" si="122"/>
        <v>14.96</v>
      </c>
    </row>
    <row r="7875" spans="1:8" x14ac:dyDescent="0.3">
      <c r="A7875" s="400"/>
      <c r="B7875" s="709">
        <v>106626</v>
      </c>
      <c r="C7875" s="710" t="s">
        <v>15144</v>
      </c>
      <c r="D7875" s="709" t="s">
        <v>136</v>
      </c>
      <c r="E7875" s="716">
        <v>0</v>
      </c>
      <c r="F7875" s="717"/>
      <c r="G7875" t="e">
        <f>VLOOKUP(B7875,'SINAPI-%MO'!B:E,4,0)</f>
        <v>#N/A</v>
      </c>
      <c r="H7875" s="225" t="str">
        <f t="shared" si="122"/>
        <v/>
      </c>
    </row>
    <row r="7876" spans="1:8" x14ac:dyDescent="0.3">
      <c r="A7876" s="400"/>
      <c r="B7876" s="709">
        <v>106627</v>
      </c>
      <c r="C7876" s="710" t="s">
        <v>15145</v>
      </c>
      <c r="D7876" s="709" t="s">
        <v>136</v>
      </c>
      <c r="E7876" s="716">
        <v>0</v>
      </c>
      <c r="F7876" s="717"/>
      <c r="G7876" t="e">
        <f>VLOOKUP(B7876,'SINAPI-%MO'!B:E,4,0)</f>
        <v>#N/A</v>
      </c>
      <c r="H7876" s="225" t="str">
        <f t="shared" si="122"/>
        <v/>
      </c>
    </row>
    <row r="7877" spans="1:8" x14ac:dyDescent="0.3">
      <c r="A7877" s="400"/>
      <c r="B7877" s="709">
        <v>106628</v>
      </c>
      <c r="C7877" s="710" t="s">
        <v>15146</v>
      </c>
      <c r="D7877" s="709" t="s">
        <v>136</v>
      </c>
      <c r="E7877" s="716">
        <v>0</v>
      </c>
      <c r="F7877" s="717"/>
      <c r="G7877" t="e">
        <f>VLOOKUP(B7877,'SINAPI-%MO'!B:E,4,0)</f>
        <v>#N/A</v>
      </c>
      <c r="H7877" s="225" t="str">
        <f t="shared" si="122"/>
        <v/>
      </c>
    </row>
    <row r="7878" spans="1:8" x14ac:dyDescent="0.3">
      <c r="A7878" s="400"/>
      <c r="B7878" s="709">
        <v>106629</v>
      </c>
      <c r="C7878" s="710" t="s">
        <v>15147</v>
      </c>
      <c r="D7878" s="709" t="s">
        <v>136</v>
      </c>
      <c r="E7878" s="716">
        <v>0</v>
      </c>
      <c r="F7878" s="717"/>
      <c r="G7878" t="e">
        <f>VLOOKUP(B7878,'SINAPI-%MO'!B:E,4,0)</f>
        <v>#N/A</v>
      </c>
      <c r="H7878" s="225" t="str">
        <f t="shared" si="122"/>
        <v/>
      </c>
    </row>
    <row r="7879" spans="1:8" x14ac:dyDescent="0.3">
      <c r="A7879" s="400"/>
      <c r="B7879" s="709">
        <v>106631</v>
      </c>
      <c r="C7879" s="710" t="s">
        <v>15148</v>
      </c>
      <c r="D7879" s="709" t="s">
        <v>136</v>
      </c>
      <c r="E7879" s="716">
        <v>0</v>
      </c>
      <c r="F7879" s="717"/>
      <c r="G7879" t="e">
        <f>VLOOKUP(B7879,'SINAPI-%MO'!B:E,4,0)</f>
        <v>#N/A</v>
      </c>
      <c r="H7879" s="225" t="str">
        <f t="shared" si="122"/>
        <v/>
      </c>
    </row>
    <row r="7880" spans="1:8" x14ac:dyDescent="0.3">
      <c r="A7880" s="400"/>
      <c r="B7880" s="709">
        <v>106630</v>
      </c>
      <c r="C7880" s="710" t="s">
        <v>15149</v>
      </c>
      <c r="D7880" s="709" t="s">
        <v>136</v>
      </c>
      <c r="E7880" s="716">
        <v>0</v>
      </c>
      <c r="F7880" s="717"/>
      <c r="G7880" t="e">
        <f>VLOOKUP(B7880,'SINAPI-%MO'!B:E,4,0)</f>
        <v>#N/A</v>
      </c>
      <c r="H7880" s="225" t="str">
        <f t="shared" si="122"/>
        <v/>
      </c>
    </row>
    <row r="7881" spans="1:8" x14ac:dyDescent="0.3">
      <c r="A7881" s="400"/>
      <c r="B7881" s="709">
        <v>106633</v>
      </c>
      <c r="C7881" s="710" t="s">
        <v>15150</v>
      </c>
      <c r="D7881" s="709" t="s">
        <v>136</v>
      </c>
      <c r="E7881" s="716">
        <v>0</v>
      </c>
      <c r="F7881" s="717"/>
      <c r="G7881" t="e">
        <f>VLOOKUP(B7881,'SINAPI-%MO'!B:E,4,0)</f>
        <v>#N/A</v>
      </c>
      <c r="H7881" s="225" t="str">
        <f t="shared" si="122"/>
        <v/>
      </c>
    </row>
    <row r="7882" spans="1:8" x14ac:dyDescent="0.3">
      <c r="A7882" s="400"/>
      <c r="B7882" s="709">
        <v>106632</v>
      </c>
      <c r="C7882" s="710" t="s">
        <v>15151</v>
      </c>
      <c r="D7882" s="709" t="s">
        <v>136</v>
      </c>
      <c r="E7882" s="716">
        <v>0</v>
      </c>
      <c r="F7882" s="717"/>
      <c r="G7882" t="e">
        <f>VLOOKUP(B7882,'SINAPI-%MO'!B:E,4,0)</f>
        <v>#N/A</v>
      </c>
      <c r="H7882" s="225" t="str">
        <f t="shared" si="122"/>
        <v/>
      </c>
    </row>
    <row r="7883" spans="1:8" x14ac:dyDescent="0.3">
      <c r="A7883" s="400"/>
      <c r="B7883" s="709">
        <v>106634</v>
      </c>
      <c r="C7883" s="710" t="s">
        <v>15152</v>
      </c>
      <c r="D7883" s="709" t="s">
        <v>136</v>
      </c>
      <c r="E7883" s="716">
        <v>0</v>
      </c>
      <c r="F7883" s="717"/>
      <c r="G7883" t="e">
        <f>VLOOKUP(B7883,'SINAPI-%MO'!B:E,4,0)</f>
        <v>#N/A</v>
      </c>
      <c r="H7883" s="225" t="str">
        <f t="shared" ref="H7883:H7946" si="123">IF(E7883&gt;0,TRUNC(E7883*(1-G7883),2),"")</f>
        <v/>
      </c>
    </row>
    <row r="7884" spans="1:8" x14ac:dyDescent="0.3">
      <c r="A7884" s="400"/>
      <c r="B7884" s="709">
        <v>106636</v>
      </c>
      <c r="C7884" s="710" t="s">
        <v>15153</v>
      </c>
      <c r="D7884" s="709" t="s">
        <v>136</v>
      </c>
      <c r="E7884" s="716">
        <v>0</v>
      </c>
      <c r="F7884" s="717"/>
      <c r="G7884" t="e">
        <f>VLOOKUP(B7884,'SINAPI-%MO'!B:E,4,0)</f>
        <v>#N/A</v>
      </c>
      <c r="H7884" s="225" t="str">
        <f t="shared" si="123"/>
        <v/>
      </c>
    </row>
    <row r="7885" spans="1:8" x14ac:dyDescent="0.3">
      <c r="A7885" s="400"/>
      <c r="B7885" s="709">
        <v>106635</v>
      </c>
      <c r="C7885" s="710" t="s">
        <v>15154</v>
      </c>
      <c r="D7885" s="709" t="s">
        <v>136</v>
      </c>
      <c r="E7885" s="716">
        <v>0</v>
      </c>
      <c r="F7885" s="717"/>
      <c r="G7885" t="e">
        <f>VLOOKUP(B7885,'SINAPI-%MO'!B:E,4,0)</f>
        <v>#N/A</v>
      </c>
      <c r="H7885" s="225" t="str">
        <f t="shared" si="123"/>
        <v/>
      </c>
    </row>
    <row r="7886" spans="1:8" x14ac:dyDescent="0.3">
      <c r="A7886" s="400"/>
      <c r="B7886" s="709">
        <v>106637</v>
      </c>
      <c r="C7886" s="710" t="s">
        <v>15155</v>
      </c>
      <c r="D7886" s="709" t="s">
        <v>136</v>
      </c>
      <c r="E7886" s="716">
        <v>0</v>
      </c>
      <c r="F7886" s="717"/>
      <c r="G7886" t="e">
        <f>VLOOKUP(B7886,'SINAPI-%MO'!B:E,4,0)</f>
        <v>#N/A</v>
      </c>
      <c r="H7886" s="225" t="str">
        <f t="shared" si="123"/>
        <v/>
      </c>
    </row>
    <row r="7887" spans="1:8" x14ac:dyDescent="0.3">
      <c r="A7887" s="400"/>
      <c r="B7887" s="709">
        <v>106639</v>
      </c>
      <c r="C7887" s="710" t="s">
        <v>15156</v>
      </c>
      <c r="D7887" s="709" t="s">
        <v>136</v>
      </c>
      <c r="E7887" s="716">
        <v>0</v>
      </c>
      <c r="F7887" s="717"/>
      <c r="G7887" t="e">
        <f>VLOOKUP(B7887,'SINAPI-%MO'!B:E,4,0)</f>
        <v>#N/A</v>
      </c>
      <c r="H7887" s="225" t="str">
        <f t="shared" si="123"/>
        <v/>
      </c>
    </row>
    <row r="7888" spans="1:8" x14ac:dyDescent="0.3">
      <c r="A7888" s="400"/>
      <c r="B7888" s="709">
        <v>106638</v>
      </c>
      <c r="C7888" s="710" t="s">
        <v>15157</v>
      </c>
      <c r="D7888" s="709" t="s">
        <v>136</v>
      </c>
      <c r="E7888" s="716">
        <v>0</v>
      </c>
      <c r="F7888" s="717"/>
      <c r="G7888" t="e">
        <f>VLOOKUP(B7888,'SINAPI-%MO'!B:E,4,0)</f>
        <v>#N/A</v>
      </c>
      <c r="H7888" s="225" t="str">
        <f t="shared" si="123"/>
        <v/>
      </c>
    </row>
    <row r="7889" spans="1:8" x14ac:dyDescent="0.3">
      <c r="A7889" s="400"/>
      <c r="B7889" s="709">
        <v>106641</v>
      </c>
      <c r="C7889" s="710" t="s">
        <v>15158</v>
      </c>
      <c r="D7889" s="709" t="s">
        <v>136</v>
      </c>
      <c r="E7889" s="716">
        <v>0</v>
      </c>
      <c r="F7889" s="717"/>
      <c r="G7889" t="e">
        <f>VLOOKUP(B7889,'SINAPI-%MO'!B:E,4,0)</f>
        <v>#N/A</v>
      </c>
      <c r="H7889" s="225" t="str">
        <f t="shared" si="123"/>
        <v/>
      </c>
    </row>
    <row r="7890" spans="1:8" x14ac:dyDescent="0.3">
      <c r="A7890" s="400"/>
      <c r="B7890" s="709">
        <v>106640</v>
      </c>
      <c r="C7890" s="710" t="s">
        <v>15159</v>
      </c>
      <c r="D7890" s="709" t="s">
        <v>136</v>
      </c>
      <c r="E7890" s="716">
        <v>0</v>
      </c>
      <c r="F7890" s="717"/>
      <c r="G7890" t="e">
        <f>VLOOKUP(B7890,'SINAPI-%MO'!B:E,4,0)</f>
        <v>#N/A</v>
      </c>
      <c r="H7890" s="225" t="str">
        <f t="shared" si="123"/>
        <v/>
      </c>
    </row>
    <row r="7891" spans="1:8" x14ac:dyDescent="0.3">
      <c r="A7891" s="400"/>
      <c r="B7891" s="709">
        <v>106644</v>
      </c>
      <c r="C7891" s="710" t="s">
        <v>15160</v>
      </c>
      <c r="D7891" s="709" t="s">
        <v>136</v>
      </c>
      <c r="E7891" s="716">
        <v>0</v>
      </c>
      <c r="F7891" s="717"/>
      <c r="G7891" t="e">
        <f>VLOOKUP(B7891,'SINAPI-%MO'!B:E,4,0)</f>
        <v>#N/A</v>
      </c>
      <c r="H7891" s="225" t="str">
        <f t="shared" si="123"/>
        <v/>
      </c>
    </row>
    <row r="7892" spans="1:8" x14ac:dyDescent="0.3">
      <c r="A7892" s="400"/>
      <c r="B7892" s="709">
        <v>106646</v>
      </c>
      <c r="C7892" s="710" t="s">
        <v>15161</v>
      </c>
      <c r="D7892" s="709" t="s">
        <v>136</v>
      </c>
      <c r="E7892" s="716">
        <v>0</v>
      </c>
      <c r="F7892" s="717"/>
      <c r="G7892" t="e">
        <f>VLOOKUP(B7892,'SINAPI-%MO'!B:E,4,0)</f>
        <v>#N/A</v>
      </c>
      <c r="H7892" s="225" t="str">
        <f t="shared" si="123"/>
        <v/>
      </c>
    </row>
    <row r="7893" spans="1:8" x14ac:dyDescent="0.3">
      <c r="A7893" s="400"/>
      <c r="B7893" s="709">
        <v>106645</v>
      </c>
      <c r="C7893" s="710" t="s">
        <v>15162</v>
      </c>
      <c r="D7893" s="709" t="s">
        <v>136</v>
      </c>
      <c r="E7893" s="716">
        <v>0</v>
      </c>
      <c r="F7893" s="717"/>
      <c r="G7893" t="e">
        <f>VLOOKUP(B7893,'SINAPI-%MO'!B:E,4,0)</f>
        <v>#N/A</v>
      </c>
      <c r="H7893" s="225" t="str">
        <f t="shared" si="123"/>
        <v/>
      </c>
    </row>
    <row r="7894" spans="1:8" x14ac:dyDescent="0.3">
      <c r="A7894" s="400"/>
      <c r="B7894" s="709">
        <v>106643</v>
      </c>
      <c r="C7894" s="710" t="s">
        <v>15163</v>
      </c>
      <c r="D7894" s="709" t="s">
        <v>136</v>
      </c>
      <c r="E7894" s="716">
        <v>0</v>
      </c>
      <c r="F7894" s="717"/>
      <c r="G7894" t="e">
        <f>VLOOKUP(B7894,'SINAPI-%MO'!B:E,4,0)</f>
        <v>#N/A</v>
      </c>
      <c r="H7894" s="225" t="str">
        <f t="shared" si="123"/>
        <v/>
      </c>
    </row>
    <row r="7895" spans="1:8" x14ac:dyDescent="0.3">
      <c r="A7895" s="400"/>
      <c r="B7895" s="709">
        <v>106642</v>
      </c>
      <c r="C7895" s="710" t="s">
        <v>15164</v>
      </c>
      <c r="D7895" s="709" t="s">
        <v>136</v>
      </c>
      <c r="E7895" s="716">
        <v>0</v>
      </c>
      <c r="F7895" s="717"/>
      <c r="G7895" t="e">
        <f>VLOOKUP(B7895,'SINAPI-%MO'!B:E,4,0)</f>
        <v>#N/A</v>
      </c>
      <c r="H7895" s="225" t="str">
        <f t="shared" si="123"/>
        <v/>
      </c>
    </row>
    <row r="7896" spans="1:8" x14ac:dyDescent="0.3">
      <c r="A7896" s="400"/>
      <c r="B7896" s="709">
        <v>106649</v>
      </c>
      <c r="C7896" s="710" t="s">
        <v>15165</v>
      </c>
      <c r="D7896" s="709" t="s">
        <v>136</v>
      </c>
      <c r="E7896" s="716">
        <v>0</v>
      </c>
      <c r="F7896" s="717"/>
      <c r="G7896" t="e">
        <f>VLOOKUP(B7896,'SINAPI-%MO'!B:E,4,0)</f>
        <v>#N/A</v>
      </c>
      <c r="H7896" s="225" t="str">
        <f t="shared" si="123"/>
        <v/>
      </c>
    </row>
    <row r="7897" spans="1:8" x14ac:dyDescent="0.3">
      <c r="A7897" s="400"/>
      <c r="B7897" s="709">
        <v>106648</v>
      </c>
      <c r="C7897" s="710" t="s">
        <v>15166</v>
      </c>
      <c r="D7897" s="709" t="s">
        <v>136</v>
      </c>
      <c r="E7897" s="716">
        <v>0</v>
      </c>
      <c r="F7897" s="717"/>
      <c r="G7897" t="e">
        <f>VLOOKUP(B7897,'SINAPI-%MO'!B:E,4,0)</f>
        <v>#N/A</v>
      </c>
      <c r="H7897" s="225" t="str">
        <f t="shared" si="123"/>
        <v/>
      </c>
    </row>
    <row r="7898" spans="1:8" x14ac:dyDescent="0.3">
      <c r="A7898" s="400"/>
      <c r="B7898" s="709">
        <v>106647</v>
      </c>
      <c r="C7898" s="710" t="s">
        <v>15167</v>
      </c>
      <c r="D7898" s="709" t="s">
        <v>136</v>
      </c>
      <c r="E7898" s="716">
        <v>0</v>
      </c>
      <c r="F7898" s="717"/>
      <c r="G7898" t="e">
        <f>VLOOKUP(B7898,'SINAPI-%MO'!B:E,4,0)</f>
        <v>#N/A</v>
      </c>
      <c r="H7898" s="225" t="str">
        <f t="shared" si="123"/>
        <v/>
      </c>
    </row>
    <row r="7899" spans="1:8" x14ac:dyDescent="0.3">
      <c r="A7899" s="400"/>
      <c r="B7899" s="709">
        <v>106652</v>
      </c>
      <c r="C7899" s="710" t="s">
        <v>15168</v>
      </c>
      <c r="D7899" s="709" t="s">
        <v>136</v>
      </c>
      <c r="E7899" s="716">
        <v>0</v>
      </c>
      <c r="F7899" s="717"/>
      <c r="G7899" t="e">
        <f>VLOOKUP(B7899,'SINAPI-%MO'!B:E,4,0)</f>
        <v>#N/A</v>
      </c>
      <c r="H7899" s="225" t="str">
        <f t="shared" si="123"/>
        <v/>
      </c>
    </row>
    <row r="7900" spans="1:8" x14ac:dyDescent="0.3">
      <c r="A7900" s="400"/>
      <c r="B7900" s="709">
        <v>106653</v>
      </c>
      <c r="C7900" s="710" t="s">
        <v>15169</v>
      </c>
      <c r="D7900" s="709" t="s">
        <v>136</v>
      </c>
      <c r="E7900" s="716">
        <v>0</v>
      </c>
      <c r="F7900" s="717"/>
      <c r="G7900" t="e">
        <f>VLOOKUP(B7900,'SINAPI-%MO'!B:E,4,0)</f>
        <v>#N/A</v>
      </c>
      <c r="H7900" s="225" t="str">
        <f t="shared" si="123"/>
        <v/>
      </c>
    </row>
    <row r="7901" spans="1:8" x14ac:dyDescent="0.3">
      <c r="A7901" s="400"/>
      <c r="B7901" s="709">
        <v>106654</v>
      </c>
      <c r="C7901" s="710" t="s">
        <v>15170</v>
      </c>
      <c r="D7901" s="709" t="s">
        <v>136</v>
      </c>
      <c r="E7901" s="716">
        <v>0</v>
      </c>
      <c r="F7901" s="717"/>
      <c r="G7901" t="e">
        <f>VLOOKUP(B7901,'SINAPI-%MO'!B:E,4,0)</f>
        <v>#N/A</v>
      </c>
      <c r="H7901" s="225" t="str">
        <f t="shared" si="123"/>
        <v/>
      </c>
    </row>
    <row r="7902" spans="1:8" x14ac:dyDescent="0.3">
      <c r="A7902" s="400"/>
      <c r="B7902" s="709">
        <v>106651</v>
      </c>
      <c r="C7902" s="710" t="s">
        <v>15171</v>
      </c>
      <c r="D7902" s="709" t="s">
        <v>136</v>
      </c>
      <c r="E7902" s="716">
        <v>0</v>
      </c>
      <c r="F7902" s="717"/>
      <c r="G7902" t="e">
        <f>VLOOKUP(B7902,'SINAPI-%MO'!B:E,4,0)</f>
        <v>#N/A</v>
      </c>
      <c r="H7902" s="225" t="str">
        <f t="shared" si="123"/>
        <v/>
      </c>
    </row>
    <row r="7903" spans="1:8" x14ac:dyDescent="0.3">
      <c r="A7903" s="400"/>
      <c r="B7903" s="709">
        <v>106650</v>
      </c>
      <c r="C7903" s="710" t="s">
        <v>15172</v>
      </c>
      <c r="D7903" s="709" t="s">
        <v>136</v>
      </c>
      <c r="E7903" s="716">
        <v>0</v>
      </c>
      <c r="F7903" s="717"/>
      <c r="G7903" t="e">
        <f>VLOOKUP(B7903,'SINAPI-%MO'!B:E,4,0)</f>
        <v>#N/A</v>
      </c>
      <c r="H7903" s="225" t="str">
        <f t="shared" si="123"/>
        <v/>
      </c>
    </row>
    <row r="7904" spans="1:8" x14ac:dyDescent="0.3">
      <c r="A7904" s="400"/>
      <c r="B7904" s="709">
        <v>106655</v>
      </c>
      <c r="C7904" s="710" t="s">
        <v>15173</v>
      </c>
      <c r="D7904" s="709" t="s">
        <v>136</v>
      </c>
      <c r="E7904" s="716">
        <v>0</v>
      </c>
      <c r="F7904" s="717"/>
      <c r="G7904" t="e">
        <f>VLOOKUP(B7904,'SINAPI-%MO'!B:E,4,0)</f>
        <v>#N/A</v>
      </c>
      <c r="H7904" s="225" t="str">
        <f t="shared" si="123"/>
        <v/>
      </c>
    </row>
    <row r="7905" spans="1:8" x14ac:dyDescent="0.3">
      <c r="A7905" s="400"/>
      <c r="B7905" s="709">
        <v>106657</v>
      </c>
      <c r="C7905" s="710" t="s">
        <v>15174</v>
      </c>
      <c r="D7905" s="709" t="s">
        <v>136</v>
      </c>
      <c r="E7905" s="716">
        <v>0</v>
      </c>
      <c r="F7905" s="717"/>
      <c r="G7905" t="e">
        <f>VLOOKUP(B7905,'SINAPI-%MO'!B:E,4,0)</f>
        <v>#N/A</v>
      </c>
      <c r="H7905" s="225" t="str">
        <f t="shared" si="123"/>
        <v/>
      </c>
    </row>
    <row r="7906" spans="1:8" x14ac:dyDescent="0.3">
      <c r="A7906" s="400"/>
      <c r="B7906" s="709">
        <v>106656</v>
      </c>
      <c r="C7906" s="710" t="s">
        <v>15175</v>
      </c>
      <c r="D7906" s="709" t="s">
        <v>136</v>
      </c>
      <c r="E7906" s="716">
        <v>0</v>
      </c>
      <c r="F7906" s="717"/>
      <c r="G7906" t="e">
        <f>VLOOKUP(B7906,'SINAPI-%MO'!B:E,4,0)</f>
        <v>#N/A</v>
      </c>
      <c r="H7906" s="225" t="str">
        <f t="shared" si="123"/>
        <v/>
      </c>
    </row>
    <row r="7907" spans="1:8" x14ac:dyDescent="0.3">
      <c r="A7907" s="400"/>
      <c r="B7907" s="709">
        <v>106661</v>
      </c>
      <c r="C7907" s="710" t="s">
        <v>15176</v>
      </c>
      <c r="D7907" s="709" t="s">
        <v>136</v>
      </c>
      <c r="E7907" s="716">
        <v>0</v>
      </c>
      <c r="F7907" s="717"/>
      <c r="G7907" t="e">
        <f>VLOOKUP(B7907,'SINAPI-%MO'!B:E,4,0)</f>
        <v>#N/A</v>
      </c>
      <c r="H7907" s="225" t="str">
        <f t="shared" si="123"/>
        <v/>
      </c>
    </row>
    <row r="7908" spans="1:8" x14ac:dyDescent="0.3">
      <c r="A7908" s="400"/>
      <c r="B7908" s="709">
        <v>106660</v>
      </c>
      <c r="C7908" s="710" t="s">
        <v>15177</v>
      </c>
      <c r="D7908" s="709" t="s">
        <v>136</v>
      </c>
      <c r="E7908" s="716">
        <v>0</v>
      </c>
      <c r="F7908" s="717"/>
      <c r="G7908" t="e">
        <f>VLOOKUP(B7908,'SINAPI-%MO'!B:E,4,0)</f>
        <v>#N/A</v>
      </c>
      <c r="H7908" s="225" t="str">
        <f t="shared" si="123"/>
        <v/>
      </c>
    </row>
    <row r="7909" spans="1:8" x14ac:dyDescent="0.3">
      <c r="A7909" s="400"/>
      <c r="B7909" s="709">
        <v>106659</v>
      </c>
      <c r="C7909" s="710" t="s">
        <v>15178</v>
      </c>
      <c r="D7909" s="709" t="s">
        <v>136</v>
      </c>
      <c r="E7909" s="716">
        <v>0</v>
      </c>
      <c r="F7909" s="717"/>
      <c r="G7909" t="e">
        <f>VLOOKUP(B7909,'SINAPI-%MO'!B:E,4,0)</f>
        <v>#N/A</v>
      </c>
      <c r="H7909" s="225" t="str">
        <f t="shared" si="123"/>
        <v/>
      </c>
    </row>
    <row r="7910" spans="1:8" x14ac:dyDescent="0.3">
      <c r="A7910" s="400"/>
      <c r="B7910" s="709">
        <v>106658</v>
      </c>
      <c r="C7910" s="710" t="s">
        <v>15179</v>
      </c>
      <c r="D7910" s="709" t="s">
        <v>136</v>
      </c>
      <c r="E7910" s="716">
        <v>0</v>
      </c>
      <c r="F7910" s="717"/>
      <c r="G7910" t="e">
        <f>VLOOKUP(B7910,'SINAPI-%MO'!B:E,4,0)</f>
        <v>#N/A</v>
      </c>
      <c r="H7910" s="225" t="str">
        <f t="shared" si="123"/>
        <v/>
      </c>
    </row>
    <row r="7911" spans="1:8" x14ac:dyDescent="0.3">
      <c r="A7911" s="400"/>
      <c r="B7911" s="709">
        <v>106663</v>
      </c>
      <c r="C7911" s="710" t="s">
        <v>15180</v>
      </c>
      <c r="D7911" s="709" t="s">
        <v>136</v>
      </c>
      <c r="E7911" s="716">
        <v>0</v>
      </c>
      <c r="F7911" s="717"/>
      <c r="G7911" t="e">
        <f>VLOOKUP(B7911,'SINAPI-%MO'!B:E,4,0)</f>
        <v>#N/A</v>
      </c>
      <c r="H7911" s="225" t="str">
        <f t="shared" si="123"/>
        <v/>
      </c>
    </row>
    <row r="7912" spans="1:8" x14ac:dyDescent="0.3">
      <c r="A7912" s="400"/>
      <c r="B7912" s="709">
        <v>106662</v>
      </c>
      <c r="C7912" s="710" t="s">
        <v>15181</v>
      </c>
      <c r="D7912" s="709" t="s">
        <v>136</v>
      </c>
      <c r="E7912" s="716">
        <v>0</v>
      </c>
      <c r="F7912" s="717"/>
      <c r="G7912" t="e">
        <f>VLOOKUP(B7912,'SINAPI-%MO'!B:E,4,0)</f>
        <v>#N/A</v>
      </c>
      <c r="H7912" s="225" t="str">
        <f t="shared" si="123"/>
        <v/>
      </c>
    </row>
    <row r="7913" spans="1:8" x14ac:dyDescent="0.3">
      <c r="A7913" s="400"/>
      <c r="B7913" s="709">
        <v>106664</v>
      </c>
      <c r="C7913" s="710" t="s">
        <v>15182</v>
      </c>
      <c r="D7913" s="709" t="s">
        <v>136</v>
      </c>
      <c r="E7913" s="716">
        <v>0</v>
      </c>
      <c r="F7913" s="717"/>
      <c r="G7913" t="e">
        <f>VLOOKUP(B7913,'SINAPI-%MO'!B:E,4,0)</f>
        <v>#N/A</v>
      </c>
      <c r="H7913" s="225" t="str">
        <f t="shared" si="123"/>
        <v/>
      </c>
    </row>
    <row r="7914" spans="1:8" x14ac:dyDescent="0.3">
      <c r="A7914" s="400"/>
      <c r="B7914" s="709">
        <v>106602</v>
      </c>
      <c r="C7914" s="710" t="s">
        <v>15183</v>
      </c>
      <c r="D7914" s="709" t="s">
        <v>8115</v>
      </c>
      <c r="E7914" s="716">
        <v>0</v>
      </c>
      <c r="F7914" s="717"/>
      <c r="G7914" t="e">
        <f>VLOOKUP(B7914,'SINAPI-%MO'!B:E,4,0)</f>
        <v>#N/A</v>
      </c>
      <c r="H7914" s="225" t="str">
        <f t="shared" si="123"/>
        <v/>
      </c>
    </row>
    <row r="7915" spans="1:8" x14ac:dyDescent="0.3">
      <c r="A7915" s="400"/>
      <c r="B7915" s="709">
        <v>106603</v>
      </c>
      <c r="C7915" s="710" t="s">
        <v>15184</v>
      </c>
      <c r="D7915" s="709" t="s">
        <v>8115</v>
      </c>
      <c r="E7915" s="716">
        <v>0</v>
      </c>
      <c r="F7915" s="717"/>
      <c r="G7915" t="e">
        <f>VLOOKUP(B7915,'SINAPI-%MO'!B:E,4,0)</f>
        <v>#N/A</v>
      </c>
      <c r="H7915" s="225" t="str">
        <f t="shared" si="123"/>
        <v/>
      </c>
    </row>
    <row r="7916" spans="1:8" x14ac:dyDescent="0.3">
      <c r="A7916" s="400"/>
      <c r="B7916" s="709">
        <v>106604</v>
      </c>
      <c r="C7916" s="710" t="s">
        <v>15185</v>
      </c>
      <c r="D7916" s="709" t="s">
        <v>8115</v>
      </c>
      <c r="E7916" s="716">
        <v>0</v>
      </c>
      <c r="F7916" s="717"/>
      <c r="G7916" t="e">
        <f>VLOOKUP(B7916,'SINAPI-%MO'!B:E,4,0)</f>
        <v>#N/A</v>
      </c>
      <c r="H7916" s="225" t="str">
        <f t="shared" si="123"/>
        <v/>
      </c>
    </row>
    <row r="7917" spans="1:8" x14ac:dyDescent="0.3">
      <c r="A7917" s="400"/>
      <c r="B7917" s="709">
        <v>106598</v>
      </c>
      <c r="C7917" s="710" t="s">
        <v>15186</v>
      </c>
      <c r="D7917" s="709" t="s">
        <v>8115</v>
      </c>
      <c r="E7917" s="716">
        <v>0</v>
      </c>
      <c r="F7917" s="717"/>
      <c r="G7917" t="e">
        <f>VLOOKUP(B7917,'SINAPI-%MO'!B:E,4,0)</f>
        <v>#N/A</v>
      </c>
      <c r="H7917" s="225" t="str">
        <f t="shared" si="123"/>
        <v/>
      </c>
    </row>
    <row r="7918" spans="1:8" x14ac:dyDescent="0.3">
      <c r="A7918" s="400"/>
      <c r="B7918" s="709">
        <v>106599</v>
      </c>
      <c r="C7918" s="710" t="s">
        <v>15187</v>
      </c>
      <c r="D7918" s="709" t="s">
        <v>8115</v>
      </c>
      <c r="E7918" s="716">
        <v>0</v>
      </c>
      <c r="F7918" s="717"/>
      <c r="G7918" t="e">
        <f>VLOOKUP(B7918,'SINAPI-%MO'!B:E,4,0)</f>
        <v>#N/A</v>
      </c>
      <c r="H7918" s="225" t="str">
        <f t="shared" si="123"/>
        <v/>
      </c>
    </row>
    <row r="7919" spans="1:8" x14ac:dyDescent="0.3">
      <c r="A7919" s="400"/>
      <c r="B7919" s="709">
        <v>106601</v>
      </c>
      <c r="C7919" s="710" t="s">
        <v>15188</v>
      </c>
      <c r="D7919" s="709" t="s">
        <v>8115</v>
      </c>
      <c r="E7919" s="716">
        <v>0</v>
      </c>
      <c r="F7919" s="717"/>
      <c r="G7919" t="e">
        <f>VLOOKUP(B7919,'SINAPI-%MO'!B:E,4,0)</f>
        <v>#N/A</v>
      </c>
      <c r="H7919" s="225" t="str">
        <f t="shared" si="123"/>
        <v/>
      </c>
    </row>
    <row r="7920" spans="1:8" x14ac:dyDescent="0.3">
      <c r="A7920" s="400"/>
      <c r="B7920" s="709">
        <v>106600</v>
      </c>
      <c r="C7920" s="710" t="s">
        <v>15189</v>
      </c>
      <c r="D7920" s="709" t="s">
        <v>8115</v>
      </c>
      <c r="E7920" s="716">
        <v>0</v>
      </c>
      <c r="F7920" s="717"/>
      <c r="G7920" t="e">
        <f>VLOOKUP(B7920,'SINAPI-%MO'!B:E,4,0)</f>
        <v>#N/A</v>
      </c>
      <c r="H7920" s="225" t="str">
        <f t="shared" si="123"/>
        <v/>
      </c>
    </row>
    <row r="7921" spans="1:8" x14ac:dyDescent="0.3">
      <c r="A7921" s="400"/>
      <c r="B7921" s="709">
        <v>106609</v>
      </c>
      <c r="C7921" s="710" t="s">
        <v>15190</v>
      </c>
      <c r="D7921" s="709" t="s">
        <v>8115</v>
      </c>
      <c r="E7921" s="716">
        <v>0</v>
      </c>
      <c r="F7921" s="717"/>
      <c r="G7921" t="e">
        <f>VLOOKUP(B7921,'SINAPI-%MO'!B:E,4,0)</f>
        <v>#N/A</v>
      </c>
      <c r="H7921" s="225" t="str">
        <f t="shared" si="123"/>
        <v/>
      </c>
    </row>
    <row r="7922" spans="1:8" x14ac:dyDescent="0.3">
      <c r="A7922" s="400"/>
      <c r="B7922" s="709">
        <v>106610</v>
      </c>
      <c r="C7922" s="710" t="s">
        <v>15191</v>
      </c>
      <c r="D7922" s="709" t="s">
        <v>8115</v>
      </c>
      <c r="E7922" s="716">
        <v>0</v>
      </c>
      <c r="F7922" s="717"/>
      <c r="G7922" t="e">
        <f>VLOOKUP(B7922,'SINAPI-%MO'!B:E,4,0)</f>
        <v>#N/A</v>
      </c>
      <c r="H7922" s="225" t="str">
        <f t="shared" si="123"/>
        <v/>
      </c>
    </row>
    <row r="7923" spans="1:8" x14ac:dyDescent="0.3">
      <c r="A7923" s="400"/>
      <c r="B7923" s="709">
        <v>106611</v>
      </c>
      <c r="C7923" s="710" t="s">
        <v>15192</v>
      </c>
      <c r="D7923" s="709" t="s">
        <v>8115</v>
      </c>
      <c r="E7923" s="716">
        <v>0</v>
      </c>
      <c r="F7923" s="717"/>
      <c r="G7923" t="e">
        <f>VLOOKUP(B7923,'SINAPI-%MO'!B:E,4,0)</f>
        <v>#N/A</v>
      </c>
      <c r="H7923" s="225" t="str">
        <f t="shared" si="123"/>
        <v/>
      </c>
    </row>
    <row r="7924" spans="1:8" x14ac:dyDescent="0.3">
      <c r="A7924" s="400"/>
      <c r="B7924" s="709">
        <v>106605</v>
      </c>
      <c r="C7924" s="710" t="s">
        <v>15193</v>
      </c>
      <c r="D7924" s="709" t="s">
        <v>8115</v>
      </c>
      <c r="E7924" s="716">
        <v>0</v>
      </c>
      <c r="F7924" s="717"/>
      <c r="G7924" t="e">
        <f>VLOOKUP(B7924,'SINAPI-%MO'!B:E,4,0)</f>
        <v>#N/A</v>
      </c>
      <c r="H7924" s="225" t="str">
        <f t="shared" si="123"/>
        <v/>
      </c>
    </row>
    <row r="7925" spans="1:8" x14ac:dyDescent="0.3">
      <c r="A7925" s="400"/>
      <c r="B7925" s="709">
        <v>106606</v>
      </c>
      <c r="C7925" s="710" t="s">
        <v>15194</v>
      </c>
      <c r="D7925" s="709" t="s">
        <v>8115</v>
      </c>
      <c r="E7925" s="716">
        <v>0</v>
      </c>
      <c r="F7925" s="717"/>
      <c r="G7925" t="e">
        <f>VLOOKUP(B7925,'SINAPI-%MO'!B:E,4,0)</f>
        <v>#N/A</v>
      </c>
      <c r="H7925" s="225" t="str">
        <f t="shared" si="123"/>
        <v/>
      </c>
    </row>
    <row r="7926" spans="1:8" x14ac:dyDescent="0.3">
      <c r="A7926" s="400"/>
      <c r="B7926" s="709">
        <v>106608</v>
      </c>
      <c r="C7926" s="710" t="s">
        <v>15195</v>
      </c>
      <c r="D7926" s="709" t="s">
        <v>8115</v>
      </c>
      <c r="E7926" s="716">
        <v>0</v>
      </c>
      <c r="F7926" s="717"/>
      <c r="G7926" t="e">
        <f>VLOOKUP(B7926,'SINAPI-%MO'!B:E,4,0)</f>
        <v>#N/A</v>
      </c>
      <c r="H7926" s="225" t="str">
        <f t="shared" si="123"/>
        <v/>
      </c>
    </row>
    <row r="7927" spans="1:8" x14ac:dyDescent="0.3">
      <c r="A7927" s="400"/>
      <c r="B7927" s="709">
        <v>106607</v>
      </c>
      <c r="C7927" s="710" t="s">
        <v>15196</v>
      </c>
      <c r="D7927" s="709" t="s">
        <v>8115</v>
      </c>
      <c r="E7927" s="716">
        <v>0</v>
      </c>
      <c r="F7927" s="717"/>
      <c r="G7927" t="e">
        <f>VLOOKUP(B7927,'SINAPI-%MO'!B:E,4,0)</f>
        <v>#N/A</v>
      </c>
      <c r="H7927" s="225" t="str">
        <f t="shared" si="123"/>
        <v/>
      </c>
    </row>
    <row r="7928" spans="1:8" x14ac:dyDescent="0.3">
      <c r="A7928" s="400"/>
      <c r="B7928" s="709">
        <v>106581</v>
      </c>
      <c r="C7928" s="710" t="s">
        <v>15197</v>
      </c>
      <c r="D7928" s="709" t="s">
        <v>8115</v>
      </c>
      <c r="E7928" s="716">
        <v>0</v>
      </c>
      <c r="F7928" s="717"/>
      <c r="G7928" t="e">
        <f>VLOOKUP(B7928,'SINAPI-%MO'!B:E,4,0)</f>
        <v>#N/A</v>
      </c>
      <c r="H7928" s="225" t="str">
        <f t="shared" si="123"/>
        <v/>
      </c>
    </row>
    <row r="7929" spans="1:8" x14ac:dyDescent="0.3">
      <c r="A7929" s="400"/>
      <c r="B7929" s="709">
        <v>106582</v>
      </c>
      <c r="C7929" s="710" t="s">
        <v>15198</v>
      </c>
      <c r="D7929" s="709" t="s">
        <v>8115</v>
      </c>
      <c r="E7929" s="716">
        <v>0</v>
      </c>
      <c r="F7929" s="717"/>
      <c r="G7929" t="e">
        <f>VLOOKUP(B7929,'SINAPI-%MO'!B:E,4,0)</f>
        <v>#N/A</v>
      </c>
      <c r="H7929" s="225" t="str">
        <f t="shared" si="123"/>
        <v/>
      </c>
    </row>
    <row r="7930" spans="1:8" x14ac:dyDescent="0.3">
      <c r="A7930" s="400"/>
      <c r="B7930" s="709">
        <v>106583</v>
      </c>
      <c r="C7930" s="710" t="s">
        <v>15199</v>
      </c>
      <c r="D7930" s="709" t="s">
        <v>8115</v>
      </c>
      <c r="E7930" s="716">
        <v>0</v>
      </c>
      <c r="F7930" s="717"/>
      <c r="G7930" t="e">
        <f>VLOOKUP(B7930,'SINAPI-%MO'!B:E,4,0)</f>
        <v>#N/A</v>
      </c>
      <c r="H7930" s="225" t="str">
        <f t="shared" si="123"/>
        <v/>
      </c>
    </row>
    <row r="7931" spans="1:8" x14ac:dyDescent="0.3">
      <c r="A7931" s="400"/>
      <c r="B7931" s="709">
        <v>106577</v>
      </c>
      <c r="C7931" s="710" t="s">
        <v>15200</v>
      </c>
      <c r="D7931" s="709" t="s">
        <v>8115</v>
      </c>
      <c r="E7931" s="716">
        <v>0</v>
      </c>
      <c r="F7931" s="717"/>
      <c r="G7931" t="e">
        <f>VLOOKUP(B7931,'SINAPI-%MO'!B:E,4,0)</f>
        <v>#N/A</v>
      </c>
      <c r="H7931" s="225" t="str">
        <f t="shared" si="123"/>
        <v/>
      </c>
    </row>
    <row r="7932" spans="1:8" x14ac:dyDescent="0.3">
      <c r="A7932" s="400"/>
      <c r="B7932" s="709">
        <v>106578</v>
      </c>
      <c r="C7932" s="710" t="s">
        <v>15201</v>
      </c>
      <c r="D7932" s="709" t="s">
        <v>8115</v>
      </c>
      <c r="E7932" s="716">
        <v>0</v>
      </c>
      <c r="F7932" s="717"/>
      <c r="G7932" t="e">
        <f>VLOOKUP(B7932,'SINAPI-%MO'!B:E,4,0)</f>
        <v>#N/A</v>
      </c>
      <c r="H7932" s="225" t="str">
        <f t="shared" si="123"/>
        <v/>
      </c>
    </row>
    <row r="7933" spans="1:8" x14ac:dyDescent="0.3">
      <c r="A7933" s="400"/>
      <c r="B7933" s="709">
        <v>106580</v>
      </c>
      <c r="C7933" s="710" t="s">
        <v>15202</v>
      </c>
      <c r="D7933" s="709" t="s">
        <v>8115</v>
      </c>
      <c r="E7933" s="716">
        <v>0</v>
      </c>
      <c r="F7933" s="717"/>
      <c r="G7933" t="e">
        <f>VLOOKUP(B7933,'SINAPI-%MO'!B:E,4,0)</f>
        <v>#N/A</v>
      </c>
      <c r="H7933" s="225" t="str">
        <f t="shared" si="123"/>
        <v/>
      </c>
    </row>
    <row r="7934" spans="1:8" x14ac:dyDescent="0.3">
      <c r="A7934" s="400"/>
      <c r="B7934" s="709">
        <v>106579</v>
      </c>
      <c r="C7934" s="710" t="s">
        <v>15203</v>
      </c>
      <c r="D7934" s="709" t="s">
        <v>8115</v>
      </c>
      <c r="E7934" s="716">
        <v>0</v>
      </c>
      <c r="F7934" s="717"/>
      <c r="G7934" t="e">
        <f>VLOOKUP(B7934,'SINAPI-%MO'!B:E,4,0)</f>
        <v>#N/A</v>
      </c>
      <c r="H7934" s="225" t="str">
        <f t="shared" si="123"/>
        <v/>
      </c>
    </row>
    <row r="7935" spans="1:8" x14ac:dyDescent="0.3">
      <c r="A7935" s="400"/>
      <c r="B7935" s="709">
        <v>106588</v>
      </c>
      <c r="C7935" s="710" t="s">
        <v>15204</v>
      </c>
      <c r="D7935" s="709" t="s">
        <v>8115</v>
      </c>
      <c r="E7935" s="716">
        <v>0</v>
      </c>
      <c r="F7935" s="717"/>
      <c r="G7935" t="e">
        <f>VLOOKUP(B7935,'SINAPI-%MO'!B:E,4,0)</f>
        <v>#N/A</v>
      </c>
      <c r="H7935" s="225" t="str">
        <f t="shared" si="123"/>
        <v/>
      </c>
    </row>
    <row r="7936" spans="1:8" x14ac:dyDescent="0.3">
      <c r="A7936" s="400"/>
      <c r="B7936" s="709">
        <v>106589</v>
      </c>
      <c r="C7936" s="710" t="s">
        <v>15205</v>
      </c>
      <c r="D7936" s="709" t="s">
        <v>8115</v>
      </c>
      <c r="E7936" s="716">
        <v>0</v>
      </c>
      <c r="F7936" s="717"/>
      <c r="G7936" t="e">
        <f>VLOOKUP(B7936,'SINAPI-%MO'!B:E,4,0)</f>
        <v>#N/A</v>
      </c>
      <c r="H7936" s="225" t="str">
        <f t="shared" si="123"/>
        <v/>
      </c>
    </row>
    <row r="7937" spans="1:8" x14ac:dyDescent="0.3">
      <c r="A7937" s="400"/>
      <c r="B7937" s="709">
        <v>106590</v>
      </c>
      <c r="C7937" s="710" t="s">
        <v>15206</v>
      </c>
      <c r="D7937" s="709" t="s">
        <v>8115</v>
      </c>
      <c r="E7937" s="716">
        <v>0</v>
      </c>
      <c r="F7937" s="717"/>
      <c r="G7937" t="e">
        <f>VLOOKUP(B7937,'SINAPI-%MO'!B:E,4,0)</f>
        <v>#N/A</v>
      </c>
      <c r="H7937" s="225" t="str">
        <f t="shared" si="123"/>
        <v/>
      </c>
    </row>
    <row r="7938" spans="1:8" x14ac:dyDescent="0.3">
      <c r="A7938" s="400"/>
      <c r="B7938" s="709">
        <v>106584</v>
      </c>
      <c r="C7938" s="710" t="s">
        <v>15207</v>
      </c>
      <c r="D7938" s="709" t="s">
        <v>8115</v>
      </c>
      <c r="E7938" s="716">
        <v>0</v>
      </c>
      <c r="F7938" s="717"/>
      <c r="G7938" t="e">
        <f>VLOOKUP(B7938,'SINAPI-%MO'!B:E,4,0)</f>
        <v>#N/A</v>
      </c>
      <c r="H7938" s="225" t="str">
        <f t="shared" si="123"/>
        <v/>
      </c>
    </row>
    <row r="7939" spans="1:8" x14ac:dyDescent="0.3">
      <c r="A7939" s="400"/>
      <c r="B7939" s="709">
        <v>106585</v>
      </c>
      <c r="C7939" s="710" t="s">
        <v>15208</v>
      </c>
      <c r="D7939" s="709" t="s">
        <v>8115</v>
      </c>
      <c r="E7939" s="716">
        <v>0</v>
      </c>
      <c r="F7939" s="717"/>
      <c r="G7939" t="e">
        <f>VLOOKUP(B7939,'SINAPI-%MO'!B:E,4,0)</f>
        <v>#N/A</v>
      </c>
      <c r="H7939" s="225" t="str">
        <f t="shared" si="123"/>
        <v/>
      </c>
    </row>
    <row r="7940" spans="1:8" x14ac:dyDescent="0.3">
      <c r="A7940" s="400"/>
      <c r="B7940" s="709">
        <v>106587</v>
      </c>
      <c r="C7940" s="710" t="s">
        <v>15209</v>
      </c>
      <c r="D7940" s="709" t="s">
        <v>8115</v>
      </c>
      <c r="E7940" s="716">
        <v>0</v>
      </c>
      <c r="F7940" s="717"/>
      <c r="G7940" t="e">
        <f>VLOOKUP(B7940,'SINAPI-%MO'!B:E,4,0)</f>
        <v>#N/A</v>
      </c>
      <c r="H7940" s="225" t="str">
        <f t="shared" si="123"/>
        <v/>
      </c>
    </row>
    <row r="7941" spans="1:8" x14ac:dyDescent="0.3">
      <c r="A7941" s="400"/>
      <c r="B7941" s="709">
        <v>106586</v>
      </c>
      <c r="C7941" s="710" t="s">
        <v>15210</v>
      </c>
      <c r="D7941" s="709" t="s">
        <v>8115</v>
      </c>
      <c r="E7941" s="716">
        <v>0</v>
      </c>
      <c r="F7941" s="717"/>
      <c r="G7941" t="e">
        <f>VLOOKUP(B7941,'SINAPI-%MO'!B:E,4,0)</f>
        <v>#N/A</v>
      </c>
      <c r="H7941" s="225" t="str">
        <f t="shared" si="123"/>
        <v/>
      </c>
    </row>
    <row r="7942" spans="1:8" x14ac:dyDescent="0.3">
      <c r="A7942" s="400"/>
      <c r="B7942" s="709">
        <v>106595</v>
      </c>
      <c r="C7942" s="710" t="s">
        <v>15211</v>
      </c>
      <c r="D7942" s="709" t="s">
        <v>8115</v>
      </c>
      <c r="E7942" s="716">
        <v>0</v>
      </c>
      <c r="F7942" s="717"/>
      <c r="G7942" t="e">
        <f>VLOOKUP(B7942,'SINAPI-%MO'!B:E,4,0)</f>
        <v>#N/A</v>
      </c>
      <c r="H7942" s="225" t="str">
        <f t="shared" si="123"/>
        <v/>
      </c>
    </row>
    <row r="7943" spans="1:8" x14ac:dyDescent="0.3">
      <c r="A7943" s="400"/>
      <c r="B7943" s="709">
        <v>106596</v>
      </c>
      <c r="C7943" s="710" t="s">
        <v>15212</v>
      </c>
      <c r="D7943" s="709" t="s">
        <v>8115</v>
      </c>
      <c r="E7943" s="716">
        <v>0</v>
      </c>
      <c r="F7943" s="717"/>
      <c r="G7943" t="e">
        <f>VLOOKUP(B7943,'SINAPI-%MO'!B:E,4,0)</f>
        <v>#N/A</v>
      </c>
      <c r="H7943" s="225" t="str">
        <f t="shared" si="123"/>
        <v/>
      </c>
    </row>
    <row r="7944" spans="1:8" x14ac:dyDescent="0.3">
      <c r="A7944" s="400"/>
      <c r="B7944" s="709">
        <v>106597</v>
      </c>
      <c r="C7944" s="710" t="s">
        <v>15213</v>
      </c>
      <c r="D7944" s="709" t="s">
        <v>8115</v>
      </c>
      <c r="E7944" s="716">
        <v>0</v>
      </c>
      <c r="F7944" s="717"/>
      <c r="G7944" t="e">
        <f>VLOOKUP(B7944,'SINAPI-%MO'!B:E,4,0)</f>
        <v>#N/A</v>
      </c>
      <c r="H7944" s="225" t="str">
        <f t="shared" si="123"/>
        <v/>
      </c>
    </row>
    <row r="7945" spans="1:8" x14ac:dyDescent="0.3">
      <c r="A7945" s="400"/>
      <c r="B7945" s="709">
        <v>106591</v>
      </c>
      <c r="C7945" s="710" t="s">
        <v>15214</v>
      </c>
      <c r="D7945" s="709" t="s">
        <v>8115</v>
      </c>
      <c r="E7945" s="716">
        <v>0</v>
      </c>
      <c r="F7945" s="717"/>
      <c r="G7945" t="e">
        <f>VLOOKUP(B7945,'SINAPI-%MO'!B:E,4,0)</f>
        <v>#N/A</v>
      </c>
      <c r="H7945" s="225" t="str">
        <f t="shared" si="123"/>
        <v/>
      </c>
    </row>
    <row r="7946" spans="1:8" x14ac:dyDescent="0.3">
      <c r="A7946" s="400"/>
      <c r="B7946" s="709">
        <v>106592</v>
      </c>
      <c r="C7946" s="710" t="s">
        <v>15215</v>
      </c>
      <c r="D7946" s="709" t="s">
        <v>8115</v>
      </c>
      <c r="E7946" s="716">
        <v>0</v>
      </c>
      <c r="F7946" s="717"/>
      <c r="G7946" t="e">
        <f>VLOOKUP(B7946,'SINAPI-%MO'!B:E,4,0)</f>
        <v>#N/A</v>
      </c>
      <c r="H7946" s="225" t="str">
        <f t="shared" si="123"/>
        <v/>
      </c>
    </row>
    <row r="7947" spans="1:8" x14ac:dyDescent="0.3">
      <c r="A7947" s="400"/>
      <c r="B7947" s="709">
        <v>106594</v>
      </c>
      <c r="C7947" s="710" t="s">
        <v>15216</v>
      </c>
      <c r="D7947" s="709" t="s">
        <v>8115</v>
      </c>
      <c r="E7947" s="716">
        <v>0</v>
      </c>
      <c r="F7947" s="717"/>
      <c r="G7947" t="e">
        <f>VLOOKUP(B7947,'SINAPI-%MO'!B:E,4,0)</f>
        <v>#N/A</v>
      </c>
      <c r="H7947" s="225" t="str">
        <f t="shared" ref="H7947:H8010" si="124">IF(E7947&gt;0,TRUNC(E7947*(1-G7947),2),"")</f>
        <v/>
      </c>
    </row>
    <row r="7948" spans="1:8" x14ac:dyDescent="0.3">
      <c r="A7948" s="400"/>
      <c r="B7948" s="709">
        <v>106593</v>
      </c>
      <c r="C7948" s="710" t="s">
        <v>15217</v>
      </c>
      <c r="D7948" s="709" t="s">
        <v>8115</v>
      </c>
      <c r="E7948" s="716">
        <v>0</v>
      </c>
      <c r="F7948" s="717"/>
      <c r="G7948" t="e">
        <f>VLOOKUP(B7948,'SINAPI-%MO'!B:E,4,0)</f>
        <v>#N/A</v>
      </c>
      <c r="H7948" s="225" t="str">
        <f t="shared" si="124"/>
        <v/>
      </c>
    </row>
    <row r="7949" spans="1:8" x14ac:dyDescent="0.3">
      <c r="A7949" s="400"/>
      <c r="B7949" s="709">
        <v>106616</v>
      </c>
      <c r="C7949" s="710" t="s">
        <v>15218</v>
      </c>
      <c r="D7949" s="709" t="s">
        <v>8115</v>
      </c>
      <c r="E7949" s="716">
        <v>0</v>
      </c>
      <c r="F7949" s="717"/>
      <c r="G7949" t="e">
        <f>VLOOKUP(B7949,'SINAPI-%MO'!B:E,4,0)</f>
        <v>#N/A</v>
      </c>
      <c r="H7949" s="225" t="str">
        <f t="shared" si="124"/>
        <v/>
      </c>
    </row>
    <row r="7950" spans="1:8" x14ac:dyDescent="0.3">
      <c r="A7950" s="400"/>
      <c r="B7950" s="709">
        <v>106617</v>
      </c>
      <c r="C7950" s="710" t="s">
        <v>15219</v>
      </c>
      <c r="D7950" s="709" t="s">
        <v>8115</v>
      </c>
      <c r="E7950" s="716">
        <v>0</v>
      </c>
      <c r="F7950" s="717"/>
      <c r="G7950" t="e">
        <f>VLOOKUP(B7950,'SINAPI-%MO'!B:E,4,0)</f>
        <v>#N/A</v>
      </c>
      <c r="H7950" s="225" t="str">
        <f t="shared" si="124"/>
        <v/>
      </c>
    </row>
    <row r="7951" spans="1:8" x14ac:dyDescent="0.3">
      <c r="A7951" s="400"/>
      <c r="B7951" s="709">
        <v>106618</v>
      </c>
      <c r="C7951" s="710" t="s">
        <v>15220</v>
      </c>
      <c r="D7951" s="709" t="s">
        <v>8115</v>
      </c>
      <c r="E7951" s="716">
        <v>0</v>
      </c>
      <c r="F7951" s="717"/>
      <c r="G7951" t="e">
        <f>VLOOKUP(B7951,'SINAPI-%MO'!B:E,4,0)</f>
        <v>#N/A</v>
      </c>
      <c r="H7951" s="225" t="str">
        <f t="shared" si="124"/>
        <v/>
      </c>
    </row>
    <row r="7952" spans="1:8" x14ac:dyDescent="0.3">
      <c r="A7952" s="400"/>
      <c r="B7952" s="709">
        <v>106612</v>
      </c>
      <c r="C7952" s="710" t="s">
        <v>15221</v>
      </c>
      <c r="D7952" s="709" t="s">
        <v>8115</v>
      </c>
      <c r="E7952" s="716">
        <v>0</v>
      </c>
      <c r="F7952" s="717"/>
      <c r="G7952" t="e">
        <f>VLOOKUP(B7952,'SINAPI-%MO'!B:E,4,0)</f>
        <v>#N/A</v>
      </c>
      <c r="H7952" s="225" t="str">
        <f t="shared" si="124"/>
        <v/>
      </c>
    </row>
    <row r="7953" spans="1:8" x14ac:dyDescent="0.3">
      <c r="A7953" s="400"/>
      <c r="B7953" s="709">
        <v>106613</v>
      </c>
      <c r="C7953" s="710" t="s">
        <v>15222</v>
      </c>
      <c r="D7953" s="709" t="s">
        <v>8115</v>
      </c>
      <c r="E7953" s="716">
        <v>0</v>
      </c>
      <c r="F7953" s="717"/>
      <c r="G7953" t="e">
        <f>VLOOKUP(B7953,'SINAPI-%MO'!B:E,4,0)</f>
        <v>#N/A</v>
      </c>
      <c r="H7953" s="225" t="str">
        <f t="shared" si="124"/>
        <v/>
      </c>
    </row>
    <row r="7954" spans="1:8" x14ac:dyDescent="0.3">
      <c r="A7954" s="400"/>
      <c r="B7954" s="709">
        <v>106615</v>
      </c>
      <c r="C7954" s="710" t="s">
        <v>15223</v>
      </c>
      <c r="D7954" s="709" t="s">
        <v>8115</v>
      </c>
      <c r="E7954" s="716">
        <v>0</v>
      </c>
      <c r="F7954" s="717"/>
      <c r="G7954" t="e">
        <f>VLOOKUP(B7954,'SINAPI-%MO'!B:E,4,0)</f>
        <v>#N/A</v>
      </c>
      <c r="H7954" s="225" t="str">
        <f t="shared" si="124"/>
        <v/>
      </c>
    </row>
    <row r="7955" spans="1:8" x14ac:dyDescent="0.3">
      <c r="A7955" s="400"/>
      <c r="B7955" s="709">
        <v>106614</v>
      </c>
      <c r="C7955" s="710" t="s">
        <v>15224</v>
      </c>
      <c r="D7955" s="709" t="s">
        <v>8115</v>
      </c>
      <c r="E7955" s="716">
        <v>0</v>
      </c>
      <c r="F7955" s="717"/>
      <c r="G7955" t="e">
        <f>VLOOKUP(B7955,'SINAPI-%MO'!B:E,4,0)</f>
        <v>#N/A</v>
      </c>
      <c r="H7955" s="225" t="str">
        <f t="shared" si="124"/>
        <v/>
      </c>
    </row>
    <row r="7956" spans="1:8" x14ac:dyDescent="0.3">
      <c r="A7956" s="400"/>
      <c r="B7956" s="709">
        <v>106623</v>
      </c>
      <c r="C7956" s="710" t="s">
        <v>15225</v>
      </c>
      <c r="D7956" s="709" t="s">
        <v>8115</v>
      </c>
      <c r="E7956" s="716">
        <v>0</v>
      </c>
      <c r="F7956" s="717"/>
      <c r="G7956" t="e">
        <f>VLOOKUP(B7956,'SINAPI-%MO'!B:E,4,0)</f>
        <v>#N/A</v>
      </c>
      <c r="H7956" s="225" t="str">
        <f t="shared" si="124"/>
        <v/>
      </c>
    </row>
    <row r="7957" spans="1:8" x14ac:dyDescent="0.3">
      <c r="A7957" s="400"/>
      <c r="B7957" s="709">
        <v>106624</v>
      </c>
      <c r="C7957" s="710" t="s">
        <v>15226</v>
      </c>
      <c r="D7957" s="709" t="s">
        <v>8115</v>
      </c>
      <c r="E7957" s="716">
        <v>0</v>
      </c>
      <c r="F7957" s="717"/>
      <c r="G7957" t="e">
        <f>VLOOKUP(B7957,'SINAPI-%MO'!B:E,4,0)</f>
        <v>#N/A</v>
      </c>
      <c r="H7957" s="225" t="str">
        <f t="shared" si="124"/>
        <v/>
      </c>
    </row>
    <row r="7958" spans="1:8" x14ac:dyDescent="0.3">
      <c r="A7958" s="400"/>
      <c r="B7958" s="709">
        <v>106625</v>
      </c>
      <c r="C7958" s="710" t="s">
        <v>15227</v>
      </c>
      <c r="D7958" s="709" t="s">
        <v>8115</v>
      </c>
      <c r="E7958" s="716">
        <v>0</v>
      </c>
      <c r="F7958" s="717"/>
      <c r="G7958" t="e">
        <f>VLOOKUP(B7958,'SINAPI-%MO'!B:E,4,0)</f>
        <v>#N/A</v>
      </c>
      <c r="H7958" s="225" t="str">
        <f t="shared" si="124"/>
        <v/>
      </c>
    </row>
    <row r="7959" spans="1:8" x14ac:dyDescent="0.3">
      <c r="A7959" s="400"/>
      <c r="B7959" s="709">
        <v>106619</v>
      </c>
      <c r="C7959" s="710" t="s">
        <v>15228</v>
      </c>
      <c r="D7959" s="709" t="s">
        <v>8115</v>
      </c>
      <c r="E7959" s="716">
        <v>0</v>
      </c>
      <c r="F7959" s="717"/>
      <c r="G7959" t="e">
        <f>VLOOKUP(B7959,'SINAPI-%MO'!B:E,4,0)</f>
        <v>#N/A</v>
      </c>
      <c r="H7959" s="225" t="str">
        <f t="shared" si="124"/>
        <v/>
      </c>
    </row>
    <row r="7960" spans="1:8" x14ac:dyDescent="0.3">
      <c r="A7960" s="400"/>
      <c r="B7960" s="709">
        <v>106620</v>
      </c>
      <c r="C7960" s="710" t="s">
        <v>15229</v>
      </c>
      <c r="D7960" s="709" t="s">
        <v>8115</v>
      </c>
      <c r="E7960" s="716">
        <v>0</v>
      </c>
      <c r="F7960" s="717"/>
      <c r="G7960" t="e">
        <f>VLOOKUP(B7960,'SINAPI-%MO'!B:E,4,0)</f>
        <v>#N/A</v>
      </c>
      <c r="H7960" s="225" t="str">
        <f t="shared" si="124"/>
        <v/>
      </c>
    </row>
    <row r="7961" spans="1:8" x14ac:dyDescent="0.3">
      <c r="A7961" s="400"/>
      <c r="B7961" s="709">
        <v>106622</v>
      </c>
      <c r="C7961" s="710" t="s">
        <v>15230</v>
      </c>
      <c r="D7961" s="709" t="s">
        <v>8115</v>
      </c>
      <c r="E7961" s="716">
        <v>0</v>
      </c>
      <c r="F7961" s="717"/>
      <c r="G7961" t="e">
        <f>VLOOKUP(B7961,'SINAPI-%MO'!B:E,4,0)</f>
        <v>#N/A</v>
      </c>
      <c r="H7961" s="225" t="str">
        <f t="shared" si="124"/>
        <v/>
      </c>
    </row>
    <row r="7962" spans="1:8" x14ac:dyDescent="0.3">
      <c r="A7962" s="400"/>
      <c r="B7962" s="709">
        <v>106621</v>
      </c>
      <c r="C7962" s="710" t="s">
        <v>15231</v>
      </c>
      <c r="D7962" s="709" t="s">
        <v>8115</v>
      </c>
      <c r="E7962" s="716">
        <v>0</v>
      </c>
      <c r="F7962" s="717"/>
      <c r="G7962" t="e">
        <f>VLOOKUP(B7962,'SINAPI-%MO'!B:E,4,0)</f>
        <v>#N/A</v>
      </c>
      <c r="H7962" s="225" t="str">
        <f t="shared" si="124"/>
        <v/>
      </c>
    </row>
    <row r="7963" spans="1:8" x14ac:dyDescent="0.3">
      <c r="A7963" s="400"/>
      <c r="B7963" s="709">
        <v>103313</v>
      </c>
      <c r="C7963" s="710" t="s">
        <v>6552</v>
      </c>
      <c r="D7963" s="709" t="s">
        <v>136</v>
      </c>
      <c r="E7963" s="716">
        <v>0</v>
      </c>
      <c r="F7963" s="717"/>
      <c r="G7963" t="e">
        <f>VLOOKUP(B7963,'SINAPI-%MO'!B:E,4,0)</f>
        <v>#N/A</v>
      </c>
      <c r="H7963" s="225" t="str">
        <f t="shared" si="124"/>
        <v/>
      </c>
    </row>
    <row r="7964" spans="1:8" x14ac:dyDescent="0.3">
      <c r="A7964" s="400"/>
      <c r="B7964" s="709">
        <v>103309</v>
      </c>
      <c r="C7964" s="710" t="s">
        <v>6553</v>
      </c>
      <c r="D7964" s="709" t="s">
        <v>136</v>
      </c>
      <c r="E7964" s="716">
        <v>0</v>
      </c>
      <c r="F7964" s="717"/>
      <c r="G7964" t="e">
        <f>VLOOKUP(B7964,'SINAPI-%MO'!B:E,4,0)</f>
        <v>#N/A</v>
      </c>
      <c r="H7964" s="225" t="str">
        <f t="shared" si="124"/>
        <v/>
      </c>
    </row>
    <row r="7965" spans="1:8" x14ac:dyDescent="0.3">
      <c r="A7965" s="400"/>
      <c r="B7965" s="709">
        <v>103312</v>
      </c>
      <c r="C7965" s="710" t="s">
        <v>6554</v>
      </c>
      <c r="D7965" s="709" t="s">
        <v>136</v>
      </c>
      <c r="E7965" s="716">
        <v>0</v>
      </c>
      <c r="F7965" s="717"/>
      <c r="G7965" t="e">
        <f>VLOOKUP(B7965,'SINAPI-%MO'!B:E,4,0)</f>
        <v>#N/A</v>
      </c>
      <c r="H7965" s="225" t="str">
        <f t="shared" si="124"/>
        <v/>
      </c>
    </row>
    <row r="7966" spans="1:8" x14ac:dyDescent="0.3">
      <c r="A7966" s="400"/>
      <c r="B7966" s="709">
        <v>103296</v>
      </c>
      <c r="C7966" s="710" t="s">
        <v>6555</v>
      </c>
      <c r="D7966" s="709" t="s">
        <v>136</v>
      </c>
      <c r="E7966" s="716">
        <v>0</v>
      </c>
      <c r="F7966" s="717"/>
      <c r="G7966" t="e">
        <f>VLOOKUP(B7966,'SINAPI-%MO'!B:E,4,0)</f>
        <v>#N/A</v>
      </c>
      <c r="H7966" s="225" t="str">
        <f t="shared" si="124"/>
        <v/>
      </c>
    </row>
    <row r="7967" spans="1:8" x14ac:dyDescent="0.3">
      <c r="A7967" s="400"/>
      <c r="B7967" s="709">
        <v>103300</v>
      </c>
      <c r="C7967" s="710" t="s">
        <v>6556</v>
      </c>
      <c r="D7967" s="709" t="s">
        <v>136</v>
      </c>
      <c r="E7967" s="716">
        <v>0</v>
      </c>
      <c r="F7967" s="717"/>
      <c r="G7967" t="e">
        <f>VLOOKUP(B7967,'SINAPI-%MO'!B:E,4,0)</f>
        <v>#N/A</v>
      </c>
      <c r="H7967" s="225" t="str">
        <f t="shared" si="124"/>
        <v/>
      </c>
    </row>
    <row r="7968" spans="1:8" x14ac:dyDescent="0.3">
      <c r="A7968" s="400"/>
      <c r="B7968" s="709">
        <v>103301</v>
      </c>
      <c r="C7968" s="710" t="s">
        <v>6557</v>
      </c>
      <c r="D7968" s="709" t="s">
        <v>136</v>
      </c>
      <c r="E7968" s="716">
        <v>0</v>
      </c>
      <c r="F7968" s="717"/>
      <c r="G7968" t="e">
        <f>VLOOKUP(B7968,'SINAPI-%MO'!B:E,4,0)</f>
        <v>#N/A</v>
      </c>
      <c r="H7968" s="225" t="str">
        <f t="shared" si="124"/>
        <v/>
      </c>
    </row>
    <row r="7969" spans="1:8" x14ac:dyDescent="0.3">
      <c r="A7969" s="400"/>
      <c r="B7969" s="709">
        <v>103304</v>
      </c>
      <c r="C7969" s="710" t="s">
        <v>6558</v>
      </c>
      <c r="D7969" s="709" t="s">
        <v>136</v>
      </c>
      <c r="E7969" s="716">
        <v>1254.68</v>
      </c>
      <c r="F7969" s="717">
        <v>0.9627</v>
      </c>
      <c r="G7969">
        <f>VLOOKUP(B7969,'SINAPI-%MO'!B:E,4,0)</f>
        <v>3.73E-2</v>
      </c>
      <c r="H7969" s="225">
        <f t="shared" si="124"/>
        <v>1207.8800000000001</v>
      </c>
    </row>
    <row r="7970" spans="1:8" x14ac:dyDescent="0.3">
      <c r="A7970" s="400"/>
      <c r="B7970" s="709">
        <v>103305</v>
      </c>
      <c r="C7970" s="710" t="s">
        <v>6559</v>
      </c>
      <c r="D7970" s="709" t="s">
        <v>136</v>
      </c>
      <c r="E7970" s="716">
        <v>0</v>
      </c>
      <c r="F7970" s="717"/>
      <c r="G7970" t="e">
        <f>VLOOKUP(B7970,'SINAPI-%MO'!B:E,4,0)</f>
        <v>#N/A</v>
      </c>
      <c r="H7970" s="225" t="str">
        <f t="shared" si="124"/>
        <v/>
      </c>
    </row>
    <row r="7971" spans="1:8" x14ac:dyDescent="0.3">
      <c r="A7971" s="400"/>
      <c r="B7971" s="709">
        <v>103294</v>
      </c>
      <c r="C7971" s="710" t="s">
        <v>6560</v>
      </c>
      <c r="D7971" s="709" t="s">
        <v>136</v>
      </c>
      <c r="E7971" s="716">
        <v>0</v>
      </c>
      <c r="F7971" s="717"/>
      <c r="G7971" t="e">
        <f>VLOOKUP(B7971,'SINAPI-%MO'!B:E,4,0)</f>
        <v>#N/A</v>
      </c>
      <c r="H7971" s="225" t="str">
        <f t="shared" si="124"/>
        <v/>
      </c>
    </row>
    <row r="7972" spans="1:8" x14ac:dyDescent="0.3">
      <c r="A7972" s="400"/>
      <c r="B7972" s="709">
        <v>103298</v>
      </c>
      <c r="C7972" s="710" t="s">
        <v>6561</v>
      </c>
      <c r="D7972" s="709" t="s">
        <v>136</v>
      </c>
      <c r="E7972" s="716">
        <v>0</v>
      </c>
      <c r="F7972" s="717"/>
      <c r="G7972" t="e">
        <f>VLOOKUP(B7972,'SINAPI-%MO'!B:E,4,0)</f>
        <v>#N/A</v>
      </c>
      <c r="H7972" s="225" t="str">
        <f t="shared" si="124"/>
        <v/>
      </c>
    </row>
    <row r="7973" spans="1:8" x14ac:dyDescent="0.3">
      <c r="A7973" s="400"/>
      <c r="B7973" s="709">
        <v>103293</v>
      </c>
      <c r="C7973" s="710" t="s">
        <v>6562</v>
      </c>
      <c r="D7973" s="709" t="s">
        <v>136</v>
      </c>
      <c r="E7973" s="716">
        <v>0</v>
      </c>
      <c r="F7973" s="717"/>
      <c r="G7973" t="e">
        <f>VLOOKUP(B7973,'SINAPI-%MO'!B:E,4,0)</f>
        <v>#N/A</v>
      </c>
      <c r="H7973" s="225" t="str">
        <f t="shared" si="124"/>
        <v/>
      </c>
    </row>
    <row r="7974" spans="1:8" x14ac:dyDescent="0.3">
      <c r="A7974" s="400"/>
      <c r="B7974" s="709">
        <v>103297</v>
      </c>
      <c r="C7974" s="710" t="s">
        <v>6563</v>
      </c>
      <c r="D7974" s="709" t="s">
        <v>136</v>
      </c>
      <c r="E7974" s="716">
        <v>0</v>
      </c>
      <c r="F7974" s="717"/>
      <c r="G7974" t="e">
        <f>VLOOKUP(B7974,'SINAPI-%MO'!B:E,4,0)</f>
        <v>#N/A</v>
      </c>
      <c r="H7974" s="225" t="str">
        <f t="shared" si="124"/>
        <v/>
      </c>
    </row>
    <row r="7975" spans="1:8" x14ac:dyDescent="0.3">
      <c r="A7975" s="400"/>
      <c r="B7975" s="709">
        <v>103311</v>
      </c>
      <c r="C7975" s="710" t="s">
        <v>6564</v>
      </c>
      <c r="D7975" s="709" t="s">
        <v>136</v>
      </c>
      <c r="E7975" s="716">
        <v>0</v>
      </c>
      <c r="F7975" s="717"/>
      <c r="G7975" t="e">
        <f>VLOOKUP(B7975,'SINAPI-%MO'!B:E,4,0)</f>
        <v>#N/A</v>
      </c>
      <c r="H7975" s="225" t="str">
        <f t="shared" si="124"/>
        <v/>
      </c>
    </row>
    <row r="7976" spans="1:8" x14ac:dyDescent="0.3">
      <c r="A7976" s="400"/>
      <c r="B7976" s="709">
        <v>103306</v>
      </c>
      <c r="C7976" s="710" t="s">
        <v>6565</v>
      </c>
      <c r="D7976" s="709" t="s">
        <v>136</v>
      </c>
      <c r="E7976" s="716">
        <v>0</v>
      </c>
      <c r="F7976" s="717"/>
      <c r="G7976" t="e">
        <f>VLOOKUP(B7976,'SINAPI-%MO'!B:E,4,0)</f>
        <v>#N/A</v>
      </c>
      <c r="H7976" s="225" t="str">
        <f t="shared" si="124"/>
        <v/>
      </c>
    </row>
    <row r="7977" spans="1:8" x14ac:dyDescent="0.3">
      <c r="A7977" s="400"/>
      <c r="B7977" s="709">
        <v>103308</v>
      </c>
      <c r="C7977" s="710" t="s">
        <v>6566</v>
      </c>
      <c r="D7977" s="709" t="s">
        <v>136</v>
      </c>
      <c r="E7977" s="716">
        <v>0</v>
      </c>
      <c r="F7977" s="717"/>
      <c r="G7977" t="e">
        <f>VLOOKUP(B7977,'SINAPI-%MO'!B:E,4,0)</f>
        <v>#N/A</v>
      </c>
      <c r="H7977" s="225" t="str">
        <f t="shared" si="124"/>
        <v/>
      </c>
    </row>
    <row r="7978" spans="1:8" x14ac:dyDescent="0.3">
      <c r="A7978" s="400"/>
      <c r="B7978" s="709">
        <v>103295</v>
      </c>
      <c r="C7978" s="710" t="s">
        <v>6567</v>
      </c>
      <c r="D7978" s="709" t="s">
        <v>136</v>
      </c>
      <c r="E7978" s="716">
        <v>0</v>
      </c>
      <c r="F7978" s="717"/>
      <c r="G7978" t="e">
        <f>VLOOKUP(B7978,'SINAPI-%MO'!B:E,4,0)</f>
        <v>#N/A</v>
      </c>
      <c r="H7978" s="225" t="str">
        <f t="shared" si="124"/>
        <v/>
      </c>
    </row>
    <row r="7979" spans="1:8" x14ac:dyDescent="0.3">
      <c r="A7979" s="400"/>
      <c r="B7979" s="709">
        <v>103299</v>
      </c>
      <c r="C7979" s="710" t="s">
        <v>6568</v>
      </c>
      <c r="D7979" s="709" t="s">
        <v>136</v>
      </c>
      <c r="E7979" s="716">
        <v>0</v>
      </c>
      <c r="F7979" s="717"/>
      <c r="G7979" t="e">
        <f>VLOOKUP(B7979,'SINAPI-%MO'!B:E,4,0)</f>
        <v>#N/A</v>
      </c>
      <c r="H7979" s="225" t="str">
        <f t="shared" si="124"/>
        <v/>
      </c>
    </row>
    <row r="7980" spans="1:8" x14ac:dyDescent="0.3">
      <c r="A7980" s="400"/>
      <c r="B7980" s="709">
        <v>103302</v>
      </c>
      <c r="C7980" s="710" t="s">
        <v>6569</v>
      </c>
      <c r="D7980" s="709" t="s">
        <v>136</v>
      </c>
      <c r="E7980" s="716">
        <v>0</v>
      </c>
      <c r="F7980" s="717"/>
      <c r="G7980" t="e">
        <f>VLOOKUP(B7980,'SINAPI-%MO'!B:E,4,0)</f>
        <v>#N/A</v>
      </c>
      <c r="H7980" s="225" t="str">
        <f t="shared" si="124"/>
        <v/>
      </c>
    </row>
    <row r="7981" spans="1:8" x14ac:dyDescent="0.3">
      <c r="A7981" s="400"/>
      <c r="B7981" s="709">
        <v>103307</v>
      </c>
      <c r="C7981" s="710" t="s">
        <v>6570</v>
      </c>
      <c r="D7981" s="709" t="s">
        <v>136</v>
      </c>
      <c r="E7981" s="716">
        <v>1352.75</v>
      </c>
      <c r="F7981" s="717">
        <v>0.91359999999999997</v>
      </c>
      <c r="G7981">
        <f>VLOOKUP(B7981,'SINAPI-%MO'!B:E,4,0)</f>
        <v>7.6200000000000004E-2</v>
      </c>
      <c r="H7981" s="225">
        <f t="shared" si="124"/>
        <v>1249.67</v>
      </c>
    </row>
    <row r="7982" spans="1:8" x14ac:dyDescent="0.3">
      <c r="A7982" s="400"/>
      <c r="B7982" s="709">
        <v>103310</v>
      </c>
      <c r="C7982" s="710" t="s">
        <v>6571</v>
      </c>
      <c r="D7982" s="709" t="s">
        <v>136</v>
      </c>
      <c r="E7982" s="716">
        <v>1293.79</v>
      </c>
      <c r="F7982" s="717">
        <v>0.95530000000000004</v>
      </c>
      <c r="G7982">
        <f>VLOOKUP(B7982,'SINAPI-%MO'!B:E,4,0)</f>
        <v>3.5200000000000002E-2</v>
      </c>
      <c r="H7982" s="225">
        <f t="shared" si="124"/>
        <v>1248.24</v>
      </c>
    </row>
    <row r="7983" spans="1:8" x14ac:dyDescent="0.3">
      <c r="A7983" s="400"/>
      <c r="B7983" s="709">
        <v>103303</v>
      </c>
      <c r="C7983" s="710" t="s">
        <v>6572</v>
      </c>
      <c r="D7983" s="709" t="s">
        <v>136</v>
      </c>
      <c r="E7983" s="716">
        <v>0</v>
      </c>
      <c r="F7983" s="717"/>
      <c r="G7983" t="e">
        <f>VLOOKUP(B7983,'SINAPI-%MO'!B:E,4,0)</f>
        <v>#N/A</v>
      </c>
      <c r="H7983" s="225" t="str">
        <f t="shared" si="124"/>
        <v/>
      </c>
    </row>
    <row r="7984" spans="1:8" x14ac:dyDescent="0.3">
      <c r="A7984" s="400"/>
      <c r="B7984" s="709">
        <v>103314</v>
      </c>
      <c r="C7984" s="710" t="s">
        <v>6573</v>
      </c>
      <c r="D7984" s="709" t="s">
        <v>168</v>
      </c>
      <c r="E7984" s="716">
        <v>275.12</v>
      </c>
      <c r="F7984" s="717">
        <v>0</v>
      </c>
      <c r="G7984">
        <f>VLOOKUP(B7984,'SINAPI-%MO'!B:E,4,0)</f>
        <v>0.1323</v>
      </c>
      <c r="H7984" s="225">
        <f t="shared" si="124"/>
        <v>238.72</v>
      </c>
    </row>
    <row r="7985" spans="1:8" x14ac:dyDescent="0.3">
      <c r="A7985" s="400"/>
      <c r="B7985" s="709">
        <v>103315</v>
      </c>
      <c r="C7985" s="710" t="s">
        <v>6574</v>
      </c>
      <c r="D7985" s="709" t="s">
        <v>168</v>
      </c>
      <c r="E7985" s="716">
        <v>265.27</v>
      </c>
      <c r="F7985" s="717">
        <v>0</v>
      </c>
      <c r="G7985">
        <f>VLOOKUP(B7985,'SINAPI-%MO'!B:E,4,0)</f>
        <v>0.1033</v>
      </c>
      <c r="H7985" s="225">
        <f t="shared" si="124"/>
        <v>237.86</v>
      </c>
    </row>
    <row r="7986" spans="1:8" x14ac:dyDescent="0.3">
      <c r="A7986" s="400"/>
      <c r="B7986" s="709">
        <v>105188</v>
      </c>
      <c r="C7986" s="710" t="s">
        <v>6575</v>
      </c>
      <c r="D7986" s="709" t="s">
        <v>168</v>
      </c>
      <c r="E7986" s="716">
        <v>151.21</v>
      </c>
      <c r="F7986" s="717">
        <v>4.5999999999999999E-3</v>
      </c>
      <c r="G7986">
        <f>VLOOKUP(B7986,'SINAPI-%MO'!B:E,4,0)</f>
        <v>0.13539999999999999</v>
      </c>
      <c r="H7986" s="225">
        <f t="shared" si="124"/>
        <v>130.72999999999999</v>
      </c>
    </row>
    <row r="7987" spans="1:8" x14ac:dyDescent="0.3">
      <c r="A7987" s="400"/>
      <c r="B7987" s="709">
        <v>87841</v>
      </c>
      <c r="C7987" s="710" t="s">
        <v>6576</v>
      </c>
      <c r="D7987" s="709" t="s">
        <v>168</v>
      </c>
      <c r="E7987" s="716">
        <v>137.43</v>
      </c>
      <c r="F7987" s="717">
        <v>0</v>
      </c>
      <c r="G7987">
        <f>VLOOKUP(B7987,'SINAPI-%MO'!B:E,4,0)</f>
        <v>0.14099999999999999</v>
      </c>
      <c r="H7987" s="225">
        <f t="shared" si="124"/>
        <v>118.05</v>
      </c>
    </row>
    <row r="7988" spans="1:8" x14ac:dyDescent="0.3">
      <c r="A7988" s="400"/>
      <c r="B7988" s="709">
        <v>87853</v>
      </c>
      <c r="C7988" s="710" t="s">
        <v>6577</v>
      </c>
      <c r="D7988" s="709" t="s">
        <v>168</v>
      </c>
      <c r="E7988" s="716">
        <v>153.62</v>
      </c>
      <c r="F7988" s="717">
        <v>7.4999999999999997E-3</v>
      </c>
      <c r="G7988">
        <f>VLOOKUP(B7988,'SINAPI-%MO'!B:E,4,0)</f>
        <v>0.14599999999999999</v>
      </c>
      <c r="H7988" s="225">
        <f t="shared" si="124"/>
        <v>131.19</v>
      </c>
    </row>
    <row r="7989" spans="1:8" x14ac:dyDescent="0.3">
      <c r="A7989" s="400"/>
      <c r="B7989" s="709">
        <v>105187</v>
      </c>
      <c r="C7989" s="710" t="s">
        <v>6578</v>
      </c>
      <c r="D7989" s="709" t="s">
        <v>168</v>
      </c>
      <c r="E7989" s="716">
        <v>206.71</v>
      </c>
      <c r="F7989" s="717">
        <v>3.3999999999999998E-3</v>
      </c>
      <c r="G7989">
        <f>VLOOKUP(B7989,'SINAPI-%MO'!B:E,4,0)</f>
        <v>0.1197</v>
      </c>
      <c r="H7989" s="225">
        <f t="shared" si="124"/>
        <v>181.96</v>
      </c>
    </row>
    <row r="7990" spans="1:8" x14ac:dyDescent="0.3">
      <c r="A7990" s="400"/>
      <c r="B7990" s="709">
        <v>87840</v>
      </c>
      <c r="C7990" s="710" t="s">
        <v>6579</v>
      </c>
      <c r="D7990" s="709" t="s">
        <v>168</v>
      </c>
      <c r="E7990" s="716">
        <v>192.92</v>
      </c>
      <c r="F7990" s="717">
        <v>0</v>
      </c>
      <c r="G7990">
        <f>VLOOKUP(B7990,'SINAPI-%MO'!B:E,4,0)</f>
        <v>0.1226</v>
      </c>
      <c r="H7990" s="225">
        <f t="shared" si="124"/>
        <v>169.26</v>
      </c>
    </row>
    <row r="7991" spans="1:8" x14ac:dyDescent="0.3">
      <c r="A7991" s="400"/>
      <c r="B7991" s="709">
        <v>87852</v>
      </c>
      <c r="C7991" s="710" t="s">
        <v>6580</v>
      </c>
      <c r="D7991" s="709" t="s">
        <v>168</v>
      </c>
      <c r="E7991" s="716">
        <v>209.12</v>
      </c>
      <c r="F7991" s="717">
        <v>5.4999999999999997E-3</v>
      </c>
      <c r="G7991">
        <f>VLOOKUP(B7991,'SINAPI-%MO'!B:E,4,0)</f>
        <v>0.12770000000000001</v>
      </c>
      <c r="H7991" s="225">
        <f t="shared" si="124"/>
        <v>182.41</v>
      </c>
    </row>
    <row r="7992" spans="1:8" x14ac:dyDescent="0.3">
      <c r="A7992" s="400"/>
      <c r="B7992" s="709">
        <v>105186</v>
      </c>
      <c r="C7992" s="710" t="s">
        <v>6581</v>
      </c>
      <c r="D7992" s="709" t="s">
        <v>168</v>
      </c>
      <c r="E7992" s="716">
        <v>158.55000000000001</v>
      </c>
      <c r="F7992" s="717">
        <v>4.4000000000000003E-3</v>
      </c>
      <c r="G7992">
        <f>VLOOKUP(B7992,'SINAPI-%MO'!B:E,4,0)</f>
        <v>0.1736</v>
      </c>
      <c r="H7992" s="225">
        <f t="shared" si="124"/>
        <v>131.02000000000001</v>
      </c>
    </row>
    <row r="7993" spans="1:8" x14ac:dyDescent="0.3">
      <c r="A7993" s="400"/>
      <c r="B7993" s="709">
        <v>87839</v>
      </c>
      <c r="C7993" s="710" t="s">
        <v>6582</v>
      </c>
      <c r="D7993" s="709" t="s">
        <v>168</v>
      </c>
      <c r="E7993" s="716">
        <v>144.91999999999999</v>
      </c>
      <c r="F7993" s="717">
        <v>0</v>
      </c>
      <c r="G7993">
        <f>VLOOKUP(B7993,'SINAPI-%MO'!B:E,4,0)</f>
        <v>0.18179999999999999</v>
      </c>
      <c r="H7993" s="225">
        <f t="shared" si="124"/>
        <v>118.57</v>
      </c>
    </row>
    <row r="7994" spans="1:8" x14ac:dyDescent="0.3">
      <c r="A7994" s="400"/>
      <c r="B7994" s="709">
        <v>87851</v>
      </c>
      <c r="C7994" s="710" t="s">
        <v>6583</v>
      </c>
      <c r="D7994" s="709" t="s">
        <v>168</v>
      </c>
      <c r="E7994" s="716">
        <v>161.72999999999999</v>
      </c>
      <c r="F7994" s="717">
        <v>7.1000000000000004E-3</v>
      </c>
      <c r="G7994">
        <f>VLOOKUP(B7994,'SINAPI-%MO'!B:E,4,0)</f>
        <v>0.187</v>
      </c>
      <c r="H7994" s="225">
        <f t="shared" si="124"/>
        <v>131.47999999999999</v>
      </c>
    </row>
    <row r="7995" spans="1:8" x14ac:dyDescent="0.3">
      <c r="A7995" s="400"/>
      <c r="B7995" s="709">
        <v>105185</v>
      </c>
      <c r="C7995" s="710" t="s">
        <v>6584</v>
      </c>
      <c r="D7995" s="709" t="s">
        <v>168</v>
      </c>
      <c r="E7995" s="716">
        <v>214.64</v>
      </c>
      <c r="F7995" s="717">
        <v>3.3E-3</v>
      </c>
      <c r="G7995">
        <f>VLOOKUP(B7995,'SINAPI-%MO'!B:E,4,0)</f>
        <v>0.1489</v>
      </c>
      <c r="H7995" s="225">
        <f t="shared" si="124"/>
        <v>182.68</v>
      </c>
    </row>
    <row r="7996" spans="1:8" x14ac:dyDescent="0.3">
      <c r="A7996" s="400"/>
      <c r="B7996" s="709">
        <v>87838</v>
      </c>
      <c r="C7996" s="710" t="s">
        <v>6585</v>
      </c>
      <c r="D7996" s="709" t="s">
        <v>168</v>
      </c>
      <c r="E7996" s="716">
        <v>201.07</v>
      </c>
      <c r="F7996" s="717">
        <v>0</v>
      </c>
      <c r="G7996">
        <f>VLOOKUP(B7996,'SINAPI-%MO'!B:E,4,0)</f>
        <v>0.15340000000000001</v>
      </c>
      <c r="H7996" s="225">
        <f t="shared" si="124"/>
        <v>170.22</v>
      </c>
    </row>
    <row r="7997" spans="1:8" x14ac:dyDescent="0.3">
      <c r="A7997" s="400"/>
      <c r="B7997" s="709">
        <v>87850</v>
      </c>
      <c r="C7997" s="710" t="s">
        <v>6586</v>
      </c>
      <c r="D7997" s="709" t="s">
        <v>168</v>
      </c>
      <c r="E7997" s="716">
        <v>217.87</v>
      </c>
      <c r="F7997" s="717">
        <v>5.3E-3</v>
      </c>
      <c r="G7997">
        <f>VLOOKUP(B7997,'SINAPI-%MO'!B:E,4,0)</f>
        <v>0.15939999999999999</v>
      </c>
      <c r="H7997" s="225">
        <f t="shared" si="124"/>
        <v>183.14</v>
      </c>
    </row>
    <row r="7998" spans="1:8" x14ac:dyDescent="0.3">
      <c r="A7998" s="400"/>
      <c r="B7998" s="709">
        <v>105110</v>
      </c>
      <c r="C7998" s="710" t="s">
        <v>6587</v>
      </c>
      <c r="D7998" s="709" t="s">
        <v>159</v>
      </c>
      <c r="E7998" s="716">
        <v>232.79</v>
      </c>
      <c r="F7998" s="717">
        <v>0</v>
      </c>
      <c r="G7998">
        <f>VLOOKUP(B7998,'SINAPI-%MO'!B:E,4,0)</f>
        <v>1</v>
      </c>
      <c r="H7998" s="225">
        <f t="shared" si="124"/>
        <v>0</v>
      </c>
    </row>
    <row r="7999" spans="1:8" x14ac:dyDescent="0.3">
      <c r="A7999" s="400"/>
      <c r="B7999" s="709">
        <v>105105</v>
      </c>
      <c r="C7999" s="710" t="s">
        <v>6588</v>
      </c>
      <c r="D7999" s="709" t="s">
        <v>159</v>
      </c>
      <c r="E7999" s="716">
        <v>76.78</v>
      </c>
      <c r="F7999" s="717">
        <v>0</v>
      </c>
      <c r="G7999">
        <f>VLOOKUP(B7999,'SINAPI-%MO'!B:E,4,0)</f>
        <v>1</v>
      </c>
      <c r="H7999" s="225">
        <f t="shared" si="124"/>
        <v>0</v>
      </c>
    </row>
    <row r="8000" spans="1:8" x14ac:dyDescent="0.3">
      <c r="A8000" s="400"/>
      <c r="B8000" s="709">
        <v>105103</v>
      </c>
      <c r="C8000" s="710" t="s">
        <v>6589</v>
      </c>
      <c r="D8000" s="709" t="s">
        <v>159</v>
      </c>
      <c r="E8000" s="716">
        <v>109.35</v>
      </c>
      <c r="F8000" s="717">
        <v>0</v>
      </c>
      <c r="G8000">
        <f>VLOOKUP(B8000,'SINAPI-%MO'!B:E,4,0)</f>
        <v>1</v>
      </c>
      <c r="H8000" s="225">
        <f t="shared" si="124"/>
        <v>0</v>
      </c>
    </row>
    <row r="8001" spans="1:8" x14ac:dyDescent="0.3">
      <c r="A8001" s="400"/>
      <c r="B8001" s="709">
        <v>105112</v>
      </c>
      <c r="C8001" s="710" t="s">
        <v>6590</v>
      </c>
      <c r="D8001" s="709" t="s">
        <v>159</v>
      </c>
      <c r="E8001" s="716">
        <v>194.42</v>
      </c>
      <c r="F8001" s="717">
        <v>0</v>
      </c>
      <c r="G8001">
        <f>VLOOKUP(B8001,'SINAPI-%MO'!B:E,4,0)</f>
        <v>1</v>
      </c>
      <c r="H8001" s="225">
        <f t="shared" si="124"/>
        <v>0</v>
      </c>
    </row>
    <row r="8002" spans="1:8" x14ac:dyDescent="0.3">
      <c r="A8002" s="400"/>
      <c r="B8002" s="709">
        <v>105109</v>
      </c>
      <c r="C8002" s="710" t="s">
        <v>6591</v>
      </c>
      <c r="D8002" s="709" t="s">
        <v>136</v>
      </c>
      <c r="E8002" s="716">
        <v>0</v>
      </c>
      <c r="F8002" s="717"/>
      <c r="G8002" t="e">
        <f>VLOOKUP(B8002,'SINAPI-%MO'!B:E,4,0)</f>
        <v>#N/A</v>
      </c>
      <c r="H8002" s="225" t="str">
        <f t="shared" si="124"/>
        <v/>
      </c>
    </row>
    <row r="8003" spans="1:8" x14ac:dyDescent="0.3">
      <c r="A8003" s="400"/>
      <c r="B8003" s="709">
        <v>105108</v>
      </c>
      <c r="C8003" s="710" t="s">
        <v>6592</v>
      </c>
      <c r="D8003" s="709" t="s">
        <v>136</v>
      </c>
      <c r="E8003" s="716">
        <v>0</v>
      </c>
      <c r="F8003" s="717"/>
      <c r="G8003" t="e">
        <f>VLOOKUP(B8003,'SINAPI-%MO'!B:E,4,0)</f>
        <v>#N/A</v>
      </c>
      <c r="H8003" s="225" t="str">
        <f t="shared" si="124"/>
        <v/>
      </c>
    </row>
    <row r="8004" spans="1:8" x14ac:dyDescent="0.3">
      <c r="A8004" s="400"/>
      <c r="B8004" s="709">
        <v>105104</v>
      </c>
      <c r="C8004" s="710" t="s">
        <v>6593</v>
      </c>
      <c r="D8004" s="709" t="s">
        <v>136</v>
      </c>
      <c r="E8004" s="716">
        <v>5107.74</v>
      </c>
      <c r="F8004" s="717">
        <v>0</v>
      </c>
      <c r="G8004">
        <f>VLOOKUP(B8004,'SINAPI-%MO'!B:E,4,0)</f>
        <v>0.57550000000000001</v>
      </c>
      <c r="H8004" s="225">
        <f t="shared" si="124"/>
        <v>2168.23</v>
      </c>
    </row>
    <row r="8005" spans="1:8" x14ac:dyDescent="0.3">
      <c r="A8005" s="400"/>
      <c r="B8005" s="709">
        <v>105107</v>
      </c>
      <c r="C8005" s="710" t="s">
        <v>6594</v>
      </c>
      <c r="D8005" s="709" t="s">
        <v>136</v>
      </c>
      <c r="E8005" s="716">
        <v>3675.62</v>
      </c>
      <c r="F8005" s="717">
        <v>0</v>
      </c>
      <c r="G8005">
        <f>VLOOKUP(B8005,'SINAPI-%MO'!B:E,4,0)</f>
        <v>1</v>
      </c>
      <c r="H8005" s="225">
        <f t="shared" si="124"/>
        <v>0</v>
      </c>
    </row>
    <row r="8006" spans="1:8" x14ac:dyDescent="0.3">
      <c r="A8006" s="400"/>
      <c r="B8006" s="709">
        <v>105106</v>
      </c>
      <c r="C8006" s="710" t="s">
        <v>6595</v>
      </c>
      <c r="D8006" s="709" t="s">
        <v>136</v>
      </c>
      <c r="E8006" s="716">
        <v>2489.2600000000002</v>
      </c>
      <c r="F8006" s="717">
        <v>0</v>
      </c>
      <c r="G8006">
        <f>VLOOKUP(B8006,'SINAPI-%MO'!B:E,4,0)</f>
        <v>1</v>
      </c>
      <c r="H8006" s="225">
        <f t="shared" si="124"/>
        <v>0</v>
      </c>
    </row>
    <row r="8007" spans="1:8" x14ac:dyDescent="0.3">
      <c r="A8007" s="400"/>
      <c r="B8007" s="709">
        <v>105111</v>
      </c>
      <c r="C8007" s="710" t="s">
        <v>6596</v>
      </c>
      <c r="D8007" s="709" t="s">
        <v>136</v>
      </c>
      <c r="E8007" s="716">
        <v>19373.91</v>
      </c>
      <c r="F8007" s="717">
        <v>0</v>
      </c>
      <c r="G8007">
        <f>VLOOKUP(B8007,'SINAPI-%MO'!B:E,4,0)</f>
        <v>0.46739999999999998</v>
      </c>
      <c r="H8007" s="225">
        <f t="shared" si="124"/>
        <v>10318.540000000001</v>
      </c>
    </row>
    <row r="8008" spans="1:8" x14ac:dyDescent="0.3">
      <c r="A8008" s="400"/>
      <c r="B8008" s="709">
        <v>98520</v>
      </c>
      <c r="C8008" s="710" t="s">
        <v>277</v>
      </c>
      <c r="D8008" s="709" t="s">
        <v>168</v>
      </c>
      <c r="E8008" s="716">
        <v>6.36</v>
      </c>
      <c r="F8008" s="717">
        <v>0</v>
      </c>
      <c r="G8008">
        <f>VLOOKUP(B8008,'SINAPI-%MO'!B:E,4,0)</f>
        <v>0.27360000000000001</v>
      </c>
      <c r="H8008" s="225">
        <f t="shared" si="124"/>
        <v>4.6100000000000003</v>
      </c>
    </row>
    <row r="8009" spans="1:8" x14ac:dyDescent="0.3">
      <c r="A8009" s="400"/>
      <c r="B8009" s="709">
        <v>98521</v>
      </c>
      <c r="C8009" s="710" t="s">
        <v>6597</v>
      </c>
      <c r="D8009" s="709" t="s">
        <v>168</v>
      </c>
      <c r="E8009" s="716">
        <v>0.38</v>
      </c>
      <c r="F8009" s="717">
        <v>0</v>
      </c>
      <c r="G8009">
        <f>VLOOKUP(B8009,'SINAPI-%MO'!B:E,4,0)</f>
        <v>0.92110000000000003</v>
      </c>
      <c r="H8009" s="225">
        <f t="shared" si="124"/>
        <v>0.02</v>
      </c>
    </row>
    <row r="8010" spans="1:8" x14ac:dyDescent="0.3">
      <c r="A8010" s="400"/>
      <c r="B8010" s="709">
        <v>105521</v>
      </c>
      <c r="C8010" s="710" t="s">
        <v>283</v>
      </c>
      <c r="D8010" s="709" t="s">
        <v>168</v>
      </c>
      <c r="E8010" s="716">
        <v>4.29</v>
      </c>
      <c r="F8010" s="717">
        <v>0</v>
      </c>
      <c r="G8010">
        <f>VLOOKUP(B8010,'SINAPI-%MO'!B:E,4,0)</f>
        <v>0.39629999999999999</v>
      </c>
      <c r="H8010" s="225">
        <f t="shared" si="124"/>
        <v>2.58</v>
      </c>
    </row>
    <row r="8011" spans="1:8" x14ac:dyDescent="0.3">
      <c r="A8011" s="400"/>
      <c r="B8011" s="709">
        <v>98509</v>
      </c>
      <c r="C8011" s="710" t="s">
        <v>6598</v>
      </c>
      <c r="D8011" s="709" t="s">
        <v>136</v>
      </c>
      <c r="E8011" s="716">
        <v>46.22</v>
      </c>
      <c r="F8011" s="717">
        <v>0</v>
      </c>
      <c r="G8011">
        <f>VLOOKUP(B8011,'SINAPI-%MO'!B:E,4,0)</f>
        <v>3.6299999999999999E-2</v>
      </c>
      <c r="H8011" s="225">
        <f t="shared" ref="H8011:H8074" si="125">IF(E8011&gt;0,TRUNC(E8011*(1-G8011),2),"")</f>
        <v>44.54</v>
      </c>
    </row>
    <row r="8012" spans="1:8" x14ac:dyDescent="0.3">
      <c r="A8012" s="400"/>
      <c r="B8012" s="709">
        <v>98507</v>
      </c>
      <c r="C8012" s="710" t="s">
        <v>6599</v>
      </c>
      <c r="D8012" s="709" t="s">
        <v>136</v>
      </c>
      <c r="E8012" s="716">
        <v>0</v>
      </c>
      <c r="F8012" s="717"/>
      <c r="G8012" t="e">
        <f>VLOOKUP(B8012,'SINAPI-%MO'!B:E,4,0)</f>
        <v>#N/A</v>
      </c>
      <c r="H8012" s="225" t="str">
        <f t="shared" si="125"/>
        <v/>
      </c>
    </row>
    <row r="8013" spans="1:8" x14ac:dyDescent="0.3">
      <c r="A8013" s="400"/>
      <c r="B8013" s="709">
        <v>98508</v>
      </c>
      <c r="C8013" s="710" t="s">
        <v>6600</v>
      </c>
      <c r="D8013" s="709" t="s">
        <v>136</v>
      </c>
      <c r="E8013" s="716">
        <v>0</v>
      </c>
      <c r="F8013" s="717"/>
      <c r="G8013" t="e">
        <f>VLOOKUP(B8013,'SINAPI-%MO'!B:E,4,0)</f>
        <v>#N/A</v>
      </c>
      <c r="H8013" s="225" t="str">
        <f t="shared" si="125"/>
        <v/>
      </c>
    </row>
    <row r="8014" spans="1:8" x14ac:dyDescent="0.3">
      <c r="A8014" s="400"/>
      <c r="B8014" s="709">
        <v>98506</v>
      </c>
      <c r="C8014" s="710" t="s">
        <v>6601</v>
      </c>
      <c r="D8014" s="709" t="s">
        <v>136</v>
      </c>
      <c r="E8014" s="716">
        <v>0</v>
      </c>
      <c r="F8014" s="717"/>
      <c r="G8014" t="e">
        <f>VLOOKUP(B8014,'SINAPI-%MO'!B:E,4,0)</f>
        <v>#N/A</v>
      </c>
      <c r="H8014" s="225" t="str">
        <f t="shared" si="125"/>
        <v/>
      </c>
    </row>
    <row r="8015" spans="1:8" x14ac:dyDescent="0.3">
      <c r="A8015" s="400"/>
      <c r="B8015" s="709">
        <v>98505</v>
      </c>
      <c r="C8015" s="710" t="s">
        <v>6602</v>
      </c>
      <c r="D8015" s="709" t="s">
        <v>168</v>
      </c>
      <c r="E8015" s="716">
        <v>70.400000000000006</v>
      </c>
      <c r="F8015" s="717">
        <v>0</v>
      </c>
      <c r="G8015">
        <f>VLOOKUP(B8015,'SINAPI-%MO'!B:E,4,0)</f>
        <v>0.11219999999999999</v>
      </c>
      <c r="H8015" s="225">
        <f t="shared" si="125"/>
        <v>62.5</v>
      </c>
    </row>
    <row r="8016" spans="1:8" x14ac:dyDescent="0.3">
      <c r="A8016" s="400"/>
      <c r="B8016" s="709">
        <v>98504</v>
      </c>
      <c r="C8016" s="710" t="s">
        <v>269</v>
      </c>
      <c r="D8016" s="709" t="s">
        <v>168</v>
      </c>
      <c r="E8016" s="716">
        <v>23.55</v>
      </c>
      <c r="F8016" s="717">
        <v>0</v>
      </c>
      <c r="G8016">
        <f>VLOOKUP(B8016,'SINAPI-%MO'!B:E,4,0)</f>
        <v>0.183</v>
      </c>
      <c r="H8016" s="225">
        <f t="shared" si="125"/>
        <v>19.239999999999998</v>
      </c>
    </row>
    <row r="8017" spans="1:8" x14ac:dyDescent="0.3">
      <c r="A8017" s="400"/>
      <c r="B8017" s="709">
        <v>98503</v>
      </c>
      <c r="C8017" s="710" t="s">
        <v>6603</v>
      </c>
      <c r="D8017" s="709" t="s">
        <v>168</v>
      </c>
      <c r="E8017" s="716">
        <v>31.45</v>
      </c>
      <c r="F8017" s="717">
        <v>0</v>
      </c>
      <c r="G8017">
        <f>VLOOKUP(B8017,'SINAPI-%MO'!B:E,4,0)</f>
        <v>0.16850000000000001</v>
      </c>
      <c r="H8017" s="225">
        <f t="shared" si="125"/>
        <v>26.15</v>
      </c>
    </row>
    <row r="8018" spans="1:8" x14ac:dyDescent="0.3">
      <c r="A8018" s="400"/>
      <c r="B8018" s="709">
        <v>103946</v>
      </c>
      <c r="C8018" s="710" t="s">
        <v>6604</v>
      </c>
      <c r="D8018" s="709" t="s">
        <v>168</v>
      </c>
      <c r="E8018" s="716">
        <v>31.26</v>
      </c>
      <c r="F8018" s="717">
        <v>0</v>
      </c>
      <c r="G8018">
        <f>VLOOKUP(B8018,'SINAPI-%MO'!B:E,4,0)</f>
        <v>0.13789999999999999</v>
      </c>
      <c r="H8018" s="225">
        <f t="shared" si="125"/>
        <v>26.94</v>
      </c>
    </row>
    <row r="8019" spans="1:8" x14ac:dyDescent="0.3">
      <c r="A8019" s="400"/>
      <c r="B8019" s="709">
        <v>98517</v>
      </c>
      <c r="C8019" s="710" t="s">
        <v>6605</v>
      </c>
      <c r="D8019" s="709" t="s">
        <v>136</v>
      </c>
      <c r="E8019" s="716">
        <v>0</v>
      </c>
      <c r="F8019" s="717"/>
      <c r="G8019" t="e">
        <f>VLOOKUP(B8019,'SINAPI-%MO'!B:E,4,0)</f>
        <v>#N/A</v>
      </c>
      <c r="H8019" s="225" t="str">
        <f t="shared" si="125"/>
        <v/>
      </c>
    </row>
    <row r="8020" spans="1:8" x14ac:dyDescent="0.3">
      <c r="A8020" s="400"/>
      <c r="B8020" s="709">
        <v>98518</v>
      </c>
      <c r="C8020" s="710" t="s">
        <v>6606</v>
      </c>
      <c r="D8020" s="709" t="s">
        <v>136</v>
      </c>
      <c r="E8020" s="716">
        <v>0</v>
      </c>
      <c r="F8020" s="717"/>
      <c r="G8020" t="e">
        <f>VLOOKUP(B8020,'SINAPI-%MO'!B:E,4,0)</f>
        <v>#N/A</v>
      </c>
      <c r="H8020" s="225" t="str">
        <f t="shared" si="125"/>
        <v/>
      </c>
    </row>
    <row r="8021" spans="1:8" x14ac:dyDescent="0.3">
      <c r="A8021" s="400"/>
      <c r="B8021" s="709">
        <v>98516</v>
      </c>
      <c r="C8021" s="710" t="s">
        <v>6607</v>
      </c>
      <c r="D8021" s="709" t="s">
        <v>136</v>
      </c>
      <c r="E8021" s="716">
        <v>327.84</v>
      </c>
      <c r="F8021" s="717">
        <v>0</v>
      </c>
      <c r="G8021">
        <f>VLOOKUP(B8021,'SINAPI-%MO'!B:E,4,0)</f>
        <v>0.40510000000000002</v>
      </c>
      <c r="H8021" s="225">
        <f t="shared" si="125"/>
        <v>195.03</v>
      </c>
    </row>
    <row r="8022" spans="1:8" x14ac:dyDescent="0.3">
      <c r="A8022" s="400"/>
      <c r="B8022" s="709">
        <v>98514</v>
      </c>
      <c r="C8022" s="710" t="s">
        <v>6608</v>
      </c>
      <c r="D8022" s="709" t="s">
        <v>136</v>
      </c>
      <c r="E8022" s="716">
        <v>0</v>
      </c>
      <c r="F8022" s="717"/>
      <c r="G8022" t="e">
        <f>VLOOKUP(B8022,'SINAPI-%MO'!B:E,4,0)</f>
        <v>#N/A</v>
      </c>
      <c r="H8022" s="225" t="str">
        <f t="shared" si="125"/>
        <v/>
      </c>
    </row>
    <row r="8023" spans="1:8" x14ac:dyDescent="0.3">
      <c r="A8023" s="400"/>
      <c r="B8023" s="709">
        <v>98515</v>
      </c>
      <c r="C8023" s="710" t="s">
        <v>6609</v>
      </c>
      <c r="D8023" s="709" t="s">
        <v>136</v>
      </c>
      <c r="E8023" s="716">
        <v>0</v>
      </c>
      <c r="F8023" s="717"/>
      <c r="G8023" t="e">
        <f>VLOOKUP(B8023,'SINAPI-%MO'!B:E,4,0)</f>
        <v>#N/A</v>
      </c>
      <c r="H8023" s="225" t="str">
        <f t="shared" si="125"/>
        <v/>
      </c>
    </row>
    <row r="8024" spans="1:8" x14ac:dyDescent="0.3">
      <c r="A8024" s="400"/>
      <c r="B8024" s="709">
        <v>98513</v>
      </c>
      <c r="C8024" s="710" t="s">
        <v>6610</v>
      </c>
      <c r="D8024" s="709" t="s">
        <v>136</v>
      </c>
      <c r="E8024" s="716">
        <v>0</v>
      </c>
      <c r="F8024" s="717"/>
      <c r="G8024" t="e">
        <f>VLOOKUP(B8024,'SINAPI-%MO'!B:E,4,0)</f>
        <v>#N/A</v>
      </c>
      <c r="H8024" s="225" t="str">
        <f t="shared" si="125"/>
        <v/>
      </c>
    </row>
    <row r="8025" spans="1:8" x14ac:dyDescent="0.3">
      <c r="A8025" s="400"/>
      <c r="B8025" s="709">
        <v>98511</v>
      </c>
      <c r="C8025" s="710" t="s">
        <v>6611</v>
      </c>
      <c r="D8025" s="709" t="s">
        <v>136</v>
      </c>
      <c r="E8025" s="716">
        <v>146.93</v>
      </c>
      <c r="F8025" s="717">
        <v>0</v>
      </c>
      <c r="G8025">
        <f>VLOOKUP(B8025,'SINAPI-%MO'!B:E,4,0)</f>
        <v>0.25690000000000002</v>
      </c>
      <c r="H8025" s="225">
        <f t="shared" si="125"/>
        <v>109.18</v>
      </c>
    </row>
    <row r="8026" spans="1:8" x14ac:dyDescent="0.3">
      <c r="A8026" s="400"/>
      <c r="B8026" s="709">
        <v>98512</v>
      </c>
      <c r="C8026" s="710" t="s">
        <v>6612</v>
      </c>
      <c r="D8026" s="709" t="s">
        <v>136</v>
      </c>
      <c r="E8026" s="716">
        <v>0</v>
      </c>
      <c r="F8026" s="717"/>
      <c r="G8026" t="e">
        <f>VLOOKUP(B8026,'SINAPI-%MO'!B:E,4,0)</f>
        <v>#N/A</v>
      </c>
      <c r="H8026" s="225" t="str">
        <f t="shared" si="125"/>
        <v/>
      </c>
    </row>
    <row r="8027" spans="1:8" x14ac:dyDescent="0.3">
      <c r="A8027" s="400"/>
      <c r="B8027" s="709">
        <v>98510</v>
      </c>
      <c r="C8027" s="710" t="s">
        <v>6613</v>
      </c>
      <c r="D8027" s="709" t="s">
        <v>136</v>
      </c>
      <c r="E8027" s="716">
        <v>86.17</v>
      </c>
      <c r="F8027" s="717">
        <v>0</v>
      </c>
      <c r="G8027">
        <f>VLOOKUP(B8027,'SINAPI-%MO'!B:E,4,0)</f>
        <v>0.3831</v>
      </c>
      <c r="H8027" s="225">
        <f t="shared" si="125"/>
        <v>53.15</v>
      </c>
    </row>
    <row r="8028" spans="1:8" x14ac:dyDescent="0.3">
      <c r="A8028" s="400"/>
      <c r="B8028" s="709">
        <v>98519</v>
      </c>
      <c r="C8028" s="710" t="s">
        <v>6614</v>
      </c>
      <c r="D8028" s="709" t="s">
        <v>168</v>
      </c>
      <c r="E8028" s="716">
        <v>4.3600000000000003</v>
      </c>
      <c r="F8028" s="717">
        <v>0</v>
      </c>
      <c r="G8028">
        <f>VLOOKUP(B8028,'SINAPI-%MO'!B:E,4,0)</f>
        <v>1</v>
      </c>
      <c r="H8028" s="225">
        <f t="shared" si="125"/>
        <v>0</v>
      </c>
    </row>
    <row r="8029" spans="1:8" x14ac:dyDescent="0.3">
      <c r="A8029" s="400"/>
      <c r="B8029" s="709">
        <v>91599</v>
      </c>
      <c r="C8029" s="710" t="s">
        <v>6615</v>
      </c>
      <c r="D8029" s="709" t="s">
        <v>175</v>
      </c>
      <c r="E8029" s="716">
        <v>8.26</v>
      </c>
      <c r="F8029" s="717">
        <v>0</v>
      </c>
      <c r="G8029">
        <f>VLOOKUP(B8029,'SINAPI-%MO'!B:E,4,0)</f>
        <v>5.6899999999999999E-2</v>
      </c>
      <c r="H8029" s="225">
        <f t="shared" si="125"/>
        <v>7.79</v>
      </c>
    </row>
    <row r="8030" spans="1:8" x14ac:dyDescent="0.3">
      <c r="A8030" s="400"/>
      <c r="B8030" s="709">
        <v>100065</v>
      </c>
      <c r="C8030" s="710" t="s">
        <v>6616</v>
      </c>
      <c r="D8030" s="709" t="s">
        <v>175</v>
      </c>
      <c r="E8030" s="716">
        <v>0</v>
      </c>
      <c r="F8030" s="717"/>
      <c r="G8030" t="e">
        <f>VLOOKUP(B8030,'SINAPI-%MO'!B:E,4,0)</f>
        <v>#N/A</v>
      </c>
      <c r="H8030" s="225" t="str">
        <f t="shared" si="125"/>
        <v/>
      </c>
    </row>
    <row r="8031" spans="1:8" x14ac:dyDescent="0.3">
      <c r="A8031" s="400"/>
      <c r="B8031" s="709">
        <v>100069</v>
      </c>
      <c r="C8031" s="710" t="s">
        <v>6617</v>
      </c>
      <c r="D8031" s="709" t="s">
        <v>175</v>
      </c>
      <c r="E8031" s="716">
        <v>0</v>
      </c>
      <c r="F8031" s="717"/>
      <c r="G8031" t="e">
        <f>VLOOKUP(B8031,'SINAPI-%MO'!B:E,4,0)</f>
        <v>#N/A</v>
      </c>
      <c r="H8031" s="225" t="str">
        <f t="shared" si="125"/>
        <v/>
      </c>
    </row>
    <row r="8032" spans="1:8" x14ac:dyDescent="0.3">
      <c r="A8032" s="400"/>
      <c r="B8032" s="709">
        <v>100063</v>
      </c>
      <c r="C8032" s="710" t="s">
        <v>6618</v>
      </c>
      <c r="D8032" s="709" t="s">
        <v>175</v>
      </c>
      <c r="E8032" s="716">
        <v>0</v>
      </c>
      <c r="F8032" s="717"/>
      <c r="G8032" t="e">
        <f>VLOOKUP(B8032,'SINAPI-%MO'!B:E,4,0)</f>
        <v>#N/A</v>
      </c>
      <c r="H8032" s="225" t="str">
        <f t="shared" si="125"/>
        <v/>
      </c>
    </row>
    <row r="8033" spans="1:8" x14ac:dyDescent="0.3">
      <c r="A8033" s="400"/>
      <c r="B8033" s="709">
        <v>91597</v>
      </c>
      <c r="C8033" s="710" t="s">
        <v>6619</v>
      </c>
      <c r="D8033" s="709" t="s">
        <v>175</v>
      </c>
      <c r="E8033" s="716">
        <v>7.96</v>
      </c>
      <c r="F8033" s="717">
        <v>0</v>
      </c>
      <c r="G8033">
        <f>VLOOKUP(B8033,'SINAPI-%MO'!B:E,4,0)</f>
        <v>4.65E-2</v>
      </c>
      <c r="H8033" s="225">
        <f t="shared" si="125"/>
        <v>7.58</v>
      </c>
    </row>
    <row r="8034" spans="1:8" x14ac:dyDescent="0.3">
      <c r="A8034" s="400"/>
      <c r="B8034" s="709">
        <v>91598</v>
      </c>
      <c r="C8034" s="710" t="s">
        <v>6620</v>
      </c>
      <c r="D8034" s="709" t="s">
        <v>175</v>
      </c>
      <c r="E8034" s="716">
        <v>10.59</v>
      </c>
      <c r="F8034" s="717">
        <v>0</v>
      </c>
      <c r="G8034">
        <f>VLOOKUP(B8034,'SINAPI-%MO'!B:E,4,0)</f>
        <v>4.0599999999999997E-2</v>
      </c>
      <c r="H8034" s="225">
        <f t="shared" si="125"/>
        <v>10.16</v>
      </c>
    </row>
    <row r="8035" spans="1:8" x14ac:dyDescent="0.3">
      <c r="A8035" s="400"/>
      <c r="B8035" s="709">
        <v>91596</v>
      </c>
      <c r="C8035" s="710" t="s">
        <v>6621</v>
      </c>
      <c r="D8035" s="709" t="s">
        <v>175</v>
      </c>
      <c r="E8035" s="716">
        <v>10.94</v>
      </c>
      <c r="F8035" s="717">
        <v>0</v>
      </c>
      <c r="G8035">
        <f>VLOOKUP(B8035,'SINAPI-%MO'!B:E,4,0)</f>
        <v>3.2000000000000001E-2</v>
      </c>
      <c r="H8035" s="225">
        <f t="shared" si="125"/>
        <v>10.58</v>
      </c>
    </row>
    <row r="8036" spans="1:8" x14ac:dyDescent="0.3">
      <c r="A8036" s="400"/>
      <c r="B8036" s="709">
        <v>100064</v>
      </c>
      <c r="C8036" s="710" t="s">
        <v>6622</v>
      </c>
      <c r="D8036" s="709" t="s">
        <v>175</v>
      </c>
      <c r="E8036" s="716">
        <v>10.88</v>
      </c>
      <c r="F8036" s="717">
        <v>0</v>
      </c>
      <c r="G8036">
        <f>VLOOKUP(B8036,'SINAPI-%MO'!B:E,4,0)</f>
        <v>2.8500000000000001E-2</v>
      </c>
      <c r="H8036" s="225">
        <f t="shared" si="125"/>
        <v>10.56</v>
      </c>
    </row>
    <row r="8037" spans="1:8" x14ac:dyDescent="0.3">
      <c r="A8037" s="400"/>
      <c r="B8037" s="709">
        <v>100066</v>
      </c>
      <c r="C8037" s="710" t="s">
        <v>6623</v>
      </c>
      <c r="D8037" s="709" t="s">
        <v>175</v>
      </c>
      <c r="E8037" s="716">
        <v>10.92</v>
      </c>
      <c r="F8037" s="717">
        <v>0</v>
      </c>
      <c r="G8037">
        <f>VLOOKUP(B8037,'SINAPI-%MO'!B:E,4,0)</f>
        <v>2.1999999999999999E-2</v>
      </c>
      <c r="H8037" s="225">
        <f t="shared" si="125"/>
        <v>10.67</v>
      </c>
    </row>
    <row r="8038" spans="1:8" x14ac:dyDescent="0.3">
      <c r="A8038" s="400"/>
      <c r="B8038" s="709">
        <v>91603</v>
      </c>
      <c r="C8038" s="710" t="s">
        <v>6624</v>
      </c>
      <c r="D8038" s="709" t="s">
        <v>175</v>
      </c>
      <c r="E8038" s="716">
        <v>9.25</v>
      </c>
      <c r="F8038" s="717">
        <v>0</v>
      </c>
      <c r="G8038">
        <f>VLOOKUP(B8038,'SINAPI-%MO'!B:E,4,0)</f>
        <v>0.1168</v>
      </c>
      <c r="H8038" s="225">
        <f t="shared" si="125"/>
        <v>8.16</v>
      </c>
    </row>
    <row r="8039" spans="1:8" x14ac:dyDescent="0.3">
      <c r="A8039" s="400"/>
      <c r="B8039" s="709">
        <v>100068</v>
      </c>
      <c r="C8039" s="710" t="s">
        <v>6625</v>
      </c>
      <c r="D8039" s="709" t="s">
        <v>175</v>
      </c>
      <c r="E8039" s="716">
        <v>7.94</v>
      </c>
      <c r="F8039" s="717">
        <v>0</v>
      </c>
      <c r="G8039">
        <f>VLOOKUP(B8039,'SINAPI-%MO'!B:E,4,0)</f>
        <v>0.1045</v>
      </c>
      <c r="H8039" s="225">
        <f t="shared" si="125"/>
        <v>7.11</v>
      </c>
    </row>
    <row r="8040" spans="1:8" x14ac:dyDescent="0.3">
      <c r="A8040" s="400"/>
      <c r="B8040" s="709">
        <v>100067</v>
      </c>
      <c r="C8040" s="710" t="s">
        <v>6626</v>
      </c>
      <c r="D8040" s="709" t="s">
        <v>175</v>
      </c>
      <c r="E8040" s="716">
        <v>11.34</v>
      </c>
      <c r="F8040" s="717">
        <v>0</v>
      </c>
      <c r="G8040">
        <f>VLOOKUP(B8040,'SINAPI-%MO'!B:E,4,0)</f>
        <v>0.3175</v>
      </c>
      <c r="H8040" s="225">
        <f t="shared" si="125"/>
        <v>7.73</v>
      </c>
    </row>
    <row r="8041" spans="1:8" x14ac:dyDescent="0.3">
      <c r="A8041" s="400"/>
      <c r="B8041" s="709">
        <v>91601</v>
      </c>
      <c r="C8041" s="710" t="s">
        <v>6627</v>
      </c>
      <c r="D8041" s="709" t="s">
        <v>175</v>
      </c>
      <c r="E8041" s="716">
        <v>11.49</v>
      </c>
      <c r="F8041" s="717">
        <v>0</v>
      </c>
      <c r="G8041">
        <f>VLOOKUP(B8041,'SINAPI-%MO'!B:E,4,0)</f>
        <v>0.25069999999999998</v>
      </c>
      <c r="H8041" s="225">
        <f t="shared" si="125"/>
        <v>8.6</v>
      </c>
    </row>
    <row r="8042" spans="1:8" x14ac:dyDescent="0.3">
      <c r="A8042" s="400"/>
      <c r="B8042" s="709">
        <v>91602</v>
      </c>
      <c r="C8042" s="710" t="s">
        <v>6628</v>
      </c>
      <c r="D8042" s="709" t="s">
        <v>175</v>
      </c>
      <c r="E8042" s="716">
        <v>10.49</v>
      </c>
      <c r="F8042" s="717">
        <v>0</v>
      </c>
      <c r="G8042">
        <f>VLOOKUP(B8042,'SINAPI-%MO'!B:E,4,0)</f>
        <v>0.1754</v>
      </c>
      <c r="H8042" s="225">
        <f t="shared" si="125"/>
        <v>8.65</v>
      </c>
    </row>
    <row r="8043" spans="1:8" x14ac:dyDescent="0.3">
      <c r="A8043" s="400"/>
      <c r="B8043" s="709">
        <v>91593</v>
      </c>
      <c r="C8043" s="710" t="s">
        <v>6629</v>
      </c>
      <c r="D8043" s="709" t="s">
        <v>175</v>
      </c>
      <c r="E8043" s="716">
        <v>11.06</v>
      </c>
      <c r="F8043" s="717">
        <v>0</v>
      </c>
      <c r="G8043">
        <f>VLOOKUP(B8043,'SINAPI-%MO'!B:E,4,0)</f>
        <v>5.0599999999999999E-2</v>
      </c>
      <c r="H8043" s="225">
        <f t="shared" si="125"/>
        <v>10.5</v>
      </c>
    </row>
    <row r="8044" spans="1:8" x14ac:dyDescent="0.3">
      <c r="A8044" s="400"/>
      <c r="B8044" s="709">
        <v>105814</v>
      </c>
      <c r="C8044" s="710" t="s">
        <v>6630</v>
      </c>
      <c r="D8044" s="709" t="s">
        <v>175</v>
      </c>
      <c r="E8044" s="716">
        <v>10.77</v>
      </c>
      <c r="F8044" s="717">
        <v>0</v>
      </c>
      <c r="G8044">
        <f>VLOOKUP(B8044,'SINAPI-%MO'!B:E,4,0)</f>
        <v>2.41E-2</v>
      </c>
      <c r="H8044" s="225">
        <f t="shared" si="125"/>
        <v>10.51</v>
      </c>
    </row>
    <row r="8045" spans="1:8" x14ac:dyDescent="0.3">
      <c r="A8045" s="400"/>
      <c r="B8045" s="709">
        <v>91594</v>
      </c>
      <c r="C8045" s="710" t="s">
        <v>6631</v>
      </c>
      <c r="D8045" s="709" t="s">
        <v>175</v>
      </c>
      <c r="E8045" s="716">
        <v>11.03</v>
      </c>
      <c r="F8045" s="717">
        <v>0</v>
      </c>
      <c r="G8045">
        <f>VLOOKUP(B8045,'SINAPI-%MO'!B:E,4,0)</f>
        <v>4.53E-2</v>
      </c>
      <c r="H8045" s="225">
        <f t="shared" si="125"/>
        <v>10.53</v>
      </c>
    </row>
    <row r="8046" spans="1:8" x14ac:dyDescent="0.3">
      <c r="A8046" s="400"/>
      <c r="B8046" s="709">
        <v>91595</v>
      </c>
      <c r="C8046" s="710" t="s">
        <v>6632</v>
      </c>
      <c r="D8046" s="709" t="s">
        <v>175</v>
      </c>
      <c r="E8046" s="716">
        <v>11.25</v>
      </c>
      <c r="F8046" s="717">
        <v>0</v>
      </c>
      <c r="G8046">
        <f>VLOOKUP(B8046,'SINAPI-%MO'!B:E,4,0)</f>
        <v>6.8400000000000002E-2</v>
      </c>
      <c r="H8046" s="225">
        <f t="shared" si="125"/>
        <v>10.48</v>
      </c>
    </row>
    <row r="8047" spans="1:8" x14ac:dyDescent="0.3">
      <c r="A8047" s="400"/>
      <c r="B8047" s="709">
        <v>105815</v>
      </c>
      <c r="C8047" s="710" t="s">
        <v>6633</v>
      </c>
      <c r="D8047" s="709" t="s">
        <v>175</v>
      </c>
      <c r="E8047" s="716">
        <v>0</v>
      </c>
      <c r="F8047" s="717"/>
      <c r="G8047" t="e">
        <f>VLOOKUP(B8047,'SINAPI-%MO'!B:E,4,0)</f>
        <v>#N/A</v>
      </c>
      <c r="H8047" s="225" t="str">
        <f t="shared" si="125"/>
        <v/>
      </c>
    </row>
    <row r="8048" spans="1:8" x14ac:dyDescent="0.3">
      <c r="A8048" s="400"/>
      <c r="B8048" s="709">
        <v>91600</v>
      </c>
      <c r="C8048" s="710" t="s">
        <v>6634</v>
      </c>
      <c r="D8048" s="709" t="s">
        <v>175</v>
      </c>
      <c r="E8048" s="716">
        <v>12.25</v>
      </c>
      <c r="F8048" s="717">
        <v>0</v>
      </c>
      <c r="G8048">
        <f>VLOOKUP(B8048,'SINAPI-%MO'!B:E,4,0)</f>
        <v>0.13139999999999999</v>
      </c>
      <c r="H8048" s="225">
        <f t="shared" si="125"/>
        <v>10.64</v>
      </c>
    </row>
    <row r="8049" spans="1:8" x14ac:dyDescent="0.3">
      <c r="A8049" s="400"/>
      <c r="B8049" s="709">
        <v>99235</v>
      </c>
      <c r="C8049" s="710" t="s">
        <v>6635</v>
      </c>
      <c r="D8049" s="709" t="s">
        <v>170</v>
      </c>
      <c r="E8049" s="716">
        <v>832.33</v>
      </c>
      <c r="F8049" s="717">
        <v>0</v>
      </c>
      <c r="G8049">
        <f>VLOOKUP(B8049,'SINAPI-%MO'!B:E,4,0)</f>
        <v>2.5399999999999999E-2</v>
      </c>
      <c r="H8049" s="225">
        <f t="shared" si="125"/>
        <v>811.18</v>
      </c>
    </row>
    <row r="8050" spans="1:8" x14ac:dyDescent="0.3">
      <c r="A8050" s="400"/>
      <c r="B8050" s="709">
        <v>105539</v>
      </c>
      <c r="C8050" s="710" t="s">
        <v>6636</v>
      </c>
      <c r="D8050" s="709" t="s">
        <v>170</v>
      </c>
      <c r="E8050" s="716">
        <v>0</v>
      </c>
      <c r="F8050" s="717"/>
      <c r="G8050" t="e">
        <f>VLOOKUP(B8050,'SINAPI-%MO'!B:E,4,0)</f>
        <v>#N/A</v>
      </c>
      <c r="H8050" s="225" t="str">
        <f t="shared" si="125"/>
        <v/>
      </c>
    </row>
    <row r="8051" spans="1:8" x14ac:dyDescent="0.3">
      <c r="A8051" s="400"/>
      <c r="B8051" s="709">
        <v>99439</v>
      </c>
      <c r="C8051" s="710" t="s">
        <v>6637</v>
      </c>
      <c r="D8051" s="709" t="s">
        <v>170</v>
      </c>
      <c r="E8051" s="716">
        <v>915.58</v>
      </c>
      <c r="F8051" s="717">
        <v>0</v>
      </c>
      <c r="G8051">
        <f>VLOOKUP(B8051,'SINAPI-%MO'!B:E,4,0)</f>
        <v>3.7199999999999997E-2</v>
      </c>
      <c r="H8051" s="225">
        <f t="shared" si="125"/>
        <v>881.52</v>
      </c>
    </row>
    <row r="8052" spans="1:8" x14ac:dyDescent="0.3">
      <c r="A8052" s="400"/>
      <c r="B8052" s="709">
        <v>105540</v>
      </c>
      <c r="C8052" s="710" t="s">
        <v>6638</v>
      </c>
      <c r="D8052" s="709" t="s">
        <v>170</v>
      </c>
      <c r="E8052" s="716">
        <v>0</v>
      </c>
      <c r="F8052" s="717"/>
      <c r="G8052" t="e">
        <f>VLOOKUP(B8052,'SINAPI-%MO'!B:E,4,0)</f>
        <v>#N/A</v>
      </c>
      <c r="H8052" s="225" t="str">
        <f t="shared" si="125"/>
        <v/>
      </c>
    </row>
    <row r="8053" spans="1:8" x14ac:dyDescent="0.3">
      <c r="A8053" s="400"/>
      <c r="B8053" s="709">
        <v>103184</v>
      </c>
      <c r="C8053" s="710" t="s">
        <v>6639</v>
      </c>
      <c r="D8053" s="709" t="s">
        <v>170</v>
      </c>
      <c r="E8053" s="716">
        <v>855.74</v>
      </c>
      <c r="F8053" s="717">
        <v>0</v>
      </c>
      <c r="G8053">
        <f>VLOOKUP(B8053,'SINAPI-%MO'!B:E,4,0)</f>
        <v>5.1999999999999998E-2</v>
      </c>
      <c r="H8053" s="225">
        <f t="shared" si="125"/>
        <v>811.24</v>
      </c>
    </row>
    <row r="8054" spans="1:8" x14ac:dyDescent="0.3">
      <c r="A8054" s="400"/>
      <c r="B8054" s="709">
        <v>103183</v>
      </c>
      <c r="C8054" s="710" t="s">
        <v>6640</v>
      </c>
      <c r="D8054" s="709" t="s">
        <v>170</v>
      </c>
      <c r="E8054" s="716">
        <v>997.55</v>
      </c>
      <c r="F8054" s="717">
        <v>0</v>
      </c>
      <c r="G8054">
        <f>VLOOKUP(B8054,'SINAPI-%MO'!B:E,4,0)</f>
        <v>0.11609999999999999</v>
      </c>
      <c r="H8054" s="225">
        <f t="shared" si="125"/>
        <v>881.73</v>
      </c>
    </row>
    <row r="8055" spans="1:8" x14ac:dyDescent="0.3">
      <c r="A8055" s="400"/>
      <c r="B8055" s="709">
        <v>99434</v>
      </c>
      <c r="C8055" s="710" t="s">
        <v>6641</v>
      </c>
      <c r="D8055" s="709" t="s">
        <v>170</v>
      </c>
      <c r="E8055" s="716">
        <v>931.36</v>
      </c>
      <c r="F8055" s="717">
        <v>0</v>
      </c>
      <c r="G8055">
        <f>VLOOKUP(B8055,'SINAPI-%MO'!B:E,4,0)</f>
        <v>3.9600000000000003E-2</v>
      </c>
      <c r="H8055" s="225">
        <f t="shared" si="125"/>
        <v>894.47</v>
      </c>
    </row>
    <row r="8056" spans="1:8" x14ac:dyDescent="0.3">
      <c r="A8056" s="400"/>
      <c r="B8056" s="709">
        <v>99431</v>
      </c>
      <c r="C8056" s="710" t="s">
        <v>6642</v>
      </c>
      <c r="D8056" s="709" t="s">
        <v>170</v>
      </c>
      <c r="E8056" s="716">
        <v>927.25</v>
      </c>
      <c r="F8056" s="717">
        <v>0</v>
      </c>
      <c r="G8056">
        <f>VLOOKUP(B8056,'SINAPI-%MO'!B:E,4,0)</f>
        <v>3.5400000000000001E-2</v>
      </c>
      <c r="H8056" s="225">
        <f t="shared" si="125"/>
        <v>894.42</v>
      </c>
    </row>
    <row r="8057" spans="1:8" x14ac:dyDescent="0.3">
      <c r="A8057" s="400"/>
      <c r="B8057" s="709">
        <v>99435</v>
      </c>
      <c r="C8057" s="710" t="s">
        <v>6643</v>
      </c>
      <c r="D8057" s="709" t="s">
        <v>170</v>
      </c>
      <c r="E8057" s="716">
        <v>909.46</v>
      </c>
      <c r="F8057" s="717">
        <v>0</v>
      </c>
      <c r="G8057">
        <f>VLOOKUP(B8057,'SINAPI-%MO'!B:E,4,0)</f>
        <v>3.6999999999999998E-2</v>
      </c>
      <c r="H8057" s="225">
        <f t="shared" si="125"/>
        <v>875.8</v>
      </c>
    </row>
    <row r="8058" spans="1:8" x14ac:dyDescent="0.3">
      <c r="A8058" s="400"/>
      <c r="B8058" s="709">
        <v>99432</v>
      </c>
      <c r="C8058" s="710" t="s">
        <v>6644</v>
      </c>
      <c r="D8058" s="709" t="s">
        <v>170</v>
      </c>
      <c r="E8058" s="716">
        <v>906.5</v>
      </c>
      <c r="F8058" s="717">
        <v>0</v>
      </c>
      <c r="G8058">
        <f>VLOOKUP(B8058,'SINAPI-%MO'!B:E,4,0)</f>
        <v>3.3799999999999997E-2</v>
      </c>
      <c r="H8058" s="225">
        <f t="shared" si="125"/>
        <v>875.86</v>
      </c>
    </row>
    <row r="8059" spans="1:8" x14ac:dyDescent="0.3">
      <c r="A8059" s="400"/>
      <c r="B8059" s="709">
        <v>99438</v>
      </c>
      <c r="C8059" s="710" t="s">
        <v>6645</v>
      </c>
      <c r="D8059" s="709" t="s">
        <v>170</v>
      </c>
      <c r="E8059" s="716">
        <v>892.28</v>
      </c>
      <c r="F8059" s="717">
        <v>0</v>
      </c>
      <c r="G8059">
        <f>VLOOKUP(B8059,'SINAPI-%MO'!B:E,4,0)</f>
        <v>3.9100000000000003E-2</v>
      </c>
      <c r="H8059" s="225">
        <f t="shared" si="125"/>
        <v>857.39</v>
      </c>
    </row>
    <row r="8060" spans="1:8" x14ac:dyDescent="0.3">
      <c r="A8060" s="400"/>
      <c r="B8060" s="709">
        <v>105538</v>
      </c>
      <c r="C8060" s="710" t="s">
        <v>6646</v>
      </c>
      <c r="D8060" s="709" t="s">
        <v>170</v>
      </c>
      <c r="E8060" s="716">
        <v>0</v>
      </c>
      <c r="F8060" s="717"/>
      <c r="G8060" t="e">
        <f>VLOOKUP(B8060,'SINAPI-%MO'!B:E,4,0)</f>
        <v>#N/A</v>
      </c>
      <c r="H8060" s="225" t="str">
        <f t="shared" si="125"/>
        <v/>
      </c>
    </row>
    <row r="8061" spans="1:8" x14ac:dyDescent="0.3">
      <c r="A8061" s="400"/>
      <c r="B8061" s="709">
        <v>99436</v>
      </c>
      <c r="C8061" s="710" t="s">
        <v>6647</v>
      </c>
      <c r="D8061" s="709" t="s">
        <v>170</v>
      </c>
      <c r="E8061" s="716">
        <v>1004.67</v>
      </c>
      <c r="F8061" s="717">
        <v>0</v>
      </c>
      <c r="G8061">
        <f>VLOOKUP(B8061,'SINAPI-%MO'!B:E,4,0)</f>
        <v>7.2499999999999995E-2</v>
      </c>
      <c r="H8061" s="225">
        <f t="shared" si="125"/>
        <v>931.83</v>
      </c>
    </row>
    <row r="8062" spans="1:8" x14ac:dyDescent="0.3">
      <c r="A8062" s="400"/>
      <c r="B8062" s="709">
        <v>99437</v>
      </c>
      <c r="C8062" s="710" t="s">
        <v>6648</v>
      </c>
      <c r="D8062" s="709" t="s">
        <v>170</v>
      </c>
      <c r="E8062" s="716">
        <v>884.57</v>
      </c>
      <c r="F8062" s="717">
        <v>0</v>
      </c>
      <c r="G8062">
        <f>VLOOKUP(B8062,'SINAPI-%MO'!B:E,4,0)</f>
        <v>3.0700000000000002E-2</v>
      </c>
      <c r="H8062" s="225">
        <f t="shared" si="125"/>
        <v>857.41</v>
      </c>
    </row>
    <row r="8063" spans="1:8" x14ac:dyDescent="0.3">
      <c r="A8063" s="400"/>
      <c r="B8063" s="709">
        <v>105537</v>
      </c>
      <c r="C8063" s="710" t="s">
        <v>6649</v>
      </c>
      <c r="D8063" s="709" t="s">
        <v>170</v>
      </c>
      <c r="E8063" s="716">
        <v>0</v>
      </c>
      <c r="F8063" s="717"/>
      <c r="G8063" t="e">
        <f>VLOOKUP(B8063,'SINAPI-%MO'!B:E,4,0)</f>
        <v>#N/A</v>
      </c>
      <c r="H8063" s="225" t="str">
        <f t="shared" si="125"/>
        <v/>
      </c>
    </row>
    <row r="8064" spans="1:8" x14ac:dyDescent="0.3">
      <c r="A8064" s="400"/>
      <c r="B8064" s="709">
        <v>99433</v>
      </c>
      <c r="C8064" s="710" t="s">
        <v>6650</v>
      </c>
      <c r="D8064" s="709" t="s">
        <v>170</v>
      </c>
      <c r="E8064" s="716">
        <v>981.15</v>
      </c>
      <c r="F8064" s="717">
        <v>0</v>
      </c>
      <c r="G8064">
        <f>VLOOKUP(B8064,'SINAPI-%MO'!B:E,4,0)</f>
        <v>5.04E-2</v>
      </c>
      <c r="H8064" s="225">
        <f t="shared" si="125"/>
        <v>931.7</v>
      </c>
    </row>
    <row r="8065" spans="1:8" x14ac:dyDescent="0.3">
      <c r="A8065" s="400"/>
      <c r="B8065" s="709">
        <v>104422</v>
      </c>
      <c r="C8065" s="710" t="s">
        <v>6651</v>
      </c>
      <c r="D8065" s="709" t="s">
        <v>168</v>
      </c>
      <c r="E8065" s="716">
        <v>10.84</v>
      </c>
      <c r="F8065" s="717">
        <v>0</v>
      </c>
      <c r="G8065">
        <f>VLOOKUP(B8065,'SINAPI-%MO'!B:E,4,0)</f>
        <v>0.60699999999999998</v>
      </c>
      <c r="H8065" s="225">
        <f t="shared" si="125"/>
        <v>4.26</v>
      </c>
    </row>
    <row r="8066" spans="1:8" x14ac:dyDescent="0.3">
      <c r="A8066" s="400"/>
      <c r="B8066" s="709">
        <v>105824</v>
      </c>
      <c r="C8066" s="710" t="s">
        <v>6652</v>
      </c>
      <c r="D8066" s="709" t="s">
        <v>168</v>
      </c>
      <c r="E8066" s="716">
        <v>14.05</v>
      </c>
      <c r="F8066" s="717">
        <v>0</v>
      </c>
      <c r="G8066">
        <f>VLOOKUP(B8066,'SINAPI-%MO'!B:E,4,0)</f>
        <v>0.46829999999999999</v>
      </c>
      <c r="H8066" s="225">
        <f t="shared" si="125"/>
        <v>7.47</v>
      </c>
    </row>
    <row r="8067" spans="1:8" x14ac:dyDescent="0.3">
      <c r="A8067" s="400"/>
      <c r="B8067" s="709">
        <v>105825</v>
      </c>
      <c r="C8067" s="710" t="s">
        <v>6653</v>
      </c>
      <c r="D8067" s="709" t="s">
        <v>168</v>
      </c>
      <c r="E8067" s="716">
        <v>7.32</v>
      </c>
      <c r="F8067" s="717">
        <v>0</v>
      </c>
      <c r="G8067">
        <f>VLOOKUP(B8067,'SINAPI-%MO'!B:E,4,0)</f>
        <v>0.92210000000000003</v>
      </c>
      <c r="H8067" s="225">
        <f t="shared" si="125"/>
        <v>0.56999999999999995</v>
      </c>
    </row>
    <row r="8068" spans="1:8" x14ac:dyDescent="0.3">
      <c r="A8068" s="400"/>
      <c r="B8068" s="709">
        <v>104421</v>
      </c>
      <c r="C8068" s="710" t="s">
        <v>6654</v>
      </c>
      <c r="D8068" s="709" t="s">
        <v>168</v>
      </c>
      <c r="E8068" s="716">
        <v>16.64</v>
      </c>
      <c r="F8068" s="717">
        <v>0</v>
      </c>
      <c r="G8068">
        <f>VLOOKUP(B8068,'SINAPI-%MO'!B:E,4,0)</f>
        <v>0.74399999999999999</v>
      </c>
      <c r="H8068" s="225">
        <f t="shared" si="125"/>
        <v>4.25</v>
      </c>
    </row>
    <row r="8069" spans="1:8" x14ac:dyDescent="0.3">
      <c r="A8069" s="400"/>
      <c r="B8069" s="709">
        <v>105822</v>
      </c>
      <c r="C8069" s="710" t="s">
        <v>6655</v>
      </c>
      <c r="D8069" s="709" t="s">
        <v>168</v>
      </c>
      <c r="E8069" s="716">
        <v>19.850000000000001</v>
      </c>
      <c r="F8069" s="717">
        <v>0</v>
      </c>
      <c r="G8069">
        <f>VLOOKUP(B8069,'SINAPI-%MO'!B:E,4,0)</f>
        <v>0.62370000000000003</v>
      </c>
      <c r="H8069" s="225">
        <f t="shared" si="125"/>
        <v>7.46</v>
      </c>
    </row>
    <row r="8070" spans="1:8" x14ac:dyDescent="0.3">
      <c r="A8070" s="400"/>
      <c r="B8070" s="709">
        <v>105823</v>
      </c>
      <c r="C8070" s="710" t="s">
        <v>6656</v>
      </c>
      <c r="D8070" s="709" t="s">
        <v>168</v>
      </c>
      <c r="E8070" s="716">
        <v>13.12</v>
      </c>
      <c r="F8070" s="717">
        <v>0</v>
      </c>
      <c r="G8070">
        <f>VLOOKUP(B8070,'SINAPI-%MO'!B:E,4,0)</f>
        <v>0.95660000000000001</v>
      </c>
      <c r="H8070" s="225">
        <f t="shared" si="125"/>
        <v>0.56000000000000005</v>
      </c>
    </row>
    <row r="8071" spans="1:8" x14ac:dyDescent="0.3">
      <c r="A8071" s="400"/>
      <c r="B8071" s="709">
        <v>104423</v>
      </c>
      <c r="C8071" s="710" t="s">
        <v>6657</v>
      </c>
      <c r="D8071" s="709" t="s">
        <v>168</v>
      </c>
      <c r="E8071" s="716">
        <v>14.91</v>
      </c>
      <c r="F8071" s="717">
        <v>0</v>
      </c>
      <c r="G8071">
        <f>VLOOKUP(B8071,'SINAPI-%MO'!B:E,4,0)</f>
        <v>0.71430000000000005</v>
      </c>
      <c r="H8071" s="225">
        <f t="shared" si="125"/>
        <v>4.25</v>
      </c>
    </row>
    <row r="8072" spans="1:8" x14ac:dyDescent="0.3">
      <c r="A8072" s="400"/>
      <c r="B8072" s="709">
        <v>105826</v>
      </c>
      <c r="C8072" s="710" t="s">
        <v>6658</v>
      </c>
      <c r="D8072" s="709" t="s">
        <v>168</v>
      </c>
      <c r="E8072" s="716">
        <v>18.12</v>
      </c>
      <c r="F8072" s="717">
        <v>0</v>
      </c>
      <c r="G8072">
        <f>VLOOKUP(B8072,'SINAPI-%MO'!B:E,4,0)</f>
        <v>0.5877</v>
      </c>
      <c r="H8072" s="225">
        <f t="shared" si="125"/>
        <v>7.47</v>
      </c>
    </row>
    <row r="8073" spans="1:8" x14ac:dyDescent="0.3">
      <c r="A8073" s="400"/>
      <c r="B8073" s="709">
        <v>105827</v>
      </c>
      <c r="C8073" s="710" t="s">
        <v>6659</v>
      </c>
      <c r="D8073" s="709" t="s">
        <v>168</v>
      </c>
      <c r="E8073" s="716">
        <v>11.39</v>
      </c>
      <c r="F8073" s="717">
        <v>0</v>
      </c>
      <c r="G8073">
        <f>VLOOKUP(B8073,'SINAPI-%MO'!B:E,4,0)</f>
        <v>0.95</v>
      </c>
      <c r="H8073" s="225">
        <f t="shared" si="125"/>
        <v>0.56000000000000005</v>
      </c>
    </row>
    <row r="8074" spans="1:8" x14ac:dyDescent="0.3">
      <c r="A8074" s="400"/>
      <c r="B8074" s="709">
        <v>104425</v>
      </c>
      <c r="C8074" s="710" t="s">
        <v>6660</v>
      </c>
      <c r="D8074" s="709" t="s">
        <v>168</v>
      </c>
      <c r="E8074" s="716">
        <v>9.07</v>
      </c>
      <c r="F8074" s="717">
        <v>0</v>
      </c>
      <c r="G8074">
        <f>VLOOKUP(B8074,'SINAPI-%MO'!B:E,4,0)</f>
        <v>0.53029999999999999</v>
      </c>
      <c r="H8074" s="225">
        <f t="shared" si="125"/>
        <v>4.26</v>
      </c>
    </row>
    <row r="8075" spans="1:8" x14ac:dyDescent="0.3">
      <c r="A8075" s="400"/>
      <c r="B8075" s="709">
        <v>105828</v>
      </c>
      <c r="C8075" s="710" t="s">
        <v>6661</v>
      </c>
      <c r="D8075" s="709" t="s">
        <v>168</v>
      </c>
      <c r="E8075" s="716">
        <v>12.28</v>
      </c>
      <c r="F8075" s="717">
        <v>0</v>
      </c>
      <c r="G8075">
        <f>VLOOKUP(B8075,'SINAPI-%MO'!B:E,4,0)</f>
        <v>0.39169999999999999</v>
      </c>
      <c r="H8075" s="225">
        <f t="shared" ref="H8075:H8138" si="126">IF(E8075&gt;0,TRUNC(E8075*(1-G8075),2),"")</f>
        <v>7.46</v>
      </c>
    </row>
    <row r="8076" spans="1:8" x14ac:dyDescent="0.3">
      <c r="A8076" s="400"/>
      <c r="B8076" s="709">
        <v>105829</v>
      </c>
      <c r="C8076" s="710" t="s">
        <v>6662</v>
      </c>
      <c r="D8076" s="709" t="s">
        <v>168</v>
      </c>
      <c r="E8076" s="716">
        <v>5.55</v>
      </c>
      <c r="F8076" s="717">
        <v>0</v>
      </c>
      <c r="G8076">
        <f>VLOOKUP(B8076,'SINAPI-%MO'!B:E,4,0)</f>
        <v>0.89729999999999999</v>
      </c>
      <c r="H8076" s="225">
        <f t="shared" si="126"/>
        <v>0.56000000000000005</v>
      </c>
    </row>
    <row r="8077" spans="1:8" x14ac:dyDescent="0.3">
      <c r="A8077" s="400"/>
      <c r="B8077" s="709">
        <v>91525</v>
      </c>
      <c r="C8077" s="710" t="s">
        <v>6663</v>
      </c>
      <c r="D8077" s="709" t="s">
        <v>168</v>
      </c>
      <c r="E8077" s="716">
        <v>7.67</v>
      </c>
      <c r="F8077" s="717">
        <v>0</v>
      </c>
      <c r="G8077">
        <f>VLOOKUP(B8077,'SINAPI-%MO'!B:E,4,0)</f>
        <v>0.66359999999999997</v>
      </c>
      <c r="H8077" s="225">
        <f t="shared" si="126"/>
        <v>2.58</v>
      </c>
    </row>
    <row r="8078" spans="1:8" x14ac:dyDescent="0.3">
      <c r="A8078" s="400"/>
      <c r="B8078" s="709">
        <v>105818</v>
      </c>
      <c r="C8078" s="710" t="s">
        <v>6664</v>
      </c>
      <c r="D8078" s="709" t="s">
        <v>168</v>
      </c>
      <c r="E8078" s="716">
        <v>12.56</v>
      </c>
      <c r="F8078" s="717">
        <v>0</v>
      </c>
      <c r="G8078">
        <f>VLOOKUP(B8078,'SINAPI-%MO'!B:E,4,0)</f>
        <v>0.40529999999999999</v>
      </c>
      <c r="H8078" s="225">
        <f t="shared" si="126"/>
        <v>7.46</v>
      </c>
    </row>
    <row r="8079" spans="1:8" x14ac:dyDescent="0.3">
      <c r="A8079" s="400"/>
      <c r="B8079" s="709">
        <v>105819</v>
      </c>
      <c r="C8079" s="710" t="s">
        <v>6665</v>
      </c>
      <c r="D8079" s="709" t="s">
        <v>168</v>
      </c>
      <c r="E8079" s="716">
        <v>5.8</v>
      </c>
      <c r="F8079" s="717">
        <v>0</v>
      </c>
      <c r="G8079">
        <f>VLOOKUP(B8079,'SINAPI-%MO'!B:E,4,0)</f>
        <v>0.90859999999999996</v>
      </c>
      <c r="H8079" s="225">
        <f t="shared" si="126"/>
        <v>0.53</v>
      </c>
    </row>
    <row r="8080" spans="1:8" x14ac:dyDescent="0.3">
      <c r="A8080" s="400"/>
      <c r="B8080" s="709">
        <v>104414</v>
      </c>
      <c r="C8080" s="710" t="s">
        <v>6666</v>
      </c>
      <c r="D8080" s="709" t="s">
        <v>168</v>
      </c>
      <c r="E8080" s="716">
        <v>6.76</v>
      </c>
      <c r="F8080" s="717">
        <v>0</v>
      </c>
      <c r="G8080">
        <f>VLOOKUP(B8080,'SINAPI-%MO'!B:E,4,0)</f>
        <v>0.61829999999999996</v>
      </c>
      <c r="H8080" s="225">
        <f t="shared" si="126"/>
        <v>2.58</v>
      </c>
    </row>
    <row r="8081" spans="1:8" x14ac:dyDescent="0.3">
      <c r="A8081" s="400"/>
      <c r="B8081" s="709">
        <v>105816</v>
      </c>
      <c r="C8081" s="710" t="s">
        <v>6667</v>
      </c>
      <c r="D8081" s="709" t="s">
        <v>168</v>
      </c>
      <c r="E8081" s="716">
        <v>11.65</v>
      </c>
      <c r="F8081" s="717">
        <v>0</v>
      </c>
      <c r="G8081">
        <f>VLOOKUP(B8081,'SINAPI-%MO'!B:E,4,0)</f>
        <v>0.35880000000000001</v>
      </c>
      <c r="H8081" s="225">
        <f t="shared" si="126"/>
        <v>7.46</v>
      </c>
    </row>
    <row r="8082" spans="1:8" x14ac:dyDescent="0.3">
      <c r="A8082" s="400"/>
      <c r="B8082" s="709">
        <v>105817</v>
      </c>
      <c r="C8082" s="710" t="s">
        <v>6668</v>
      </c>
      <c r="D8082" s="709" t="s">
        <v>168</v>
      </c>
      <c r="E8082" s="716">
        <v>4.8899999999999997</v>
      </c>
      <c r="F8082" s="717">
        <v>0</v>
      </c>
      <c r="G8082">
        <f>VLOOKUP(B8082,'SINAPI-%MO'!B:E,4,0)</f>
        <v>0.89159999999999995</v>
      </c>
      <c r="H8082" s="225">
        <f t="shared" si="126"/>
        <v>0.53</v>
      </c>
    </row>
    <row r="8083" spans="1:8" x14ac:dyDescent="0.3">
      <c r="A8083" s="400"/>
      <c r="B8083" s="709">
        <v>104415</v>
      </c>
      <c r="C8083" s="710" t="s">
        <v>6669</v>
      </c>
      <c r="D8083" s="709" t="s">
        <v>168</v>
      </c>
      <c r="E8083" s="716">
        <v>12.46</v>
      </c>
      <c r="F8083" s="717">
        <v>0</v>
      </c>
      <c r="G8083">
        <f>VLOOKUP(B8083,'SINAPI-%MO'!B:E,4,0)</f>
        <v>0.79290000000000005</v>
      </c>
      <c r="H8083" s="225">
        <f t="shared" si="126"/>
        <v>2.58</v>
      </c>
    </row>
    <row r="8084" spans="1:8" x14ac:dyDescent="0.3">
      <c r="A8084" s="400"/>
      <c r="B8084" s="709">
        <v>105820</v>
      </c>
      <c r="C8084" s="710" t="s">
        <v>6670</v>
      </c>
      <c r="D8084" s="709" t="s">
        <v>168</v>
      </c>
      <c r="E8084" s="716">
        <v>17.350000000000001</v>
      </c>
      <c r="F8084" s="717">
        <v>0</v>
      </c>
      <c r="G8084">
        <f>VLOOKUP(B8084,'SINAPI-%MO'!B:E,4,0)</f>
        <v>0.56950000000000001</v>
      </c>
      <c r="H8084" s="225">
        <f t="shared" si="126"/>
        <v>7.46</v>
      </c>
    </row>
    <row r="8085" spans="1:8" x14ac:dyDescent="0.3">
      <c r="A8085" s="400"/>
      <c r="B8085" s="709">
        <v>105821</v>
      </c>
      <c r="C8085" s="710" t="s">
        <v>6671</v>
      </c>
      <c r="D8085" s="709" t="s">
        <v>168</v>
      </c>
      <c r="E8085" s="716">
        <v>10.59</v>
      </c>
      <c r="F8085" s="717">
        <v>0</v>
      </c>
      <c r="G8085">
        <f>VLOOKUP(B8085,'SINAPI-%MO'!B:E,4,0)</f>
        <v>0.95</v>
      </c>
      <c r="H8085" s="225">
        <f t="shared" si="126"/>
        <v>0.52</v>
      </c>
    </row>
    <row r="8086" spans="1:8" x14ac:dyDescent="0.3">
      <c r="A8086" s="400"/>
      <c r="B8086" s="709">
        <v>104418</v>
      </c>
      <c r="C8086" s="710" t="s">
        <v>6672</v>
      </c>
      <c r="D8086" s="709" t="s">
        <v>168</v>
      </c>
      <c r="E8086" s="716">
        <v>2.91</v>
      </c>
      <c r="F8086" s="717">
        <v>0</v>
      </c>
      <c r="G8086">
        <f>VLOOKUP(B8086,'SINAPI-%MO'!B:E,4,0)</f>
        <v>0.93130000000000002</v>
      </c>
      <c r="H8086" s="225">
        <f t="shared" si="126"/>
        <v>0.19</v>
      </c>
    </row>
    <row r="8087" spans="1:8" x14ac:dyDescent="0.3">
      <c r="A8087" s="400"/>
      <c r="B8087" s="709">
        <v>91515</v>
      </c>
      <c r="C8087" s="710" t="s">
        <v>6673</v>
      </c>
      <c r="D8087" s="709" t="s">
        <v>168</v>
      </c>
      <c r="E8087" s="716">
        <v>5.34</v>
      </c>
      <c r="F8087" s="717">
        <v>0</v>
      </c>
      <c r="G8087">
        <f>VLOOKUP(B8087,'SINAPI-%MO'!B:E,4,0)</f>
        <v>0.96250000000000002</v>
      </c>
      <c r="H8087" s="225">
        <f t="shared" si="126"/>
        <v>0.2</v>
      </c>
    </row>
    <row r="8088" spans="1:8" x14ac:dyDescent="0.3">
      <c r="A8088" s="400"/>
      <c r="B8088" s="709">
        <v>104419</v>
      </c>
      <c r="C8088" s="710" t="s">
        <v>6674</v>
      </c>
      <c r="D8088" s="709" t="s">
        <v>168</v>
      </c>
      <c r="E8088" s="716">
        <v>4.62</v>
      </c>
      <c r="F8088" s="717">
        <v>0</v>
      </c>
      <c r="G8088">
        <f>VLOOKUP(B8088,'SINAPI-%MO'!B:E,4,0)</f>
        <v>0.95669999999999999</v>
      </c>
      <c r="H8088" s="225">
        <f t="shared" si="126"/>
        <v>0.2</v>
      </c>
    </row>
    <row r="8089" spans="1:8" x14ac:dyDescent="0.3">
      <c r="A8089" s="400"/>
      <c r="B8089" s="709">
        <v>91519</v>
      </c>
      <c r="C8089" s="710" t="s">
        <v>6675</v>
      </c>
      <c r="D8089" s="709" t="s">
        <v>168</v>
      </c>
      <c r="E8089" s="716">
        <v>2.2200000000000002</v>
      </c>
      <c r="F8089" s="717">
        <v>0</v>
      </c>
      <c r="G8089">
        <f>VLOOKUP(B8089,'SINAPI-%MO'!B:E,4,0)</f>
        <v>0.90990000000000004</v>
      </c>
      <c r="H8089" s="225">
        <f t="shared" si="126"/>
        <v>0.2</v>
      </c>
    </row>
    <row r="8090" spans="1:8" x14ac:dyDescent="0.3">
      <c r="A8090" s="400"/>
      <c r="B8090" s="709">
        <v>91520</v>
      </c>
      <c r="C8090" s="710" t="s">
        <v>6676</v>
      </c>
      <c r="D8090" s="709" t="s">
        <v>168</v>
      </c>
      <c r="E8090" s="716">
        <v>2.25</v>
      </c>
      <c r="F8090" s="717">
        <v>0</v>
      </c>
      <c r="G8090">
        <f>VLOOKUP(B8090,'SINAPI-%MO'!B:E,4,0)</f>
        <v>0.94669999999999999</v>
      </c>
      <c r="H8090" s="225">
        <f t="shared" si="126"/>
        <v>0.11</v>
      </c>
    </row>
    <row r="8091" spans="1:8" x14ac:dyDescent="0.3">
      <c r="A8091" s="400"/>
      <c r="B8091" s="709">
        <v>104416</v>
      </c>
      <c r="C8091" s="710" t="s">
        <v>6677</v>
      </c>
      <c r="D8091" s="709" t="s">
        <v>168</v>
      </c>
      <c r="E8091" s="716">
        <v>1.86</v>
      </c>
      <c r="F8091" s="717">
        <v>0</v>
      </c>
      <c r="G8091">
        <f>VLOOKUP(B8091,'SINAPI-%MO'!B:E,4,0)</f>
        <v>0.9355</v>
      </c>
      <c r="H8091" s="225">
        <f t="shared" si="126"/>
        <v>0.11</v>
      </c>
    </row>
    <row r="8092" spans="1:8" x14ac:dyDescent="0.3">
      <c r="A8092" s="400"/>
      <c r="B8092" s="709">
        <v>104417</v>
      </c>
      <c r="C8092" s="710" t="s">
        <v>6678</v>
      </c>
      <c r="D8092" s="709" t="s">
        <v>168</v>
      </c>
      <c r="E8092" s="716">
        <v>4.21</v>
      </c>
      <c r="F8092" s="717">
        <v>0</v>
      </c>
      <c r="G8092">
        <f>VLOOKUP(B8092,'SINAPI-%MO'!B:E,4,0)</f>
        <v>0.97150000000000003</v>
      </c>
      <c r="H8092" s="225">
        <f t="shared" si="126"/>
        <v>0.11</v>
      </c>
    </row>
    <row r="8093" spans="1:8" x14ac:dyDescent="0.3">
      <c r="A8093" s="400"/>
      <c r="B8093" s="709">
        <v>91522</v>
      </c>
      <c r="C8093" s="710" t="s">
        <v>6679</v>
      </c>
      <c r="D8093" s="709" t="s">
        <v>168</v>
      </c>
      <c r="E8093" s="716">
        <v>3.79</v>
      </c>
      <c r="F8093" s="717">
        <v>0</v>
      </c>
      <c r="G8093">
        <f>VLOOKUP(B8093,'SINAPI-%MO'!B:E,4,0)</f>
        <v>0.96830000000000005</v>
      </c>
      <c r="H8093" s="225">
        <f t="shared" si="126"/>
        <v>0.12</v>
      </c>
    </row>
    <row r="8094" spans="1:8" x14ac:dyDescent="0.3">
      <c r="A8094" s="400"/>
      <c r="B8094" s="709">
        <v>104412</v>
      </c>
      <c r="C8094" s="710" t="s">
        <v>6680</v>
      </c>
      <c r="D8094" s="709" t="s">
        <v>168</v>
      </c>
      <c r="E8094" s="716">
        <v>3.4</v>
      </c>
      <c r="F8094" s="717">
        <v>0</v>
      </c>
      <c r="G8094">
        <f>VLOOKUP(B8094,'SINAPI-%MO'!B:E,4,0)</f>
        <v>0.9647</v>
      </c>
      <c r="H8094" s="225">
        <f t="shared" si="126"/>
        <v>0.12</v>
      </c>
    </row>
    <row r="8095" spans="1:8" x14ac:dyDescent="0.3">
      <c r="A8095" s="400"/>
      <c r="B8095" s="709">
        <v>104413</v>
      </c>
      <c r="C8095" s="710" t="s">
        <v>6681</v>
      </c>
      <c r="D8095" s="709" t="s">
        <v>168</v>
      </c>
      <c r="E8095" s="716">
        <v>5.79</v>
      </c>
      <c r="F8095" s="717">
        <v>0</v>
      </c>
      <c r="G8095">
        <f>VLOOKUP(B8095,'SINAPI-%MO'!B:E,4,0)</f>
        <v>0.97929999999999995</v>
      </c>
      <c r="H8095" s="225">
        <f t="shared" si="126"/>
        <v>0.11</v>
      </c>
    </row>
    <row r="8096" spans="1:8" x14ac:dyDescent="0.3">
      <c r="A8096" s="400"/>
      <c r="B8096" s="709">
        <v>102569</v>
      </c>
      <c r="C8096" s="710" t="s">
        <v>6682</v>
      </c>
      <c r="D8096" s="709" t="s">
        <v>168</v>
      </c>
      <c r="E8096" s="716">
        <v>0</v>
      </c>
      <c r="F8096" s="717"/>
      <c r="G8096" t="e">
        <f>VLOOKUP(B8096,'SINAPI-%MO'!B:E,4,0)</f>
        <v>#N/A</v>
      </c>
      <c r="H8096" s="225" t="str">
        <f t="shared" si="126"/>
        <v/>
      </c>
    </row>
    <row r="8097" spans="1:8" x14ac:dyDescent="0.3">
      <c r="A8097" s="400"/>
      <c r="B8097" s="709">
        <v>102574</v>
      </c>
      <c r="C8097" s="710" t="s">
        <v>6683</v>
      </c>
      <c r="D8097" s="709" t="s">
        <v>168</v>
      </c>
      <c r="E8097" s="716">
        <v>0</v>
      </c>
      <c r="F8097" s="717"/>
      <c r="G8097" t="e">
        <f>VLOOKUP(B8097,'SINAPI-%MO'!B:E,4,0)</f>
        <v>#N/A</v>
      </c>
      <c r="H8097" s="225" t="str">
        <f t="shared" si="126"/>
        <v/>
      </c>
    </row>
    <row r="8098" spans="1:8" x14ac:dyDescent="0.3">
      <c r="A8098" s="400"/>
      <c r="B8098" s="709">
        <v>102573</v>
      </c>
      <c r="C8098" s="710" t="s">
        <v>6684</v>
      </c>
      <c r="D8098" s="709" t="s">
        <v>168</v>
      </c>
      <c r="E8098" s="716">
        <v>0</v>
      </c>
      <c r="F8098" s="717"/>
      <c r="G8098" t="e">
        <f>VLOOKUP(B8098,'SINAPI-%MO'!B:E,4,0)</f>
        <v>#N/A</v>
      </c>
      <c r="H8098" s="225" t="str">
        <f t="shared" si="126"/>
        <v/>
      </c>
    </row>
    <row r="8099" spans="1:8" x14ac:dyDescent="0.3">
      <c r="A8099" s="400"/>
      <c r="B8099" s="709">
        <v>102577</v>
      </c>
      <c r="C8099" s="710" t="s">
        <v>6685</v>
      </c>
      <c r="D8099" s="709" t="s">
        <v>168</v>
      </c>
      <c r="E8099" s="716">
        <v>0</v>
      </c>
      <c r="F8099" s="717"/>
      <c r="G8099" t="e">
        <f>VLOOKUP(B8099,'SINAPI-%MO'!B:E,4,0)</f>
        <v>#N/A</v>
      </c>
      <c r="H8099" s="225" t="str">
        <f t="shared" si="126"/>
        <v/>
      </c>
    </row>
    <row r="8100" spans="1:8" x14ac:dyDescent="0.3">
      <c r="A8100" s="400"/>
      <c r="B8100" s="709">
        <v>102576</v>
      </c>
      <c r="C8100" s="710" t="s">
        <v>6686</v>
      </c>
      <c r="D8100" s="709" t="s">
        <v>168</v>
      </c>
      <c r="E8100" s="716">
        <v>0</v>
      </c>
      <c r="F8100" s="717"/>
      <c r="G8100" t="e">
        <f>VLOOKUP(B8100,'SINAPI-%MO'!B:E,4,0)</f>
        <v>#N/A</v>
      </c>
      <c r="H8100" s="225" t="str">
        <f t="shared" si="126"/>
        <v/>
      </c>
    </row>
    <row r="8101" spans="1:8" x14ac:dyDescent="0.3">
      <c r="A8101" s="400"/>
      <c r="B8101" s="709">
        <v>103083</v>
      </c>
      <c r="C8101" s="710" t="s">
        <v>6687</v>
      </c>
      <c r="D8101" s="709" t="s">
        <v>168</v>
      </c>
      <c r="E8101" s="716">
        <v>0</v>
      </c>
      <c r="F8101" s="717"/>
      <c r="G8101" t="e">
        <f>VLOOKUP(B8101,'SINAPI-%MO'!B:E,4,0)</f>
        <v>#N/A</v>
      </c>
      <c r="H8101" s="225" t="str">
        <f t="shared" si="126"/>
        <v/>
      </c>
    </row>
    <row r="8102" spans="1:8" x14ac:dyDescent="0.3">
      <c r="A8102" s="400"/>
      <c r="B8102" s="709">
        <v>103081</v>
      </c>
      <c r="C8102" s="710" t="s">
        <v>6688</v>
      </c>
      <c r="D8102" s="709" t="s">
        <v>168</v>
      </c>
      <c r="E8102" s="716">
        <v>0</v>
      </c>
      <c r="F8102" s="717"/>
      <c r="G8102" t="e">
        <f>VLOOKUP(B8102,'SINAPI-%MO'!B:E,4,0)</f>
        <v>#N/A</v>
      </c>
      <c r="H8102" s="225" t="str">
        <f t="shared" si="126"/>
        <v/>
      </c>
    </row>
    <row r="8103" spans="1:8" x14ac:dyDescent="0.3">
      <c r="A8103" s="400"/>
      <c r="B8103" s="709">
        <v>103082</v>
      </c>
      <c r="C8103" s="710" t="s">
        <v>6689</v>
      </c>
      <c r="D8103" s="709" t="s">
        <v>168</v>
      </c>
      <c r="E8103" s="716">
        <v>0</v>
      </c>
      <c r="F8103" s="717"/>
      <c r="G8103" t="e">
        <f>VLOOKUP(B8103,'SINAPI-%MO'!B:E,4,0)</f>
        <v>#N/A</v>
      </c>
      <c r="H8103" s="225" t="str">
        <f t="shared" si="126"/>
        <v/>
      </c>
    </row>
    <row r="8104" spans="1:8" x14ac:dyDescent="0.3">
      <c r="A8104" s="400"/>
      <c r="B8104" s="709">
        <v>103086</v>
      </c>
      <c r="C8104" s="710" t="s">
        <v>6690</v>
      </c>
      <c r="D8104" s="709" t="s">
        <v>168</v>
      </c>
      <c r="E8104" s="716">
        <v>0</v>
      </c>
      <c r="F8104" s="717"/>
      <c r="G8104" t="e">
        <f>VLOOKUP(B8104,'SINAPI-%MO'!B:E,4,0)</f>
        <v>#N/A</v>
      </c>
      <c r="H8104" s="225" t="str">
        <f t="shared" si="126"/>
        <v/>
      </c>
    </row>
    <row r="8105" spans="1:8" x14ac:dyDescent="0.3">
      <c r="A8105" s="400"/>
      <c r="B8105" s="709">
        <v>103085</v>
      </c>
      <c r="C8105" s="710" t="s">
        <v>6691</v>
      </c>
      <c r="D8105" s="709" t="s">
        <v>168</v>
      </c>
      <c r="E8105" s="716">
        <v>0</v>
      </c>
      <c r="F8105" s="717"/>
      <c r="G8105" t="e">
        <f>VLOOKUP(B8105,'SINAPI-%MO'!B:E,4,0)</f>
        <v>#N/A</v>
      </c>
      <c r="H8105" s="225" t="str">
        <f t="shared" si="126"/>
        <v/>
      </c>
    </row>
    <row r="8106" spans="1:8" x14ac:dyDescent="0.3">
      <c r="A8106" s="400"/>
      <c r="B8106" s="709">
        <v>104726</v>
      </c>
      <c r="C8106" s="710" t="s">
        <v>6692</v>
      </c>
      <c r="D8106" s="709" t="s">
        <v>168</v>
      </c>
      <c r="E8106" s="716">
        <v>0</v>
      </c>
      <c r="F8106" s="717"/>
      <c r="G8106" t="e">
        <f>VLOOKUP(B8106,'SINAPI-%MO'!B:E,4,0)</f>
        <v>#N/A</v>
      </c>
      <c r="H8106" s="225" t="str">
        <f t="shared" si="126"/>
        <v/>
      </c>
    </row>
    <row r="8107" spans="1:8" x14ac:dyDescent="0.3">
      <c r="A8107" s="400"/>
      <c r="B8107" s="709">
        <v>104725</v>
      </c>
      <c r="C8107" s="710" t="s">
        <v>6693</v>
      </c>
      <c r="D8107" s="709" t="s">
        <v>168</v>
      </c>
      <c r="E8107" s="716">
        <v>0</v>
      </c>
      <c r="F8107" s="717"/>
      <c r="G8107" t="e">
        <f>VLOOKUP(B8107,'SINAPI-%MO'!B:E,4,0)</f>
        <v>#N/A</v>
      </c>
      <c r="H8107" s="225" t="str">
        <f t="shared" si="126"/>
        <v/>
      </c>
    </row>
    <row r="8108" spans="1:8" x14ac:dyDescent="0.3">
      <c r="A8108" s="400"/>
      <c r="B8108" s="709">
        <v>96374</v>
      </c>
      <c r="C8108" s="710" t="s">
        <v>6694</v>
      </c>
      <c r="D8108" s="709" t="s">
        <v>159</v>
      </c>
      <c r="E8108" s="716">
        <v>30.56</v>
      </c>
      <c r="F8108" s="717">
        <v>5.5E-2</v>
      </c>
      <c r="G8108">
        <f>VLOOKUP(B8108,'SINAPI-%MO'!B:E,4,0)</f>
        <v>0.10050000000000001</v>
      </c>
      <c r="H8108" s="225">
        <f t="shared" si="126"/>
        <v>27.48</v>
      </c>
    </row>
    <row r="8109" spans="1:8" x14ac:dyDescent="0.3">
      <c r="A8109" s="400"/>
      <c r="B8109" s="709">
        <v>96373</v>
      </c>
      <c r="C8109" s="710" t="s">
        <v>6695</v>
      </c>
      <c r="D8109" s="709" t="s">
        <v>159</v>
      </c>
      <c r="E8109" s="716">
        <v>11.71</v>
      </c>
      <c r="F8109" s="717">
        <v>0.14349999999999999</v>
      </c>
      <c r="G8109">
        <f>VLOOKUP(B8109,'SINAPI-%MO'!B:E,4,0)</f>
        <v>0.21179999999999999</v>
      </c>
      <c r="H8109" s="225">
        <f t="shared" si="126"/>
        <v>9.2200000000000006</v>
      </c>
    </row>
    <row r="8110" spans="1:8" x14ac:dyDescent="0.3">
      <c r="A8110" s="400"/>
      <c r="B8110" s="709">
        <v>96368</v>
      </c>
      <c r="C8110" s="710" t="s">
        <v>6696</v>
      </c>
      <c r="D8110" s="709" t="s">
        <v>168</v>
      </c>
      <c r="E8110" s="716">
        <v>205.02</v>
      </c>
      <c r="F8110" s="717">
        <v>2.9899999999999999E-2</v>
      </c>
      <c r="G8110">
        <f>VLOOKUP(B8110,'SINAPI-%MO'!B:E,4,0)</f>
        <v>0.14680000000000001</v>
      </c>
      <c r="H8110" s="225">
        <f t="shared" si="126"/>
        <v>174.92</v>
      </c>
    </row>
    <row r="8111" spans="1:8" x14ac:dyDescent="0.3">
      <c r="A8111" s="400"/>
      <c r="B8111" s="709">
        <v>96364</v>
      </c>
      <c r="C8111" s="710" t="s">
        <v>6697</v>
      </c>
      <c r="D8111" s="709" t="s">
        <v>168</v>
      </c>
      <c r="E8111" s="716">
        <v>171.75</v>
      </c>
      <c r="F8111" s="717">
        <v>2.3400000000000001E-2</v>
      </c>
      <c r="G8111">
        <f>VLOOKUP(B8111,'SINAPI-%MO'!B:E,4,0)</f>
        <v>0.15479999999999999</v>
      </c>
      <c r="H8111" s="225">
        <f t="shared" si="126"/>
        <v>145.16</v>
      </c>
    </row>
    <row r="8112" spans="1:8" x14ac:dyDescent="0.3">
      <c r="A8112" s="400"/>
      <c r="B8112" s="709">
        <v>96369</v>
      </c>
      <c r="C8112" s="710" t="s">
        <v>6698</v>
      </c>
      <c r="D8112" s="709" t="s">
        <v>168</v>
      </c>
      <c r="E8112" s="716">
        <v>228.8</v>
      </c>
      <c r="F8112" s="717">
        <v>2.69E-2</v>
      </c>
      <c r="G8112">
        <f>VLOOKUP(B8112,'SINAPI-%MO'!B:E,4,0)</f>
        <v>0.15559999999999999</v>
      </c>
      <c r="H8112" s="225">
        <f t="shared" si="126"/>
        <v>193.19</v>
      </c>
    </row>
    <row r="8113" spans="1:8" x14ac:dyDescent="0.3">
      <c r="A8113" s="400"/>
      <c r="B8113" s="709">
        <v>104723</v>
      </c>
      <c r="C8113" s="710" t="s">
        <v>6699</v>
      </c>
      <c r="D8113" s="709" t="s">
        <v>168</v>
      </c>
      <c r="E8113" s="716">
        <v>270.87</v>
      </c>
      <c r="F8113" s="717">
        <v>2.3300000000000001E-2</v>
      </c>
      <c r="G8113">
        <f>VLOOKUP(B8113,'SINAPI-%MO'!B:E,4,0)</f>
        <v>0.1736</v>
      </c>
      <c r="H8113" s="225">
        <f t="shared" si="126"/>
        <v>223.84</v>
      </c>
    </row>
    <row r="8114" spans="1:8" x14ac:dyDescent="0.3">
      <c r="A8114" s="400"/>
      <c r="B8114" s="709">
        <v>96367</v>
      </c>
      <c r="C8114" s="710" t="s">
        <v>6700</v>
      </c>
      <c r="D8114" s="709" t="s">
        <v>168</v>
      </c>
      <c r="E8114" s="716">
        <v>188.63</v>
      </c>
      <c r="F8114" s="717">
        <v>3.2599999999999997E-2</v>
      </c>
      <c r="G8114">
        <f>VLOOKUP(B8114,'SINAPI-%MO'!B:E,4,0)</f>
        <v>0.16259999999999999</v>
      </c>
      <c r="H8114" s="225">
        <f t="shared" si="126"/>
        <v>157.94999999999999</v>
      </c>
    </row>
    <row r="8115" spans="1:8" x14ac:dyDescent="0.3">
      <c r="A8115" s="400"/>
      <c r="B8115" s="709">
        <v>104722</v>
      </c>
      <c r="C8115" s="710" t="s">
        <v>6701</v>
      </c>
      <c r="D8115" s="709" t="s">
        <v>168</v>
      </c>
      <c r="E8115" s="716">
        <v>212.74</v>
      </c>
      <c r="F8115" s="717">
        <v>2.9700000000000001E-2</v>
      </c>
      <c r="G8115">
        <f>VLOOKUP(B8115,'SINAPI-%MO'!B:E,4,0)</f>
        <v>0.18509999999999999</v>
      </c>
      <c r="H8115" s="225">
        <f t="shared" si="126"/>
        <v>173.36</v>
      </c>
    </row>
    <row r="8116" spans="1:8" x14ac:dyDescent="0.3">
      <c r="A8116" s="400"/>
      <c r="B8116" s="709">
        <v>96366</v>
      </c>
      <c r="C8116" s="710" t="s">
        <v>6702</v>
      </c>
      <c r="D8116" s="709" t="s">
        <v>168</v>
      </c>
      <c r="E8116" s="716">
        <v>175.39</v>
      </c>
      <c r="F8116" s="717">
        <v>3.5000000000000003E-2</v>
      </c>
      <c r="G8116">
        <f>VLOOKUP(B8116,'SINAPI-%MO'!B:E,4,0)</f>
        <v>0.1515</v>
      </c>
      <c r="H8116" s="225">
        <f t="shared" si="126"/>
        <v>148.81</v>
      </c>
    </row>
    <row r="8117" spans="1:8" x14ac:dyDescent="0.3">
      <c r="A8117" s="400"/>
      <c r="B8117" s="709">
        <v>96361</v>
      </c>
      <c r="C8117" s="710" t="s">
        <v>6703</v>
      </c>
      <c r="D8117" s="709" t="s">
        <v>168</v>
      </c>
      <c r="E8117" s="716">
        <v>160.93</v>
      </c>
      <c r="F8117" s="717">
        <v>1.1900000000000001E-2</v>
      </c>
      <c r="G8117">
        <f>VLOOKUP(B8117,'SINAPI-%MO'!B:E,4,0)</f>
        <v>0.16930000000000001</v>
      </c>
      <c r="H8117" s="225">
        <f t="shared" si="126"/>
        <v>133.68</v>
      </c>
    </row>
    <row r="8118" spans="1:8" x14ac:dyDescent="0.3">
      <c r="A8118" s="400"/>
      <c r="B8118" s="709">
        <v>104719</v>
      </c>
      <c r="C8118" s="710" t="s">
        <v>6704</v>
      </c>
      <c r="D8118" s="709" t="s">
        <v>168</v>
      </c>
      <c r="E8118" s="716">
        <v>200.31</v>
      </c>
      <c r="F8118" s="717">
        <v>1.04E-2</v>
      </c>
      <c r="G8118">
        <f>VLOOKUP(B8118,'SINAPI-%MO'!B:E,4,0)</f>
        <v>0.17960000000000001</v>
      </c>
      <c r="H8118" s="225">
        <f t="shared" si="126"/>
        <v>164.33</v>
      </c>
    </row>
    <row r="8119" spans="1:8" x14ac:dyDescent="0.3">
      <c r="A8119" s="400"/>
      <c r="B8119" s="709">
        <v>96360</v>
      </c>
      <c r="C8119" s="710" t="s">
        <v>6705</v>
      </c>
      <c r="D8119" s="709" t="s">
        <v>168</v>
      </c>
      <c r="E8119" s="716">
        <v>138.51</v>
      </c>
      <c r="F8119" s="717">
        <v>1.38E-2</v>
      </c>
      <c r="G8119">
        <f>VLOOKUP(B8119,'SINAPI-%MO'!B:E,4,0)</f>
        <v>0.16669999999999999</v>
      </c>
      <c r="H8119" s="225">
        <f t="shared" si="126"/>
        <v>115.42</v>
      </c>
    </row>
    <row r="8120" spans="1:8" x14ac:dyDescent="0.3">
      <c r="A8120" s="400"/>
      <c r="B8120" s="709">
        <v>96359</v>
      </c>
      <c r="C8120" s="710" t="s">
        <v>6706</v>
      </c>
      <c r="D8120" s="709" t="s">
        <v>168</v>
      </c>
      <c r="E8120" s="716">
        <v>120.8</v>
      </c>
      <c r="F8120" s="717">
        <v>1.5900000000000001E-2</v>
      </c>
      <c r="G8120">
        <f>VLOOKUP(B8120,'SINAPI-%MO'!B:E,4,0)</f>
        <v>0.18509999999999999</v>
      </c>
      <c r="H8120" s="225">
        <f t="shared" si="126"/>
        <v>98.43</v>
      </c>
    </row>
    <row r="8121" spans="1:8" x14ac:dyDescent="0.3">
      <c r="A8121" s="400"/>
      <c r="B8121" s="709">
        <v>104718</v>
      </c>
      <c r="C8121" s="710" t="s">
        <v>6707</v>
      </c>
      <c r="D8121" s="709" t="s">
        <v>168</v>
      </c>
      <c r="E8121" s="716">
        <v>142.19</v>
      </c>
      <c r="F8121" s="717">
        <v>1.47E-2</v>
      </c>
      <c r="G8121">
        <f>VLOOKUP(B8121,'SINAPI-%MO'!B:E,4,0)</f>
        <v>0.19919999999999999</v>
      </c>
      <c r="H8121" s="225">
        <f t="shared" si="126"/>
        <v>113.86</v>
      </c>
    </row>
    <row r="8122" spans="1:8" x14ac:dyDescent="0.3">
      <c r="A8122" s="400"/>
      <c r="B8122" s="709">
        <v>96358</v>
      </c>
      <c r="C8122" s="710" t="s">
        <v>6708</v>
      </c>
      <c r="D8122" s="709" t="s">
        <v>168</v>
      </c>
      <c r="E8122" s="716">
        <v>108.91</v>
      </c>
      <c r="F8122" s="717">
        <v>1.7500000000000002E-2</v>
      </c>
      <c r="G8122">
        <f>VLOOKUP(B8122,'SINAPI-%MO'!B:E,4,0)</f>
        <v>0.18010000000000001</v>
      </c>
      <c r="H8122" s="225">
        <f t="shared" si="126"/>
        <v>89.29</v>
      </c>
    </row>
    <row r="8123" spans="1:8" x14ac:dyDescent="0.3">
      <c r="A8123" s="400"/>
      <c r="B8123" s="709">
        <v>96371</v>
      </c>
      <c r="C8123" s="710" t="s">
        <v>6709</v>
      </c>
      <c r="D8123" s="709" t="s">
        <v>168</v>
      </c>
      <c r="E8123" s="716">
        <v>81.819999999999993</v>
      </c>
      <c r="F8123" s="717">
        <v>1.23E-2</v>
      </c>
      <c r="G8123">
        <f>VLOOKUP(B8123,'SINAPI-%MO'!B:E,4,0)</f>
        <v>0.18260000000000001</v>
      </c>
      <c r="H8123" s="225">
        <f t="shared" si="126"/>
        <v>66.87</v>
      </c>
    </row>
    <row r="8124" spans="1:8" x14ac:dyDescent="0.3">
      <c r="A8124" s="400"/>
      <c r="B8124" s="709">
        <v>104724</v>
      </c>
      <c r="C8124" s="710" t="s">
        <v>6710</v>
      </c>
      <c r="D8124" s="709" t="s">
        <v>168</v>
      </c>
      <c r="E8124" s="716">
        <v>101.85</v>
      </c>
      <c r="F8124" s="717">
        <v>1.1599999999999999E-2</v>
      </c>
      <c r="G8124">
        <f>VLOOKUP(B8124,'SINAPI-%MO'!B:E,4,0)</f>
        <v>0.19189999999999999</v>
      </c>
      <c r="H8124" s="225">
        <f t="shared" si="126"/>
        <v>82.3</v>
      </c>
    </row>
    <row r="8125" spans="1:8" x14ac:dyDescent="0.3">
      <c r="A8125" s="400"/>
      <c r="B8125" s="709">
        <v>96370</v>
      </c>
      <c r="C8125" s="710" t="s">
        <v>6711</v>
      </c>
      <c r="D8125" s="709" t="s">
        <v>168</v>
      </c>
      <c r="E8125" s="716">
        <v>70.650000000000006</v>
      </c>
      <c r="F8125" s="717">
        <v>1.4200000000000001E-2</v>
      </c>
      <c r="G8125">
        <f>VLOOKUP(B8125,'SINAPI-%MO'!B:E,4,0)</f>
        <v>0.1827</v>
      </c>
      <c r="H8125" s="225">
        <f t="shared" si="126"/>
        <v>57.74</v>
      </c>
    </row>
    <row r="8126" spans="1:8" x14ac:dyDescent="0.3">
      <c r="A8126" s="400"/>
      <c r="B8126" s="709">
        <v>96365</v>
      </c>
      <c r="C8126" s="710" t="s">
        <v>6712</v>
      </c>
      <c r="D8126" s="709" t="s">
        <v>168</v>
      </c>
      <c r="E8126" s="716">
        <v>194.88</v>
      </c>
      <c r="F8126" s="717">
        <v>2.07E-2</v>
      </c>
      <c r="G8126">
        <f>VLOOKUP(B8126,'SINAPI-%MO'!B:E,4,0)</f>
        <v>0.16139999999999999</v>
      </c>
      <c r="H8126" s="225">
        <f t="shared" si="126"/>
        <v>163.41999999999999</v>
      </c>
    </row>
    <row r="8127" spans="1:8" x14ac:dyDescent="0.3">
      <c r="A8127" s="400"/>
      <c r="B8127" s="709">
        <v>104721</v>
      </c>
      <c r="C8127" s="710" t="s">
        <v>6713</v>
      </c>
      <c r="D8127" s="709" t="s">
        <v>168</v>
      </c>
      <c r="E8127" s="716">
        <v>235.58</v>
      </c>
      <c r="F8127" s="717">
        <v>1.78E-2</v>
      </c>
      <c r="G8127">
        <f>VLOOKUP(B8127,'SINAPI-%MO'!B:E,4,0)</f>
        <v>0.17610000000000001</v>
      </c>
      <c r="H8127" s="225">
        <f t="shared" si="126"/>
        <v>194.09</v>
      </c>
    </row>
    <row r="8128" spans="1:8" x14ac:dyDescent="0.3">
      <c r="A8128" s="400"/>
      <c r="B8128" s="709">
        <v>96363</v>
      </c>
      <c r="C8128" s="710" t="s">
        <v>6714</v>
      </c>
      <c r="D8128" s="709" t="s">
        <v>168</v>
      </c>
      <c r="E8128" s="716">
        <v>154.71</v>
      </c>
      <c r="F8128" s="717">
        <v>2.5999999999999999E-2</v>
      </c>
      <c r="G8128">
        <f>VLOOKUP(B8128,'SINAPI-%MO'!B:E,4,0)</f>
        <v>0.1714</v>
      </c>
      <c r="H8128" s="225">
        <f t="shared" si="126"/>
        <v>128.19</v>
      </c>
    </row>
    <row r="8129" spans="1:8" x14ac:dyDescent="0.3">
      <c r="A8129" s="400"/>
      <c r="B8129" s="709">
        <v>104720</v>
      </c>
      <c r="C8129" s="710" t="s">
        <v>6715</v>
      </c>
      <c r="D8129" s="709" t="s">
        <v>168</v>
      </c>
      <c r="E8129" s="716">
        <v>177.46</v>
      </c>
      <c r="F8129" s="717">
        <v>2.3699999999999999E-2</v>
      </c>
      <c r="G8129">
        <f>VLOOKUP(B8129,'SINAPI-%MO'!B:E,4,0)</f>
        <v>0.19070000000000001</v>
      </c>
      <c r="H8129" s="225">
        <f t="shared" si="126"/>
        <v>143.61000000000001</v>
      </c>
    </row>
    <row r="8130" spans="1:8" x14ac:dyDescent="0.3">
      <c r="A8130" s="400"/>
      <c r="B8130" s="709">
        <v>96362</v>
      </c>
      <c r="C8130" s="710" t="s">
        <v>6716</v>
      </c>
      <c r="D8130" s="709" t="s">
        <v>168</v>
      </c>
      <c r="E8130" s="716">
        <v>142.13999999999999</v>
      </c>
      <c r="F8130" s="717">
        <v>2.8299999999999999E-2</v>
      </c>
      <c r="G8130">
        <f>VLOOKUP(B8130,'SINAPI-%MO'!B:E,4,0)</f>
        <v>0.16239999999999999</v>
      </c>
      <c r="H8130" s="225">
        <f t="shared" si="126"/>
        <v>119.05</v>
      </c>
    </row>
    <row r="8131" spans="1:8" x14ac:dyDescent="0.3">
      <c r="A8131" s="400"/>
      <c r="B8131" s="709">
        <v>103191</v>
      </c>
      <c r="C8131" s="710" t="s">
        <v>6717</v>
      </c>
      <c r="D8131" s="709" t="s">
        <v>136</v>
      </c>
      <c r="E8131" s="716">
        <v>2395.12</v>
      </c>
      <c r="F8131" s="717">
        <v>0.94820000000000004</v>
      </c>
      <c r="G8131">
        <f>VLOOKUP(B8131,'SINAPI-%MO'!B:E,4,0)</f>
        <v>3.5499999999999997E-2</v>
      </c>
      <c r="H8131" s="225">
        <f t="shared" si="126"/>
        <v>2310.09</v>
      </c>
    </row>
    <row r="8132" spans="1:8" x14ac:dyDescent="0.3">
      <c r="A8132" s="400"/>
      <c r="B8132" s="709">
        <v>103206</v>
      </c>
      <c r="C8132" s="710" t="s">
        <v>6718</v>
      </c>
      <c r="D8132" s="709" t="s">
        <v>136</v>
      </c>
      <c r="E8132" s="716">
        <v>2413.2600000000002</v>
      </c>
      <c r="F8132" s="717">
        <v>0.94110000000000005</v>
      </c>
      <c r="G8132">
        <f>VLOOKUP(B8132,'SINAPI-%MO'!B:E,4,0)</f>
        <v>4.7100000000000003E-2</v>
      </c>
      <c r="H8132" s="225">
        <f t="shared" si="126"/>
        <v>2299.59</v>
      </c>
    </row>
    <row r="8133" spans="1:8" x14ac:dyDescent="0.3">
      <c r="A8133" s="400"/>
      <c r="B8133" s="709">
        <v>103211</v>
      </c>
      <c r="C8133" s="710" t="s">
        <v>6719</v>
      </c>
      <c r="D8133" s="709" t="s">
        <v>136</v>
      </c>
      <c r="E8133" s="716">
        <v>0</v>
      </c>
      <c r="F8133" s="717"/>
      <c r="G8133" t="e">
        <f>VLOOKUP(B8133,'SINAPI-%MO'!B:E,4,0)</f>
        <v>#N/A</v>
      </c>
      <c r="H8133" s="225" t="str">
        <f t="shared" si="126"/>
        <v/>
      </c>
    </row>
    <row r="8134" spans="1:8" x14ac:dyDescent="0.3">
      <c r="A8134" s="400"/>
      <c r="B8134" s="709">
        <v>103196</v>
      </c>
      <c r="C8134" s="710" t="s">
        <v>6720</v>
      </c>
      <c r="D8134" s="709" t="s">
        <v>136</v>
      </c>
      <c r="E8134" s="716">
        <v>0</v>
      </c>
      <c r="F8134" s="717"/>
      <c r="G8134" t="e">
        <f>VLOOKUP(B8134,'SINAPI-%MO'!B:E,4,0)</f>
        <v>#N/A</v>
      </c>
      <c r="H8134" s="225" t="str">
        <f t="shared" si="126"/>
        <v/>
      </c>
    </row>
    <row r="8135" spans="1:8" x14ac:dyDescent="0.3">
      <c r="A8135" s="400"/>
      <c r="B8135" s="709">
        <v>103212</v>
      </c>
      <c r="C8135" s="710" t="s">
        <v>6721</v>
      </c>
      <c r="D8135" s="709" t="s">
        <v>136</v>
      </c>
      <c r="E8135" s="716">
        <v>0</v>
      </c>
      <c r="F8135" s="717"/>
      <c r="G8135" t="e">
        <f>VLOOKUP(B8135,'SINAPI-%MO'!B:E,4,0)</f>
        <v>#N/A</v>
      </c>
      <c r="H8135" s="225" t="str">
        <f t="shared" si="126"/>
        <v/>
      </c>
    </row>
    <row r="8136" spans="1:8" x14ac:dyDescent="0.3">
      <c r="A8136" s="400"/>
      <c r="B8136" s="709">
        <v>103197</v>
      </c>
      <c r="C8136" s="710" t="s">
        <v>6722</v>
      </c>
      <c r="D8136" s="709" t="s">
        <v>136</v>
      </c>
      <c r="E8136" s="716">
        <v>0</v>
      </c>
      <c r="F8136" s="717"/>
      <c r="G8136" t="e">
        <f>VLOOKUP(B8136,'SINAPI-%MO'!B:E,4,0)</f>
        <v>#N/A</v>
      </c>
      <c r="H8136" s="225" t="str">
        <f t="shared" si="126"/>
        <v/>
      </c>
    </row>
    <row r="8137" spans="1:8" x14ac:dyDescent="0.3">
      <c r="A8137" s="400"/>
      <c r="B8137" s="709">
        <v>103217</v>
      </c>
      <c r="C8137" s="710" t="s">
        <v>6723</v>
      </c>
      <c r="D8137" s="709" t="s">
        <v>136</v>
      </c>
      <c r="E8137" s="716">
        <v>0</v>
      </c>
      <c r="F8137" s="717"/>
      <c r="G8137" t="e">
        <f>VLOOKUP(B8137,'SINAPI-%MO'!B:E,4,0)</f>
        <v>#N/A</v>
      </c>
      <c r="H8137" s="225" t="str">
        <f t="shared" si="126"/>
        <v/>
      </c>
    </row>
    <row r="8138" spans="1:8" x14ac:dyDescent="0.3">
      <c r="A8138" s="400"/>
      <c r="B8138" s="709">
        <v>103202</v>
      </c>
      <c r="C8138" s="710" t="s">
        <v>6724</v>
      </c>
      <c r="D8138" s="709" t="s">
        <v>136</v>
      </c>
      <c r="E8138" s="716">
        <v>0</v>
      </c>
      <c r="F8138" s="717"/>
      <c r="G8138" t="e">
        <f>VLOOKUP(B8138,'SINAPI-%MO'!B:E,4,0)</f>
        <v>#N/A</v>
      </c>
      <c r="H8138" s="225" t="str">
        <f t="shared" si="126"/>
        <v/>
      </c>
    </row>
    <row r="8139" spans="1:8" x14ac:dyDescent="0.3">
      <c r="A8139" s="400"/>
      <c r="B8139" s="709">
        <v>103215</v>
      </c>
      <c r="C8139" s="710" t="s">
        <v>6725</v>
      </c>
      <c r="D8139" s="709" t="s">
        <v>136</v>
      </c>
      <c r="E8139" s="716">
        <v>0</v>
      </c>
      <c r="F8139" s="717"/>
      <c r="G8139" t="e">
        <f>VLOOKUP(B8139,'SINAPI-%MO'!B:E,4,0)</f>
        <v>#N/A</v>
      </c>
      <c r="H8139" s="225" t="str">
        <f t="shared" ref="H8139:H8202" si="127">IF(E8139&gt;0,TRUNC(E8139*(1-G8139),2),"")</f>
        <v/>
      </c>
    </row>
    <row r="8140" spans="1:8" x14ac:dyDescent="0.3">
      <c r="A8140" s="400"/>
      <c r="B8140" s="709">
        <v>103200</v>
      </c>
      <c r="C8140" s="710" t="s">
        <v>6726</v>
      </c>
      <c r="D8140" s="709" t="s">
        <v>136</v>
      </c>
      <c r="E8140" s="716">
        <v>0</v>
      </c>
      <c r="F8140" s="717"/>
      <c r="G8140" t="e">
        <f>VLOOKUP(B8140,'SINAPI-%MO'!B:E,4,0)</f>
        <v>#N/A</v>
      </c>
      <c r="H8140" s="225" t="str">
        <f t="shared" si="127"/>
        <v/>
      </c>
    </row>
    <row r="8141" spans="1:8" x14ac:dyDescent="0.3">
      <c r="A8141" s="400"/>
      <c r="B8141" s="709">
        <v>103216</v>
      </c>
      <c r="C8141" s="710" t="s">
        <v>6727</v>
      </c>
      <c r="D8141" s="709" t="s">
        <v>136</v>
      </c>
      <c r="E8141" s="716">
        <v>0</v>
      </c>
      <c r="F8141" s="717"/>
      <c r="G8141" t="e">
        <f>VLOOKUP(B8141,'SINAPI-%MO'!B:E,4,0)</f>
        <v>#N/A</v>
      </c>
      <c r="H8141" s="225" t="str">
        <f t="shared" si="127"/>
        <v/>
      </c>
    </row>
    <row r="8142" spans="1:8" x14ac:dyDescent="0.3">
      <c r="A8142" s="400"/>
      <c r="B8142" s="709">
        <v>103201</v>
      </c>
      <c r="C8142" s="710" t="s">
        <v>6728</v>
      </c>
      <c r="D8142" s="709" t="s">
        <v>136</v>
      </c>
      <c r="E8142" s="716">
        <v>0</v>
      </c>
      <c r="F8142" s="717"/>
      <c r="G8142" t="e">
        <f>VLOOKUP(B8142,'SINAPI-%MO'!B:E,4,0)</f>
        <v>#N/A</v>
      </c>
      <c r="H8142" s="225" t="str">
        <f t="shared" si="127"/>
        <v/>
      </c>
    </row>
    <row r="8143" spans="1:8" x14ac:dyDescent="0.3">
      <c r="A8143" s="400"/>
      <c r="B8143" s="709">
        <v>103185</v>
      </c>
      <c r="C8143" s="710" t="s">
        <v>6729</v>
      </c>
      <c r="D8143" s="709" t="s">
        <v>136</v>
      </c>
      <c r="E8143" s="716">
        <v>6172.66</v>
      </c>
      <c r="F8143" s="717">
        <v>0.97609999999999997</v>
      </c>
      <c r="G8143">
        <f>VLOOKUP(B8143,'SINAPI-%MO'!B:E,4,0)</f>
        <v>2.3900000000000001E-2</v>
      </c>
      <c r="H8143" s="225">
        <f t="shared" si="127"/>
        <v>6025.13</v>
      </c>
    </row>
    <row r="8144" spans="1:8" x14ac:dyDescent="0.3">
      <c r="A8144" s="400"/>
      <c r="B8144" s="709">
        <v>103218</v>
      </c>
      <c r="C8144" s="710" t="s">
        <v>6730</v>
      </c>
      <c r="D8144" s="709" t="s">
        <v>136</v>
      </c>
      <c r="E8144" s="716">
        <v>0</v>
      </c>
      <c r="F8144" s="717"/>
      <c r="G8144" t="e">
        <f>VLOOKUP(B8144,'SINAPI-%MO'!B:E,4,0)</f>
        <v>#N/A</v>
      </c>
      <c r="H8144" s="225" t="str">
        <f t="shared" si="127"/>
        <v/>
      </c>
    </row>
    <row r="8145" spans="1:8" x14ac:dyDescent="0.3">
      <c r="A8145" s="400"/>
      <c r="B8145" s="709">
        <v>103203</v>
      </c>
      <c r="C8145" s="710" t="s">
        <v>6731</v>
      </c>
      <c r="D8145" s="709" t="s">
        <v>136</v>
      </c>
      <c r="E8145" s="716">
        <v>0</v>
      </c>
      <c r="F8145" s="717"/>
      <c r="G8145" t="e">
        <f>VLOOKUP(B8145,'SINAPI-%MO'!B:E,4,0)</f>
        <v>#N/A</v>
      </c>
      <c r="H8145" s="225" t="str">
        <f t="shared" si="127"/>
        <v/>
      </c>
    </row>
    <row r="8146" spans="1:8" x14ac:dyDescent="0.3">
      <c r="A8146" s="400"/>
      <c r="B8146" s="709">
        <v>103213</v>
      </c>
      <c r="C8146" s="710" t="s">
        <v>6732</v>
      </c>
      <c r="D8146" s="709" t="s">
        <v>136</v>
      </c>
      <c r="E8146" s="716">
        <v>0</v>
      </c>
      <c r="F8146" s="717"/>
      <c r="G8146" t="e">
        <f>VLOOKUP(B8146,'SINAPI-%MO'!B:E,4,0)</f>
        <v>#N/A</v>
      </c>
      <c r="H8146" s="225" t="str">
        <f t="shared" si="127"/>
        <v/>
      </c>
    </row>
    <row r="8147" spans="1:8" x14ac:dyDescent="0.3">
      <c r="A8147" s="400"/>
      <c r="B8147" s="709">
        <v>103198</v>
      </c>
      <c r="C8147" s="710" t="s">
        <v>6733</v>
      </c>
      <c r="D8147" s="709" t="s">
        <v>136</v>
      </c>
      <c r="E8147" s="716">
        <v>0</v>
      </c>
      <c r="F8147" s="717"/>
      <c r="G8147" t="e">
        <f>VLOOKUP(B8147,'SINAPI-%MO'!B:E,4,0)</f>
        <v>#N/A</v>
      </c>
      <c r="H8147" s="225" t="str">
        <f t="shared" si="127"/>
        <v/>
      </c>
    </row>
    <row r="8148" spans="1:8" x14ac:dyDescent="0.3">
      <c r="A8148" s="400"/>
      <c r="B8148" s="709">
        <v>103214</v>
      </c>
      <c r="C8148" s="710" t="s">
        <v>6734</v>
      </c>
      <c r="D8148" s="709" t="s">
        <v>136</v>
      </c>
      <c r="E8148" s="716">
        <v>0</v>
      </c>
      <c r="F8148" s="717"/>
      <c r="G8148" t="e">
        <f>VLOOKUP(B8148,'SINAPI-%MO'!B:E,4,0)</f>
        <v>#N/A</v>
      </c>
      <c r="H8148" s="225" t="str">
        <f t="shared" si="127"/>
        <v/>
      </c>
    </row>
    <row r="8149" spans="1:8" x14ac:dyDescent="0.3">
      <c r="A8149" s="400"/>
      <c r="B8149" s="709">
        <v>103199</v>
      </c>
      <c r="C8149" s="710" t="s">
        <v>6735</v>
      </c>
      <c r="D8149" s="709" t="s">
        <v>136</v>
      </c>
      <c r="E8149" s="716">
        <v>0</v>
      </c>
      <c r="F8149" s="717"/>
      <c r="G8149" t="e">
        <f>VLOOKUP(B8149,'SINAPI-%MO'!B:E,4,0)</f>
        <v>#N/A</v>
      </c>
      <c r="H8149" s="225" t="str">
        <f t="shared" si="127"/>
        <v/>
      </c>
    </row>
    <row r="8150" spans="1:8" x14ac:dyDescent="0.3">
      <c r="A8150" s="400"/>
      <c r="B8150" s="709">
        <v>103219</v>
      </c>
      <c r="C8150" s="710" t="s">
        <v>6736</v>
      </c>
      <c r="D8150" s="709" t="s">
        <v>136</v>
      </c>
      <c r="E8150" s="716">
        <v>0</v>
      </c>
      <c r="F8150" s="717"/>
      <c r="G8150" t="e">
        <f>VLOOKUP(B8150,'SINAPI-%MO'!B:E,4,0)</f>
        <v>#N/A</v>
      </c>
      <c r="H8150" s="225" t="str">
        <f t="shared" si="127"/>
        <v/>
      </c>
    </row>
    <row r="8151" spans="1:8" x14ac:dyDescent="0.3">
      <c r="A8151" s="400"/>
      <c r="B8151" s="709">
        <v>103204</v>
      </c>
      <c r="C8151" s="710" t="s">
        <v>6737</v>
      </c>
      <c r="D8151" s="709" t="s">
        <v>136</v>
      </c>
      <c r="E8151" s="716">
        <v>0</v>
      </c>
      <c r="F8151" s="717"/>
      <c r="G8151" t="e">
        <f>VLOOKUP(B8151,'SINAPI-%MO'!B:E,4,0)</f>
        <v>#N/A</v>
      </c>
      <c r="H8151" s="225" t="str">
        <f t="shared" si="127"/>
        <v/>
      </c>
    </row>
    <row r="8152" spans="1:8" x14ac:dyDescent="0.3">
      <c r="A8152" s="400"/>
      <c r="B8152" s="709">
        <v>103186</v>
      </c>
      <c r="C8152" s="710" t="s">
        <v>6738</v>
      </c>
      <c r="D8152" s="709" t="s">
        <v>136</v>
      </c>
      <c r="E8152" s="716">
        <v>6494.67</v>
      </c>
      <c r="F8152" s="717">
        <v>0.99070000000000003</v>
      </c>
      <c r="G8152">
        <f>VLOOKUP(B8152,'SINAPI-%MO'!B:E,4,0)</f>
        <v>9.2999999999999992E-3</v>
      </c>
      <c r="H8152" s="225">
        <f t="shared" si="127"/>
        <v>6434.26</v>
      </c>
    </row>
    <row r="8153" spans="1:8" x14ac:dyDescent="0.3">
      <c r="A8153" s="400"/>
      <c r="B8153" s="709">
        <v>103210</v>
      </c>
      <c r="C8153" s="710" t="s">
        <v>6739</v>
      </c>
      <c r="D8153" s="709" t="s">
        <v>136</v>
      </c>
      <c r="E8153" s="716">
        <v>2331.1999999999998</v>
      </c>
      <c r="F8153" s="717">
        <v>0.89690000000000003</v>
      </c>
      <c r="G8153">
        <f>VLOOKUP(B8153,'SINAPI-%MO'!B:E,4,0)</f>
        <v>8.8300000000000003E-2</v>
      </c>
      <c r="H8153" s="225">
        <f t="shared" si="127"/>
        <v>2125.35</v>
      </c>
    </row>
    <row r="8154" spans="1:8" x14ac:dyDescent="0.3">
      <c r="A8154" s="400"/>
      <c r="B8154" s="709">
        <v>103195</v>
      </c>
      <c r="C8154" s="710" t="s">
        <v>6740</v>
      </c>
      <c r="D8154" s="709" t="s">
        <v>136</v>
      </c>
      <c r="E8154" s="716">
        <v>2209.5700000000002</v>
      </c>
      <c r="F8154" s="717">
        <v>0.94620000000000004</v>
      </c>
      <c r="G8154">
        <f>VLOOKUP(B8154,'SINAPI-%MO'!B:E,4,0)</f>
        <v>3.9399999999999998E-2</v>
      </c>
      <c r="H8154" s="225">
        <f t="shared" si="127"/>
        <v>2122.5100000000002</v>
      </c>
    </row>
    <row r="8155" spans="1:8" x14ac:dyDescent="0.3">
      <c r="A8155" s="400"/>
      <c r="B8155" s="709">
        <v>103205</v>
      </c>
      <c r="C8155" s="710" t="s">
        <v>6741</v>
      </c>
      <c r="D8155" s="709" t="s">
        <v>136</v>
      </c>
      <c r="E8155" s="716">
        <v>4118.53</v>
      </c>
      <c r="F8155" s="717">
        <v>0.96099999999999997</v>
      </c>
      <c r="G8155">
        <f>VLOOKUP(B8155,'SINAPI-%MO'!B:E,4,0)</f>
        <v>3.2099999999999997E-2</v>
      </c>
      <c r="H8155" s="225">
        <f t="shared" si="127"/>
        <v>3986.32</v>
      </c>
    </row>
    <row r="8156" spans="1:8" x14ac:dyDescent="0.3">
      <c r="A8156" s="400"/>
      <c r="B8156" s="709">
        <v>103190</v>
      </c>
      <c r="C8156" s="710" t="s">
        <v>6742</v>
      </c>
      <c r="D8156" s="709" t="s">
        <v>136</v>
      </c>
      <c r="E8156" s="716">
        <v>4100.3900000000003</v>
      </c>
      <c r="F8156" s="717">
        <v>0.96519999999999995</v>
      </c>
      <c r="G8156">
        <f>VLOOKUP(B8156,'SINAPI-%MO'!B:E,4,0)</f>
        <v>2.52E-2</v>
      </c>
      <c r="H8156" s="225">
        <f t="shared" si="127"/>
        <v>3997.06</v>
      </c>
    </row>
    <row r="8157" spans="1:8" x14ac:dyDescent="0.3">
      <c r="A8157" s="400"/>
      <c r="B8157" s="709">
        <v>103207</v>
      </c>
      <c r="C8157" s="710" t="s">
        <v>6743</v>
      </c>
      <c r="D8157" s="709" t="s">
        <v>136</v>
      </c>
      <c r="E8157" s="716">
        <v>2566.9</v>
      </c>
      <c r="F8157" s="717">
        <v>0.9446</v>
      </c>
      <c r="G8157">
        <f>VLOOKUP(B8157,'SINAPI-%MO'!B:E,4,0)</f>
        <v>4.4299999999999999E-2</v>
      </c>
      <c r="H8157" s="225">
        <f t="shared" si="127"/>
        <v>2453.1799999999998</v>
      </c>
    </row>
    <row r="8158" spans="1:8" x14ac:dyDescent="0.3">
      <c r="A8158" s="400"/>
      <c r="B8158" s="709">
        <v>103192</v>
      </c>
      <c r="C8158" s="710" t="s">
        <v>6744</v>
      </c>
      <c r="D8158" s="709" t="s">
        <v>136</v>
      </c>
      <c r="E8158" s="716">
        <v>2548.7600000000002</v>
      </c>
      <c r="F8158" s="717">
        <v>0.95130000000000003</v>
      </c>
      <c r="G8158">
        <f>VLOOKUP(B8158,'SINAPI-%MO'!B:E,4,0)</f>
        <v>3.3300000000000003E-2</v>
      </c>
      <c r="H8158" s="225">
        <f t="shared" si="127"/>
        <v>2463.88</v>
      </c>
    </row>
    <row r="8159" spans="1:8" x14ac:dyDescent="0.3">
      <c r="A8159" s="400"/>
      <c r="B8159" s="709">
        <v>103208</v>
      </c>
      <c r="C8159" s="710" t="s">
        <v>6745</v>
      </c>
      <c r="D8159" s="709" t="s">
        <v>136</v>
      </c>
      <c r="E8159" s="716">
        <v>1985.63</v>
      </c>
      <c r="F8159" s="717">
        <v>0.9284</v>
      </c>
      <c r="G8159">
        <f>VLOOKUP(B8159,'SINAPI-%MO'!B:E,4,0)</f>
        <v>5.7299999999999997E-2</v>
      </c>
      <c r="H8159" s="225">
        <f t="shared" si="127"/>
        <v>1871.85</v>
      </c>
    </row>
    <row r="8160" spans="1:8" x14ac:dyDescent="0.3">
      <c r="A8160" s="400"/>
      <c r="B8160" s="709">
        <v>103193</v>
      </c>
      <c r="C8160" s="710" t="s">
        <v>6746</v>
      </c>
      <c r="D8160" s="709" t="s">
        <v>136</v>
      </c>
      <c r="E8160" s="716">
        <v>1967.49</v>
      </c>
      <c r="F8160" s="717">
        <v>0.93689999999999996</v>
      </c>
      <c r="G8160">
        <f>VLOOKUP(B8160,'SINAPI-%MO'!B:E,4,0)</f>
        <v>4.3200000000000002E-2</v>
      </c>
      <c r="H8160" s="225">
        <f t="shared" si="127"/>
        <v>1882.49</v>
      </c>
    </row>
    <row r="8161" spans="1:8" x14ac:dyDescent="0.3">
      <c r="A8161" s="400"/>
      <c r="B8161" s="709">
        <v>103187</v>
      </c>
      <c r="C8161" s="710" t="s">
        <v>6747</v>
      </c>
      <c r="D8161" s="709" t="s">
        <v>136</v>
      </c>
      <c r="E8161" s="716">
        <v>4890.12</v>
      </c>
      <c r="F8161" s="717">
        <v>0.97940000000000005</v>
      </c>
      <c r="G8161">
        <f>VLOOKUP(B8161,'SINAPI-%MO'!B:E,4,0)</f>
        <v>2.06E-2</v>
      </c>
      <c r="H8161" s="225">
        <f t="shared" si="127"/>
        <v>4789.38</v>
      </c>
    </row>
    <row r="8162" spans="1:8" x14ac:dyDescent="0.3">
      <c r="A8162" s="400"/>
      <c r="B8162" s="709">
        <v>103188</v>
      </c>
      <c r="C8162" s="710" t="s">
        <v>6748</v>
      </c>
      <c r="D8162" s="709" t="s">
        <v>136</v>
      </c>
      <c r="E8162" s="716">
        <v>5253.03</v>
      </c>
      <c r="F8162" s="717">
        <v>0.98519999999999996</v>
      </c>
      <c r="G8162">
        <f>VLOOKUP(B8162,'SINAPI-%MO'!B:E,4,0)</f>
        <v>1.4800000000000001E-2</v>
      </c>
      <c r="H8162" s="225">
        <f t="shared" si="127"/>
        <v>5175.28</v>
      </c>
    </row>
    <row r="8163" spans="1:8" x14ac:dyDescent="0.3">
      <c r="A8163" s="400"/>
      <c r="B8163" s="709">
        <v>103189</v>
      </c>
      <c r="C8163" s="710" t="s">
        <v>6749</v>
      </c>
      <c r="D8163" s="709" t="s">
        <v>136</v>
      </c>
      <c r="E8163" s="716">
        <v>2635.09</v>
      </c>
      <c r="F8163" s="717">
        <v>0.97940000000000005</v>
      </c>
      <c r="G8163">
        <f>VLOOKUP(B8163,'SINAPI-%MO'!B:E,4,0)</f>
        <v>2.06E-2</v>
      </c>
      <c r="H8163" s="225">
        <f t="shared" si="127"/>
        <v>2580.8000000000002</v>
      </c>
    </row>
    <row r="8164" spans="1:8" x14ac:dyDescent="0.3">
      <c r="A8164" s="400"/>
      <c r="B8164" s="709">
        <v>103209</v>
      </c>
      <c r="C8164" s="710" t="s">
        <v>6750</v>
      </c>
      <c r="D8164" s="709" t="s">
        <v>136</v>
      </c>
      <c r="E8164" s="716">
        <v>2843.6</v>
      </c>
      <c r="F8164" s="717">
        <v>0.95</v>
      </c>
      <c r="G8164">
        <f>VLOOKUP(B8164,'SINAPI-%MO'!B:E,4,0)</f>
        <v>0.04</v>
      </c>
      <c r="H8164" s="225">
        <f t="shared" si="127"/>
        <v>2729.85</v>
      </c>
    </row>
    <row r="8165" spans="1:8" x14ac:dyDescent="0.3">
      <c r="A8165" s="400"/>
      <c r="B8165" s="709">
        <v>103194</v>
      </c>
      <c r="C8165" s="710" t="s">
        <v>6751</v>
      </c>
      <c r="D8165" s="709" t="s">
        <v>136</v>
      </c>
      <c r="E8165" s="716">
        <v>2825.46</v>
      </c>
      <c r="F8165" s="717">
        <v>0.95609999999999995</v>
      </c>
      <c r="G8165">
        <f>VLOOKUP(B8165,'SINAPI-%MO'!B:E,4,0)</f>
        <v>3.0099999999999998E-2</v>
      </c>
      <c r="H8165" s="225">
        <f t="shared" si="127"/>
        <v>2740.41</v>
      </c>
    </row>
    <row r="8166" spans="1:8" x14ac:dyDescent="0.3">
      <c r="A8166" s="400"/>
      <c r="B8166" s="709">
        <v>95001</v>
      </c>
      <c r="C8166" s="710" t="s">
        <v>6752</v>
      </c>
      <c r="D8166" s="709" t="s">
        <v>168</v>
      </c>
      <c r="E8166" s="716">
        <v>0</v>
      </c>
      <c r="F8166" s="717"/>
      <c r="G8166" t="e">
        <f>VLOOKUP(B8166,'SINAPI-%MO'!B:E,4,0)</f>
        <v>#N/A</v>
      </c>
      <c r="H8166" s="225" t="str">
        <f t="shared" si="127"/>
        <v/>
      </c>
    </row>
    <row r="8167" spans="1:8" x14ac:dyDescent="0.3">
      <c r="A8167" s="400"/>
      <c r="B8167" s="709">
        <v>95000</v>
      </c>
      <c r="C8167" s="710" t="s">
        <v>6753</v>
      </c>
      <c r="D8167" s="709" t="s">
        <v>168</v>
      </c>
      <c r="E8167" s="716">
        <v>0</v>
      </c>
      <c r="F8167" s="717"/>
      <c r="G8167" t="e">
        <f>VLOOKUP(B8167,'SINAPI-%MO'!B:E,4,0)</f>
        <v>#N/A</v>
      </c>
      <c r="H8167" s="225" t="str">
        <f t="shared" si="127"/>
        <v/>
      </c>
    </row>
    <row r="8168" spans="1:8" x14ac:dyDescent="0.3">
      <c r="A8168" s="400"/>
      <c r="B8168" s="709">
        <v>95005</v>
      </c>
      <c r="C8168" s="710" t="s">
        <v>6754</v>
      </c>
      <c r="D8168" s="709" t="s">
        <v>168</v>
      </c>
      <c r="E8168" s="716">
        <v>0</v>
      </c>
      <c r="F8168" s="717"/>
      <c r="G8168" t="e">
        <f>VLOOKUP(B8168,'SINAPI-%MO'!B:E,4,0)</f>
        <v>#N/A</v>
      </c>
      <c r="H8168" s="225" t="str">
        <f t="shared" si="127"/>
        <v/>
      </c>
    </row>
    <row r="8169" spans="1:8" x14ac:dyDescent="0.3">
      <c r="A8169" s="400"/>
      <c r="B8169" s="709">
        <v>95004</v>
      </c>
      <c r="C8169" s="710" t="s">
        <v>6755</v>
      </c>
      <c r="D8169" s="709" t="s">
        <v>168</v>
      </c>
      <c r="E8169" s="716">
        <v>0</v>
      </c>
      <c r="F8169" s="717"/>
      <c r="G8169" t="e">
        <f>VLOOKUP(B8169,'SINAPI-%MO'!B:E,4,0)</f>
        <v>#N/A</v>
      </c>
      <c r="H8169" s="225" t="str">
        <f t="shared" si="127"/>
        <v/>
      </c>
    </row>
    <row r="8170" spans="1:8" x14ac:dyDescent="0.3">
      <c r="A8170" s="400"/>
      <c r="B8170" s="709">
        <v>95003</v>
      </c>
      <c r="C8170" s="710" t="s">
        <v>6756</v>
      </c>
      <c r="D8170" s="709" t="s">
        <v>168</v>
      </c>
      <c r="E8170" s="716">
        <v>0</v>
      </c>
      <c r="F8170" s="717"/>
      <c r="G8170" t="e">
        <f>VLOOKUP(B8170,'SINAPI-%MO'!B:E,4,0)</f>
        <v>#N/A</v>
      </c>
      <c r="H8170" s="225" t="str">
        <f t="shared" si="127"/>
        <v/>
      </c>
    </row>
    <row r="8171" spans="1:8" x14ac:dyDescent="0.3">
      <c r="A8171" s="400"/>
      <c r="B8171" s="709">
        <v>95002</v>
      </c>
      <c r="C8171" s="710" t="s">
        <v>6757</v>
      </c>
      <c r="D8171" s="709" t="s">
        <v>168</v>
      </c>
      <c r="E8171" s="716">
        <v>0</v>
      </c>
      <c r="F8171" s="717"/>
      <c r="G8171" t="e">
        <f>VLOOKUP(B8171,'SINAPI-%MO'!B:E,4,0)</f>
        <v>#N/A</v>
      </c>
      <c r="H8171" s="225" t="str">
        <f t="shared" si="127"/>
        <v/>
      </c>
    </row>
    <row r="8172" spans="1:8" x14ac:dyDescent="0.3">
      <c r="A8172" s="400"/>
      <c r="B8172" s="709">
        <v>95007</v>
      </c>
      <c r="C8172" s="710" t="s">
        <v>6758</v>
      </c>
      <c r="D8172" s="709" t="s">
        <v>168</v>
      </c>
      <c r="E8172" s="716">
        <v>0</v>
      </c>
      <c r="F8172" s="717"/>
      <c r="G8172" t="e">
        <f>VLOOKUP(B8172,'SINAPI-%MO'!B:E,4,0)</f>
        <v>#N/A</v>
      </c>
      <c r="H8172" s="225" t="str">
        <f t="shared" si="127"/>
        <v/>
      </c>
    </row>
    <row r="8173" spans="1:8" x14ac:dyDescent="0.3">
      <c r="A8173" s="400"/>
      <c r="B8173" s="709">
        <v>95006</v>
      </c>
      <c r="C8173" s="710" t="s">
        <v>6759</v>
      </c>
      <c r="D8173" s="709" t="s">
        <v>168</v>
      </c>
      <c r="E8173" s="716">
        <v>0</v>
      </c>
      <c r="F8173" s="717"/>
      <c r="G8173" t="e">
        <f>VLOOKUP(B8173,'SINAPI-%MO'!B:E,4,0)</f>
        <v>#N/A</v>
      </c>
      <c r="H8173" s="225" t="str">
        <f t="shared" si="127"/>
        <v/>
      </c>
    </row>
    <row r="8174" spans="1:8" x14ac:dyDescent="0.3">
      <c r="A8174" s="400"/>
      <c r="B8174" s="709">
        <v>104313</v>
      </c>
      <c r="C8174" s="710" t="s">
        <v>6760</v>
      </c>
      <c r="D8174" s="709" t="s">
        <v>168</v>
      </c>
      <c r="E8174" s="716">
        <v>0</v>
      </c>
      <c r="F8174" s="717"/>
      <c r="G8174" t="e">
        <f>VLOOKUP(B8174,'SINAPI-%MO'!B:E,4,0)</f>
        <v>#N/A</v>
      </c>
      <c r="H8174" s="225" t="str">
        <f t="shared" si="127"/>
        <v/>
      </c>
    </row>
    <row r="8175" spans="1:8" x14ac:dyDescent="0.3">
      <c r="A8175" s="400"/>
      <c r="B8175" s="709">
        <v>104312</v>
      </c>
      <c r="C8175" s="710" t="s">
        <v>6761</v>
      </c>
      <c r="D8175" s="709" t="s">
        <v>168</v>
      </c>
      <c r="E8175" s="716">
        <v>0</v>
      </c>
      <c r="F8175" s="717"/>
      <c r="G8175" t="e">
        <f>VLOOKUP(B8175,'SINAPI-%MO'!B:E,4,0)</f>
        <v>#N/A</v>
      </c>
      <c r="H8175" s="225" t="str">
        <f t="shared" si="127"/>
        <v/>
      </c>
    </row>
    <row r="8176" spans="1:8" x14ac:dyDescent="0.3">
      <c r="A8176" s="400"/>
      <c r="B8176" s="709">
        <v>94992</v>
      </c>
      <c r="C8176" s="710" t="s">
        <v>6762</v>
      </c>
      <c r="D8176" s="709" t="s">
        <v>168</v>
      </c>
      <c r="E8176" s="716">
        <v>87.04</v>
      </c>
      <c r="F8176" s="717">
        <v>0</v>
      </c>
      <c r="G8176">
        <f>VLOOKUP(B8176,'SINAPI-%MO'!B:E,4,0)</f>
        <v>0.25779999999999997</v>
      </c>
      <c r="H8176" s="225">
        <f t="shared" si="127"/>
        <v>64.599999999999994</v>
      </c>
    </row>
    <row r="8177" spans="1:8" x14ac:dyDescent="0.3">
      <c r="A8177" s="400"/>
      <c r="B8177" s="709">
        <v>94994</v>
      </c>
      <c r="C8177" s="710" t="s">
        <v>6763</v>
      </c>
      <c r="D8177" s="709" t="s">
        <v>168</v>
      </c>
      <c r="E8177" s="716">
        <v>105.2</v>
      </c>
      <c r="F8177" s="717">
        <v>0</v>
      </c>
      <c r="G8177">
        <f>VLOOKUP(B8177,'SINAPI-%MO'!B:E,4,0)</f>
        <v>0.27929999999999999</v>
      </c>
      <c r="H8177" s="225">
        <f t="shared" si="127"/>
        <v>75.81</v>
      </c>
    </row>
    <row r="8178" spans="1:8" x14ac:dyDescent="0.3">
      <c r="A8178" s="400"/>
      <c r="B8178" s="709">
        <v>94990</v>
      </c>
      <c r="C8178" s="710" t="s">
        <v>6764</v>
      </c>
      <c r="D8178" s="709" t="s">
        <v>170</v>
      </c>
      <c r="E8178" s="716">
        <v>883.42</v>
      </c>
      <c r="F8178" s="717">
        <v>0</v>
      </c>
      <c r="G8178">
        <f>VLOOKUP(B8178,'SINAPI-%MO'!B:E,4,0)</f>
        <v>0.35560000000000003</v>
      </c>
      <c r="H8178" s="225">
        <f t="shared" si="127"/>
        <v>569.27</v>
      </c>
    </row>
    <row r="8179" spans="1:8" x14ac:dyDescent="0.3">
      <c r="A8179" s="400"/>
      <c r="B8179" s="709">
        <v>94991</v>
      </c>
      <c r="C8179" s="710" t="s">
        <v>256</v>
      </c>
      <c r="D8179" s="709" t="s">
        <v>170</v>
      </c>
      <c r="E8179" s="716">
        <v>898.34</v>
      </c>
      <c r="F8179" s="717">
        <v>0</v>
      </c>
      <c r="G8179">
        <f>VLOOKUP(B8179,'SINAPI-%MO'!B:E,4,0)</f>
        <v>0.1118</v>
      </c>
      <c r="H8179" s="225">
        <f t="shared" si="127"/>
        <v>797.9</v>
      </c>
    </row>
    <row r="8180" spans="1:8" x14ac:dyDescent="0.3">
      <c r="A8180" s="400"/>
      <c r="B8180" s="709">
        <v>104626</v>
      </c>
      <c r="C8180" s="710" t="s">
        <v>6765</v>
      </c>
      <c r="D8180" s="709" t="s">
        <v>170</v>
      </c>
      <c r="E8180" s="716">
        <v>920.2</v>
      </c>
      <c r="F8180" s="717">
        <v>0</v>
      </c>
      <c r="G8180">
        <f>VLOOKUP(B8180,'SINAPI-%MO'!B:E,4,0)</f>
        <v>0.1091</v>
      </c>
      <c r="H8180" s="225">
        <f t="shared" si="127"/>
        <v>819.8</v>
      </c>
    </row>
    <row r="8181" spans="1:8" x14ac:dyDescent="0.3">
      <c r="A8181" s="400"/>
      <c r="B8181" s="709">
        <v>94993</v>
      </c>
      <c r="C8181" s="710" t="s">
        <v>6766</v>
      </c>
      <c r="D8181" s="709" t="s">
        <v>168</v>
      </c>
      <c r="E8181" s="716">
        <v>87.93</v>
      </c>
      <c r="F8181" s="717">
        <v>0</v>
      </c>
      <c r="G8181">
        <f>VLOOKUP(B8181,'SINAPI-%MO'!B:E,4,0)</f>
        <v>0.1094</v>
      </c>
      <c r="H8181" s="225">
        <f t="shared" si="127"/>
        <v>78.31</v>
      </c>
    </row>
    <row r="8182" spans="1:8" x14ac:dyDescent="0.3">
      <c r="A8182" s="400"/>
      <c r="B8182" s="709">
        <v>94995</v>
      </c>
      <c r="C8182" s="710" t="s">
        <v>6767</v>
      </c>
      <c r="D8182" s="709" t="s">
        <v>168</v>
      </c>
      <c r="E8182" s="716">
        <v>106.38</v>
      </c>
      <c r="F8182" s="717">
        <v>0</v>
      </c>
      <c r="G8182">
        <f>VLOOKUP(B8182,'SINAPI-%MO'!B:E,4,0)</f>
        <v>0.1154</v>
      </c>
      <c r="H8182" s="225">
        <f t="shared" si="127"/>
        <v>94.1</v>
      </c>
    </row>
    <row r="8183" spans="1:8" x14ac:dyDescent="0.3">
      <c r="A8183" s="400"/>
      <c r="B8183" s="709">
        <v>101169</v>
      </c>
      <c r="C8183" s="710" t="s">
        <v>6768</v>
      </c>
      <c r="D8183" s="709" t="s">
        <v>168</v>
      </c>
      <c r="E8183" s="716">
        <v>149.38</v>
      </c>
      <c r="F8183" s="717">
        <v>3.5200000000000002E-2</v>
      </c>
      <c r="G8183">
        <f>VLOOKUP(B8183,'SINAPI-%MO'!B:E,4,0)</f>
        <v>0.19020000000000001</v>
      </c>
      <c r="H8183" s="225">
        <f t="shared" si="127"/>
        <v>120.96</v>
      </c>
    </row>
    <row r="8184" spans="1:8" x14ac:dyDescent="0.3">
      <c r="A8184" s="400"/>
      <c r="B8184" s="709">
        <v>104383</v>
      </c>
      <c r="C8184" s="710" t="s">
        <v>6769</v>
      </c>
      <c r="D8184" s="709" t="s">
        <v>168</v>
      </c>
      <c r="E8184" s="716">
        <v>0</v>
      </c>
      <c r="F8184" s="717"/>
      <c r="G8184" t="e">
        <f>VLOOKUP(B8184,'SINAPI-%MO'!B:E,4,0)</f>
        <v>#N/A</v>
      </c>
      <c r="H8184" s="225" t="str">
        <f t="shared" si="127"/>
        <v/>
      </c>
    </row>
    <row r="8185" spans="1:8" x14ac:dyDescent="0.3">
      <c r="A8185" s="400"/>
      <c r="B8185" s="709">
        <v>101167</v>
      </c>
      <c r="C8185" s="710" t="s">
        <v>6770</v>
      </c>
      <c r="D8185" s="709" t="s">
        <v>168</v>
      </c>
      <c r="E8185" s="716">
        <v>131.37</v>
      </c>
      <c r="F8185" s="717">
        <v>3.3000000000000002E-2</v>
      </c>
      <c r="G8185">
        <f>VLOOKUP(B8185,'SINAPI-%MO'!B:E,4,0)</f>
        <v>0.15939999999999999</v>
      </c>
      <c r="H8185" s="225">
        <f t="shared" si="127"/>
        <v>110.42</v>
      </c>
    </row>
    <row r="8186" spans="1:8" x14ac:dyDescent="0.3">
      <c r="A8186" s="400"/>
      <c r="B8186" s="709">
        <v>101172</v>
      </c>
      <c r="C8186" s="710" t="s">
        <v>6771</v>
      </c>
      <c r="D8186" s="709" t="s">
        <v>168</v>
      </c>
      <c r="E8186" s="716">
        <v>81.66</v>
      </c>
      <c r="F8186" s="717">
        <v>5.3499999999999999E-2</v>
      </c>
      <c r="G8186">
        <f>VLOOKUP(B8186,'SINAPI-%MO'!B:E,4,0)</f>
        <v>0.33550000000000002</v>
      </c>
      <c r="H8186" s="225">
        <f t="shared" si="127"/>
        <v>54.26</v>
      </c>
    </row>
    <row r="8187" spans="1:8" x14ac:dyDescent="0.3">
      <c r="A8187" s="400"/>
      <c r="B8187" s="709">
        <v>104384</v>
      </c>
      <c r="C8187" s="710" t="s">
        <v>6772</v>
      </c>
      <c r="D8187" s="709" t="s">
        <v>168</v>
      </c>
      <c r="E8187" s="716">
        <v>0</v>
      </c>
      <c r="F8187" s="717"/>
      <c r="G8187" t="e">
        <f>VLOOKUP(B8187,'SINAPI-%MO'!B:E,4,0)</f>
        <v>#N/A</v>
      </c>
      <c r="H8187" s="225" t="str">
        <f t="shared" si="127"/>
        <v/>
      </c>
    </row>
    <row r="8188" spans="1:8" x14ac:dyDescent="0.3">
      <c r="A8188" s="400"/>
      <c r="B8188" s="709">
        <v>101170</v>
      </c>
      <c r="C8188" s="710" t="s">
        <v>6773</v>
      </c>
      <c r="D8188" s="709" t="s">
        <v>168</v>
      </c>
      <c r="E8188" s="716">
        <v>49.15</v>
      </c>
      <c r="F8188" s="717">
        <v>7.0199999999999999E-2</v>
      </c>
      <c r="G8188">
        <f>VLOOKUP(B8188,'SINAPI-%MO'!B:E,4,0)</f>
        <v>0.33629999999999999</v>
      </c>
      <c r="H8188" s="225">
        <f t="shared" si="127"/>
        <v>32.619999999999997</v>
      </c>
    </row>
    <row r="8189" spans="1:8" x14ac:dyDescent="0.3">
      <c r="A8189" s="400"/>
      <c r="B8189" s="709">
        <v>104438</v>
      </c>
      <c r="C8189" s="710" t="s">
        <v>6774</v>
      </c>
      <c r="D8189" s="709" t="s">
        <v>168</v>
      </c>
      <c r="E8189" s="716">
        <v>0</v>
      </c>
      <c r="F8189" s="717"/>
      <c r="G8189" t="e">
        <f>VLOOKUP(B8189,'SINAPI-%MO'!B:E,4,0)</f>
        <v>#N/A</v>
      </c>
      <c r="H8189" s="225" t="str">
        <f t="shared" si="127"/>
        <v/>
      </c>
    </row>
    <row r="8190" spans="1:8" x14ac:dyDescent="0.3">
      <c r="A8190" s="400"/>
      <c r="B8190" s="709">
        <v>92402</v>
      </c>
      <c r="C8190" s="710" t="s">
        <v>6775</v>
      </c>
      <c r="D8190" s="709" t="s">
        <v>168</v>
      </c>
      <c r="E8190" s="716">
        <v>81.22</v>
      </c>
      <c r="F8190" s="717">
        <v>0</v>
      </c>
      <c r="G8190">
        <f>VLOOKUP(B8190,'SINAPI-%MO'!B:E,4,0)</f>
        <v>0.2107</v>
      </c>
      <c r="H8190" s="225">
        <f t="shared" si="127"/>
        <v>64.099999999999994</v>
      </c>
    </row>
    <row r="8191" spans="1:8" x14ac:dyDescent="0.3">
      <c r="A8191" s="400"/>
      <c r="B8191" s="709">
        <v>104429</v>
      </c>
      <c r="C8191" s="710" t="s">
        <v>6776</v>
      </c>
      <c r="D8191" s="709" t="s">
        <v>168</v>
      </c>
      <c r="E8191" s="716">
        <v>0</v>
      </c>
      <c r="F8191" s="717"/>
      <c r="G8191" t="e">
        <f>VLOOKUP(B8191,'SINAPI-%MO'!B:E,4,0)</f>
        <v>#N/A</v>
      </c>
      <c r="H8191" s="225" t="str">
        <f t="shared" si="127"/>
        <v/>
      </c>
    </row>
    <row r="8192" spans="1:8" x14ac:dyDescent="0.3">
      <c r="A8192" s="400"/>
      <c r="B8192" s="709">
        <v>104426</v>
      </c>
      <c r="C8192" s="710" t="s">
        <v>6777</v>
      </c>
      <c r="D8192" s="709" t="s">
        <v>168</v>
      </c>
      <c r="E8192" s="716">
        <v>0</v>
      </c>
      <c r="F8192" s="717"/>
      <c r="G8192" t="e">
        <f>VLOOKUP(B8192,'SINAPI-%MO'!B:E,4,0)</f>
        <v>#N/A</v>
      </c>
      <c r="H8192" s="225" t="str">
        <f t="shared" si="127"/>
        <v/>
      </c>
    </row>
    <row r="8193" spans="1:8" x14ac:dyDescent="0.3">
      <c r="A8193" s="400"/>
      <c r="B8193" s="709">
        <v>104436</v>
      </c>
      <c r="C8193" s="710" t="s">
        <v>6778</v>
      </c>
      <c r="D8193" s="709" t="s">
        <v>168</v>
      </c>
      <c r="E8193" s="716">
        <v>0</v>
      </c>
      <c r="F8193" s="717"/>
      <c r="G8193" t="e">
        <f>VLOOKUP(B8193,'SINAPI-%MO'!B:E,4,0)</f>
        <v>#N/A</v>
      </c>
      <c r="H8193" s="225" t="str">
        <f t="shared" si="127"/>
        <v/>
      </c>
    </row>
    <row r="8194" spans="1:8" x14ac:dyDescent="0.3">
      <c r="A8194" s="400"/>
      <c r="B8194" s="709">
        <v>104434</v>
      </c>
      <c r="C8194" s="710" t="s">
        <v>6779</v>
      </c>
      <c r="D8194" s="709" t="s">
        <v>168</v>
      </c>
      <c r="E8194" s="716">
        <v>0</v>
      </c>
      <c r="F8194" s="717"/>
      <c r="G8194" t="e">
        <f>VLOOKUP(B8194,'SINAPI-%MO'!B:E,4,0)</f>
        <v>#N/A</v>
      </c>
      <c r="H8194" s="225" t="str">
        <f t="shared" si="127"/>
        <v/>
      </c>
    </row>
    <row r="8195" spans="1:8" x14ac:dyDescent="0.3">
      <c r="A8195" s="400"/>
      <c r="B8195" s="709">
        <v>104432</v>
      </c>
      <c r="C8195" s="710" t="s">
        <v>6780</v>
      </c>
      <c r="D8195" s="709" t="s">
        <v>168</v>
      </c>
      <c r="E8195" s="716">
        <v>102.29</v>
      </c>
      <c r="F8195" s="717">
        <v>0</v>
      </c>
      <c r="G8195">
        <f>VLOOKUP(B8195,'SINAPI-%MO'!B:E,4,0)</f>
        <v>0.22620000000000001</v>
      </c>
      <c r="H8195" s="225">
        <f t="shared" si="127"/>
        <v>79.150000000000006</v>
      </c>
    </row>
    <row r="8196" spans="1:8" x14ac:dyDescent="0.3">
      <c r="A8196" s="400"/>
      <c r="B8196" s="709">
        <v>93679</v>
      </c>
      <c r="C8196" s="710" t="s">
        <v>6781</v>
      </c>
      <c r="D8196" s="709" t="s">
        <v>168</v>
      </c>
      <c r="E8196" s="716">
        <v>98.47</v>
      </c>
      <c r="F8196" s="717">
        <v>0</v>
      </c>
      <c r="G8196">
        <f>VLOOKUP(B8196,'SINAPI-%MO'!B:E,4,0)</f>
        <v>0.20100000000000001</v>
      </c>
      <c r="H8196" s="225">
        <f t="shared" si="127"/>
        <v>78.67</v>
      </c>
    </row>
    <row r="8197" spans="1:8" x14ac:dyDescent="0.3">
      <c r="A8197" s="400"/>
      <c r="B8197" s="709">
        <v>92396</v>
      </c>
      <c r="C8197" s="710" t="s">
        <v>6782</v>
      </c>
      <c r="D8197" s="709" t="s">
        <v>168</v>
      </c>
      <c r="E8197" s="716">
        <v>83.61</v>
      </c>
      <c r="F8197" s="717">
        <v>0</v>
      </c>
      <c r="G8197">
        <f>VLOOKUP(B8197,'SINAPI-%MO'!B:E,4,0)</f>
        <v>0.23669999999999999</v>
      </c>
      <c r="H8197" s="225">
        <f t="shared" si="127"/>
        <v>63.81</v>
      </c>
    </row>
    <row r="8198" spans="1:8" x14ac:dyDescent="0.3">
      <c r="A8198" s="400"/>
      <c r="B8198" s="709">
        <v>104439</v>
      </c>
      <c r="C8198" s="710" t="s">
        <v>6783</v>
      </c>
      <c r="D8198" s="709" t="s">
        <v>168</v>
      </c>
      <c r="E8198" s="716">
        <v>0</v>
      </c>
      <c r="F8198" s="717"/>
      <c r="G8198" t="e">
        <f>VLOOKUP(B8198,'SINAPI-%MO'!B:E,4,0)</f>
        <v>#N/A</v>
      </c>
      <c r="H8198" s="225" t="str">
        <f t="shared" si="127"/>
        <v/>
      </c>
    </row>
    <row r="8199" spans="1:8" x14ac:dyDescent="0.3">
      <c r="A8199" s="400"/>
      <c r="B8199" s="709">
        <v>104440</v>
      </c>
      <c r="C8199" s="710" t="s">
        <v>6784</v>
      </c>
      <c r="D8199" s="709" t="s">
        <v>168</v>
      </c>
      <c r="E8199" s="716">
        <v>0</v>
      </c>
      <c r="F8199" s="717"/>
      <c r="G8199" t="e">
        <f>VLOOKUP(B8199,'SINAPI-%MO'!B:E,4,0)</f>
        <v>#N/A</v>
      </c>
      <c r="H8199" s="225" t="str">
        <f t="shared" si="127"/>
        <v/>
      </c>
    </row>
    <row r="8200" spans="1:8" x14ac:dyDescent="0.3">
      <c r="A8200" s="400"/>
      <c r="B8200" s="709">
        <v>92406</v>
      </c>
      <c r="C8200" s="710" t="s">
        <v>6785</v>
      </c>
      <c r="D8200" s="709" t="s">
        <v>168</v>
      </c>
      <c r="E8200" s="716">
        <v>137.80000000000001</v>
      </c>
      <c r="F8200" s="717">
        <v>0</v>
      </c>
      <c r="G8200">
        <f>VLOOKUP(B8200,'SINAPI-%MO'!B:E,4,0)</f>
        <v>0.10580000000000001</v>
      </c>
      <c r="H8200" s="225">
        <f t="shared" si="127"/>
        <v>123.22</v>
      </c>
    </row>
    <row r="8201" spans="1:8" x14ac:dyDescent="0.3">
      <c r="A8201" s="400"/>
      <c r="B8201" s="709">
        <v>92403</v>
      </c>
      <c r="C8201" s="710" t="s">
        <v>6786</v>
      </c>
      <c r="D8201" s="709" t="s">
        <v>168</v>
      </c>
      <c r="E8201" s="716">
        <v>69.83</v>
      </c>
      <c r="F8201" s="717">
        <v>0</v>
      </c>
      <c r="G8201">
        <f>VLOOKUP(B8201,'SINAPI-%MO'!B:E,4,0)</f>
        <v>0.115</v>
      </c>
      <c r="H8201" s="225">
        <f t="shared" si="127"/>
        <v>61.79</v>
      </c>
    </row>
    <row r="8202" spans="1:8" x14ac:dyDescent="0.3">
      <c r="A8202" s="400"/>
      <c r="B8202" s="709">
        <v>92404</v>
      </c>
      <c r="C8202" s="710" t="s">
        <v>6787</v>
      </c>
      <c r="D8202" s="709" t="s">
        <v>168</v>
      </c>
      <c r="E8202" s="716">
        <v>80.89</v>
      </c>
      <c r="F8202" s="717">
        <v>0</v>
      </c>
      <c r="G8202">
        <f>VLOOKUP(B8202,'SINAPI-%MO'!B:E,4,0)</f>
        <v>0.13980000000000001</v>
      </c>
      <c r="H8202" s="225">
        <f t="shared" si="127"/>
        <v>69.58</v>
      </c>
    </row>
    <row r="8203" spans="1:8" x14ac:dyDescent="0.3">
      <c r="A8203" s="400"/>
      <c r="B8203" s="709">
        <v>104430</v>
      </c>
      <c r="C8203" s="710" t="s">
        <v>6788</v>
      </c>
      <c r="D8203" s="709" t="s">
        <v>168</v>
      </c>
      <c r="E8203" s="716">
        <v>0</v>
      </c>
      <c r="F8203" s="717"/>
      <c r="G8203" t="e">
        <f>VLOOKUP(B8203,'SINAPI-%MO'!B:E,4,0)</f>
        <v>#N/A</v>
      </c>
      <c r="H8203" s="225" t="str">
        <f t="shared" ref="H8203:H8266" si="128">IF(E8203&gt;0,TRUNC(E8203*(1-G8203),2),"")</f>
        <v/>
      </c>
    </row>
    <row r="8204" spans="1:8" x14ac:dyDescent="0.3">
      <c r="A8204" s="400"/>
      <c r="B8204" s="709">
        <v>104431</v>
      </c>
      <c r="C8204" s="710" t="s">
        <v>6789</v>
      </c>
      <c r="D8204" s="709" t="s">
        <v>168</v>
      </c>
      <c r="E8204" s="716">
        <v>0</v>
      </c>
      <c r="F8204" s="717"/>
      <c r="G8204" t="e">
        <f>VLOOKUP(B8204,'SINAPI-%MO'!B:E,4,0)</f>
        <v>#N/A</v>
      </c>
      <c r="H8204" s="225" t="str">
        <f t="shared" si="128"/>
        <v/>
      </c>
    </row>
    <row r="8205" spans="1:8" x14ac:dyDescent="0.3">
      <c r="A8205" s="400"/>
      <c r="B8205" s="709">
        <v>104427</v>
      </c>
      <c r="C8205" s="710" t="s">
        <v>6790</v>
      </c>
      <c r="D8205" s="709" t="s">
        <v>168</v>
      </c>
      <c r="E8205" s="716">
        <v>0</v>
      </c>
      <c r="F8205" s="717"/>
      <c r="G8205" t="e">
        <f>VLOOKUP(B8205,'SINAPI-%MO'!B:E,4,0)</f>
        <v>#N/A</v>
      </c>
      <c r="H8205" s="225" t="str">
        <f t="shared" si="128"/>
        <v/>
      </c>
    </row>
    <row r="8206" spans="1:8" x14ac:dyDescent="0.3">
      <c r="A8206" s="400"/>
      <c r="B8206" s="709">
        <v>104428</v>
      </c>
      <c r="C8206" s="710" t="s">
        <v>6791</v>
      </c>
      <c r="D8206" s="709" t="s">
        <v>168</v>
      </c>
      <c r="E8206" s="716">
        <v>0</v>
      </c>
      <c r="F8206" s="717"/>
      <c r="G8206" t="e">
        <f>VLOOKUP(B8206,'SINAPI-%MO'!B:E,4,0)</f>
        <v>#N/A</v>
      </c>
      <c r="H8206" s="225" t="str">
        <f t="shared" si="128"/>
        <v/>
      </c>
    </row>
    <row r="8207" spans="1:8" x14ac:dyDescent="0.3">
      <c r="A8207" s="400"/>
      <c r="B8207" s="709">
        <v>92391</v>
      </c>
      <c r="C8207" s="710" t="s">
        <v>6792</v>
      </c>
      <c r="D8207" s="709" t="s">
        <v>168</v>
      </c>
      <c r="E8207" s="716">
        <v>75.23</v>
      </c>
      <c r="F8207" s="717">
        <v>0</v>
      </c>
      <c r="G8207">
        <f>VLOOKUP(B8207,'SINAPI-%MO'!B:E,4,0)</f>
        <v>6.7900000000000002E-2</v>
      </c>
      <c r="H8207" s="225">
        <f t="shared" si="128"/>
        <v>70.12</v>
      </c>
    </row>
    <row r="8208" spans="1:8" x14ac:dyDescent="0.3">
      <c r="A8208" s="400"/>
      <c r="B8208" s="709">
        <v>92392</v>
      </c>
      <c r="C8208" s="710" t="s">
        <v>6793</v>
      </c>
      <c r="D8208" s="709" t="s">
        <v>168</v>
      </c>
      <c r="E8208" s="716">
        <v>82.3</v>
      </c>
      <c r="F8208" s="717">
        <v>0</v>
      </c>
      <c r="G8208">
        <f>VLOOKUP(B8208,'SINAPI-%MO'!B:E,4,0)</f>
        <v>6.9699999999999998E-2</v>
      </c>
      <c r="H8208" s="225">
        <f t="shared" si="128"/>
        <v>76.56</v>
      </c>
    </row>
    <row r="8209" spans="1:8" x14ac:dyDescent="0.3">
      <c r="A8209" s="400"/>
      <c r="B8209" s="709">
        <v>104437</v>
      </c>
      <c r="C8209" s="710" t="s">
        <v>6794</v>
      </c>
      <c r="D8209" s="709" t="s">
        <v>168</v>
      </c>
      <c r="E8209" s="716">
        <v>0</v>
      </c>
      <c r="F8209" s="717"/>
      <c r="G8209" t="e">
        <f>VLOOKUP(B8209,'SINAPI-%MO'!B:E,4,0)</f>
        <v>#N/A</v>
      </c>
      <c r="H8209" s="225" t="str">
        <f t="shared" si="128"/>
        <v/>
      </c>
    </row>
    <row r="8210" spans="1:8" x14ac:dyDescent="0.3">
      <c r="A8210" s="400"/>
      <c r="B8210" s="709">
        <v>104435</v>
      </c>
      <c r="C8210" s="710" t="s">
        <v>6795</v>
      </c>
      <c r="D8210" s="709" t="s">
        <v>168</v>
      </c>
      <c r="E8210" s="716">
        <v>0</v>
      </c>
      <c r="F8210" s="717"/>
      <c r="G8210" t="e">
        <f>VLOOKUP(B8210,'SINAPI-%MO'!B:E,4,0)</f>
        <v>#N/A</v>
      </c>
      <c r="H8210" s="225" t="str">
        <f t="shared" si="128"/>
        <v/>
      </c>
    </row>
    <row r="8211" spans="1:8" x14ac:dyDescent="0.3">
      <c r="A8211" s="400"/>
      <c r="B8211" s="709">
        <v>104433</v>
      </c>
      <c r="C8211" s="710" t="s">
        <v>6796</v>
      </c>
      <c r="D8211" s="709" t="s">
        <v>168</v>
      </c>
      <c r="E8211" s="716">
        <v>89.51</v>
      </c>
      <c r="F8211" s="717">
        <v>0</v>
      </c>
      <c r="G8211">
        <f>VLOOKUP(B8211,'SINAPI-%MO'!B:E,4,0)</f>
        <v>0.14480000000000001</v>
      </c>
      <c r="H8211" s="225">
        <f t="shared" si="128"/>
        <v>76.540000000000006</v>
      </c>
    </row>
    <row r="8212" spans="1:8" x14ac:dyDescent="0.3">
      <c r="A8212" s="400"/>
      <c r="B8212" s="709">
        <v>93680</v>
      </c>
      <c r="C8212" s="710" t="s">
        <v>6797</v>
      </c>
      <c r="D8212" s="709" t="s">
        <v>168</v>
      </c>
      <c r="E8212" s="716">
        <v>87.03</v>
      </c>
      <c r="F8212" s="717">
        <v>0</v>
      </c>
      <c r="G8212">
        <f>VLOOKUP(B8212,'SINAPI-%MO'!B:E,4,0)</f>
        <v>0.1229</v>
      </c>
      <c r="H8212" s="225">
        <f t="shared" si="128"/>
        <v>76.33</v>
      </c>
    </row>
    <row r="8213" spans="1:8" x14ac:dyDescent="0.3">
      <c r="A8213" s="400"/>
      <c r="B8213" s="709">
        <v>93681</v>
      </c>
      <c r="C8213" s="710" t="s">
        <v>6798</v>
      </c>
      <c r="D8213" s="709" t="s">
        <v>168</v>
      </c>
      <c r="E8213" s="716">
        <v>103.87</v>
      </c>
      <c r="F8213" s="717">
        <v>0</v>
      </c>
      <c r="G8213">
        <f>VLOOKUP(B8213,'SINAPI-%MO'!B:E,4,0)</f>
        <v>0.1346</v>
      </c>
      <c r="H8213" s="225">
        <f t="shared" si="128"/>
        <v>89.88</v>
      </c>
    </row>
    <row r="8214" spans="1:8" x14ac:dyDescent="0.3">
      <c r="A8214" s="400"/>
      <c r="B8214" s="709">
        <v>92397</v>
      </c>
      <c r="C8214" s="710" t="s">
        <v>6799</v>
      </c>
      <c r="D8214" s="709" t="s">
        <v>168</v>
      </c>
      <c r="E8214" s="716">
        <v>72.540000000000006</v>
      </c>
      <c r="F8214" s="717">
        <v>0</v>
      </c>
      <c r="G8214">
        <f>VLOOKUP(B8214,'SINAPI-%MO'!B:E,4,0)</f>
        <v>0.14749999999999999</v>
      </c>
      <c r="H8214" s="225">
        <f t="shared" si="128"/>
        <v>61.84</v>
      </c>
    </row>
    <row r="8215" spans="1:8" x14ac:dyDescent="0.3">
      <c r="A8215" s="400"/>
      <c r="B8215" s="709">
        <v>92398</v>
      </c>
      <c r="C8215" s="710" t="s">
        <v>6800</v>
      </c>
      <c r="D8215" s="709" t="s">
        <v>168</v>
      </c>
      <c r="E8215" s="716">
        <v>83.6</v>
      </c>
      <c r="F8215" s="717">
        <v>0</v>
      </c>
      <c r="G8215">
        <f>VLOOKUP(B8215,'SINAPI-%MO'!B:E,4,0)</f>
        <v>0.16719999999999999</v>
      </c>
      <c r="H8215" s="225">
        <f t="shared" si="128"/>
        <v>69.62</v>
      </c>
    </row>
    <row r="8216" spans="1:8" x14ac:dyDescent="0.3">
      <c r="A8216" s="400"/>
      <c r="B8216" s="709">
        <v>92400</v>
      </c>
      <c r="C8216" s="710" t="s">
        <v>6801</v>
      </c>
      <c r="D8216" s="709" t="s">
        <v>168</v>
      </c>
      <c r="E8216" s="716">
        <v>97.56</v>
      </c>
      <c r="F8216" s="717">
        <v>0</v>
      </c>
      <c r="G8216">
        <f>VLOOKUP(B8216,'SINAPI-%MO'!B:E,4,0)</f>
        <v>0.1769</v>
      </c>
      <c r="H8216" s="225">
        <f t="shared" si="128"/>
        <v>80.3</v>
      </c>
    </row>
    <row r="8217" spans="1:8" x14ac:dyDescent="0.3">
      <c r="A8217" s="400"/>
      <c r="B8217" s="709">
        <v>92395</v>
      </c>
      <c r="C8217" s="710" t="s">
        <v>6802</v>
      </c>
      <c r="D8217" s="709" t="s">
        <v>168</v>
      </c>
      <c r="E8217" s="716">
        <v>118.27</v>
      </c>
      <c r="F8217" s="717">
        <v>0</v>
      </c>
      <c r="G8217">
        <f>VLOOKUP(B8217,'SINAPI-%MO'!B:E,4,0)</f>
        <v>0.1032</v>
      </c>
      <c r="H8217" s="225">
        <f t="shared" si="128"/>
        <v>106.06</v>
      </c>
    </row>
    <row r="8218" spans="1:8" x14ac:dyDescent="0.3">
      <c r="A8218" s="400"/>
      <c r="B8218" s="709">
        <v>92393</v>
      </c>
      <c r="C8218" s="710" t="s">
        <v>6803</v>
      </c>
      <c r="D8218" s="709" t="s">
        <v>168</v>
      </c>
      <c r="E8218" s="716">
        <v>75.75</v>
      </c>
      <c r="F8218" s="717">
        <v>0</v>
      </c>
      <c r="G8218">
        <f>VLOOKUP(B8218,'SINAPI-%MO'!B:E,4,0)</f>
        <v>8.6699999999999999E-2</v>
      </c>
      <c r="H8218" s="225">
        <f t="shared" si="128"/>
        <v>69.180000000000007</v>
      </c>
    </row>
    <row r="8219" spans="1:8" x14ac:dyDescent="0.3">
      <c r="A8219" s="400"/>
      <c r="B8219" s="709">
        <v>92394</v>
      </c>
      <c r="C8219" s="710" t="s">
        <v>6804</v>
      </c>
      <c r="D8219" s="709" t="s">
        <v>168</v>
      </c>
      <c r="E8219" s="716">
        <v>90.71</v>
      </c>
      <c r="F8219" s="717">
        <v>0</v>
      </c>
      <c r="G8219">
        <f>VLOOKUP(B8219,'SINAPI-%MO'!B:E,4,0)</f>
        <v>9.8599999999999993E-2</v>
      </c>
      <c r="H8219" s="225">
        <f t="shared" si="128"/>
        <v>81.760000000000005</v>
      </c>
    </row>
    <row r="8220" spans="1:8" x14ac:dyDescent="0.3">
      <c r="A8220" s="400"/>
      <c r="B8220" s="709">
        <v>97115</v>
      </c>
      <c r="C8220" s="710" t="s">
        <v>6805</v>
      </c>
      <c r="D8220" s="709" t="s">
        <v>175</v>
      </c>
      <c r="E8220" s="716">
        <v>64.709999999999994</v>
      </c>
      <c r="F8220" s="717">
        <v>0</v>
      </c>
      <c r="G8220">
        <f>VLOOKUP(B8220,'SINAPI-%MO'!B:E,4,0)</f>
        <v>0.2576</v>
      </c>
      <c r="H8220" s="225">
        <f t="shared" si="128"/>
        <v>48.04</v>
      </c>
    </row>
    <row r="8221" spans="1:8" x14ac:dyDescent="0.3">
      <c r="A8221" s="400"/>
      <c r="B8221" s="709">
        <v>97113</v>
      </c>
      <c r="C8221" s="710" t="s">
        <v>6806</v>
      </c>
      <c r="D8221" s="709" t="s">
        <v>168</v>
      </c>
      <c r="E8221" s="716">
        <v>2.82</v>
      </c>
      <c r="F8221" s="717">
        <v>0</v>
      </c>
      <c r="G8221">
        <f>VLOOKUP(B8221,'SINAPI-%MO'!B:E,4,0)</f>
        <v>0.10639999999999999</v>
      </c>
      <c r="H8221" s="225">
        <f t="shared" si="128"/>
        <v>2.5099999999999998</v>
      </c>
    </row>
    <row r="8222" spans="1:8" x14ac:dyDescent="0.3">
      <c r="A8222" s="400"/>
      <c r="B8222" s="709">
        <v>97120</v>
      </c>
      <c r="C8222" s="710" t="s">
        <v>6807</v>
      </c>
      <c r="D8222" s="709" t="s">
        <v>175</v>
      </c>
      <c r="E8222" s="716">
        <v>8.92</v>
      </c>
      <c r="F8222" s="717">
        <v>0</v>
      </c>
      <c r="G8222">
        <f>VLOOKUP(B8222,'SINAPI-%MO'!B:E,4,0)</f>
        <v>0.1895</v>
      </c>
      <c r="H8222" s="225">
        <f t="shared" si="128"/>
        <v>7.22</v>
      </c>
    </row>
    <row r="8223" spans="1:8" x14ac:dyDescent="0.3">
      <c r="A8223" s="400"/>
      <c r="B8223" s="709">
        <v>97116</v>
      </c>
      <c r="C8223" s="710" t="s">
        <v>6808</v>
      </c>
      <c r="D8223" s="709" t="s">
        <v>175</v>
      </c>
      <c r="E8223" s="716">
        <v>23.04</v>
      </c>
      <c r="F8223" s="717">
        <v>0</v>
      </c>
      <c r="G8223">
        <f>VLOOKUP(B8223,'SINAPI-%MO'!B:E,4,0)</f>
        <v>0.47049999999999997</v>
      </c>
      <c r="H8223" s="225">
        <f t="shared" si="128"/>
        <v>12.19</v>
      </c>
    </row>
    <row r="8224" spans="1:8" x14ac:dyDescent="0.3">
      <c r="A8224" s="400"/>
      <c r="B8224" s="709">
        <v>97117</v>
      </c>
      <c r="C8224" s="710" t="s">
        <v>6809</v>
      </c>
      <c r="D8224" s="709" t="s">
        <v>175</v>
      </c>
      <c r="E8224" s="716">
        <v>19.46</v>
      </c>
      <c r="F8224" s="717">
        <v>0</v>
      </c>
      <c r="G8224">
        <f>VLOOKUP(B8224,'SINAPI-%MO'!B:E,4,0)</f>
        <v>0.35610000000000003</v>
      </c>
      <c r="H8224" s="225">
        <f t="shared" si="128"/>
        <v>12.53</v>
      </c>
    </row>
    <row r="8225" spans="1:8" x14ac:dyDescent="0.3">
      <c r="A8225" s="400"/>
      <c r="B8225" s="709">
        <v>97118</v>
      </c>
      <c r="C8225" s="710" t="s">
        <v>6810</v>
      </c>
      <c r="D8225" s="709" t="s">
        <v>175</v>
      </c>
      <c r="E8225" s="716">
        <v>15.8</v>
      </c>
      <c r="F8225" s="717">
        <v>0</v>
      </c>
      <c r="G8225">
        <f>VLOOKUP(B8225,'SINAPI-%MO'!B:E,4,0)</f>
        <v>0.28100000000000003</v>
      </c>
      <c r="H8225" s="225">
        <f t="shared" si="128"/>
        <v>11.36</v>
      </c>
    </row>
    <row r="8226" spans="1:8" x14ac:dyDescent="0.3">
      <c r="A8226" s="400"/>
      <c r="B8226" s="709">
        <v>97119</v>
      </c>
      <c r="C8226" s="710" t="s">
        <v>6811</v>
      </c>
      <c r="D8226" s="709" t="s">
        <v>175</v>
      </c>
      <c r="E8226" s="716">
        <v>13.89</v>
      </c>
      <c r="F8226" s="717">
        <v>0</v>
      </c>
      <c r="G8226">
        <f>VLOOKUP(B8226,'SINAPI-%MO'!B:E,4,0)</f>
        <v>0.19439999999999999</v>
      </c>
      <c r="H8226" s="225">
        <f t="shared" si="128"/>
        <v>11.18</v>
      </c>
    </row>
    <row r="8227" spans="1:8" x14ac:dyDescent="0.3">
      <c r="A8227" s="400"/>
      <c r="B8227" s="709">
        <v>97114</v>
      </c>
      <c r="C8227" s="710" t="s">
        <v>6812</v>
      </c>
      <c r="D8227" s="709" t="s">
        <v>159</v>
      </c>
      <c r="E8227" s="716">
        <v>0.44</v>
      </c>
      <c r="F8227" s="717">
        <v>0</v>
      </c>
      <c r="G8227">
        <f>VLOOKUP(B8227,'SINAPI-%MO'!B:E,4,0)</f>
        <v>0.95450000000000002</v>
      </c>
      <c r="H8227" s="225">
        <f t="shared" si="128"/>
        <v>0.02</v>
      </c>
    </row>
    <row r="8228" spans="1:8" x14ac:dyDescent="0.3">
      <c r="A8228" s="400"/>
      <c r="B8228" s="709">
        <v>97111</v>
      </c>
      <c r="C8228" s="710" t="s">
        <v>6813</v>
      </c>
      <c r="D8228" s="709" t="s">
        <v>168</v>
      </c>
      <c r="E8228" s="716">
        <v>241.53</v>
      </c>
      <c r="F8228" s="717">
        <v>1E-4</v>
      </c>
      <c r="G8228">
        <f>VLOOKUP(B8228,'SINAPI-%MO'!B:E,4,0)</f>
        <v>9.9599999999999994E-2</v>
      </c>
      <c r="H8228" s="225">
        <f t="shared" si="128"/>
        <v>217.47</v>
      </c>
    </row>
    <row r="8229" spans="1:8" x14ac:dyDescent="0.3">
      <c r="A8229" s="400"/>
      <c r="B8229" s="709">
        <v>97112</v>
      </c>
      <c r="C8229" s="710" t="s">
        <v>6814</v>
      </c>
      <c r="D8229" s="709" t="s">
        <v>168</v>
      </c>
      <c r="E8229" s="716">
        <v>252.17</v>
      </c>
      <c r="F8229" s="717">
        <v>1E-4</v>
      </c>
      <c r="G8229">
        <f>VLOOKUP(B8229,'SINAPI-%MO'!B:E,4,0)</f>
        <v>0.10009999999999999</v>
      </c>
      <c r="H8229" s="225">
        <f t="shared" si="128"/>
        <v>226.92</v>
      </c>
    </row>
    <row r="8230" spans="1:8" x14ac:dyDescent="0.3">
      <c r="A8230" s="400"/>
      <c r="B8230" s="709">
        <v>103904</v>
      </c>
      <c r="C8230" s="710" t="s">
        <v>6815</v>
      </c>
      <c r="D8230" s="709" t="s">
        <v>168</v>
      </c>
      <c r="E8230" s="716">
        <v>154.09</v>
      </c>
      <c r="F8230" s="717">
        <v>0</v>
      </c>
      <c r="G8230">
        <f>VLOOKUP(B8230,'SINAPI-%MO'!B:E,4,0)</f>
        <v>0.1241</v>
      </c>
      <c r="H8230" s="225">
        <f t="shared" si="128"/>
        <v>134.96</v>
      </c>
    </row>
    <row r="8231" spans="1:8" x14ac:dyDescent="0.3">
      <c r="A8231" s="400"/>
      <c r="B8231" s="709">
        <v>103905</v>
      </c>
      <c r="C8231" s="710" t="s">
        <v>6816</v>
      </c>
      <c r="D8231" s="709" t="s">
        <v>168</v>
      </c>
      <c r="E8231" s="716">
        <v>162.86000000000001</v>
      </c>
      <c r="F8231" s="717">
        <v>1E-4</v>
      </c>
      <c r="G8231">
        <f>VLOOKUP(B8231,'SINAPI-%MO'!B:E,4,0)</f>
        <v>0.1211</v>
      </c>
      <c r="H8231" s="225">
        <f t="shared" si="128"/>
        <v>143.13</v>
      </c>
    </row>
    <row r="8232" spans="1:8" x14ac:dyDescent="0.3">
      <c r="A8232" s="400"/>
      <c r="B8232" s="709">
        <v>103907</v>
      </c>
      <c r="C8232" s="710" t="s">
        <v>6817</v>
      </c>
      <c r="D8232" s="709" t="s">
        <v>168</v>
      </c>
      <c r="E8232" s="716">
        <v>172.22</v>
      </c>
      <c r="F8232" s="717">
        <v>1E-4</v>
      </c>
      <c r="G8232">
        <f>VLOOKUP(B8232,'SINAPI-%MO'!B:E,4,0)</f>
        <v>0.1176</v>
      </c>
      <c r="H8232" s="225">
        <f t="shared" si="128"/>
        <v>151.96</v>
      </c>
    </row>
    <row r="8233" spans="1:8" x14ac:dyDescent="0.3">
      <c r="A8233" s="400"/>
      <c r="B8233" s="709">
        <v>103911</v>
      </c>
      <c r="C8233" s="710" t="s">
        <v>6818</v>
      </c>
      <c r="D8233" s="709" t="s">
        <v>168</v>
      </c>
      <c r="E8233" s="716">
        <v>249.9</v>
      </c>
      <c r="F8233" s="717">
        <v>2.0000000000000001E-4</v>
      </c>
      <c r="G8233">
        <f>VLOOKUP(B8233,'SINAPI-%MO'!B:E,4,0)</f>
        <v>9.7299999999999998E-2</v>
      </c>
      <c r="H8233" s="225">
        <f t="shared" si="128"/>
        <v>225.58</v>
      </c>
    </row>
    <row r="8234" spans="1:8" x14ac:dyDescent="0.3">
      <c r="A8234" s="400"/>
      <c r="B8234" s="709">
        <v>97104</v>
      </c>
      <c r="C8234" s="710" t="s">
        <v>6819</v>
      </c>
      <c r="D8234" s="709" t="s">
        <v>168</v>
      </c>
      <c r="E8234" s="716">
        <v>158.83000000000001</v>
      </c>
      <c r="F8234" s="717">
        <v>0</v>
      </c>
      <c r="G8234">
        <f>VLOOKUP(B8234,'SINAPI-%MO'!B:E,4,0)</f>
        <v>0.12039999999999999</v>
      </c>
      <c r="H8234" s="225">
        <f t="shared" si="128"/>
        <v>139.69999999999999</v>
      </c>
    </row>
    <row r="8235" spans="1:8" x14ac:dyDescent="0.3">
      <c r="A8235" s="400"/>
      <c r="B8235" s="709">
        <v>103906</v>
      </c>
      <c r="C8235" s="710" t="s">
        <v>6820</v>
      </c>
      <c r="D8235" s="709" t="s">
        <v>168</v>
      </c>
      <c r="E8235" s="716">
        <v>195.64</v>
      </c>
      <c r="F8235" s="717">
        <v>1E-4</v>
      </c>
      <c r="G8235">
        <f>VLOOKUP(B8235,'SINAPI-%MO'!B:E,4,0)</f>
        <v>0.13730000000000001</v>
      </c>
      <c r="H8235" s="225">
        <f t="shared" si="128"/>
        <v>168.77</v>
      </c>
    </row>
    <row r="8236" spans="1:8" x14ac:dyDescent="0.3">
      <c r="A8236" s="400"/>
      <c r="B8236" s="709">
        <v>97105</v>
      </c>
      <c r="C8236" s="710" t="s">
        <v>6821</v>
      </c>
      <c r="D8236" s="709" t="s">
        <v>168</v>
      </c>
      <c r="E8236" s="716">
        <v>180.44</v>
      </c>
      <c r="F8236" s="717">
        <v>1E-4</v>
      </c>
      <c r="G8236">
        <f>VLOOKUP(B8236,'SINAPI-%MO'!B:E,4,0)</f>
        <v>0.1138</v>
      </c>
      <c r="H8236" s="225">
        <f t="shared" si="128"/>
        <v>159.9</v>
      </c>
    </row>
    <row r="8237" spans="1:8" x14ac:dyDescent="0.3">
      <c r="A8237" s="400"/>
      <c r="B8237" s="709">
        <v>97106</v>
      </c>
      <c r="C8237" s="710" t="s">
        <v>6822</v>
      </c>
      <c r="D8237" s="709" t="s">
        <v>168</v>
      </c>
      <c r="E8237" s="716">
        <v>201.18</v>
      </c>
      <c r="F8237" s="717">
        <v>1E-4</v>
      </c>
      <c r="G8237">
        <f>VLOOKUP(B8237,'SINAPI-%MO'!B:E,4,0)</f>
        <v>0.10829999999999999</v>
      </c>
      <c r="H8237" s="225">
        <f t="shared" si="128"/>
        <v>179.39</v>
      </c>
    </row>
    <row r="8238" spans="1:8" x14ac:dyDescent="0.3">
      <c r="A8238" s="400"/>
      <c r="B8238" s="709">
        <v>97107</v>
      </c>
      <c r="C8238" s="710" t="s">
        <v>6823</v>
      </c>
      <c r="D8238" s="709" t="s">
        <v>168</v>
      </c>
      <c r="E8238" s="716">
        <v>228.1</v>
      </c>
      <c r="F8238" s="717">
        <v>1E-4</v>
      </c>
      <c r="G8238">
        <f>VLOOKUP(B8238,'SINAPI-%MO'!B:E,4,0)</f>
        <v>0.1012</v>
      </c>
      <c r="H8238" s="225">
        <f t="shared" si="128"/>
        <v>205.01</v>
      </c>
    </row>
    <row r="8239" spans="1:8" x14ac:dyDescent="0.3">
      <c r="A8239" s="400"/>
      <c r="B8239" s="709">
        <v>97108</v>
      </c>
      <c r="C8239" s="710" t="s">
        <v>6824</v>
      </c>
      <c r="D8239" s="709" t="s">
        <v>168</v>
      </c>
      <c r="E8239" s="716">
        <v>257.8</v>
      </c>
      <c r="F8239" s="717">
        <v>2.0000000000000001E-4</v>
      </c>
      <c r="G8239">
        <f>VLOOKUP(B8239,'SINAPI-%MO'!B:E,4,0)</f>
        <v>9.4299999999999995E-2</v>
      </c>
      <c r="H8239" s="225">
        <f t="shared" si="128"/>
        <v>233.48</v>
      </c>
    </row>
    <row r="8240" spans="1:8" x14ac:dyDescent="0.3">
      <c r="A8240" s="400"/>
      <c r="B8240" s="709">
        <v>97109</v>
      </c>
      <c r="C8240" s="710" t="s">
        <v>6825</v>
      </c>
      <c r="D8240" s="709" t="s">
        <v>168</v>
      </c>
      <c r="E8240" s="716">
        <v>284.38</v>
      </c>
      <c r="F8240" s="717">
        <v>1E-4</v>
      </c>
      <c r="G8240">
        <f>VLOOKUP(B8240,'SINAPI-%MO'!B:E,4,0)</f>
        <v>9.3100000000000002E-2</v>
      </c>
      <c r="H8240" s="225">
        <f t="shared" si="128"/>
        <v>257.89999999999998</v>
      </c>
    </row>
    <row r="8241" spans="1:8" x14ac:dyDescent="0.3">
      <c r="A8241" s="400"/>
      <c r="B8241" s="709">
        <v>103913</v>
      </c>
      <c r="C8241" s="710" t="s">
        <v>6826</v>
      </c>
      <c r="D8241" s="709" t="s">
        <v>168</v>
      </c>
      <c r="E8241" s="716">
        <v>141.88</v>
      </c>
      <c r="F8241" s="717">
        <v>0</v>
      </c>
      <c r="G8241">
        <f>VLOOKUP(B8241,'SINAPI-%MO'!B:E,4,0)</f>
        <v>0.1062</v>
      </c>
      <c r="H8241" s="225">
        <f t="shared" si="128"/>
        <v>126.81</v>
      </c>
    </row>
    <row r="8242" spans="1:8" x14ac:dyDescent="0.3">
      <c r="A8242" s="400"/>
      <c r="B8242" s="709">
        <v>103914</v>
      </c>
      <c r="C8242" s="710" t="s">
        <v>6827</v>
      </c>
      <c r="D8242" s="709" t="s">
        <v>168</v>
      </c>
      <c r="E8242" s="716">
        <v>164.81</v>
      </c>
      <c r="F8242" s="717">
        <v>0</v>
      </c>
      <c r="G8242">
        <f>VLOOKUP(B8242,'SINAPI-%MO'!B:E,4,0)</f>
        <v>0.1026</v>
      </c>
      <c r="H8242" s="225">
        <f t="shared" si="128"/>
        <v>147.9</v>
      </c>
    </row>
    <row r="8243" spans="1:8" x14ac:dyDescent="0.3">
      <c r="A8243" s="400"/>
      <c r="B8243" s="709">
        <v>103915</v>
      </c>
      <c r="C8243" s="710" t="s">
        <v>6828</v>
      </c>
      <c r="D8243" s="709" t="s">
        <v>168</v>
      </c>
      <c r="E8243" s="716">
        <v>179.49</v>
      </c>
      <c r="F8243" s="717">
        <v>1E-4</v>
      </c>
      <c r="G8243">
        <f>VLOOKUP(B8243,'SINAPI-%MO'!B:E,4,0)</f>
        <v>0.1</v>
      </c>
      <c r="H8243" s="225">
        <f t="shared" si="128"/>
        <v>161.54</v>
      </c>
    </row>
    <row r="8244" spans="1:8" x14ac:dyDescent="0.3">
      <c r="A8244" s="400"/>
      <c r="B8244" s="709">
        <v>103916</v>
      </c>
      <c r="C8244" s="710" t="s">
        <v>6829</v>
      </c>
      <c r="D8244" s="709" t="s">
        <v>168</v>
      </c>
      <c r="E8244" s="716">
        <v>206.42</v>
      </c>
      <c r="F8244" s="717">
        <v>1E-4</v>
      </c>
      <c r="G8244">
        <f>VLOOKUP(B8244,'SINAPI-%MO'!B:E,4,0)</f>
        <v>9.6600000000000005E-2</v>
      </c>
      <c r="H8244" s="225">
        <f t="shared" si="128"/>
        <v>186.47</v>
      </c>
    </row>
    <row r="8245" spans="1:8" x14ac:dyDescent="0.3">
      <c r="A8245" s="400"/>
      <c r="B8245" s="709">
        <v>103917</v>
      </c>
      <c r="C8245" s="710" t="s">
        <v>6830</v>
      </c>
      <c r="D8245" s="709" t="s">
        <v>168</v>
      </c>
      <c r="E8245" s="716">
        <v>236.58</v>
      </c>
      <c r="F8245" s="717">
        <v>1E-4</v>
      </c>
      <c r="G8245">
        <f>VLOOKUP(B8245,'SINAPI-%MO'!B:E,4,0)</f>
        <v>9.2100000000000001E-2</v>
      </c>
      <c r="H8245" s="225">
        <f t="shared" si="128"/>
        <v>214.79</v>
      </c>
    </row>
    <row r="8246" spans="1:8" x14ac:dyDescent="0.3">
      <c r="A8246" s="400"/>
      <c r="B8246" s="709">
        <v>103918</v>
      </c>
      <c r="C8246" s="710" t="s">
        <v>6831</v>
      </c>
      <c r="D8246" s="709" t="s">
        <v>168</v>
      </c>
      <c r="E8246" s="716">
        <v>251.51</v>
      </c>
      <c r="F8246" s="717">
        <v>2.0000000000000001E-4</v>
      </c>
      <c r="G8246">
        <f>VLOOKUP(B8246,'SINAPI-%MO'!B:E,4,0)</f>
        <v>9.0499999999999997E-2</v>
      </c>
      <c r="H8246" s="225">
        <f t="shared" si="128"/>
        <v>228.74</v>
      </c>
    </row>
    <row r="8247" spans="1:8" x14ac:dyDescent="0.3">
      <c r="A8247" s="400"/>
      <c r="B8247" s="709">
        <v>103919</v>
      </c>
      <c r="C8247" s="710" t="s">
        <v>6832</v>
      </c>
      <c r="D8247" s="709" t="s">
        <v>168</v>
      </c>
      <c r="E8247" s="716">
        <v>0</v>
      </c>
      <c r="F8247" s="717"/>
      <c r="G8247" t="e">
        <f>VLOOKUP(B8247,'SINAPI-%MO'!B:E,4,0)</f>
        <v>#N/A</v>
      </c>
      <c r="H8247" s="225" t="str">
        <f t="shared" si="128"/>
        <v/>
      </c>
    </row>
    <row r="8248" spans="1:8" x14ac:dyDescent="0.3">
      <c r="A8248" s="400"/>
      <c r="B8248" s="709">
        <v>103920</v>
      </c>
      <c r="C8248" s="710" t="s">
        <v>6833</v>
      </c>
      <c r="D8248" s="709" t="s">
        <v>168</v>
      </c>
      <c r="E8248" s="716">
        <v>0</v>
      </c>
      <c r="F8248" s="717"/>
      <c r="G8248" t="e">
        <f>VLOOKUP(B8248,'SINAPI-%MO'!B:E,4,0)</f>
        <v>#N/A</v>
      </c>
      <c r="H8248" s="225" t="str">
        <f t="shared" si="128"/>
        <v/>
      </c>
    </row>
    <row r="8249" spans="1:8" x14ac:dyDescent="0.3">
      <c r="A8249" s="400"/>
      <c r="B8249" s="709">
        <v>103921</v>
      </c>
      <c r="C8249" s="710" t="s">
        <v>6834</v>
      </c>
      <c r="D8249" s="709" t="s">
        <v>168</v>
      </c>
      <c r="E8249" s="716">
        <v>0</v>
      </c>
      <c r="F8249" s="717"/>
      <c r="G8249" t="e">
        <f>VLOOKUP(B8249,'SINAPI-%MO'!B:E,4,0)</f>
        <v>#N/A</v>
      </c>
      <c r="H8249" s="225" t="str">
        <f t="shared" si="128"/>
        <v/>
      </c>
    </row>
    <row r="8250" spans="1:8" x14ac:dyDescent="0.3">
      <c r="A8250" s="400"/>
      <c r="B8250" s="709">
        <v>103922</v>
      </c>
      <c r="C8250" s="710" t="s">
        <v>6835</v>
      </c>
      <c r="D8250" s="709" t="s">
        <v>168</v>
      </c>
      <c r="E8250" s="716">
        <v>0</v>
      </c>
      <c r="F8250" s="717"/>
      <c r="G8250" t="e">
        <f>VLOOKUP(B8250,'SINAPI-%MO'!B:E,4,0)</f>
        <v>#N/A</v>
      </c>
      <c r="H8250" s="225" t="str">
        <f t="shared" si="128"/>
        <v/>
      </c>
    </row>
    <row r="8251" spans="1:8" x14ac:dyDescent="0.3">
      <c r="A8251" s="400"/>
      <c r="B8251" s="709">
        <v>103923</v>
      </c>
      <c r="C8251" s="710" t="s">
        <v>6836</v>
      </c>
      <c r="D8251" s="709" t="s">
        <v>168</v>
      </c>
      <c r="E8251" s="716">
        <v>0</v>
      </c>
      <c r="F8251" s="717"/>
      <c r="G8251" t="e">
        <f>VLOOKUP(B8251,'SINAPI-%MO'!B:E,4,0)</f>
        <v>#N/A</v>
      </c>
      <c r="H8251" s="225" t="str">
        <f t="shared" si="128"/>
        <v/>
      </c>
    </row>
    <row r="8252" spans="1:8" x14ac:dyDescent="0.3">
      <c r="A8252" s="400"/>
      <c r="B8252" s="709">
        <v>103908</v>
      </c>
      <c r="C8252" s="710" t="s">
        <v>6837</v>
      </c>
      <c r="D8252" s="709" t="s">
        <v>168</v>
      </c>
      <c r="E8252" s="716">
        <v>194.85</v>
      </c>
      <c r="F8252" s="717">
        <v>1E-4</v>
      </c>
      <c r="G8252">
        <f>VLOOKUP(B8252,'SINAPI-%MO'!B:E,4,0)</f>
        <v>0.1118</v>
      </c>
      <c r="H8252" s="225">
        <f t="shared" si="128"/>
        <v>173.06</v>
      </c>
    </row>
    <row r="8253" spans="1:8" x14ac:dyDescent="0.3">
      <c r="A8253" s="400"/>
      <c r="B8253" s="709">
        <v>103909</v>
      </c>
      <c r="C8253" s="710" t="s">
        <v>6838</v>
      </c>
      <c r="D8253" s="709" t="s">
        <v>168</v>
      </c>
      <c r="E8253" s="716">
        <v>220.99</v>
      </c>
      <c r="F8253" s="717">
        <v>1E-4</v>
      </c>
      <c r="G8253">
        <f>VLOOKUP(B8253,'SINAPI-%MO'!B:E,4,0)</f>
        <v>0.10440000000000001</v>
      </c>
      <c r="H8253" s="225">
        <f t="shared" si="128"/>
        <v>197.91</v>
      </c>
    </row>
    <row r="8254" spans="1:8" x14ac:dyDescent="0.3">
      <c r="A8254" s="400"/>
      <c r="B8254" s="709">
        <v>103912</v>
      </c>
      <c r="C8254" s="710" t="s">
        <v>6839</v>
      </c>
      <c r="D8254" s="709" t="s">
        <v>168</v>
      </c>
      <c r="E8254" s="716">
        <v>275.68</v>
      </c>
      <c r="F8254" s="717">
        <v>1E-4</v>
      </c>
      <c r="G8254">
        <f>VLOOKUP(B8254,'SINAPI-%MO'!B:E,4,0)</f>
        <v>9.6100000000000005E-2</v>
      </c>
      <c r="H8254" s="225">
        <f t="shared" si="128"/>
        <v>249.18</v>
      </c>
    </row>
    <row r="8255" spans="1:8" x14ac:dyDescent="0.3">
      <c r="A8255" s="400"/>
      <c r="B8255" s="709">
        <v>101979</v>
      </c>
      <c r="C8255" s="710" t="s">
        <v>6840</v>
      </c>
      <c r="D8255" s="709" t="s">
        <v>159</v>
      </c>
      <c r="E8255" s="716">
        <v>43.24</v>
      </c>
      <c r="F8255" s="717">
        <v>0</v>
      </c>
      <c r="G8255">
        <f>VLOOKUP(B8255,'SINAPI-%MO'!B:E,4,0)</f>
        <v>0.1822</v>
      </c>
      <c r="H8255" s="225">
        <f t="shared" si="128"/>
        <v>35.36</v>
      </c>
    </row>
    <row r="8256" spans="1:8" x14ac:dyDescent="0.3">
      <c r="A8256" s="400"/>
      <c r="B8256" s="709">
        <v>101970</v>
      </c>
      <c r="C8256" s="710" t="s">
        <v>6841</v>
      </c>
      <c r="D8256" s="709" t="s">
        <v>159</v>
      </c>
      <c r="E8256" s="716">
        <v>0</v>
      </c>
      <c r="F8256" s="717"/>
      <c r="G8256" t="e">
        <f>VLOOKUP(B8256,'SINAPI-%MO'!B:E,4,0)</f>
        <v>#N/A</v>
      </c>
      <c r="H8256" s="225" t="str">
        <f t="shared" si="128"/>
        <v/>
      </c>
    </row>
    <row r="8257" spans="1:8" x14ac:dyDescent="0.3">
      <c r="A8257" s="400"/>
      <c r="B8257" s="709">
        <v>101972</v>
      </c>
      <c r="C8257" s="710" t="s">
        <v>6842</v>
      </c>
      <c r="D8257" s="709" t="s">
        <v>159</v>
      </c>
      <c r="E8257" s="716">
        <v>0</v>
      </c>
      <c r="F8257" s="717"/>
      <c r="G8257" t="e">
        <f>VLOOKUP(B8257,'SINAPI-%MO'!B:E,4,0)</f>
        <v>#N/A</v>
      </c>
      <c r="H8257" s="225" t="str">
        <f t="shared" si="128"/>
        <v/>
      </c>
    </row>
    <row r="8258" spans="1:8" x14ac:dyDescent="0.3">
      <c r="A8258" s="400"/>
      <c r="B8258" s="709">
        <v>101966</v>
      </c>
      <c r="C8258" s="710" t="s">
        <v>6843</v>
      </c>
      <c r="D8258" s="709" t="s">
        <v>159</v>
      </c>
      <c r="E8258" s="716">
        <v>241.97</v>
      </c>
      <c r="F8258" s="717">
        <v>0</v>
      </c>
      <c r="G8258">
        <f>VLOOKUP(B8258,'SINAPI-%MO'!B:E,4,0)</f>
        <v>6.5299999999999997E-2</v>
      </c>
      <c r="H8258" s="225">
        <f t="shared" si="128"/>
        <v>226.16</v>
      </c>
    </row>
    <row r="8259" spans="1:8" x14ac:dyDescent="0.3">
      <c r="A8259" s="400"/>
      <c r="B8259" s="709">
        <v>101976</v>
      </c>
      <c r="C8259" s="710" t="s">
        <v>6844</v>
      </c>
      <c r="D8259" s="709" t="s">
        <v>159</v>
      </c>
      <c r="E8259" s="716">
        <v>0</v>
      </c>
      <c r="F8259" s="717"/>
      <c r="G8259" t="e">
        <f>VLOOKUP(B8259,'SINAPI-%MO'!B:E,4,0)</f>
        <v>#N/A</v>
      </c>
      <c r="H8259" s="225" t="str">
        <f t="shared" si="128"/>
        <v/>
      </c>
    </row>
    <row r="8260" spans="1:8" x14ac:dyDescent="0.3">
      <c r="A8260" s="400"/>
      <c r="B8260" s="709">
        <v>101978</v>
      </c>
      <c r="C8260" s="710" t="s">
        <v>6845</v>
      </c>
      <c r="D8260" s="709" t="s">
        <v>159</v>
      </c>
      <c r="E8260" s="716">
        <v>0</v>
      </c>
      <c r="F8260" s="717"/>
      <c r="G8260" t="e">
        <f>VLOOKUP(B8260,'SINAPI-%MO'!B:E,4,0)</f>
        <v>#N/A</v>
      </c>
      <c r="H8260" s="225" t="str">
        <f t="shared" si="128"/>
        <v/>
      </c>
    </row>
    <row r="8261" spans="1:8" x14ac:dyDescent="0.3">
      <c r="A8261" s="400"/>
      <c r="B8261" s="709">
        <v>101967</v>
      </c>
      <c r="C8261" s="710" t="s">
        <v>6846</v>
      </c>
      <c r="D8261" s="709" t="s">
        <v>159</v>
      </c>
      <c r="E8261" s="716">
        <v>0</v>
      </c>
      <c r="F8261" s="717"/>
      <c r="G8261" t="e">
        <f>VLOOKUP(B8261,'SINAPI-%MO'!B:E,4,0)</f>
        <v>#N/A</v>
      </c>
      <c r="H8261" s="225" t="str">
        <f t="shared" si="128"/>
        <v/>
      </c>
    </row>
    <row r="8262" spans="1:8" x14ac:dyDescent="0.3">
      <c r="A8262" s="400"/>
      <c r="B8262" s="709">
        <v>101968</v>
      </c>
      <c r="C8262" s="710" t="s">
        <v>6847</v>
      </c>
      <c r="D8262" s="709" t="s">
        <v>159</v>
      </c>
      <c r="E8262" s="716">
        <v>0</v>
      </c>
      <c r="F8262" s="717"/>
      <c r="G8262" t="e">
        <f>VLOOKUP(B8262,'SINAPI-%MO'!B:E,4,0)</f>
        <v>#N/A</v>
      </c>
      <c r="H8262" s="225" t="str">
        <f t="shared" si="128"/>
        <v/>
      </c>
    </row>
    <row r="8263" spans="1:8" x14ac:dyDescent="0.3">
      <c r="A8263" s="400"/>
      <c r="B8263" s="709">
        <v>101965</v>
      </c>
      <c r="C8263" s="710" t="s">
        <v>6848</v>
      </c>
      <c r="D8263" s="709" t="s">
        <v>159</v>
      </c>
      <c r="E8263" s="716">
        <v>186.95</v>
      </c>
      <c r="F8263" s="717">
        <v>0</v>
      </c>
      <c r="G8263">
        <f>VLOOKUP(B8263,'SINAPI-%MO'!B:E,4,0)</f>
        <v>0.1827</v>
      </c>
      <c r="H8263" s="225">
        <f t="shared" si="128"/>
        <v>152.79</v>
      </c>
    </row>
    <row r="8264" spans="1:8" x14ac:dyDescent="0.3">
      <c r="A8264" s="400"/>
      <c r="B8264" s="709">
        <v>104100</v>
      </c>
      <c r="C8264" s="710" t="s">
        <v>6849</v>
      </c>
      <c r="D8264" s="709" t="s">
        <v>168</v>
      </c>
      <c r="E8264" s="716">
        <v>0</v>
      </c>
      <c r="F8264" s="717"/>
      <c r="G8264" t="e">
        <f>VLOOKUP(B8264,'SINAPI-%MO'!B:E,4,0)</f>
        <v>#N/A</v>
      </c>
      <c r="H8264" s="225" t="str">
        <f t="shared" si="128"/>
        <v/>
      </c>
    </row>
    <row r="8265" spans="1:8" x14ac:dyDescent="0.3">
      <c r="A8265" s="400"/>
      <c r="B8265" s="709">
        <v>104099</v>
      </c>
      <c r="C8265" s="710" t="s">
        <v>6850</v>
      </c>
      <c r="D8265" s="709" t="s">
        <v>168</v>
      </c>
      <c r="E8265" s="716">
        <v>0</v>
      </c>
      <c r="F8265" s="717"/>
      <c r="G8265" t="e">
        <f>VLOOKUP(B8265,'SINAPI-%MO'!B:E,4,0)</f>
        <v>#N/A</v>
      </c>
      <c r="H8265" s="225" t="str">
        <f t="shared" si="128"/>
        <v/>
      </c>
    </row>
    <row r="8266" spans="1:8" x14ac:dyDescent="0.3">
      <c r="A8266" s="400"/>
      <c r="B8266" s="709">
        <v>104102</v>
      </c>
      <c r="C8266" s="710" t="s">
        <v>6851</v>
      </c>
      <c r="D8266" s="709" t="s">
        <v>168</v>
      </c>
      <c r="E8266" s="716">
        <v>0</v>
      </c>
      <c r="F8266" s="717"/>
      <c r="G8266" t="e">
        <f>VLOOKUP(B8266,'SINAPI-%MO'!B:E,4,0)</f>
        <v>#N/A</v>
      </c>
      <c r="H8266" s="225" t="str">
        <f t="shared" si="128"/>
        <v/>
      </c>
    </row>
    <row r="8267" spans="1:8" x14ac:dyDescent="0.3">
      <c r="A8267" s="400"/>
      <c r="B8267" s="709">
        <v>104101</v>
      </c>
      <c r="C8267" s="710" t="s">
        <v>6852</v>
      </c>
      <c r="D8267" s="709" t="s">
        <v>168</v>
      </c>
      <c r="E8267" s="716">
        <v>0</v>
      </c>
      <c r="F8267" s="717"/>
      <c r="G8267" t="e">
        <f>VLOOKUP(B8267,'SINAPI-%MO'!B:E,4,0)</f>
        <v>#N/A</v>
      </c>
      <c r="H8267" s="225" t="str">
        <f t="shared" ref="H8267:H8330" si="129">IF(E8267&gt;0,TRUNC(E8267*(1-G8267),2),"")</f>
        <v/>
      </c>
    </row>
    <row r="8268" spans="1:8" x14ac:dyDescent="0.3">
      <c r="A8268" s="400"/>
      <c r="B8268" s="709">
        <v>104103</v>
      </c>
      <c r="C8268" s="710" t="s">
        <v>6853</v>
      </c>
      <c r="D8268" s="709" t="s">
        <v>168</v>
      </c>
      <c r="E8268" s="716">
        <v>0</v>
      </c>
      <c r="F8268" s="717"/>
      <c r="G8268" t="e">
        <f>VLOOKUP(B8268,'SINAPI-%MO'!B:E,4,0)</f>
        <v>#N/A</v>
      </c>
      <c r="H8268" s="225" t="str">
        <f t="shared" si="129"/>
        <v/>
      </c>
    </row>
    <row r="8269" spans="1:8" x14ac:dyDescent="0.3">
      <c r="A8269" s="400"/>
      <c r="B8269" s="709">
        <v>92123</v>
      </c>
      <c r="C8269" s="710" t="s">
        <v>14356</v>
      </c>
      <c r="D8269" s="709" t="s">
        <v>170</v>
      </c>
      <c r="E8269" s="716">
        <v>82.72</v>
      </c>
      <c r="F8269" s="717">
        <v>0</v>
      </c>
      <c r="G8269">
        <f>VLOOKUP(B8269,'SINAPI-%MO'!B:E,4,0)</f>
        <v>0.44850000000000001</v>
      </c>
      <c r="H8269" s="225">
        <f t="shared" si="129"/>
        <v>45.62</v>
      </c>
    </row>
    <row r="8270" spans="1:8" x14ac:dyDescent="0.3">
      <c r="A8270" s="400"/>
      <c r="B8270" s="709">
        <v>106665</v>
      </c>
      <c r="C8270" s="710" t="s">
        <v>15232</v>
      </c>
      <c r="D8270" s="709" t="s">
        <v>170</v>
      </c>
      <c r="E8270" s="716">
        <v>0</v>
      </c>
      <c r="F8270" s="717"/>
      <c r="G8270" t="e">
        <f>VLOOKUP(B8270,'SINAPI-%MO'!B:E,4,0)</f>
        <v>#N/A</v>
      </c>
      <c r="H8270" s="225" t="str">
        <f t="shared" si="129"/>
        <v/>
      </c>
    </row>
    <row r="8271" spans="1:8" x14ac:dyDescent="0.3">
      <c r="A8271" s="400"/>
      <c r="B8271" s="709">
        <v>92122</v>
      </c>
      <c r="C8271" s="710" t="s">
        <v>14357</v>
      </c>
      <c r="D8271" s="709" t="s">
        <v>170</v>
      </c>
      <c r="E8271" s="716">
        <v>86.34</v>
      </c>
      <c r="F8271" s="717">
        <v>0</v>
      </c>
      <c r="G8271">
        <f>VLOOKUP(B8271,'SINAPI-%MO'!B:E,4,0)</f>
        <v>0.91959999999999997</v>
      </c>
      <c r="H8271" s="225">
        <f t="shared" si="129"/>
        <v>6.94</v>
      </c>
    </row>
    <row r="8272" spans="1:8" x14ac:dyDescent="0.3">
      <c r="A8272" s="400"/>
      <c r="B8272" s="709">
        <v>103615</v>
      </c>
      <c r="C8272" s="710" t="s">
        <v>6854</v>
      </c>
      <c r="D8272" s="709" t="s">
        <v>159</v>
      </c>
      <c r="E8272" s="716">
        <v>0</v>
      </c>
      <c r="F8272" s="717"/>
      <c r="G8272" t="e">
        <f>VLOOKUP(B8272,'SINAPI-%MO'!B:E,4,0)</f>
        <v>#N/A</v>
      </c>
      <c r="H8272" s="225" t="str">
        <f t="shared" si="129"/>
        <v/>
      </c>
    </row>
    <row r="8273" spans="1:8" x14ac:dyDescent="0.3">
      <c r="A8273" s="400"/>
      <c r="B8273" s="709">
        <v>103637</v>
      </c>
      <c r="C8273" s="710" t="s">
        <v>6855</v>
      </c>
      <c r="D8273" s="709" t="s">
        <v>159</v>
      </c>
      <c r="E8273" s="716">
        <v>0</v>
      </c>
      <c r="F8273" s="717"/>
      <c r="G8273" t="e">
        <f>VLOOKUP(B8273,'SINAPI-%MO'!B:E,4,0)</f>
        <v>#N/A</v>
      </c>
      <c r="H8273" s="225" t="str">
        <f t="shared" si="129"/>
        <v/>
      </c>
    </row>
    <row r="8274" spans="1:8" x14ac:dyDescent="0.3">
      <c r="A8274" s="400"/>
      <c r="B8274" s="709">
        <v>103593</v>
      </c>
      <c r="C8274" s="710" t="s">
        <v>6856</v>
      </c>
      <c r="D8274" s="709" t="s">
        <v>159</v>
      </c>
      <c r="E8274" s="716">
        <v>0</v>
      </c>
      <c r="F8274" s="717"/>
      <c r="G8274" t="e">
        <f>VLOOKUP(B8274,'SINAPI-%MO'!B:E,4,0)</f>
        <v>#N/A</v>
      </c>
      <c r="H8274" s="225" t="str">
        <f t="shared" si="129"/>
        <v/>
      </c>
    </row>
    <row r="8275" spans="1:8" x14ac:dyDescent="0.3">
      <c r="A8275" s="400"/>
      <c r="B8275" s="709">
        <v>103616</v>
      </c>
      <c r="C8275" s="710" t="s">
        <v>6857</v>
      </c>
      <c r="D8275" s="709" t="s">
        <v>159</v>
      </c>
      <c r="E8275" s="716">
        <v>0</v>
      </c>
      <c r="F8275" s="717"/>
      <c r="G8275" t="e">
        <f>VLOOKUP(B8275,'SINAPI-%MO'!B:E,4,0)</f>
        <v>#N/A</v>
      </c>
      <c r="H8275" s="225" t="str">
        <f t="shared" si="129"/>
        <v/>
      </c>
    </row>
    <row r="8276" spans="1:8" x14ac:dyDescent="0.3">
      <c r="A8276" s="400"/>
      <c r="B8276" s="709">
        <v>103638</v>
      </c>
      <c r="C8276" s="710" t="s">
        <v>6858</v>
      </c>
      <c r="D8276" s="709" t="s">
        <v>159</v>
      </c>
      <c r="E8276" s="716">
        <v>0</v>
      </c>
      <c r="F8276" s="717"/>
      <c r="G8276" t="e">
        <f>VLOOKUP(B8276,'SINAPI-%MO'!B:E,4,0)</f>
        <v>#N/A</v>
      </c>
      <c r="H8276" s="225" t="str">
        <f t="shared" si="129"/>
        <v/>
      </c>
    </row>
    <row r="8277" spans="1:8" x14ac:dyDescent="0.3">
      <c r="A8277" s="400"/>
      <c r="B8277" s="709">
        <v>103594</v>
      </c>
      <c r="C8277" s="710" t="s">
        <v>6859</v>
      </c>
      <c r="D8277" s="709" t="s">
        <v>159</v>
      </c>
      <c r="E8277" s="716">
        <v>0</v>
      </c>
      <c r="F8277" s="717"/>
      <c r="G8277" t="e">
        <f>VLOOKUP(B8277,'SINAPI-%MO'!B:E,4,0)</f>
        <v>#N/A</v>
      </c>
      <c r="H8277" s="225" t="str">
        <f t="shared" si="129"/>
        <v/>
      </c>
    </row>
    <row r="8278" spans="1:8" x14ac:dyDescent="0.3">
      <c r="A8278" s="400"/>
      <c r="B8278" s="709">
        <v>103617</v>
      </c>
      <c r="C8278" s="710" t="s">
        <v>6860</v>
      </c>
      <c r="D8278" s="709" t="s">
        <v>159</v>
      </c>
      <c r="E8278" s="716">
        <v>0</v>
      </c>
      <c r="F8278" s="717"/>
      <c r="G8278" t="e">
        <f>VLOOKUP(B8278,'SINAPI-%MO'!B:E,4,0)</f>
        <v>#N/A</v>
      </c>
      <c r="H8278" s="225" t="str">
        <f t="shared" si="129"/>
        <v/>
      </c>
    </row>
    <row r="8279" spans="1:8" x14ac:dyDescent="0.3">
      <c r="A8279" s="400"/>
      <c r="B8279" s="709">
        <v>103639</v>
      </c>
      <c r="C8279" s="710" t="s">
        <v>6861</v>
      </c>
      <c r="D8279" s="709" t="s">
        <v>159</v>
      </c>
      <c r="E8279" s="716">
        <v>0</v>
      </c>
      <c r="F8279" s="717"/>
      <c r="G8279" t="e">
        <f>VLOOKUP(B8279,'SINAPI-%MO'!B:E,4,0)</f>
        <v>#N/A</v>
      </c>
      <c r="H8279" s="225" t="str">
        <f t="shared" si="129"/>
        <v/>
      </c>
    </row>
    <row r="8280" spans="1:8" x14ac:dyDescent="0.3">
      <c r="A8280" s="400"/>
      <c r="B8280" s="709">
        <v>103595</v>
      </c>
      <c r="C8280" s="710" t="s">
        <v>6862</v>
      </c>
      <c r="D8280" s="709" t="s">
        <v>159</v>
      </c>
      <c r="E8280" s="716">
        <v>0</v>
      </c>
      <c r="F8280" s="717"/>
      <c r="G8280" t="e">
        <f>VLOOKUP(B8280,'SINAPI-%MO'!B:E,4,0)</f>
        <v>#N/A</v>
      </c>
      <c r="H8280" s="225" t="str">
        <f t="shared" si="129"/>
        <v/>
      </c>
    </row>
    <row r="8281" spans="1:8" x14ac:dyDescent="0.3">
      <c r="A8281" s="400"/>
      <c r="B8281" s="709">
        <v>103609</v>
      </c>
      <c r="C8281" s="710" t="s">
        <v>6863</v>
      </c>
      <c r="D8281" s="709" t="s">
        <v>159</v>
      </c>
      <c r="E8281" s="716">
        <v>0</v>
      </c>
      <c r="F8281" s="717"/>
      <c r="G8281" t="e">
        <f>VLOOKUP(B8281,'SINAPI-%MO'!B:E,4,0)</f>
        <v>#N/A</v>
      </c>
      <c r="H8281" s="225" t="str">
        <f t="shared" si="129"/>
        <v/>
      </c>
    </row>
    <row r="8282" spans="1:8" x14ac:dyDescent="0.3">
      <c r="A8282" s="400"/>
      <c r="B8282" s="709">
        <v>103631</v>
      </c>
      <c r="C8282" s="710" t="s">
        <v>6864</v>
      </c>
      <c r="D8282" s="709" t="s">
        <v>159</v>
      </c>
      <c r="E8282" s="716">
        <v>0</v>
      </c>
      <c r="F8282" s="717"/>
      <c r="G8282" t="e">
        <f>VLOOKUP(B8282,'SINAPI-%MO'!B:E,4,0)</f>
        <v>#N/A</v>
      </c>
      <c r="H8282" s="225" t="str">
        <f t="shared" si="129"/>
        <v/>
      </c>
    </row>
    <row r="8283" spans="1:8" x14ac:dyDescent="0.3">
      <c r="A8283" s="400"/>
      <c r="B8283" s="709">
        <v>103587</v>
      </c>
      <c r="C8283" s="710" t="s">
        <v>6865</v>
      </c>
      <c r="D8283" s="709" t="s">
        <v>159</v>
      </c>
      <c r="E8283" s="716">
        <v>0</v>
      </c>
      <c r="F8283" s="717"/>
      <c r="G8283" t="e">
        <f>VLOOKUP(B8283,'SINAPI-%MO'!B:E,4,0)</f>
        <v>#N/A</v>
      </c>
      <c r="H8283" s="225" t="str">
        <f t="shared" si="129"/>
        <v/>
      </c>
    </row>
    <row r="8284" spans="1:8" x14ac:dyDescent="0.3">
      <c r="A8284" s="400"/>
      <c r="B8284" s="709">
        <v>103618</v>
      </c>
      <c r="C8284" s="710" t="s">
        <v>6866</v>
      </c>
      <c r="D8284" s="709" t="s">
        <v>159</v>
      </c>
      <c r="E8284" s="716">
        <v>0</v>
      </c>
      <c r="F8284" s="717"/>
      <c r="G8284" t="e">
        <f>VLOOKUP(B8284,'SINAPI-%MO'!B:E,4,0)</f>
        <v>#N/A</v>
      </c>
      <c r="H8284" s="225" t="str">
        <f t="shared" si="129"/>
        <v/>
      </c>
    </row>
    <row r="8285" spans="1:8" x14ac:dyDescent="0.3">
      <c r="A8285" s="400"/>
      <c r="B8285" s="709">
        <v>103640</v>
      </c>
      <c r="C8285" s="710" t="s">
        <v>6867</v>
      </c>
      <c r="D8285" s="709" t="s">
        <v>159</v>
      </c>
      <c r="E8285" s="716">
        <v>0</v>
      </c>
      <c r="F8285" s="717"/>
      <c r="G8285" t="e">
        <f>VLOOKUP(B8285,'SINAPI-%MO'!B:E,4,0)</f>
        <v>#N/A</v>
      </c>
      <c r="H8285" s="225" t="str">
        <f t="shared" si="129"/>
        <v/>
      </c>
    </row>
    <row r="8286" spans="1:8" x14ac:dyDescent="0.3">
      <c r="A8286" s="400"/>
      <c r="B8286" s="709">
        <v>103596</v>
      </c>
      <c r="C8286" s="710" t="s">
        <v>6868</v>
      </c>
      <c r="D8286" s="709" t="s">
        <v>159</v>
      </c>
      <c r="E8286" s="716">
        <v>0</v>
      </c>
      <c r="F8286" s="717"/>
      <c r="G8286" t="e">
        <f>VLOOKUP(B8286,'SINAPI-%MO'!B:E,4,0)</f>
        <v>#N/A</v>
      </c>
      <c r="H8286" s="225" t="str">
        <f t="shared" si="129"/>
        <v/>
      </c>
    </row>
    <row r="8287" spans="1:8" x14ac:dyDescent="0.3">
      <c r="A8287" s="400"/>
      <c r="B8287" s="709">
        <v>103619</v>
      </c>
      <c r="C8287" s="710" t="s">
        <v>6869</v>
      </c>
      <c r="D8287" s="709" t="s">
        <v>159</v>
      </c>
      <c r="E8287" s="716">
        <v>0</v>
      </c>
      <c r="F8287" s="717"/>
      <c r="G8287" t="e">
        <f>VLOOKUP(B8287,'SINAPI-%MO'!B:E,4,0)</f>
        <v>#N/A</v>
      </c>
      <c r="H8287" s="225" t="str">
        <f t="shared" si="129"/>
        <v/>
      </c>
    </row>
    <row r="8288" spans="1:8" x14ac:dyDescent="0.3">
      <c r="A8288" s="400"/>
      <c r="B8288" s="709">
        <v>103641</v>
      </c>
      <c r="C8288" s="710" t="s">
        <v>6870</v>
      </c>
      <c r="D8288" s="709" t="s">
        <v>159</v>
      </c>
      <c r="E8288" s="716">
        <v>0</v>
      </c>
      <c r="F8288" s="717"/>
      <c r="G8288" t="e">
        <f>VLOOKUP(B8288,'SINAPI-%MO'!B:E,4,0)</f>
        <v>#N/A</v>
      </c>
      <c r="H8288" s="225" t="str">
        <f t="shared" si="129"/>
        <v/>
      </c>
    </row>
    <row r="8289" spans="1:8" x14ac:dyDescent="0.3">
      <c r="A8289" s="400"/>
      <c r="B8289" s="709">
        <v>103597</v>
      </c>
      <c r="C8289" s="710" t="s">
        <v>6871</v>
      </c>
      <c r="D8289" s="709" t="s">
        <v>159</v>
      </c>
      <c r="E8289" s="716">
        <v>0</v>
      </c>
      <c r="F8289" s="717"/>
      <c r="G8289" t="e">
        <f>VLOOKUP(B8289,'SINAPI-%MO'!B:E,4,0)</f>
        <v>#N/A</v>
      </c>
      <c r="H8289" s="225" t="str">
        <f t="shared" si="129"/>
        <v/>
      </c>
    </row>
    <row r="8290" spans="1:8" x14ac:dyDescent="0.3">
      <c r="A8290" s="400"/>
      <c r="B8290" s="709">
        <v>103620</v>
      </c>
      <c r="C8290" s="710" t="s">
        <v>6872</v>
      </c>
      <c r="D8290" s="709" t="s">
        <v>159</v>
      </c>
      <c r="E8290" s="716">
        <v>0</v>
      </c>
      <c r="F8290" s="717"/>
      <c r="G8290" t="e">
        <f>VLOOKUP(B8290,'SINAPI-%MO'!B:E,4,0)</f>
        <v>#N/A</v>
      </c>
      <c r="H8290" s="225" t="str">
        <f t="shared" si="129"/>
        <v/>
      </c>
    </row>
    <row r="8291" spans="1:8" x14ac:dyDescent="0.3">
      <c r="A8291" s="400"/>
      <c r="B8291" s="709">
        <v>103642</v>
      </c>
      <c r="C8291" s="710" t="s">
        <v>6873</v>
      </c>
      <c r="D8291" s="709" t="s">
        <v>159</v>
      </c>
      <c r="E8291" s="716">
        <v>0</v>
      </c>
      <c r="F8291" s="717"/>
      <c r="G8291" t="e">
        <f>VLOOKUP(B8291,'SINAPI-%MO'!B:E,4,0)</f>
        <v>#N/A</v>
      </c>
      <c r="H8291" s="225" t="str">
        <f t="shared" si="129"/>
        <v/>
      </c>
    </row>
    <row r="8292" spans="1:8" x14ac:dyDescent="0.3">
      <c r="A8292" s="400"/>
      <c r="B8292" s="709">
        <v>103598</v>
      </c>
      <c r="C8292" s="710" t="s">
        <v>6874</v>
      </c>
      <c r="D8292" s="709" t="s">
        <v>159</v>
      </c>
      <c r="E8292" s="716">
        <v>0</v>
      </c>
      <c r="F8292" s="717"/>
      <c r="G8292" t="e">
        <f>VLOOKUP(B8292,'SINAPI-%MO'!B:E,4,0)</f>
        <v>#N/A</v>
      </c>
      <c r="H8292" s="225" t="str">
        <f t="shared" si="129"/>
        <v/>
      </c>
    </row>
    <row r="8293" spans="1:8" x14ac:dyDescent="0.3">
      <c r="A8293" s="400"/>
      <c r="B8293" s="709">
        <v>103621</v>
      </c>
      <c r="C8293" s="710" t="s">
        <v>6875</v>
      </c>
      <c r="D8293" s="709" t="s">
        <v>159</v>
      </c>
      <c r="E8293" s="716">
        <v>0</v>
      </c>
      <c r="F8293" s="717"/>
      <c r="G8293" t="e">
        <f>VLOOKUP(B8293,'SINAPI-%MO'!B:E,4,0)</f>
        <v>#N/A</v>
      </c>
      <c r="H8293" s="225" t="str">
        <f t="shared" si="129"/>
        <v/>
      </c>
    </row>
    <row r="8294" spans="1:8" x14ac:dyDescent="0.3">
      <c r="A8294" s="400"/>
      <c r="B8294" s="709">
        <v>103643</v>
      </c>
      <c r="C8294" s="710" t="s">
        <v>6876</v>
      </c>
      <c r="D8294" s="709" t="s">
        <v>159</v>
      </c>
      <c r="E8294" s="716">
        <v>0</v>
      </c>
      <c r="F8294" s="717"/>
      <c r="G8294" t="e">
        <f>VLOOKUP(B8294,'SINAPI-%MO'!B:E,4,0)</f>
        <v>#N/A</v>
      </c>
      <c r="H8294" s="225" t="str">
        <f t="shared" si="129"/>
        <v/>
      </c>
    </row>
    <row r="8295" spans="1:8" x14ac:dyDescent="0.3">
      <c r="A8295" s="400"/>
      <c r="B8295" s="709">
        <v>103599</v>
      </c>
      <c r="C8295" s="710" t="s">
        <v>6877</v>
      </c>
      <c r="D8295" s="709" t="s">
        <v>159</v>
      </c>
      <c r="E8295" s="716">
        <v>0</v>
      </c>
      <c r="F8295" s="717"/>
      <c r="G8295" t="e">
        <f>VLOOKUP(B8295,'SINAPI-%MO'!B:E,4,0)</f>
        <v>#N/A</v>
      </c>
      <c r="H8295" s="225" t="str">
        <f t="shared" si="129"/>
        <v/>
      </c>
    </row>
    <row r="8296" spans="1:8" x14ac:dyDescent="0.3">
      <c r="A8296" s="400"/>
      <c r="B8296" s="709">
        <v>103622</v>
      </c>
      <c r="C8296" s="710" t="s">
        <v>6878</v>
      </c>
      <c r="D8296" s="709" t="s">
        <v>159</v>
      </c>
      <c r="E8296" s="716">
        <v>0</v>
      </c>
      <c r="F8296" s="717"/>
      <c r="G8296" t="e">
        <f>VLOOKUP(B8296,'SINAPI-%MO'!B:E,4,0)</f>
        <v>#N/A</v>
      </c>
      <c r="H8296" s="225" t="str">
        <f t="shared" si="129"/>
        <v/>
      </c>
    </row>
    <row r="8297" spans="1:8" x14ac:dyDescent="0.3">
      <c r="A8297" s="400"/>
      <c r="B8297" s="709">
        <v>103644</v>
      </c>
      <c r="C8297" s="710" t="s">
        <v>6879</v>
      </c>
      <c r="D8297" s="709" t="s">
        <v>159</v>
      </c>
      <c r="E8297" s="716">
        <v>0</v>
      </c>
      <c r="F8297" s="717"/>
      <c r="G8297" t="e">
        <f>VLOOKUP(B8297,'SINAPI-%MO'!B:E,4,0)</f>
        <v>#N/A</v>
      </c>
      <c r="H8297" s="225" t="str">
        <f t="shared" si="129"/>
        <v/>
      </c>
    </row>
    <row r="8298" spans="1:8" x14ac:dyDescent="0.3">
      <c r="A8298" s="400"/>
      <c r="B8298" s="709">
        <v>103600</v>
      </c>
      <c r="C8298" s="710" t="s">
        <v>6880</v>
      </c>
      <c r="D8298" s="709" t="s">
        <v>159</v>
      </c>
      <c r="E8298" s="716">
        <v>0</v>
      </c>
      <c r="F8298" s="717"/>
      <c r="G8298" t="e">
        <f>VLOOKUP(B8298,'SINAPI-%MO'!B:E,4,0)</f>
        <v>#N/A</v>
      </c>
      <c r="H8298" s="225" t="str">
        <f t="shared" si="129"/>
        <v/>
      </c>
    </row>
    <row r="8299" spans="1:8" x14ac:dyDescent="0.3">
      <c r="A8299" s="400"/>
      <c r="B8299" s="709">
        <v>103610</v>
      </c>
      <c r="C8299" s="710" t="s">
        <v>6881</v>
      </c>
      <c r="D8299" s="709" t="s">
        <v>159</v>
      </c>
      <c r="E8299" s="716">
        <v>0</v>
      </c>
      <c r="F8299" s="717"/>
      <c r="G8299" t="e">
        <f>VLOOKUP(B8299,'SINAPI-%MO'!B:E,4,0)</f>
        <v>#N/A</v>
      </c>
      <c r="H8299" s="225" t="str">
        <f t="shared" si="129"/>
        <v/>
      </c>
    </row>
    <row r="8300" spans="1:8" x14ac:dyDescent="0.3">
      <c r="A8300" s="400"/>
      <c r="B8300" s="709">
        <v>103632</v>
      </c>
      <c r="C8300" s="710" t="s">
        <v>6882</v>
      </c>
      <c r="D8300" s="709" t="s">
        <v>159</v>
      </c>
      <c r="E8300" s="716">
        <v>0</v>
      </c>
      <c r="F8300" s="717"/>
      <c r="G8300" t="e">
        <f>VLOOKUP(B8300,'SINAPI-%MO'!B:E,4,0)</f>
        <v>#N/A</v>
      </c>
      <c r="H8300" s="225" t="str">
        <f t="shared" si="129"/>
        <v/>
      </c>
    </row>
    <row r="8301" spans="1:8" x14ac:dyDescent="0.3">
      <c r="A8301" s="400"/>
      <c r="B8301" s="709">
        <v>103588</v>
      </c>
      <c r="C8301" s="710" t="s">
        <v>6883</v>
      </c>
      <c r="D8301" s="709" t="s">
        <v>159</v>
      </c>
      <c r="E8301" s="716">
        <v>0</v>
      </c>
      <c r="F8301" s="717"/>
      <c r="G8301" t="e">
        <f>VLOOKUP(B8301,'SINAPI-%MO'!B:E,4,0)</f>
        <v>#N/A</v>
      </c>
      <c r="H8301" s="225" t="str">
        <f t="shared" si="129"/>
        <v/>
      </c>
    </row>
    <row r="8302" spans="1:8" x14ac:dyDescent="0.3">
      <c r="A8302" s="400"/>
      <c r="B8302" s="709">
        <v>103623</v>
      </c>
      <c r="C8302" s="710" t="s">
        <v>6884</v>
      </c>
      <c r="D8302" s="709" t="s">
        <v>159</v>
      </c>
      <c r="E8302" s="716">
        <v>0</v>
      </c>
      <c r="F8302" s="717"/>
      <c r="G8302" t="e">
        <f>VLOOKUP(B8302,'SINAPI-%MO'!B:E,4,0)</f>
        <v>#N/A</v>
      </c>
      <c r="H8302" s="225" t="str">
        <f t="shared" si="129"/>
        <v/>
      </c>
    </row>
    <row r="8303" spans="1:8" x14ac:dyDescent="0.3">
      <c r="A8303" s="400"/>
      <c r="B8303" s="709">
        <v>103645</v>
      </c>
      <c r="C8303" s="710" t="s">
        <v>6885</v>
      </c>
      <c r="D8303" s="709" t="s">
        <v>159</v>
      </c>
      <c r="E8303" s="716">
        <v>0</v>
      </c>
      <c r="F8303" s="717"/>
      <c r="G8303" t="e">
        <f>VLOOKUP(B8303,'SINAPI-%MO'!B:E,4,0)</f>
        <v>#N/A</v>
      </c>
      <c r="H8303" s="225" t="str">
        <f t="shared" si="129"/>
        <v/>
      </c>
    </row>
    <row r="8304" spans="1:8" x14ac:dyDescent="0.3">
      <c r="A8304" s="400"/>
      <c r="B8304" s="709">
        <v>103601</v>
      </c>
      <c r="C8304" s="710" t="s">
        <v>6886</v>
      </c>
      <c r="D8304" s="709" t="s">
        <v>159</v>
      </c>
      <c r="E8304" s="716">
        <v>0</v>
      </c>
      <c r="F8304" s="717"/>
      <c r="G8304" t="e">
        <f>VLOOKUP(B8304,'SINAPI-%MO'!B:E,4,0)</f>
        <v>#N/A</v>
      </c>
      <c r="H8304" s="225" t="str">
        <f t="shared" si="129"/>
        <v/>
      </c>
    </row>
    <row r="8305" spans="1:8" x14ac:dyDescent="0.3">
      <c r="A8305" s="400"/>
      <c r="B8305" s="709">
        <v>103624</v>
      </c>
      <c r="C8305" s="710" t="s">
        <v>6887</v>
      </c>
      <c r="D8305" s="709" t="s">
        <v>159</v>
      </c>
      <c r="E8305" s="716">
        <v>0</v>
      </c>
      <c r="F8305" s="717"/>
      <c r="G8305" t="e">
        <f>VLOOKUP(B8305,'SINAPI-%MO'!B:E,4,0)</f>
        <v>#N/A</v>
      </c>
      <c r="H8305" s="225" t="str">
        <f t="shared" si="129"/>
        <v/>
      </c>
    </row>
    <row r="8306" spans="1:8" x14ac:dyDescent="0.3">
      <c r="A8306" s="400"/>
      <c r="B8306" s="709">
        <v>103646</v>
      </c>
      <c r="C8306" s="710" t="s">
        <v>6888</v>
      </c>
      <c r="D8306" s="709" t="s">
        <v>159</v>
      </c>
      <c r="E8306" s="716">
        <v>0</v>
      </c>
      <c r="F8306" s="717"/>
      <c r="G8306" t="e">
        <f>VLOOKUP(B8306,'SINAPI-%MO'!B:E,4,0)</f>
        <v>#N/A</v>
      </c>
      <c r="H8306" s="225" t="str">
        <f t="shared" si="129"/>
        <v/>
      </c>
    </row>
    <row r="8307" spans="1:8" x14ac:dyDescent="0.3">
      <c r="A8307" s="400"/>
      <c r="B8307" s="709">
        <v>103602</v>
      </c>
      <c r="C8307" s="710" t="s">
        <v>6889</v>
      </c>
      <c r="D8307" s="709" t="s">
        <v>159</v>
      </c>
      <c r="E8307" s="716">
        <v>0</v>
      </c>
      <c r="F8307" s="717"/>
      <c r="G8307" t="e">
        <f>VLOOKUP(B8307,'SINAPI-%MO'!B:E,4,0)</f>
        <v>#N/A</v>
      </c>
      <c r="H8307" s="225" t="str">
        <f t="shared" si="129"/>
        <v/>
      </c>
    </row>
    <row r="8308" spans="1:8" x14ac:dyDescent="0.3">
      <c r="A8308" s="400"/>
      <c r="B8308" s="709">
        <v>103625</v>
      </c>
      <c r="C8308" s="710" t="s">
        <v>6890</v>
      </c>
      <c r="D8308" s="709" t="s">
        <v>159</v>
      </c>
      <c r="E8308" s="716">
        <v>0</v>
      </c>
      <c r="F8308" s="717"/>
      <c r="G8308" t="e">
        <f>VLOOKUP(B8308,'SINAPI-%MO'!B:E,4,0)</f>
        <v>#N/A</v>
      </c>
      <c r="H8308" s="225" t="str">
        <f t="shared" si="129"/>
        <v/>
      </c>
    </row>
    <row r="8309" spans="1:8" x14ac:dyDescent="0.3">
      <c r="A8309" s="400"/>
      <c r="B8309" s="709">
        <v>103647</v>
      </c>
      <c r="C8309" s="710" t="s">
        <v>6891</v>
      </c>
      <c r="D8309" s="709" t="s">
        <v>159</v>
      </c>
      <c r="E8309" s="716">
        <v>0</v>
      </c>
      <c r="F8309" s="717"/>
      <c r="G8309" t="e">
        <f>VLOOKUP(B8309,'SINAPI-%MO'!B:E,4,0)</f>
        <v>#N/A</v>
      </c>
      <c r="H8309" s="225" t="str">
        <f t="shared" si="129"/>
        <v/>
      </c>
    </row>
    <row r="8310" spans="1:8" x14ac:dyDescent="0.3">
      <c r="A8310" s="400"/>
      <c r="B8310" s="709">
        <v>103603</v>
      </c>
      <c r="C8310" s="710" t="s">
        <v>6892</v>
      </c>
      <c r="D8310" s="709" t="s">
        <v>159</v>
      </c>
      <c r="E8310" s="716">
        <v>0</v>
      </c>
      <c r="F8310" s="717"/>
      <c r="G8310" t="e">
        <f>VLOOKUP(B8310,'SINAPI-%MO'!B:E,4,0)</f>
        <v>#N/A</v>
      </c>
      <c r="H8310" s="225" t="str">
        <f t="shared" si="129"/>
        <v/>
      </c>
    </row>
    <row r="8311" spans="1:8" x14ac:dyDescent="0.3">
      <c r="A8311" s="400"/>
      <c r="B8311" s="709">
        <v>103611</v>
      </c>
      <c r="C8311" s="710" t="s">
        <v>6893</v>
      </c>
      <c r="D8311" s="709" t="s">
        <v>159</v>
      </c>
      <c r="E8311" s="716">
        <v>0</v>
      </c>
      <c r="F8311" s="717"/>
      <c r="G8311" t="e">
        <f>VLOOKUP(B8311,'SINAPI-%MO'!B:E,4,0)</f>
        <v>#N/A</v>
      </c>
      <c r="H8311" s="225" t="str">
        <f t="shared" si="129"/>
        <v/>
      </c>
    </row>
    <row r="8312" spans="1:8" x14ac:dyDescent="0.3">
      <c r="A8312" s="400"/>
      <c r="B8312" s="709">
        <v>103633</v>
      </c>
      <c r="C8312" s="710" t="s">
        <v>6894</v>
      </c>
      <c r="D8312" s="709" t="s">
        <v>159</v>
      </c>
      <c r="E8312" s="716">
        <v>0</v>
      </c>
      <c r="F8312" s="717"/>
      <c r="G8312" t="e">
        <f>VLOOKUP(B8312,'SINAPI-%MO'!B:E,4,0)</f>
        <v>#N/A</v>
      </c>
      <c r="H8312" s="225" t="str">
        <f t="shared" si="129"/>
        <v/>
      </c>
    </row>
    <row r="8313" spans="1:8" x14ac:dyDescent="0.3">
      <c r="A8313" s="400"/>
      <c r="B8313" s="709">
        <v>103589</v>
      </c>
      <c r="C8313" s="710" t="s">
        <v>6895</v>
      </c>
      <c r="D8313" s="709" t="s">
        <v>159</v>
      </c>
      <c r="E8313" s="716">
        <v>0</v>
      </c>
      <c r="F8313" s="717"/>
      <c r="G8313" t="e">
        <f>VLOOKUP(B8313,'SINAPI-%MO'!B:E,4,0)</f>
        <v>#N/A</v>
      </c>
      <c r="H8313" s="225" t="str">
        <f t="shared" si="129"/>
        <v/>
      </c>
    </row>
    <row r="8314" spans="1:8" x14ac:dyDescent="0.3">
      <c r="A8314" s="400"/>
      <c r="B8314" s="709">
        <v>103626</v>
      </c>
      <c r="C8314" s="710" t="s">
        <v>6896</v>
      </c>
      <c r="D8314" s="709" t="s">
        <v>159</v>
      </c>
      <c r="E8314" s="716">
        <v>0</v>
      </c>
      <c r="F8314" s="717"/>
      <c r="G8314" t="e">
        <f>VLOOKUP(B8314,'SINAPI-%MO'!B:E,4,0)</f>
        <v>#N/A</v>
      </c>
      <c r="H8314" s="225" t="str">
        <f t="shared" si="129"/>
        <v/>
      </c>
    </row>
    <row r="8315" spans="1:8" x14ac:dyDescent="0.3">
      <c r="A8315" s="400"/>
      <c r="B8315" s="709">
        <v>103648</v>
      </c>
      <c r="C8315" s="710" t="s">
        <v>6897</v>
      </c>
      <c r="D8315" s="709" t="s">
        <v>159</v>
      </c>
      <c r="E8315" s="716">
        <v>0</v>
      </c>
      <c r="F8315" s="717"/>
      <c r="G8315" t="e">
        <f>VLOOKUP(B8315,'SINAPI-%MO'!B:E,4,0)</f>
        <v>#N/A</v>
      </c>
      <c r="H8315" s="225" t="str">
        <f t="shared" si="129"/>
        <v/>
      </c>
    </row>
    <row r="8316" spans="1:8" x14ac:dyDescent="0.3">
      <c r="A8316" s="400"/>
      <c r="B8316" s="709">
        <v>103604</v>
      </c>
      <c r="C8316" s="710" t="s">
        <v>6898</v>
      </c>
      <c r="D8316" s="709" t="s">
        <v>159</v>
      </c>
      <c r="E8316" s="716">
        <v>0</v>
      </c>
      <c r="F8316" s="717"/>
      <c r="G8316" t="e">
        <f>VLOOKUP(B8316,'SINAPI-%MO'!B:E,4,0)</f>
        <v>#N/A</v>
      </c>
      <c r="H8316" s="225" t="str">
        <f t="shared" si="129"/>
        <v/>
      </c>
    </row>
    <row r="8317" spans="1:8" x14ac:dyDescent="0.3">
      <c r="A8317" s="400"/>
      <c r="B8317" s="709">
        <v>103627</v>
      </c>
      <c r="C8317" s="710" t="s">
        <v>6899</v>
      </c>
      <c r="D8317" s="709" t="s">
        <v>159</v>
      </c>
      <c r="E8317" s="716">
        <v>0</v>
      </c>
      <c r="F8317" s="717"/>
      <c r="G8317" t="e">
        <f>VLOOKUP(B8317,'SINAPI-%MO'!B:E,4,0)</f>
        <v>#N/A</v>
      </c>
      <c r="H8317" s="225" t="str">
        <f t="shared" si="129"/>
        <v/>
      </c>
    </row>
    <row r="8318" spans="1:8" x14ac:dyDescent="0.3">
      <c r="A8318" s="400"/>
      <c r="B8318" s="709">
        <v>103649</v>
      </c>
      <c r="C8318" s="710" t="s">
        <v>6900</v>
      </c>
      <c r="D8318" s="709" t="s">
        <v>159</v>
      </c>
      <c r="E8318" s="716">
        <v>0</v>
      </c>
      <c r="F8318" s="717"/>
      <c r="G8318" t="e">
        <f>VLOOKUP(B8318,'SINAPI-%MO'!B:E,4,0)</f>
        <v>#N/A</v>
      </c>
      <c r="H8318" s="225" t="str">
        <f t="shared" si="129"/>
        <v/>
      </c>
    </row>
    <row r="8319" spans="1:8" x14ac:dyDescent="0.3">
      <c r="A8319" s="400"/>
      <c r="B8319" s="709">
        <v>103605</v>
      </c>
      <c r="C8319" s="710" t="s">
        <v>6901</v>
      </c>
      <c r="D8319" s="709" t="s">
        <v>159</v>
      </c>
      <c r="E8319" s="716">
        <v>0</v>
      </c>
      <c r="F8319" s="717"/>
      <c r="G8319" t="e">
        <f>VLOOKUP(B8319,'SINAPI-%MO'!B:E,4,0)</f>
        <v>#N/A</v>
      </c>
      <c r="H8319" s="225" t="str">
        <f t="shared" si="129"/>
        <v/>
      </c>
    </row>
    <row r="8320" spans="1:8" x14ac:dyDescent="0.3">
      <c r="A8320" s="400"/>
      <c r="B8320" s="709">
        <v>103612</v>
      </c>
      <c r="C8320" s="710" t="s">
        <v>6902</v>
      </c>
      <c r="D8320" s="709" t="s">
        <v>159</v>
      </c>
      <c r="E8320" s="716">
        <v>0</v>
      </c>
      <c r="F8320" s="717"/>
      <c r="G8320" t="e">
        <f>VLOOKUP(B8320,'SINAPI-%MO'!B:E,4,0)</f>
        <v>#N/A</v>
      </c>
      <c r="H8320" s="225" t="str">
        <f t="shared" si="129"/>
        <v/>
      </c>
    </row>
    <row r="8321" spans="1:8" x14ac:dyDescent="0.3">
      <c r="A8321" s="400"/>
      <c r="B8321" s="709">
        <v>103634</v>
      </c>
      <c r="C8321" s="710" t="s">
        <v>6903</v>
      </c>
      <c r="D8321" s="709" t="s">
        <v>159</v>
      </c>
      <c r="E8321" s="716">
        <v>0</v>
      </c>
      <c r="F8321" s="717"/>
      <c r="G8321" t="e">
        <f>VLOOKUP(B8321,'SINAPI-%MO'!B:E,4,0)</f>
        <v>#N/A</v>
      </c>
      <c r="H8321" s="225" t="str">
        <f t="shared" si="129"/>
        <v/>
      </c>
    </row>
    <row r="8322" spans="1:8" x14ac:dyDescent="0.3">
      <c r="A8322" s="400"/>
      <c r="B8322" s="709">
        <v>103590</v>
      </c>
      <c r="C8322" s="710" t="s">
        <v>6904</v>
      </c>
      <c r="D8322" s="709" t="s">
        <v>159</v>
      </c>
      <c r="E8322" s="716">
        <v>0</v>
      </c>
      <c r="F8322" s="717"/>
      <c r="G8322" t="e">
        <f>VLOOKUP(B8322,'SINAPI-%MO'!B:E,4,0)</f>
        <v>#N/A</v>
      </c>
      <c r="H8322" s="225" t="str">
        <f t="shared" si="129"/>
        <v/>
      </c>
    </row>
    <row r="8323" spans="1:8" x14ac:dyDescent="0.3">
      <c r="A8323" s="400"/>
      <c r="B8323" s="709">
        <v>103628</v>
      </c>
      <c r="C8323" s="710" t="s">
        <v>6905</v>
      </c>
      <c r="D8323" s="709" t="s">
        <v>159</v>
      </c>
      <c r="E8323" s="716">
        <v>0</v>
      </c>
      <c r="F8323" s="717"/>
      <c r="G8323" t="e">
        <f>VLOOKUP(B8323,'SINAPI-%MO'!B:E,4,0)</f>
        <v>#N/A</v>
      </c>
      <c r="H8323" s="225" t="str">
        <f t="shared" si="129"/>
        <v/>
      </c>
    </row>
    <row r="8324" spans="1:8" x14ac:dyDescent="0.3">
      <c r="A8324" s="400"/>
      <c r="B8324" s="709">
        <v>103650</v>
      </c>
      <c r="C8324" s="710" t="s">
        <v>6906</v>
      </c>
      <c r="D8324" s="709" t="s">
        <v>159</v>
      </c>
      <c r="E8324" s="716">
        <v>0</v>
      </c>
      <c r="F8324" s="717"/>
      <c r="G8324" t="e">
        <f>VLOOKUP(B8324,'SINAPI-%MO'!B:E,4,0)</f>
        <v>#N/A</v>
      </c>
      <c r="H8324" s="225" t="str">
        <f t="shared" si="129"/>
        <v/>
      </c>
    </row>
    <row r="8325" spans="1:8" x14ac:dyDescent="0.3">
      <c r="A8325" s="400"/>
      <c r="B8325" s="709">
        <v>103606</v>
      </c>
      <c r="C8325" s="710" t="s">
        <v>6907</v>
      </c>
      <c r="D8325" s="709" t="s">
        <v>159</v>
      </c>
      <c r="E8325" s="716">
        <v>0</v>
      </c>
      <c r="F8325" s="717"/>
      <c r="G8325" t="e">
        <f>VLOOKUP(B8325,'SINAPI-%MO'!B:E,4,0)</f>
        <v>#N/A</v>
      </c>
      <c r="H8325" s="225" t="str">
        <f t="shared" si="129"/>
        <v/>
      </c>
    </row>
    <row r="8326" spans="1:8" x14ac:dyDescent="0.3">
      <c r="A8326" s="400"/>
      <c r="B8326" s="709">
        <v>103629</v>
      </c>
      <c r="C8326" s="710" t="s">
        <v>6908</v>
      </c>
      <c r="D8326" s="709" t="s">
        <v>159</v>
      </c>
      <c r="E8326" s="716">
        <v>0</v>
      </c>
      <c r="F8326" s="717"/>
      <c r="G8326" t="e">
        <f>VLOOKUP(B8326,'SINAPI-%MO'!B:E,4,0)</f>
        <v>#N/A</v>
      </c>
      <c r="H8326" s="225" t="str">
        <f t="shared" si="129"/>
        <v/>
      </c>
    </row>
    <row r="8327" spans="1:8" x14ac:dyDescent="0.3">
      <c r="A8327" s="400"/>
      <c r="B8327" s="709">
        <v>103651</v>
      </c>
      <c r="C8327" s="710" t="s">
        <v>6909</v>
      </c>
      <c r="D8327" s="709" t="s">
        <v>159</v>
      </c>
      <c r="E8327" s="716">
        <v>0</v>
      </c>
      <c r="F8327" s="717"/>
      <c r="G8327" t="e">
        <f>VLOOKUP(B8327,'SINAPI-%MO'!B:E,4,0)</f>
        <v>#N/A</v>
      </c>
      <c r="H8327" s="225" t="str">
        <f t="shared" si="129"/>
        <v/>
      </c>
    </row>
    <row r="8328" spans="1:8" x14ac:dyDescent="0.3">
      <c r="A8328" s="400"/>
      <c r="B8328" s="709">
        <v>103607</v>
      </c>
      <c r="C8328" s="710" t="s">
        <v>6910</v>
      </c>
      <c r="D8328" s="709" t="s">
        <v>159</v>
      </c>
      <c r="E8328" s="716">
        <v>0</v>
      </c>
      <c r="F8328" s="717"/>
      <c r="G8328" t="e">
        <f>VLOOKUP(B8328,'SINAPI-%MO'!B:E,4,0)</f>
        <v>#N/A</v>
      </c>
      <c r="H8328" s="225" t="str">
        <f t="shared" si="129"/>
        <v/>
      </c>
    </row>
    <row r="8329" spans="1:8" x14ac:dyDescent="0.3">
      <c r="A8329" s="400"/>
      <c r="B8329" s="709">
        <v>103613</v>
      </c>
      <c r="C8329" s="710" t="s">
        <v>6911</v>
      </c>
      <c r="D8329" s="709" t="s">
        <v>159</v>
      </c>
      <c r="E8329" s="716">
        <v>0</v>
      </c>
      <c r="F8329" s="717"/>
      <c r="G8329" t="e">
        <f>VLOOKUP(B8329,'SINAPI-%MO'!B:E,4,0)</f>
        <v>#N/A</v>
      </c>
      <c r="H8329" s="225" t="str">
        <f t="shared" si="129"/>
        <v/>
      </c>
    </row>
    <row r="8330" spans="1:8" x14ac:dyDescent="0.3">
      <c r="A8330" s="400"/>
      <c r="B8330" s="709">
        <v>103635</v>
      </c>
      <c r="C8330" s="710" t="s">
        <v>6912</v>
      </c>
      <c r="D8330" s="709" t="s">
        <v>159</v>
      </c>
      <c r="E8330" s="716">
        <v>0</v>
      </c>
      <c r="F8330" s="717"/>
      <c r="G8330" t="e">
        <f>VLOOKUP(B8330,'SINAPI-%MO'!B:E,4,0)</f>
        <v>#N/A</v>
      </c>
      <c r="H8330" s="225" t="str">
        <f t="shared" si="129"/>
        <v/>
      </c>
    </row>
    <row r="8331" spans="1:8" x14ac:dyDescent="0.3">
      <c r="A8331" s="400"/>
      <c r="B8331" s="709">
        <v>103591</v>
      </c>
      <c r="C8331" s="710" t="s">
        <v>6913</v>
      </c>
      <c r="D8331" s="709" t="s">
        <v>159</v>
      </c>
      <c r="E8331" s="716">
        <v>0</v>
      </c>
      <c r="F8331" s="717"/>
      <c r="G8331" t="e">
        <f>VLOOKUP(B8331,'SINAPI-%MO'!B:E,4,0)</f>
        <v>#N/A</v>
      </c>
      <c r="H8331" s="225" t="str">
        <f t="shared" ref="H8331:H8394" si="130">IF(E8331&gt;0,TRUNC(E8331*(1-G8331),2),"")</f>
        <v/>
      </c>
    </row>
    <row r="8332" spans="1:8" x14ac:dyDescent="0.3">
      <c r="A8332" s="400"/>
      <c r="B8332" s="709">
        <v>103630</v>
      </c>
      <c r="C8332" s="710" t="s">
        <v>6914</v>
      </c>
      <c r="D8332" s="709" t="s">
        <v>159</v>
      </c>
      <c r="E8332" s="716">
        <v>0</v>
      </c>
      <c r="F8332" s="717"/>
      <c r="G8332" t="e">
        <f>VLOOKUP(B8332,'SINAPI-%MO'!B:E,4,0)</f>
        <v>#N/A</v>
      </c>
      <c r="H8332" s="225" t="str">
        <f t="shared" si="130"/>
        <v/>
      </c>
    </row>
    <row r="8333" spans="1:8" x14ac:dyDescent="0.3">
      <c r="A8333" s="400"/>
      <c r="B8333" s="709">
        <v>103652</v>
      </c>
      <c r="C8333" s="710" t="s">
        <v>6915</v>
      </c>
      <c r="D8333" s="709" t="s">
        <v>159</v>
      </c>
      <c r="E8333" s="716">
        <v>0</v>
      </c>
      <c r="F8333" s="717"/>
      <c r="G8333" t="e">
        <f>VLOOKUP(B8333,'SINAPI-%MO'!B:E,4,0)</f>
        <v>#N/A</v>
      </c>
      <c r="H8333" s="225" t="str">
        <f t="shared" si="130"/>
        <v/>
      </c>
    </row>
    <row r="8334" spans="1:8" x14ac:dyDescent="0.3">
      <c r="A8334" s="400"/>
      <c r="B8334" s="709">
        <v>103608</v>
      </c>
      <c r="C8334" s="710" t="s">
        <v>6916</v>
      </c>
      <c r="D8334" s="709" t="s">
        <v>159</v>
      </c>
      <c r="E8334" s="716">
        <v>0</v>
      </c>
      <c r="F8334" s="717"/>
      <c r="G8334" t="e">
        <f>VLOOKUP(B8334,'SINAPI-%MO'!B:E,4,0)</f>
        <v>#N/A</v>
      </c>
      <c r="H8334" s="225" t="str">
        <f t="shared" si="130"/>
        <v/>
      </c>
    </row>
    <row r="8335" spans="1:8" x14ac:dyDescent="0.3">
      <c r="A8335" s="400"/>
      <c r="B8335" s="709">
        <v>103614</v>
      </c>
      <c r="C8335" s="710" t="s">
        <v>6917</v>
      </c>
      <c r="D8335" s="709" t="s">
        <v>159</v>
      </c>
      <c r="E8335" s="716">
        <v>0</v>
      </c>
      <c r="F8335" s="717"/>
      <c r="G8335" t="e">
        <f>VLOOKUP(B8335,'SINAPI-%MO'!B:E,4,0)</f>
        <v>#N/A</v>
      </c>
      <c r="H8335" s="225" t="str">
        <f t="shared" si="130"/>
        <v/>
      </c>
    </row>
    <row r="8336" spans="1:8" x14ac:dyDescent="0.3">
      <c r="A8336" s="400"/>
      <c r="B8336" s="709">
        <v>103636</v>
      </c>
      <c r="C8336" s="710" t="s">
        <v>6918</v>
      </c>
      <c r="D8336" s="709" t="s">
        <v>159</v>
      </c>
      <c r="E8336" s="716">
        <v>0</v>
      </c>
      <c r="F8336" s="717"/>
      <c r="G8336" t="e">
        <f>VLOOKUP(B8336,'SINAPI-%MO'!B:E,4,0)</f>
        <v>#N/A</v>
      </c>
      <c r="H8336" s="225" t="str">
        <f t="shared" si="130"/>
        <v/>
      </c>
    </row>
    <row r="8337" spans="1:8" x14ac:dyDescent="0.3">
      <c r="A8337" s="400"/>
      <c r="B8337" s="709">
        <v>103592</v>
      </c>
      <c r="C8337" s="710" t="s">
        <v>6919</v>
      </c>
      <c r="D8337" s="709" t="s">
        <v>159</v>
      </c>
      <c r="E8337" s="716">
        <v>0</v>
      </c>
      <c r="F8337" s="717"/>
      <c r="G8337" t="e">
        <f>VLOOKUP(B8337,'SINAPI-%MO'!B:E,4,0)</f>
        <v>#N/A</v>
      </c>
      <c r="H8337" s="225" t="str">
        <f t="shared" si="130"/>
        <v/>
      </c>
    </row>
    <row r="8338" spans="1:8" x14ac:dyDescent="0.3">
      <c r="A8338" s="400"/>
      <c r="B8338" s="709">
        <v>88412</v>
      </c>
      <c r="C8338" s="710" t="s">
        <v>6920</v>
      </c>
      <c r="D8338" s="709" t="s">
        <v>168</v>
      </c>
      <c r="E8338" s="716">
        <v>3.67</v>
      </c>
      <c r="F8338" s="717">
        <v>0</v>
      </c>
      <c r="G8338">
        <f>VLOOKUP(B8338,'SINAPI-%MO'!B:E,4,0)</f>
        <v>0.31609999999999999</v>
      </c>
      <c r="H8338" s="225">
        <f t="shared" si="130"/>
        <v>2.5</v>
      </c>
    </row>
    <row r="8339" spans="1:8" x14ac:dyDescent="0.3">
      <c r="A8339" s="400"/>
      <c r="B8339" s="709">
        <v>88411</v>
      </c>
      <c r="C8339" s="710" t="s">
        <v>6921</v>
      </c>
      <c r="D8339" s="709" t="s">
        <v>168</v>
      </c>
      <c r="E8339" s="716">
        <v>4.58</v>
      </c>
      <c r="F8339" s="717">
        <v>0</v>
      </c>
      <c r="G8339">
        <f>VLOOKUP(B8339,'SINAPI-%MO'!B:E,4,0)</f>
        <v>0.41270000000000001</v>
      </c>
      <c r="H8339" s="225">
        <f t="shared" si="130"/>
        <v>2.68</v>
      </c>
    </row>
    <row r="8340" spans="1:8" x14ac:dyDescent="0.3">
      <c r="A8340" s="400"/>
      <c r="B8340" s="709">
        <v>88415</v>
      </c>
      <c r="C8340" s="710" t="s">
        <v>6922</v>
      </c>
      <c r="D8340" s="709" t="s">
        <v>168</v>
      </c>
      <c r="E8340" s="716">
        <v>4.68</v>
      </c>
      <c r="F8340" s="717">
        <v>0</v>
      </c>
      <c r="G8340">
        <f>VLOOKUP(B8340,'SINAPI-%MO'!B:E,4,0)</f>
        <v>0.44440000000000002</v>
      </c>
      <c r="H8340" s="225">
        <f t="shared" si="130"/>
        <v>2.6</v>
      </c>
    </row>
    <row r="8341" spans="1:8" x14ac:dyDescent="0.3">
      <c r="A8341" s="400"/>
      <c r="B8341" s="709">
        <v>88413</v>
      </c>
      <c r="C8341" s="710" t="s">
        <v>6923</v>
      </c>
      <c r="D8341" s="709" t="s">
        <v>168</v>
      </c>
      <c r="E8341" s="716">
        <v>5.86</v>
      </c>
      <c r="F8341" s="717">
        <v>0</v>
      </c>
      <c r="G8341">
        <f>VLOOKUP(B8341,'SINAPI-%MO'!B:E,4,0)</f>
        <v>0.57169999999999999</v>
      </c>
      <c r="H8341" s="225">
        <f t="shared" si="130"/>
        <v>2.5</v>
      </c>
    </row>
    <row r="8342" spans="1:8" x14ac:dyDescent="0.3">
      <c r="A8342" s="400"/>
      <c r="B8342" s="709">
        <v>88414</v>
      </c>
      <c r="C8342" s="710" t="s">
        <v>6924</v>
      </c>
      <c r="D8342" s="709" t="s">
        <v>168</v>
      </c>
      <c r="E8342" s="716">
        <v>6.93</v>
      </c>
      <c r="F8342" s="717">
        <v>0</v>
      </c>
      <c r="G8342">
        <f>VLOOKUP(B8342,'SINAPI-%MO'!B:E,4,0)</f>
        <v>0.55410000000000004</v>
      </c>
      <c r="H8342" s="225">
        <f t="shared" si="130"/>
        <v>3.09</v>
      </c>
    </row>
    <row r="8343" spans="1:8" x14ac:dyDescent="0.3">
      <c r="A8343" s="400"/>
      <c r="B8343" s="709">
        <v>96131</v>
      </c>
      <c r="C8343" s="710" t="s">
        <v>6925</v>
      </c>
      <c r="D8343" s="709" t="s">
        <v>168</v>
      </c>
      <c r="E8343" s="716">
        <v>32.32</v>
      </c>
      <c r="F8343" s="717">
        <v>0</v>
      </c>
      <c r="G8343">
        <f>VLOOKUP(B8343,'SINAPI-%MO'!B:E,4,0)</f>
        <v>0.64510000000000001</v>
      </c>
      <c r="H8343" s="225">
        <f t="shared" si="130"/>
        <v>11.47</v>
      </c>
    </row>
    <row r="8344" spans="1:8" x14ac:dyDescent="0.3">
      <c r="A8344" s="400"/>
      <c r="B8344" s="709">
        <v>96126</v>
      </c>
      <c r="C8344" s="710" t="s">
        <v>6926</v>
      </c>
      <c r="D8344" s="709" t="s">
        <v>168</v>
      </c>
      <c r="E8344" s="716">
        <v>20.420000000000002</v>
      </c>
      <c r="F8344" s="717">
        <v>0</v>
      </c>
      <c r="G8344">
        <f>VLOOKUP(B8344,'SINAPI-%MO'!B:E,4,0)</f>
        <v>0.69489999999999996</v>
      </c>
      <c r="H8344" s="225">
        <f t="shared" si="130"/>
        <v>6.23</v>
      </c>
    </row>
    <row r="8345" spans="1:8" x14ac:dyDescent="0.3">
      <c r="A8345" s="400"/>
      <c r="B8345" s="709">
        <v>96132</v>
      </c>
      <c r="C8345" s="710" t="s">
        <v>6927</v>
      </c>
      <c r="D8345" s="709" t="s">
        <v>168</v>
      </c>
      <c r="E8345" s="716">
        <v>21.74</v>
      </c>
      <c r="F8345" s="717">
        <v>0</v>
      </c>
      <c r="G8345">
        <f>VLOOKUP(B8345,'SINAPI-%MO'!B:E,4,0)</f>
        <v>0.50780000000000003</v>
      </c>
      <c r="H8345" s="225">
        <f t="shared" si="130"/>
        <v>10.7</v>
      </c>
    </row>
    <row r="8346" spans="1:8" x14ac:dyDescent="0.3">
      <c r="A8346" s="400"/>
      <c r="B8346" s="709">
        <v>96127</v>
      </c>
      <c r="C8346" s="710" t="s">
        <v>6928</v>
      </c>
      <c r="D8346" s="709" t="s">
        <v>168</v>
      </c>
      <c r="E8346" s="716">
        <v>13.33</v>
      </c>
      <c r="F8346" s="717">
        <v>0</v>
      </c>
      <c r="G8346">
        <f>VLOOKUP(B8346,'SINAPI-%MO'!B:E,4,0)</f>
        <v>0.56410000000000005</v>
      </c>
      <c r="H8346" s="225">
        <f t="shared" si="130"/>
        <v>5.81</v>
      </c>
    </row>
    <row r="8347" spans="1:8" x14ac:dyDescent="0.3">
      <c r="A8347" s="400"/>
      <c r="B8347" s="709">
        <v>96135</v>
      </c>
      <c r="C8347" s="710" t="s">
        <v>6929</v>
      </c>
      <c r="D8347" s="709" t="s">
        <v>168</v>
      </c>
      <c r="E8347" s="716">
        <v>34.58</v>
      </c>
      <c r="F8347" s="717">
        <v>0</v>
      </c>
      <c r="G8347">
        <f>VLOOKUP(B8347,'SINAPI-%MO'!B:E,4,0)</f>
        <v>0.67930000000000001</v>
      </c>
      <c r="H8347" s="225">
        <f t="shared" si="130"/>
        <v>11.08</v>
      </c>
    </row>
    <row r="8348" spans="1:8" x14ac:dyDescent="0.3">
      <c r="A8348" s="400"/>
      <c r="B8348" s="709">
        <v>96130</v>
      </c>
      <c r="C8348" s="710" t="s">
        <v>6930</v>
      </c>
      <c r="D8348" s="709" t="s">
        <v>168</v>
      </c>
      <c r="E8348" s="716">
        <v>22.03</v>
      </c>
      <c r="F8348" s="717">
        <v>0</v>
      </c>
      <c r="G8348">
        <f>VLOOKUP(B8348,'SINAPI-%MO'!B:E,4,0)</f>
        <v>0.72629999999999995</v>
      </c>
      <c r="H8348" s="225">
        <f t="shared" si="130"/>
        <v>6.02</v>
      </c>
    </row>
    <row r="8349" spans="1:8" x14ac:dyDescent="0.3">
      <c r="A8349" s="400"/>
      <c r="B8349" s="709">
        <v>96133</v>
      </c>
      <c r="C8349" s="710" t="s">
        <v>6931</v>
      </c>
      <c r="D8349" s="709" t="s">
        <v>168</v>
      </c>
      <c r="E8349" s="716">
        <v>51.07</v>
      </c>
      <c r="F8349" s="717">
        <v>0</v>
      </c>
      <c r="G8349">
        <f>VLOOKUP(B8349,'SINAPI-%MO'!B:E,4,0)</f>
        <v>0.79049999999999998</v>
      </c>
      <c r="H8349" s="225">
        <f t="shared" si="130"/>
        <v>10.69</v>
      </c>
    </row>
    <row r="8350" spans="1:8" x14ac:dyDescent="0.3">
      <c r="A8350" s="400"/>
      <c r="B8350" s="709">
        <v>96128</v>
      </c>
      <c r="C8350" s="710" t="s">
        <v>6932</v>
      </c>
      <c r="D8350" s="709" t="s">
        <v>168</v>
      </c>
      <c r="E8350" s="716">
        <v>33.31</v>
      </c>
      <c r="F8350" s="717">
        <v>0</v>
      </c>
      <c r="G8350">
        <f>VLOOKUP(B8350,'SINAPI-%MO'!B:E,4,0)</f>
        <v>0.8256</v>
      </c>
      <c r="H8350" s="225">
        <f t="shared" si="130"/>
        <v>5.8</v>
      </c>
    </row>
    <row r="8351" spans="1:8" x14ac:dyDescent="0.3">
      <c r="A8351" s="400"/>
      <c r="B8351" s="709">
        <v>96134</v>
      </c>
      <c r="C8351" s="710" t="s">
        <v>6933</v>
      </c>
      <c r="D8351" s="709" t="s">
        <v>168</v>
      </c>
      <c r="E8351" s="716">
        <v>60.21</v>
      </c>
      <c r="F8351" s="717">
        <v>0</v>
      </c>
      <c r="G8351">
        <f>VLOOKUP(B8351,'SINAPI-%MO'!B:E,4,0)</f>
        <v>0.78110000000000002</v>
      </c>
      <c r="H8351" s="225">
        <f t="shared" si="130"/>
        <v>13.17</v>
      </c>
    </row>
    <row r="8352" spans="1:8" x14ac:dyDescent="0.3">
      <c r="A8352" s="400"/>
      <c r="B8352" s="709">
        <v>96129</v>
      </c>
      <c r="C8352" s="710" t="s">
        <v>6934</v>
      </c>
      <c r="D8352" s="709" t="s">
        <v>168</v>
      </c>
      <c r="E8352" s="716">
        <v>39.19</v>
      </c>
      <c r="F8352" s="717">
        <v>0</v>
      </c>
      <c r="G8352">
        <f>VLOOKUP(B8352,'SINAPI-%MO'!B:E,4,0)</f>
        <v>0.81730000000000003</v>
      </c>
      <c r="H8352" s="225">
        <f t="shared" si="130"/>
        <v>7.16</v>
      </c>
    </row>
    <row r="8353" spans="1:8" x14ac:dyDescent="0.3">
      <c r="A8353" s="400"/>
      <c r="B8353" s="709">
        <v>88432</v>
      </c>
      <c r="C8353" s="710" t="s">
        <v>6935</v>
      </c>
      <c r="D8353" s="709" t="s">
        <v>168</v>
      </c>
      <c r="E8353" s="716">
        <v>35.11</v>
      </c>
      <c r="F8353" s="717">
        <v>0</v>
      </c>
      <c r="G8353">
        <f>VLOOKUP(B8353,'SINAPI-%MO'!B:E,4,0)</f>
        <v>0.50670000000000004</v>
      </c>
      <c r="H8353" s="225">
        <f t="shared" si="130"/>
        <v>17.309999999999999</v>
      </c>
    </row>
    <row r="8354" spans="1:8" x14ac:dyDescent="0.3">
      <c r="A8354" s="400"/>
      <c r="B8354" s="709">
        <v>88426</v>
      </c>
      <c r="C8354" s="710" t="s">
        <v>6936</v>
      </c>
      <c r="D8354" s="709" t="s">
        <v>168</v>
      </c>
      <c r="E8354" s="716">
        <v>22.13</v>
      </c>
      <c r="F8354" s="717">
        <v>0</v>
      </c>
      <c r="G8354">
        <f>VLOOKUP(B8354,'SINAPI-%MO'!B:E,4,0)</f>
        <v>0.21740000000000001</v>
      </c>
      <c r="H8354" s="225">
        <f t="shared" si="130"/>
        <v>17.309999999999999</v>
      </c>
    </row>
    <row r="8355" spans="1:8" x14ac:dyDescent="0.3">
      <c r="A8355" s="400"/>
      <c r="B8355" s="709">
        <v>88417</v>
      </c>
      <c r="C8355" s="710" t="s">
        <v>6937</v>
      </c>
      <c r="D8355" s="709" t="s">
        <v>168</v>
      </c>
      <c r="E8355" s="716">
        <v>20.010000000000002</v>
      </c>
      <c r="F8355" s="717">
        <v>0</v>
      </c>
      <c r="G8355">
        <f>VLOOKUP(B8355,'SINAPI-%MO'!B:E,4,0)</f>
        <v>0.13439999999999999</v>
      </c>
      <c r="H8355" s="225">
        <f t="shared" si="130"/>
        <v>17.32</v>
      </c>
    </row>
    <row r="8356" spans="1:8" x14ac:dyDescent="0.3">
      <c r="A8356" s="400"/>
      <c r="B8356" s="709">
        <v>88424</v>
      </c>
      <c r="C8356" s="710" t="s">
        <v>6938</v>
      </c>
      <c r="D8356" s="709" t="s">
        <v>168</v>
      </c>
      <c r="E8356" s="716">
        <v>27.51</v>
      </c>
      <c r="F8356" s="717">
        <v>0</v>
      </c>
      <c r="G8356">
        <f>VLOOKUP(B8356,'SINAPI-%MO'!B:E,4,0)</f>
        <v>0.32500000000000001</v>
      </c>
      <c r="H8356" s="225">
        <f t="shared" si="130"/>
        <v>18.559999999999999</v>
      </c>
    </row>
    <row r="8357" spans="1:8" x14ac:dyDescent="0.3">
      <c r="A8357" s="400"/>
      <c r="B8357" s="709">
        <v>88416</v>
      </c>
      <c r="C8357" s="710" t="s">
        <v>6939</v>
      </c>
      <c r="D8357" s="709" t="s">
        <v>168</v>
      </c>
      <c r="E8357" s="716">
        <v>23.59</v>
      </c>
      <c r="F8357" s="717">
        <v>0</v>
      </c>
      <c r="G8357">
        <f>VLOOKUP(B8357,'SINAPI-%MO'!B:E,4,0)</f>
        <v>0.21279999999999999</v>
      </c>
      <c r="H8357" s="225">
        <f t="shared" si="130"/>
        <v>18.57</v>
      </c>
    </row>
    <row r="8358" spans="1:8" x14ac:dyDescent="0.3">
      <c r="A8358" s="400"/>
      <c r="B8358" s="709">
        <v>88431</v>
      </c>
      <c r="C8358" s="710" t="s">
        <v>6940</v>
      </c>
      <c r="D8358" s="709" t="s">
        <v>168</v>
      </c>
      <c r="E8358" s="716">
        <v>28</v>
      </c>
      <c r="F8358" s="717">
        <v>0</v>
      </c>
      <c r="G8358">
        <f>VLOOKUP(B8358,'SINAPI-%MO'!B:E,4,0)</f>
        <v>0.3589</v>
      </c>
      <c r="H8358" s="225">
        <f t="shared" si="130"/>
        <v>17.95</v>
      </c>
    </row>
    <row r="8359" spans="1:8" x14ac:dyDescent="0.3">
      <c r="A8359" s="400"/>
      <c r="B8359" s="709">
        <v>88423</v>
      </c>
      <c r="C8359" s="710" t="s">
        <v>6941</v>
      </c>
      <c r="D8359" s="709" t="s">
        <v>168</v>
      </c>
      <c r="E8359" s="716">
        <v>23.59</v>
      </c>
      <c r="F8359" s="717">
        <v>0</v>
      </c>
      <c r="G8359">
        <f>VLOOKUP(B8359,'SINAPI-%MO'!B:E,4,0)</f>
        <v>0.23910000000000001</v>
      </c>
      <c r="H8359" s="225">
        <f t="shared" si="130"/>
        <v>17.940000000000001</v>
      </c>
    </row>
    <row r="8360" spans="1:8" x14ac:dyDescent="0.3">
      <c r="A8360" s="400"/>
      <c r="B8360" s="709">
        <v>88428</v>
      </c>
      <c r="C8360" s="710" t="s">
        <v>6942</v>
      </c>
      <c r="D8360" s="709" t="s">
        <v>168</v>
      </c>
      <c r="E8360" s="716">
        <v>34.479999999999997</v>
      </c>
      <c r="F8360" s="717">
        <v>0</v>
      </c>
      <c r="G8360">
        <f>VLOOKUP(B8360,'SINAPI-%MO'!B:E,4,0)</f>
        <v>0.49769999999999998</v>
      </c>
      <c r="H8360" s="225">
        <f t="shared" si="130"/>
        <v>17.309999999999999</v>
      </c>
    </row>
    <row r="8361" spans="1:8" x14ac:dyDescent="0.3">
      <c r="A8361" s="400"/>
      <c r="B8361" s="709">
        <v>88420</v>
      </c>
      <c r="C8361" s="710" t="s">
        <v>6943</v>
      </c>
      <c r="D8361" s="709" t="s">
        <v>168</v>
      </c>
      <c r="E8361" s="716">
        <v>26.95</v>
      </c>
      <c r="F8361" s="717">
        <v>0</v>
      </c>
      <c r="G8361">
        <f>VLOOKUP(B8361,'SINAPI-%MO'!B:E,4,0)</f>
        <v>0.35730000000000001</v>
      </c>
      <c r="H8361" s="225">
        <f t="shared" si="130"/>
        <v>17.32</v>
      </c>
    </row>
    <row r="8362" spans="1:8" x14ac:dyDescent="0.3">
      <c r="A8362" s="400"/>
      <c r="B8362" s="709">
        <v>88429</v>
      </c>
      <c r="C8362" s="710" t="s">
        <v>6944</v>
      </c>
      <c r="D8362" s="709" t="s">
        <v>168</v>
      </c>
      <c r="E8362" s="716">
        <v>41.3</v>
      </c>
      <c r="F8362" s="717">
        <v>0</v>
      </c>
      <c r="G8362">
        <f>VLOOKUP(B8362,'SINAPI-%MO'!B:E,4,0)</f>
        <v>0.48349999999999999</v>
      </c>
      <c r="H8362" s="225">
        <f t="shared" si="130"/>
        <v>21.33</v>
      </c>
    </row>
    <row r="8363" spans="1:8" x14ac:dyDescent="0.3">
      <c r="A8363" s="400"/>
      <c r="B8363" s="709">
        <v>88421</v>
      </c>
      <c r="C8363" s="710" t="s">
        <v>6945</v>
      </c>
      <c r="D8363" s="709" t="s">
        <v>168</v>
      </c>
      <c r="E8363" s="716">
        <v>32.53</v>
      </c>
      <c r="F8363" s="717">
        <v>0</v>
      </c>
      <c r="G8363">
        <f>VLOOKUP(B8363,'SINAPI-%MO'!B:E,4,0)</f>
        <v>0.34429999999999999</v>
      </c>
      <c r="H8363" s="225">
        <f t="shared" si="130"/>
        <v>21.32</v>
      </c>
    </row>
    <row r="8364" spans="1:8" x14ac:dyDescent="0.3">
      <c r="A8364" s="400"/>
      <c r="B8364" s="709">
        <v>95622</v>
      </c>
      <c r="C8364" s="710" t="s">
        <v>6946</v>
      </c>
      <c r="D8364" s="709" t="s">
        <v>168</v>
      </c>
      <c r="E8364" s="716">
        <v>16.510000000000002</v>
      </c>
      <c r="F8364" s="717">
        <v>0</v>
      </c>
      <c r="G8364">
        <f>VLOOKUP(B8364,'SINAPI-%MO'!B:E,4,0)</f>
        <v>0.5706</v>
      </c>
      <c r="H8364" s="225">
        <f t="shared" si="130"/>
        <v>7.08</v>
      </c>
    </row>
    <row r="8365" spans="1:8" x14ac:dyDescent="0.3">
      <c r="A8365" s="400"/>
      <c r="B8365" s="709">
        <v>95623</v>
      </c>
      <c r="C8365" s="710" t="s">
        <v>6947</v>
      </c>
      <c r="D8365" s="709" t="s">
        <v>168</v>
      </c>
      <c r="E8365" s="716">
        <v>11.59</v>
      </c>
      <c r="F8365" s="717">
        <v>0</v>
      </c>
      <c r="G8365">
        <f>VLOOKUP(B8365,'SINAPI-%MO'!B:E,4,0)</f>
        <v>0.42970000000000003</v>
      </c>
      <c r="H8365" s="225">
        <f t="shared" si="130"/>
        <v>6.6</v>
      </c>
    </row>
    <row r="8366" spans="1:8" x14ac:dyDescent="0.3">
      <c r="A8366" s="400"/>
      <c r="B8366" s="709">
        <v>95626</v>
      </c>
      <c r="C8366" s="710" t="s">
        <v>6948</v>
      </c>
      <c r="D8366" s="709" t="s">
        <v>168</v>
      </c>
      <c r="E8366" s="716">
        <v>17.45</v>
      </c>
      <c r="F8366" s="717">
        <v>0</v>
      </c>
      <c r="G8366">
        <f>VLOOKUP(B8366,'SINAPI-%MO'!B:E,4,0)</f>
        <v>0.60740000000000005</v>
      </c>
      <c r="H8366" s="225">
        <f t="shared" si="130"/>
        <v>6.85</v>
      </c>
    </row>
    <row r="8367" spans="1:8" x14ac:dyDescent="0.3">
      <c r="A8367" s="400"/>
      <c r="B8367" s="709">
        <v>95624</v>
      </c>
      <c r="C8367" s="710" t="s">
        <v>6949</v>
      </c>
      <c r="D8367" s="709" t="s">
        <v>168</v>
      </c>
      <c r="E8367" s="716">
        <v>24.85</v>
      </c>
      <c r="F8367" s="717">
        <v>0</v>
      </c>
      <c r="G8367">
        <f>VLOOKUP(B8367,'SINAPI-%MO'!B:E,4,0)</f>
        <v>0.73399999999999999</v>
      </c>
      <c r="H8367" s="225">
        <f t="shared" si="130"/>
        <v>6.61</v>
      </c>
    </row>
    <row r="8368" spans="1:8" x14ac:dyDescent="0.3">
      <c r="A8368" s="400"/>
      <c r="B8368" s="709">
        <v>95625</v>
      </c>
      <c r="C8368" s="710" t="s">
        <v>6950</v>
      </c>
      <c r="D8368" s="709" t="s">
        <v>168</v>
      </c>
      <c r="E8368" s="716">
        <v>29.38</v>
      </c>
      <c r="F8368" s="717">
        <v>0</v>
      </c>
      <c r="G8368">
        <f>VLOOKUP(B8368,'SINAPI-%MO'!B:E,4,0)</f>
        <v>0.72289999999999999</v>
      </c>
      <c r="H8368" s="225">
        <f t="shared" si="130"/>
        <v>8.14</v>
      </c>
    </row>
    <row r="8369" spans="1:8" x14ac:dyDescent="0.3">
      <c r="A8369" s="400"/>
      <c r="B8369" s="709">
        <v>88497</v>
      </c>
      <c r="C8369" s="710" t="s">
        <v>6951</v>
      </c>
      <c r="D8369" s="709" t="s">
        <v>168</v>
      </c>
      <c r="E8369" s="716">
        <v>20.94</v>
      </c>
      <c r="F8369" s="717">
        <v>0</v>
      </c>
      <c r="G8369">
        <f>VLOOKUP(B8369,'SINAPI-%MO'!B:E,4,0)</f>
        <v>0.71350000000000002</v>
      </c>
      <c r="H8369" s="225">
        <f t="shared" si="130"/>
        <v>5.99</v>
      </c>
    </row>
    <row r="8370" spans="1:8" x14ac:dyDescent="0.3">
      <c r="A8370" s="400"/>
      <c r="B8370" s="709">
        <v>104648</v>
      </c>
      <c r="C8370" s="710" t="s">
        <v>6952</v>
      </c>
      <c r="D8370" s="709" t="s">
        <v>168</v>
      </c>
      <c r="E8370" s="716">
        <v>0</v>
      </c>
      <c r="F8370" s="717"/>
      <c r="G8370" t="e">
        <f>VLOOKUP(B8370,'SINAPI-%MO'!B:E,4,0)</f>
        <v>#N/A</v>
      </c>
      <c r="H8370" s="225" t="str">
        <f t="shared" si="130"/>
        <v/>
      </c>
    </row>
    <row r="8371" spans="1:8" x14ac:dyDescent="0.3">
      <c r="A8371" s="400"/>
      <c r="B8371" s="709">
        <v>88495</v>
      </c>
      <c r="C8371" s="710" t="s">
        <v>6953</v>
      </c>
      <c r="D8371" s="709" t="s">
        <v>168</v>
      </c>
      <c r="E8371" s="716">
        <v>13.43</v>
      </c>
      <c r="F8371" s="717">
        <v>0</v>
      </c>
      <c r="G8371">
        <f>VLOOKUP(B8371,'SINAPI-%MO'!B:E,4,0)</f>
        <v>0.75800000000000001</v>
      </c>
      <c r="H8371" s="225">
        <f t="shared" si="130"/>
        <v>3.25</v>
      </c>
    </row>
    <row r="8372" spans="1:8" x14ac:dyDescent="0.3">
      <c r="A8372" s="400"/>
      <c r="B8372" s="709">
        <v>104646</v>
      </c>
      <c r="C8372" s="710" t="s">
        <v>6954</v>
      </c>
      <c r="D8372" s="709" t="s">
        <v>168</v>
      </c>
      <c r="E8372" s="716">
        <v>0</v>
      </c>
      <c r="F8372" s="717"/>
      <c r="G8372" t="e">
        <f>VLOOKUP(B8372,'SINAPI-%MO'!B:E,4,0)</f>
        <v>#N/A</v>
      </c>
      <c r="H8372" s="225" t="str">
        <f t="shared" si="130"/>
        <v/>
      </c>
    </row>
    <row r="8373" spans="1:8" x14ac:dyDescent="0.3">
      <c r="A8373" s="400"/>
      <c r="B8373" s="709">
        <v>88496</v>
      </c>
      <c r="C8373" s="710" t="s">
        <v>6955</v>
      </c>
      <c r="D8373" s="709" t="s">
        <v>168</v>
      </c>
      <c r="E8373" s="716">
        <v>36.72</v>
      </c>
      <c r="F8373" s="717">
        <v>0</v>
      </c>
      <c r="G8373">
        <f>VLOOKUP(B8373,'SINAPI-%MO'!B:E,4,0)</f>
        <v>0.83660000000000001</v>
      </c>
      <c r="H8373" s="225">
        <f t="shared" si="130"/>
        <v>6</v>
      </c>
    </row>
    <row r="8374" spans="1:8" x14ac:dyDescent="0.3">
      <c r="A8374" s="400"/>
      <c r="B8374" s="709">
        <v>104647</v>
      </c>
      <c r="C8374" s="710" t="s">
        <v>6956</v>
      </c>
      <c r="D8374" s="709" t="s">
        <v>168</v>
      </c>
      <c r="E8374" s="716">
        <v>0</v>
      </c>
      <c r="F8374" s="717"/>
      <c r="G8374" t="e">
        <f>VLOOKUP(B8374,'SINAPI-%MO'!B:E,4,0)</f>
        <v>#N/A</v>
      </c>
      <c r="H8374" s="225" t="str">
        <f t="shared" si="130"/>
        <v/>
      </c>
    </row>
    <row r="8375" spans="1:8" x14ac:dyDescent="0.3">
      <c r="A8375" s="400"/>
      <c r="B8375" s="709">
        <v>88494</v>
      </c>
      <c r="C8375" s="710" t="s">
        <v>6957</v>
      </c>
      <c r="D8375" s="709" t="s">
        <v>168</v>
      </c>
      <c r="E8375" s="716">
        <v>24.17</v>
      </c>
      <c r="F8375" s="717">
        <v>0</v>
      </c>
      <c r="G8375">
        <f>VLOOKUP(B8375,'SINAPI-%MO'!B:E,4,0)</f>
        <v>0.86550000000000005</v>
      </c>
      <c r="H8375" s="225">
        <f t="shared" si="130"/>
        <v>3.25</v>
      </c>
    </row>
    <row r="8376" spans="1:8" x14ac:dyDescent="0.3">
      <c r="A8376" s="400"/>
      <c r="B8376" s="709">
        <v>104645</v>
      </c>
      <c r="C8376" s="710" t="s">
        <v>6958</v>
      </c>
      <c r="D8376" s="709" t="s">
        <v>168</v>
      </c>
      <c r="E8376" s="716">
        <v>0</v>
      </c>
      <c r="F8376" s="717"/>
      <c r="G8376" t="e">
        <f>VLOOKUP(B8376,'SINAPI-%MO'!B:E,4,0)</f>
        <v>#N/A</v>
      </c>
      <c r="H8376" s="225" t="str">
        <f t="shared" si="130"/>
        <v/>
      </c>
    </row>
    <row r="8377" spans="1:8" x14ac:dyDescent="0.3">
      <c r="A8377" s="400"/>
      <c r="B8377" s="709">
        <v>88485</v>
      </c>
      <c r="C8377" s="710" t="s">
        <v>6959</v>
      </c>
      <c r="D8377" s="709" t="s">
        <v>168</v>
      </c>
      <c r="E8377" s="716">
        <v>4.22</v>
      </c>
      <c r="F8377" s="717">
        <v>0</v>
      </c>
      <c r="G8377">
        <f>VLOOKUP(B8377,'SINAPI-%MO'!B:E,4,0)</f>
        <v>0.65169999999999995</v>
      </c>
      <c r="H8377" s="225">
        <f t="shared" si="130"/>
        <v>1.46</v>
      </c>
    </row>
    <row r="8378" spans="1:8" x14ac:dyDescent="0.3">
      <c r="A8378" s="400"/>
      <c r="B8378" s="709">
        <v>88484</v>
      </c>
      <c r="C8378" s="710" t="s">
        <v>6960</v>
      </c>
      <c r="D8378" s="709" t="s">
        <v>168</v>
      </c>
      <c r="E8378" s="716">
        <v>5.3</v>
      </c>
      <c r="F8378" s="717">
        <v>0</v>
      </c>
      <c r="G8378">
        <f>VLOOKUP(B8378,'SINAPI-%MO'!B:E,4,0)</f>
        <v>0.72260000000000002</v>
      </c>
      <c r="H8378" s="225">
        <f t="shared" si="130"/>
        <v>1.47</v>
      </c>
    </row>
    <row r="8379" spans="1:8" x14ac:dyDescent="0.3">
      <c r="A8379" s="400"/>
      <c r="B8379" s="709">
        <v>104638</v>
      </c>
      <c r="C8379" s="710" t="s">
        <v>6961</v>
      </c>
      <c r="D8379" s="709" t="s">
        <v>168</v>
      </c>
      <c r="E8379" s="716">
        <v>0</v>
      </c>
      <c r="F8379" s="717"/>
      <c r="G8379" t="e">
        <f>VLOOKUP(B8379,'SINAPI-%MO'!B:E,4,0)</f>
        <v>#N/A</v>
      </c>
      <c r="H8379" s="225" t="str">
        <f t="shared" si="130"/>
        <v/>
      </c>
    </row>
    <row r="8380" spans="1:8" x14ac:dyDescent="0.3">
      <c r="A8380" s="400"/>
      <c r="B8380" s="709">
        <v>104637</v>
      </c>
      <c r="C8380" s="710" t="s">
        <v>6962</v>
      </c>
      <c r="D8380" s="709" t="s">
        <v>168</v>
      </c>
      <c r="E8380" s="716">
        <v>0</v>
      </c>
      <c r="F8380" s="717"/>
      <c r="G8380" t="e">
        <f>VLOOKUP(B8380,'SINAPI-%MO'!B:E,4,0)</f>
        <v>#N/A</v>
      </c>
      <c r="H8380" s="225" t="str">
        <f t="shared" si="130"/>
        <v/>
      </c>
    </row>
    <row r="8381" spans="1:8" x14ac:dyDescent="0.3">
      <c r="A8381" s="400"/>
      <c r="B8381" s="709">
        <v>104641</v>
      </c>
      <c r="C8381" s="710" t="s">
        <v>6963</v>
      </c>
      <c r="D8381" s="709" t="s">
        <v>168</v>
      </c>
      <c r="E8381" s="716">
        <v>10.46</v>
      </c>
      <c r="F8381" s="717">
        <v>0</v>
      </c>
      <c r="G8381">
        <f>VLOOKUP(B8381,'SINAPI-%MO'!B:E,4,0)</f>
        <v>0.64529999999999998</v>
      </c>
      <c r="H8381" s="225">
        <f t="shared" si="130"/>
        <v>3.71</v>
      </c>
    </row>
    <row r="8382" spans="1:8" x14ac:dyDescent="0.3">
      <c r="A8382" s="400"/>
      <c r="B8382" s="709">
        <v>104639</v>
      </c>
      <c r="C8382" s="710" t="s">
        <v>6964</v>
      </c>
      <c r="D8382" s="709" t="s">
        <v>168</v>
      </c>
      <c r="E8382" s="716">
        <v>13.11</v>
      </c>
      <c r="F8382" s="717">
        <v>0</v>
      </c>
      <c r="G8382">
        <f>VLOOKUP(B8382,'SINAPI-%MO'!B:E,4,0)</f>
        <v>0.71699999999999997</v>
      </c>
      <c r="H8382" s="225">
        <f t="shared" si="130"/>
        <v>3.71</v>
      </c>
    </row>
    <row r="8383" spans="1:8" x14ac:dyDescent="0.3">
      <c r="A8383" s="400"/>
      <c r="B8383" s="709">
        <v>104644</v>
      </c>
      <c r="C8383" s="710" t="s">
        <v>6965</v>
      </c>
      <c r="D8383" s="709" t="s">
        <v>168</v>
      </c>
      <c r="E8383" s="716">
        <v>0</v>
      </c>
      <c r="F8383" s="717"/>
      <c r="G8383" t="e">
        <f>VLOOKUP(B8383,'SINAPI-%MO'!B:E,4,0)</f>
        <v>#N/A</v>
      </c>
      <c r="H8383" s="225" t="str">
        <f t="shared" si="130"/>
        <v/>
      </c>
    </row>
    <row r="8384" spans="1:8" x14ac:dyDescent="0.3">
      <c r="A8384" s="400"/>
      <c r="B8384" s="709">
        <v>104643</v>
      </c>
      <c r="C8384" s="710" t="s">
        <v>6966</v>
      </c>
      <c r="D8384" s="709" t="s">
        <v>168</v>
      </c>
      <c r="E8384" s="716">
        <v>0</v>
      </c>
      <c r="F8384" s="717"/>
      <c r="G8384" t="e">
        <f>VLOOKUP(B8384,'SINAPI-%MO'!B:E,4,0)</f>
        <v>#N/A</v>
      </c>
      <c r="H8384" s="225" t="str">
        <f t="shared" si="130"/>
        <v/>
      </c>
    </row>
    <row r="8385" spans="1:8" x14ac:dyDescent="0.3">
      <c r="A8385" s="400"/>
      <c r="B8385" s="709">
        <v>88489</v>
      </c>
      <c r="C8385" s="710" t="s">
        <v>6967</v>
      </c>
      <c r="D8385" s="709" t="s">
        <v>168</v>
      </c>
      <c r="E8385" s="716">
        <v>14.34</v>
      </c>
      <c r="F8385" s="717">
        <v>0</v>
      </c>
      <c r="G8385">
        <f>VLOOKUP(B8385,'SINAPI-%MO'!B:E,4,0)</f>
        <v>0.47070000000000001</v>
      </c>
      <c r="H8385" s="225">
        <f t="shared" si="130"/>
        <v>7.59</v>
      </c>
    </row>
    <row r="8386" spans="1:8" x14ac:dyDescent="0.3">
      <c r="A8386" s="400"/>
      <c r="B8386" s="709">
        <v>88488</v>
      </c>
      <c r="C8386" s="710" t="s">
        <v>6968</v>
      </c>
      <c r="D8386" s="709" t="s">
        <v>168</v>
      </c>
      <c r="E8386" s="716">
        <v>16.989999999999998</v>
      </c>
      <c r="F8386" s="717">
        <v>0</v>
      </c>
      <c r="G8386">
        <f>VLOOKUP(B8386,'SINAPI-%MO'!B:E,4,0)</f>
        <v>0.55330000000000001</v>
      </c>
      <c r="H8386" s="225">
        <f t="shared" si="130"/>
        <v>7.58</v>
      </c>
    </row>
    <row r="8387" spans="1:8" x14ac:dyDescent="0.3">
      <c r="A8387" s="400"/>
      <c r="B8387" s="709">
        <v>104642</v>
      </c>
      <c r="C8387" s="710" t="s">
        <v>6969</v>
      </c>
      <c r="D8387" s="709" t="s">
        <v>168</v>
      </c>
      <c r="E8387" s="716">
        <v>11.9</v>
      </c>
      <c r="F8387" s="717">
        <v>0</v>
      </c>
      <c r="G8387">
        <f>VLOOKUP(B8387,'SINAPI-%MO'!B:E,4,0)</f>
        <v>0.56720000000000004</v>
      </c>
      <c r="H8387" s="225">
        <f t="shared" si="130"/>
        <v>5.15</v>
      </c>
    </row>
    <row r="8388" spans="1:8" x14ac:dyDescent="0.3">
      <c r="A8388" s="400"/>
      <c r="B8388" s="709">
        <v>104640</v>
      </c>
      <c r="C8388" s="710" t="s">
        <v>6970</v>
      </c>
      <c r="D8388" s="709" t="s">
        <v>168</v>
      </c>
      <c r="E8388" s="716">
        <v>14.55</v>
      </c>
      <c r="F8388" s="717">
        <v>0</v>
      </c>
      <c r="G8388">
        <f>VLOOKUP(B8388,'SINAPI-%MO'!B:E,4,0)</f>
        <v>0.64600000000000002</v>
      </c>
      <c r="H8388" s="225">
        <f t="shared" si="130"/>
        <v>5.15</v>
      </c>
    </row>
    <row r="8389" spans="1:8" x14ac:dyDescent="0.3">
      <c r="A8389" s="400"/>
      <c r="B8389" s="709">
        <v>95305</v>
      </c>
      <c r="C8389" s="710" t="s">
        <v>6971</v>
      </c>
      <c r="D8389" s="709" t="s">
        <v>168</v>
      </c>
      <c r="E8389" s="716">
        <v>15.16</v>
      </c>
      <c r="F8389" s="717">
        <v>0</v>
      </c>
      <c r="G8389">
        <f>VLOOKUP(B8389,'SINAPI-%MO'!B:E,4,0)</f>
        <v>0.42020000000000002</v>
      </c>
      <c r="H8389" s="225">
        <f t="shared" si="130"/>
        <v>8.7799999999999994</v>
      </c>
    </row>
    <row r="8390" spans="1:8" x14ac:dyDescent="0.3">
      <c r="A8390" s="400"/>
      <c r="B8390" s="709">
        <v>95306</v>
      </c>
      <c r="C8390" s="710" t="s">
        <v>6972</v>
      </c>
      <c r="D8390" s="709" t="s">
        <v>168</v>
      </c>
      <c r="E8390" s="716">
        <v>17.66</v>
      </c>
      <c r="F8390" s="717">
        <v>0</v>
      </c>
      <c r="G8390">
        <f>VLOOKUP(B8390,'SINAPI-%MO'!B:E,4,0)</f>
        <v>0.50229999999999997</v>
      </c>
      <c r="H8390" s="225">
        <f t="shared" si="130"/>
        <v>8.7799999999999994</v>
      </c>
    </row>
    <row r="8391" spans="1:8" x14ac:dyDescent="0.3">
      <c r="A8391" s="400"/>
      <c r="B8391" s="709">
        <v>102201</v>
      </c>
      <c r="C8391" s="710" t="s">
        <v>6973</v>
      </c>
      <c r="D8391" s="709" t="s">
        <v>168</v>
      </c>
      <c r="E8391" s="716">
        <v>22.23</v>
      </c>
      <c r="F8391" s="717">
        <v>0</v>
      </c>
      <c r="G8391">
        <f>VLOOKUP(B8391,'SINAPI-%MO'!B:E,4,0)</f>
        <v>0.66710000000000003</v>
      </c>
      <c r="H8391" s="225">
        <f t="shared" si="130"/>
        <v>7.4</v>
      </c>
    </row>
    <row r="8392" spans="1:8" x14ac:dyDescent="0.3">
      <c r="A8392" s="400"/>
      <c r="B8392" s="709">
        <v>102200</v>
      </c>
      <c r="C8392" s="710" t="s">
        <v>6974</v>
      </c>
      <c r="D8392" s="709" t="s">
        <v>168</v>
      </c>
      <c r="E8392" s="716">
        <v>24.56</v>
      </c>
      <c r="F8392" s="717">
        <v>0</v>
      </c>
      <c r="G8392">
        <f>VLOOKUP(B8392,'SINAPI-%MO'!B:E,4,0)</f>
        <v>0.49059999999999998</v>
      </c>
      <c r="H8392" s="225">
        <f t="shared" si="130"/>
        <v>12.51</v>
      </c>
    </row>
    <row r="8393" spans="1:8" x14ac:dyDescent="0.3">
      <c r="A8393" s="400"/>
      <c r="B8393" s="709">
        <v>102202</v>
      </c>
      <c r="C8393" s="710" t="s">
        <v>6975</v>
      </c>
      <c r="D8393" s="709" t="s">
        <v>168</v>
      </c>
      <c r="E8393" s="716">
        <v>61.46</v>
      </c>
      <c r="F8393" s="717">
        <v>0</v>
      </c>
      <c r="G8393">
        <f>VLOOKUP(B8393,'SINAPI-%MO'!B:E,4,0)</f>
        <v>0.1961</v>
      </c>
      <c r="H8393" s="225">
        <f t="shared" si="130"/>
        <v>49.4</v>
      </c>
    </row>
    <row r="8394" spans="1:8" x14ac:dyDescent="0.3">
      <c r="A8394" s="400"/>
      <c r="B8394" s="709">
        <v>102193</v>
      </c>
      <c r="C8394" s="710" t="s">
        <v>6976</v>
      </c>
      <c r="D8394" s="709" t="s">
        <v>168</v>
      </c>
      <c r="E8394" s="716">
        <v>2.36</v>
      </c>
      <c r="F8394" s="717">
        <v>0</v>
      </c>
      <c r="G8394">
        <f>VLOOKUP(B8394,'SINAPI-%MO'!B:E,4,0)</f>
        <v>0.75</v>
      </c>
      <c r="H8394" s="225">
        <f t="shared" si="130"/>
        <v>0.59</v>
      </c>
    </row>
    <row r="8395" spans="1:8" x14ac:dyDescent="0.3">
      <c r="A8395" s="400"/>
      <c r="B8395" s="709">
        <v>102194</v>
      </c>
      <c r="C8395" s="710" t="s">
        <v>6977</v>
      </c>
      <c r="D8395" s="709" t="s">
        <v>168</v>
      </c>
      <c r="E8395" s="716">
        <v>9.2899999999999991</v>
      </c>
      <c r="F8395" s="717">
        <v>0</v>
      </c>
      <c r="G8395">
        <f>VLOOKUP(B8395,'SINAPI-%MO'!B:E,4,0)</f>
        <v>0.92030000000000001</v>
      </c>
      <c r="H8395" s="225">
        <f t="shared" ref="H8395:H8458" si="131">IF(E8395&gt;0,TRUNC(E8395*(1-G8395),2),"")</f>
        <v>0.74</v>
      </c>
    </row>
    <row r="8396" spans="1:8" x14ac:dyDescent="0.3">
      <c r="A8396" s="400"/>
      <c r="B8396" s="709">
        <v>102198</v>
      </c>
      <c r="C8396" s="710" t="s">
        <v>6978</v>
      </c>
      <c r="D8396" s="709" t="s">
        <v>168</v>
      </c>
      <c r="E8396" s="716">
        <v>0</v>
      </c>
      <c r="F8396" s="717"/>
      <c r="G8396" t="e">
        <f>VLOOKUP(B8396,'SINAPI-%MO'!B:E,4,0)</f>
        <v>#N/A</v>
      </c>
      <c r="H8396" s="225" t="str">
        <f t="shared" si="131"/>
        <v/>
      </c>
    </row>
    <row r="8397" spans="1:8" x14ac:dyDescent="0.3">
      <c r="A8397" s="400"/>
      <c r="B8397" s="709">
        <v>102197</v>
      </c>
      <c r="C8397" s="710" t="s">
        <v>6979</v>
      </c>
      <c r="D8397" s="709" t="s">
        <v>168</v>
      </c>
      <c r="E8397" s="716">
        <v>31.89</v>
      </c>
      <c r="F8397" s="717">
        <v>0</v>
      </c>
      <c r="G8397">
        <f>VLOOKUP(B8397,'SINAPI-%MO'!B:E,4,0)</f>
        <v>0.28849999999999998</v>
      </c>
      <c r="H8397" s="225">
        <f t="shared" si="131"/>
        <v>22.68</v>
      </c>
    </row>
    <row r="8398" spans="1:8" x14ac:dyDescent="0.3">
      <c r="A8398" s="400"/>
      <c r="B8398" s="709">
        <v>102195</v>
      </c>
      <c r="C8398" s="710" t="s">
        <v>6980</v>
      </c>
      <c r="D8398" s="709" t="s">
        <v>168</v>
      </c>
      <c r="E8398" s="716">
        <v>0</v>
      </c>
      <c r="F8398" s="717"/>
      <c r="G8398" t="e">
        <f>VLOOKUP(B8398,'SINAPI-%MO'!B:E,4,0)</f>
        <v>#N/A</v>
      </c>
      <c r="H8398" s="225" t="str">
        <f t="shared" si="131"/>
        <v/>
      </c>
    </row>
    <row r="8399" spans="1:8" x14ac:dyDescent="0.3">
      <c r="A8399" s="400"/>
      <c r="B8399" s="709">
        <v>102199</v>
      </c>
      <c r="C8399" s="710" t="s">
        <v>6981</v>
      </c>
      <c r="D8399" s="709" t="s">
        <v>168</v>
      </c>
      <c r="E8399" s="716">
        <v>0</v>
      </c>
      <c r="F8399" s="717"/>
      <c r="G8399" t="e">
        <f>VLOOKUP(B8399,'SINAPI-%MO'!B:E,4,0)</f>
        <v>#N/A</v>
      </c>
      <c r="H8399" s="225" t="str">
        <f t="shared" si="131"/>
        <v/>
      </c>
    </row>
    <row r="8400" spans="1:8" x14ac:dyDescent="0.3">
      <c r="A8400" s="400"/>
      <c r="B8400" s="709">
        <v>102196</v>
      </c>
      <c r="C8400" s="710" t="s">
        <v>6982</v>
      </c>
      <c r="D8400" s="709" t="s">
        <v>168</v>
      </c>
      <c r="E8400" s="716">
        <v>0</v>
      </c>
      <c r="F8400" s="717"/>
      <c r="G8400" t="e">
        <f>VLOOKUP(B8400,'SINAPI-%MO'!B:E,4,0)</f>
        <v>#N/A</v>
      </c>
      <c r="H8400" s="225" t="str">
        <f t="shared" si="131"/>
        <v/>
      </c>
    </row>
    <row r="8401" spans="1:8" x14ac:dyDescent="0.3">
      <c r="A8401" s="400"/>
      <c r="B8401" s="709">
        <v>102233</v>
      </c>
      <c r="C8401" s="710" t="s">
        <v>6983</v>
      </c>
      <c r="D8401" s="709" t="s">
        <v>168</v>
      </c>
      <c r="E8401" s="716">
        <v>12.46</v>
      </c>
      <c r="F8401" s="717">
        <v>0</v>
      </c>
      <c r="G8401">
        <f>VLOOKUP(B8401,'SINAPI-%MO'!B:E,4,0)</f>
        <v>0.59630000000000005</v>
      </c>
      <c r="H8401" s="225">
        <f t="shared" si="131"/>
        <v>5.03</v>
      </c>
    </row>
    <row r="8402" spans="1:8" x14ac:dyDescent="0.3">
      <c r="A8402" s="400"/>
      <c r="B8402" s="709">
        <v>102234</v>
      </c>
      <c r="C8402" s="710" t="s">
        <v>6984</v>
      </c>
      <c r="D8402" s="709" t="s">
        <v>168</v>
      </c>
      <c r="E8402" s="716">
        <v>24.92</v>
      </c>
      <c r="F8402" s="717">
        <v>0</v>
      </c>
      <c r="G8402">
        <f>VLOOKUP(B8402,'SINAPI-%MO'!B:E,4,0)</f>
        <v>0.59630000000000005</v>
      </c>
      <c r="H8402" s="225">
        <f t="shared" si="131"/>
        <v>10.06</v>
      </c>
    </row>
    <row r="8403" spans="1:8" x14ac:dyDescent="0.3">
      <c r="A8403" s="400"/>
      <c r="B8403" s="709">
        <v>102207</v>
      </c>
      <c r="C8403" s="710" t="s">
        <v>6985</v>
      </c>
      <c r="D8403" s="709" t="s">
        <v>168</v>
      </c>
      <c r="E8403" s="716">
        <v>9.6300000000000008</v>
      </c>
      <c r="F8403" s="717">
        <v>0</v>
      </c>
      <c r="G8403">
        <f>VLOOKUP(B8403,'SINAPI-%MO'!B:E,4,0)</f>
        <v>0.64800000000000002</v>
      </c>
      <c r="H8403" s="225">
        <f t="shared" si="131"/>
        <v>3.38</v>
      </c>
    </row>
    <row r="8404" spans="1:8" x14ac:dyDescent="0.3">
      <c r="A8404" s="400"/>
      <c r="B8404" s="709">
        <v>102217</v>
      </c>
      <c r="C8404" s="710" t="s">
        <v>6986</v>
      </c>
      <c r="D8404" s="709" t="s">
        <v>168</v>
      </c>
      <c r="E8404" s="716">
        <v>19.27</v>
      </c>
      <c r="F8404" s="717">
        <v>0</v>
      </c>
      <c r="G8404">
        <f>VLOOKUP(B8404,'SINAPI-%MO'!B:E,4,0)</f>
        <v>0.64759999999999995</v>
      </c>
      <c r="H8404" s="225">
        <f t="shared" si="131"/>
        <v>6.79</v>
      </c>
    </row>
    <row r="8405" spans="1:8" x14ac:dyDescent="0.3">
      <c r="A8405" s="400"/>
      <c r="B8405" s="709">
        <v>102227</v>
      </c>
      <c r="C8405" s="710" t="s">
        <v>6987</v>
      </c>
      <c r="D8405" s="709" t="s">
        <v>168</v>
      </c>
      <c r="E8405" s="716">
        <v>28.91</v>
      </c>
      <c r="F8405" s="717">
        <v>0</v>
      </c>
      <c r="G8405">
        <f>VLOOKUP(B8405,'SINAPI-%MO'!B:E,4,0)</f>
        <v>0.64790000000000003</v>
      </c>
      <c r="H8405" s="225">
        <f t="shared" si="131"/>
        <v>10.17</v>
      </c>
    </row>
    <row r="8406" spans="1:8" x14ac:dyDescent="0.3">
      <c r="A8406" s="400"/>
      <c r="B8406" s="709">
        <v>102211</v>
      </c>
      <c r="C8406" s="710" t="s">
        <v>6988</v>
      </c>
      <c r="D8406" s="709" t="s">
        <v>168</v>
      </c>
      <c r="E8406" s="716">
        <v>0</v>
      </c>
      <c r="F8406" s="717"/>
      <c r="G8406" t="e">
        <f>VLOOKUP(B8406,'SINAPI-%MO'!B:E,4,0)</f>
        <v>#N/A</v>
      </c>
      <c r="H8406" s="225" t="str">
        <f t="shared" si="131"/>
        <v/>
      </c>
    </row>
    <row r="8407" spans="1:8" x14ac:dyDescent="0.3">
      <c r="A8407" s="400"/>
      <c r="B8407" s="709">
        <v>102221</v>
      </c>
      <c r="C8407" s="710" t="s">
        <v>6989</v>
      </c>
      <c r="D8407" s="709" t="s">
        <v>168</v>
      </c>
      <c r="E8407" s="716">
        <v>0</v>
      </c>
      <c r="F8407" s="717"/>
      <c r="G8407" t="e">
        <f>VLOOKUP(B8407,'SINAPI-%MO'!B:E,4,0)</f>
        <v>#N/A</v>
      </c>
      <c r="H8407" s="225" t="str">
        <f t="shared" si="131"/>
        <v/>
      </c>
    </row>
    <row r="8408" spans="1:8" x14ac:dyDescent="0.3">
      <c r="A8408" s="400"/>
      <c r="B8408" s="709">
        <v>102231</v>
      </c>
      <c r="C8408" s="710" t="s">
        <v>6990</v>
      </c>
      <c r="D8408" s="709" t="s">
        <v>168</v>
      </c>
      <c r="E8408" s="716">
        <v>0</v>
      </c>
      <c r="F8408" s="717"/>
      <c r="G8408" t="e">
        <f>VLOOKUP(B8408,'SINAPI-%MO'!B:E,4,0)</f>
        <v>#N/A</v>
      </c>
      <c r="H8408" s="225" t="str">
        <f t="shared" si="131"/>
        <v/>
      </c>
    </row>
    <row r="8409" spans="1:8" x14ac:dyDescent="0.3">
      <c r="A8409" s="400"/>
      <c r="B8409" s="709">
        <v>102209</v>
      </c>
      <c r="C8409" s="710" t="s">
        <v>6991</v>
      </c>
      <c r="D8409" s="709" t="s">
        <v>168</v>
      </c>
      <c r="E8409" s="716">
        <v>9.48</v>
      </c>
      <c r="F8409" s="717">
        <v>0</v>
      </c>
      <c r="G8409">
        <f>VLOOKUP(B8409,'SINAPI-%MO'!B:E,4,0)</f>
        <v>0.65820000000000001</v>
      </c>
      <c r="H8409" s="225">
        <f t="shared" si="131"/>
        <v>3.24</v>
      </c>
    </row>
    <row r="8410" spans="1:8" x14ac:dyDescent="0.3">
      <c r="A8410" s="400"/>
      <c r="B8410" s="709">
        <v>102219</v>
      </c>
      <c r="C8410" s="710" t="s">
        <v>6992</v>
      </c>
      <c r="D8410" s="709" t="s">
        <v>168</v>
      </c>
      <c r="E8410" s="716">
        <v>18.95</v>
      </c>
      <c r="F8410" s="717">
        <v>0</v>
      </c>
      <c r="G8410">
        <f>VLOOKUP(B8410,'SINAPI-%MO'!B:E,4,0)</f>
        <v>0.65859999999999996</v>
      </c>
      <c r="H8410" s="225">
        <f t="shared" si="131"/>
        <v>6.46</v>
      </c>
    </row>
    <row r="8411" spans="1:8" x14ac:dyDescent="0.3">
      <c r="A8411" s="400"/>
      <c r="B8411" s="709">
        <v>102229</v>
      </c>
      <c r="C8411" s="710" t="s">
        <v>6993</v>
      </c>
      <c r="D8411" s="709" t="s">
        <v>168</v>
      </c>
      <c r="E8411" s="716">
        <v>28.45</v>
      </c>
      <c r="F8411" s="717">
        <v>0</v>
      </c>
      <c r="G8411">
        <f>VLOOKUP(B8411,'SINAPI-%MO'!B:E,4,0)</f>
        <v>0.6583</v>
      </c>
      <c r="H8411" s="225">
        <f t="shared" si="131"/>
        <v>9.7200000000000006</v>
      </c>
    </row>
    <row r="8412" spans="1:8" x14ac:dyDescent="0.3">
      <c r="A8412" s="400"/>
      <c r="B8412" s="709">
        <v>102210</v>
      </c>
      <c r="C8412" s="710" t="s">
        <v>6994</v>
      </c>
      <c r="D8412" s="709" t="s">
        <v>168</v>
      </c>
      <c r="E8412" s="716">
        <v>9.0399999999999991</v>
      </c>
      <c r="F8412" s="717">
        <v>0</v>
      </c>
      <c r="G8412">
        <f>VLOOKUP(B8412,'SINAPI-%MO'!B:E,4,0)</f>
        <v>0.69030000000000002</v>
      </c>
      <c r="H8412" s="225">
        <f t="shared" si="131"/>
        <v>2.79</v>
      </c>
    </row>
    <row r="8413" spans="1:8" x14ac:dyDescent="0.3">
      <c r="A8413" s="400"/>
      <c r="B8413" s="709">
        <v>102220</v>
      </c>
      <c r="C8413" s="710" t="s">
        <v>6995</v>
      </c>
      <c r="D8413" s="709" t="s">
        <v>168</v>
      </c>
      <c r="E8413" s="716">
        <v>18.079999999999998</v>
      </c>
      <c r="F8413" s="717">
        <v>0</v>
      </c>
      <c r="G8413">
        <f>VLOOKUP(B8413,'SINAPI-%MO'!B:E,4,0)</f>
        <v>0.69030000000000002</v>
      </c>
      <c r="H8413" s="225">
        <f t="shared" si="131"/>
        <v>5.59</v>
      </c>
    </row>
    <row r="8414" spans="1:8" x14ac:dyDescent="0.3">
      <c r="A8414" s="400"/>
      <c r="B8414" s="709">
        <v>102230</v>
      </c>
      <c r="C8414" s="710" t="s">
        <v>6996</v>
      </c>
      <c r="D8414" s="709" t="s">
        <v>168</v>
      </c>
      <c r="E8414" s="716">
        <v>27.14</v>
      </c>
      <c r="F8414" s="717">
        <v>0</v>
      </c>
      <c r="G8414">
        <f>VLOOKUP(B8414,'SINAPI-%MO'!B:E,4,0)</f>
        <v>0.69010000000000005</v>
      </c>
      <c r="H8414" s="225">
        <f t="shared" si="131"/>
        <v>8.41</v>
      </c>
    </row>
    <row r="8415" spans="1:8" x14ac:dyDescent="0.3">
      <c r="A8415" s="400"/>
      <c r="B8415" s="709">
        <v>102208</v>
      </c>
      <c r="C8415" s="710" t="s">
        <v>6997</v>
      </c>
      <c r="D8415" s="709" t="s">
        <v>168</v>
      </c>
      <c r="E8415" s="716">
        <v>9.19</v>
      </c>
      <c r="F8415" s="717">
        <v>0</v>
      </c>
      <c r="G8415">
        <f>VLOOKUP(B8415,'SINAPI-%MO'!B:E,4,0)</f>
        <v>0.67900000000000005</v>
      </c>
      <c r="H8415" s="225">
        <f t="shared" si="131"/>
        <v>2.94</v>
      </c>
    </row>
    <row r="8416" spans="1:8" x14ac:dyDescent="0.3">
      <c r="A8416" s="400"/>
      <c r="B8416" s="709">
        <v>102218</v>
      </c>
      <c r="C8416" s="710" t="s">
        <v>6998</v>
      </c>
      <c r="D8416" s="709" t="s">
        <v>168</v>
      </c>
      <c r="E8416" s="716">
        <v>18.38</v>
      </c>
      <c r="F8416" s="717">
        <v>0</v>
      </c>
      <c r="G8416">
        <f>VLOOKUP(B8416,'SINAPI-%MO'!B:E,4,0)</f>
        <v>0.67900000000000005</v>
      </c>
      <c r="H8416" s="225">
        <f t="shared" si="131"/>
        <v>5.89</v>
      </c>
    </row>
    <row r="8417" spans="1:8" x14ac:dyDescent="0.3">
      <c r="A8417" s="400"/>
      <c r="B8417" s="709">
        <v>102228</v>
      </c>
      <c r="C8417" s="710" t="s">
        <v>6999</v>
      </c>
      <c r="D8417" s="709" t="s">
        <v>168</v>
      </c>
      <c r="E8417" s="716">
        <v>27.59</v>
      </c>
      <c r="F8417" s="717">
        <v>0</v>
      </c>
      <c r="G8417">
        <f>VLOOKUP(B8417,'SINAPI-%MO'!B:E,4,0)</f>
        <v>0.67889999999999995</v>
      </c>
      <c r="H8417" s="225">
        <f t="shared" si="131"/>
        <v>8.85</v>
      </c>
    </row>
    <row r="8418" spans="1:8" x14ac:dyDescent="0.3">
      <c r="A8418" s="400"/>
      <c r="B8418" s="709">
        <v>102212</v>
      </c>
      <c r="C8418" s="710" t="s">
        <v>7000</v>
      </c>
      <c r="D8418" s="709" t="s">
        <v>168</v>
      </c>
      <c r="E8418" s="716">
        <v>0</v>
      </c>
      <c r="F8418" s="717"/>
      <c r="G8418" t="e">
        <f>VLOOKUP(B8418,'SINAPI-%MO'!B:E,4,0)</f>
        <v>#N/A</v>
      </c>
      <c r="H8418" s="225" t="str">
        <f t="shared" si="131"/>
        <v/>
      </c>
    </row>
    <row r="8419" spans="1:8" x14ac:dyDescent="0.3">
      <c r="A8419" s="400"/>
      <c r="B8419" s="709">
        <v>102222</v>
      </c>
      <c r="C8419" s="710" t="s">
        <v>7001</v>
      </c>
      <c r="D8419" s="709" t="s">
        <v>168</v>
      </c>
      <c r="E8419" s="716">
        <v>0</v>
      </c>
      <c r="F8419" s="717"/>
      <c r="G8419" t="e">
        <f>VLOOKUP(B8419,'SINAPI-%MO'!B:E,4,0)</f>
        <v>#N/A</v>
      </c>
      <c r="H8419" s="225" t="str">
        <f t="shared" si="131"/>
        <v/>
      </c>
    </row>
    <row r="8420" spans="1:8" x14ac:dyDescent="0.3">
      <c r="A8420" s="400"/>
      <c r="B8420" s="709">
        <v>102232</v>
      </c>
      <c r="C8420" s="710" t="s">
        <v>7002</v>
      </c>
      <c r="D8420" s="709" t="s">
        <v>168</v>
      </c>
      <c r="E8420" s="716">
        <v>0</v>
      </c>
      <c r="F8420" s="717"/>
      <c r="G8420" t="e">
        <f>VLOOKUP(B8420,'SINAPI-%MO'!B:E,4,0)</f>
        <v>#N/A</v>
      </c>
      <c r="H8420" s="225" t="str">
        <f t="shared" si="131"/>
        <v/>
      </c>
    </row>
    <row r="8421" spans="1:8" x14ac:dyDescent="0.3">
      <c r="A8421" s="400"/>
      <c r="B8421" s="709">
        <v>102203</v>
      </c>
      <c r="C8421" s="710" t="s">
        <v>7003</v>
      </c>
      <c r="D8421" s="709" t="s">
        <v>168</v>
      </c>
      <c r="E8421" s="716">
        <v>11.83</v>
      </c>
      <c r="F8421" s="717">
        <v>0</v>
      </c>
      <c r="G8421">
        <f>VLOOKUP(B8421,'SINAPI-%MO'!B:E,4,0)</f>
        <v>0.65429999999999999</v>
      </c>
      <c r="H8421" s="225">
        <f t="shared" si="131"/>
        <v>4.08</v>
      </c>
    </row>
    <row r="8422" spans="1:8" x14ac:dyDescent="0.3">
      <c r="A8422" s="400"/>
      <c r="B8422" s="709">
        <v>102213</v>
      </c>
      <c r="C8422" s="710" t="s">
        <v>7004</v>
      </c>
      <c r="D8422" s="709" t="s">
        <v>168</v>
      </c>
      <c r="E8422" s="716">
        <v>23.66</v>
      </c>
      <c r="F8422" s="717">
        <v>0</v>
      </c>
      <c r="G8422">
        <f>VLOOKUP(B8422,'SINAPI-%MO'!B:E,4,0)</f>
        <v>0.65429999999999999</v>
      </c>
      <c r="H8422" s="225">
        <f t="shared" si="131"/>
        <v>8.17</v>
      </c>
    </row>
    <row r="8423" spans="1:8" x14ac:dyDescent="0.3">
      <c r="A8423" s="400"/>
      <c r="B8423" s="709">
        <v>102223</v>
      </c>
      <c r="C8423" s="710" t="s">
        <v>7005</v>
      </c>
      <c r="D8423" s="709" t="s">
        <v>168</v>
      </c>
      <c r="E8423" s="716">
        <v>35.49</v>
      </c>
      <c r="F8423" s="717">
        <v>0</v>
      </c>
      <c r="G8423">
        <f>VLOOKUP(B8423,'SINAPI-%MO'!B:E,4,0)</f>
        <v>0.65429999999999999</v>
      </c>
      <c r="H8423" s="225">
        <f t="shared" si="131"/>
        <v>12.26</v>
      </c>
    </row>
    <row r="8424" spans="1:8" x14ac:dyDescent="0.3">
      <c r="A8424" s="400"/>
      <c r="B8424" s="709">
        <v>102204</v>
      </c>
      <c r="C8424" s="710" t="s">
        <v>7006</v>
      </c>
      <c r="D8424" s="709" t="s">
        <v>168</v>
      </c>
      <c r="E8424" s="716">
        <v>12.2</v>
      </c>
      <c r="F8424" s="717">
        <v>0</v>
      </c>
      <c r="G8424">
        <f>VLOOKUP(B8424,'SINAPI-%MO'!B:E,4,0)</f>
        <v>0.63439999999999996</v>
      </c>
      <c r="H8424" s="225">
        <f t="shared" si="131"/>
        <v>4.46</v>
      </c>
    </row>
    <row r="8425" spans="1:8" x14ac:dyDescent="0.3">
      <c r="A8425" s="400"/>
      <c r="B8425" s="709">
        <v>102214</v>
      </c>
      <c r="C8425" s="710" t="s">
        <v>7007</v>
      </c>
      <c r="D8425" s="709" t="s">
        <v>168</v>
      </c>
      <c r="E8425" s="716">
        <v>24.41</v>
      </c>
      <c r="F8425" s="717">
        <v>0</v>
      </c>
      <c r="G8425">
        <f>VLOOKUP(B8425,'SINAPI-%MO'!B:E,4,0)</f>
        <v>0.63419999999999999</v>
      </c>
      <c r="H8425" s="225">
        <f t="shared" si="131"/>
        <v>8.92</v>
      </c>
    </row>
    <row r="8426" spans="1:8" x14ac:dyDescent="0.3">
      <c r="A8426" s="400"/>
      <c r="B8426" s="709">
        <v>102224</v>
      </c>
      <c r="C8426" s="710" t="s">
        <v>7008</v>
      </c>
      <c r="D8426" s="709" t="s">
        <v>168</v>
      </c>
      <c r="E8426" s="716">
        <v>36.61</v>
      </c>
      <c r="F8426" s="717">
        <v>0</v>
      </c>
      <c r="G8426">
        <f>VLOOKUP(B8426,'SINAPI-%MO'!B:E,4,0)</f>
        <v>0.63429999999999997</v>
      </c>
      <c r="H8426" s="225">
        <f t="shared" si="131"/>
        <v>13.38</v>
      </c>
    </row>
    <row r="8427" spans="1:8" x14ac:dyDescent="0.3">
      <c r="A8427" s="400"/>
      <c r="B8427" s="709">
        <v>102205</v>
      </c>
      <c r="C8427" s="710" t="s">
        <v>7009</v>
      </c>
      <c r="D8427" s="709" t="s">
        <v>168</v>
      </c>
      <c r="E8427" s="716">
        <v>11.02</v>
      </c>
      <c r="F8427" s="717">
        <v>0</v>
      </c>
      <c r="G8427">
        <f>VLOOKUP(B8427,'SINAPI-%MO'!B:E,4,0)</f>
        <v>0.70240000000000002</v>
      </c>
      <c r="H8427" s="225">
        <f t="shared" si="131"/>
        <v>3.27</v>
      </c>
    </row>
    <row r="8428" spans="1:8" x14ac:dyDescent="0.3">
      <c r="A8428" s="400"/>
      <c r="B8428" s="709">
        <v>102215</v>
      </c>
      <c r="C8428" s="710" t="s">
        <v>7010</v>
      </c>
      <c r="D8428" s="709" t="s">
        <v>168</v>
      </c>
      <c r="E8428" s="716">
        <v>22.04</v>
      </c>
      <c r="F8428" s="717">
        <v>0</v>
      </c>
      <c r="G8428">
        <f>VLOOKUP(B8428,'SINAPI-%MO'!B:E,4,0)</f>
        <v>0.70240000000000002</v>
      </c>
      <c r="H8428" s="225">
        <f t="shared" si="131"/>
        <v>6.55</v>
      </c>
    </row>
    <row r="8429" spans="1:8" x14ac:dyDescent="0.3">
      <c r="A8429" s="400"/>
      <c r="B8429" s="709">
        <v>102225</v>
      </c>
      <c r="C8429" s="710" t="s">
        <v>7011</v>
      </c>
      <c r="D8429" s="709" t="s">
        <v>168</v>
      </c>
      <c r="E8429" s="716">
        <v>33.06</v>
      </c>
      <c r="F8429" s="717">
        <v>0</v>
      </c>
      <c r="G8429">
        <f>VLOOKUP(B8429,'SINAPI-%MO'!B:E,4,0)</f>
        <v>0.70240000000000002</v>
      </c>
      <c r="H8429" s="225">
        <f t="shared" si="131"/>
        <v>9.83</v>
      </c>
    </row>
    <row r="8430" spans="1:8" x14ac:dyDescent="0.3">
      <c r="A8430" s="400"/>
      <c r="B8430" s="709">
        <v>102206</v>
      </c>
      <c r="C8430" s="710" t="s">
        <v>7012</v>
      </c>
      <c r="D8430" s="709" t="s">
        <v>168</v>
      </c>
      <c r="E8430" s="716">
        <v>0</v>
      </c>
      <c r="F8430" s="717"/>
      <c r="G8430" t="e">
        <f>VLOOKUP(B8430,'SINAPI-%MO'!B:E,4,0)</f>
        <v>#N/A</v>
      </c>
      <c r="H8430" s="225" t="str">
        <f t="shared" si="131"/>
        <v/>
      </c>
    </row>
    <row r="8431" spans="1:8" x14ac:dyDescent="0.3">
      <c r="A8431" s="400"/>
      <c r="B8431" s="709">
        <v>102216</v>
      </c>
      <c r="C8431" s="710" t="s">
        <v>7013</v>
      </c>
      <c r="D8431" s="709" t="s">
        <v>168</v>
      </c>
      <c r="E8431" s="716">
        <v>0</v>
      </c>
      <c r="F8431" s="717"/>
      <c r="G8431" t="e">
        <f>VLOOKUP(B8431,'SINAPI-%MO'!B:E,4,0)</f>
        <v>#N/A</v>
      </c>
      <c r="H8431" s="225" t="str">
        <f t="shared" si="131"/>
        <v/>
      </c>
    </row>
    <row r="8432" spans="1:8" x14ac:dyDescent="0.3">
      <c r="A8432" s="400"/>
      <c r="B8432" s="709">
        <v>102226</v>
      </c>
      <c r="C8432" s="710" t="s">
        <v>7014</v>
      </c>
      <c r="D8432" s="709" t="s">
        <v>168</v>
      </c>
      <c r="E8432" s="716">
        <v>0</v>
      </c>
      <c r="F8432" s="717"/>
      <c r="G8432" t="e">
        <f>VLOOKUP(B8432,'SINAPI-%MO'!B:E,4,0)</f>
        <v>#N/A</v>
      </c>
      <c r="H8432" s="225" t="str">
        <f t="shared" si="131"/>
        <v/>
      </c>
    </row>
    <row r="8433" spans="1:8" x14ac:dyDescent="0.3">
      <c r="A8433" s="400"/>
      <c r="B8433" s="709">
        <v>100718</v>
      </c>
      <c r="C8433" s="710" t="s">
        <v>7015</v>
      </c>
      <c r="D8433" s="709" t="s">
        <v>159</v>
      </c>
      <c r="E8433" s="716">
        <v>1.63</v>
      </c>
      <c r="F8433" s="717">
        <v>0</v>
      </c>
      <c r="G8433">
        <f>VLOOKUP(B8433,'SINAPI-%MO'!B:E,4,0)</f>
        <v>0.82820000000000005</v>
      </c>
      <c r="H8433" s="225">
        <f t="shared" si="131"/>
        <v>0.28000000000000003</v>
      </c>
    </row>
    <row r="8434" spans="1:8" x14ac:dyDescent="0.3">
      <c r="A8434" s="400"/>
      <c r="B8434" s="709">
        <v>100716</v>
      </c>
      <c r="C8434" s="710" t="s">
        <v>7016</v>
      </c>
      <c r="D8434" s="709" t="s">
        <v>168</v>
      </c>
      <c r="E8434" s="716">
        <v>25.18</v>
      </c>
      <c r="F8434" s="717">
        <v>0.78239999999999998</v>
      </c>
      <c r="G8434">
        <f>VLOOKUP(B8434,'SINAPI-%MO'!B:E,4,0)</f>
        <v>0.18590000000000001</v>
      </c>
      <c r="H8434" s="225">
        <f t="shared" si="131"/>
        <v>20.49</v>
      </c>
    </row>
    <row r="8435" spans="1:8" x14ac:dyDescent="0.3">
      <c r="A8435" s="400"/>
      <c r="B8435" s="709">
        <v>100717</v>
      </c>
      <c r="C8435" s="710" t="s">
        <v>7017</v>
      </c>
      <c r="D8435" s="709" t="s">
        <v>168</v>
      </c>
      <c r="E8435" s="716">
        <v>11.13</v>
      </c>
      <c r="F8435" s="717">
        <v>0</v>
      </c>
      <c r="G8435">
        <f>VLOOKUP(B8435,'SINAPI-%MO'!B:E,4,0)</f>
        <v>0.88049999999999995</v>
      </c>
      <c r="H8435" s="225">
        <f t="shared" si="131"/>
        <v>1.33</v>
      </c>
    </row>
    <row r="8436" spans="1:8" x14ac:dyDescent="0.3">
      <c r="A8436" s="400"/>
      <c r="B8436" s="709">
        <v>100753</v>
      </c>
      <c r="C8436" s="710" t="s">
        <v>16212</v>
      </c>
      <c r="D8436" s="709" t="s">
        <v>168</v>
      </c>
      <c r="E8436" s="716">
        <v>25.32</v>
      </c>
      <c r="F8436" s="717">
        <v>0</v>
      </c>
      <c r="G8436">
        <f>VLOOKUP(B8436,'SINAPI-%MO'!B:E,4,0)</f>
        <v>0.7863</v>
      </c>
      <c r="H8436" s="225">
        <f t="shared" si="131"/>
        <v>5.41</v>
      </c>
    </row>
    <row r="8437" spans="1:8" x14ac:dyDescent="0.3">
      <c r="A8437" s="400"/>
      <c r="B8437" s="709">
        <v>100735</v>
      </c>
      <c r="C8437" s="710" t="s">
        <v>16213</v>
      </c>
      <c r="D8437" s="709" t="s">
        <v>168</v>
      </c>
      <c r="E8437" s="716">
        <v>12.65</v>
      </c>
      <c r="F8437" s="717">
        <v>0</v>
      </c>
      <c r="G8437">
        <f>VLOOKUP(B8437,'SINAPI-%MO'!B:E,4,0)</f>
        <v>0.78659999999999997</v>
      </c>
      <c r="H8437" s="225">
        <f t="shared" si="131"/>
        <v>2.69</v>
      </c>
    </row>
    <row r="8438" spans="1:8" x14ac:dyDescent="0.3">
      <c r="A8438" s="400"/>
      <c r="B8438" s="709">
        <v>100733</v>
      </c>
      <c r="C8438" s="710" t="s">
        <v>16214</v>
      </c>
      <c r="D8438" s="709" t="s">
        <v>168</v>
      </c>
      <c r="E8438" s="716">
        <v>13.32</v>
      </c>
      <c r="F8438" s="717">
        <v>0</v>
      </c>
      <c r="G8438">
        <f>VLOOKUP(B8438,'SINAPI-%MO'!B:E,4,0)</f>
        <v>0.747</v>
      </c>
      <c r="H8438" s="225">
        <f t="shared" si="131"/>
        <v>3.36</v>
      </c>
    </row>
    <row r="8439" spans="1:8" x14ac:dyDescent="0.3">
      <c r="A8439" s="400"/>
      <c r="B8439" s="709">
        <v>100754</v>
      </c>
      <c r="C8439" s="710" t="s">
        <v>7018</v>
      </c>
      <c r="D8439" s="709" t="s">
        <v>168</v>
      </c>
      <c r="E8439" s="716">
        <v>33.44</v>
      </c>
      <c r="F8439" s="717">
        <v>0</v>
      </c>
      <c r="G8439">
        <f>VLOOKUP(B8439,'SINAPI-%MO'!B:E,4,0)</f>
        <v>0.89259999999999995</v>
      </c>
      <c r="H8439" s="225">
        <f t="shared" si="131"/>
        <v>3.59</v>
      </c>
    </row>
    <row r="8440" spans="1:8" x14ac:dyDescent="0.3">
      <c r="A8440" s="400"/>
      <c r="B8440" s="709">
        <v>100736</v>
      </c>
      <c r="C8440" s="710" t="s">
        <v>7019</v>
      </c>
      <c r="D8440" s="709" t="s">
        <v>168</v>
      </c>
      <c r="E8440" s="716">
        <v>16.71</v>
      </c>
      <c r="F8440" s="717">
        <v>0</v>
      </c>
      <c r="G8440">
        <f>VLOOKUP(B8440,'SINAPI-%MO'!B:E,4,0)</f>
        <v>0.89290000000000003</v>
      </c>
      <c r="H8440" s="225">
        <f t="shared" si="131"/>
        <v>1.78</v>
      </c>
    </row>
    <row r="8441" spans="1:8" x14ac:dyDescent="0.3">
      <c r="A8441" s="400"/>
      <c r="B8441" s="709">
        <v>100734</v>
      </c>
      <c r="C8441" s="710" t="s">
        <v>7020</v>
      </c>
      <c r="D8441" s="709" t="s">
        <v>168</v>
      </c>
      <c r="E8441" s="716">
        <v>17.36</v>
      </c>
      <c r="F8441" s="717">
        <v>0</v>
      </c>
      <c r="G8441">
        <f>VLOOKUP(B8441,'SINAPI-%MO'!B:E,4,0)</f>
        <v>0.85940000000000005</v>
      </c>
      <c r="H8441" s="225">
        <f t="shared" si="131"/>
        <v>2.44</v>
      </c>
    </row>
    <row r="8442" spans="1:8" x14ac:dyDescent="0.3">
      <c r="A8442" s="400"/>
      <c r="B8442" s="709">
        <v>100739</v>
      </c>
      <c r="C8442" s="710" t="s">
        <v>16215</v>
      </c>
      <c r="D8442" s="709" t="s">
        <v>168</v>
      </c>
      <c r="E8442" s="716">
        <v>11.97</v>
      </c>
      <c r="F8442" s="717">
        <v>0</v>
      </c>
      <c r="G8442">
        <f>VLOOKUP(B8442,'SINAPI-%MO'!B:E,4,0)</f>
        <v>0.17380000000000001</v>
      </c>
      <c r="H8442" s="225">
        <f t="shared" si="131"/>
        <v>9.8800000000000008</v>
      </c>
    </row>
    <row r="8443" spans="1:8" x14ac:dyDescent="0.3">
      <c r="A8443" s="400"/>
      <c r="B8443" s="709">
        <v>100757</v>
      </c>
      <c r="C8443" s="710" t="s">
        <v>16216</v>
      </c>
      <c r="D8443" s="709" t="s">
        <v>168</v>
      </c>
      <c r="E8443" s="716">
        <v>55.9</v>
      </c>
      <c r="F8443" s="717">
        <v>0</v>
      </c>
      <c r="G8443">
        <f>VLOOKUP(B8443,'SINAPI-%MO'!B:E,4,0)</f>
        <v>0.61819999999999997</v>
      </c>
      <c r="H8443" s="225">
        <f t="shared" si="131"/>
        <v>21.34</v>
      </c>
    </row>
    <row r="8444" spans="1:8" x14ac:dyDescent="0.3">
      <c r="A8444" s="400"/>
      <c r="B8444" s="709">
        <v>100741</v>
      </c>
      <c r="C8444" s="710" t="s">
        <v>16217</v>
      </c>
      <c r="D8444" s="709" t="s">
        <v>168</v>
      </c>
      <c r="E8444" s="716">
        <v>27.94</v>
      </c>
      <c r="F8444" s="717">
        <v>0</v>
      </c>
      <c r="G8444">
        <f>VLOOKUP(B8444,'SINAPI-%MO'!B:E,4,0)</f>
        <v>0.61850000000000005</v>
      </c>
      <c r="H8444" s="225">
        <f t="shared" si="131"/>
        <v>10.65</v>
      </c>
    </row>
    <row r="8445" spans="1:8" x14ac:dyDescent="0.3">
      <c r="A8445" s="400"/>
      <c r="B8445" s="709">
        <v>100743</v>
      </c>
      <c r="C8445" s="710" t="s">
        <v>16218</v>
      </c>
      <c r="D8445" s="709" t="s">
        <v>168</v>
      </c>
      <c r="E8445" s="716">
        <v>11.7</v>
      </c>
      <c r="F8445" s="717">
        <v>0</v>
      </c>
      <c r="G8445">
        <f>VLOOKUP(B8445,'SINAPI-%MO'!B:E,4,0)</f>
        <v>0.17780000000000001</v>
      </c>
      <c r="H8445" s="225">
        <f t="shared" si="131"/>
        <v>9.61</v>
      </c>
    </row>
    <row r="8446" spans="1:8" x14ac:dyDescent="0.3">
      <c r="A8446" s="400"/>
      <c r="B8446" s="709">
        <v>100759</v>
      </c>
      <c r="C8446" s="710" t="s">
        <v>16219</v>
      </c>
      <c r="D8446" s="709" t="s">
        <v>168</v>
      </c>
      <c r="E8446" s="716">
        <v>55.32</v>
      </c>
      <c r="F8446" s="717">
        <v>0</v>
      </c>
      <c r="G8446">
        <f>VLOOKUP(B8446,'SINAPI-%MO'!B:E,4,0)</f>
        <v>0.62470000000000003</v>
      </c>
      <c r="H8446" s="225">
        <f t="shared" si="131"/>
        <v>20.76</v>
      </c>
    </row>
    <row r="8447" spans="1:8" x14ac:dyDescent="0.3">
      <c r="A8447" s="400"/>
      <c r="B8447" s="709">
        <v>100745</v>
      </c>
      <c r="C8447" s="710" t="s">
        <v>16220</v>
      </c>
      <c r="D8447" s="709" t="s">
        <v>168</v>
      </c>
      <c r="E8447" s="716">
        <v>27.65</v>
      </c>
      <c r="F8447" s="717">
        <v>0</v>
      </c>
      <c r="G8447">
        <f>VLOOKUP(B8447,'SINAPI-%MO'!B:E,4,0)</f>
        <v>0.625</v>
      </c>
      <c r="H8447" s="225">
        <f t="shared" si="131"/>
        <v>10.36</v>
      </c>
    </row>
    <row r="8448" spans="1:8" x14ac:dyDescent="0.3">
      <c r="A8448" s="400"/>
      <c r="B8448" s="709">
        <v>100747</v>
      </c>
      <c r="C8448" s="710" t="s">
        <v>16221</v>
      </c>
      <c r="D8448" s="709" t="s">
        <v>168</v>
      </c>
      <c r="E8448" s="716">
        <v>11.81</v>
      </c>
      <c r="F8448" s="717">
        <v>0</v>
      </c>
      <c r="G8448">
        <f>VLOOKUP(B8448,'SINAPI-%MO'!B:E,4,0)</f>
        <v>0.17610000000000001</v>
      </c>
      <c r="H8448" s="225">
        <f t="shared" si="131"/>
        <v>9.73</v>
      </c>
    </row>
    <row r="8449" spans="1:8" x14ac:dyDescent="0.3">
      <c r="A8449" s="400"/>
      <c r="B8449" s="709">
        <v>100761</v>
      </c>
      <c r="C8449" s="710" t="s">
        <v>16222</v>
      </c>
      <c r="D8449" s="709" t="s">
        <v>168</v>
      </c>
      <c r="E8449" s="716">
        <v>55.56</v>
      </c>
      <c r="F8449" s="717">
        <v>0</v>
      </c>
      <c r="G8449">
        <f>VLOOKUP(B8449,'SINAPI-%MO'!B:E,4,0)</f>
        <v>0.622</v>
      </c>
      <c r="H8449" s="225">
        <f t="shared" si="131"/>
        <v>21</v>
      </c>
    </row>
    <row r="8450" spans="1:8" x14ac:dyDescent="0.3">
      <c r="A8450" s="400"/>
      <c r="B8450" s="709">
        <v>100749</v>
      </c>
      <c r="C8450" s="710" t="s">
        <v>16223</v>
      </c>
      <c r="D8450" s="709" t="s">
        <v>168</v>
      </c>
      <c r="E8450" s="716">
        <v>27.77</v>
      </c>
      <c r="F8450" s="717">
        <v>0</v>
      </c>
      <c r="G8450">
        <f>VLOOKUP(B8450,'SINAPI-%MO'!B:E,4,0)</f>
        <v>0.62229999999999996</v>
      </c>
      <c r="H8450" s="225">
        <f t="shared" si="131"/>
        <v>10.48</v>
      </c>
    </row>
    <row r="8451" spans="1:8" x14ac:dyDescent="0.3">
      <c r="A8451" s="400"/>
      <c r="B8451" s="709">
        <v>100719</v>
      </c>
      <c r="C8451" s="710" t="s">
        <v>16224</v>
      </c>
      <c r="D8451" s="709" t="s">
        <v>168</v>
      </c>
      <c r="E8451" s="716">
        <v>12.16</v>
      </c>
      <c r="F8451" s="717">
        <v>0</v>
      </c>
      <c r="G8451">
        <f>VLOOKUP(B8451,'SINAPI-%MO'!B:E,4,0)</f>
        <v>0.1711</v>
      </c>
      <c r="H8451" s="225">
        <f t="shared" si="131"/>
        <v>10.07</v>
      </c>
    </row>
    <row r="8452" spans="1:8" x14ac:dyDescent="0.3">
      <c r="A8452" s="400"/>
      <c r="B8452" s="709">
        <v>100721</v>
      </c>
      <c r="C8452" s="710" t="s">
        <v>16225</v>
      </c>
      <c r="D8452" s="709" t="s">
        <v>168</v>
      </c>
      <c r="E8452" s="716">
        <v>28.34</v>
      </c>
      <c r="F8452" s="717">
        <v>0</v>
      </c>
      <c r="G8452">
        <f>VLOOKUP(B8452,'SINAPI-%MO'!B:E,4,0)</f>
        <v>0.60970000000000002</v>
      </c>
      <c r="H8452" s="225">
        <f t="shared" si="131"/>
        <v>11.06</v>
      </c>
    </row>
    <row r="8453" spans="1:8" x14ac:dyDescent="0.3">
      <c r="A8453" s="400"/>
      <c r="B8453" s="709">
        <v>100723</v>
      </c>
      <c r="C8453" s="710" t="s">
        <v>16226</v>
      </c>
      <c r="D8453" s="709" t="s">
        <v>168</v>
      </c>
      <c r="E8453" s="716">
        <v>13.05</v>
      </c>
      <c r="F8453" s="717">
        <v>0</v>
      </c>
      <c r="G8453">
        <f>VLOOKUP(B8453,'SINAPI-%MO'!B:E,4,0)</f>
        <v>0.15939999999999999</v>
      </c>
      <c r="H8453" s="225">
        <f t="shared" si="131"/>
        <v>10.96</v>
      </c>
    </row>
    <row r="8454" spans="1:8" x14ac:dyDescent="0.3">
      <c r="A8454" s="400"/>
      <c r="B8454" s="709">
        <v>100725</v>
      </c>
      <c r="C8454" s="710" t="s">
        <v>16227</v>
      </c>
      <c r="D8454" s="709" t="s">
        <v>168</v>
      </c>
      <c r="E8454" s="716">
        <v>28.65</v>
      </c>
      <c r="F8454" s="717">
        <v>0</v>
      </c>
      <c r="G8454">
        <f>VLOOKUP(B8454,'SINAPI-%MO'!B:E,4,0)</f>
        <v>0.60309999999999997</v>
      </c>
      <c r="H8454" s="225">
        <f t="shared" si="131"/>
        <v>11.37</v>
      </c>
    </row>
    <row r="8455" spans="1:8" x14ac:dyDescent="0.3">
      <c r="A8455" s="400"/>
      <c r="B8455" s="709">
        <v>100740</v>
      </c>
      <c r="C8455" s="710" t="s">
        <v>7021</v>
      </c>
      <c r="D8455" s="709" t="s">
        <v>168</v>
      </c>
      <c r="E8455" s="716">
        <v>12.78</v>
      </c>
      <c r="F8455" s="717">
        <v>0</v>
      </c>
      <c r="G8455">
        <f>VLOOKUP(B8455,'SINAPI-%MO'!B:E,4,0)</f>
        <v>0.55159999999999998</v>
      </c>
      <c r="H8455" s="225">
        <f t="shared" si="131"/>
        <v>5.73</v>
      </c>
    </row>
    <row r="8456" spans="1:8" x14ac:dyDescent="0.3">
      <c r="A8456" s="400"/>
      <c r="B8456" s="709">
        <v>100758</v>
      </c>
      <c r="C8456" s="710" t="s">
        <v>7022</v>
      </c>
      <c r="D8456" s="709" t="s">
        <v>168</v>
      </c>
      <c r="E8456" s="716">
        <v>56.27</v>
      </c>
      <c r="F8456" s="717">
        <v>0</v>
      </c>
      <c r="G8456">
        <f>VLOOKUP(B8456,'SINAPI-%MO'!B:E,4,0)</f>
        <v>0.79079999999999995</v>
      </c>
      <c r="H8456" s="225">
        <f t="shared" si="131"/>
        <v>11.77</v>
      </c>
    </row>
    <row r="8457" spans="1:8" x14ac:dyDescent="0.3">
      <c r="A8457" s="400"/>
      <c r="B8457" s="709">
        <v>100742</v>
      </c>
      <c r="C8457" s="710" t="s">
        <v>7023</v>
      </c>
      <c r="D8457" s="709" t="s">
        <v>168</v>
      </c>
      <c r="E8457" s="716">
        <v>28.12</v>
      </c>
      <c r="F8457" s="717">
        <v>0</v>
      </c>
      <c r="G8457">
        <f>VLOOKUP(B8457,'SINAPI-%MO'!B:E,4,0)</f>
        <v>0.79090000000000005</v>
      </c>
      <c r="H8457" s="225">
        <f t="shared" si="131"/>
        <v>5.87</v>
      </c>
    </row>
    <row r="8458" spans="1:8" x14ac:dyDescent="0.3">
      <c r="A8458" s="400"/>
      <c r="B8458" s="709">
        <v>100744</v>
      </c>
      <c r="C8458" s="710" t="s">
        <v>7024</v>
      </c>
      <c r="D8458" s="709" t="s">
        <v>168</v>
      </c>
      <c r="E8458" s="716">
        <v>12.6</v>
      </c>
      <c r="F8458" s="717">
        <v>0</v>
      </c>
      <c r="G8458">
        <f>VLOOKUP(B8458,'SINAPI-%MO'!B:E,4,0)</f>
        <v>0.5595</v>
      </c>
      <c r="H8458" s="225">
        <f t="shared" si="131"/>
        <v>5.55</v>
      </c>
    </row>
    <row r="8459" spans="1:8" x14ac:dyDescent="0.3">
      <c r="A8459" s="400"/>
      <c r="B8459" s="709">
        <v>100760</v>
      </c>
      <c r="C8459" s="710" t="s">
        <v>7025</v>
      </c>
      <c r="D8459" s="709" t="s">
        <v>168</v>
      </c>
      <c r="E8459" s="716">
        <v>55.91</v>
      </c>
      <c r="F8459" s="717">
        <v>0</v>
      </c>
      <c r="G8459">
        <f>VLOOKUP(B8459,'SINAPI-%MO'!B:E,4,0)</f>
        <v>0.79590000000000005</v>
      </c>
      <c r="H8459" s="225">
        <f t="shared" ref="H8459:H8522" si="132">IF(E8459&gt;0,TRUNC(E8459*(1-G8459),2),"")</f>
        <v>11.41</v>
      </c>
    </row>
    <row r="8460" spans="1:8" x14ac:dyDescent="0.3">
      <c r="A8460" s="400"/>
      <c r="B8460" s="709">
        <v>100746</v>
      </c>
      <c r="C8460" s="710" t="s">
        <v>7026</v>
      </c>
      <c r="D8460" s="709" t="s">
        <v>168</v>
      </c>
      <c r="E8460" s="716">
        <v>27.94</v>
      </c>
      <c r="F8460" s="717">
        <v>0</v>
      </c>
      <c r="G8460">
        <f>VLOOKUP(B8460,'SINAPI-%MO'!B:E,4,0)</f>
        <v>0.79600000000000004</v>
      </c>
      <c r="H8460" s="225">
        <f t="shared" si="132"/>
        <v>5.69</v>
      </c>
    </row>
    <row r="8461" spans="1:8" x14ac:dyDescent="0.3">
      <c r="A8461" s="400"/>
      <c r="B8461" s="709">
        <v>100748</v>
      </c>
      <c r="C8461" s="710" t="s">
        <v>7027</v>
      </c>
      <c r="D8461" s="709" t="s">
        <v>168</v>
      </c>
      <c r="E8461" s="716">
        <v>12.68</v>
      </c>
      <c r="F8461" s="717">
        <v>0</v>
      </c>
      <c r="G8461">
        <f>VLOOKUP(B8461,'SINAPI-%MO'!B:E,4,0)</f>
        <v>0.55600000000000005</v>
      </c>
      <c r="H8461" s="225">
        <f t="shared" si="132"/>
        <v>5.62</v>
      </c>
    </row>
    <row r="8462" spans="1:8" x14ac:dyDescent="0.3">
      <c r="A8462" s="400"/>
      <c r="B8462" s="709">
        <v>100762</v>
      </c>
      <c r="C8462" s="710" t="s">
        <v>7028</v>
      </c>
      <c r="D8462" s="709" t="s">
        <v>168</v>
      </c>
      <c r="E8462" s="716">
        <v>56.06</v>
      </c>
      <c r="F8462" s="717">
        <v>0</v>
      </c>
      <c r="G8462">
        <f>VLOOKUP(B8462,'SINAPI-%MO'!B:E,4,0)</f>
        <v>0.79379999999999995</v>
      </c>
      <c r="H8462" s="225">
        <f t="shared" si="132"/>
        <v>11.55</v>
      </c>
    </row>
    <row r="8463" spans="1:8" x14ac:dyDescent="0.3">
      <c r="A8463" s="400"/>
      <c r="B8463" s="709">
        <v>100750</v>
      </c>
      <c r="C8463" s="710" t="s">
        <v>7029</v>
      </c>
      <c r="D8463" s="709" t="s">
        <v>168</v>
      </c>
      <c r="E8463" s="716">
        <v>28.01</v>
      </c>
      <c r="F8463" s="717">
        <v>0</v>
      </c>
      <c r="G8463">
        <f>VLOOKUP(B8463,'SINAPI-%MO'!B:E,4,0)</f>
        <v>0.79400000000000004</v>
      </c>
      <c r="H8463" s="225">
        <f t="shared" si="132"/>
        <v>5.77</v>
      </c>
    </row>
    <row r="8464" spans="1:8" x14ac:dyDescent="0.3">
      <c r="A8464" s="400"/>
      <c r="B8464" s="709">
        <v>100720</v>
      </c>
      <c r="C8464" s="710" t="s">
        <v>7030</v>
      </c>
      <c r="D8464" s="709" t="s">
        <v>168</v>
      </c>
      <c r="E8464" s="716">
        <v>12.15</v>
      </c>
      <c r="F8464" s="717">
        <v>0</v>
      </c>
      <c r="G8464">
        <f>VLOOKUP(B8464,'SINAPI-%MO'!B:E,4,0)</f>
        <v>0.58020000000000005</v>
      </c>
      <c r="H8464" s="225">
        <f t="shared" si="132"/>
        <v>5.0999999999999996</v>
      </c>
    </row>
    <row r="8465" spans="1:8" x14ac:dyDescent="0.3">
      <c r="A8465" s="400"/>
      <c r="B8465" s="709">
        <v>100722</v>
      </c>
      <c r="C8465" s="710" t="s">
        <v>7031</v>
      </c>
      <c r="D8465" s="709" t="s">
        <v>168</v>
      </c>
      <c r="E8465" s="716">
        <v>27.52</v>
      </c>
      <c r="F8465" s="717">
        <v>0</v>
      </c>
      <c r="G8465">
        <f>VLOOKUP(B8465,'SINAPI-%MO'!B:E,4,0)</f>
        <v>0.80810000000000004</v>
      </c>
      <c r="H8465" s="225">
        <f t="shared" si="132"/>
        <v>5.28</v>
      </c>
    </row>
    <row r="8466" spans="1:8" x14ac:dyDescent="0.3">
      <c r="A8466" s="400"/>
      <c r="B8466" s="709">
        <v>100724</v>
      </c>
      <c r="C8466" s="710" t="s">
        <v>7032</v>
      </c>
      <c r="D8466" s="709" t="s">
        <v>168</v>
      </c>
      <c r="E8466" s="716">
        <v>15.73</v>
      </c>
      <c r="F8466" s="717">
        <v>0</v>
      </c>
      <c r="G8466">
        <f>VLOOKUP(B8466,'SINAPI-%MO'!B:E,4,0)</f>
        <v>0.44819999999999999</v>
      </c>
      <c r="H8466" s="225">
        <f t="shared" si="132"/>
        <v>8.67</v>
      </c>
    </row>
    <row r="8467" spans="1:8" x14ac:dyDescent="0.3">
      <c r="A8467" s="400"/>
      <c r="B8467" s="709">
        <v>100726</v>
      </c>
      <c r="C8467" s="710" t="s">
        <v>7033</v>
      </c>
      <c r="D8467" s="709" t="s">
        <v>168</v>
      </c>
      <c r="E8467" s="716">
        <v>31</v>
      </c>
      <c r="F8467" s="717">
        <v>0</v>
      </c>
      <c r="G8467">
        <f>VLOOKUP(B8467,'SINAPI-%MO'!B:E,4,0)</f>
        <v>0.71740000000000004</v>
      </c>
      <c r="H8467" s="225">
        <f t="shared" si="132"/>
        <v>8.76</v>
      </c>
    </row>
    <row r="8468" spans="1:8" x14ac:dyDescent="0.3">
      <c r="A8468" s="400"/>
      <c r="B8468" s="709">
        <v>100751</v>
      </c>
      <c r="C8468" s="710" t="s">
        <v>16228</v>
      </c>
      <c r="D8468" s="709" t="s">
        <v>168</v>
      </c>
      <c r="E8468" s="716">
        <v>44.93</v>
      </c>
      <c r="F8468" s="717">
        <v>0</v>
      </c>
      <c r="G8468">
        <f>VLOOKUP(B8468,'SINAPI-%MO'!B:E,4,0)</f>
        <v>9.2600000000000002E-2</v>
      </c>
      <c r="H8468" s="225">
        <f t="shared" si="132"/>
        <v>40.76</v>
      </c>
    </row>
    <row r="8469" spans="1:8" x14ac:dyDescent="0.3">
      <c r="A8469" s="400"/>
      <c r="B8469" s="709">
        <v>100729</v>
      </c>
      <c r="C8469" s="710" t="s">
        <v>16229</v>
      </c>
      <c r="D8469" s="709" t="s">
        <v>168</v>
      </c>
      <c r="E8469" s="716">
        <v>22.47</v>
      </c>
      <c r="F8469" s="717">
        <v>0</v>
      </c>
      <c r="G8469">
        <f>VLOOKUP(B8469,'SINAPI-%MO'!B:E,4,0)</f>
        <v>9.2600000000000002E-2</v>
      </c>
      <c r="H8469" s="225">
        <f t="shared" si="132"/>
        <v>20.38</v>
      </c>
    </row>
    <row r="8470" spans="1:8" x14ac:dyDescent="0.3">
      <c r="A8470" s="400"/>
      <c r="B8470" s="709">
        <v>100727</v>
      </c>
      <c r="C8470" s="710" t="s">
        <v>16230</v>
      </c>
      <c r="D8470" s="709" t="s">
        <v>168</v>
      </c>
      <c r="E8470" s="716">
        <v>29.69</v>
      </c>
      <c r="F8470" s="717">
        <v>0</v>
      </c>
      <c r="G8470">
        <f>VLOOKUP(B8470,'SINAPI-%MO'!B:E,4,0)</f>
        <v>7.0099999999999996E-2</v>
      </c>
      <c r="H8470" s="225">
        <f t="shared" si="132"/>
        <v>27.6</v>
      </c>
    </row>
    <row r="8471" spans="1:8" x14ac:dyDescent="0.3">
      <c r="A8471" s="400"/>
      <c r="B8471" s="709">
        <v>100752</v>
      </c>
      <c r="C8471" s="710" t="s">
        <v>7034</v>
      </c>
      <c r="D8471" s="709" t="s">
        <v>168</v>
      </c>
      <c r="E8471" s="716">
        <v>52.7</v>
      </c>
      <c r="F8471" s="717">
        <v>0</v>
      </c>
      <c r="G8471">
        <f>VLOOKUP(B8471,'SINAPI-%MO'!B:E,4,0)</f>
        <v>0.2676</v>
      </c>
      <c r="H8471" s="225">
        <f t="shared" si="132"/>
        <v>38.590000000000003</v>
      </c>
    </row>
    <row r="8472" spans="1:8" x14ac:dyDescent="0.3">
      <c r="A8472" s="400"/>
      <c r="B8472" s="709">
        <v>100730</v>
      </c>
      <c r="C8472" s="710" t="s">
        <v>7035</v>
      </c>
      <c r="D8472" s="709" t="s">
        <v>168</v>
      </c>
      <c r="E8472" s="716">
        <v>26.35</v>
      </c>
      <c r="F8472" s="717">
        <v>0</v>
      </c>
      <c r="G8472">
        <f>VLOOKUP(B8472,'SINAPI-%MO'!B:E,4,0)</f>
        <v>0.2676</v>
      </c>
      <c r="H8472" s="225">
        <f t="shared" si="132"/>
        <v>19.29</v>
      </c>
    </row>
    <row r="8473" spans="1:8" x14ac:dyDescent="0.3">
      <c r="A8473" s="400"/>
      <c r="B8473" s="709">
        <v>100728</v>
      </c>
      <c r="C8473" s="710" t="s">
        <v>7036</v>
      </c>
      <c r="D8473" s="709" t="s">
        <v>168</v>
      </c>
      <c r="E8473" s="716">
        <v>26.79</v>
      </c>
      <c r="F8473" s="717">
        <v>0</v>
      </c>
      <c r="G8473">
        <f>VLOOKUP(B8473,'SINAPI-%MO'!B:E,4,0)</f>
        <v>0.26319999999999999</v>
      </c>
      <c r="H8473" s="225">
        <f t="shared" si="132"/>
        <v>19.73</v>
      </c>
    </row>
    <row r="8474" spans="1:8" x14ac:dyDescent="0.3">
      <c r="A8474" s="400"/>
      <c r="B8474" s="709">
        <v>100732</v>
      </c>
      <c r="C8474" s="710" t="s">
        <v>7037</v>
      </c>
      <c r="D8474" s="709" t="s">
        <v>168</v>
      </c>
      <c r="E8474" s="716">
        <v>0</v>
      </c>
      <c r="F8474" s="717"/>
      <c r="G8474" t="e">
        <f>VLOOKUP(B8474,'SINAPI-%MO'!B:E,4,0)</f>
        <v>#N/A</v>
      </c>
      <c r="H8474" s="225" t="str">
        <f t="shared" si="132"/>
        <v/>
      </c>
    </row>
    <row r="8475" spans="1:8" x14ac:dyDescent="0.3">
      <c r="A8475" s="400"/>
      <c r="B8475" s="709">
        <v>100731</v>
      </c>
      <c r="C8475" s="710" t="s">
        <v>7038</v>
      </c>
      <c r="D8475" s="709" t="s">
        <v>168</v>
      </c>
      <c r="E8475" s="716">
        <v>0</v>
      </c>
      <c r="F8475" s="717"/>
      <c r="G8475" t="e">
        <f>VLOOKUP(B8475,'SINAPI-%MO'!B:E,4,0)</f>
        <v>#N/A</v>
      </c>
      <c r="H8475" s="225" t="str">
        <f t="shared" si="132"/>
        <v/>
      </c>
    </row>
    <row r="8476" spans="1:8" x14ac:dyDescent="0.3">
      <c r="A8476" s="400"/>
      <c r="B8476" s="709">
        <v>100756</v>
      </c>
      <c r="C8476" s="710" t="s">
        <v>7039</v>
      </c>
      <c r="D8476" s="709" t="s">
        <v>168</v>
      </c>
      <c r="E8476" s="716">
        <v>0</v>
      </c>
      <c r="F8476" s="717"/>
      <c r="G8476" t="e">
        <f>VLOOKUP(B8476,'SINAPI-%MO'!B:E,4,0)</f>
        <v>#N/A</v>
      </c>
      <c r="H8476" s="225" t="str">
        <f t="shared" si="132"/>
        <v/>
      </c>
    </row>
    <row r="8477" spans="1:8" x14ac:dyDescent="0.3">
      <c r="A8477" s="400"/>
      <c r="B8477" s="709">
        <v>100738</v>
      </c>
      <c r="C8477" s="710" t="s">
        <v>7040</v>
      </c>
      <c r="D8477" s="709" t="s">
        <v>168</v>
      </c>
      <c r="E8477" s="716">
        <v>0</v>
      </c>
      <c r="F8477" s="717"/>
      <c r="G8477" t="e">
        <f>VLOOKUP(B8477,'SINAPI-%MO'!B:E,4,0)</f>
        <v>#N/A</v>
      </c>
      <c r="H8477" s="225" t="str">
        <f t="shared" si="132"/>
        <v/>
      </c>
    </row>
    <row r="8478" spans="1:8" x14ac:dyDescent="0.3">
      <c r="A8478" s="400"/>
      <c r="B8478" s="709">
        <v>100755</v>
      </c>
      <c r="C8478" s="710" t="s">
        <v>7041</v>
      </c>
      <c r="D8478" s="709" t="s">
        <v>168</v>
      </c>
      <c r="E8478" s="716">
        <v>0</v>
      </c>
      <c r="F8478" s="717"/>
      <c r="G8478" t="e">
        <f>VLOOKUP(B8478,'SINAPI-%MO'!B:E,4,0)</f>
        <v>#N/A</v>
      </c>
      <c r="H8478" s="225" t="str">
        <f t="shared" si="132"/>
        <v/>
      </c>
    </row>
    <row r="8479" spans="1:8" x14ac:dyDescent="0.3">
      <c r="A8479" s="400"/>
      <c r="B8479" s="709">
        <v>100737</v>
      </c>
      <c r="C8479" s="710" t="s">
        <v>7042</v>
      </c>
      <c r="D8479" s="709" t="s">
        <v>168</v>
      </c>
      <c r="E8479" s="716">
        <v>0</v>
      </c>
      <c r="F8479" s="717"/>
      <c r="G8479" t="e">
        <f>VLOOKUP(B8479,'SINAPI-%MO'!B:E,4,0)</f>
        <v>#N/A</v>
      </c>
      <c r="H8479" s="225" t="str">
        <f t="shared" si="132"/>
        <v/>
      </c>
    </row>
    <row r="8480" spans="1:8" x14ac:dyDescent="0.3">
      <c r="A8480" s="400"/>
      <c r="B8480" s="709">
        <v>102499</v>
      </c>
      <c r="C8480" s="710" t="s">
        <v>7043</v>
      </c>
      <c r="D8480" s="709" t="s">
        <v>168</v>
      </c>
      <c r="E8480" s="716">
        <v>3.72</v>
      </c>
      <c r="F8480" s="717">
        <v>0</v>
      </c>
      <c r="G8480">
        <f>VLOOKUP(B8480,'SINAPI-%MO'!B:E,4,0)</f>
        <v>0.4839</v>
      </c>
      <c r="H8480" s="225">
        <f t="shared" si="132"/>
        <v>1.91</v>
      </c>
    </row>
    <row r="8481" spans="1:8" x14ac:dyDescent="0.3">
      <c r="A8481" s="400"/>
      <c r="B8481" s="709">
        <v>102505</v>
      </c>
      <c r="C8481" s="710" t="s">
        <v>7044</v>
      </c>
      <c r="D8481" s="709" t="s">
        <v>159</v>
      </c>
      <c r="E8481" s="716">
        <v>11.75</v>
      </c>
      <c r="F8481" s="717">
        <v>0</v>
      </c>
      <c r="G8481">
        <f>VLOOKUP(B8481,'SINAPI-%MO'!B:E,4,0)</f>
        <v>0.88680000000000003</v>
      </c>
      <c r="H8481" s="225">
        <f t="shared" si="132"/>
        <v>1.33</v>
      </c>
    </row>
    <row r="8482" spans="1:8" x14ac:dyDescent="0.3">
      <c r="A8482" s="400"/>
      <c r="B8482" s="709">
        <v>102504</v>
      </c>
      <c r="C8482" s="710" t="s">
        <v>7045</v>
      </c>
      <c r="D8482" s="709" t="s">
        <v>159</v>
      </c>
      <c r="E8482" s="716">
        <v>11.44</v>
      </c>
      <c r="F8482" s="717">
        <v>0</v>
      </c>
      <c r="G8482">
        <f>VLOOKUP(B8482,'SINAPI-%MO'!B:E,4,0)</f>
        <v>0.91080000000000005</v>
      </c>
      <c r="H8482" s="225">
        <f t="shared" si="132"/>
        <v>1.02</v>
      </c>
    </row>
    <row r="8483" spans="1:8" x14ac:dyDescent="0.3">
      <c r="A8483" s="400"/>
      <c r="B8483" s="709">
        <v>102506</v>
      </c>
      <c r="C8483" s="710" t="s">
        <v>7046</v>
      </c>
      <c r="D8483" s="709" t="s">
        <v>159</v>
      </c>
      <c r="E8483" s="716">
        <v>12.53</v>
      </c>
      <c r="F8483" s="717">
        <v>0</v>
      </c>
      <c r="G8483">
        <f>VLOOKUP(B8483,'SINAPI-%MO'!B:E,4,0)</f>
        <v>0.83160000000000001</v>
      </c>
      <c r="H8483" s="225">
        <f t="shared" si="132"/>
        <v>2.11</v>
      </c>
    </row>
    <row r="8484" spans="1:8" x14ac:dyDescent="0.3">
      <c r="A8484" s="400"/>
      <c r="B8484" s="709">
        <v>102507</v>
      </c>
      <c r="C8484" s="710" t="s">
        <v>7049</v>
      </c>
      <c r="D8484" s="709" t="s">
        <v>159</v>
      </c>
      <c r="E8484" s="716">
        <v>7.29</v>
      </c>
      <c r="F8484" s="717">
        <v>0</v>
      </c>
      <c r="G8484">
        <f>VLOOKUP(B8484,'SINAPI-%MO'!B:E,4,0)</f>
        <v>0.49659999999999999</v>
      </c>
      <c r="H8484" s="225">
        <f t="shared" si="132"/>
        <v>3.66</v>
      </c>
    </row>
    <row r="8485" spans="1:8" x14ac:dyDescent="0.3">
      <c r="A8485" s="400"/>
      <c r="B8485" s="709">
        <v>102491</v>
      </c>
      <c r="C8485" s="710" t="s">
        <v>7059</v>
      </c>
      <c r="D8485" s="709" t="s">
        <v>168</v>
      </c>
      <c r="E8485" s="716">
        <v>23.05</v>
      </c>
      <c r="F8485" s="717">
        <v>0</v>
      </c>
      <c r="G8485">
        <f>VLOOKUP(B8485,'SINAPI-%MO'!B:E,4,0)</f>
        <v>0.51970000000000005</v>
      </c>
      <c r="H8485" s="225">
        <f t="shared" si="132"/>
        <v>11.07</v>
      </c>
    </row>
    <row r="8486" spans="1:8" x14ac:dyDescent="0.3">
      <c r="A8486" s="400"/>
      <c r="B8486" s="709">
        <v>102492</v>
      </c>
      <c r="C8486" s="710" t="s">
        <v>7060</v>
      </c>
      <c r="D8486" s="709" t="s">
        <v>168</v>
      </c>
      <c r="E8486" s="716">
        <v>29.35</v>
      </c>
      <c r="F8486" s="717">
        <v>0</v>
      </c>
      <c r="G8486">
        <f>VLOOKUP(B8486,'SINAPI-%MO'!B:E,4,0)</f>
        <v>0.54139999999999999</v>
      </c>
      <c r="H8486" s="225">
        <f t="shared" si="132"/>
        <v>13.45</v>
      </c>
    </row>
    <row r="8487" spans="1:8" x14ac:dyDescent="0.3">
      <c r="A8487" s="400"/>
      <c r="B8487" s="709">
        <v>102804</v>
      </c>
      <c r="C8487" s="710" t="s">
        <v>7061</v>
      </c>
      <c r="D8487" s="709" t="s">
        <v>168</v>
      </c>
      <c r="E8487" s="716">
        <v>0</v>
      </c>
      <c r="F8487" s="717"/>
      <c r="G8487" t="e">
        <f>VLOOKUP(B8487,'SINAPI-%MO'!B:E,4,0)</f>
        <v>#N/A</v>
      </c>
      <c r="H8487" s="225" t="str">
        <f t="shared" si="132"/>
        <v/>
      </c>
    </row>
    <row r="8488" spans="1:8" x14ac:dyDescent="0.3">
      <c r="A8488" s="400"/>
      <c r="B8488" s="709">
        <v>102494</v>
      </c>
      <c r="C8488" s="710" t="s">
        <v>7062</v>
      </c>
      <c r="D8488" s="709" t="s">
        <v>168</v>
      </c>
      <c r="E8488" s="716">
        <v>70.319999999999993</v>
      </c>
      <c r="F8488" s="717">
        <v>0</v>
      </c>
      <c r="G8488">
        <f>VLOOKUP(B8488,'SINAPI-%MO'!B:E,4,0)</f>
        <v>0.1704</v>
      </c>
      <c r="H8488" s="225">
        <f t="shared" si="132"/>
        <v>58.33</v>
      </c>
    </row>
    <row r="8489" spans="1:8" x14ac:dyDescent="0.3">
      <c r="A8489" s="400"/>
      <c r="B8489" s="709">
        <v>102805</v>
      </c>
      <c r="C8489" s="710" t="s">
        <v>7063</v>
      </c>
      <c r="D8489" s="709" t="s">
        <v>168</v>
      </c>
      <c r="E8489" s="716">
        <v>0</v>
      </c>
      <c r="F8489" s="717"/>
      <c r="G8489" t="e">
        <f>VLOOKUP(B8489,'SINAPI-%MO'!B:E,4,0)</f>
        <v>#N/A</v>
      </c>
      <c r="H8489" s="225" t="str">
        <f t="shared" si="132"/>
        <v/>
      </c>
    </row>
    <row r="8490" spans="1:8" x14ac:dyDescent="0.3">
      <c r="A8490" s="400"/>
      <c r="B8490" s="709">
        <v>102490</v>
      </c>
      <c r="C8490" s="710" t="s">
        <v>7064</v>
      </c>
      <c r="D8490" s="709" t="s">
        <v>168</v>
      </c>
      <c r="E8490" s="716">
        <v>0</v>
      </c>
      <c r="F8490" s="717"/>
      <c r="G8490" t="e">
        <f>VLOOKUP(B8490,'SINAPI-%MO'!B:E,4,0)</f>
        <v>#N/A</v>
      </c>
      <c r="H8490" s="225" t="str">
        <f t="shared" si="132"/>
        <v/>
      </c>
    </row>
    <row r="8491" spans="1:8" x14ac:dyDescent="0.3">
      <c r="A8491" s="400"/>
      <c r="B8491" s="709">
        <v>102496</v>
      </c>
      <c r="C8491" s="710" t="s">
        <v>7065</v>
      </c>
      <c r="D8491" s="709" t="s">
        <v>159</v>
      </c>
      <c r="E8491" s="716">
        <v>14.94</v>
      </c>
      <c r="F8491" s="717">
        <v>0</v>
      </c>
      <c r="G8491">
        <f>VLOOKUP(B8491,'SINAPI-%MO'!B:E,4,0)</f>
        <v>0.37819999999999998</v>
      </c>
      <c r="H8491" s="225">
        <f t="shared" si="132"/>
        <v>9.2799999999999994</v>
      </c>
    </row>
    <row r="8492" spans="1:8" x14ac:dyDescent="0.3">
      <c r="A8492" s="400"/>
      <c r="B8492" s="709">
        <v>102497</v>
      </c>
      <c r="C8492" s="710" t="s">
        <v>7066</v>
      </c>
      <c r="D8492" s="709" t="s">
        <v>159</v>
      </c>
      <c r="E8492" s="716">
        <v>5.81</v>
      </c>
      <c r="F8492" s="717">
        <v>0</v>
      </c>
      <c r="G8492">
        <f>VLOOKUP(B8492,'SINAPI-%MO'!B:E,4,0)</f>
        <v>0.64370000000000005</v>
      </c>
      <c r="H8492" s="225">
        <f t="shared" si="132"/>
        <v>2.0699999999999998</v>
      </c>
    </row>
    <row r="8493" spans="1:8" x14ac:dyDescent="0.3">
      <c r="A8493" s="400"/>
      <c r="B8493" s="709">
        <v>102520</v>
      </c>
      <c r="C8493" s="710" t="s">
        <v>7067</v>
      </c>
      <c r="D8493" s="709" t="s">
        <v>168</v>
      </c>
      <c r="E8493" s="716">
        <v>93.47</v>
      </c>
      <c r="F8493" s="717">
        <v>0</v>
      </c>
      <c r="G8493">
        <f>VLOOKUP(B8493,'SINAPI-%MO'!B:E,4,0)</f>
        <v>0.80359999999999998</v>
      </c>
      <c r="H8493" s="225">
        <f t="shared" si="132"/>
        <v>18.350000000000001</v>
      </c>
    </row>
    <row r="8494" spans="1:8" x14ac:dyDescent="0.3">
      <c r="A8494" s="400"/>
      <c r="B8494" s="709">
        <v>102489</v>
      </c>
      <c r="C8494" s="710" t="s">
        <v>7074</v>
      </c>
      <c r="D8494" s="709" t="s">
        <v>168</v>
      </c>
      <c r="E8494" s="716">
        <v>30.53</v>
      </c>
      <c r="F8494" s="717">
        <v>0</v>
      </c>
      <c r="G8494">
        <f>VLOOKUP(B8494,'SINAPI-%MO'!B:E,4,0)</f>
        <v>0.51359999999999995</v>
      </c>
      <c r="H8494" s="225">
        <f t="shared" si="132"/>
        <v>14.84</v>
      </c>
    </row>
    <row r="8495" spans="1:8" x14ac:dyDescent="0.3">
      <c r="A8495" s="400"/>
      <c r="B8495" s="709">
        <v>102488</v>
      </c>
      <c r="C8495" s="710" t="s">
        <v>7075</v>
      </c>
      <c r="D8495" s="709" t="s">
        <v>168</v>
      </c>
      <c r="E8495" s="716">
        <v>4.0999999999999996</v>
      </c>
      <c r="F8495" s="717">
        <v>1.46E-2</v>
      </c>
      <c r="G8495">
        <f>VLOOKUP(B8495,'SINAPI-%MO'!B:E,4,0)</f>
        <v>0.97799999999999998</v>
      </c>
      <c r="H8495" s="225">
        <f t="shared" si="132"/>
        <v>0.09</v>
      </c>
    </row>
    <row r="8496" spans="1:8" x14ac:dyDescent="0.3">
      <c r="A8496" s="400"/>
      <c r="B8496" s="709">
        <v>101730</v>
      </c>
      <c r="C8496" s="710" t="s">
        <v>15233</v>
      </c>
      <c r="D8496" s="709" t="s">
        <v>168</v>
      </c>
      <c r="E8496" s="716">
        <v>0</v>
      </c>
      <c r="F8496" s="717"/>
      <c r="G8496" t="e">
        <f>VLOOKUP(B8496,'SINAPI-%MO'!B:E,4,0)</f>
        <v>#N/A</v>
      </c>
      <c r="H8496" s="225" t="str">
        <f t="shared" si="132"/>
        <v/>
      </c>
    </row>
    <row r="8497" spans="1:8" x14ac:dyDescent="0.3">
      <c r="A8497" s="400"/>
      <c r="B8497" s="709">
        <v>101746</v>
      </c>
      <c r="C8497" s="710" t="s">
        <v>14358</v>
      </c>
      <c r="D8497" s="709" t="s">
        <v>168</v>
      </c>
      <c r="E8497" s="716">
        <v>462.55</v>
      </c>
      <c r="F8497" s="717">
        <v>0</v>
      </c>
      <c r="G8497">
        <f>VLOOKUP(B8497,'SINAPI-%MO'!B:E,4,0)</f>
        <v>4.4499999999999998E-2</v>
      </c>
      <c r="H8497" s="225">
        <f t="shared" si="132"/>
        <v>441.96</v>
      </c>
    </row>
    <row r="8498" spans="1:8" x14ac:dyDescent="0.3">
      <c r="A8498" s="400"/>
      <c r="B8498" s="709">
        <v>106788</v>
      </c>
      <c r="C8498" s="710" t="s">
        <v>14359</v>
      </c>
      <c r="D8498" s="709" t="s">
        <v>168</v>
      </c>
      <c r="E8498" s="716">
        <v>34.700000000000003</v>
      </c>
      <c r="F8498" s="717">
        <v>4.0300000000000002E-2</v>
      </c>
      <c r="G8498">
        <f>VLOOKUP(B8498,'SINAPI-%MO'!B:E,4,0)</f>
        <v>0.54379999999999995</v>
      </c>
      <c r="H8498" s="225">
        <f t="shared" si="132"/>
        <v>15.83</v>
      </c>
    </row>
    <row r="8499" spans="1:8" x14ac:dyDescent="0.3">
      <c r="A8499" s="400"/>
      <c r="B8499" s="709">
        <v>106789</v>
      </c>
      <c r="C8499" s="710" t="s">
        <v>14360</v>
      </c>
      <c r="D8499" s="709" t="s">
        <v>168</v>
      </c>
      <c r="E8499" s="716">
        <v>32.72</v>
      </c>
      <c r="F8499" s="717">
        <v>4.2799999999999998E-2</v>
      </c>
      <c r="G8499">
        <f>VLOOKUP(B8499,'SINAPI-%MO'!B:E,4,0)</f>
        <v>0.51619999999999999</v>
      </c>
      <c r="H8499" s="225">
        <f t="shared" si="132"/>
        <v>15.82</v>
      </c>
    </row>
    <row r="8500" spans="1:8" x14ac:dyDescent="0.3">
      <c r="A8500" s="400"/>
      <c r="B8500" s="709">
        <v>98679</v>
      </c>
      <c r="C8500" s="710" t="s">
        <v>14361</v>
      </c>
      <c r="D8500" s="709" t="s">
        <v>168</v>
      </c>
      <c r="E8500" s="716">
        <v>39</v>
      </c>
      <c r="F8500" s="717">
        <v>3.5900000000000001E-2</v>
      </c>
      <c r="G8500">
        <f>VLOOKUP(B8500,'SINAPI-%MO'!B:E,4,0)</f>
        <v>0.54179999999999995</v>
      </c>
      <c r="H8500" s="225">
        <f t="shared" si="132"/>
        <v>17.86</v>
      </c>
    </row>
    <row r="8501" spans="1:8" x14ac:dyDescent="0.3">
      <c r="A8501" s="400"/>
      <c r="B8501" s="709">
        <v>98680</v>
      </c>
      <c r="C8501" s="710" t="s">
        <v>14362</v>
      </c>
      <c r="D8501" s="709" t="s">
        <v>168</v>
      </c>
      <c r="E8501" s="716">
        <v>48.37</v>
      </c>
      <c r="F8501" s="717">
        <v>2.8899999999999999E-2</v>
      </c>
      <c r="G8501">
        <f>VLOOKUP(B8501,'SINAPI-%MO'!B:E,4,0)</f>
        <v>0.50129999999999997</v>
      </c>
      <c r="H8501" s="225">
        <f t="shared" si="132"/>
        <v>24.12</v>
      </c>
    </row>
    <row r="8502" spans="1:8" x14ac:dyDescent="0.3">
      <c r="A8502" s="400"/>
      <c r="B8502" s="709">
        <v>101749</v>
      </c>
      <c r="C8502" s="710" t="s">
        <v>14363</v>
      </c>
      <c r="D8502" s="709" t="s">
        <v>168</v>
      </c>
      <c r="E8502" s="716">
        <v>56.04</v>
      </c>
      <c r="F8502" s="717">
        <v>2.5000000000000001E-2</v>
      </c>
      <c r="G8502">
        <f>VLOOKUP(B8502,'SINAPI-%MO'!B:E,4,0)</f>
        <v>0.47839999999999999</v>
      </c>
      <c r="H8502" s="225">
        <f t="shared" si="132"/>
        <v>29.23</v>
      </c>
    </row>
    <row r="8503" spans="1:8" x14ac:dyDescent="0.3">
      <c r="A8503" s="400"/>
      <c r="B8503" s="709">
        <v>98681</v>
      </c>
      <c r="C8503" s="710" t="s">
        <v>14364</v>
      </c>
      <c r="D8503" s="709" t="s">
        <v>168</v>
      </c>
      <c r="E8503" s="716">
        <v>34.57</v>
      </c>
      <c r="F8503" s="717">
        <v>4.0500000000000001E-2</v>
      </c>
      <c r="G8503">
        <f>VLOOKUP(B8503,'SINAPI-%MO'!B:E,4,0)</f>
        <v>0.49669999999999997</v>
      </c>
      <c r="H8503" s="225">
        <f t="shared" si="132"/>
        <v>17.39</v>
      </c>
    </row>
    <row r="8504" spans="1:8" x14ac:dyDescent="0.3">
      <c r="A8504" s="400"/>
      <c r="B8504" s="709">
        <v>98682</v>
      </c>
      <c r="C8504" s="710" t="s">
        <v>14365</v>
      </c>
      <c r="D8504" s="709" t="s">
        <v>168</v>
      </c>
      <c r="E8504" s="716">
        <v>43.94</v>
      </c>
      <c r="F8504" s="717">
        <v>3.1899999999999998E-2</v>
      </c>
      <c r="G8504">
        <f>VLOOKUP(B8504,'SINAPI-%MO'!B:E,4,0)</f>
        <v>0.46179999999999999</v>
      </c>
      <c r="H8504" s="225">
        <f t="shared" si="132"/>
        <v>23.64</v>
      </c>
    </row>
    <row r="8505" spans="1:8" x14ac:dyDescent="0.3">
      <c r="A8505" s="400"/>
      <c r="B8505" s="709">
        <v>101750</v>
      </c>
      <c r="C8505" s="710" t="s">
        <v>14366</v>
      </c>
      <c r="D8505" s="709" t="s">
        <v>168</v>
      </c>
      <c r="E8505" s="716">
        <v>51.61</v>
      </c>
      <c r="F8505" s="717">
        <v>2.7099999999999999E-2</v>
      </c>
      <c r="G8505">
        <f>VLOOKUP(B8505,'SINAPI-%MO'!B:E,4,0)</f>
        <v>0.44269999999999998</v>
      </c>
      <c r="H8505" s="225">
        <f t="shared" si="132"/>
        <v>28.76</v>
      </c>
    </row>
    <row r="8506" spans="1:8" x14ac:dyDescent="0.3">
      <c r="A8506" s="400"/>
      <c r="B8506" s="709">
        <v>106787</v>
      </c>
      <c r="C8506" s="710" t="s">
        <v>15234</v>
      </c>
      <c r="D8506" s="709" t="s">
        <v>168</v>
      </c>
      <c r="E8506" s="716">
        <v>0</v>
      </c>
      <c r="F8506" s="717"/>
      <c r="G8506" t="e">
        <f>VLOOKUP(B8506,'SINAPI-%MO'!B:E,4,0)</f>
        <v>#N/A</v>
      </c>
      <c r="H8506" s="225" t="str">
        <f t="shared" si="132"/>
        <v/>
      </c>
    </row>
    <row r="8507" spans="1:8" x14ac:dyDescent="0.3">
      <c r="A8507" s="400"/>
      <c r="B8507" s="709">
        <v>101737</v>
      </c>
      <c r="C8507" s="710" t="s">
        <v>14367</v>
      </c>
      <c r="D8507" s="709" t="s">
        <v>168</v>
      </c>
      <c r="E8507" s="716">
        <v>113.8</v>
      </c>
      <c r="F8507" s="717">
        <v>0</v>
      </c>
      <c r="G8507">
        <f>VLOOKUP(B8507,'SINAPI-%MO'!B:E,4,0)</f>
        <v>0.19059999999999999</v>
      </c>
      <c r="H8507" s="225">
        <f t="shared" si="132"/>
        <v>92.1</v>
      </c>
    </row>
    <row r="8508" spans="1:8" x14ac:dyDescent="0.3">
      <c r="A8508" s="400"/>
      <c r="B8508" s="709">
        <v>101735</v>
      </c>
      <c r="C8508" s="710" t="s">
        <v>14368</v>
      </c>
      <c r="D8508" s="709" t="s">
        <v>168</v>
      </c>
      <c r="E8508" s="716">
        <v>361.3</v>
      </c>
      <c r="F8508" s="717">
        <v>0</v>
      </c>
      <c r="G8508">
        <f>VLOOKUP(B8508,'SINAPI-%MO'!B:E,4,0)</f>
        <v>8.6699999999999999E-2</v>
      </c>
      <c r="H8508" s="225">
        <f t="shared" si="132"/>
        <v>329.97</v>
      </c>
    </row>
    <row r="8509" spans="1:8" x14ac:dyDescent="0.3">
      <c r="A8509" s="400"/>
      <c r="B8509" s="709">
        <v>101734</v>
      </c>
      <c r="C8509" s="710" t="s">
        <v>14369</v>
      </c>
      <c r="D8509" s="709" t="s">
        <v>168</v>
      </c>
      <c r="E8509" s="716">
        <v>353.13</v>
      </c>
      <c r="F8509" s="717">
        <v>0</v>
      </c>
      <c r="G8509">
        <f>VLOOKUP(B8509,'SINAPI-%MO'!B:E,4,0)</f>
        <v>8.8700000000000001E-2</v>
      </c>
      <c r="H8509" s="225">
        <f t="shared" si="132"/>
        <v>321.8</v>
      </c>
    </row>
    <row r="8510" spans="1:8" x14ac:dyDescent="0.3">
      <c r="A8510" s="400"/>
      <c r="B8510" s="709">
        <v>101736</v>
      </c>
      <c r="C8510" s="710" t="s">
        <v>14370</v>
      </c>
      <c r="D8510" s="709" t="s">
        <v>168</v>
      </c>
      <c r="E8510" s="716">
        <v>97.64</v>
      </c>
      <c r="F8510" s="717">
        <v>0</v>
      </c>
      <c r="G8510">
        <f>VLOOKUP(B8510,'SINAPI-%MO'!B:E,4,0)</f>
        <v>0.22209999999999999</v>
      </c>
      <c r="H8510" s="225">
        <f t="shared" si="132"/>
        <v>75.95</v>
      </c>
    </row>
    <row r="8511" spans="1:8" x14ac:dyDescent="0.3">
      <c r="A8511" s="400"/>
      <c r="B8511" s="709">
        <v>101733</v>
      </c>
      <c r="C8511" s="710" t="s">
        <v>14371</v>
      </c>
      <c r="D8511" s="709" t="s">
        <v>168</v>
      </c>
      <c r="E8511" s="716">
        <v>240.56</v>
      </c>
      <c r="F8511" s="717">
        <v>0</v>
      </c>
      <c r="G8511">
        <f>VLOOKUP(B8511,'SINAPI-%MO'!B:E,4,0)</f>
        <v>0.13020000000000001</v>
      </c>
      <c r="H8511" s="225">
        <f t="shared" si="132"/>
        <v>209.23</v>
      </c>
    </row>
    <row r="8512" spans="1:8" x14ac:dyDescent="0.3">
      <c r="A8512" s="400"/>
      <c r="B8512" s="709">
        <v>98677</v>
      </c>
      <c r="C8512" s="710" t="s">
        <v>15235</v>
      </c>
      <c r="D8512" s="709" t="s">
        <v>168</v>
      </c>
      <c r="E8512" s="716">
        <v>0</v>
      </c>
      <c r="F8512" s="717"/>
      <c r="G8512" t="e">
        <f>VLOOKUP(B8512,'SINAPI-%MO'!B:E,4,0)</f>
        <v>#N/A</v>
      </c>
      <c r="H8512" s="225" t="str">
        <f t="shared" si="132"/>
        <v/>
      </c>
    </row>
    <row r="8513" spans="1:8" x14ac:dyDescent="0.3">
      <c r="A8513" s="400"/>
      <c r="B8513" s="709">
        <v>98678</v>
      </c>
      <c r="C8513" s="710" t="s">
        <v>15236</v>
      </c>
      <c r="D8513" s="709" t="s">
        <v>168</v>
      </c>
      <c r="E8513" s="716">
        <v>0</v>
      </c>
      <c r="F8513" s="717"/>
      <c r="G8513" t="e">
        <f>VLOOKUP(B8513,'SINAPI-%MO'!B:E,4,0)</f>
        <v>#N/A</v>
      </c>
      <c r="H8513" s="225" t="str">
        <f t="shared" si="132"/>
        <v/>
      </c>
    </row>
    <row r="8514" spans="1:8" x14ac:dyDescent="0.3">
      <c r="A8514" s="400"/>
      <c r="B8514" s="709">
        <v>98676</v>
      </c>
      <c r="C8514" s="710" t="s">
        <v>15237</v>
      </c>
      <c r="D8514" s="709" t="s">
        <v>168</v>
      </c>
      <c r="E8514" s="716">
        <v>0</v>
      </c>
      <c r="F8514" s="717"/>
      <c r="G8514" t="e">
        <f>VLOOKUP(B8514,'SINAPI-%MO'!B:E,4,0)</f>
        <v>#N/A</v>
      </c>
      <c r="H8514" s="225" t="str">
        <f t="shared" si="132"/>
        <v/>
      </c>
    </row>
    <row r="8515" spans="1:8" x14ac:dyDescent="0.3">
      <c r="A8515" s="400"/>
      <c r="B8515" s="709">
        <v>98675</v>
      </c>
      <c r="C8515" s="710" t="s">
        <v>15238</v>
      </c>
      <c r="D8515" s="709" t="s">
        <v>168</v>
      </c>
      <c r="E8515" s="716">
        <v>0</v>
      </c>
      <c r="F8515" s="717"/>
      <c r="G8515" t="e">
        <f>VLOOKUP(B8515,'SINAPI-%MO'!B:E,4,0)</f>
        <v>#N/A</v>
      </c>
      <c r="H8515" s="225" t="str">
        <f t="shared" si="132"/>
        <v/>
      </c>
    </row>
    <row r="8516" spans="1:8" x14ac:dyDescent="0.3">
      <c r="A8516" s="400"/>
      <c r="B8516" s="709">
        <v>104162</v>
      </c>
      <c r="C8516" s="710" t="s">
        <v>14372</v>
      </c>
      <c r="D8516" s="709" t="s">
        <v>168</v>
      </c>
      <c r="E8516" s="716">
        <v>122.33</v>
      </c>
      <c r="F8516" s="717">
        <v>2.1399999999999999E-2</v>
      </c>
      <c r="G8516">
        <f>VLOOKUP(B8516,'SINAPI-%MO'!B:E,4,0)</f>
        <v>0.41270000000000001</v>
      </c>
      <c r="H8516" s="225">
        <f t="shared" si="132"/>
        <v>71.84</v>
      </c>
    </row>
    <row r="8517" spans="1:8" x14ac:dyDescent="0.3">
      <c r="A8517" s="400"/>
      <c r="B8517" s="709">
        <v>98671</v>
      </c>
      <c r="C8517" s="710" t="s">
        <v>14373</v>
      </c>
      <c r="D8517" s="709" t="s">
        <v>168</v>
      </c>
      <c r="E8517" s="716">
        <v>488.01</v>
      </c>
      <c r="F8517" s="717">
        <v>0</v>
      </c>
      <c r="G8517">
        <f>VLOOKUP(B8517,'SINAPI-%MO'!B:E,4,0)</f>
        <v>9.1600000000000001E-2</v>
      </c>
      <c r="H8517" s="225">
        <f t="shared" si="132"/>
        <v>443.3</v>
      </c>
    </row>
    <row r="8518" spans="1:8" x14ac:dyDescent="0.3">
      <c r="A8518" s="400"/>
      <c r="B8518" s="709">
        <v>101726</v>
      </c>
      <c r="C8518" s="710" t="s">
        <v>14374</v>
      </c>
      <c r="D8518" s="709" t="s">
        <v>168</v>
      </c>
      <c r="E8518" s="716">
        <v>206.33</v>
      </c>
      <c r="F8518" s="717">
        <v>0</v>
      </c>
      <c r="G8518">
        <f>VLOOKUP(B8518,'SINAPI-%MO'!B:E,4,0)</f>
        <v>0.441</v>
      </c>
      <c r="H8518" s="225">
        <f t="shared" si="132"/>
        <v>115.33</v>
      </c>
    </row>
    <row r="8519" spans="1:8" x14ac:dyDescent="0.3">
      <c r="A8519" s="400"/>
      <c r="B8519" s="709">
        <v>101725</v>
      </c>
      <c r="C8519" s="710" t="s">
        <v>14375</v>
      </c>
      <c r="D8519" s="709" t="s">
        <v>168</v>
      </c>
      <c r="E8519" s="716">
        <v>286.67</v>
      </c>
      <c r="F8519" s="717">
        <v>0</v>
      </c>
      <c r="G8519">
        <f>VLOOKUP(B8519,'SINAPI-%MO'!B:E,4,0)</f>
        <v>0.59770000000000001</v>
      </c>
      <c r="H8519" s="225">
        <f t="shared" si="132"/>
        <v>115.32</v>
      </c>
    </row>
    <row r="8520" spans="1:8" x14ac:dyDescent="0.3">
      <c r="A8520" s="400"/>
      <c r="B8520" s="709">
        <v>98672</v>
      </c>
      <c r="C8520" s="710" t="s">
        <v>14376</v>
      </c>
      <c r="D8520" s="709" t="s">
        <v>168</v>
      </c>
      <c r="E8520" s="716">
        <v>777.71</v>
      </c>
      <c r="F8520" s="717">
        <v>0</v>
      </c>
      <c r="G8520">
        <f>VLOOKUP(B8520,'SINAPI-%MO'!B:E,4,0)</f>
        <v>5.7500000000000002E-2</v>
      </c>
      <c r="H8520" s="225">
        <f t="shared" si="132"/>
        <v>732.99</v>
      </c>
    </row>
    <row r="8521" spans="1:8" x14ac:dyDescent="0.3">
      <c r="A8521" s="400"/>
      <c r="B8521" s="709">
        <v>101732</v>
      </c>
      <c r="C8521" s="710" t="s">
        <v>14377</v>
      </c>
      <c r="D8521" s="709" t="s">
        <v>168</v>
      </c>
      <c r="E8521" s="716">
        <v>128.63</v>
      </c>
      <c r="F8521" s="717">
        <v>0.38129999999999997</v>
      </c>
      <c r="G8521">
        <f>VLOOKUP(B8521,'SINAPI-%MO'!B:E,4,0)</f>
        <v>0.3261</v>
      </c>
      <c r="H8521" s="225">
        <f t="shared" si="132"/>
        <v>86.68</v>
      </c>
    </row>
    <row r="8522" spans="1:8" x14ac:dyDescent="0.3">
      <c r="A8522" s="400"/>
      <c r="B8522" s="709">
        <v>106793</v>
      </c>
      <c r="C8522" s="710" t="s">
        <v>15239</v>
      </c>
      <c r="D8522" s="709" t="s">
        <v>168</v>
      </c>
      <c r="E8522" s="716">
        <v>0</v>
      </c>
      <c r="F8522" s="717"/>
      <c r="G8522" t="e">
        <f>VLOOKUP(B8522,'SINAPI-%MO'!B:E,4,0)</f>
        <v>#N/A</v>
      </c>
      <c r="H8522" s="225" t="str">
        <f t="shared" si="132"/>
        <v/>
      </c>
    </row>
    <row r="8523" spans="1:8" x14ac:dyDescent="0.3">
      <c r="A8523" s="400"/>
      <c r="B8523" s="709">
        <v>101731</v>
      </c>
      <c r="C8523" s="710" t="s">
        <v>14378</v>
      </c>
      <c r="D8523" s="709" t="s">
        <v>168</v>
      </c>
      <c r="E8523" s="716">
        <v>388.16</v>
      </c>
      <c r="F8523" s="717">
        <v>0.70850000000000002</v>
      </c>
      <c r="G8523">
        <f>VLOOKUP(B8523,'SINAPI-%MO'!B:E,4,0)</f>
        <v>0.1946</v>
      </c>
      <c r="H8523" s="225">
        <f t="shared" ref="H8523:H8586" si="133">IF(E8523&gt;0,TRUNC(E8523*(1-G8523),2),"")</f>
        <v>312.62</v>
      </c>
    </row>
    <row r="8524" spans="1:8" x14ac:dyDescent="0.3">
      <c r="A8524" s="400"/>
      <c r="B8524" s="709">
        <v>101751</v>
      </c>
      <c r="C8524" s="710" t="s">
        <v>14379</v>
      </c>
      <c r="D8524" s="709" t="s">
        <v>168</v>
      </c>
      <c r="E8524" s="716">
        <v>321.7</v>
      </c>
      <c r="F8524" s="717">
        <v>0</v>
      </c>
      <c r="G8524">
        <f>VLOOKUP(B8524,'SINAPI-%MO'!B:E,4,0)</f>
        <v>0.09</v>
      </c>
      <c r="H8524" s="225">
        <f t="shared" si="133"/>
        <v>292.74</v>
      </c>
    </row>
    <row r="8525" spans="1:8" x14ac:dyDescent="0.3">
      <c r="A8525" s="400"/>
      <c r="B8525" s="709">
        <v>101729</v>
      </c>
      <c r="C8525" s="710" t="s">
        <v>14380</v>
      </c>
      <c r="D8525" s="709" t="s">
        <v>168</v>
      </c>
      <c r="E8525" s="716">
        <v>318.85000000000002</v>
      </c>
      <c r="F8525" s="717">
        <v>0</v>
      </c>
      <c r="G8525">
        <f>VLOOKUP(B8525,'SINAPI-%MO'!B:E,4,0)</f>
        <v>8.1900000000000001E-2</v>
      </c>
      <c r="H8525" s="225">
        <f t="shared" si="133"/>
        <v>292.73</v>
      </c>
    </row>
    <row r="8526" spans="1:8" x14ac:dyDescent="0.3">
      <c r="A8526" s="400"/>
      <c r="B8526" s="709">
        <v>98683</v>
      </c>
      <c r="C8526" s="710" t="s">
        <v>15240</v>
      </c>
      <c r="D8526" s="709" t="s">
        <v>168</v>
      </c>
      <c r="E8526" s="716">
        <v>0</v>
      </c>
      <c r="F8526" s="717"/>
      <c r="G8526" t="e">
        <f>VLOOKUP(B8526,'SINAPI-%MO'!B:E,4,0)</f>
        <v>#N/A</v>
      </c>
      <c r="H8526" s="225" t="str">
        <f t="shared" si="133"/>
        <v/>
      </c>
    </row>
    <row r="8527" spans="1:8" x14ac:dyDescent="0.3">
      <c r="A8527" s="400"/>
      <c r="B8527" s="709">
        <v>106785</v>
      </c>
      <c r="C8527" s="710" t="s">
        <v>15241</v>
      </c>
      <c r="D8527" s="709" t="s">
        <v>159</v>
      </c>
      <c r="E8527" s="716">
        <v>0</v>
      </c>
      <c r="F8527" s="717"/>
      <c r="G8527" t="e">
        <f>VLOOKUP(B8527,'SINAPI-%MO'!B:E,4,0)</f>
        <v>#N/A</v>
      </c>
      <c r="H8527" s="225" t="str">
        <f t="shared" si="133"/>
        <v/>
      </c>
    </row>
    <row r="8528" spans="1:8" x14ac:dyDescent="0.3">
      <c r="A8528" s="400"/>
      <c r="B8528" s="709">
        <v>101094</v>
      </c>
      <c r="C8528" s="710" t="s">
        <v>14381</v>
      </c>
      <c r="D8528" s="709" t="s">
        <v>159</v>
      </c>
      <c r="E8528" s="716">
        <v>173.17</v>
      </c>
      <c r="F8528" s="717">
        <v>0</v>
      </c>
      <c r="G8528">
        <f>VLOOKUP(B8528,'SINAPI-%MO'!B:E,4,0)</f>
        <v>0.29049999999999998</v>
      </c>
      <c r="H8528" s="225">
        <f t="shared" si="133"/>
        <v>122.86</v>
      </c>
    </row>
    <row r="8529" spans="1:8" x14ac:dyDescent="0.3">
      <c r="A8529" s="400"/>
      <c r="B8529" s="709">
        <v>101095</v>
      </c>
      <c r="C8529" s="710" t="s">
        <v>15242</v>
      </c>
      <c r="D8529" s="709" t="s">
        <v>159</v>
      </c>
      <c r="E8529" s="716">
        <v>0</v>
      </c>
      <c r="F8529" s="717"/>
      <c r="G8529" t="e">
        <f>VLOOKUP(B8529,'SINAPI-%MO'!B:E,4,0)</f>
        <v>#N/A</v>
      </c>
      <c r="H8529" s="225" t="str">
        <f t="shared" si="133"/>
        <v/>
      </c>
    </row>
    <row r="8530" spans="1:8" x14ac:dyDescent="0.3">
      <c r="A8530" s="400"/>
      <c r="B8530" s="709">
        <v>106786</v>
      </c>
      <c r="C8530" s="710" t="s">
        <v>15243</v>
      </c>
      <c r="D8530" s="709" t="s">
        <v>159</v>
      </c>
      <c r="E8530" s="716">
        <v>0</v>
      </c>
      <c r="F8530" s="717"/>
      <c r="G8530" t="e">
        <f>VLOOKUP(B8530,'SINAPI-%MO'!B:E,4,0)</f>
        <v>#N/A</v>
      </c>
      <c r="H8530" s="225" t="str">
        <f t="shared" si="133"/>
        <v/>
      </c>
    </row>
    <row r="8531" spans="1:8" x14ac:dyDescent="0.3">
      <c r="A8531" s="400"/>
      <c r="B8531" s="709">
        <v>106783</v>
      </c>
      <c r="C8531" s="710" t="s">
        <v>15244</v>
      </c>
      <c r="D8531" s="709" t="s">
        <v>168</v>
      </c>
      <c r="E8531" s="716">
        <v>0</v>
      </c>
      <c r="F8531" s="717"/>
      <c r="G8531" t="e">
        <f>VLOOKUP(B8531,'SINAPI-%MO'!B:E,4,0)</f>
        <v>#N/A</v>
      </c>
      <c r="H8531" s="225" t="str">
        <f t="shared" si="133"/>
        <v/>
      </c>
    </row>
    <row r="8532" spans="1:8" x14ac:dyDescent="0.3">
      <c r="A8532" s="400"/>
      <c r="B8532" s="709">
        <v>106784</v>
      </c>
      <c r="C8532" s="710" t="s">
        <v>15245</v>
      </c>
      <c r="D8532" s="709" t="s">
        <v>168</v>
      </c>
      <c r="E8532" s="716">
        <v>0</v>
      </c>
      <c r="F8532" s="717"/>
      <c r="G8532" t="e">
        <f>VLOOKUP(B8532,'SINAPI-%MO'!B:E,4,0)</f>
        <v>#N/A</v>
      </c>
      <c r="H8532" s="225" t="str">
        <f t="shared" si="133"/>
        <v/>
      </c>
    </row>
    <row r="8533" spans="1:8" x14ac:dyDescent="0.3">
      <c r="A8533" s="400"/>
      <c r="B8533" s="709">
        <v>106782</v>
      </c>
      <c r="C8533" s="710" t="s">
        <v>15246</v>
      </c>
      <c r="D8533" s="709" t="s">
        <v>168</v>
      </c>
      <c r="E8533" s="716">
        <v>0</v>
      </c>
      <c r="F8533" s="717"/>
      <c r="G8533" t="e">
        <f>VLOOKUP(B8533,'SINAPI-%MO'!B:E,4,0)</f>
        <v>#N/A</v>
      </c>
      <c r="H8533" s="225" t="str">
        <f t="shared" si="133"/>
        <v/>
      </c>
    </row>
    <row r="8534" spans="1:8" x14ac:dyDescent="0.3">
      <c r="A8534" s="400"/>
      <c r="B8534" s="709">
        <v>101728</v>
      </c>
      <c r="C8534" s="710" t="s">
        <v>15247</v>
      </c>
      <c r="D8534" s="709" t="s">
        <v>168</v>
      </c>
      <c r="E8534" s="716">
        <v>0</v>
      </c>
      <c r="F8534" s="717"/>
      <c r="G8534" t="e">
        <f>VLOOKUP(B8534,'SINAPI-%MO'!B:E,4,0)</f>
        <v>#N/A</v>
      </c>
      <c r="H8534" s="225" t="str">
        <f t="shared" si="133"/>
        <v/>
      </c>
    </row>
    <row r="8535" spans="1:8" x14ac:dyDescent="0.3">
      <c r="A8535" s="400"/>
      <c r="B8535" s="709">
        <v>101727</v>
      </c>
      <c r="C8535" s="710" t="s">
        <v>14382</v>
      </c>
      <c r="D8535" s="709" t="s">
        <v>168</v>
      </c>
      <c r="E8535" s="716">
        <v>160.35</v>
      </c>
      <c r="F8535" s="717">
        <v>0</v>
      </c>
      <c r="G8535">
        <f>VLOOKUP(B8535,'SINAPI-%MO'!B:E,4,0)</f>
        <v>3.4700000000000002E-2</v>
      </c>
      <c r="H8535" s="225">
        <f t="shared" si="133"/>
        <v>154.78</v>
      </c>
    </row>
    <row r="8536" spans="1:8" x14ac:dyDescent="0.3">
      <c r="A8536" s="400"/>
      <c r="B8536" s="709">
        <v>106790</v>
      </c>
      <c r="C8536" s="710" t="s">
        <v>14383</v>
      </c>
      <c r="D8536" s="709" t="s">
        <v>168</v>
      </c>
      <c r="E8536" s="716">
        <v>173.43</v>
      </c>
      <c r="F8536" s="717">
        <v>0</v>
      </c>
      <c r="G8536">
        <f>VLOOKUP(B8536,'SINAPI-%MO'!B:E,4,0)</f>
        <v>7.1199999999999999E-2</v>
      </c>
      <c r="H8536" s="225">
        <f t="shared" si="133"/>
        <v>161.08000000000001</v>
      </c>
    </row>
    <row r="8537" spans="1:8" x14ac:dyDescent="0.3">
      <c r="A8537" s="400"/>
      <c r="B8537" s="709">
        <v>106792</v>
      </c>
      <c r="C8537" s="710" t="s">
        <v>14384</v>
      </c>
      <c r="D8537" s="709" t="s">
        <v>168</v>
      </c>
      <c r="E8537" s="716">
        <v>4.13</v>
      </c>
      <c r="F8537" s="717">
        <v>0</v>
      </c>
      <c r="G8537">
        <f>VLOOKUP(B8537,'SINAPI-%MO'!B:E,4,0)</f>
        <v>0.59079999999999999</v>
      </c>
      <c r="H8537" s="225">
        <f t="shared" si="133"/>
        <v>1.68</v>
      </c>
    </row>
    <row r="8538" spans="1:8" x14ac:dyDescent="0.3">
      <c r="A8538" s="400"/>
      <c r="B8538" s="709">
        <v>101748</v>
      </c>
      <c r="C8538" s="710" t="s">
        <v>14385</v>
      </c>
      <c r="D8538" s="709" t="s">
        <v>168</v>
      </c>
      <c r="E8538" s="716">
        <v>3.98</v>
      </c>
      <c r="F8538" s="717">
        <v>1.26E-2</v>
      </c>
      <c r="G8538">
        <f>VLOOKUP(B8538,'SINAPI-%MO'!B:E,4,0)</f>
        <v>0.96730000000000005</v>
      </c>
      <c r="H8538" s="225">
        <f t="shared" si="133"/>
        <v>0.13</v>
      </c>
    </row>
    <row r="8539" spans="1:8" x14ac:dyDescent="0.3">
      <c r="A8539" s="400"/>
      <c r="B8539" s="709">
        <v>106791</v>
      </c>
      <c r="C8539" s="710" t="s">
        <v>14386</v>
      </c>
      <c r="D8539" s="709" t="s">
        <v>168</v>
      </c>
      <c r="E8539" s="716">
        <v>459.41</v>
      </c>
      <c r="F8539" s="717">
        <v>0</v>
      </c>
      <c r="G8539">
        <f>VLOOKUP(B8539,'SINAPI-%MO'!B:E,4,0)</f>
        <v>0.1174</v>
      </c>
      <c r="H8539" s="225">
        <f t="shared" si="133"/>
        <v>405.47</v>
      </c>
    </row>
    <row r="8540" spans="1:8" x14ac:dyDescent="0.3">
      <c r="A8540" s="400"/>
      <c r="B8540" s="709">
        <v>101742</v>
      </c>
      <c r="C8540" s="710" t="s">
        <v>14387</v>
      </c>
      <c r="D8540" s="709" t="s">
        <v>159</v>
      </c>
      <c r="E8540" s="716">
        <v>50.54</v>
      </c>
      <c r="F8540" s="717">
        <v>0</v>
      </c>
      <c r="G8540">
        <f>VLOOKUP(B8540,'SINAPI-%MO'!B:E,4,0)</f>
        <v>0.40860000000000002</v>
      </c>
      <c r="H8540" s="225">
        <f t="shared" si="133"/>
        <v>29.88</v>
      </c>
    </row>
    <row r="8541" spans="1:8" x14ac:dyDescent="0.3">
      <c r="A8541" s="400"/>
      <c r="B8541" s="709">
        <v>101740</v>
      </c>
      <c r="C8541" s="710" t="s">
        <v>14388</v>
      </c>
      <c r="D8541" s="709" t="s">
        <v>159</v>
      </c>
      <c r="E8541" s="716">
        <v>58.17</v>
      </c>
      <c r="F8541" s="717">
        <v>0.31340000000000001</v>
      </c>
      <c r="G8541">
        <f>VLOOKUP(B8541,'SINAPI-%MO'!B:E,4,0)</f>
        <v>0.622</v>
      </c>
      <c r="H8541" s="225">
        <f t="shared" si="133"/>
        <v>21.98</v>
      </c>
    </row>
    <row r="8542" spans="1:8" x14ac:dyDescent="0.3">
      <c r="A8542" s="400"/>
      <c r="B8542" s="709">
        <v>98685</v>
      </c>
      <c r="C8542" s="710" t="s">
        <v>14389</v>
      </c>
      <c r="D8542" s="709" t="s">
        <v>159</v>
      </c>
      <c r="E8542" s="716">
        <v>94.59</v>
      </c>
      <c r="F8542" s="717">
        <v>0</v>
      </c>
      <c r="G8542">
        <f>VLOOKUP(B8542,'SINAPI-%MO'!B:E,4,0)</f>
        <v>0.1847</v>
      </c>
      <c r="H8542" s="225">
        <f t="shared" si="133"/>
        <v>77.11</v>
      </c>
    </row>
    <row r="8543" spans="1:8" x14ac:dyDescent="0.3">
      <c r="A8543" s="400"/>
      <c r="B8543" s="709">
        <v>98686</v>
      </c>
      <c r="C8543" s="710" t="s">
        <v>14390</v>
      </c>
      <c r="D8543" s="709" t="s">
        <v>159</v>
      </c>
      <c r="E8543" s="716">
        <v>58.85</v>
      </c>
      <c r="F8543" s="717">
        <v>0</v>
      </c>
      <c r="G8543">
        <f>VLOOKUP(B8543,'SINAPI-%MO'!B:E,4,0)</f>
        <v>0.78690000000000004</v>
      </c>
      <c r="H8543" s="225">
        <f t="shared" si="133"/>
        <v>12.54</v>
      </c>
    </row>
    <row r="8544" spans="1:8" x14ac:dyDescent="0.3">
      <c r="A8544" s="400"/>
      <c r="B8544" s="709">
        <v>101738</v>
      </c>
      <c r="C8544" s="710" t="s">
        <v>14391</v>
      </c>
      <c r="D8544" s="709" t="s">
        <v>159</v>
      </c>
      <c r="E8544" s="716">
        <v>35.4</v>
      </c>
      <c r="F8544" s="717">
        <v>0</v>
      </c>
      <c r="G8544">
        <f>VLOOKUP(B8544,'SINAPI-%MO'!B:E,4,0)</f>
        <v>8.0199999999999994E-2</v>
      </c>
      <c r="H8544" s="225">
        <f t="shared" si="133"/>
        <v>32.56</v>
      </c>
    </row>
    <row r="8545" spans="1:8" x14ac:dyDescent="0.3">
      <c r="A8545" s="400"/>
      <c r="B8545" s="709">
        <v>101739</v>
      </c>
      <c r="C8545" s="710" t="s">
        <v>14392</v>
      </c>
      <c r="D8545" s="709" t="s">
        <v>159</v>
      </c>
      <c r="E8545" s="716">
        <v>49.37</v>
      </c>
      <c r="F8545" s="717">
        <v>0</v>
      </c>
      <c r="G8545">
        <f>VLOOKUP(B8545,'SINAPI-%MO'!B:E,4,0)</f>
        <v>0.39700000000000002</v>
      </c>
      <c r="H8545" s="225">
        <f t="shared" si="133"/>
        <v>29.77</v>
      </c>
    </row>
    <row r="8546" spans="1:8" x14ac:dyDescent="0.3">
      <c r="A8546" s="400"/>
      <c r="B8546" s="709">
        <v>101741</v>
      </c>
      <c r="C8546" s="710" t="s">
        <v>14393</v>
      </c>
      <c r="D8546" s="709" t="s">
        <v>159</v>
      </c>
      <c r="E8546" s="716">
        <v>51.93</v>
      </c>
      <c r="F8546" s="717">
        <v>0</v>
      </c>
      <c r="G8546">
        <f>VLOOKUP(B8546,'SINAPI-%MO'!B:E,4,0)</f>
        <v>0.8679</v>
      </c>
      <c r="H8546" s="225">
        <f t="shared" si="133"/>
        <v>6.85</v>
      </c>
    </row>
    <row r="8547" spans="1:8" x14ac:dyDescent="0.3">
      <c r="A8547" s="400"/>
      <c r="B8547" s="709">
        <v>98697</v>
      </c>
      <c r="C8547" s="710" t="s">
        <v>14394</v>
      </c>
      <c r="D8547" s="709" t="s">
        <v>159</v>
      </c>
      <c r="E8547" s="716">
        <v>95.22</v>
      </c>
      <c r="F8547" s="717">
        <v>0</v>
      </c>
      <c r="G8547">
        <f>VLOOKUP(B8547,'SINAPI-%MO'!B:E,4,0)</f>
        <v>0.1835</v>
      </c>
      <c r="H8547" s="225">
        <f t="shared" si="133"/>
        <v>77.739999999999995</v>
      </c>
    </row>
    <row r="8548" spans="1:8" x14ac:dyDescent="0.3">
      <c r="A8548" s="400"/>
      <c r="B8548" s="709">
        <v>98688</v>
      </c>
      <c r="C8548" s="710" t="s">
        <v>14395</v>
      </c>
      <c r="D8548" s="709" t="s">
        <v>159</v>
      </c>
      <c r="E8548" s="716">
        <v>60.14</v>
      </c>
      <c r="F8548" s="717">
        <v>0</v>
      </c>
      <c r="G8548">
        <f>VLOOKUP(B8548,'SINAPI-%MO'!B:E,4,0)</f>
        <v>4.9599999999999998E-2</v>
      </c>
      <c r="H8548" s="225">
        <f t="shared" si="133"/>
        <v>57.15</v>
      </c>
    </row>
    <row r="8549" spans="1:8" x14ac:dyDescent="0.3">
      <c r="A8549" s="400"/>
      <c r="B8549" s="709">
        <v>98687</v>
      </c>
      <c r="C8549" s="710" t="s">
        <v>15248</v>
      </c>
      <c r="D8549" s="709" t="s">
        <v>159</v>
      </c>
      <c r="E8549" s="716">
        <v>0</v>
      </c>
      <c r="F8549" s="717"/>
      <c r="G8549" t="e">
        <f>VLOOKUP(B8549,'SINAPI-%MO'!B:E,4,0)</f>
        <v>#N/A</v>
      </c>
      <c r="H8549" s="225" t="str">
        <f t="shared" si="133"/>
        <v/>
      </c>
    </row>
    <row r="8550" spans="1:8" x14ac:dyDescent="0.3">
      <c r="A8550" s="400"/>
      <c r="B8550" s="709">
        <v>98689</v>
      </c>
      <c r="C8550" s="710" t="s">
        <v>14396</v>
      </c>
      <c r="D8550" s="709" t="s">
        <v>159</v>
      </c>
      <c r="E8550" s="716">
        <v>142.35</v>
      </c>
      <c r="F8550" s="717">
        <v>0</v>
      </c>
      <c r="G8550">
        <f>VLOOKUP(B8550,'SINAPI-%MO'!B:E,4,0)</f>
        <v>0.26529999999999998</v>
      </c>
      <c r="H8550" s="225">
        <f t="shared" si="133"/>
        <v>104.58</v>
      </c>
    </row>
    <row r="8551" spans="1:8" x14ac:dyDescent="0.3">
      <c r="A8551" s="400"/>
      <c r="B8551" s="709">
        <v>98695</v>
      </c>
      <c r="C8551" s="710" t="s">
        <v>14397</v>
      </c>
      <c r="D8551" s="709" t="s">
        <v>159</v>
      </c>
      <c r="E8551" s="716">
        <v>149.97</v>
      </c>
      <c r="F8551" s="717">
        <v>0</v>
      </c>
      <c r="G8551">
        <f>VLOOKUP(B8551,'SINAPI-%MO'!B:E,4,0)</f>
        <v>0.25190000000000001</v>
      </c>
      <c r="H8551" s="225">
        <f t="shared" si="133"/>
        <v>112.19</v>
      </c>
    </row>
    <row r="8552" spans="1:8" x14ac:dyDescent="0.3">
      <c r="A8552" s="400"/>
      <c r="B8552" s="709">
        <v>100606</v>
      </c>
      <c r="C8552" s="710" t="s">
        <v>7076</v>
      </c>
      <c r="D8552" s="709" t="s">
        <v>136</v>
      </c>
      <c r="E8552" s="716">
        <v>1769.06</v>
      </c>
      <c r="F8552" s="717">
        <v>0</v>
      </c>
      <c r="G8552">
        <f>VLOOKUP(B8552,'SINAPI-%MO'!B:E,4,0)</f>
        <v>0.40539999999999998</v>
      </c>
      <c r="H8552" s="225">
        <f t="shared" si="133"/>
        <v>1051.8800000000001</v>
      </c>
    </row>
    <row r="8553" spans="1:8" x14ac:dyDescent="0.3">
      <c r="A8553" s="400"/>
      <c r="B8553" s="709">
        <v>100604</v>
      </c>
      <c r="C8553" s="710" t="s">
        <v>7077</v>
      </c>
      <c r="D8553" s="709" t="s">
        <v>136</v>
      </c>
      <c r="E8553" s="716">
        <v>819.03</v>
      </c>
      <c r="F8553" s="717">
        <v>0</v>
      </c>
      <c r="G8553">
        <f>VLOOKUP(B8553,'SINAPI-%MO'!B:E,4,0)</f>
        <v>0.28799999999999998</v>
      </c>
      <c r="H8553" s="225">
        <f t="shared" si="133"/>
        <v>583.14</v>
      </c>
    </row>
    <row r="8554" spans="1:8" x14ac:dyDescent="0.3">
      <c r="A8554" s="400"/>
      <c r="B8554" s="709">
        <v>100605</v>
      </c>
      <c r="C8554" s="710" t="s">
        <v>7078</v>
      </c>
      <c r="D8554" s="709" t="s">
        <v>136</v>
      </c>
      <c r="E8554" s="716">
        <v>1211.08</v>
      </c>
      <c r="F8554" s="717">
        <v>0</v>
      </c>
      <c r="G8554">
        <f>VLOOKUP(B8554,'SINAPI-%MO'!B:E,4,0)</f>
        <v>0.3574</v>
      </c>
      <c r="H8554" s="225">
        <f t="shared" si="133"/>
        <v>778.24</v>
      </c>
    </row>
    <row r="8555" spans="1:8" x14ac:dyDescent="0.3">
      <c r="A8555" s="400"/>
      <c r="B8555" s="709">
        <v>100580</v>
      </c>
      <c r="C8555" s="710" t="s">
        <v>7079</v>
      </c>
      <c r="D8555" s="709" t="s">
        <v>136</v>
      </c>
      <c r="E8555" s="716">
        <v>748.33</v>
      </c>
      <c r="F8555" s="717">
        <v>0</v>
      </c>
      <c r="G8555">
        <f>VLOOKUP(B8555,'SINAPI-%MO'!B:E,4,0)</f>
        <v>0.33160000000000001</v>
      </c>
      <c r="H8555" s="225">
        <f t="shared" si="133"/>
        <v>500.18</v>
      </c>
    </row>
    <row r="8556" spans="1:8" x14ac:dyDescent="0.3">
      <c r="A8556" s="400"/>
      <c r="B8556" s="709">
        <v>100579</v>
      </c>
      <c r="C8556" s="710" t="s">
        <v>7080</v>
      </c>
      <c r="D8556" s="709" t="s">
        <v>136</v>
      </c>
      <c r="E8556" s="716">
        <v>698.12</v>
      </c>
      <c r="F8556" s="717">
        <v>0</v>
      </c>
      <c r="G8556">
        <f>VLOOKUP(B8556,'SINAPI-%MO'!B:E,4,0)</f>
        <v>0.29039999999999999</v>
      </c>
      <c r="H8556" s="225">
        <f t="shared" si="133"/>
        <v>495.38</v>
      </c>
    </row>
    <row r="8557" spans="1:8" x14ac:dyDescent="0.3">
      <c r="A8557" s="400"/>
      <c r="B8557" s="709">
        <v>100609</v>
      </c>
      <c r="C8557" s="710" t="s">
        <v>7081</v>
      </c>
      <c r="D8557" s="709" t="s">
        <v>136</v>
      </c>
      <c r="E8557" s="716">
        <v>1801.99</v>
      </c>
      <c r="F8557" s="717">
        <v>0</v>
      </c>
      <c r="G8557">
        <f>VLOOKUP(B8557,'SINAPI-%MO'!B:E,4,0)</f>
        <v>0.40570000000000001</v>
      </c>
      <c r="H8557" s="225">
        <f t="shared" si="133"/>
        <v>1070.92</v>
      </c>
    </row>
    <row r="8558" spans="1:8" x14ac:dyDescent="0.3">
      <c r="A8558" s="400"/>
      <c r="B8558" s="709">
        <v>100607</v>
      </c>
      <c r="C8558" s="710" t="s">
        <v>7082</v>
      </c>
      <c r="D8558" s="709" t="s">
        <v>136</v>
      </c>
      <c r="E8558" s="716">
        <v>840.42</v>
      </c>
      <c r="F8558" s="717">
        <v>0</v>
      </c>
      <c r="G8558">
        <f>VLOOKUP(B8558,'SINAPI-%MO'!B:E,4,0)</f>
        <v>0.28360000000000002</v>
      </c>
      <c r="H8558" s="225">
        <f t="shared" si="133"/>
        <v>602.07000000000005</v>
      </c>
    </row>
    <row r="8559" spans="1:8" x14ac:dyDescent="0.3">
      <c r="A8559" s="400"/>
      <c r="B8559" s="709">
        <v>100608</v>
      </c>
      <c r="C8559" s="710" t="s">
        <v>7083</v>
      </c>
      <c r="D8559" s="709" t="s">
        <v>136</v>
      </c>
      <c r="E8559" s="716">
        <v>1236.74</v>
      </c>
      <c r="F8559" s="717">
        <v>0</v>
      </c>
      <c r="G8559">
        <f>VLOOKUP(B8559,'SINAPI-%MO'!B:E,4,0)</f>
        <v>0.35549999999999998</v>
      </c>
      <c r="H8559" s="225">
        <f t="shared" si="133"/>
        <v>797.07</v>
      </c>
    </row>
    <row r="8560" spans="1:8" x14ac:dyDescent="0.3">
      <c r="A8560" s="400"/>
      <c r="B8560" s="709">
        <v>100582</v>
      </c>
      <c r="C8560" s="710" t="s">
        <v>7084</v>
      </c>
      <c r="D8560" s="709" t="s">
        <v>136</v>
      </c>
      <c r="E8560" s="716">
        <v>813.89</v>
      </c>
      <c r="F8560" s="717">
        <v>0</v>
      </c>
      <c r="G8560">
        <f>VLOOKUP(B8560,'SINAPI-%MO'!B:E,4,0)</f>
        <v>0.35549999999999998</v>
      </c>
      <c r="H8560" s="225">
        <f t="shared" si="133"/>
        <v>524.54999999999995</v>
      </c>
    </row>
    <row r="8561" spans="1:8" x14ac:dyDescent="0.3">
      <c r="A8561" s="400"/>
      <c r="B8561" s="709">
        <v>100581</v>
      </c>
      <c r="C8561" s="710" t="s">
        <v>7085</v>
      </c>
      <c r="D8561" s="709" t="s">
        <v>136</v>
      </c>
      <c r="E8561" s="716">
        <v>724.94</v>
      </c>
      <c r="F8561" s="717">
        <v>0</v>
      </c>
      <c r="G8561">
        <f>VLOOKUP(B8561,'SINAPI-%MO'!B:E,4,0)</f>
        <v>0.2868</v>
      </c>
      <c r="H8561" s="225">
        <f t="shared" si="133"/>
        <v>517.02</v>
      </c>
    </row>
    <row r="8562" spans="1:8" x14ac:dyDescent="0.3">
      <c r="A8562" s="400"/>
      <c r="B8562" s="709">
        <v>100613</v>
      </c>
      <c r="C8562" s="710" t="s">
        <v>7086</v>
      </c>
      <c r="D8562" s="709" t="s">
        <v>136</v>
      </c>
      <c r="E8562" s="716">
        <v>1834.73</v>
      </c>
      <c r="F8562" s="717">
        <v>0</v>
      </c>
      <c r="G8562">
        <f>VLOOKUP(B8562,'SINAPI-%MO'!B:E,4,0)</f>
        <v>0.40610000000000002</v>
      </c>
      <c r="H8562" s="225">
        <f t="shared" si="133"/>
        <v>1089.6400000000001</v>
      </c>
    </row>
    <row r="8563" spans="1:8" x14ac:dyDescent="0.3">
      <c r="A8563" s="400"/>
      <c r="B8563" s="709">
        <v>100610</v>
      </c>
      <c r="C8563" s="710" t="s">
        <v>7087</v>
      </c>
      <c r="D8563" s="709" t="s">
        <v>136</v>
      </c>
      <c r="E8563" s="716">
        <v>861.39</v>
      </c>
      <c r="F8563" s="717">
        <v>0</v>
      </c>
      <c r="G8563">
        <f>VLOOKUP(B8563,'SINAPI-%MO'!B:E,4,0)</f>
        <v>0.27929999999999999</v>
      </c>
      <c r="H8563" s="225">
        <f t="shared" si="133"/>
        <v>620.79999999999995</v>
      </c>
    </row>
    <row r="8564" spans="1:8" x14ac:dyDescent="0.3">
      <c r="A8564" s="400"/>
      <c r="B8564" s="709">
        <v>100611</v>
      </c>
      <c r="C8564" s="710" t="s">
        <v>7088</v>
      </c>
      <c r="D8564" s="709" t="s">
        <v>136</v>
      </c>
      <c r="E8564" s="716">
        <v>1039.44</v>
      </c>
      <c r="F8564" s="717">
        <v>0</v>
      </c>
      <c r="G8564">
        <f>VLOOKUP(B8564,'SINAPI-%MO'!B:E,4,0)</f>
        <v>0.31929999999999997</v>
      </c>
      <c r="H8564" s="225">
        <f t="shared" si="133"/>
        <v>707.54</v>
      </c>
    </row>
    <row r="8565" spans="1:8" x14ac:dyDescent="0.3">
      <c r="A8565" s="400"/>
      <c r="B8565" s="709">
        <v>100612</v>
      </c>
      <c r="C8565" s="710" t="s">
        <v>7089</v>
      </c>
      <c r="D8565" s="709" t="s">
        <v>136</v>
      </c>
      <c r="E8565" s="716">
        <v>1261.98</v>
      </c>
      <c r="F8565" s="717">
        <v>0</v>
      </c>
      <c r="G8565">
        <f>VLOOKUP(B8565,'SINAPI-%MO'!B:E,4,0)</f>
        <v>0.35349999999999998</v>
      </c>
      <c r="H8565" s="225">
        <f t="shared" si="133"/>
        <v>815.87</v>
      </c>
    </row>
    <row r="8566" spans="1:8" x14ac:dyDescent="0.3">
      <c r="A8566" s="400"/>
      <c r="B8566" s="709">
        <v>100584</v>
      </c>
      <c r="C8566" s="710" t="s">
        <v>7090</v>
      </c>
      <c r="D8566" s="709" t="s">
        <v>136</v>
      </c>
      <c r="E8566" s="716">
        <v>807.74</v>
      </c>
      <c r="F8566" s="717">
        <v>0</v>
      </c>
      <c r="G8566">
        <f>VLOOKUP(B8566,'SINAPI-%MO'!B:E,4,0)</f>
        <v>0.32640000000000002</v>
      </c>
      <c r="H8566" s="225">
        <f t="shared" si="133"/>
        <v>544.09</v>
      </c>
    </row>
    <row r="8567" spans="1:8" x14ac:dyDescent="0.3">
      <c r="A8567" s="400"/>
      <c r="B8567" s="709">
        <v>100583</v>
      </c>
      <c r="C8567" s="710" t="s">
        <v>7091</v>
      </c>
      <c r="D8567" s="709" t="s">
        <v>136</v>
      </c>
      <c r="E8567" s="716">
        <v>753.3</v>
      </c>
      <c r="F8567" s="717">
        <v>0</v>
      </c>
      <c r="G8567">
        <f>VLOOKUP(B8567,'SINAPI-%MO'!B:E,4,0)</f>
        <v>0.28449999999999998</v>
      </c>
      <c r="H8567" s="225">
        <f t="shared" si="133"/>
        <v>538.98</v>
      </c>
    </row>
    <row r="8568" spans="1:8" x14ac:dyDescent="0.3">
      <c r="A8568" s="400"/>
      <c r="B8568" s="709">
        <v>100616</v>
      </c>
      <c r="C8568" s="710" t="s">
        <v>7092</v>
      </c>
      <c r="D8568" s="709" t="s">
        <v>136</v>
      </c>
      <c r="E8568" s="716">
        <v>1903.11</v>
      </c>
      <c r="F8568" s="717">
        <v>0</v>
      </c>
      <c r="G8568">
        <f>VLOOKUP(B8568,'SINAPI-%MO'!B:E,4,0)</f>
        <v>0.40739999999999998</v>
      </c>
      <c r="H8568" s="225">
        <f t="shared" si="133"/>
        <v>1127.78</v>
      </c>
    </row>
    <row r="8569" spans="1:8" x14ac:dyDescent="0.3">
      <c r="A8569" s="400"/>
      <c r="B8569" s="709">
        <v>100614</v>
      </c>
      <c r="C8569" s="710" t="s">
        <v>7093</v>
      </c>
      <c r="D8569" s="709" t="s">
        <v>136</v>
      </c>
      <c r="E8569" s="716">
        <v>1085.05</v>
      </c>
      <c r="F8569" s="717">
        <v>0</v>
      </c>
      <c r="G8569">
        <f>VLOOKUP(B8569,'SINAPI-%MO'!B:E,4,0)</f>
        <v>0.31359999999999999</v>
      </c>
      <c r="H8569" s="225">
        <f t="shared" si="133"/>
        <v>744.77</v>
      </c>
    </row>
    <row r="8570" spans="1:8" x14ac:dyDescent="0.3">
      <c r="A8570" s="400"/>
      <c r="B8570" s="709">
        <v>100615</v>
      </c>
      <c r="C8570" s="710" t="s">
        <v>7094</v>
      </c>
      <c r="D8570" s="709" t="s">
        <v>136</v>
      </c>
      <c r="E8570" s="716">
        <v>1312.35</v>
      </c>
      <c r="F8570" s="717">
        <v>0</v>
      </c>
      <c r="G8570">
        <f>VLOOKUP(B8570,'SINAPI-%MO'!B:E,4,0)</f>
        <v>0.34989999999999999</v>
      </c>
      <c r="H8570" s="225">
        <f t="shared" si="133"/>
        <v>853.15</v>
      </c>
    </row>
    <row r="8571" spans="1:8" x14ac:dyDescent="0.3">
      <c r="A8571" s="400"/>
      <c r="B8571" s="709">
        <v>100586</v>
      </c>
      <c r="C8571" s="710" t="s">
        <v>7095</v>
      </c>
      <c r="D8571" s="709" t="s">
        <v>136</v>
      </c>
      <c r="E8571" s="716">
        <v>895.72</v>
      </c>
      <c r="F8571" s="717">
        <v>0</v>
      </c>
      <c r="G8571">
        <f>VLOOKUP(B8571,'SINAPI-%MO'!B:E,4,0)</f>
        <v>0.3397</v>
      </c>
      <c r="H8571" s="225">
        <f t="shared" si="133"/>
        <v>591.44000000000005</v>
      </c>
    </row>
    <row r="8572" spans="1:8" x14ac:dyDescent="0.3">
      <c r="A8572" s="400"/>
      <c r="B8572" s="709">
        <v>100585</v>
      </c>
      <c r="C8572" s="710" t="s">
        <v>7096</v>
      </c>
      <c r="D8572" s="709" t="s">
        <v>136</v>
      </c>
      <c r="E8572" s="716">
        <v>808.67</v>
      </c>
      <c r="F8572" s="717">
        <v>0</v>
      </c>
      <c r="G8572">
        <f>VLOOKUP(B8572,'SINAPI-%MO'!B:E,4,0)</f>
        <v>0.27979999999999999</v>
      </c>
      <c r="H8572" s="225">
        <f t="shared" si="133"/>
        <v>582.4</v>
      </c>
    </row>
    <row r="8573" spans="1:8" x14ac:dyDescent="0.3">
      <c r="A8573" s="400"/>
      <c r="B8573" s="709">
        <v>100618</v>
      </c>
      <c r="C8573" s="710" t="s">
        <v>7097</v>
      </c>
      <c r="D8573" s="709" t="s">
        <v>136</v>
      </c>
      <c r="E8573" s="716">
        <v>1976.82</v>
      </c>
      <c r="F8573" s="717">
        <v>0</v>
      </c>
      <c r="G8573">
        <f>VLOOKUP(B8573,'SINAPI-%MO'!B:E,4,0)</f>
        <v>0.40620000000000001</v>
      </c>
      <c r="H8573" s="225">
        <f t="shared" si="133"/>
        <v>1173.83</v>
      </c>
    </row>
    <row r="8574" spans="1:8" x14ac:dyDescent="0.3">
      <c r="A8574" s="400"/>
      <c r="B8574" s="709">
        <v>100617</v>
      </c>
      <c r="C8574" s="710" t="s">
        <v>7098</v>
      </c>
      <c r="D8574" s="709" t="s">
        <v>136</v>
      </c>
      <c r="E8574" s="716">
        <v>1362.65</v>
      </c>
      <c r="F8574" s="717">
        <v>0</v>
      </c>
      <c r="G8574">
        <f>VLOOKUP(B8574,'SINAPI-%MO'!B:E,4,0)</f>
        <v>0.34670000000000001</v>
      </c>
      <c r="H8574" s="225">
        <f t="shared" si="133"/>
        <v>890.21</v>
      </c>
    </row>
    <row r="8575" spans="1:8" x14ac:dyDescent="0.3">
      <c r="A8575" s="400"/>
      <c r="B8575" s="709">
        <v>100588</v>
      </c>
      <c r="C8575" s="710" t="s">
        <v>7099</v>
      </c>
      <c r="D8575" s="709" t="s">
        <v>136</v>
      </c>
      <c r="E8575" s="716">
        <v>933.39</v>
      </c>
      <c r="F8575" s="717">
        <v>0</v>
      </c>
      <c r="G8575">
        <f>VLOOKUP(B8575,'SINAPI-%MO'!B:E,4,0)</f>
        <v>0.32179999999999997</v>
      </c>
      <c r="H8575" s="225">
        <f t="shared" si="133"/>
        <v>633.02</v>
      </c>
    </row>
    <row r="8576" spans="1:8" x14ac:dyDescent="0.3">
      <c r="A8576" s="400"/>
      <c r="B8576" s="709">
        <v>100587</v>
      </c>
      <c r="C8576" s="710" t="s">
        <v>7100</v>
      </c>
      <c r="D8576" s="709" t="s">
        <v>136</v>
      </c>
      <c r="E8576" s="716">
        <v>865.85</v>
      </c>
      <c r="F8576" s="717">
        <v>0</v>
      </c>
      <c r="G8576">
        <f>VLOOKUP(B8576,'SINAPI-%MO'!B:E,4,0)</f>
        <v>0.27679999999999999</v>
      </c>
      <c r="H8576" s="225">
        <f t="shared" si="133"/>
        <v>626.17999999999995</v>
      </c>
    </row>
    <row r="8577" spans="1:8" x14ac:dyDescent="0.3">
      <c r="A8577" s="400"/>
      <c r="B8577" s="709">
        <v>100590</v>
      </c>
      <c r="C8577" s="710" t="s">
        <v>7101</v>
      </c>
      <c r="D8577" s="709" t="s">
        <v>136</v>
      </c>
      <c r="E8577" s="716">
        <v>1006.3</v>
      </c>
      <c r="F8577" s="717">
        <v>0</v>
      </c>
      <c r="G8577">
        <f>VLOOKUP(B8577,'SINAPI-%MO'!B:E,4,0)</f>
        <v>0.34820000000000001</v>
      </c>
      <c r="H8577" s="225">
        <f t="shared" si="133"/>
        <v>655.9</v>
      </c>
    </row>
    <row r="8578" spans="1:8" x14ac:dyDescent="0.3">
      <c r="A8578" s="400"/>
      <c r="B8578" s="709">
        <v>100589</v>
      </c>
      <c r="C8578" s="710" t="s">
        <v>7102</v>
      </c>
      <c r="D8578" s="709" t="s">
        <v>136</v>
      </c>
      <c r="E8578" s="716">
        <v>939.33</v>
      </c>
      <c r="F8578" s="717">
        <v>0</v>
      </c>
      <c r="G8578">
        <f>VLOOKUP(B8578,'SINAPI-%MO'!B:E,4,0)</f>
        <v>0.30759999999999998</v>
      </c>
      <c r="H8578" s="225">
        <f t="shared" si="133"/>
        <v>650.39</v>
      </c>
    </row>
    <row r="8579" spans="1:8" x14ac:dyDescent="0.3">
      <c r="A8579" s="400"/>
      <c r="B8579" s="709">
        <v>100592</v>
      </c>
      <c r="C8579" s="710" t="s">
        <v>7103</v>
      </c>
      <c r="D8579" s="709" t="s">
        <v>136</v>
      </c>
      <c r="E8579" s="716">
        <v>996.22</v>
      </c>
      <c r="F8579" s="717">
        <v>0</v>
      </c>
      <c r="G8579">
        <f>VLOOKUP(B8579,'SINAPI-%MO'!B:E,4,0)</f>
        <v>0.32019999999999998</v>
      </c>
      <c r="H8579" s="225">
        <f t="shared" si="133"/>
        <v>677.23</v>
      </c>
    </row>
    <row r="8580" spans="1:8" x14ac:dyDescent="0.3">
      <c r="A8580" s="400"/>
      <c r="B8580" s="709">
        <v>100591</v>
      </c>
      <c r="C8580" s="710" t="s">
        <v>7104</v>
      </c>
      <c r="D8580" s="709" t="s">
        <v>136</v>
      </c>
      <c r="E8580" s="716">
        <v>924.21</v>
      </c>
      <c r="F8580" s="717">
        <v>0</v>
      </c>
      <c r="G8580">
        <f>VLOOKUP(B8580,'SINAPI-%MO'!B:E,4,0)</f>
        <v>0.27510000000000001</v>
      </c>
      <c r="H8580" s="225">
        <f t="shared" si="133"/>
        <v>669.95</v>
      </c>
    </row>
    <row r="8581" spans="1:8" x14ac:dyDescent="0.3">
      <c r="A8581" s="400"/>
      <c r="B8581" s="709">
        <v>100594</v>
      </c>
      <c r="C8581" s="710" t="s">
        <v>7105</v>
      </c>
      <c r="D8581" s="709" t="s">
        <v>136</v>
      </c>
      <c r="E8581" s="716">
        <v>1095.08</v>
      </c>
      <c r="F8581" s="717">
        <v>0</v>
      </c>
      <c r="G8581">
        <f>VLOOKUP(B8581,'SINAPI-%MO'!B:E,4,0)</f>
        <v>0.3372</v>
      </c>
      <c r="H8581" s="225">
        <f t="shared" si="133"/>
        <v>725.81</v>
      </c>
    </row>
    <row r="8582" spans="1:8" x14ac:dyDescent="0.3">
      <c r="A8582" s="400"/>
      <c r="B8582" s="709">
        <v>100593</v>
      </c>
      <c r="C8582" s="710" t="s">
        <v>7106</v>
      </c>
      <c r="D8582" s="709" t="s">
        <v>136</v>
      </c>
      <c r="E8582" s="716">
        <v>1000.69</v>
      </c>
      <c r="F8582" s="717">
        <v>0</v>
      </c>
      <c r="G8582">
        <f>VLOOKUP(B8582,'SINAPI-%MO'!B:E,4,0)</f>
        <v>0.28439999999999999</v>
      </c>
      <c r="H8582" s="225">
        <f t="shared" si="133"/>
        <v>716.09</v>
      </c>
    </row>
    <row r="8583" spans="1:8" x14ac:dyDescent="0.3">
      <c r="A8583" s="400"/>
      <c r="B8583" s="709">
        <v>100596</v>
      </c>
      <c r="C8583" s="710" t="s">
        <v>7107</v>
      </c>
      <c r="D8583" s="709" t="s">
        <v>136</v>
      </c>
      <c r="E8583" s="716">
        <v>1308.94</v>
      </c>
      <c r="F8583" s="717">
        <v>0</v>
      </c>
      <c r="G8583">
        <f>VLOOKUP(B8583,'SINAPI-%MO'!B:E,4,0)</f>
        <v>0.34179999999999999</v>
      </c>
      <c r="H8583" s="225">
        <f t="shared" si="133"/>
        <v>861.54</v>
      </c>
    </row>
    <row r="8584" spans="1:8" x14ac:dyDescent="0.3">
      <c r="A8584" s="400"/>
      <c r="B8584" s="709">
        <v>100595</v>
      </c>
      <c r="C8584" s="710" t="s">
        <v>7108</v>
      </c>
      <c r="D8584" s="709" t="s">
        <v>136</v>
      </c>
      <c r="E8584" s="716">
        <v>1181.25</v>
      </c>
      <c r="F8584" s="717">
        <v>0</v>
      </c>
      <c r="G8584">
        <f>VLOOKUP(B8584,'SINAPI-%MO'!B:E,4,0)</f>
        <v>0.28289999999999998</v>
      </c>
      <c r="H8584" s="225">
        <f t="shared" si="133"/>
        <v>847.07</v>
      </c>
    </row>
    <row r="8585" spans="1:8" x14ac:dyDescent="0.3">
      <c r="A8585" s="400"/>
      <c r="B8585" s="709">
        <v>100598</v>
      </c>
      <c r="C8585" s="710" t="s">
        <v>7109</v>
      </c>
      <c r="D8585" s="709" t="s">
        <v>136</v>
      </c>
      <c r="E8585" s="716">
        <v>1450.61</v>
      </c>
      <c r="F8585" s="717">
        <v>0</v>
      </c>
      <c r="G8585">
        <f>VLOOKUP(B8585,'SINAPI-%MO'!B:E,4,0)</f>
        <v>0.34449999999999997</v>
      </c>
      <c r="H8585" s="225">
        <f t="shared" si="133"/>
        <v>950.87</v>
      </c>
    </row>
    <row r="8586" spans="1:8" x14ac:dyDescent="0.3">
      <c r="A8586" s="400"/>
      <c r="B8586" s="709">
        <v>100597</v>
      </c>
      <c r="C8586" s="710" t="s">
        <v>7110</v>
      </c>
      <c r="D8586" s="709" t="s">
        <v>136</v>
      </c>
      <c r="E8586" s="716">
        <v>1345.1</v>
      </c>
      <c r="F8586" s="717">
        <v>0</v>
      </c>
      <c r="G8586">
        <f>VLOOKUP(B8586,'SINAPI-%MO'!B:E,4,0)</f>
        <v>0.30199999999999999</v>
      </c>
      <c r="H8586" s="225">
        <f t="shared" si="133"/>
        <v>938.87</v>
      </c>
    </row>
    <row r="8587" spans="1:8" x14ac:dyDescent="0.3">
      <c r="A8587" s="400"/>
      <c r="B8587" s="709">
        <v>100603</v>
      </c>
      <c r="C8587" s="710" t="s">
        <v>7111</v>
      </c>
      <c r="D8587" s="709" t="s">
        <v>136</v>
      </c>
      <c r="E8587" s="716">
        <v>1706.67</v>
      </c>
      <c r="F8587" s="717">
        <v>0</v>
      </c>
      <c r="G8587">
        <f>VLOOKUP(B8587,'SINAPI-%MO'!B:E,4,0)</f>
        <v>0.40550000000000003</v>
      </c>
      <c r="H8587" s="225">
        <f t="shared" ref="H8587:H8650" si="134">IF(E8587&gt;0,TRUNC(E8587*(1-G8587),2),"")</f>
        <v>1014.61</v>
      </c>
    </row>
    <row r="8588" spans="1:8" x14ac:dyDescent="0.3">
      <c r="A8588" s="400"/>
      <c r="B8588" s="709">
        <v>100599</v>
      </c>
      <c r="C8588" s="710" t="s">
        <v>7112</v>
      </c>
      <c r="D8588" s="709" t="s">
        <v>136</v>
      </c>
      <c r="E8588" s="716">
        <v>674.65</v>
      </c>
      <c r="F8588" s="717">
        <v>0</v>
      </c>
      <c r="G8588">
        <f>VLOOKUP(B8588,'SINAPI-%MO'!B:E,4,0)</f>
        <v>0.25790000000000002</v>
      </c>
      <c r="H8588" s="225">
        <f t="shared" si="134"/>
        <v>500.65</v>
      </c>
    </row>
    <row r="8589" spans="1:8" x14ac:dyDescent="0.3">
      <c r="A8589" s="400"/>
      <c r="B8589" s="709">
        <v>100600</v>
      </c>
      <c r="C8589" s="710" t="s">
        <v>7113</v>
      </c>
      <c r="D8589" s="709" t="s">
        <v>136</v>
      </c>
      <c r="E8589" s="716">
        <v>775.54</v>
      </c>
      <c r="F8589" s="717">
        <v>0</v>
      </c>
      <c r="G8589">
        <f>VLOOKUP(B8589,'SINAPI-%MO'!B:E,4,0)</f>
        <v>0.2974</v>
      </c>
      <c r="H8589" s="225">
        <f t="shared" si="134"/>
        <v>544.89</v>
      </c>
    </row>
    <row r="8590" spans="1:8" x14ac:dyDescent="0.3">
      <c r="A8590" s="400"/>
      <c r="B8590" s="709">
        <v>100601</v>
      </c>
      <c r="C8590" s="710" t="s">
        <v>7114</v>
      </c>
      <c r="D8590" s="709" t="s">
        <v>136</v>
      </c>
      <c r="E8590" s="716">
        <v>945.99</v>
      </c>
      <c r="F8590" s="717">
        <v>0</v>
      </c>
      <c r="G8590">
        <f>VLOOKUP(B8590,'SINAPI-%MO'!B:E,4,0)</f>
        <v>0.33239999999999997</v>
      </c>
      <c r="H8590" s="225">
        <f t="shared" si="134"/>
        <v>631.54</v>
      </c>
    </row>
    <row r="8591" spans="1:8" x14ac:dyDescent="0.3">
      <c r="A8591" s="400"/>
      <c r="B8591" s="709">
        <v>100602</v>
      </c>
      <c r="C8591" s="710" t="s">
        <v>7115</v>
      </c>
      <c r="D8591" s="709" t="s">
        <v>136</v>
      </c>
      <c r="E8591" s="716">
        <v>1159.04</v>
      </c>
      <c r="F8591" s="717">
        <v>0</v>
      </c>
      <c r="G8591">
        <f>VLOOKUP(B8591,'SINAPI-%MO'!B:E,4,0)</f>
        <v>0.36159999999999998</v>
      </c>
      <c r="H8591" s="225">
        <f t="shared" si="134"/>
        <v>739.93</v>
      </c>
    </row>
    <row r="8592" spans="1:8" x14ac:dyDescent="0.3">
      <c r="A8592" s="400"/>
      <c r="B8592" s="709">
        <v>100578</v>
      </c>
      <c r="C8592" s="710" t="s">
        <v>7116</v>
      </c>
      <c r="D8592" s="709" t="s">
        <v>136</v>
      </c>
      <c r="E8592" s="716">
        <v>644.28</v>
      </c>
      <c r="F8592" s="717">
        <v>0</v>
      </c>
      <c r="G8592">
        <f>VLOOKUP(B8592,'SINAPI-%MO'!B:E,4,0)</f>
        <v>0.29849999999999999</v>
      </c>
      <c r="H8592" s="225">
        <f t="shared" si="134"/>
        <v>451.96</v>
      </c>
    </row>
    <row r="8593" spans="1:8" x14ac:dyDescent="0.3">
      <c r="A8593" s="400"/>
      <c r="B8593" s="709">
        <v>105975</v>
      </c>
      <c r="C8593" s="710" t="s">
        <v>7117</v>
      </c>
      <c r="D8593" s="709" t="s">
        <v>159</v>
      </c>
      <c r="E8593" s="716">
        <v>0</v>
      </c>
      <c r="F8593" s="717"/>
      <c r="G8593" t="e">
        <f>VLOOKUP(B8593,'SINAPI-%MO'!B:E,4,0)</f>
        <v>#N/A</v>
      </c>
      <c r="H8593" s="225" t="str">
        <f t="shared" si="134"/>
        <v/>
      </c>
    </row>
    <row r="8594" spans="1:8" x14ac:dyDescent="0.3">
      <c r="A8594" s="400"/>
      <c r="B8594" s="709">
        <v>105976</v>
      </c>
      <c r="C8594" s="710" t="s">
        <v>7118</v>
      </c>
      <c r="D8594" s="709" t="s">
        <v>159</v>
      </c>
      <c r="E8594" s="716">
        <v>0</v>
      </c>
      <c r="F8594" s="717"/>
      <c r="G8594" t="e">
        <f>VLOOKUP(B8594,'SINAPI-%MO'!B:E,4,0)</f>
        <v>#N/A</v>
      </c>
      <c r="H8594" s="225" t="str">
        <f t="shared" si="134"/>
        <v/>
      </c>
    </row>
    <row r="8595" spans="1:8" x14ac:dyDescent="0.3">
      <c r="A8595" s="400"/>
      <c r="B8595" s="709">
        <v>105977</v>
      </c>
      <c r="C8595" s="710" t="s">
        <v>7119</v>
      </c>
      <c r="D8595" s="709" t="s">
        <v>159</v>
      </c>
      <c r="E8595" s="716">
        <v>0</v>
      </c>
      <c r="F8595" s="717"/>
      <c r="G8595" t="e">
        <f>VLOOKUP(B8595,'SINAPI-%MO'!B:E,4,0)</f>
        <v>#N/A</v>
      </c>
      <c r="H8595" s="225" t="str">
        <f t="shared" si="134"/>
        <v/>
      </c>
    </row>
    <row r="8596" spans="1:8" x14ac:dyDescent="0.3">
      <c r="A8596" s="400"/>
      <c r="B8596" s="709">
        <v>105978</v>
      </c>
      <c r="C8596" s="710" t="s">
        <v>7120</v>
      </c>
      <c r="D8596" s="709" t="s">
        <v>159</v>
      </c>
      <c r="E8596" s="716">
        <v>0</v>
      </c>
      <c r="F8596" s="717"/>
      <c r="G8596" t="e">
        <f>VLOOKUP(B8596,'SINAPI-%MO'!B:E,4,0)</f>
        <v>#N/A</v>
      </c>
      <c r="H8596" s="225" t="str">
        <f t="shared" si="134"/>
        <v/>
      </c>
    </row>
    <row r="8597" spans="1:8" x14ac:dyDescent="0.3">
      <c r="A8597" s="400"/>
      <c r="B8597" s="709">
        <v>105970</v>
      </c>
      <c r="C8597" s="710" t="s">
        <v>7121</v>
      </c>
      <c r="D8597" s="709" t="s">
        <v>136</v>
      </c>
      <c r="E8597" s="716">
        <v>0</v>
      </c>
      <c r="F8597" s="717"/>
      <c r="G8597" t="e">
        <f>VLOOKUP(B8597,'SINAPI-%MO'!B:E,4,0)</f>
        <v>#N/A</v>
      </c>
      <c r="H8597" s="225" t="str">
        <f t="shared" si="134"/>
        <v/>
      </c>
    </row>
    <row r="8598" spans="1:8" x14ac:dyDescent="0.3">
      <c r="A8598" s="400"/>
      <c r="B8598" s="709">
        <v>105972</v>
      </c>
      <c r="C8598" s="710" t="s">
        <v>7122</v>
      </c>
      <c r="D8598" s="709" t="s">
        <v>136</v>
      </c>
      <c r="E8598" s="716">
        <v>0</v>
      </c>
      <c r="F8598" s="717"/>
      <c r="G8598" t="e">
        <f>VLOOKUP(B8598,'SINAPI-%MO'!B:E,4,0)</f>
        <v>#N/A</v>
      </c>
      <c r="H8598" s="225" t="str">
        <f t="shared" si="134"/>
        <v/>
      </c>
    </row>
    <row r="8599" spans="1:8" x14ac:dyDescent="0.3">
      <c r="A8599" s="400"/>
      <c r="B8599" s="709">
        <v>105973</v>
      </c>
      <c r="C8599" s="710" t="s">
        <v>7123</v>
      </c>
      <c r="D8599" s="709" t="s">
        <v>136</v>
      </c>
      <c r="E8599" s="716">
        <v>0</v>
      </c>
      <c r="F8599" s="717"/>
      <c r="G8599" t="e">
        <f>VLOOKUP(B8599,'SINAPI-%MO'!B:E,4,0)</f>
        <v>#N/A</v>
      </c>
      <c r="H8599" s="225" t="str">
        <f t="shared" si="134"/>
        <v/>
      </c>
    </row>
    <row r="8600" spans="1:8" x14ac:dyDescent="0.3">
      <c r="A8600" s="400"/>
      <c r="B8600" s="709">
        <v>105974</v>
      </c>
      <c r="C8600" s="710" t="s">
        <v>7124</v>
      </c>
      <c r="D8600" s="709" t="s">
        <v>136</v>
      </c>
      <c r="E8600" s="716">
        <v>0</v>
      </c>
      <c r="F8600" s="717"/>
      <c r="G8600" t="e">
        <f>VLOOKUP(B8600,'SINAPI-%MO'!B:E,4,0)</f>
        <v>#N/A</v>
      </c>
      <c r="H8600" s="225" t="str">
        <f t="shared" si="134"/>
        <v/>
      </c>
    </row>
    <row r="8601" spans="1:8" x14ac:dyDescent="0.3">
      <c r="A8601" s="400"/>
      <c r="B8601" s="709">
        <v>105971</v>
      </c>
      <c r="C8601" s="710" t="s">
        <v>7125</v>
      </c>
      <c r="D8601" s="709" t="s">
        <v>136</v>
      </c>
      <c r="E8601" s="716">
        <v>0</v>
      </c>
      <c r="F8601" s="717"/>
      <c r="G8601" t="e">
        <f>VLOOKUP(B8601,'SINAPI-%MO'!B:E,4,0)</f>
        <v>#N/A</v>
      </c>
      <c r="H8601" s="225" t="str">
        <f t="shared" si="134"/>
        <v/>
      </c>
    </row>
    <row r="8602" spans="1:8" x14ac:dyDescent="0.3">
      <c r="A8602" s="400"/>
      <c r="B8602" s="709">
        <v>105967</v>
      </c>
      <c r="C8602" s="710" t="s">
        <v>7126</v>
      </c>
      <c r="D8602" s="709" t="s">
        <v>136</v>
      </c>
      <c r="E8602" s="716">
        <v>0</v>
      </c>
      <c r="F8602" s="717"/>
      <c r="G8602" t="e">
        <f>VLOOKUP(B8602,'SINAPI-%MO'!B:E,4,0)</f>
        <v>#N/A</v>
      </c>
      <c r="H8602" s="225" t="str">
        <f t="shared" si="134"/>
        <v/>
      </c>
    </row>
    <row r="8603" spans="1:8" x14ac:dyDescent="0.3">
      <c r="A8603" s="400"/>
      <c r="B8603" s="709">
        <v>105968</v>
      </c>
      <c r="C8603" s="710" t="s">
        <v>7127</v>
      </c>
      <c r="D8603" s="709" t="s">
        <v>136</v>
      </c>
      <c r="E8603" s="716">
        <v>0</v>
      </c>
      <c r="F8603" s="717"/>
      <c r="G8603" t="e">
        <f>VLOOKUP(B8603,'SINAPI-%MO'!B:E,4,0)</f>
        <v>#N/A</v>
      </c>
      <c r="H8603" s="225" t="str">
        <f t="shared" si="134"/>
        <v/>
      </c>
    </row>
    <row r="8604" spans="1:8" x14ac:dyDescent="0.3">
      <c r="A8604" s="400"/>
      <c r="B8604" s="709">
        <v>105969</v>
      </c>
      <c r="C8604" s="710" t="s">
        <v>7128</v>
      </c>
      <c r="D8604" s="709" t="s">
        <v>136</v>
      </c>
      <c r="E8604" s="716">
        <v>0</v>
      </c>
      <c r="F8604" s="717"/>
      <c r="G8604" t="e">
        <f>VLOOKUP(B8604,'SINAPI-%MO'!B:E,4,0)</f>
        <v>#N/A</v>
      </c>
      <c r="H8604" s="225" t="str">
        <f t="shared" si="134"/>
        <v/>
      </c>
    </row>
    <row r="8605" spans="1:8" x14ac:dyDescent="0.3">
      <c r="A8605" s="400"/>
      <c r="B8605" s="709">
        <v>100623</v>
      </c>
      <c r="C8605" s="710" t="s">
        <v>7129</v>
      </c>
      <c r="D8605" s="709" t="s">
        <v>136</v>
      </c>
      <c r="E8605" s="716">
        <v>2694.12</v>
      </c>
      <c r="F8605" s="717">
        <v>0</v>
      </c>
      <c r="G8605">
        <f>VLOOKUP(B8605,'SINAPI-%MO'!B:E,4,0)</f>
        <v>5.3199999999999997E-2</v>
      </c>
      <c r="H8605" s="225">
        <f t="shared" si="134"/>
        <v>2550.79</v>
      </c>
    </row>
    <row r="8606" spans="1:8" x14ac:dyDescent="0.3">
      <c r="A8606" s="400"/>
      <c r="B8606" s="709">
        <v>105964</v>
      </c>
      <c r="C8606" s="710" t="s">
        <v>7130</v>
      </c>
      <c r="D8606" s="709" t="s">
        <v>136</v>
      </c>
      <c r="E8606" s="716">
        <v>0</v>
      </c>
      <c r="F8606" s="717"/>
      <c r="G8606" t="e">
        <f>VLOOKUP(B8606,'SINAPI-%MO'!B:E,4,0)</f>
        <v>#N/A</v>
      </c>
      <c r="H8606" s="225" t="str">
        <f t="shared" si="134"/>
        <v/>
      </c>
    </row>
    <row r="8607" spans="1:8" x14ac:dyDescent="0.3">
      <c r="A8607" s="400"/>
      <c r="B8607" s="709">
        <v>105965</v>
      </c>
      <c r="C8607" s="710" t="s">
        <v>7131</v>
      </c>
      <c r="D8607" s="709" t="s">
        <v>136</v>
      </c>
      <c r="E8607" s="716">
        <v>0</v>
      </c>
      <c r="F8607" s="717"/>
      <c r="G8607" t="e">
        <f>VLOOKUP(B8607,'SINAPI-%MO'!B:E,4,0)</f>
        <v>#N/A</v>
      </c>
      <c r="H8607" s="225" t="str">
        <f t="shared" si="134"/>
        <v/>
      </c>
    </row>
    <row r="8608" spans="1:8" x14ac:dyDescent="0.3">
      <c r="A8608" s="400"/>
      <c r="B8608" s="709">
        <v>105966</v>
      </c>
      <c r="C8608" s="710" t="s">
        <v>7132</v>
      </c>
      <c r="D8608" s="709" t="s">
        <v>136</v>
      </c>
      <c r="E8608" s="716">
        <v>0</v>
      </c>
      <c r="F8608" s="717"/>
      <c r="G8608" t="e">
        <f>VLOOKUP(B8608,'SINAPI-%MO'!B:E,4,0)</f>
        <v>#N/A</v>
      </c>
      <c r="H8608" s="225" t="str">
        <f t="shared" si="134"/>
        <v/>
      </c>
    </row>
    <row r="8609" spans="1:8" x14ac:dyDescent="0.3">
      <c r="A8609" s="400"/>
      <c r="B8609" s="709">
        <v>100621</v>
      </c>
      <c r="C8609" s="710" t="s">
        <v>7133</v>
      </c>
      <c r="D8609" s="709" t="s">
        <v>136</v>
      </c>
      <c r="E8609" s="716">
        <v>3225.45</v>
      </c>
      <c r="F8609" s="717">
        <v>9.3700000000000006E-2</v>
      </c>
      <c r="G8609">
        <f>VLOOKUP(B8609,'SINAPI-%MO'!B:E,4,0)</f>
        <v>2.7799999999999998E-2</v>
      </c>
      <c r="H8609" s="225">
        <f t="shared" si="134"/>
        <v>3135.78</v>
      </c>
    </row>
    <row r="8610" spans="1:8" x14ac:dyDescent="0.3">
      <c r="A8610" s="400"/>
      <c r="B8610" s="709">
        <v>105960</v>
      </c>
      <c r="C8610" s="710" t="s">
        <v>7134</v>
      </c>
      <c r="D8610" s="709" t="s">
        <v>136</v>
      </c>
      <c r="E8610" s="716">
        <v>0</v>
      </c>
      <c r="F8610" s="717"/>
      <c r="G8610" t="e">
        <f>VLOOKUP(B8610,'SINAPI-%MO'!B:E,4,0)</f>
        <v>#N/A</v>
      </c>
      <c r="H8610" s="225" t="str">
        <f t="shared" si="134"/>
        <v/>
      </c>
    </row>
    <row r="8611" spans="1:8" x14ac:dyDescent="0.3">
      <c r="A8611" s="400"/>
      <c r="B8611" s="709">
        <v>105961</v>
      </c>
      <c r="C8611" s="710" t="s">
        <v>7135</v>
      </c>
      <c r="D8611" s="709" t="s">
        <v>136</v>
      </c>
      <c r="E8611" s="716">
        <v>0</v>
      </c>
      <c r="F8611" s="717"/>
      <c r="G8611" t="e">
        <f>VLOOKUP(B8611,'SINAPI-%MO'!B:E,4,0)</f>
        <v>#N/A</v>
      </c>
      <c r="H8611" s="225" t="str">
        <f t="shared" si="134"/>
        <v/>
      </c>
    </row>
    <row r="8612" spans="1:8" x14ac:dyDescent="0.3">
      <c r="A8612" s="400"/>
      <c r="B8612" s="709">
        <v>105962</v>
      </c>
      <c r="C8612" s="710" t="s">
        <v>7136</v>
      </c>
      <c r="D8612" s="709" t="s">
        <v>136</v>
      </c>
      <c r="E8612" s="716">
        <v>0</v>
      </c>
      <c r="F8612" s="717"/>
      <c r="G8612" t="e">
        <f>VLOOKUP(B8612,'SINAPI-%MO'!B:E,4,0)</f>
        <v>#N/A</v>
      </c>
      <c r="H8612" s="225" t="str">
        <f t="shared" si="134"/>
        <v/>
      </c>
    </row>
    <row r="8613" spans="1:8" x14ac:dyDescent="0.3">
      <c r="A8613" s="400"/>
      <c r="B8613" s="709">
        <v>105963</v>
      </c>
      <c r="C8613" s="710" t="s">
        <v>7137</v>
      </c>
      <c r="D8613" s="709" t="s">
        <v>136</v>
      </c>
      <c r="E8613" s="716">
        <v>0</v>
      </c>
      <c r="F8613" s="717"/>
      <c r="G8613" t="e">
        <f>VLOOKUP(B8613,'SINAPI-%MO'!B:E,4,0)</f>
        <v>#N/A</v>
      </c>
      <c r="H8613" s="225" t="str">
        <f t="shared" si="134"/>
        <v/>
      </c>
    </row>
    <row r="8614" spans="1:8" x14ac:dyDescent="0.3">
      <c r="A8614" s="400"/>
      <c r="B8614" s="709">
        <v>100622</v>
      </c>
      <c r="C8614" s="710" t="s">
        <v>7138</v>
      </c>
      <c r="D8614" s="709" t="s">
        <v>136</v>
      </c>
      <c r="E8614" s="716">
        <v>2620.21</v>
      </c>
      <c r="F8614" s="717">
        <v>0</v>
      </c>
      <c r="G8614">
        <f>VLOOKUP(B8614,'SINAPI-%MO'!B:E,4,0)</f>
        <v>5.28E-2</v>
      </c>
      <c r="H8614" s="225">
        <f t="shared" si="134"/>
        <v>2481.86</v>
      </c>
    </row>
    <row r="8615" spans="1:8" x14ac:dyDescent="0.3">
      <c r="A8615" s="400"/>
      <c r="B8615" s="709">
        <v>105956</v>
      </c>
      <c r="C8615" s="710" t="s">
        <v>7139</v>
      </c>
      <c r="D8615" s="709" t="s">
        <v>136</v>
      </c>
      <c r="E8615" s="716">
        <v>0</v>
      </c>
      <c r="F8615" s="717"/>
      <c r="G8615" t="e">
        <f>VLOOKUP(B8615,'SINAPI-%MO'!B:E,4,0)</f>
        <v>#N/A</v>
      </c>
      <c r="H8615" s="225" t="str">
        <f t="shared" si="134"/>
        <v/>
      </c>
    </row>
    <row r="8616" spans="1:8" x14ac:dyDescent="0.3">
      <c r="A8616" s="400"/>
      <c r="B8616" s="709">
        <v>105957</v>
      </c>
      <c r="C8616" s="710" t="s">
        <v>7140</v>
      </c>
      <c r="D8616" s="709" t="s">
        <v>136</v>
      </c>
      <c r="E8616" s="716">
        <v>0</v>
      </c>
      <c r="F8616" s="717"/>
      <c r="G8616" t="e">
        <f>VLOOKUP(B8616,'SINAPI-%MO'!B:E,4,0)</f>
        <v>#N/A</v>
      </c>
      <c r="H8616" s="225" t="str">
        <f t="shared" si="134"/>
        <v/>
      </c>
    </row>
    <row r="8617" spans="1:8" x14ac:dyDescent="0.3">
      <c r="A8617" s="400"/>
      <c r="B8617" s="709">
        <v>105958</v>
      </c>
      <c r="C8617" s="710" t="s">
        <v>7141</v>
      </c>
      <c r="D8617" s="709" t="s">
        <v>136</v>
      </c>
      <c r="E8617" s="716">
        <v>2201.66</v>
      </c>
      <c r="F8617" s="717">
        <v>0.13730000000000001</v>
      </c>
      <c r="G8617">
        <f>VLOOKUP(B8617,'SINAPI-%MO'!B:E,4,0)</f>
        <v>4.8800000000000003E-2</v>
      </c>
      <c r="H8617" s="225">
        <f t="shared" si="134"/>
        <v>2094.21</v>
      </c>
    </row>
    <row r="8618" spans="1:8" x14ac:dyDescent="0.3">
      <c r="A8618" s="400"/>
      <c r="B8618" s="709">
        <v>105959</v>
      </c>
      <c r="C8618" s="710" t="s">
        <v>7142</v>
      </c>
      <c r="D8618" s="709" t="s">
        <v>136</v>
      </c>
      <c r="E8618" s="716">
        <v>0</v>
      </c>
      <c r="F8618" s="717"/>
      <c r="G8618" t="e">
        <f>VLOOKUP(B8618,'SINAPI-%MO'!B:E,4,0)</f>
        <v>#N/A</v>
      </c>
      <c r="H8618" s="225" t="str">
        <f t="shared" si="134"/>
        <v/>
      </c>
    </row>
    <row r="8619" spans="1:8" x14ac:dyDescent="0.3">
      <c r="A8619" s="400"/>
      <c r="B8619" s="709">
        <v>100620</v>
      </c>
      <c r="C8619" s="710" t="s">
        <v>7143</v>
      </c>
      <c r="D8619" s="709" t="s">
        <v>136</v>
      </c>
      <c r="E8619" s="716">
        <v>2865.89</v>
      </c>
      <c r="F8619" s="717">
        <v>0.10539999999999999</v>
      </c>
      <c r="G8619">
        <f>VLOOKUP(B8619,'SINAPI-%MO'!B:E,4,0)</f>
        <v>2.9600000000000001E-2</v>
      </c>
      <c r="H8619" s="225">
        <f t="shared" si="134"/>
        <v>2781.05</v>
      </c>
    </row>
    <row r="8620" spans="1:8" x14ac:dyDescent="0.3">
      <c r="A8620" s="400"/>
      <c r="B8620" s="709">
        <v>105951</v>
      </c>
      <c r="C8620" s="710" t="s">
        <v>7144</v>
      </c>
      <c r="D8620" s="709" t="s">
        <v>136</v>
      </c>
      <c r="E8620" s="716">
        <v>0</v>
      </c>
      <c r="F8620" s="717"/>
      <c r="G8620" t="e">
        <f>VLOOKUP(B8620,'SINAPI-%MO'!B:E,4,0)</f>
        <v>#N/A</v>
      </c>
      <c r="H8620" s="225" t="str">
        <f t="shared" si="134"/>
        <v/>
      </c>
    </row>
    <row r="8621" spans="1:8" x14ac:dyDescent="0.3">
      <c r="A8621" s="400"/>
      <c r="B8621" s="709">
        <v>105952</v>
      </c>
      <c r="C8621" s="710" t="s">
        <v>7145</v>
      </c>
      <c r="D8621" s="709" t="s">
        <v>136</v>
      </c>
      <c r="E8621" s="716">
        <v>0</v>
      </c>
      <c r="F8621" s="717"/>
      <c r="G8621" t="e">
        <f>VLOOKUP(B8621,'SINAPI-%MO'!B:E,4,0)</f>
        <v>#N/A</v>
      </c>
      <c r="H8621" s="225" t="str">
        <f t="shared" si="134"/>
        <v/>
      </c>
    </row>
    <row r="8622" spans="1:8" x14ac:dyDescent="0.3">
      <c r="A8622" s="400"/>
      <c r="B8622" s="709">
        <v>105953</v>
      </c>
      <c r="C8622" s="710" t="s">
        <v>7146</v>
      </c>
      <c r="D8622" s="709" t="s">
        <v>136</v>
      </c>
      <c r="E8622" s="716">
        <v>2037.13</v>
      </c>
      <c r="F8622" s="717">
        <v>0</v>
      </c>
      <c r="G8622">
        <f>VLOOKUP(B8622,'SINAPI-%MO'!B:E,4,0)</f>
        <v>6.5100000000000005E-2</v>
      </c>
      <c r="H8622" s="225">
        <f t="shared" si="134"/>
        <v>1904.51</v>
      </c>
    </row>
    <row r="8623" spans="1:8" x14ac:dyDescent="0.3">
      <c r="A8623" s="400"/>
      <c r="B8623" s="709">
        <v>105954</v>
      </c>
      <c r="C8623" s="710" t="s">
        <v>7147</v>
      </c>
      <c r="D8623" s="709" t="s">
        <v>136</v>
      </c>
      <c r="E8623" s="716">
        <v>0</v>
      </c>
      <c r="F8623" s="717"/>
      <c r="G8623" t="e">
        <f>VLOOKUP(B8623,'SINAPI-%MO'!B:E,4,0)</f>
        <v>#N/A</v>
      </c>
      <c r="H8623" s="225" t="str">
        <f t="shared" si="134"/>
        <v/>
      </c>
    </row>
    <row r="8624" spans="1:8" x14ac:dyDescent="0.3">
      <c r="A8624" s="400"/>
      <c r="B8624" s="709">
        <v>105955</v>
      </c>
      <c r="C8624" s="710" t="s">
        <v>7148</v>
      </c>
      <c r="D8624" s="709" t="s">
        <v>136</v>
      </c>
      <c r="E8624" s="716">
        <v>2717.38</v>
      </c>
      <c r="F8624" s="717">
        <v>0</v>
      </c>
      <c r="G8624">
        <f>VLOOKUP(B8624,'SINAPI-%MO'!B:E,4,0)</f>
        <v>5.33E-2</v>
      </c>
      <c r="H8624" s="225">
        <f t="shared" si="134"/>
        <v>2572.54</v>
      </c>
    </row>
    <row r="8625" spans="1:8" x14ac:dyDescent="0.3">
      <c r="A8625" s="400"/>
      <c r="B8625" s="709">
        <v>105946</v>
      </c>
      <c r="C8625" s="710" t="s">
        <v>7149</v>
      </c>
      <c r="D8625" s="709" t="s">
        <v>136</v>
      </c>
      <c r="E8625" s="716">
        <v>0</v>
      </c>
      <c r="F8625" s="717"/>
      <c r="G8625" t="e">
        <f>VLOOKUP(B8625,'SINAPI-%MO'!B:E,4,0)</f>
        <v>#N/A</v>
      </c>
      <c r="H8625" s="225" t="str">
        <f t="shared" si="134"/>
        <v/>
      </c>
    </row>
    <row r="8626" spans="1:8" x14ac:dyDescent="0.3">
      <c r="A8626" s="400"/>
      <c r="B8626" s="709">
        <v>105947</v>
      </c>
      <c r="C8626" s="710" t="s">
        <v>7150</v>
      </c>
      <c r="D8626" s="709" t="s">
        <v>136</v>
      </c>
      <c r="E8626" s="716">
        <v>0</v>
      </c>
      <c r="F8626" s="717"/>
      <c r="G8626" t="e">
        <f>VLOOKUP(B8626,'SINAPI-%MO'!B:E,4,0)</f>
        <v>#N/A</v>
      </c>
      <c r="H8626" s="225" t="str">
        <f t="shared" si="134"/>
        <v/>
      </c>
    </row>
    <row r="8627" spans="1:8" x14ac:dyDescent="0.3">
      <c r="A8627" s="400"/>
      <c r="B8627" s="709">
        <v>105948</v>
      </c>
      <c r="C8627" s="710" t="s">
        <v>7151</v>
      </c>
      <c r="D8627" s="709" t="s">
        <v>136</v>
      </c>
      <c r="E8627" s="716">
        <v>0</v>
      </c>
      <c r="F8627" s="717"/>
      <c r="G8627" t="e">
        <f>VLOOKUP(B8627,'SINAPI-%MO'!B:E,4,0)</f>
        <v>#N/A</v>
      </c>
      <c r="H8627" s="225" t="str">
        <f t="shared" si="134"/>
        <v/>
      </c>
    </row>
    <row r="8628" spans="1:8" x14ac:dyDescent="0.3">
      <c r="A8628" s="400"/>
      <c r="B8628" s="709">
        <v>105949</v>
      </c>
      <c r="C8628" s="710" t="s">
        <v>7152</v>
      </c>
      <c r="D8628" s="709" t="s">
        <v>136</v>
      </c>
      <c r="E8628" s="716">
        <v>0</v>
      </c>
      <c r="F8628" s="717"/>
      <c r="G8628" t="e">
        <f>VLOOKUP(B8628,'SINAPI-%MO'!B:E,4,0)</f>
        <v>#N/A</v>
      </c>
      <c r="H8628" s="225" t="str">
        <f t="shared" si="134"/>
        <v/>
      </c>
    </row>
    <row r="8629" spans="1:8" x14ac:dyDescent="0.3">
      <c r="A8629" s="400"/>
      <c r="B8629" s="709">
        <v>105950</v>
      </c>
      <c r="C8629" s="710" t="s">
        <v>7153</v>
      </c>
      <c r="D8629" s="709" t="s">
        <v>136</v>
      </c>
      <c r="E8629" s="716">
        <v>0</v>
      </c>
      <c r="F8629" s="717"/>
      <c r="G8629" t="e">
        <f>VLOOKUP(B8629,'SINAPI-%MO'!B:E,4,0)</f>
        <v>#N/A</v>
      </c>
      <c r="H8629" s="225" t="str">
        <f t="shared" si="134"/>
        <v/>
      </c>
    </row>
    <row r="8630" spans="1:8" x14ac:dyDescent="0.3">
      <c r="A8630" s="400"/>
      <c r="B8630" s="709">
        <v>100619</v>
      </c>
      <c r="C8630" s="710" t="s">
        <v>7154</v>
      </c>
      <c r="D8630" s="709" t="s">
        <v>136</v>
      </c>
      <c r="E8630" s="716">
        <v>628.29</v>
      </c>
      <c r="F8630" s="717">
        <v>0.13830000000000001</v>
      </c>
      <c r="G8630">
        <f>VLOOKUP(B8630,'SINAPI-%MO'!B:E,4,0)</f>
        <v>0.23980000000000001</v>
      </c>
      <c r="H8630" s="225">
        <f t="shared" si="134"/>
        <v>477.62</v>
      </c>
    </row>
    <row r="8631" spans="1:8" x14ac:dyDescent="0.3">
      <c r="A8631" s="400"/>
      <c r="B8631" s="709">
        <v>99283</v>
      </c>
      <c r="C8631" s="710" t="s">
        <v>7155</v>
      </c>
      <c r="D8631" s="709" t="s">
        <v>159</v>
      </c>
      <c r="E8631" s="716">
        <v>1285.42</v>
      </c>
      <c r="F8631" s="717">
        <v>0</v>
      </c>
      <c r="G8631">
        <f>VLOOKUP(B8631,'SINAPI-%MO'!B:E,4,0)</f>
        <v>0.56830000000000003</v>
      </c>
      <c r="H8631" s="225">
        <f t="shared" si="134"/>
        <v>554.91</v>
      </c>
    </row>
    <row r="8632" spans="1:8" x14ac:dyDescent="0.3">
      <c r="A8632" s="400"/>
      <c r="B8632" s="709">
        <v>99293</v>
      </c>
      <c r="C8632" s="710" t="s">
        <v>7156</v>
      </c>
      <c r="D8632" s="709" t="s">
        <v>159</v>
      </c>
      <c r="E8632" s="716">
        <v>1550.87</v>
      </c>
      <c r="F8632" s="717">
        <v>0</v>
      </c>
      <c r="G8632">
        <f>VLOOKUP(B8632,'SINAPI-%MO'!B:E,4,0)</f>
        <v>0.57420000000000004</v>
      </c>
      <c r="H8632" s="225">
        <f t="shared" si="134"/>
        <v>660.36</v>
      </c>
    </row>
    <row r="8633" spans="1:8" x14ac:dyDescent="0.3">
      <c r="A8633" s="400"/>
      <c r="B8633" s="709">
        <v>99243</v>
      </c>
      <c r="C8633" s="710" t="s">
        <v>7157</v>
      </c>
      <c r="D8633" s="709" t="s">
        <v>159</v>
      </c>
      <c r="E8633" s="716">
        <v>1816.24</v>
      </c>
      <c r="F8633" s="717">
        <v>0</v>
      </c>
      <c r="G8633">
        <f>VLOOKUP(B8633,'SINAPI-%MO'!B:E,4,0)</f>
        <v>0.57850000000000001</v>
      </c>
      <c r="H8633" s="225">
        <f t="shared" si="134"/>
        <v>765.54</v>
      </c>
    </row>
    <row r="8634" spans="1:8" x14ac:dyDescent="0.3">
      <c r="A8634" s="400"/>
      <c r="B8634" s="709">
        <v>99249</v>
      </c>
      <c r="C8634" s="710" t="s">
        <v>7158</v>
      </c>
      <c r="D8634" s="709" t="s">
        <v>159</v>
      </c>
      <c r="E8634" s="716">
        <v>2214.44</v>
      </c>
      <c r="F8634" s="717">
        <v>0</v>
      </c>
      <c r="G8634">
        <f>VLOOKUP(B8634,'SINAPI-%MO'!B:E,4,0)</f>
        <v>0.58289999999999997</v>
      </c>
      <c r="H8634" s="225">
        <f t="shared" si="134"/>
        <v>923.64</v>
      </c>
    </row>
    <row r="8635" spans="1:8" x14ac:dyDescent="0.3">
      <c r="A8635" s="400"/>
      <c r="B8635" s="709">
        <v>99278</v>
      </c>
      <c r="C8635" s="710" t="s">
        <v>7159</v>
      </c>
      <c r="D8635" s="709" t="s">
        <v>159</v>
      </c>
      <c r="E8635" s="716">
        <v>467.78</v>
      </c>
      <c r="F8635" s="717">
        <v>0</v>
      </c>
      <c r="G8635">
        <f>VLOOKUP(B8635,'SINAPI-%MO'!B:E,4,0)</f>
        <v>8.3599999999999994E-2</v>
      </c>
      <c r="H8635" s="225">
        <f t="shared" si="134"/>
        <v>428.67</v>
      </c>
    </row>
    <row r="8636" spans="1:8" x14ac:dyDescent="0.3">
      <c r="A8636" s="400"/>
      <c r="B8636" s="709">
        <v>99288</v>
      </c>
      <c r="C8636" s="710" t="s">
        <v>7160</v>
      </c>
      <c r="D8636" s="709" t="s">
        <v>159</v>
      </c>
      <c r="E8636" s="716">
        <v>618.54</v>
      </c>
      <c r="F8636" s="717">
        <v>0</v>
      </c>
      <c r="G8636">
        <f>VLOOKUP(B8636,'SINAPI-%MO'!B:E,4,0)</f>
        <v>7.5499999999999998E-2</v>
      </c>
      <c r="H8636" s="225">
        <f t="shared" si="134"/>
        <v>571.84</v>
      </c>
    </row>
    <row r="8637" spans="1:8" x14ac:dyDescent="0.3">
      <c r="A8637" s="400"/>
      <c r="B8637" s="709">
        <v>99240</v>
      </c>
      <c r="C8637" s="710" t="s">
        <v>7161</v>
      </c>
      <c r="D8637" s="709" t="s">
        <v>159</v>
      </c>
      <c r="E8637" s="716">
        <v>824.6</v>
      </c>
      <c r="F8637" s="717">
        <v>0</v>
      </c>
      <c r="G8637">
        <f>VLOOKUP(B8637,'SINAPI-%MO'!B:E,4,0)</f>
        <v>6.6699999999999995E-2</v>
      </c>
      <c r="H8637" s="225">
        <f t="shared" si="134"/>
        <v>769.59</v>
      </c>
    </row>
    <row r="8638" spans="1:8" x14ac:dyDescent="0.3">
      <c r="A8638" s="400"/>
      <c r="B8638" s="709">
        <v>99246</v>
      </c>
      <c r="C8638" s="710" t="s">
        <v>7162</v>
      </c>
      <c r="D8638" s="709" t="s">
        <v>159</v>
      </c>
      <c r="E8638" s="716">
        <v>1131.1400000000001</v>
      </c>
      <c r="F8638" s="717">
        <v>0</v>
      </c>
      <c r="G8638">
        <f>VLOOKUP(B8638,'SINAPI-%MO'!B:E,4,0)</f>
        <v>6.2100000000000002E-2</v>
      </c>
      <c r="H8638" s="225">
        <f t="shared" si="134"/>
        <v>1060.8900000000001</v>
      </c>
    </row>
    <row r="8639" spans="1:8" x14ac:dyDescent="0.3">
      <c r="A8639" s="400"/>
      <c r="B8639" s="709">
        <v>97981</v>
      </c>
      <c r="C8639" s="710" t="s">
        <v>7163</v>
      </c>
      <c r="D8639" s="709" t="s">
        <v>159</v>
      </c>
      <c r="E8639" s="716">
        <v>1366.38</v>
      </c>
      <c r="F8639" s="717">
        <v>0</v>
      </c>
      <c r="G8639">
        <f>VLOOKUP(B8639,'SINAPI-%MO'!B:E,4,0)</f>
        <v>0.54010000000000002</v>
      </c>
      <c r="H8639" s="225">
        <f t="shared" si="134"/>
        <v>628.39</v>
      </c>
    </row>
    <row r="8640" spans="1:8" x14ac:dyDescent="0.3">
      <c r="A8640" s="400"/>
      <c r="B8640" s="709">
        <v>97985</v>
      </c>
      <c r="C8640" s="710" t="s">
        <v>7164</v>
      </c>
      <c r="D8640" s="709" t="s">
        <v>159</v>
      </c>
      <c r="E8640" s="716">
        <v>1642.41</v>
      </c>
      <c r="F8640" s="717">
        <v>0</v>
      </c>
      <c r="G8640">
        <f>VLOOKUP(B8640,'SINAPI-%MO'!B:E,4,0)</f>
        <v>0.5474</v>
      </c>
      <c r="H8640" s="225">
        <f t="shared" si="134"/>
        <v>743.35</v>
      </c>
    </row>
    <row r="8641" spans="1:8" x14ac:dyDescent="0.3">
      <c r="A8641" s="400"/>
      <c r="B8641" s="709">
        <v>97989</v>
      </c>
      <c r="C8641" s="710" t="s">
        <v>7165</v>
      </c>
      <c r="D8641" s="709" t="s">
        <v>159</v>
      </c>
      <c r="E8641" s="716">
        <v>1918.37</v>
      </c>
      <c r="F8641" s="717">
        <v>0</v>
      </c>
      <c r="G8641">
        <f>VLOOKUP(B8641,'SINAPI-%MO'!B:E,4,0)</f>
        <v>0.55269999999999997</v>
      </c>
      <c r="H8641" s="225">
        <f t="shared" si="134"/>
        <v>858.08</v>
      </c>
    </row>
    <row r="8642" spans="1:8" x14ac:dyDescent="0.3">
      <c r="A8642" s="400"/>
      <c r="B8642" s="709">
        <v>97993</v>
      </c>
      <c r="C8642" s="710" t="s">
        <v>7166</v>
      </c>
      <c r="D8642" s="709" t="s">
        <v>159</v>
      </c>
      <c r="E8642" s="716">
        <v>2332.46</v>
      </c>
      <c r="F8642" s="717">
        <v>0</v>
      </c>
      <c r="G8642">
        <f>VLOOKUP(B8642,'SINAPI-%MO'!B:E,4,0)</f>
        <v>0.55810000000000004</v>
      </c>
      <c r="H8642" s="225">
        <f t="shared" si="134"/>
        <v>1030.71</v>
      </c>
    </row>
    <row r="8643" spans="1:8" x14ac:dyDescent="0.3">
      <c r="A8643" s="400"/>
      <c r="B8643" s="709">
        <v>98409</v>
      </c>
      <c r="C8643" s="710" t="s">
        <v>7167</v>
      </c>
      <c r="D8643" s="709" t="s">
        <v>159</v>
      </c>
      <c r="E8643" s="716">
        <v>470.08</v>
      </c>
      <c r="F8643" s="717">
        <v>0</v>
      </c>
      <c r="G8643">
        <f>VLOOKUP(B8643,'SINAPI-%MO'!B:E,4,0)</f>
        <v>8.3699999999999997E-2</v>
      </c>
      <c r="H8643" s="225">
        <f t="shared" si="134"/>
        <v>430.73</v>
      </c>
    </row>
    <row r="8644" spans="1:8" x14ac:dyDescent="0.3">
      <c r="A8644" s="400"/>
      <c r="B8644" s="709">
        <v>97983</v>
      </c>
      <c r="C8644" s="710" t="s">
        <v>7168</v>
      </c>
      <c r="D8644" s="709" t="s">
        <v>159</v>
      </c>
      <c r="E8644" s="716">
        <v>621.54999999999995</v>
      </c>
      <c r="F8644" s="717">
        <v>0</v>
      </c>
      <c r="G8644">
        <f>VLOOKUP(B8644,'SINAPI-%MO'!B:E,4,0)</f>
        <v>7.5600000000000001E-2</v>
      </c>
      <c r="H8644" s="225">
        <f t="shared" si="134"/>
        <v>574.55999999999995</v>
      </c>
    </row>
    <row r="8645" spans="1:8" x14ac:dyDescent="0.3">
      <c r="A8645" s="400"/>
      <c r="B8645" s="709">
        <v>97987</v>
      </c>
      <c r="C8645" s="710" t="s">
        <v>7169</v>
      </c>
      <c r="D8645" s="709" t="s">
        <v>159</v>
      </c>
      <c r="E8645" s="716">
        <v>828.38</v>
      </c>
      <c r="F8645" s="717">
        <v>0</v>
      </c>
      <c r="G8645">
        <f>VLOOKUP(B8645,'SINAPI-%MO'!B:E,4,0)</f>
        <v>6.6799999999999998E-2</v>
      </c>
      <c r="H8645" s="225">
        <f t="shared" si="134"/>
        <v>773.04</v>
      </c>
    </row>
    <row r="8646" spans="1:8" x14ac:dyDescent="0.3">
      <c r="A8646" s="400"/>
      <c r="B8646" s="709">
        <v>97991</v>
      </c>
      <c r="C8646" s="710" t="s">
        <v>7170</v>
      </c>
      <c r="D8646" s="709" t="s">
        <v>159</v>
      </c>
      <c r="E8646" s="716">
        <v>1136.3</v>
      </c>
      <c r="F8646" s="717">
        <v>0</v>
      </c>
      <c r="G8646">
        <f>VLOOKUP(B8646,'SINAPI-%MO'!B:E,4,0)</f>
        <v>6.2300000000000001E-2</v>
      </c>
      <c r="H8646" s="225">
        <f t="shared" si="134"/>
        <v>1065.5</v>
      </c>
    </row>
    <row r="8647" spans="1:8" x14ac:dyDescent="0.3">
      <c r="A8647" s="400"/>
      <c r="B8647" s="709">
        <v>99241</v>
      </c>
      <c r="C8647" s="710" t="s">
        <v>7171</v>
      </c>
      <c r="D8647" s="709" t="s">
        <v>159</v>
      </c>
      <c r="E8647" s="716">
        <v>2159.5300000000002</v>
      </c>
      <c r="F8647" s="717">
        <v>0</v>
      </c>
      <c r="G8647">
        <f>VLOOKUP(B8647,'SINAPI-%MO'!B:E,4,0)</f>
        <v>0.51349999999999996</v>
      </c>
      <c r="H8647" s="225">
        <f t="shared" si="134"/>
        <v>1050.6099999999999</v>
      </c>
    </row>
    <row r="8648" spans="1:8" x14ac:dyDescent="0.3">
      <c r="A8648" s="400"/>
      <c r="B8648" s="709">
        <v>99247</v>
      </c>
      <c r="C8648" s="710" t="s">
        <v>7172</v>
      </c>
      <c r="D8648" s="709" t="s">
        <v>159</v>
      </c>
      <c r="E8648" s="716">
        <v>2462.9899999999998</v>
      </c>
      <c r="F8648" s="717">
        <v>0</v>
      </c>
      <c r="G8648">
        <f>VLOOKUP(B8648,'SINAPI-%MO'!B:E,4,0)</f>
        <v>0.5141</v>
      </c>
      <c r="H8648" s="225">
        <f t="shared" si="134"/>
        <v>1196.76</v>
      </c>
    </row>
    <row r="8649" spans="1:8" x14ac:dyDescent="0.3">
      <c r="A8649" s="400"/>
      <c r="B8649" s="709">
        <v>99263</v>
      </c>
      <c r="C8649" s="710" t="s">
        <v>7173</v>
      </c>
      <c r="D8649" s="709" t="s">
        <v>159</v>
      </c>
      <c r="E8649" s="716">
        <v>2766.5</v>
      </c>
      <c r="F8649" s="717">
        <v>0</v>
      </c>
      <c r="G8649">
        <f>VLOOKUP(B8649,'SINAPI-%MO'!B:E,4,0)</f>
        <v>0.51449999999999996</v>
      </c>
      <c r="H8649" s="225">
        <f t="shared" si="134"/>
        <v>1343.13</v>
      </c>
    </row>
    <row r="8650" spans="1:8" x14ac:dyDescent="0.3">
      <c r="A8650" s="400"/>
      <c r="B8650" s="709">
        <v>99276</v>
      </c>
      <c r="C8650" s="710" t="s">
        <v>7174</v>
      </c>
      <c r="D8650" s="709" t="s">
        <v>159</v>
      </c>
      <c r="E8650" s="716">
        <v>3070.02</v>
      </c>
      <c r="F8650" s="717">
        <v>0</v>
      </c>
      <c r="G8650">
        <f>VLOOKUP(B8650,'SINAPI-%MO'!B:E,4,0)</f>
        <v>0.51490000000000002</v>
      </c>
      <c r="H8650" s="225">
        <f t="shared" si="134"/>
        <v>1489.26</v>
      </c>
    </row>
    <row r="8651" spans="1:8" x14ac:dyDescent="0.3">
      <c r="A8651" s="400"/>
      <c r="B8651" s="709">
        <v>99291</v>
      </c>
      <c r="C8651" s="710" t="s">
        <v>7175</v>
      </c>
      <c r="D8651" s="709" t="s">
        <v>159</v>
      </c>
      <c r="E8651" s="716">
        <v>3373.47</v>
      </c>
      <c r="F8651" s="717">
        <v>0</v>
      </c>
      <c r="G8651">
        <f>VLOOKUP(B8651,'SINAPI-%MO'!B:E,4,0)</f>
        <v>0.51519999999999999</v>
      </c>
      <c r="H8651" s="225">
        <f t="shared" ref="H8651:H8714" si="135">IF(E8651&gt;0,TRUNC(E8651*(1-G8651),2),"")</f>
        <v>1635.45</v>
      </c>
    </row>
    <row r="8652" spans="1:8" x14ac:dyDescent="0.3">
      <c r="A8652" s="400"/>
      <c r="B8652" s="709">
        <v>99297</v>
      </c>
      <c r="C8652" s="710" t="s">
        <v>7176</v>
      </c>
      <c r="D8652" s="709" t="s">
        <v>159</v>
      </c>
      <c r="E8652" s="716">
        <v>3701.99</v>
      </c>
      <c r="F8652" s="717">
        <v>0</v>
      </c>
      <c r="G8652">
        <f>VLOOKUP(B8652,'SINAPI-%MO'!B:E,4,0)</f>
        <v>0.51549999999999996</v>
      </c>
      <c r="H8652" s="225">
        <f t="shared" si="135"/>
        <v>1793.61</v>
      </c>
    </row>
    <row r="8653" spans="1:8" x14ac:dyDescent="0.3">
      <c r="A8653" s="400"/>
      <c r="B8653" s="709">
        <v>99254</v>
      </c>
      <c r="C8653" s="710" t="s">
        <v>7177</v>
      </c>
      <c r="D8653" s="709" t="s">
        <v>159</v>
      </c>
      <c r="E8653" s="716">
        <v>1552.57</v>
      </c>
      <c r="F8653" s="717">
        <v>0</v>
      </c>
      <c r="G8653">
        <f>VLOOKUP(B8653,'SINAPI-%MO'!B:E,4,0)</f>
        <v>0.51170000000000004</v>
      </c>
      <c r="H8653" s="225">
        <f t="shared" si="135"/>
        <v>758.11</v>
      </c>
    </row>
    <row r="8654" spans="1:8" x14ac:dyDescent="0.3">
      <c r="A8654" s="400"/>
      <c r="B8654" s="709">
        <v>99261</v>
      </c>
      <c r="C8654" s="710" t="s">
        <v>7178</v>
      </c>
      <c r="D8654" s="709" t="s">
        <v>159</v>
      </c>
      <c r="E8654" s="716">
        <v>1856</v>
      </c>
      <c r="F8654" s="717">
        <v>0</v>
      </c>
      <c r="G8654">
        <f>VLOOKUP(B8654,'SINAPI-%MO'!B:E,4,0)</f>
        <v>0.51280000000000003</v>
      </c>
      <c r="H8654" s="225">
        <f t="shared" si="135"/>
        <v>904.24</v>
      </c>
    </row>
    <row r="8655" spans="1:8" x14ac:dyDescent="0.3">
      <c r="A8655" s="400"/>
      <c r="B8655" s="709">
        <v>99266</v>
      </c>
      <c r="C8655" s="710" t="s">
        <v>7179</v>
      </c>
      <c r="D8655" s="709" t="s">
        <v>159</v>
      </c>
      <c r="E8655" s="716">
        <v>2159.5300000000002</v>
      </c>
      <c r="F8655" s="717">
        <v>0</v>
      </c>
      <c r="G8655">
        <f>VLOOKUP(B8655,'SINAPI-%MO'!B:E,4,0)</f>
        <v>0.51349999999999996</v>
      </c>
      <c r="H8655" s="225">
        <f t="shared" si="135"/>
        <v>1050.6099999999999</v>
      </c>
    </row>
    <row r="8656" spans="1:8" x14ac:dyDescent="0.3">
      <c r="A8656" s="400"/>
      <c r="B8656" s="709">
        <v>99269</v>
      </c>
      <c r="C8656" s="710" t="s">
        <v>7180</v>
      </c>
      <c r="D8656" s="709" t="s">
        <v>159</v>
      </c>
      <c r="E8656" s="716">
        <v>2462.9899999999998</v>
      </c>
      <c r="F8656" s="717">
        <v>0</v>
      </c>
      <c r="G8656">
        <f>VLOOKUP(B8656,'SINAPI-%MO'!B:E,4,0)</f>
        <v>0.5141</v>
      </c>
      <c r="H8656" s="225">
        <f t="shared" si="135"/>
        <v>1196.76</v>
      </c>
    </row>
    <row r="8657" spans="1:8" x14ac:dyDescent="0.3">
      <c r="A8657" s="400"/>
      <c r="B8657" s="709">
        <v>99277</v>
      </c>
      <c r="C8657" s="710" t="s">
        <v>7181</v>
      </c>
      <c r="D8657" s="709" t="s">
        <v>159</v>
      </c>
      <c r="E8657" s="716">
        <v>2766.5</v>
      </c>
      <c r="F8657" s="717">
        <v>0</v>
      </c>
      <c r="G8657">
        <f>VLOOKUP(B8657,'SINAPI-%MO'!B:E,4,0)</f>
        <v>0.51449999999999996</v>
      </c>
      <c r="H8657" s="225">
        <f t="shared" si="135"/>
        <v>1343.13</v>
      </c>
    </row>
    <row r="8658" spans="1:8" x14ac:dyDescent="0.3">
      <c r="A8658" s="400"/>
      <c r="B8658" s="709">
        <v>99281</v>
      </c>
      <c r="C8658" s="710" t="s">
        <v>7182</v>
      </c>
      <c r="D8658" s="709" t="s">
        <v>159</v>
      </c>
      <c r="E8658" s="716">
        <v>3070.02</v>
      </c>
      <c r="F8658" s="717">
        <v>0</v>
      </c>
      <c r="G8658">
        <f>VLOOKUP(B8658,'SINAPI-%MO'!B:E,4,0)</f>
        <v>0.51490000000000002</v>
      </c>
      <c r="H8658" s="225">
        <f t="shared" si="135"/>
        <v>1489.26</v>
      </c>
    </row>
    <row r="8659" spans="1:8" x14ac:dyDescent="0.3">
      <c r="A8659" s="400"/>
      <c r="B8659" s="709">
        <v>99289</v>
      </c>
      <c r="C8659" s="710" t="s">
        <v>7183</v>
      </c>
      <c r="D8659" s="709" t="s">
        <v>159</v>
      </c>
      <c r="E8659" s="716">
        <v>3373.47</v>
      </c>
      <c r="F8659" s="717">
        <v>0</v>
      </c>
      <c r="G8659">
        <f>VLOOKUP(B8659,'SINAPI-%MO'!B:E,4,0)</f>
        <v>0.51519999999999999</v>
      </c>
      <c r="H8659" s="225">
        <f t="shared" si="135"/>
        <v>1635.45</v>
      </c>
    </row>
    <row r="8660" spans="1:8" x14ac:dyDescent="0.3">
      <c r="A8660" s="400"/>
      <c r="B8660" s="709">
        <v>99282</v>
      </c>
      <c r="C8660" s="710" t="s">
        <v>7184</v>
      </c>
      <c r="D8660" s="709" t="s">
        <v>159</v>
      </c>
      <c r="E8660" s="716">
        <v>3403.77</v>
      </c>
      <c r="F8660" s="717">
        <v>0</v>
      </c>
      <c r="G8660">
        <f>VLOOKUP(B8660,'SINAPI-%MO'!B:E,4,0)</f>
        <v>0.51519999999999999</v>
      </c>
      <c r="H8660" s="225">
        <f t="shared" si="135"/>
        <v>1650.14</v>
      </c>
    </row>
    <row r="8661" spans="1:8" x14ac:dyDescent="0.3">
      <c r="A8661" s="400"/>
      <c r="B8661" s="709">
        <v>99296</v>
      </c>
      <c r="C8661" s="710" t="s">
        <v>7185</v>
      </c>
      <c r="D8661" s="709" t="s">
        <v>159</v>
      </c>
      <c r="E8661" s="716">
        <v>3707.22</v>
      </c>
      <c r="F8661" s="717">
        <v>0</v>
      </c>
      <c r="G8661">
        <f>VLOOKUP(B8661,'SINAPI-%MO'!B:E,4,0)</f>
        <v>0.51549999999999996</v>
      </c>
      <c r="H8661" s="225">
        <f t="shared" si="135"/>
        <v>1796.14</v>
      </c>
    </row>
    <row r="8662" spans="1:8" x14ac:dyDescent="0.3">
      <c r="A8662" s="400"/>
      <c r="B8662" s="709">
        <v>99299</v>
      </c>
      <c r="C8662" s="710" t="s">
        <v>7186</v>
      </c>
      <c r="D8662" s="709" t="s">
        <v>159</v>
      </c>
      <c r="E8662" s="716">
        <v>4010.62</v>
      </c>
      <c r="F8662" s="717">
        <v>0</v>
      </c>
      <c r="G8662">
        <f>VLOOKUP(B8662,'SINAPI-%MO'!B:E,4,0)</f>
        <v>0.51570000000000005</v>
      </c>
      <c r="H8662" s="225">
        <f t="shared" si="135"/>
        <v>1942.34</v>
      </c>
    </row>
    <row r="8663" spans="1:8" x14ac:dyDescent="0.3">
      <c r="A8663" s="400"/>
      <c r="B8663" s="709">
        <v>99302</v>
      </c>
      <c r="C8663" s="710" t="s">
        <v>7187</v>
      </c>
      <c r="D8663" s="709" t="s">
        <v>159</v>
      </c>
      <c r="E8663" s="716">
        <v>4319.3</v>
      </c>
      <c r="F8663" s="717">
        <v>0</v>
      </c>
      <c r="G8663">
        <f>VLOOKUP(B8663,'SINAPI-%MO'!B:E,4,0)</f>
        <v>0.51590000000000003</v>
      </c>
      <c r="H8663" s="225">
        <f t="shared" si="135"/>
        <v>2090.9699999999998</v>
      </c>
    </row>
    <row r="8664" spans="1:8" x14ac:dyDescent="0.3">
      <c r="A8664" s="400"/>
      <c r="B8664" s="709">
        <v>99307</v>
      </c>
      <c r="C8664" s="710" t="s">
        <v>7188</v>
      </c>
      <c r="D8664" s="709" t="s">
        <v>159</v>
      </c>
      <c r="E8664" s="716">
        <v>2791.56</v>
      </c>
      <c r="F8664" s="717">
        <v>0</v>
      </c>
      <c r="G8664">
        <f>VLOOKUP(B8664,'SINAPI-%MO'!B:E,4,0)</f>
        <v>0.51459999999999995</v>
      </c>
      <c r="H8664" s="225">
        <f t="shared" si="135"/>
        <v>1355.02</v>
      </c>
    </row>
    <row r="8665" spans="1:8" x14ac:dyDescent="0.3">
      <c r="A8665" s="400"/>
      <c r="B8665" s="709">
        <v>99317</v>
      </c>
      <c r="C8665" s="710" t="s">
        <v>7189</v>
      </c>
      <c r="D8665" s="709" t="s">
        <v>159</v>
      </c>
      <c r="E8665" s="716">
        <v>3095.02</v>
      </c>
      <c r="F8665" s="717">
        <v>0</v>
      </c>
      <c r="G8665">
        <f>VLOOKUP(B8665,'SINAPI-%MO'!B:E,4,0)</f>
        <v>0.51500000000000001</v>
      </c>
      <c r="H8665" s="225">
        <f t="shared" si="135"/>
        <v>1501.08</v>
      </c>
    </row>
    <row r="8666" spans="1:8" x14ac:dyDescent="0.3">
      <c r="A8666" s="400"/>
      <c r="B8666" s="709">
        <v>99321</v>
      </c>
      <c r="C8666" s="710" t="s">
        <v>7190</v>
      </c>
      <c r="D8666" s="709" t="s">
        <v>159</v>
      </c>
      <c r="E8666" s="716">
        <v>3398.54</v>
      </c>
      <c r="F8666" s="717">
        <v>0</v>
      </c>
      <c r="G8666">
        <f>VLOOKUP(B8666,'SINAPI-%MO'!B:E,4,0)</f>
        <v>0.51519999999999999</v>
      </c>
      <c r="H8666" s="225">
        <f t="shared" si="135"/>
        <v>1647.61</v>
      </c>
    </row>
    <row r="8667" spans="1:8" x14ac:dyDescent="0.3">
      <c r="A8667" s="400"/>
      <c r="B8667" s="709">
        <v>99323</v>
      </c>
      <c r="C8667" s="710" t="s">
        <v>7191</v>
      </c>
      <c r="D8667" s="709" t="s">
        <v>159</v>
      </c>
      <c r="E8667" s="716">
        <v>3701.99</v>
      </c>
      <c r="F8667" s="717">
        <v>0</v>
      </c>
      <c r="G8667">
        <f>VLOOKUP(B8667,'SINAPI-%MO'!B:E,4,0)</f>
        <v>0.51549999999999996</v>
      </c>
      <c r="H8667" s="225">
        <f t="shared" si="135"/>
        <v>1793.61</v>
      </c>
    </row>
    <row r="8668" spans="1:8" x14ac:dyDescent="0.3">
      <c r="A8668" s="400"/>
      <c r="B8668" s="709">
        <v>99325</v>
      </c>
      <c r="C8668" s="710" t="s">
        <v>7192</v>
      </c>
      <c r="D8668" s="709" t="s">
        <v>159</v>
      </c>
      <c r="E8668" s="716">
        <v>4010.62</v>
      </c>
      <c r="F8668" s="717">
        <v>0</v>
      </c>
      <c r="G8668">
        <f>VLOOKUP(B8668,'SINAPI-%MO'!B:E,4,0)</f>
        <v>0.51570000000000005</v>
      </c>
      <c r="H8668" s="225">
        <f t="shared" si="135"/>
        <v>1942.34</v>
      </c>
    </row>
    <row r="8669" spans="1:8" x14ac:dyDescent="0.3">
      <c r="A8669" s="400"/>
      <c r="B8669" s="709">
        <v>99311</v>
      </c>
      <c r="C8669" s="710" t="s">
        <v>7193</v>
      </c>
      <c r="D8669" s="709" t="s">
        <v>159</v>
      </c>
      <c r="E8669" s="716">
        <v>4628.05</v>
      </c>
      <c r="F8669" s="717">
        <v>0</v>
      </c>
      <c r="G8669">
        <f>VLOOKUP(B8669,'SINAPI-%MO'!B:E,4,0)</f>
        <v>0.51600000000000001</v>
      </c>
      <c r="H8669" s="225">
        <f t="shared" si="135"/>
        <v>2239.9699999999998</v>
      </c>
    </row>
    <row r="8670" spans="1:8" x14ac:dyDescent="0.3">
      <c r="A8670" s="400"/>
      <c r="B8670" s="709">
        <v>99314</v>
      </c>
      <c r="C8670" s="710" t="s">
        <v>7194</v>
      </c>
      <c r="D8670" s="709" t="s">
        <v>159</v>
      </c>
      <c r="E8670" s="716">
        <v>4936.71</v>
      </c>
      <c r="F8670" s="717">
        <v>0</v>
      </c>
      <c r="G8670">
        <f>VLOOKUP(B8670,'SINAPI-%MO'!B:E,4,0)</f>
        <v>0.51619999999999999</v>
      </c>
      <c r="H8670" s="225">
        <f t="shared" si="135"/>
        <v>2388.38</v>
      </c>
    </row>
    <row r="8671" spans="1:8" x14ac:dyDescent="0.3">
      <c r="A8671" s="400"/>
      <c r="B8671" s="709">
        <v>99304</v>
      </c>
      <c r="C8671" s="710" t="s">
        <v>7195</v>
      </c>
      <c r="D8671" s="709" t="s">
        <v>159</v>
      </c>
      <c r="E8671" s="716">
        <v>4015.85</v>
      </c>
      <c r="F8671" s="717">
        <v>0</v>
      </c>
      <c r="G8671">
        <f>VLOOKUP(B8671,'SINAPI-%MO'!B:E,4,0)</f>
        <v>0.51570000000000005</v>
      </c>
      <c r="H8671" s="225">
        <f t="shared" si="135"/>
        <v>1944.87</v>
      </c>
    </row>
    <row r="8672" spans="1:8" x14ac:dyDescent="0.3">
      <c r="A8672" s="400"/>
      <c r="B8672" s="709">
        <v>99306</v>
      </c>
      <c r="C8672" s="710" t="s">
        <v>7196</v>
      </c>
      <c r="D8672" s="709" t="s">
        <v>159</v>
      </c>
      <c r="E8672" s="716">
        <v>4319.3</v>
      </c>
      <c r="F8672" s="717">
        <v>0</v>
      </c>
      <c r="G8672">
        <f>VLOOKUP(B8672,'SINAPI-%MO'!B:E,4,0)</f>
        <v>0.51590000000000003</v>
      </c>
      <c r="H8672" s="225">
        <f t="shared" si="135"/>
        <v>2090.9699999999998</v>
      </c>
    </row>
    <row r="8673" spans="1:8" x14ac:dyDescent="0.3">
      <c r="A8673" s="400"/>
      <c r="B8673" s="709">
        <v>99309</v>
      </c>
      <c r="C8673" s="710" t="s">
        <v>7197</v>
      </c>
      <c r="D8673" s="709" t="s">
        <v>159</v>
      </c>
      <c r="E8673" s="716">
        <v>4628.05</v>
      </c>
      <c r="F8673" s="717">
        <v>0</v>
      </c>
      <c r="G8673">
        <f>VLOOKUP(B8673,'SINAPI-%MO'!B:E,4,0)</f>
        <v>0.51600000000000001</v>
      </c>
      <c r="H8673" s="225">
        <f t="shared" si="135"/>
        <v>2239.9699999999998</v>
      </c>
    </row>
    <row r="8674" spans="1:8" x14ac:dyDescent="0.3">
      <c r="A8674" s="400"/>
      <c r="B8674" s="709">
        <v>99327</v>
      </c>
      <c r="C8674" s="710" t="s">
        <v>7198</v>
      </c>
      <c r="D8674" s="709" t="s">
        <v>159</v>
      </c>
      <c r="E8674" s="716">
        <v>5194.34</v>
      </c>
      <c r="F8674" s="717">
        <v>0</v>
      </c>
      <c r="G8674">
        <f>VLOOKUP(B8674,'SINAPI-%MO'!B:E,4,0)</f>
        <v>0.51619999999999999</v>
      </c>
      <c r="H8674" s="225">
        <f t="shared" si="135"/>
        <v>2513.02</v>
      </c>
    </row>
    <row r="8675" spans="1:8" x14ac:dyDescent="0.3">
      <c r="A8675" s="400"/>
      <c r="B8675" s="709">
        <v>98009</v>
      </c>
      <c r="C8675" s="710" t="s">
        <v>7199</v>
      </c>
      <c r="D8675" s="709" t="s">
        <v>159</v>
      </c>
      <c r="E8675" s="716">
        <v>2238.84</v>
      </c>
      <c r="F8675" s="717">
        <v>0</v>
      </c>
      <c r="G8675">
        <f>VLOOKUP(B8675,'SINAPI-%MO'!B:E,4,0)</f>
        <v>0.49859999999999999</v>
      </c>
      <c r="H8675" s="225">
        <f t="shared" si="135"/>
        <v>1122.55</v>
      </c>
    </row>
    <row r="8676" spans="1:8" x14ac:dyDescent="0.3">
      <c r="A8676" s="400"/>
      <c r="B8676" s="709">
        <v>98011</v>
      </c>
      <c r="C8676" s="710" t="s">
        <v>7200</v>
      </c>
      <c r="D8676" s="709" t="s">
        <v>159</v>
      </c>
      <c r="E8676" s="716">
        <v>2553.9499999999998</v>
      </c>
      <c r="F8676" s="717">
        <v>0</v>
      </c>
      <c r="G8676">
        <f>VLOOKUP(B8676,'SINAPI-%MO'!B:E,4,0)</f>
        <v>0.49909999999999999</v>
      </c>
      <c r="H8676" s="225">
        <f t="shared" si="135"/>
        <v>1279.27</v>
      </c>
    </row>
    <row r="8677" spans="1:8" x14ac:dyDescent="0.3">
      <c r="A8677" s="400"/>
      <c r="B8677" s="709">
        <v>98013</v>
      </c>
      <c r="C8677" s="710" t="s">
        <v>7201</v>
      </c>
      <c r="D8677" s="709" t="s">
        <v>159</v>
      </c>
      <c r="E8677" s="716">
        <v>2869.13</v>
      </c>
      <c r="F8677" s="717">
        <v>0</v>
      </c>
      <c r="G8677">
        <f>VLOOKUP(B8677,'SINAPI-%MO'!B:E,4,0)</f>
        <v>0.4995</v>
      </c>
      <c r="H8677" s="225">
        <f t="shared" si="135"/>
        <v>1435.99</v>
      </c>
    </row>
    <row r="8678" spans="1:8" x14ac:dyDescent="0.3">
      <c r="A8678" s="400"/>
      <c r="B8678" s="709">
        <v>98015</v>
      </c>
      <c r="C8678" s="710" t="s">
        <v>7202</v>
      </c>
      <c r="D8678" s="709" t="s">
        <v>159</v>
      </c>
      <c r="E8678" s="716">
        <v>3184.32</v>
      </c>
      <c r="F8678" s="717">
        <v>0</v>
      </c>
      <c r="G8678">
        <f>VLOOKUP(B8678,'SINAPI-%MO'!B:E,4,0)</f>
        <v>0.49980000000000002</v>
      </c>
      <c r="H8678" s="225">
        <f t="shared" si="135"/>
        <v>1592.79</v>
      </c>
    </row>
    <row r="8679" spans="1:8" x14ac:dyDescent="0.3">
      <c r="A8679" s="400"/>
      <c r="B8679" s="709">
        <v>98017</v>
      </c>
      <c r="C8679" s="710" t="s">
        <v>7203</v>
      </c>
      <c r="D8679" s="709" t="s">
        <v>159</v>
      </c>
      <c r="E8679" s="716">
        <v>3499.42</v>
      </c>
      <c r="F8679" s="717">
        <v>0</v>
      </c>
      <c r="G8679">
        <f>VLOOKUP(B8679,'SINAPI-%MO'!B:E,4,0)</f>
        <v>0.5</v>
      </c>
      <c r="H8679" s="225">
        <f t="shared" si="135"/>
        <v>1749.71</v>
      </c>
    </row>
    <row r="8680" spans="1:8" x14ac:dyDescent="0.3">
      <c r="A8680" s="400"/>
      <c r="B8680" s="709">
        <v>98019</v>
      </c>
      <c r="C8680" s="710" t="s">
        <v>7204</v>
      </c>
      <c r="D8680" s="709" t="s">
        <v>159</v>
      </c>
      <c r="E8680" s="716">
        <v>3843.11</v>
      </c>
      <c r="F8680" s="717">
        <v>0</v>
      </c>
      <c r="G8680">
        <f>VLOOKUP(B8680,'SINAPI-%MO'!B:E,4,0)</f>
        <v>0.5</v>
      </c>
      <c r="H8680" s="225">
        <f t="shared" si="135"/>
        <v>1921.55</v>
      </c>
    </row>
    <row r="8681" spans="1:8" x14ac:dyDescent="0.3">
      <c r="A8681" s="400"/>
      <c r="B8681" s="709">
        <v>97995</v>
      </c>
      <c r="C8681" s="710" t="s">
        <v>7205</v>
      </c>
      <c r="D8681" s="709" t="s">
        <v>159</v>
      </c>
      <c r="E8681" s="716">
        <v>1608.55</v>
      </c>
      <c r="F8681" s="717">
        <v>0</v>
      </c>
      <c r="G8681">
        <f>VLOOKUP(B8681,'SINAPI-%MO'!B:E,4,0)</f>
        <v>0.49719999999999998</v>
      </c>
      <c r="H8681" s="225">
        <f t="shared" si="135"/>
        <v>808.77</v>
      </c>
    </row>
    <row r="8682" spans="1:8" x14ac:dyDescent="0.3">
      <c r="A8682" s="400"/>
      <c r="B8682" s="709">
        <v>97997</v>
      </c>
      <c r="C8682" s="710" t="s">
        <v>7206</v>
      </c>
      <c r="D8682" s="709" t="s">
        <v>159</v>
      </c>
      <c r="E8682" s="716">
        <v>1923.64</v>
      </c>
      <c r="F8682" s="717">
        <v>0</v>
      </c>
      <c r="G8682">
        <f>VLOOKUP(B8682,'SINAPI-%MO'!B:E,4,0)</f>
        <v>0.498</v>
      </c>
      <c r="H8682" s="225">
        <f t="shared" si="135"/>
        <v>965.66</v>
      </c>
    </row>
    <row r="8683" spans="1:8" x14ac:dyDescent="0.3">
      <c r="A8683" s="400"/>
      <c r="B8683" s="709">
        <v>97999</v>
      </c>
      <c r="C8683" s="710" t="s">
        <v>7207</v>
      </c>
      <c r="D8683" s="709" t="s">
        <v>159</v>
      </c>
      <c r="E8683" s="716">
        <v>2238.84</v>
      </c>
      <c r="F8683" s="717">
        <v>0</v>
      </c>
      <c r="G8683">
        <f>VLOOKUP(B8683,'SINAPI-%MO'!B:E,4,0)</f>
        <v>0.49859999999999999</v>
      </c>
      <c r="H8683" s="225">
        <f t="shared" si="135"/>
        <v>1122.55</v>
      </c>
    </row>
    <row r="8684" spans="1:8" x14ac:dyDescent="0.3">
      <c r="A8684" s="400"/>
      <c r="B8684" s="709">
        <v>98001</v>
      </c>
      <c r="C8684" s="710" t="s">
        <v>7208</v>
      </c>
      <c r="D8684" s="709" t="s">
        <v>159</v>
      </c>
      <c r="E8684" s="716">
        <v>2553.9499999999998</v>
      </c>
      <c r="F8684" s="717">
        <v>0</v>
      </c>
      <c r="G8684">
        <f>VLOOKUP(B8684,'SINAPI-%MO'!B:E,4,0)</f>
        <v>0.49909999999999999</v>
      </c>
      <c r="H8684" s="225">
        <f t="shared" si="135"/>
        <v>1279.27</v>
      </c>
    </row>
    <row r="8685" spans="1:8" x14ac:dyDescent="0.3">
      <c r="A8685" s="400"/>
      <c r="B8685" s="709">
        <v>98003</v>
      </c>
      <c r="C8685" s="710" t="s">
        <v>7209</v>
      </c>
      <c r="D8685" s="709" t="s">
        <v>159</v>
      </c>
      <c r="E8685" s="716">
        <v>2869.13</v>
      </c>
      <c r="F8685" s="717">
        <v>0</v>
      </c>
      <c r="G8685">
        <f>VLOOKUP(B8685,'SINAPI-%MO'!B:E,4,0)</f>
        <v>0.4995</v>
      </c>
      <c r="H8685" s="225">
        <f t="shared" si="135"/>
        <v>1435.99</v>
      </c>
    </row>
    <row r="8686" spans="1:8" x14ac:dyDescent="0.3">
      <c r="A8686" s="400"/>
      <c r="B8686" s="709">
        <v>98005</v>
      </c>
      <c r="C8686" s="710" t="s">
        <v>7210</v>
      </c>
      <c r="D8686" s="709" t="s">
        <v>159</v>
      </c>
      <c r="E8686" s="716">
        <v>3184.32</v>
      </c>
      <c r="F8686" s="717">
        <v>0</v>
      </c>
      <c r="G8686">
        <f>VLOOKUP(B8686,'SINAPI-%MO'!B:E,4,0)</f>
        <v>0.49980000000000002</v>
      </c>
      <c r="H8686" s="225">
        <f t="shared" si="135"/>
        <v>1592.79</v>
      </c>
    </row>
    <row r="8687" spans="1:8" x14ac:dyDescent="0.3">
      <c r="A8687" s="400"/>
      <c r="B8687" s="709">
        <v>98007</v>
      </c>
      <c r="C8687" s="710" t="s">
        <v>7211</v>
      </c>
      <c r="D8687" s="709" t="s">
        <v>159</v>
      </c>
      <c r="E8687" s="716">
        <v>3499.42</v>
      </c>
      <c r="F8687" s="717">
        <v>0</v>
      </c>
      <c r="G8687">
        <f>VLOOKUP(B8687,'SINAPI-%MO'!B:E,4,0)</f>
        <v>0.5</v>
      </c>
      <c r="H8687" s="225">
        <f t="shared" si="135"/>
        <v>1749.71</v>
      </c>
    </row>
    <row r="8688" spans="1:8" x14ac:dyDescent="0.3">
      <c r="A8688" s="400"/>
      <c r="B8688" s="709">
        <v>98031</v>
      </c>
      <c r="C8688" s="710" t="s">
        <v>7212</v>
      </c>
      <c r="D8688" s="709" t="s">
        <v>159</v>
      </c>
      <c r="E8688" s="716">
        <v>3533.96</v>
      </c>
      <c r="F8688" s="717">
        <v>0</v>
      </c>
      <c r="G8688">
        <f>VLOOKUP(B8688,'SINAPI-%MO'!B:E,4,0)</f>
        <v>0.49969999999999998</v>
      </c>
      <c r="H8688" s="225">
        <f t="shared" si="135"/>
        <v>1768.04</v>
      </c>
    </row>
    <row r="8689" spans="1:8" x14ac:dyDescent="0.3">
      <c r="A8689" s="400"/>
      <c r="B8689" s="709">
        <v>98033</v>
      </c>
      <c r="C8689" s="710" t="s">
        <v>7213</v>
      </c>
      <c r="D8689" s="709" t="s">
        <v>159</v>
      </c>
      <c r="E8689" s="716">
        <v>3849.07</v>
      </c>
      <c r="F8689" s="717">
        <v>0</v>
      </c>
      <c r="G8689">
        <f>VLOOKUP(B8689,'SINAPI-%MO'!B:E,4,0)</f>
        <v>0.49990000000000001</v>
      </c>
      <c r="H8689" s="225">
        <f t="shared" si="135"/>
        <v>1924.91</v>
      </c>
    </row>
    <row r="8690" spans="1:8" x14ac:dyDescent="0.3">
      <c r="A8690" s="400"/>
      <c r="B8690" s="709">
        <v>98035</v>
      </c>
      <c r="C8690" s="710" t="s">
        <v>7214</v>
      </c>
      <c r="D8690" s="709" t="s">
        <v>159</v>
      </c>
      <c r="E8690" s="716">
        <v>4164.1400000000003</v>
      </c>
      <c r="F8690" s="717">
        <v>0</v>
      </c>
      <c r="G8690">
        <f>VLOOKUP(B8690,'SINAPI-%MO'!B:E,4,0)</f>
        <v>0.50009999999999999</v>
      </c>
      <c r="H8690" s="225">
        <f t="shared" si="135"/>
        <v>2081.65</v>
      </c>
    </row>
    <row r="8691" spans="1:8" x14ac:dyDescent="0.3">
      <c r="A8691" s="400"/>
      <c r="B8691" s="709">
        <v>98037</v>
      </c>
      <c r="C8691" s="710" t="s">
        <v>7215</v>
      </c>
      <c r="D8691" s="709" t="s">
        <v>159</v>
      </c>
      <c r="E8691" s="716">
        <v>4485.2</v>
      </c>
      <c r="F8691" s="717">
        <v>0</v>
      </c>
      <c r="G8691">
        <f>VLOOKUP(B8691,'SINAPI-%MO'!B:E,4,0)</f>
        <v>0.50019999999999998</v>
      </c>
      <c r="H8691" s="225">
        <f t="shared" si="135"/>
        <v>2241.6999999999998</v>
      </c>
    </row>
    <row r="8692" spans="1:8" x14ac:dyDescent="0.3">
      <c r="A8692" s="400"/>
      <c r="B8692" s="709">
        <v>98021</v>
      </c>
      <c r="C8692" s="710" t="s">
        <v>7216</v>
      </c>
      <c r="D8692" s="709" t="s">
        <v>159</v>
      </c>
      <c r="E8692" s="716">
        <v>2897.71</v>
      </c>
      <c r="F8692" s="717">
        <v>0</v>
      </c>
      <c r="G8692">
        <f>VLOOKUP(B8692,'SINAPI-%MO'!B:E,4,0)</f>
        <v>0.49919999999999998</v>
      </c>
      <c r="H8692" s="225">
        <f t="shared" si="135"/>
        <v>1451.17</v>
      </c>
    </row>
    <row r="8693" spans="1:8" x14ac:dyDescent="0.3">
      <c r="A8693" s="400"/>
      <c r="B8693" s="709">
        <v>98023</v>
      </c>
      <c r="C8693" s="710" t="s">
        <v>7217</v>
      </c>
      <c r="D8693" s="709" t="s">
        <v>159</v>
      </c>
      <c r="E8693" s="716">
        <v>3212.81</v>
      </c>
      <c r="F8693" s="717">
        <v>0</v>
      </c>
      <c r="G8693">
        <f>VLOOKUP(B8693,'SINAPI-%MO'!B:E,4,0)</f>
        <v>0.4995</v>
      </c>
      <c r="H8693" s="225">
        <f t="shared" si="135"/>
        <v>1608.01</v>
      </c>
    </row>
    <row r="8694" spans="1:8" x14ac:dyDescent="0.3">
      <c r="A8694" s="400"/>
      <c r="B8694" s="709">
        <v>98025</v>
      </c>
      <c r="C8694" s="710" t="s">
        <v>7218</v>
      </c>
      <c r="D8694" s="709" t="s">
        <v>159</v>
      </c>
      <c r="E8694" s="716">
        <v>3528</v>
      </c>
      <c r="F8694" s="717">
        <v>0</v>
      </c>
      <c r="G8694">
        <f>VLOOKUP(B8694,'SINAPI-%MO'!B:E,4,0)</f>
        <v>0.49980000000000002</v>
      </c>
      <c r="H8694" s="225">
        <f t="shared" si="135"/>
        <v>1764.7</v>
      </c>
    </row>
    <row r="8695" spans="1:8" x14ac:dyDescent="0.3">
      <c r="A8695" s="400"/>
      <c r="B8695" s="709">
        <v>98027</v>
      </c>
      <c r="C8695" s="710" t="s">
        <v>7219</v>
      </c>
      <c r="D8695" s="709" t="s">
        <v>159</v>
      </c>
      <c r="E8695" s="716">
        <v>3843.11</v>
      </c>
      <c r="F8695" s="717">
        <v>0</v>
      </c>
      <c r="G8695">
        <f>VLOOKUP(B8695,'SINAPI-%MO'!B:E,4,0)</f>
        <v>0.5</v>
      </c>
      <c r="H8695" s="225">
        <f t="shared" si="135"/>
        <v>1921.55</v>
      </c>
    </row>
    <row r="8696" spans="1:8" x14ac:dyDescent="0.3">
      <c r="A8696" s="400"/>
      <c r="B8696" s="709">
        <v>98029</v>
      </c>
      <c r="C8696" s="710" t="s">
        <v>7220</v>
      </c>
      <c r="D8696" s="709" t="s">
        <v>159</v>
      </c>
      <c r="E8696" s="716">
        <v>4164.1400000000003</v>
      </c>
      <c r="F8696" s="717">
        <v>0</v>
      </c>
      <c r="G8696">
        <f>VLOOKUP(B8696,'SINAPI-%MO'!B:E,4,0)</f>
        <v>0.50009999999999999</v>
      </c>
      <c r="H8696" s="225">
        <f t="shared" si="135"/>
        <v>2081.65</v>
      </c>
    </row>
    <row r="8697" spans="1:8" x14ac:dyDescent="0.3">
      <c r="A8697" s="400"/>
      <c r="B8697" s="709">
        <v>98045</v>
      </c>
      <c r="C8697" s="710" t="s">
        <v>7221</v>
      </c>
      <c r="D8697" s="709" t="s">
        <v>159</v>
      </c>
      <c r="E8697" s="716">
        <v>4806.3599999999997</v>
      </c>
      <c r="F8697" s="717">
        <v>0</v>
      </c>
      <c r="G8697">
        <f>VLOOKUP(B8697,'SINAPI-%MO'!B:E,4,0)</f>
        <v>0.50029999999999997</v>
      </c>
      <c r="H8697" s="225">
        <f t="shared" si="135"/>
        <v>2401.73</v>
      </c>
    </row>
    <row r="8698" spans="1:8" x14ac:dyDescent="0.3">
      <c r="A8698" s="400"/>
      <c r="B8698" s="709">
        <v>98047</v>
      </c>
      <c r="C8698" s="710" t="s">
        <v>7222</v>
      </c>
      <c r="D8698" s="709" t="s">
        <v>159</v>
      </c>
      <c r="E8698" s="716">
        <v>5127.3999999999996</v>
      </c>
      <c r="F8698" s="717">
        <v>0</v>
      </c>
      <c r="G8698">
        <f>VLOOKUP(B8698,'SINAPI-%MO'!B:E,4,0)</f>
        <v>0.50039999999999996</v>
      </c>
      <c r="H8698" s="225">
        <f t="shared" si="135"/>
        <v>2561.64</v>
      </c>
    </row>
    <row r="8699" spans="1:8" x14ac:dyDescent="0.3">
      <c r="A8699" s="400"/>
      <c r="B8699" s="709">
        <v>98039</v>
      </c>
      <c r="C8699" s="710" t="s">
        <v>7223</v>
      </c>
      <c r="D8699" s="709" t="s">
        <v>159</v>
      </c>
      <c r="E8699" s="716">
        <v>4170.1000000000004</v>
      </c>
      <c r="F8699" s="717">
        <v>0</v>
      </c>
      <c r="G8699">
        <f>VLOOKUP(B8699,'SINAPI-%MO'!B:E,4,0)</f>
        <v>0.50009999999999999</v>
      </c>
      <c r="H8699" s="225">
        <f t="shared" si="135"/>
        <v>2084.63</v>
      </c>
    </row>
    <row r="8700" spans="1:8" x14ac:dyDescent="0.3">
      <c r="A8700" s="400"/>
      <c r="B8700" s="709">
        <v>98041</v>
      </c>
      <c r="C8700" s="710" t="s">
        <v>7224</v>
      </c>
      <c r="D8700" s="709" t="s">
        <v>159</v>
      </c>
      <c r="E8700" s="716">
        <v>4485.2</v>
      </c>
      <c r="F8700" s="717">
        <v>0</v>
      </c>
      <c r="G8700">
        <f>VLOOKUP(B8700,'SINAPI-%MO'!B:E,4,0)</f>
        <v>0.50019999999999998</v>
      </c>
      <c r="H8700" s="225">
        <f t="shared" si="135"/>
        <v>2241.6999999999998</v>
      </c>
    </row>
    <row r="8701" spans="1:8" x14ac:dyDescent="0.3">
      <c r="A8701" s="400"/>
      <c r="B8701" s="709">
        <v>98043</v>
      </c>
      <c r="C8701" s="710" t="s">
        <v>7225</v>
      </c>
      <c r="D8701" s="709" t="s">
        <v>159</v>
      </c>
      <c r="E8701" s="716">
        <v>4806.3599999999997</v>
      </c>
      <c r="F8701" s="717">
        <v>0</v>
      </c>
      <c r="G8701">
        <f>VLOOKUP(B8701,'SINAPI-%MO'!B:E,4,0)</f>
        <v>0.50029999999999997</v>
      </c>
      <c r="H8701" s="225">
        <f t="shared" si="135"/>
        <v>2401.73</v>
      </c>
    </row>
    <row r="8702" spans="1:8" x14ac:dyDescent="0.3">
      <c r="A8702" s="400"/>
      <c r="B8702" s="709">
        <v>98049</v>
      </c>
      <c r="C8702" s="710" t="s">
        <v>7226</v>
      </c>
      <c r="D8702" s="709" t="s">
        <v>159</v>
      </c>
      <c r="E8702" s="716">
        <v>5390.27</v>
      </c>
      <c r="F8702" s="717">
        <v>0</v>
      </c>
      <c r="G8702">
        <f>VLOOKUP(B8702,'SINAPI-%MO'!B:E,4,0)</f>
        <v>0.50080000000000002</v>
      </c>
      <c r="H8702" s="225">
        <f t="shared" si="135"/>
        <v>2690.82</v>
      </c>
    </row>
    <row r="8703" spans="1:8" x14ac:dyDescent="0.3">
      <c r="A8703" s="400"/>
      <c r="B8703" s="709">
        <v>101809</v>
      </c>
      <c r="C8703" s="710" t="s">
        <v>7227</v>
      </c>
      <c r="D8703" s="709" t="s">
        <v>136</v>
      </c>
      <c r="E8703" s="716">
        <v>3142.81</v>
      </c>
      <c r="F8703" s="717">
        <v>0</v>
      </c>
      <c r="G8703">
        <f>VLOOKUP(B8703,'SINAPI-%MO'!B:E,4,0)</f>
        <v>0.43130000000000002</v>
      </c>
      <c r="H8703" s="225">
        <f t="shared" si="135"/>
        <v>1787.31</v>
      </c>
    </row>
    <row r="8704" spans="1:8" x14ac:dyDescent="0.3">
      <c r="A8704" s="400"/>
      <c r="B8704" s="709">
        <v>99280</v>
      </c>
      <c r="C8704" s="710" t="s">
        <v>7228</v>
      </c>
      <c r="D8704" s="709" t="s">
        <v>136</v>
      </c>
      <c r="E8704" s="716">
        <v>2243.75</v>
      </c>
      <c r="F8704" s="717">
        <v>0</v>
      </c>
      <c r="G8704">
        <f>VLOOKUP(B8704,'SINAPI-%MO'!B:E,4,0)</f>
        <v>0.49840000000000001</v>
      </c>
      <c r="H8704" s="225">
        <f t="shared" si="135"/>
        <v>1125.46</v>
      </c>
    </row>
    <row r="8705" spans="1:8" x14ac:dyDescent="0.3">
      <c r="A8705" s="400"/>
      <c r="B8705" s="709">
        <v>99292</v>
      </c>
      <c r="C8705" s="710" t="s">
        <v>7229</v>
      </c>
      <c r="D8705" s="709" t="s">
        <v>136</v>
      </c>
      <c r="E8705" s="716">
        <v>2767.54</v>
      </c>
      <c r="F8705" s="717">
        <v>0</v>
      </c>
      <c r="G8705">
        <f>VLOOKUP(B8705,'SINAPI-%MO'!B:E,4,0)</f>
        <v>0.4884</v>
      </c>
      <c r="H8705" s="225">
        <f t="shared" si="135"/>
        <v>1415.87</v>
      </c>
    </row>
    <row r="8706" spans="1:8" x14ac:dyDescent="0.3">
      <c r="A8706" s="400"/>
      <c r="B8706" s="709">
        <v>99242</v>
      </c>
      <c r="C8706" s="710" t="s">
        <v>7230</v>
      </c>
      <c r="D8706" s="709" t="s">
        <v>136</v>
      </c>
      <c r="E8706" s="716">
        <v>3291.33</v>
      </c>
      <c r="F8706" s="717">
        <v>0</v>
      </c>
      <c r="G8706">
        <f>VLOOKUP(B8706,'SINAPI-%MO'!B:E,4,0)</f>
        <v>0.4773</v>
      </c>
      <c r="H8706" s="225">
        <f t="shared" si="135"/>
        <v>1720.37</v>
      </c>
    </row>
    <row r="8707" spans="1:8" x14ac:dyDescent="0.3">
      <c r="A8707" s="400"/>
      <c r="B8707" s="709">
        <v>99248</v>
      </c>
      <c r="C8707" s="710" t="s">
        <v>7231</v>
      </c>
      <c r="D8707" s="709" t="s">
        <v>136</v>
      </c>
      <c r="E8707" s="716">
        <v>4215.53</v>
      </c>
      <c r="F8707" s="717">
        <v>0</v>
      </c>
      <c r="G8707">
        <f>VLOOKUP(B8707,'SINAPI-%MO'!B:E,4,0)</f>
        <v>0.46110000000000001</v>
      </c>
      <c r="H8707" s="225">
        <f t="shared" si="135"/>
        <v>2271.7399999999998</v>
      </c>
    </row>
    <row r="8708" spans="1:8" x14ac:dyDescent="0.3">
      <c r="A8708" s="400"/>
      <c r="B8708" s="709">
        <v>99275</v>
      </c>
      <c r="C8708" s="710" t="s">
        <v>7232</v>
      </c>
      <c r="D8708" s="709" t="s">
        <v>136</v>
      </c>
      <c r="E8708" s="716">
        <v>1105.3900000000001</v>
      </c>
      <c r="F8708" s="717">
        <v>0</v>
      </c>
      <c r="G8708">
        <f>VLOOKUP(B8708,'SINAPI-%MO'!B:E,4,0)</f>
        <v>0.29049999999999998</v>
      </c>
      <c r="H8708" s="225">
        <f t="shared" si="135"/>
        <v>784.27</v>
      </c>
    </row>
    <row r="8709" spans="1:8" x14ac:dyDescent="0.3">
      <c r="A8709" s="400"/>
      <c r="B8709" s="709">
        <v>99285</v>
      </c>
      <c r="C8709" s="710" t="s">
        <v>7233</v>
      </c>
      <c r="D8709" s="709" t="s">
        <v>136</v>
      </c>
      <c r="E8709" s="716">
        <v>1508.53</v>
      </c>
      <c r="F8709" s="717">
        <v>0</v>
      </c>
      <c r="G8709">
        <f>VLOOKUP(B8709,'SINAPI-%MO'!B:E,4,0)</f>
        <v>0.25800000000000001</v>
      </c>
      <c r="H8709" s="225">
        <f t="shared" si="135"/>
        <v>1119.32</v>
      </c>
    </row>
    <row r="8710" spans="1:8" x14ac:dyDescent="0.3">
      <c r="A8710" s="400"/>
      <c r="B8710" s="709">
        <v>102457</v>
      </c>
      <c r="C8710" s="710" t="s">
        <v>7234</v>
      </c>
      <c r="D8710" s="709" t="s">
        <v>136</v>
      </c>
      <c r="E8710" s="716">
        <v>1899.54</v>
      </c>
      <c r="F8710" s="717">
        <v>0</v>
      </c>
      <c r="G8710">
        <f>VLOOKUP(B8710,'SINAPI-%MO'!B:E,4,0)</f>
        <v>0.216</v>
      </c>
      <c r="H8710" s="225">
        <f t="shared" si="135"/>
        <v>1489.23</v>
      </c>
    </row>
    <row r="8711" spans="1:8" x14ac:dyDescent="0.3">
      <c r="A8711" s="400"/>
      <c r="B8711" s="709">
        <v>102142</v>
      </c>
      <c r="C8711" s="710" t="s">
        <v>7235</v>
      </c>
      <c r="D8711" s="709" t="s">
        <v>136</v>
      </c>
      <c r="E8711" s="716">
        <v>3005.52</v>
      </c>
      <c r="F8711" s="717">
        <v>0</v>
      </c>
      <c r="G8711">
        <f>VLOOKUP(B8711,'SINAPI-%MO'!B:E,4,0)</f>
        <v>0.2084</v>
      </c>
      <c r="H8711" s="225">
        <f t="shared" si="135"/>
        <v>2379.16</v>
      </c>
    </row>
    <row r="8712" spans="1:8" x14ac:dyDescent="0.3">
      <c r="A8712" s="400"/>
      <c r="B8712" s="709">
        <v>97980</v>
      </c>
      <c r="C8712" s="710" t="s">
        <v>7236</v>
      </c>
      <c r="D8712" s="709" t="s">
        <v>136</v>
      </c>
      <c r="E8712" s="716">
        <v>2328.8000000000002</v>
      </c>
      <c r="F8712" s="717">
        <v>0</v>
      </c>
      <c r="G8712">
        <f>VLOOKUP(B8712,'SINAPI-%MO'!B:E,4,0)</f>
        <v>0.48359999999999997</v>
      </c>
      <c r="H8712" s="225">
        <f t="shared" si="135"/>
        <v>1202.5899999999999</v>
      </c>
    </row>
    <row r="8713" spans="1:8" x14ac:dyDescent="0.3">
      <c r="A8713" s="400"/>
      <c r="B8713" s="709">
        <v>98405</v>
      </c>
      <c r="C8713" s="710" t="s">
        <v>7237</v>
      </c>
      <c r="D8713" s="709" t="s">
        <v>136</v>
      </c>
      <c r="E8713" s="716">
        <v>2864.51</v>
      </c>
      <c r="F8713" s="717">
        <v>0</v>
      </c>
      <c r="G8713">
        <f>VLOOKUP(B8713,'SINAPI-%MO'!B:E,4,0)</f>
        <v>0.47499999999999998</v>
      </c>
      <c r="H8713" s="225">
        <f t="shared" si="135"/>
        <v>1503.86</v>
      </c>
    </row>
    <row r="8714" spans="1:8" x14ac:dyDescent="0.3">
      <c r="A8714" s="400"/>
      <c r="B8714" s="709">
        <v>97988</v>
      </c>
      <c r="C8714" s="710" t="s">
        <v>7238</v>
      </c>
      <c r="D8714" s="709" t="s">
        <v>136</v>
      </c>
      <c r="E8714" s="716">
        <v>3399.17</v>
      </c>
      <c r="F8714" s="717">
        <v>0</v>
      </c>
      <c r="G8714">
        <f>VLOOKUP(B8714,'SINAPI-%MO'!B:E,4,0)</f>
        <v>0.46510000000000001</v>
      </c>
      <c r="H8714" s="225">
        <f t="shared" si="135"/>
        <v>1818.21</v>
      </c>
    </row>
    <row r="8715" spans="1:8" x14ac:dyDescent="0.3">
      <c r="A8715" s="400"/>
      <c r="B8715" s="709">
        <v>97992</v>
      </c>
      <c r="C8715" s="710" t="s">
        <v>7239</v>
      </c>
      <c r="D8715" s="709" t="s">
        <v>136</v>
      </c>
      <c r="E8715" s="716">
        <v>4345.68</v>
      </c>
      <c r="F8715" s="717">
        <v>0</v>
      </c>
      <c r="G8715">
        <f>VLOOKUP(B8715,'SINAPI-%MO'!B:E,4,0)</f>
        <v>0.4501</v>
      </c>
      <c r="H8715" s="225">
        <f t="shared" ref="H8715:H8778" si="136">IF(E8715&gt;0,TRUNC(E8715*(1-G8715),2),"")</f>
        <v>2389.6799999999998</v>
      </c>
    </row>
    <row r="8716" spans="1:8" x14ac:dyDescent="0.3">
      <c r="A8716" s="400"/>
      <c r="B8716" s="709">
        <v>97978</v>
      </c>
      <c r="C8716" s="710" t="s">
        <v>7240</v>
      </c>
      <c r="D8716" s="709" t="s">
        <v>136</v>
      </c>
      <c r="E8716" s="716">
        <v>1114.8599999999999</v>
      </c>
      <c r="F8716" s="717">
        <v>0</v>
      </c>
      <c r="G8716">
        <f>VLOOKUP(B8716,'SINAPI-%MO'!B:E,4,0)</f>
        <v>0.2888</v>
      </c>
      <c r="H8716" s="225">
        <f t="shared" si="136"/>
        <v>792.88</v>
      </c>
    </row>
    <row r="8717" spans="1:8" x14ac:dyDescent="0.3">
      <c r="A8717" s="400"/>
      <c r="B8717" s="709">
        <v>98410</v>
      </c>
      <c r="C8717" s="710" t="s">
        <v>7241</v>
      </c>
      <c r="D8717" s="709" t="s">
        <v>136</v>
      </c>
      <c r="E8717" s="716">
        <v>1433.42</v>
      </c>
      <c r="F8717" s="717">
        <v>0</v>
      </c>
      <c r="G8717">
        <f>VLOOKUP(B8717,'SINAPI-%MO'!B:E,4,0)</f>
        <v>0.23300000000000001</v>
      </c>
      <c r="H8717" s="225">
        <f t="shared" si="136"/>
        <v>1099.43</v>
      </c>
    </row>
    <row r="8718" spans="1:8" x14ac:dyDescent="0.3">
      <c r="A8718" s="400"/>
      <c r="B8718" s="709">
        <v>102139</v>
      </c>
      <c r="C8718" s="710" t="s">
        <v>7242</v>
      </c>
      <c r="D8718" s="709" t="s">
        <v>136</v>
      </c>
      <c r="E8718" s="716">
        <v>1973.06</v>
      </c>
      <c r="F8718" s="717">
        <v>0</v>
      </c>
      <c r="G8718">
        <f>VLOOKUP(B8718,'SINAPI-%MO'!B:E,4,0)</f>
        <v>0.22159999999999999</v>
      </c>
      <c r="H8718" s="225">
        <f t="shared" si="136"/>
        <v>1535.82</v>
      </c>
    </row>
    <row r="8719" spans="1:8" x14ac:dyDescent="0.3">
      <c r="A8719" s="400"/>
      <c r="B8719" s="709">
        <v>102141</v>
      </c>
      <c r="C8719" s="710" t="s">
        <v>7243</v>
      </c>
      <c r="D8719" s="709" t="s">
        <v>136</v>
      </c>
      <c r="E8719" s="716">
        <v>3048.3</v>
      </c>
      <c r="F8719" s="717">
        <v>0</v>
      </c>
      <c r="G8719">
        <f>VLOOKUP(B8719,'SINAPI-%MO'!B:E,4,0)</f>
        <v>0.20669999999999999</v>
      </c>
      <c r="H8719" s="225">
        <f t="shared" si="136"/>
        <v>2418.21</v>
      </c>
    </row>
    <row r="8720" spans="1:8" x14ac:dyDescent="0.3">
      <c r="A8720" s="400"/>
      <c r="B8720" s="709">
        <v>99290</v>
      </c>
      <c r="C8720" s="710" t="s">
        <v>7244</v>
      </c>
      <c r="D8720" s="709" t="s">
        <v>136</v>
      </c>
      <c r="E8720" s="716">
        <v>4629.68</v>
      </c>
      <c r="F8720" s="717">
        <v>0</v>
      </c>
      <c r="G8720">
        <f>VLOOKUP(B8720,'SINAPI-%MO'!B:E,4,0)</f>
        <v>0.43090000000000001</v>
      </c>
      <c r="H8720" s="225">
        <f t="shared" si="136"/>
        <v>2634.75</v>
      </c>
    </row>
    <row r="8721" spans="1:8" x14ac:dyDescent="0.3">
      <c r="A8721" s="400"/>
      <c r="B8721" s="709">
        <v>99244</v>
      </c>
      <c r="C8721" s="710" t="s">
        <v>7245</v>
      </c>
      <c r="D8721" s="709" t="s">
        <v>136</v>
      </c>
      <c r="E8721" s="716">
        <v>5649.46</v>
      </c>
      <c r="F8721" s="717">
        <v>0</v>
      </c>
      <c r="G8721">
        <f>VLOOKUP(B8721,'SINAPI-%MO'!B:E,4,0)</f>
        <v>0.42349999999999999</v>
      </c>
      <c r="H8721" s="225">
        <f t="shared" si="136"/>
        <v>3256.91</v>
      </c>
    </row>
    <row r="8722" spans="1:8" x14ac:dyDescent="0.3">
      <c r="A8722" s="400"/>
      <c r="B8722" s="709">
        <v>99256</v>
      </c>
      <c r="C8722" s="710" t="s">
        <v>7246</v>
      </c>
      <c r="D8722" s="709" t="s">
        <v>136</v>
      </c>
      <c r="E8722" s="716">
        <v>6641.52</v>
      </c>
      <c r="F8722" s="717">
        <v>0</v>
      </c>
      <c r="G8722">
        <f>VLOOKUP(B8722,'SINAPI-%MO'!B:E,4,0)</f>
        <v>0.42020000000000002</v>
      </c>
      <c r="H8722" s="225">
        <f t="shared" si="136"/>
        <v>3850.75</v>
      </c>
    </row>
    <row r="8723" spans="1:8" x14ac:dyDescent="0.3">
      <c r="A8723" s="400"/>
      <c r="B8723" s="709">
        <v>99271</v>
      </c>
      <c r="C8723" s="710" t="s">
        <v>7247</v>
      </c>
      <c r="D8723" s="709" t="s">
        <v>136</v>
      </c>
      <c r="E8723" s="716">
        <v>7633.47</v>
      </c>
      <c r="F8723" s="717">
        <v>0</v>
      </c>
      <c r="G8723">
        <f>VLOOKUP(B8723,'SINAPI-%MO'!B:E,4,0)</f>
        <v>0.41770000000000002</v>
      </c>
      <c r="H8723" s="225">
        <f t="shared" si="136"/>
        <v>4444.96</v>
      </c>
    </row>
    <row r="8724" spans="1:8" x14ac:dyDescent="0.3">
      <c r="A8724" s="400"/>
      <c r="B8724" s="709">
        <v>99284</v>
      </c>
      <c r="C8724" s="710" t="s">
        <v>7248</v>
      </c>
      <c r="D8724" s="709" t="s">
        <v>136</v>
      </c>
      <c r="E8724" s="716">
        <v>8625.59</v>
      </c>
      <c r="F8724" s="717">
        <v>0</v>
      </c>
      <c r="G8724">
        <f>VLOOKUP(B8724,'SINAPI-%MO'!B:E,4,0)</f>
        <v>0.4158</v>
      </c>
      <c r="H8724" s="225">
        <f t="shared" si="136"/>
        <v>5039.0600000000004</v>
      </c>
    </row>
    <row r="8725" spans="1:8" x14ac:dyDescent="0.3">
      <c r="A8725" s="400"/>
      <c r="B8725" s="709">
        <v>99294</v>
      </c>
      <c r="C8725" s="710" t="s">
        <v>7249</v>
      </c>
      <c r="D8725" s="709" t="s">
        <v>136</v>
      </c>
      <c r="E8725" s="716">
        <v>9617.57</v>
      </c>
      <c r="F8725" s="717">
        <v>0</v>
      </c>
      <c r="G8725">
        <f>VLOOKUP(B8725,'SINAPI-%MO'!B:E,4,0)</f>
        <v>0.4143</v>
      </c>
      <c r="H8725" s="225">
        <f t="shared" si="136"/>
        <v>5633.01</v>
      </c>
    </row>
    <row r="8726" spans="1:8" x14ac:dyDescent="0.3">
      <c r="A8726" s="400"/>
      <c r="B8726" s="709">
        <v>99252</v>
      </c>
      <c r="C8726" s="710" t="s">
        <v>7250</v>
      </c>
      <c r="D8726" s="709" t="s">
        <v>136</v>
      </c>
      <c r="E8726" s="716">
        <v>2953.45</v>
      </c>
      <c r="F8726" s="717">
        <v>0</v>
      </c>
      <c r="G8726">
        <f>VLOOKUP(B8726,'SINAPI-%MO'!B:E,4,0)</f>
        <v>0.45050000000000001</v>
      </c>
      <c r="H8726" s="225">
        <f t="shared" si="136"/>
        <v>1622.92</v>
      </c>
    </row>
    <row r="8727" spans="1:8" x14ac:dyDescent="0.3">
      <c r="A8727" s="400"/>
      <c r="B8727" s="709">
        <v>99259</v>
      </c>
      <c r="C8727" s="710" t="s">
        <v>7251</v>
      </c>
      <c r="D8727" s="709" t="s">
        <v>136</v>
      </c>
      <c r="E8727" s="716">
        <v>3737.46</v>
      </c>
      <c r="F8727" s="717">
        <v>0</v>
      </c>
      <c r="G8727">
        <f>VLOOKUP(B8727,'SINAPI-%MO'!B:E,4,0)</f>
        <v>0.44600000000000001</v>
      </c>
      <c r="H8727" s="225">
        <f t="shared" si="136"/>
        <v>2070.5500000000002</v>
      </c>
    </row>
    <row r="8728" spans="1:8" x14ac:dyDescent="0.3">
      <c r="A8728" s="400"/>
      <c r="B8728" s="709">
        <v>99265</v>
      </c>
      <c r="C8728" s="710" t="s">
        <v>7252</v>
      </c>
      <c r="D8728" s="709" t="s">
        <v>136</v>
      </c>
      <c r="E8728" s="716">
        <v>4521.42</v>
      </c>
      <c r="F8728" s="717">
        <v>0</v>
      </c>
      <c r="G8728">
        <f>VLOOKUP(B8728,'SINAPI-%MO'!B:E,4,0)</f>
        <v>0.44319999999999998</v>
      </c>
      <c r="H8728" s="225">
        <f t="shared" si="136"/>
        <v>2517.52</v>
      </c>
    </row>
    <row r="8729" spans="1:8" x14ac:dyDescent="0.3">
      <c r="A8729" s="400"/>
      <c r="B8729" s="709">
        <v>99267</v>
      </c>
      <c r="C8729" s="710" t="s">
        <v>7253</v>
      </c>
      <c r="D8729" s="709" t="s">
        <v>136</v>
      </c>
      <c r="E8729" s="716">
        <v>5305.41</v>
      </c>
      <c r="F8729" s="717">
        <v>0</v>
      </c>
      <c r="G8729">
        <f>VLOOKUP(B8729,'SINAPI-%MO'!B:E,4,0)</f>
        <v>0.44109999999999999</v>
      </c>
      <c r="H8729" s="225">
        <f t="shared" si="136"/>
        <v>2965.19</v>
      </c>
    </row>
    <row r="8730" spans="1:8" x14ac:dyDescent="0.3">
      <c r="A8730" s="400"/>
      <c r="B8730" s="709">
        <v>99274</v>
      </c>
      <c r="C8730" s="710" t="s">
        <v>7254</v>
      </c>
      <c r="D8730" s="709" t="s">
        <v>136</v>
      </c>
      <c r="E8730" s="716">
        <v>6124.45</v>
      </c>
      <c r="F8730" s="717">
        <v>0</v>
      </c>
      <c r="G8730">
        <f>VLOOKUP(B8730,'SINAPI-%MO'!B:E,4,0)</f>
        <v>0.43709999999999999</v>
      </c>
      <c r="H8730" s="225">
        <f t="shared" si="136"/>
        <v>3447.45</v>
      </c>
    </row>
    <row r="8731" spans="1:8" x14ac:dyDescent="0.3">
      <c r="A8731" s="400"/>
      <c r="B8731" s="709">
        <v>99279</v>
      </c>
      <c r="C8731" s="710" t="s">
        <v>7255</v>
      </c>
      <c r="D8731" s="709" t="s">
        <v>136</v>
      </c>
      <c r="E8731" s="716">
        <v>6912.81</v>
      </c>
      <c r="F8731" s="717">
        <v>0</v>
      </c>
      <c r="G8731">
        <f>VLOOKUP(B8731,'SINAPI-%MO'!B:E,4,0)</f>
        <v>0.436</v>
      </c>
      <c r="H8731" s="225">
        <f t="shared" si="136"/>
        <v>3898.82</v>
      </c>
    </row>
    <row r="8732" spans="1:8" x14ac:dyDescent="0.3">
      <c r="A8732" s="400"/>
      <c r="B8732" s="709">
        <v>99286</v>
      </c>
      <c r="C8732" s="710" t="s">
        <v>7256</v>
      </c>
      <c r="D8732" s="709" t="s">
        <v>136</v>
      </c>
      <c r="E8732" s="716">
        <v>7701.29</v>
      </c>
      <c r="F8732" s="717">
        <v>0</v>
      </c>
      <c r="G8732">
        <f>VLOOKUP(B8732,'SINAPI-%MO'!B:E,4,0)</f>
        <v>0.435</v>
      </c>
      <c r="H8732" s="225">
        <f t="shared" si="136"/>
        <v>4351.22</v>
      </c>
    </row>
    <row r="8733" spans="1:8" x14ac:dyDescent="0.3">
      <c r="A8733" s="400"/>
      <c r="B8733" s="709">
        <v>99326</v>
      </c>
      <c r="C8733" s="710" t="s">
        <v>7257</v>
      </c>
      <c r="D8733" s="709" t="s">
        <v>136</v>
      </c>
      <c r="E8733" s="716">
        <v>9503.7800000000007</v>
      </c>
      <c r="F8733" s="717">
        <v>0</v>
      </c>
      <c r="G8733">
        <f>VLOOKUP(B8733,'SINAPI-%MO'!B:E,4,0)</f>
        <v>0.39389999999999997</v>
      </c>
      <c r="H8733" s="225">
        <f t="shared" si="136"/>
        <v>5760.24</v>
      </c>
    </row>
    <row r="8734" spans="1:8" x14ac:dyDescent="0.3">
      <c r="A8734" s="400"/>
      <c r="B8734" s="709">
        <v>99287</v>
      </c>
      <c r="C8734" s="710" t="s">
        <v>7258</v>
      </c>
      <c r="D8734" s="709" t="s">
        <v>136</v>
      </c>
      <c r="E8734" s="716">
        <v>10945.03</v>
      </c>
      <c r="F8734" s="717">
        <v>0</v>
      </c>
      <c r="G8734">
        <f>VLOOKUP(B8734,'SINAPI-%MO'!B:E,4,0)</f>
        <v>0.38969999999999999</v>
      </c>
      <c r="H8734" s="225">
        <f t="shared" si="136"/>
        <v>6679.75</v>
      </c>
    </row>
    <row r="8735" spans="1:8" x14ac:dyDescent="0.3">
      <c r="A8735" s="400"/>
      <c r="B8735" s="709">
        <v>99298</v>
      </c>
      <c r="C8735" s="710" t="s">
        <v>7259</v>
      </c>
      <c r="D8735" s="709" t="s">
        <v>136</v>
      </c>
      <c r="E8735" s="716">
        <v>12386.32</v>
      </c>
      <c r="F8735" s="717">
        <v>0</v>
      </c>
      <c r="G8735">
        <f>VLOOKUP(B8735,'SINAPI-%MO'!B:E,4,0)</f>
        <v>0.38640000000000002</v>
      </c>
      <c r="H8735" s="225">
        <f t="shared" si="136"/>
        <v>7600.24</v>
      </c>
    </row>
    <row r="8736" spans="1:8" x14ac:dyDescent="0.3">
      <c r="A8736" s="400"/>
      <c r="B8736" s="709">
        <v>99300</v>
      </c>
      <c r="C8736" s="710" t="s">
        <v>7260</v>
      </c>
      <c r="D8736" s="709" t="s">
        <v>136</v>
      </c>
      <c r="E8736" s="716">
        <v>13827.61</v>
      </c>
      <c r="F8736" s="717">
        <v>0</v>
      </c>
      <c r="G8736">
        <f>VLOOKUP(B8736,'SINAPI-%MO'!B:E,4,0)</f>
        <v>0.38390000000000002</v>
      </c>
      <c r="H8736" s="225">
        <f t="shared" si="136"/>
        <v>8519.19</v>
      </c>
    </row>
    <row r="8737" spans="1:8" x14ac:dyDescent="0.3">
      <c r="A8737" s="400"/>
      <c r="B8737" s="709">
        <v>99301</v>
      </c>
      <c r="C8737" s="710" t="s">
        <v>7261</v>
      </c>
      <c r="D8737" s="709" t="s">
        <v>136</v>
      </c>
      <c r="E8737" s="716">
        <v>6838.87</v>
      </c>
      <c r="F8737" s="717">
        <v>0</v>
      </c>
      <c r="G8737">
        <f>VLOOKUP(B8737,'SINAPI-%MO'!B:E,4,0)</f>
        <v>0.4178</v>
      </c>
      <c r="H8737" s="225">
        <f t="shared" si="136"/>
        <v>3981.59</v>
      </c>
    </row>
    <row r="8738" spans="1:8" x14ac:dyDescent="0.3">
      <c r="A8738" s="400"/>
      <c r="B8738" s="709">
        <v>99312</v>
      </c>
      <c r="C8738" s="710" t="s">
        <v>7262</v>
      </c>
      <c r="D8738" s="709" t="s">
        <v>136</v>
      </c>
      <c r="E8738" s="716">
        <v>8020.29</v>
      </c>
      <c r="F8738" s="717">
        <v>0</v>
      </c>
      <c r="G8738">
        <f>VLOOKUP(B8738,'SINAPI-%MO'!B:E,4,0)</f>
        <v>0.41339999999999999</v>
      </c>
      <c r="H8738" s="225">
        <f t="shared" si="136"/>
        <v>4704.7</v>
      </c>
    </row>
    <row r="8739" spans="1:8" x14ac:dyDescent="0.3">
      <c r="A8739" s="400"/>
      <c r="B8739" s="709">
        <v>99320</v>
      </c>
      <c r="C8739" s="710" t="s">
        <v>7263</v>
      </c>
      <c r="D8739" s="709" t="s">
        <v>136</v>
      </c>
      <c r="E8739" s="716">
        <v>9263.2099999999991</v>
      </c>
      <c r="F8739" s="717">
        <v>0</v>
      </c>
      <c r="G8739">
        <f>VLOOKUP(B8739,'SINAPI-%MO'!B:E,4,0)</f>
        <v>0.40749999999999997</v>
      </c>
      <c r="H8739" s="225">
        <f t="shared" si="136"/>
        <v>5488.45</v>
      </c>
    </row>
    <row r="8740" spans="1:8" x14ac:dyDescent="0.3">
      <c r="A8740" s="400"/>
      <c r="B8740" s="709">
        <v>99322</v>
      </c>
      <c r="C8740" s="710" t="s">
        <v>7264</v>
      </c>
      <c r="D8740" s="709" t="s">
        <v>136</v>
      </c>
      <c r="E8740" s="716">
        <v>10452.42</v>
      </c>
      <c r="F8740" s="717">
        <v>0</v>
      </c>
      <c r="G8740">
        <f>VLOOKUP(B8740,'SINAPI-%MO'!B:E,4,0)</f>
        <v>0.40500000000000003</v>
      </c>
      <c r="H8740" s="225">
        <f t="shared" si="136"/>
        <v>6219.18</v>
      </c>
    </row>
    <row r="8741" spans="1:8" x14ac:dyDescent="0.3">
      <c r="A8741" s="400"/>
      <c r="B8741" s="709">
        <v>99324</v>
      </c>
      <c r="C8741" s="710" t="s">
        <v>7265</v>
      </c>
      <c r="D8741" s="709" t="s">
        <v>136</v>
      </c>
      <c r="E8741" s="716">
        <v>11641.7</v>
      </c>
      <c r="F8741" s="717">
        <v>0</v>
      </c>
      <c r="G8741">
        <f>VLOOKUP(B8741,'SINAPI-%MO'!B:E,4,0)</f>
        <v>0.40300000000000002</v>
      </c>
      <c r="H8741" s="225">
        <f t="shared" si="136"/>
        <v>6950.09</v>
      </c>
    </row>
    <row r="8742" spans="1:8" x14ac:dyDescent="0.3">
      <c r="A8742" s="400"/>
      <c r="B8742" s="709">
        <v>99310</v>
      </c>
      <c r="C8742" s="710" t="s">
        <v>7266</v>
      </c>
      <c r="D8742" s="709" t="s">
        <v>136</v>
      </c>
      <c r="E8742" s="716">
        <v>16254.19</v>
      </c>
      <c r="F8742" s="717">
        <v>0</v>
      </c>
      <c r="G8742">
        <f>VLOOKUP(B8742,'SINAPI-%MO'!B:E,4,0)</f>
        <v>0.37390000000000001</v>
      </c>
      <c r="H8742" s="225">
        <f t="shared" si="136"/>
        <v>10176.74</v>
      </c>
    </row>
    <row r="8743" spans="1:8" x14ac:dyDescent="0.3">
      <c r="A8743" s="400"/>
      <c r="B8743" s="709">
        <v>99313</v>
      </c>
      <c r="C8743" s="710" t="s">
        <v>7267</v>
      </c>
      <c r="D8743" s="709" t="s">
        <v>136</v>
      </c>
      <c r="E8743" s="716">
        <v>18131.48</v>
      </c>
      <c r="F8743" s="717">
        <v>0</v>
      </c>
      <c r="G8743">
        <f>VLOOKUP(B8743,'SINAPI-%MO'!B:E,4,0)</f>
        <v>0.37069999999999997</v>
      </c>
      <c r="H8743" s="225">
        <f t="shared" si="136"/>
        <v>11410.14</v>
      </c>
    </row>
    <row r="8744" spans="1:8" x14ac:dyDescent="0.3">
      <c r="A8744" s="400"/>
      <c r="B8744" s="709">
        <v>99303</v>
      </c>
      <c r="C8744" s="710" t="s">
        <v>7268</v>
      </c>
      <c r="D8744" s="709" t="s">
        <v>136</v>
      </c>
      <c r="E8744" s="716">
        <v>12660.83</v>
      </c>
      <c r="F8744" s="717">
        <v>0</v>
      </c>
      <c r="G8744">
        <f>VLOOKUP(B8744,'SINAPI-%MO'!B:E,4,0)</f>
        <v>0.38300000000000001</v>
      </c>
      <c r="H8744" s="225">
        <f t="shared" si="136"/>
        <v>7811.73</v>
      </c>
    </row>
    <row r="8745" spans="1:8" x14ac:dyDescent="0.3">
      <c r="A8745" s="400"/>
      <c r="B8745" s="709">
        <v>99305</v>
      </c>
      <c r="C8745" s="710" t="s">
        <v>7269</v>
      </c>
      <c r="D8745" s="709" t="s">
        <v>136</v>
      </c>
      <c r="E8745" s="716">
        <v>14320.18</v>
      </c>
      <c r="F8745" s="717">
        <v>0</v>
      </c>
      <c r="G8745">
        <f>VLOOKUP(B8745,'SINAPI-%MO'!B:E,4,0)</f>
        <v>0.37930000000000003</v>
      </c>
      <c r="H8745" s="225">
        <f t="shared" si="136"/>
        <v>8888.5300000000007</v>
      </c>
    </row>
    <row r="8746" spans="1:8" x14ac:dyDescent="0.3">
      <c r="A8746" s="400"/>
      <c r="B8746" s="709">
        <v>99308</v>
      </c>
      <c r="C8746" s="710" t="s">
        <v>7270</v>
      </c>
      <c r="D8746" s="709" t="s">
        <v>136</v>
      </c>
      <c r="E8746" s="716">
        <v>15979.59</v>
      </c>
      <c r="F8746" s="717">
        <v>0</v>
      </c>
      <c r="G8746">
        <f>VLOOKUP(B8746,'SINAPI-%MO'!B:E,4,0)</f>
        <v>0.37640000000000001</v>
      </c>
      <c r="H8746" s="225">
        <f t="shared" si="136"/>
        <v>9964.8700000000008</v>
      </c>
    </row>
    <row r="8747" spans="1:8" x14ac:dyDescent="0.3">
      <c r="A8747" s="400"/>
      <c r="B8747" s="709">
        <v>99315</v>
      </c>
      <c r="C8747" s="710" t="s">
        <v>7271</v>
      </c>
      <c r="D8747" s="709" t="s">
        <v>136</v>
      </c>
      <c r="E8747" s="716">
        <v>20283.5</v>
      </c>
      <c r="F8747" s="717">
        <v>0</v>
      </c>
      <c r="G8747">
        <f>VLOOKUP(B8747,'SINAPI-%MO'!B:E,4,0)</f>
        <v>0.36630000000000001</v>
      </c>
      <c r="H8747" s="225">
        <f t="shared" si="136"/>
        <v>12853.65</v>
      </c>
    </row>
    <row r="8748" spans="1:8" x14ac:dyDescent="0.3">
      <c r="A8748" s="400"/>
      <c r="B8748" s="709">
        <v>98008</v>
      </c>
      <c r="C8748" s="710" t="s">
        <v>7272</v>
      </c>
      <c r="D8748" s="709" t="s">
        <v>136</v>
      </c>
      <c r="E8748" s="716">
        <v>4735.87</v>
      </c>
      <c r="F8748" s="717">
        <v>0</v>
      </c>
      <c r="G8748">
        <f>VLOOKUP(B8748,'SINAPI-%MO'!B:E,4,0)</f>
        <v>0.42330000000000001</v>
      </c>
      <c r="H8748" s="225">
        <f t="shared" si="136"/>
        <v>2731.17</v>
      </c>
    </row>
    <row r="8749" spans="1:8" x14ac:dyDescent="0.3">
      <c r="A8749" s="400"/>
      <c r="B8749" s="709">
        <v>98010</v>
      </c>
      <c r="C8749" s="710" t="s">
        <v>7273</v>
      </c>
      <c r="D8749" s="709" t="s">
        <v>136</v>
      </c>
      <c r="E8749" s="716">
        <v>5779.03</v>
      </c>
      <c r="F8749" s="717">
        <v>0</v>
      </c>
      <c r="G8749">
        <f>VLOOKUP(B8749,'SINAPI-%MO'!B:E,4,0)</f>
        <v>0.41610000000000003</v>
      </c>
      <c r="H8749" s="225">
        <f t="shared" si="136"/>
        <v>3374.37</v>
      </c>
    </row>
    <row r="8750" spans="1:8" x14ac:dyDescent="0.3">
      <c r="A8750" s="400"/>
      <c r="B8750" s="709">
        <v>98012</v>
      </c>
      <c r="C8750" s="710" t="s">
        <v>7274</v>
      </c>
      <c r="D8750" s="709" t="s">
        <v>136</v>
      </c>
      <c r="E8750" s="716">
        <v>6794.44</v>
      </c>
      <c r="F8750" s="717">
        <v>0</v>
      </c>
      <c r="G8750">
        <f>VLOOKUP(B8750,'SINAPI-%MO'!B:E,4,0)</f>
        <v>0.4128</v>
      </c>
      <c r="H8750" s="225">
        <f t="shared" si="136"/>
        <v>3989.69</v>
      </c>
    </row>
    <row r="8751" spans="1:8" x14ac:dyDescent="0.3">
      <c r="A8751" s="400"/>
      <c r="B8751" s="709">
        <v>98014</v>
      </c>
      <c r="C8751" s="710" t="s">
        <v>7275</v>
      </c>
      <c r="D8751" s="709" t="s">
        <v>136</v>
      </c>
      <c r="E8751" s="716">
        <v>7809.76</v>
      </c>
      <c r="F8751" s="717">
        <v>0</v>
      </c>
      <c r="G8751">
        <f>VLOOKUP(B8751,'SINAPI-%MO'!B:E,4,0)</f>
        <v>0.41039999999999999</v>
      </c>
      <c r="H8751" s="225">
        <f t="shared" si="136"/>
        <v>4604.63</v>
      </c>
    </row>
    <row r="8752" spans="1:8" x14ac:dyDescent="0.3">
      <c r="A8752" s="400"/>
      <c r="B8752" s="709">
        <v>98016</v>
      </c>
      <c r="C8752" s="710" t="s">
        <v>7276</v>
      </c>
      <c r="D8752" s="709" t="s">
        <v>136</v>
      </c>
      <c r="E8752" s="716">
        <v>8825.26</v>
      </c>
      <c r="F8752" s="717">
        <v>0</v>
      </c>
      <c r="G8752">
        <f>VLOOKUP(B8752,'SINAPI-%MO'!B:E,4,0)</f>
        <v>0.40849999999999997</v>
      </c>
      <c r="H8752" s="225">
        <f t="shared" si="136"/>
        <v>5220.1400000000003</v>
      </c>
    </row>
    <row r="8753" spans="1:8" x14ac:dyDescent="0.3">
      <c r="A8753" s="400"/>
      <c r="B8753" s="709">
        <v>98018</v>
      </c>
      <c r="C8753" s="710" t="s">
        <v>7277</v>
      </c>
      <c r="D8753" s="709" t="s">
        <v>136</v>
      </c>
      <c r="E8753" s="716">
        <v>9840.59</v>
      </c>
      <c r="F8753" s="717">
        <v>0</v>
      </c>
      <c r="G8753">
        <f>VLOOKUP(B8753,'SINAPI-%MO'!B:E,4,0)</f>
        <v>0.40699999999999997</v>
      </c>
      <c r="H8753" s="225">
        <f t="shared" si="136"/>
        <v>5835.46</v>
      </c>
    </row>
    <row r="8754" spans="1:8" x14ac:dyDescent="0.3">
      <c r="A8754" s="400"/>
      <c r="B8754" s="709">
        <v>97994</v>
      </c>
      <c r="C8754" s="710" t="s">
        <v>7278</v>
      </c>
      <c r="D8754" s="709" t="s">
        <v>136</v>
      </c>
      <c r="E8754" s="716">
        <v>3020.98</v>
      </c>
      <c r="F8754" s="717">
        <v>0</v>
      </c>
      <c r="G8754">
        <f>VLOOKUP(B8754,'SINAPI-%MO'!B:E,4,0)</f>
        <v>0.4425</v>
      </c>
      <c r="H8754" s="225">
        <f t="shared" si="136"/>
        <v>1684.19</v>
      </c>
    </row>
    <row r="8755" spans="1:8" x14ac:dyDescent="0.3">
      <c r="A8755" s="400"/>
      <c r="B8755" s="709">
        <v>97996</v>
      </c>
      <c r="C8755" s="710" t="s">
        <v>7279</v>
      </c>
      <c r="D8755" s="709" t="s">
        <v>136</v>
      </c>
      <c r="E8755" s="716">
        <v>3823.64</v>
      </c>
      <c r="F8755" s="717">
        <v>0</v>
      </c>
      <c r="G8755">
        <f>VLOOKUP(B8755,'SINAPI-%MO'!B:E,4,0)</f>
        <v>0.43809999999999999</v>
      </c>
      <c r="H8755" s="225">
        <f t="shared" si="136"/>
        <v>2148.5</v>
      </c>
    </row>
    <row r="8756" spans="1:8" x14ac:dyDescent="0.3">
      <c r="A8756" s="400"/>
      <c r="B8756" s="709">
        <v>98407</v>
      </c>
      <c r="C8756" s="710" t="s">
        <v>7280</v>
      </c>
      <c r="D8756" s="709" t="s">
        <v>136</v>
      </c>
      <c r="E8756" s="716">
        <v>4626.2299999999996</v>
      </c>
      <c r="F8756" s="717">
        <v>0</v>
      </c>
      <c r="G8756">
        <f>VLOOKUP(B8756,'SINAPI-%MO'!B:E,4,0)</f>
        <v>0.43519999999999998</v>
      </c>
      <c r="H8756" s="225">
        <f t="shared" si="136"/>
        <v>2612.89</v>
      </c>
    </row>
    <row r="8757" spans="1:8" x14ac:dyDescent="0.3">
      <c r="A8757" s="400"/>
      <c r="B8757" s="709">
        <v>98408</v>
      </c>
      <c r="C8757" s="710" t="s">
        <v>7281</v>
      </c>
      <c r="D8757" s="709" t="s">
        <v>136</v>
      </c>
      <c r="E8757" s="716">
        <v>5428.86</v>
      </c>
      <c r="F8757" s="717">
        <v>0</v>
      </c>
      <c r="G8757">
        <f>VLOOKUP(B8757,'SINAPI-%MO'!B:E,4,0)</f>
        <v>0.43319999999999997</v>
      </c>
      <c r="H8757" s="225">
        <f t="shared" si="136"/>
        <v>3077.07</v>
      </c>
    </row>
    <row r="8758" spans="1:8" x14ac:dyDescent="0.3">
      <c r="A8758" s="400"/>
      <c r="B8758" s="709">
        <v>98002</v>
      </c>
      <c r="C8758" s="710" t="s">
        <v>7282</v>
      </c>
      <c r="D8758" s="709" t="s">
        <v>136</v>
      </c>
      <c r="E8758" s="716">
        <v>6266.53</v>
      </c>
      <c r="F8758" s="717">
        <v>0</v>
      </c>
      <c r="G8758">
        <f>VLOOKUP(B8758,'SINAPI-%MO'!B:E,4,0)</f>
        <v>0.42930000000000001</v>
      </c>
      <c r="H8758" s="225">
        <f t="shared" si="136"/>
        <v>3576.3</v>
      </c>
    </row>
    <row r="8759" spans="1:8" x14ac:dyDescent="0.3">
      <c r="A8759" s="400"/>
      <c r="B8759" s="709">
        <v>98406</v>
      </c>
      <c r="C8759" s="710" t="s">
        <v>7283</v>
      </c>
      <c r="D8759" s="709" t="s">
        <v>136</v>
      </c>
      <c r="E8759" s="716">
        <v>7073.54</v>
      </c>
      <c r="F8759" s="717">
        <v>0</v>
      </c>
      <c r="G8759">
        <f>VLOOKUP(B8759,'SINAPI-%MO'!B:E,4,0)</f>
        <v>0.42820000000000003</v>
      </c>
      <c r="H8759" s="225">
        <f t="shared" si="136"/>
        <v>4044.65</v>
      </c>
    </row>
    <row r="8760" spans="1:8" x14ac:dyDescent="0.3">
      <c r="A8760" s="400"/>
      <c r="B8760" s="709">
        <v>98006</v>
      </c>
      <c r="C8760" s="710" t="s">
        <v>7284</v>
      </c>
      <c r="D8760" s="709" t="s">
        <v>136</v>
      </c>
      <c r="E8760" s="716">
        <v>7880.64</v>
      </c>
      <c r="F8760" s="717">
        <v>0</v>
      </c>
      <c r="G8760">
        <f>VLOOKUP(B8760,'SINAPI-%MO'!B:E,4,0)</f>
        <v>0.42730000000000001</v>
      </c>
      <c r="H8760" s="225">
        <f t="shared" si="136"/>
        <v>4513.24</v>
      </c>
    </row>
    <row r="8761" spans="1:8" x14ac:dyDescent="0.3">
      <c r="A8761" s="400"/>
      <c r="B8761" s="709">
        <v>98030</v>
      </c>
      <c r="C8761" s="710" t="s">
        <v>7285</v>
      </c>
      <c r="D8761" s="709" t="s">
        <v>136</v>
      </c>
      <c r="E8761" s="716">
        <v>9723.75</v>
      </c>
      <c r="F8761" s="717">
        <v>0</v>
      </c>
      <c r="G8761">
        <f>VLOOKUP(B8761,'SINAPI-%MO'!B:E,4,0)</f>
        <v>0.3871</v>
      </c>
      <c r="H8761" s="225">
        <f t="shared" si="136"/>
        <v>5959.68</v>
      </c>
    </row>
    <row r="8762" spans="1:8" x14ac:dyDescent="0.3">
      <c r="A8762" s="400"/>
      <c r="B8762" s="709">
        <v>98032</v>
      </c>
      <c r="C8762" s="710" t="s">
        <v>7286</v>
      </c>
      <c r="D8762" s="709" t="s">
        <v>136</v>
      </c>
      <c r="E8762" s="716">
        <v>11199.15</v>
      </c>
      <c r="F8762" s="717">
        <v>0</v>
      </c>
      <c r="G8762">
        <f>VLOOKUP(B8762,'SINAPI-%MO'!B:E,4,0)</f>
        <v>0.38300000000000001</v>
      </c>
      <c r="H8762" s="225">
        <f t="shared" si="136"/>
        <v>6909.87</v>
      </c>
    </row>
    <row r="8763" spans="1:8" x14ac:dyDescent="0.3">
      <c r="A8763" s="400"/>
      <c r="B8763" s="709">
        <v>98034</v>
      </c>
      <c r="C8763" s="710" t="s">
        <v>7287</v>
      </c>
      <c r="D8763" s="709" t="s">
        <v>136</v>
      </c>
      <c r="E8763" s="716">
        <v>12674.58</v>
      </c>
      <c r="F8763" s="717">
        <v>0</v>
      </c>
      <c r="G8763">
        <f>VLOOKUP(B8763,'SINAPI-%MO'!B:E,4,0)</f>
        <v>0.37980000000000003</v>
      </c>
      <c r="H8763" s="225">
        <f t="shared" si="136"/>
        <v>7860.77</v>
      </c>
    </row>
    <row r="8764" spans="1:8" x14ac:dyDescent="0.3">
      <c r="A8764" s="400"/>
      <c r="B8764" s="709">
        <v>98036</v>
      </c>
      <c r="C8764" s="710" t="s">
        <v>7288</v>
      </c>
      <c r="D8764" s="709" t="s">
        <v>136</v>
      </c>
      <c r="E8764" s="716">
        <v>14150.01</v>
      </c>
      <c r="F8764" s="717">
        <v>0</v>
      </c>
      <c r="G8764">
        <f>VLOOKUP(B8764,'SINAPI-%MO'!B:E,4,0)</f>
        <v>0.37730000000000002</v>
      </c>
      <c r="H8764" s="225">
        <f t="shared" si="136"/>
        <v>8811.2099999999991</v>
      </c>
    </row>
    <row r="8765" spans="1:8" x14ac:dyDescent="0.3">
      <c r="A8765" s="400"/>
      <c r="B8765" s="709">
        <v>98020</v>
      </c>
      <c r="C8765" s="710" t="s">
        <v>7289</v>
      </c>
      <c r="D8765" s="709" t="s">
        <v>136</v>
      </c>
      <c r="E8765" s="716">
        <v>6996.71</v>
      </c>
      <c r="F8765" s="717">
        <v>0</v>
      </c>
      <c r="G8765">
        <f>VLOOKUP(B8765,'SINAPI-%MO'!B:E,4,0)</f>
        <v>0.41049999999999998</v>
      </c>
      <c r="H8765" s="225">
        <f t="shared" si="136"/>
        <v>4124.5600000000004</v>
      </c>
    </row>
    <row r="8766" spans="1:8" x14ac:dyDescent="0.3">
      <c r="A8766" s="400"/>
      <c r="B8766" s="709">
        <v>98022</v>
      </c>
      <c r="C8766" s="710" t="s">
        <v>7290</v>
      </c>
      <c r="D8766" s="709" t="s">
        <v>136</v>
      </c>
      <c r="E8766" s="716">
        <v>8205.64</v>
      </c>
      <c r="F8766" s="717">
        <v>0</v>
      </c>
      <c r="G8766">
        <f>VLOOKUP(B8766,'SINAPI-%MO'!B:E,4,0)</f>
        <v>0.40620000000000001</v>
      </c>
      <c r="H8766" s="225">
        <f t="shared" si="136"/>
        <v>4872.5</v>
      </c>
    </row>
    <row r="8767" spans="1:8" x14ac:dyDescent="0.3">
      <c r="A8767" s="400"/>
      <c r="B8767" s="709">
        <v>98024</v>
      </c>
      <c r="C8767" s="710" t="s">
        <v>7291</v>
      </c>
      <c r="D8767" s="709" t="s">
        <v>136</v>
      </c>
      <c r="E8767" s="716">
        <v>9476.1</v>
      </c>
      <c r="F8767" s="717">
        <v>0</v>
      </c>
      <c r="G8767">
        <f>VLOOKUP(B8767,'SINAPI-%MO'!B:E,4,0)</f>
        <v>0.40039999999999998</v>
      </c>
      <c r="H8767" s="225">
        <f t="shared" si="136"/>
        <v>5681.86</v>
      </c>
    </row>
    <row r="8768" spans="1:8" x14ac:dyDescent="0.3">
      <c r="A8768" s="400"/>
      <c r="B8768" s="709">
        <v>98026</v>
      </c>
      <c r="C8768" s="710" t="s">
        <v>7292</v>
      </c>
      <c r="D8768" s="709" t="s">
        <v>136</v>
      </c>
      <c r="E8768" s="716">
        <v>10692.82</v>
      </c>
      <c r="F8768" s="717">
        <v>0</v>
      </c>
      <c r="G8768">
        <f>VLOOKUP(B8768,'SINAPI-%MO'!B:E,4,0)</f>
        <v>0.39800000000000002</v>
      </c>
      <c r="H8768" s="225">
        <f t="shared" si="136"/>
        <v>6437.07</v>
      </c>
    </row>
    <row r="8769" spans="1:8" x14ac:dyDescent="0.3">
      <c r="A8769" s="400"/>
      <c r="B8769" s="709">
        <v>98028</v>
      </c>
      <c r="C8769" s="710" t="s">
        <v>7293</v>
      </c>
      <c r="D8769" s="709" t="s">
        <v>136</v>
      </c>
      <c r="E8769" s="716">
        <v>11909.63</v>
      </c>
      <c r="F8769" s="717">
        <v>0</v>
      </c>
      <c r="G8769">
        <f>VLOOKUP(B8769,'SINAPI-%MO'!B:E,4,0)</f>
        <v>0.39600000000000002</v>
      </c>
      <c r="H8769" s="225">
        <f t="shared" si="136"/>
        <v>7193.41</v>
      </c>
    </row>
    <row r="8770" spans="1:8" x14ac:dyDescent="0.3">
      <c r="A8770" s="400"/>
      <c r="B8770" s="709">
        <v>98044</v>
      </c>
      <c r="C8770" s="710" t="s">
        <v>7294</v>
      </c>
      <c r="D8770" s="709" t="s">
        <v>136</v>
      </c>
      <c r="E8770" s="716">
        <v>16633.759999999998</v>
      </c>
      <c r="F8770" s="717">
        <v>0</v>
      </c>
      <c r="G8770">
        <f>VLOOKUP(B8770,'SINAPI-%MO'!B:E,4,0)</f>
        <v>0.36749999999999999</v>
      </c>
      <c r="H8770" s="225">
        <f t="shared" si="136"/>
        <v>10520.85</v>
      </c>
    </row>
    <row r="8771" spans="1:8" x14ac:dyDescent="0.3">
      <c r="A8771" s="400"/>
      <c r="B8771" s="709">
        <v>98046</v>
      </c>
      <c r="C8771" s="710" t="s">
        <v>7295</v>
      </c>
      <c r="D8771" s="709" t="s">
        <v>136</v>
      </c>
      <c r="E8771" s="716">
        <v>18555.13</v>
      </c>
      <c r="F8771" s="717">
        <v>0</v>
      </c>
      <c r="G8771">
        <f>VLOOKUP(B8771,'SINAPI-%MO'!B:E,4,0)</f>
        <v>0.3644</v>
      </c>
      <c r="H8771" s="225">
        <f t="shared" si="136"/>
        <v>11793.64</v>
      </c>
    </row>
    <row r="8772" spans="1:8" x14ac:dyDescent="0.3">
      <c r="A8772" s="400"/>
      <c r="B8772" s="709">
        <v>98038</v>
      </c>
      <c r="C8772" s="710" t="s">
        <v>7296</v>
      </c>
      <c r="D8772" s="709" t="s">
        <v>136</v>
      </c>
      <c r="E8772" s="716">
        <v>12955.61</v>
      </c>
      <c r="F8772" s="717">
        <v>0</v>
      </c>
      <c r="G8772">
        <f>VLOOKUP(B8772,'SINAPI-%MO'!B:E,4,0)</f>
        <v>0.37640000000000001</v>
      </c>
      <c r="H8772" s="225">
        <f t="shared" si="136"/>
        <v>8079.11</v>
      </c>
    </row>
    <row r="8773" spans="1:8" x14ac:dyDescent="0.3">
      <c r="A8773" s="400"/>
      <c r="B8773" s="709">
        <v>98040</v>
      </c>
      <c r="C8773" s="710" t="s">
        <v>7297</v>
      </c>
      <c r="D8773" s="709" t="s">
        <v>136</v>
      </c>
      <c r="E8773" s="716">
        <v>14654.09</v>
      </c>
      <c r="F8773" s="717">
        <v>0</v>
      </c>
      <c r="G8773">
        <f>VLOOKUP(B8773,'SINAPI-%MO'!B:E,4,0)</f>
        <v>0.37280000000000002</v>
      </c>
      <c r="H8773" s="225">
        <f t="shared" si="136"/>
        <v>9191.0400000000009</v>
      </c>
    </row>
    <row r="8774" spans="1:8" x14ac:dyDescent="0.3">
      <c r="A8774" s="400"/>
      <c r="B8774" s="709">
        <v>98042</v>
      </c>
      <c r="C8774" s="710" t="s">
        <v>7298</v>
      </c>
      <c r="D8774" s="709" t="s">
        <v>136</v>
      </c>
      <c r="E8774" s="716">
        <v>16352.62</v>
      </c>
      <c r="F8774" s="717">
        <v>0</v>
      </c>
      <c r="G8774">
        <f>VLOOKUP(B8774,'SINAPI-%MO'!B:E,4,0)</f>
        <v>0.37</v>
      </c>
      <c r="H8774" s="225">
        <f t="shared" si="136"/>
        <v>10302.15</v>
      </c>
    </row>
    <row r="8775" spans="1:8" x14ac:dyDescent="0.3">
      <c r="A8775" s="400"/>
      <c r="B8775" s="709">
        <v>98048</v>
      </c>
      <c r="C8775" s="710" t="s">
        <v>7299</v>
      </c>
      <c r="D8775" s="709" t="s">
        <v>136</v>
      </c>
      <c r="E8775" s="716">
        <v>20757.77</v>
      </c>
      <c r="F8775" s="717">
        <v>0</v>
      </c>
      <c r="G8775">
        <f>VLOOKUP(B8775,'SINAPI-%MO'!B:E,4,0)</f>
        <v>0.36</v>
      </c>
      <c r="H8775" s="225">
        <f t="shared" si="136"/>
        <v>13284.97</v>
      </c>
    </row>
    <row r="8776" spans="1:8" x14ac:dyDescent="0.3">
      <c r="A8776" s="400"/>
      <c r="B8776" s="709">
        <v>97955</v>
      </c>
      <c r="C8776" s="710" t="s">
        <v>7300</v>
      </c>
      <c r="D8776" s="709" t="s">
        <v>136</v>
      </c>
      <c r="E8776" s="716">
        <v>3610.03</v>
      </c>
      <c r="F8776" s="717">
        <v>0</v>
      </c>
      <c r="G8776">
        <f>VLOOKUP(B8776,'SINAPI-%MO'!B:E,4,0)</f>
        <v>0.2888</v>
      </c>
      <c r="H8776" s="225">
        <f t="shared" si="136"/>
        <v>2567.4499999999998</v>
      </c>
    </row>
    <row r="8777" spans="1:8" x14ac:dyDescent="0.3">
      <c r="A8777" s="400"/>
      <c r="B8777" s="709">
        <v>97948</v>
      </c>
      <c r="C8777" s="710" t="s">
        <v>7301</v>
      </c>
      <c r="D8777" s="709" t="s">
        <v>136</v>
      </c>
      <c r="E8777" s="716">
        <v>3787.44</v>
      </c>
      <c r="F8777" s="717">
        <v>0</v>
      </c>
      <c r="G8777">
        <f>VLOOKUP(B8777,'SINAPI-%MO'!B:E,4,0)</f>
        <v>0.34939999999999999</v>
      </c>
      <c r="H8777" s="225">
        <f t="shared" si="136"/>
        <v>2464.1</v>
      </c>
    </row>
    <row r="8778" spans="1:8" x14ac:dyDescent="0.3">
      <c r="A8778" s="400"/>
      <c r="B8778" s="709">
        <v>97934</v>
      </c>
      <c r="C8778" s="710" t="s">
        <v>7302</v>
      </c>
      <c r="D8778" s="709" t="s">
        <v>136</v>
      </c>
      <c r="E8778" s="716">
        <v>2689.52</v>
      </c>
      <c r="F8778" s="717">
        <v>0</v>
      </c>
      <c r="G8778">
        <f>VLOOKUP(B8778,'SINAPI-%MO'!B:E,4,0)</f>
        <v>0.2427</v>
      </c>
      <c r="H8778" s="225">
        <f t="shared" si="136"/>
        <v>2036.77</v>
      </c>
    </row>
    <row r="8779" spans="1:8" x14ac:dyDescent="0.3">
      <c r="A8779" s="400"/>
      <c r="B8779" s="709">
        <v>97953</v>
      </c>
      <c r="C8779" s="710" t="s">
        <v>7303</v>
      </c>
      <c r="D8779" s="709" t="s">
        <v>136</v>
      </c>
      <c r="E8779" s="716">
        <v>1673.09</v>
      </c>
      <c r="F8779" s="717">
        <v>0</v>
      </c>
      <c r="G8779">
        <f>VLOOKUP(B8779,'SINAPI-%MO'!B:E,4,0)</f>
        <v>0.2944</v>
      </c>
      <c r="H8779" s="225">
        <f t="shared" ref="H8779:H8842" si="137">IF(E8779&gt;0,TRUNC(E8779*(1-G8779),2),"")</f>
        <v>1180.53</v>
      </c>
    </row>
    <row r="8780" spans="1:8" x14ac:dyDescent="0.3">
      <c r="A8780" s="400"/>
      <c r="B8780" s="709">
        <v>97947</v>
      </c>
      <c r="C8780" s="710" t="s">
        <v>7304</v>
      </c>
      <c r="D8780" s="709" t="s">
        <v>136</v>
      </c>
      <c r="E8780" s="716">
        <v>2053.21</v>
      </c>
      <c r="F8780" s="717">
        <v>0</v>
      </c>
      <c r="G8780">
        <f>VLOOKUP(B8780,'SINAPI-%MO'!B:E,4,0)</f>
        <v>0.35580000000000001</v>
      </c>
      <c r="H8780" s="225">
        <f t="shared" si="137"/>
        <v>1322.67</v>
      </c>
    </row>
    <row r="8781" spans="1:8" x14ac:dyDescent="0.3">
      <c r="A8781" s="400"/>
      <c r="B8781" s="709">
        <v>97933</v>
      </c>
      <c r="C8781" s="710" t="s">
        <v>7305</v>
      </c>
      <c r="D8781" s="709" t="s">
        <v>136</v>
      </c>
      <c r="E8781" s="716">
        <v>1301.1099999999999</v>
      </c>
      <c r="F8781" s="717">
        <v>0</v>
      </c>
      <c r="G8781">
        <f>VLOOKUP(B8781,'SINAPI-%MO'!B:E,4,0)</f>
        <v>3.3399999999999999E-2</v>
      </c>
      <c r="H8781" s="225">
        <f t="shared" si="137"/>
        <v>1257.6500000000001</v>
      </c>
    </row>
    <row r="8782" spans="1:8" x14ac:dyDescent="0.3">
      <c r="A8782" s="400"/>
      <c r="B8782" s="709">
        <v>97961</v>
      </c>
      <c r="C8782" s="710" t="s">
        <v>7306</v>
      </c>
      <c r="D8782" s="709" t="s">
        <v>136</v>
      </c>
      <c r="E8782" s="716">
        <v>2891.39</v>
      </c>
      <c r="F8782" s="717">
        <v>0</v>
      </c>
      <c r="G8782">
        <f>VLOOKUP(B8782,'SINAPI-%MO'!B:E,4,0)</f>
        <v>0.35410000000000003</v>
      </c>
      <c r="H8782" s="225">
        <f t="shared" si="137"/>
        <v>1867.54</v>
      </c>
    </row>
    <row r="8783" spans="1:8" x14ac:dyDescent="0.3">
      <c r="A8783" s="400"/>
      <c r="B8783" s="709">
        <v>97951</v>
      </c>
      <c r="C8783" s="710" t="s">
        <v>272</v>
      </c>
      <c r="D8783" s="709" t="s">
        <v>136</v>
      </c>
      <c r="E8783" s="716">
        <v>3277.92</v>
      </c>
      <c r="F8783" s="717">
        <v>0</v>
      </c>
      <c r="G8783">
        <f>VLOOKUP(B8783,'SINAPI-%MO'!B:E,4,0)</f>
        <v>0.41010000000000002</v>
      </c>
      <c r="H8783" s="225">
        <f t="shared" si="137"/>
        <v>1933.64</v>
      </c>
    </row>
    <row r="8784" spans="1:8" x14ac:dyDescent="0.3">
      <c r="A8784" s="400"/>
      <c r="B8784" s="709">
        <v>97973</v>
      </c>
      <c r="C8784" s="710" t="s">
        <v>7307</v>
      </c>
      <c r="D8784" s="709" t="s">
        <v>136</v>
      </c>
      <c r="E8784" s="716">
        <v>5375.31</v>
      </c>
      <c r="F8784" s="717">
        <v>0</v>
      </c>
      <c r="G8784">
        <f>VLOOKUP(B8784,'SINAPI-%MO'!B:E,4,0)</f>
        <v>0.34939999999999999</v>
      </c>
      <c r="H8784" s="225">
        <f t="shared" si="137"/>
        <v>3497.17</v>
      </c>
    </row>
    <row r="8785" spans="1:8" x14ac:dyDescent="0.3">
      <c r="A8785" s="400"/>
      <c r="B8785" s="709">
        <v>97952</v>
      </c>
      <c r="C8785" s="710" t="s">
        <v>264</v>
      </c>
      <c r="D8785" s="709" t="s">
        <v>136</v>
      </c>
      <c r="E8785" s="716">
        <v>5677.63</v>
      </c>
      <c r="F8785" s="717">
        <v>0</v>
      </c>
      <c r="G8785">
        <f>VLOOKUP(B8785,'SINAPI-%MO'!B:E,4,0)</f>
        <v>0.40289999999999998</v>
      </c>
      <c r="H8785" s="225">
        <f t="shared" si="137"/>
        <v>3390.11</v>
      </c>
    </row>
    <row r="8786" spans="1:8" x14ac:dyDescent="0.3">
      <c r="A8786" s="400"/>
      <c r="B8786" s="709">
        <v>97957</v>
      </c>
      <c r="C8786" s="710" t="s">
        <v>7308</v>
      </c>
      <c r="D8786" s="709" t="s">
        <v>136</v>
      </c>
      <c r="E8786" s="716">
        <v>3133.27</v>
      </c>
      <c r="F8786" s="717">
        <v>0</v>
      </c>
      <c r="G8786">
        <f>VLOOKUP(B8786,'SINAPI-%MO'!B:E,4,0)</f>
        <v>0.44400000000000001</v>
      </c>
      <c r="H8786" s="225">
        <f t="shared" si="137"/>
        <v>1742.09</v>
      </c>
    </row>
    <row r="8787" spans="1:8" x14ac:dyDescent="0.3">
      <c r="A8787" s="400"/>
      <c r="B8787" s="709">
        <v>97950</v>
      </c>
      <c r="C8787" s="710" t="s">
        <v>262</v>
      </c>
      <c r="D8787" s="709" t="s">
        <v>136</v>
      </c>
      <c r="E8787" s="716">
        <v>3532.83</v>
      </c>
      <c r="F8787" s="717">
        <v>0</v>
      </c>
      <c r="G8787">
        <f>VLOOKUP(B8787,'SINAPI-%MO'!B:E,4,0)</f>
        <v>0.49709999999999999</v>
      </c>
      <c r="H8787" s="225">
        <f t="shared" si="137"/>
        <v>1776.66</v>
      </c>
    </row>
    <row r="8788" spans="1:8" x14ac:dyDescent="0.3">
      <c r="A8788" s="400"/>
      <c r="B8788" s="709">
        <v>97936</v>
      </c>
      <c r="C8788" s="710" t="s">
        <v>7309</v>
      </c>
      <c r="D8788" s="709" t="s">
        <v>136</v>
      </c>
      <c r="E8788" s="716">
        <v>2180.6</v>
      </c>
      <c r="F8788" s="717">
        <v>0</v>
      </c>
      <c r="G8788">
        <f>VLOOKUP(B8788,'SINAPI-%MO'!B:E,4,0)</f>
        <v>0.44869999999999999</v>
      </c>
      <c r="H8788" s="225">
        <f t="shared" si="137"/>
        <v>1202.1600000000001</v>
      </c>
    </row>
    <row r="8789" spans="1:8" x14ac:dyDescent="0.3">
      <c r="A8789" s="400"/>
      <c r="B8789" s="709">
        <v>97956</v>
      </c>
      <c r="C8789" s="710" t="s">
        <v>7310</v>
      </c>
      <c r="D8789" s="709" t="s">
        <v>136</v>
      </c>
      <c r="E8789" s="716">
        <v>1769.04</v>
      </c>
      <c r="F8789" s="717">
        <v>0</v>
      </c>
      <c r="G8789">
        <f>VLOOKUP(B8789,'SINAPI-%MO'!B:E,4,0)</f>
        <v>0.42920000000000003</v>
      </c>
      <c r="H8789" s="225">
        <f t="shared" si="137"/>
        <v>1009.76</v>
      </c>
    </row>
    <row r="8790" spans="1:8" x14ac:dyDescent="0.3">
      <c r="A8790" s="400"/>
      <c r="B8790" s="709">
        <v>97949</v>
      </c>
      <c r="C8790" s="710" t="s">
        <v>270</v>
      </c>
      <c r="D8790" s="709" t="s">
        <v>136</v>
      </c>
      <c r="E8790" s="716">
        <v>2010.2</v>
      </c>
      <c r="F8790" s="717">
        <v>0</v>
      </c>
      <c r="G8790">
        <f>VLOOKUP(B8790,'SINAPI-%MO'!B:E,4,0)</f>
        <v>0.49199999999999999</v>
      </c>
      <c r="H8790" s="225">
        <f t="shared" si="137"/>
        <v>1021.18</v>
      </c>
    </row>
    <row r="8791" spans="1:8" x14ac:dyDescent="0.3">
      <c r="A8791" s="400"/>
      <c r="B8791" s="709">
        <v>97935</v>
      </c>
      <c r="C8791" s="710" t="s">
        <v>7311</v>
      </c>
      <c r="D8791" s="709" t="s">
        <v>136</v>
      </c>
      <c r="E8791" s="716">
        <v>1030.68</v>
      </c>
      <c r="F8791" s="717">
        <v>0</v>
      </c>
      <c r="G8791">
        <f>VLOOKUP(B8791,'SINAPI-%MO'!B:E,4,0)</f>
        <v>0.19139999999999999</v>
      </c>
      <c r="H8791" s="225">
        <f t="shared" si="137"/>
        <v>833.4</v>
      </c>
    </row>
    <row r="8792" spans="1:8" x14ac:dyDescent="0.3">
      <c r="A8792" s="400"/>
      <c r="B8792" s="709">
        <v>99319</v>
      </c>
      <c r="C8792" s="710" t="s">
        <v>7312</v>
      </c>
      <c r="D8792" s="709" t="s">
        <v>159</v>
      </c>
      <c r="E8792" s="716">
        <v>1026.8900000000001</v>
      </c>
      <c r="F8792" s="717">
        <v>0</v>
      </c>
      <c r="G8792">
        <f>VLOOKUP(B8792,'SINAPI-%MO'!B:E,4,0)</f>
        <v>0.55930000000000002</v>
      </c>
      <c r="H8792" s="225">
        <f t="shared" si="137"/>
        <v>452.55</v>
      </c>
    </row>
    <row r="8793" spans="1:8" x14ac:dyDescent="0.3">
      <c r="A8793" s="400"/>
      <c r="B8793" s="709">
        <v>99318</v>
      </c>
      <c r="C8793" s="710" t="s">
        <v>7313</v>
      </c>
      <c r="D8793" s="709" t="s">
        <v>159</v>
      </c>
      <c r="E8793" s="716">
        <v>343.32</v>
      </c>
      <c r="F8793" s="717">
        <v>0</v>
      </c>
      <c r="G8793">
        <f>VLOOKUP(B8793,'SINAPI-%MO'!B:E,4,0)</f>
        <v>6.9500000000000006E-2</v>
      </c>
      <c r="H8793" s="225">
        <f t="shared" si="137"/>
        <v>319.45</v>
      </c>
    </row>
    <row r="8794" spans="1:8" x14ac:dyDescent="0.3">
      <c r="A8794" s="400"/>
      <c r="B8794" s="709">
        <v>98051</v>
      </c>
      <c r="C8794" s="710" t="s">
        <v>7314</v>
      </c>
      <c r="D8794" s="709" t="s">
        <v>159</v>
      </c>
      <c r="E8794" s="716">
        <v>1094.6099999999999</v>
      </c>
      <c r="F8794" s="717">
        <v>0</v>
      </c>
      <c r="G8794">
        <f>VLOOKUP(B8794,'SINAPI-%MO'!B:E,4,0)</f>
        <v>0.53049999999999997</v>
      </c>
      <c r="H8794" s="225">
        <f t="shared" si="137"/>
        <v>513.91</v>
      </c>
    </row>
    <row r="8795" spans="1:8" x14ac:dyDescent="0.3">
      <c r="A8795" s="400"/>
      <c r="B8795" s="709">
        <v>98050</v>
      </c>
      <c r="C8795" s="710" t="s">
        <v>7315</v>
      </c>
      <c r="D8795" s="709" t="s">
        <v>159</v>
      </c>
      <c r="E8795" s="716">
        <v>344.35</v>
      </c>
      <c r="F8795" s="717">
        <v>0</v>
      </c>
      <c r="G8795">
        <f>VLOOKUP(B8795,'SINAPI-%MO'!B:E,4,0)</f>
        <v>6.9599999999999995E-2</v>
      </c>
      <c r="H8795" s="225">
        <f t="shared" si="137"/>
        <v>320.38</v>
      </c>
    </row>
    <row r="8796" spans="1:8" x14ac:dyDescent="0.3">
      <c r="A8796" s="400"/>
      <c r="B8796" s="709">
        <v>99272</v>
      </c>
      <c r="C8796" s="710" t="s">
        <v>7316</v>
      </c>
      <c r="D8796" s="709" t="s">
        <v>136</v>
      </c>
      <c r="E8796" s="716">
        <v>1214.22</v>
      </c>
      <c r="F8796" s="717">
        <v>0</v>
      </c>
      <c r="G8796">
        <f>VLOOKUP(B8796,'SINAPI-%MO'!B:E,4,0)</f>
        <v>0.50509999999999999</v>
      </c>
      <c r="H8796" s="225">
        <f t="shared" si="137"/>
        <v>600.91</v>
      </c>
    </row>
    <row r="8797" spans="1:8" x14ac:dyDescent="0.3">
      <c r="A8797" s="400"/>
      <c r="B8797" s="709">
        <v>99273</v>
      </c>
      <c r="C8797" s="710" t="s">
        <v>7317</v>
      </c>
      <c r="D8797" s="709" t="s">
        <v>136</v>
      </c>
      <c r="E8797" s="716">
        <v>1733.8</v>
      </c>
      <c r="F8797" s="717">
        <v>0</v>
      </c>
      <c r="G8797">
        <f>VLOOKUP(B8797,'SINAPI-%MO'!B:E,4,0)</f>
        <v>0.52059999999999995</v>
      </c>
      <c r="H8797" s="225">
        <f t="shared" si="137"/>
        <v>831.18</v>
      </c>
    </row>
    <row r="8798" spans="1:8" x14ac:dyDescent="0.3">
      <c r="A8798" s="400"/>
      <c r="B8798" s="709">
        <v>99268</v>
      </c>
      <c r="C8798" s="710" t="s">
        <v>7318</v>
      </c>
      <c r="D8798" s="709" t="s">
        <v>136</v>
      </c>
      <c r="E8798" s="716">
        <v>560.53</v>
      </c>
      <c r="F8798" s="717">
        <v>0</v>
      </c>
      <c r="G8798">
        <f>VLOOKUP(B8798,'SINAPI-%MO'!B:E,4,0)</f>
        <v>0.22950000000000001</v>
      </c>
      <c r="H8798" s="225">
        <f t="shared" si="137"/>
        <v>431.88</v>
      </c>
    </row>
    <row r="8799" spans="1:8" x14ac:dyDescent="0.3">
      <c r="A8799" s="400"/>
      <c r="B8799" s="709">
        <v>99270</v>
      </c>
      <c r="C8799" s="710" t="s">
        <v>7319</v>
      </c>
      <c r="D8799" s="709" t="s">
        <v>136</v>
      </c>
      <c r="E8799" s="716">
        <v>736.11</v>
      </c>
      <c r="F8799" s="717">
        <v>0</v>
      </c>
      <c r="G8799">
        <f>VLOOKUP(B8799,'SINAPI-%MO'!B:E,4,0)</f>
        <v>0.19320000000000001</v>
      </c>
      <c r="H8799" s="225">
        <f t="shared" si="137"/>
        <v>593.89</v>
      </c>
    </row>
    <row r="8800" spans="1:8" x14ac:dyDescent="0.3">
      <c r="A8800" s="400"/>
      <c r="B8800" s="709">
        <v>97976</v>
      </c>
      <c r="C8800" s="710" t="s">
        <v>7320</v>
      </c>
      <c r="D8800" s="709" t="s">
        <v>136</v>
      </c>
      <c r="E8800" s="716">
        <v>1262.76</v>
      </c>
      <c r="F8800" s="717">
        <v>0</v>
      </c>
      <c r="G8800">
        <f>VLOOKUP(B8800,'SINAPI-%MO'!B:E,4,0)</f>
        <v>0.48930000000000001</v>
      </c>
      <c r="H8800" s="225">
        <f t="shared" si="137"/>
        <v>644.89</v>
      </c>
    </row>
    <row r="8801" spans="1:8" x14ac:dyDescent="0.3">
      <c r="A8801" s="400"/>
      <c r="B8801" s="709">
        <v>97977</v>
      </c>
      <c r="C8801" s="710" t="s">
        <v>7321</v>
      </c>
      <c r="D8801" s="709" t="s">
        <v>136</v>
      </c>
      <c r="E8801" s="716">
        <v>1819.85</v>
      </c>
      <c r="F8801" s="717">
        <v>0</v>
      </c>
      <c r="G8801">
        <f>VLOOKUP(B8801,'SINAPI-%MO'!B:E,4,0)</f>
        <v>0.50039999999999996</v>
      </c>
      <c r="H8801" s="225">
        <f t="shared" si="137"/>
        <v>909.19</v>
      </c>
    </row>
    <row r="8802" spans="1:8" x14ac:dyDescent="0.3">
      <c r="A8802" s="400"/>
      <c r="B8802" s="709">
        <v>97974</v>
      </c>
      <c r="C8802" s="710" t="s">
        <v>7322</v>
      </c>
      <c r="D8802" s="709" t="s">
        <v>136</v>
      </c>
      <c r="E8802" s="716">
        <v>565.36</v>
      </c>
      <c r="F8802" s="717">
        <v>0</v>
      </c>
      <c r="G8802">
        <f>VLOOKUP(B8802,'SINAPI-%MO'!B:E,4,0)</f>
        <v>0.2283</v>
      </c>
      <c r="H8802" s="225">
        <f t="shared" si="137"/>
        <v>436.28</v>
      </c>
    </row>
    <row r="8803" spans="1:8" x14ac:dyDescent="0.3">
      <c r="A8803" s="400"/>
      <c r="B8803" s="709">
        <v>97975</v>
      </c>
      <c r="C8803" s="710" t="s">
        <v>7323</v>
      </c>
      <c r="D8803" s="709" t="s">
        <v>136</v>
      </c>
      <c r="E8803" s="716">
        <v>741.75</v>
      </c>
      <c r="F8803" s="717">
        <v>0</v>
      </c>
      <c r="G8803">
        <f>VLOOKUP(B8803,'SINAPI-%MO'!B:E,4,0)</f>
        <v>0.19239999999999999</v>
      </c>
      <c r="H8803" s="225">
        <f t="shared" si="137"/>
        <v>599.03</v>
      </c>
    </row>
    <row r="8804" spans="1:8" x14ac:dyDescent="0.3">
      <c r="A8804" s="400"/>
      <c r="B8804" s="709">
        <v>101798</v>
      </c>
      <c r="C8804" s="710" t="s">
        <v>7324</v>
      </c>
      <c r="D8804" s="709" t="s">
        <v>136</v>
      </c>
      <c r="E8804" s="716">
        <v>329.32</v>
      </c>
      <c r="F8804" s="717">
        <v>0.83309999999999995</v>
      </c>
      <c r="G8804">
        <f>VLOOKUP(B8804,'SINAPI-%MO'!B:E,4,0)</f>
        <v>0.1593</v>
      </c>
      <c r="H8804" s="225">
        <f t="shared" si="137"/>
        <v>276.85000000000002</v>
      </c>
    </row>
    <row r="8805" spans="1:8" x14ac:dyDescent="0.3">
      <c r="A8805" s="400"/>
      <c r="B8805" s="709">
        <v>101799</v>
      </c>
      <c r="C8805" s="710" t="s">
        <v>7325</v>
      </c>
      <c r="D8805" s="709" t="s">
        <v>136</v>
      </c>
      <c r="E8805" s="716">
        <v>786.75</v>
      </c>
      <c r="F8805" s="717">
        <v>0.88480000000000003</v>
      </c>
      <c r="G8805">
        <f>VLOOKUP(B8805,'SINAPI-%MO'!B:E,4,0)</f>
        <v>0.11</v>
      </c>
      <c r="H8805" s="225">
        <f t="shared" si="137"/>
        <v>700.2</v>
      </c>
    </row>
    <row r="8806" spans="1:8" x14ac:dyDescent="0.3">
      <c r="A8806" s="400"/>
      <c r="B8806" s="709">
        <v>102487</v>
      </c>
      <c r="C8806" s="710" t="s">
        <v>7326</v>
      </c>
      <c r="D8806" s="709" t="s">
        <v>170</v>
      </c>
      <c r="E8806" s="716">
        <v>671.03</v>
      </c>
      <c r="F8806" s="717">
        <v>0</v>
      </c>
      <c r="G8806">
        <f>VLOOKUP(B8806,'SINAPI-%MO'!B:E,4,0)</f>
        <v>0.45319999999999999</v>
      </c>
      <c r="H8806" s="225">
        <f t="shared" si="137"/>
        <v>366.91</v>
      </c>
    </row>
    <row r="8807" spans="1:8" x14ac:dyDescent="0.3">
      <c r="A8807" s="400"/>
      <c r="B8807" s="709">
        <v>102486</v>
      </c>
      <c r="C8807" s="710" t="s">
        <v>7327</v>
      </c>
      <c r="D8807" s="709" t="s">
        <v>170</v>
      </c>
      <c r="E8807" s="716">
        <v>713.31</v>
      </c>
      <c r="F8807" s="717">
        <v>0</v>
      </c>
      <c r="G8807">
        <f>VLOOKUP(B8807,'SINAPI-%MO'!B:E,4,0)</f>
        <v>0.22570000000000001</v>
      </c>
      <c r="H8807" s="225">
        <f t="shared" si="137"/>
        <v>552.30999999999995</v>
      </c>
    </row>
    <row r="8808" spans="1:8" x14ac:dyDescent="0.3">
      <c r="A8808" s="400"/>
      <c r="B8808" s="709">
        <v>102474</v>
      </c>
      <c r="C8808" s="710" t="s">
        <v>7328</v>
      </c>
      <c r="D8808" s="709" t="s">
        <v>170</v>
      </c>
      <c r="E8808" s="716">
        <v>652.94000000000005</v>
      </c>
      <c r="F8808" s="717">
        <v>0</v>
      </c>
      <c r="G8808">
        <f>VLOOKUP(B8808,'SINAPI-%MO'!B:E,4,0)</f>
        <v>0.16539999999999999</v>
      </c>
      <c r="H8808" s="225">
        <f t="shared" si="137"/>
        <v>544.94000000000005</v>
      </c>
    </row>
    <row r="8809" spans="1:8" x14ac:dyDescent="0.3">
      <c r="A8809" s="400"/>
      <c r="B8809" s="709">
        <v>102480</v>
      </c>
      <c r="C8809" s="710" t="s">
        <v>7329</v>
      </c>
      <c r="D8809" s="709" t="s">
        <v>170</v>
      </c>
      <c r="E8809" s="716">
        <v>644.15</v>
      </c>
      <c r="F8809" s="717">
        <v>0</v>
      </c>
      <c r="G8809">
        <f>VLOOKUP(B8809,'SINAPI-%MO'!B:E,4,0)</f>
        <v>0.1464</v>
      </c>
      <c r="H8809" s="225">
        <f t="shared" si="137"/>
        <v>549.84</v>
      </c>
    </row>
    <row r="8810" spans="1:8" x14ac:dyDescent="0.3">
      <c r="A8810" s="400"/>
      <c r="B8810" s="709">
        <v>94975</v>
      </c>
      <c r="C8810" s="710" t="s">
        <v>7330</v>
      </c>
      <c r="D8810" s="709" t="s">
        <v>170</v>
      </c>
      <c r="E8810" s="716">
        <v>566.21</v>
      </c>
      <c r="F8810" s="717">
        <v>0</v>
      </c>
      <c r="G8810">
        <f>VLOOKUP(B8810,'SINAPI-%MO'!B:E,4,0)</f>
        <v>0.28289999999999998</v>
      </c>
      <c r="H8810" s="225">
        <f t="shared" si="137"/>
        <v>406.02</v>
      </c>
    </row>
    <row r="8811" spans="1:8" x14ac:dyDescent="0.3">
      <c r="A8811" s="400"/>
      <c r="B8811" s="709">
        <v>94963</v>
      </c>
      <c r="C8811" s="710" t="s">
        <v>7331</v>
      </c>
      <c r="D8811" s="709" t="s">
        <v>170</v>
      </c>
      <c r="E8811" s="716">
        <v>506.67</v>
      </c>
      <c r="F8811" s="717">
        <v>0</v>
      </c>
      <c r="G8811">
        <f>VLOOKUP(B8811,'SINAPI-%MO'!B:E,4,0)</f>
        <v>0.2089</v>
      </c>
      <c r="H8811" s="225">
        <f t="shared" si="137"/>
        <v>400.82</v>
      </c>
    </row>
    <row r="8812" spans="1:8" x14ac:dyDescent="0.3">
      <c r="A8812" s="400"/>
      <c r="B8812" s="709">
        <v>94969</v>
      </c>
      <c r="C8812" s="710" t="s">
        <v>7332</v>
      </c>
      <c r="D8812" s="709" t="s">
        <v>170</v>
      </c>
      <c r="E8812" s="716">
        <v>497.38</v>
      </c>
      <c r="F8812" s="717">
        <v>0</v>
      </c>
      <c r="G8812">
        <f>VLOOKUP(B8812,'SINAPI-%MO'!B:E,4,0)</f>
        <v>0.1855</v>
      </c>
      <c r="H8812" s="225">
        <f t="shared" si="137"/>
        <v>405.11</v>
      </c>
    </row>
    <row r="8813" spans="1:8" x14ac:dyDescent="0.3">
      <c r="A8813" s="400"/>
      <c r="B8813" s="709">
        <v>102475</v>
      </c>
      <c r="C8813" s="710" t="s">
        <v>7333</v>
      </c>
      <c r="D8813" s="709" t="s">
        <v>170</v>
      </c>
      <c r="E8813" s="716">
        <v>712.45</v>
      </c>
      <c r="F8813" s="717">
        <v>0</v>
      </c>
      <c r="G8813">
        <f>VLOOKUP(B8813,'SINAPI-%MO'!B:E,4,0)</f>
        <v>0.16689999999999999</v>
      </c>
      <c r="H8813" s="225">
        <f t="shared" si="137"/>
        <v>593.54</v>
      </c>
    </row>
    <row r="8814" spans="1:8" x14ac:dyDescent="0.3">
      <c r="A8814" s="400"/>
      <c r="B8814" s="709">
        <v>102481</v>
      </c>
      <c r="C8814" s="710" t="s">
        <v>7334</v>
      </c>
      <c r="D8814" s="709" t="s">
        <v>170</v>
      </c>
      <c r="E8814" s="716">
        <v>695.21</v>
      </c>
      <c r="F8814" s="717">
        <v>0</v>
      </c>
      <c r="G8814">
        <f>VLOOKUP(B8814,'SINAPI-%MO'!B:E,4,0)</f>
        <v>0.1366</v>
      </c>
      <c r="H8814" s="225">
        <f t="shared" si="137"/>
        <v>600.24</v>
      </c>
    </row>
    <row r="8815" spans="1:8" x14ac:dyDescent="0.3">
      <c r="A8815" s="400"/>
      <c r="B8815" s="709">
        <v>94964</v>
      </c>
      <c r="C8815" s="710" t="s">
        <v>7335</v>
      </c>
      <c r="D8815" s="709" t="s">
        <v>170</v>
      </c>
      <c r="E8815" s="716">
        <v>559.70000000000005</v>
      </c>
      <c r="F8815" s="717">
        <v>0</v>
      </c>
      <c r="G8815">
        <f>VLOOKUP(B8815,'SINAPI-%MO'!B:E,4,0)</f>
        <v>0.20610000000000001</v>
      </c>
      <c r="H8815" s="225">
        <f t="shared" si="137"/>
        <v>444.34</v>
      </c>
    </row>
    <row r="8816" spans="1:8" x14ac:dyDescent="0.3">
      <c r="A8816" s="400"/>
      <c r="B8816" s="709">
        <v>94970</v>
      </c>
      <c r="C8816" s="710" t="s">
        <v>7336</v>
      </c>
      <c r="D8816" s="709" t="s">
        <v>170</v>
      </c>
      <c r="E8816" s="716">
        <v>542.07000000000005</v>
      </c>
      <c r="F8816" s="717">
        <v>0</v>
      </c>
      <c r="G8816">
        <f>VLOOKUP(B8816,'SINAPI-%MO'!B:E,4,0)</f>
        <v>0.16980000000000001</v>
      </c>
      <c r="H8816" s="225">
        <f t="shared" si="137"/>
        <v>450.02</v>
      </c>
    </row>
    <row r="8817" spans="1:8" x14ac:dyDescent="0.3">
      <c r="A8817" s="400"/>
      <c r="B8817" s="709">
        <v>102476</v>
      </c>
      <c r="C8817" s="710" t="s">
        <v>7337</v>
      </c>
      <c r="D8817" s="709" t="s">
        <v>170</v>
      </c>
      <c r="E8817" s="716">
        <v>737.22</v>
      </c>
      <c r="F8817" s="717">
        <v>0</v>
      </c>
      <c r="G8817">
        <f>VLOOKUP(B8817,'SINAPI-%MO'!B:E,4,0)</f>
        <v>0.13880000000000001</v>
      </c>
      <c r="H8817" s="225">
        <f t="shared" si="137"/>
        <v>634.89</v>
      </c>
    </row>
    <row r="8818" spans="1:8" x14ac:dyDescent="0.3">
      <c r="A8818" s="400"/>
      <c r="B8818" s="709">
        <v>102482</v>
      </c>
      <c r="C8818" s="710" t="s">
        <v>7338</v>
      </c>
      <c r="D8818" s="709" t="s">
        <v>170</v>
      </c>
      <c r="E8818" s="716">
        <v>732.65</v>
      </c>
      <c r="F8818" s="717">
        <v>0</v>
      </c>
      <c r="G8818">
        <f>VLOOKUP(B8818,'SINAPI-%MO'!B:E,4,0)</f>
        <v>0.1237</v>
      </c>
      <c r="H8818" s="225">
        <f t="shared" si="137"/>
        <v>642.02</v>
      </c>
    </row>
    <row r="8819" spans="1:8" x14ac:dyDescent="0.3">
      <c r="A8819" s="400"/>
      <c r="B8819" s="709">
        <v>94965</v>
      </c>
      <c r="C8819" s="710" t="s">
        <v>7339</v>
      </c>
      <c r="D8819" s="709" t="s">
        <v>170</v>
      </c>
      <c r="E8819" s="716">
        <v>584.46</v>
      </c>
      <c r="F8819" s="717">
        <v>0</v>
      </c>
      <c r="G8819">
        <f>VLOOKUP(B8819,'SINAPI-%MO'!B:E,4,0)</f>
        <v>0.18010000000000001</v>
      </c>
      <c r="H8819" s="225">
        <f t="shared" si="137"/>
        <v>479.19</v>
      </c>
    </row>
    <row r="8820" spans="1:8" x14ac:dyDescent="0.3">
      <c r="A8820" s="400"/>
      <c r="B8820" s="709">
        <v>94971</v>
      </c>
      <c r="C8820" s="710" t="s">
        <v>7340</v>
      </c>
      <c r="D8820" s="709" t="s">
        <v>170</v>
      </c>
      <c r="E8820" s="716">
        <v>574.98</v>
      </c>
      <c r="F8820" s="717">
        <v>0</v>
      </c>
      <c r="G8820">
        <f>VLOOKUP(B8820,'SINAPI-%MO'!B:E,4,0)</f>
        <v>0.15659999999999999</v>
      </c>
      <c r="H8820" s="225">
        <f t="shared" si="137"/>
        <v>484.93</v>
      </c>
    </row>
    <row r="8821" spans="1:8" x14ac:dyDescent="0.3">
      <c r="A8821" s="400"/>
      <c r="B8821" s="709">
        <v>102477</v>
      </c>
      <c r="C8821" s="710" t="s">
        <v>7341</v>
      </c>
      <c r="D8821" s="709" t="s">
        <v>170</v>
      </c>
      <c r="E8821" s="716">
        <v>783.31</v>
      </c>
      <c r="F8821" s="717">
        <v>0</v>
      </c>
      <c r="G8821">
        <f>VLOOKUP(B8821,'SINAPI-%MO'!B:E,4,0)</f>
        <v>0.14410000000000001</v>
      </c>
      <c r="H8821" s="225">
        <f t="shared" si="137"/>
        <v>670.43</v>
      </c>
    </row>
    <row r="8822" spans="1:8" x14ac:dyDescent="0.3">
      <c r="A8822" s="400"/>
      <c r="B8822" s="709">
        <v>102483</v>
      </c>
      <c r="C8822" s="710" t="s">
        <v>7342</v>
      </c>
      <c r="D8822" s="709" t="s">
        <v>170</v>
      </c>
      <c r="E8822" s="716">
        <v>773.1</v>
      </c>
      <c r="F8822" s="717">
        <v>0</v>
      </c>
      <c r="G8822">
        <f>VLOOKUP(B8822,'SINAPI-%MO'!B:E,4,0)</f>
        <v>0.1211</v>
      </c>
      <c r="H8822" s="225">
        <f t="shared" si="137"/>
        <v>679.47</v>
      </c>
    </row>
    <row r="8823" spans="1:8" x14ac:dyDescent="0.3">
      <c r="A8823" s="400"/>
      <c r="B8823" s="709">
        <v>94966</v>
      </c>
      <c r="C8823" s="710" t="s">
        <v>7343</v>
      </c>
      <c r="D8823" s="709" t="s">
        <v>170</v>
      </c>
      <c r="E8823" s="716">
        <v>606.54999999999995</v>
      </c>
      <c r="F8823" s="717">
        <v>0</v>
      </c>
      <c r="G8823">
        <f>VLOOKUP(B8823,'SINAPI-%MO'!B:E,4,0)</f>
        <v>0.1721</v>
      </c>
      <c r="H8823" s="225">
        <f t="shared" si="137"/>
        <v>502.16</v>
      </c>
    </row>
    <row r="8824" spans="1:8" x14ac:dyDescent="0.3">
      <c r="A8824" s="400"/>
      <c r="B8824" s="709">
        <v>94972</v>
      </c>
      <c r="C8824" s="710" t="s">
        <v>7344</v>
      </c>
      <c r="D8824" s="709" t="s">
        <v>170</v>
      </c>
      <c r="E8824" s="716">
        <v>597.11</v>
      </c>
      <c r="F8824" s="717">
        <v>0</v>
      </c>
      <c r="G8824">
        <f>VLOOKUP(B8824,'SINAPI-%MO'!B:E,4,0)</f>
        <v>0.14949999999999999</v>
      </c>
      <c r="H8824" s="225">
        <f t="shared" si="137"/>
        <v>507.84</v>
      </c>
    </row>
    <row r="8825" spans="1:8" x14ac:dyDescent="0.3">
      <c r="A8825" s="400"/>
      <c r="B8825" s="709">
        <v>102478</v>
      </c>
      <c r="C8825" s="710" t="s">
        <v>7345</v>
      </c>
      <c r="D8825" s="709" t="s">
        <v>170</v>
      </c>
      <c r="E8825" s="716">
        <v>853.62</v>
      </c>
      <c r="F8825" s="717">
        <v>0</v>
      </c>
      <c r="G8825">
        <f>VLOOKUP(B8825,'SINAPI-%MO'!B:E,4,0)</f>
        <v>0.11990000000000001</v>
      </c>
      <c r="H8825" s="225">
        <f t="shared" si="137"/>
        <v>751.27</v>
      </c>
    </row>
    <row r="8826" spans="1:8" x14ac:dyDescent="0.3">
      <c r="A8826" s="400"/>
      <c r="B8826" s="709">
        <v>102484</v>
      </c>
      <c r="C8826" s="710" t="s">
        <v>7346</v>
      </c>
      <c r="D8826" s="709" t="s">
        <v>170</v>
      </c>
      <c r="E8826" s="716">
        <v>851.54</v>
      </c>
      <c r="F8826" s="717">
        <v>0</v>
      </c>
      <c r="G8826">
        <f>VLOOKUP(B8826,'SINAPI-%MO'!B:E,4,0)</f>
        <v>0.1099</v>
      </c>
      <c r="H8826" s="225">
        <f t="shared" si="137"/>
        <v>757.95</v>
      </c>
    </row>
    <row r="8827" spans="1:8" x14ac:dyDescent="0.3">
      <c r="A8827" s="400"/>
      <c r="B8827" s="709">
        <v>94967</v>
      </c>
      <c r="C8827" s="710" t="s">
        <v>7347</v>
      </c>
      <c r="D8827" s="709" t="s">
        <v>170</v>
      </c>
      <c r="E8827" s="716">
        <v>700.12</v>
      </c>
      <c r="F8827" s="717">
        <v>0</v>
      </c>
      <c r="G8827">
        <f>VLOOKUP(B8827,'SINAPI-%MO'!B:E,4,0)</f>
        <v>0.1585</v>
      </c>
      <c r="H8827" s="225">
        <f t="shared" si="137"/>
        <v>589.15</v>
      </c>
    </row>
    <row r="8828" spans="1:8" x14ac:dyDescent="0.3">
      <c r="A8828" s="400"/>
      <c r="B8828" s="709">
        <v>94973</v>
      </c>
      <c r="C8828" s="710" t="s">
        <v>7348</v>
      </c>
      <c r="D8828" s="709" t="s">
        <v>170</v>
      </c>
      <c r="E8828" s="716">
        <v>688.22</v>
      </c>
      <c r="F8828" s="717">
        <v>0</v>
      </c>
      <c r="G8828">
        <f>VLOOKUP(B8828,'SINAPI-%MO'!B:E,4,0)</f>
        <v>0.13389999999999999</v>
      </c>
      <c r="H8828" s="225">
        <f t="shared" si="137"/>
        <v>596.05999999999995</v>
      </c>
    </row>
    <row r="8829" spans="1:8" x14ac:dyDescent="0.3">
      <c r="A8829" s="400"/>
      <c r="B8829" s="709">
        <v>94974</v>
      </c>
      <c r="C8829" s="710" t="s">
        <v>7349</v>
      </c>
      <c r="D8829" s="709" t="s">
        <v>170</v>
      </c>
      <c r="E8829" s="716">
        <v>516.58000000000004</v>
      </c>
      <c r="F8829" s="717">
        <v>0</v>
      </c>
      <c r="G8829">
        <f>VLOOKUP(B8829,'SINAPI-%MO'!B:E,4,0)</f>
        <v>0.314</v>
      </c>
      <c r="H8829" s="225">
        <f t="shared" si="137"/>
        <v>354.37</v>
      </c>
    </row>
    <row r="8830" spans="1:8" x14ac:dyDescent="0.3">
      <c r="A8830" s="400"/>
      <c r="B8830" s="709">
        <v>94962</v>
      </c>
      <c r="C8830" s="710" t="s">
        <v>7350</v>
      </c>
      <c r="D8830" s="709" t="s">
        <v>170</v>
      </c>
      <c r="E8830" s="716">
        <v>451.58</v>
      </c>
      <c r="F8830" s="717">
        <v>0</v>
      </c>
      <c r="G8830">
        <f>VLOOKUP(B8830,'SINAPI-%MO'!B:E,4,0)</f>
        <v>0.2361</v>
      </c>
      <c r="H8830" s="225">
        <f t="shared" si="137"/>
        <v>344.96</v>
      </c>
    </row>
    <row r="8831" spans="1:8" x14ac:dyDescent="0.3">
      <c r="A8831" s="400"/>
      <c r="B8831" s="709">
        <v>94968</v>
      </c>
      <c r="C8831" s="710" t="s">
        <v>7351</v>
      </c>
      <c r="D8831" s="709" t="s">
        <v>170</v>
      </c>
      <c r="E8831" s="716">
        <v>446.12</v>
      </c>
      <c r="F8831" s="717">
        <v>0</v>
      </c>
      <c r="G8831">
        <f>VLOOKUP(B8831,'SINAPI-%MO'!B:E,4,0)</f>
        <v>0.21479999999999999</v>
      </c>
      <c r="H8831" s="225">
        <f t="shared" si="137"/>
        <v>350.29</v>
      </c>
    </row>
    <row r="8832" spans="1:8" x14ac:dyDescent="0.3">
      <c r="A8832" s="400"/>
      <c r="B8832" s="709">
        <v>102485</v>
      </c>
      <c r="C8832" s="710" t="s">
        <v>7352</v>
      </c>
      <c r="D8832" s="709" t="s">
        <v>170</v>
      </c>
      <c r="E8832" s="716">
        <v>668.54</v>
      </c>
      <c r="F8832" s="717">
        <v>0</v>
      </c>
      <c r="G8832">
        <f>VLOOKUP(B8832,'SINAPI-%MO'!B:E,4,0)</f>
        <v>0.24329999999999999</v>
      </c>
      <c r="H8832" s="225">
        <f t="shared" si="137"/>
        <v>505.88</v>
      </c>
    </row>
    <row r="8833" spans="1:8" x14ac:dyDescent="0.3">
      <c r="A8833" s="400"/>
      <c r="B8833" s="709">
        <v>102473</v>
      </c>
      <c r="C8833" s="710" t="s">
        <v>7353</v>
      </c>
      <c r="D8833" s="709" t="s">
        <v>170</v>
      </c>
      <c r="E8833" s="716">
        <v>600.74</v>
      </c>
      <c r="F8833" s="717">
        <v>0</v>
      </c>
      <c r="G8833">
        <f>VLOOKUP(B8833,'SINAPI-%MO'!B:E,4,0)</f>
        <v>0.18079999999999999</v>
      </c>
      <c r="H8833" s="225">
        <f t="shared" si="137"/>
        <v>492.12</v>
      </c>
    </row>
    <row r="8834" spans="1:8" x14ac:dyDescent="0.3">
      <c r="A8834" s="400"/>
      <c r="B8834" s="709">
        <v>102479</v>
      </c>
      <c r="C8834" s="710" t="s">
        <v>7354</v>
      </c>
      <c r="D8834" s="709" t="s">
        <v>170</v>
      </c>
      <c r="E8834" s="716">
        <v>595.80999999999995</v>
      </c>
      <c r="F8834" s="717">
        <v>0</v>
      </c>
      <c r="G8834">
        <f>VLOOKUP(B8834,'SINAPI-%MO'!B:E,4,0)</f>
        <v>0.16339999999999999</v>
      </c>
      <c r="H8834" s="225">
        <f t="shared" si="137"/>
        <v>498.45</v>
      </c>
    </row>
    <row r="8835" spans="1:8" x14ac:dyDescent="0.3">
      <c r="A8835" s="400"/>
      <c r="B8835" s="709">
        <v>104835</v>
      </c>
      <c r="C8835" s="710" t="s">
        <v>7355</v>
      </c>
      <c r="D8835" s="709" t="s">
        <v>170</v>
      </c>
      <c r="E8835" s="716">
        <v>0</v>
      </c>
      <c r="F8835" s="717"/>
      <c r="G8835" t="e">
        <f>VLOOKUP(B8835,'SINAPI-%MO'!B:E,4,0)</f>
        <v>#N/A</v>
      </c>
      <c r="H8835" s="225" t="str">
        <f t="shared" si="137"/>
        <v/>
      </c>
    </row>
    <row r="8836" spans="1:8" x14ac:dyDescent="0.3">
      <c r="A8836" s="400"/>
      <c r="B8836" s="709">
        <v>104833</v>
      </c>
      <c r="C8836" s="710" t="s">
        <v>7356</v>
      </c>
      <c r="D8836" s="709" t="s">
        <v>170</v>
      </c>
      <c r="E8836" s="716">
        <v>0</v>
      </c>
      <c r="F8836" s="717"/>
      <c r="G8836" t="e">
        <f>VLOOKUP(B8836,'SINAPI-%MO'!B:E,4,0)</f>
        <v>#N/A</v>
      </c>
      <c r="H8836" s="225" t="str">
        <f t="shared" si="137"/>
        <v/>
      </c>
    </row>
    <row r="8837" spans="1:8" x14ac:dyDescent="0.3">
      <c r="A8837" s="400"/>
      <c r="B8837" s="709">
        <v>104834</v>
      </c>
      <c r="C8837" s="710" t="s">
        <v>7357</v>
      </c>
      <c r="D8837" s="709" t="s">
        <v>170</v>
      </c>
      <c r="E8837" s="716">
        <v>0</v>
      </c>
      <c r="F8837" s="717"/>
      <c r="G8837" t="e">
        <f>VLOOKUP(B8837,'SINAPI-%MO'!B:E,4,0)</f>
        <v>#N/A</v>
      </c>
      <c r="H8837" s="225" t="str">
        <f t="shared" si="137"/>
        <v/>
      </c>
    </row>
    <row r="8838" spans="1:8" x14ac:dyDescent="0.3">
      <c r="A8838" s="400"/>
      <c r="B8838" s="709">
        <v>104836</v>
      </c>
      <c r="C8838" s="710" t="s">
        <v>7358</v>
      </c>
      <c r="D8838" s="709" t="s">
        <v>170</v>
      </c>
      <c r="E8838" s="716">
        <v>0</v>
      </c>
      <c r="F8838" s="717"/>
      <c r="G8838" t="e">
        <f>VLOOKUP(B8838,'SINAPI-%MO'!B:E,4,0)</f>
        <v>#N/A</v>
      </c>
      <c r="H8838" s="225" t="str">
        <f t="shared" si="137"/>
        <v/>
      </c>
    </row>
    <row r="8839" spans="1:8" x14ac:dyDescent="0.3">
      <c r="A8839" s="400"/>
      <c r="B8839" s="709">
        <v>104837</v>
      </c>
      <c r="C8839" s="710" t="s">
        <v>7359</v>
      </c>
      <c r="D8839" s="709" t="s">
        <v>170</v>
      </c>
      <c r="E8839" s="716">
        <v>0</v>
      </c>
      <c r="F8839" s="717"/>
      <c r="G8839" t="e">
        <f>VLOOKUP(B8839,'SINAPI-%MO'!B:E,4,0)</f>
        <v>#N/A</v>
      </c>
      <c r="H8839" s="225" t="str">
        <f t="shared" si="137"/>
        <v/>
      </c>
    </row>
    <row r="8840" spans="1:8" x14ac:dyDescent="0.3">
      <c r="A8840" s="400"/>
      <c r="B8840" s="709">
        <v>104838</v>
      </c>
      <c r="C8840" s="710" t="s">
        <v>7360</v>
      </c>
      <c r="D8840" s="709" t="s">
        <v>170</v>
      </c>
      <c r="E8840" s="716">
        <v>0</v>
      </c>
      <c r="F8840" s="717"/>
      <c r="G8840" t="e">
        <f>VLOOKUP(B8840,'SINAPI-%MO'!B:E,4,0)</f>
        <v>#N/A</v>
      </c>
      <c r="H8840" s="225" t="str">
        <f t="shared" si="137"/>
        <v/>
      </c>
    </row>
    <row r="8841" spans="1:8" x14ac:dyDescent="0.3">
      <c r="A8841" s="400"/>
      <c r="B8841" s="709">
        <v>104839</v>
      </c>
      <c r="C8841" s="710" t="s">
        <v>7361</v>
      </c>
      <c r="D8841" s="709" t="s">
        <v>170</v>
      </c>
      <c r="E8841" s="716">
        <v>0</v>
      </c>
      <c r="F8841" s="717"/>
      <c r="G8841" t="e">
        <f>VLOOKUP(B8841,'SINAPI-%MO'!B:E,4,0)</f>
        <v>#N/A</v>
      </c>
      <c r="H8841" s="225" t="str">
        <f t="shared" si="137"/>
        <v/>
      </c>
    </row>
    <row r="8842" spans="1:8" x14ac:dyDescent="0.3">
      <c r="A8842" s="400"/>
      <c r="B8842" s="709">
        <v>104840</v>
      </c>
      <c r="C8842" s="710" t="s">
        <v>7362</v>
      </c>
      <c r="D8842" s="709" t="s">
        <v>170</v>
      </c>
      <c r="E8842" s="716">
        <v>0</v>
      </c>
      <c r="F8842" s="717"/>
      <c r="G8842" t="e">
        <f>VLOOKUP(B8842,'SINAPI-%MO'!B:E,4,0)</f>
        <v>#N/A</v>
      </c>
      <c r="H8842" s="225" t="str">
        <f t="shared" si="137"/>
        <v/>
      </c>
    </row>
    <row r="8843" spans="1:8" x14ac:dyDescent="0.3">
      <c r="A8843" s="400"/>
      <c r="B8843" s="709">
        <v>104830</v>
      </c>
      <c r="C8843" s="710" t="s">
        <v>7363</v>
      </c>
      <c r="D8843" s="709" t="s">
        <v>170</v>
      </c>
      <c r="E8843" s="716">
        <v>0</v>
      </c>
      <c r="F8843" s="717"/>
      <c r="G8843" t="e">
        <f>VLOOKUP(B8843,'SINAPI-%MO'!B:E,4,0)</f>
        <v>#N/A</v>
      </c>
      <c r="H8843" s="225" t="str">
        <f t="shared" ref="H8843:H8906" si="138">IF(E8843&gt;0,TRUNC(E8843*(1-G8843),2),"")</f>
        <v/>
      </c>
    </row>
    <row r="8844" spans="1:8" x14ac:dyDescent="0.3">
      <c r="A8844" s="400"/>
      <c r="B8844" s="709">
        <v>104829</v>
      </c>
      <c r="C8844" s="710" t="s">
        <v>7364</v>
      </c>
      <c r="D8844" s="709" t="s">
        <v>170</v>
      </c>
      <c r="E8844" s="716">
        <v>0</v>
      </c>
      <c r="F8844" s="717"/>
      <c r="G8844" t="e">
        <f>VLOOKUP(B8844,'SINAPI-%MO'!B:E,4,0)</f>
        <v>#N/A</v>
      </c>
      <c r="H8844" s="225" t="str">
        <f t="shared" si="138"/>
        <v/>
      </c>
    </row>
    <row r="8845" spans="1:8" x14ac:dyDescent="0.3">
      <c r="A8845" s="400"/>
      <c r="B8845" s="709">
        <v>104832</v>
      </c>
      <c r="C8845" s="710" t="s">
        <v>7365</v>
      </c>
      <c r="D8845" s="709" t="s">
        <v>170</v>
      </c>
      <c r="E8845" s="716">
        <v>0</v>
      </c>
      <c r="F8845" s="717"/>
      <c r="G8845" t="e">
        <f>VLOOKUP(B8845,'SINAPI-%MO'!B:E,4,0)</f>
        <v>#N/A</v>
      </c>
      <c r="H8845" s="225" t="str">
        <f t="shared" si="138"/>
        <v/>
      </c>
    </row>
    <row r="8846" spans="1:8" x14ac:dyDescent="0.3">
      <c r="A8846" s="400"/>
      <c r="B8846" s="709">
        <v>104831</v>
      </c>
      <c r="C8846" s="710" t="s">
        <v>7366</v>
      </c>
      <c r="D8846" s="709" t="s">
        <v>170</v>
      </c>
      <c r="E8846" s="716">
        <v>0</v>
      </c>
      <c r="F8846" s="717"/>
      <c r="G8846" t="e">
        <f>VLOOKUP(B8846,'SINAPI-%MO'!B:E,4,0)</f>
        <v>#N/A</v>
      </c>
      <c r="H8846" s="225" t="str">
        <f t="shared" si="138"/>
        <v/>
      </c>
    </row>
    <row r="8847" spans="1:8" x14ac:dyDescent="0.3">
      <c r="A8847" s="400"/>
      <c r="B8847" s="709">
        <v>103773</v>
      </c>
      <c r="C8847" s="710" t="s">
        <v>7367</v>
      </c>
      <c r="D8847" s="709" t="s">
        <v>136</v>
      </c>
      <c r="E8847" s="716">
        <v>0</v>
      </c>
      <c r="F8847" s="717"/>
      <c r="G8847" t="e">
        <f>VLOOKUP(B8847,'SINAPI-%MO'!B:E,4,0)</f>
        <v>#N/A</v>
      </c>
      <c r="H8847" s="225" t="str">
        <f t="shared" si="138"/>
        <v/>
      </c>
    </row>
    <row r="8848" spans="1:8" x14ac:dyDescent="0.3">
      <c r="A8848" s="400"/>
      <c r="B8848" s="709">
        <v>103772</v>
      </c>
      <c r="C8848" s="710" t="s">
        <v>7368</v>
      </c>
      <c r="D8848" s="709" t="s">
        <v>136</v>
      </c>
      <c r="E8848" s="716">
        <v>0</v>
      </c>
      <c r="F8848" s="717"/>
      <c r="G8848" t="e">
        <f>VLOOKUP(B8848,'SINAPI-%MO'!B:E,4,0)</f>
        <v>#N/A</v>
      </c>
      <c r="H8848" s="225" t="str">
        <f t="shared" si="138"/>
        <v/>
      </c>
    </row>
    <row r="8849" spans="1:8" x14ac:dyDescent="0.3">
      <c r="A8849" s="400"/>
      <c r="B8849" s="709">
        <v>103768</v>
      </c>
      <c r="C8849" s="710" t="s">
        <v>7369</v>
      </c>
      <c r="D8849" s="709" t="s">
        <v>136</v>
      </c>
      <c r="E8849" s="716">
        <v>0</v>
      </c>
      <c r="F8849" s="717"/>
      <c r="G8849" t="e">
        <f>VLOOKUP(B8849,'SINAPI-%MO'!B:E,4,0)</f>
        <v>#N/A</v>
      </c>
      <c r="H8849" s="225" t="str">
        <f t="shared" si="138"/>
        <v/>
      </c>
    </row>
    <row r="8850" spans="1:8" x14ac:dyDescent="0.3">
      <c r="A8850" s="400"/>
      <c r="B8850" s="709">
        <v>103767</v>
      </c>
      <c r="C8850" s="710" t="s">
        <v>7370</v>
      </c>
      <c r="D8850" s="709" t="s">
        <v>136</v>
      </c>
      <c r="E8850" s="716">
        <v>0</v>
      </c>
      <c r="F8850" s="717"/>
      <c r="G8850" t="e">
        <f>VLOOKUP(B8850,'SINAPI-%MO'!B:E,4,0)</f>
        <v>#N/A</v>
      </c>
      <c r="H8850" s="225" t="str">
        <f t="shared" si="138"/>
        <v/>
      </c>
    </row>
    <row r="8851" spans="1:8" x14ac:dyDescent="0.3">
      <c r="A8851" s="400"/>
      <c r="B8851" s="709">
        <v>103766</v>
      </c>
      <c r="C8851" s="710" t="s">
        <v>7371</v>
      </c>
      <c r="D8851" s="709" t="s">
        <v>136</v>
      </c>
      <c r="E8851" s="716">
        <v>0</v>
      </c>
      <c r="F8851" s="717"/>
      <c r="G8851" t="e">
        <f>VLOOKUP(B8851,'SINAPI-%MO'!B:E,4,0)</f>
        <v>#N/A</v>
      </c>
      <c r="H8851" s="225" t="str">
        <f t="shared" si="138"/>
        <v/>
      </c>
    </row>
    <row r="8852" spans="1:8" x14ac:dyDescent="0.3">
      <c r="A8852" s="400"/>
      <c r="B8852" s="709">
        <v>103765</v>
      </c>
      <c r="C8852" s="710" t="s">
        <v>7372</v>
      </c>
      <c r="D8852" s="709" t="s">
        <v>136</v>
      </c>
      <c r="E8852" s="716">
        <v>0</v>
      </c>
      <c r="F8852" s="717"/>
      <c r="G8852" t="e">
        <f>VLOOKUP(B8852,'SINAPI-%MO'!B:E,4,0)</f>
        <v>#N/A</v>
      </c>
      <c r="H8852" s="225" t="str">
        <f t="shared" si="138"/>
        <v/>
      </c>
    </row>
    <row r="8853" spans="1:8" x14ac:dyDescent="0.3">
      <c r="A8853" s="400"/>
      <c r="B8853" s="709">
        <v>103771</v>
      </c>
      <c r="C8853" s="710" t="s">
        <v>7373</v>
      </c>
      <c r="D8853" s="709" t="s">
        <v>136</v>
      </c>
      <c r="E8853" s="716">
        <v>0</v>
      </c>
      <c r="F8853" s="717"/>
      <c r="G8853" t="e">
        <f>VLOOKUP(B8853,'SINAPI-%MO'!B:E,4,0)</f>
        <v>#N/A</v>
      </c>
      <c r="H8853" s="225" t="str">
        <f t="shared" si="138"/>
        <v/>
      </c>
    </row>
    <row r="8854" spans="1:8" x14ac:dyDescent="0.3">
      <c r="A8854" s="400"/>
      <c r="B8854" s="709">
        <v>103769</v>
      </c>
      <c r="C8854" s="710" t="s">
        <v>7374</v>
      </c>
      <c r="D8854" s="709" t="s">
        <v>136</v>
      </c>
      <c r="E8854" s="716">
        <v>4405.82</v>
      </c>
      <c r="F8854" s="717">
        <v>0</v>
      </c>
      <c r="G8854">
        <f>VLOOKUP(B8854,'SINAPI-%MO'!B:E,4,0)</f>
        <v>0.1205</v>
      </c>
      <c r="H8854" s="225">
        <f t="shared" si="138"/>
        <v>3874.91</v>
      </c>
    </row>
    <row r="8855" spans="1:8" x14ac:dyDescent="0.3">
      <c r="A8855" s="400"/>
      <c r="B8855" s="709">
        <v>103770</v>
      </c>
      <c r="C8855" s="710" t="s">
        <v>7375</v>
      </c>
      <c r="D8855" s="709" t="s">
        <v>136</v>
      </c>
      <c r="E8855" s="716">
        <v>0</v>
      </c>
      <c r="F8855" s="717"/>
      <c r="G8855" t="e">
        <f>VLOOKUP(B8855,'SINAPI-%MO'!B:E,4,0)</f>
        <v>#N/A</v>
      </c>
      <c r="H8855" s="225" t="str">
        <f t="shared" si="138"/>
        <v/>
      </c>
    </row>
    <row r="8856" spans="1:8" x14ac:dyDescent="0.3">
      <c r="A8856" s="400"/>
      <c r="B8856" s="709">
        <v>103764</v>
      </c>
      <c r="C8856" s="710" t="s">
        <v>7376</v>
      </c>
      <c r="D8856" s="709" t="s">
        <v>136</v>
      </c>
      <c r="E8856" s="716">
        <v>0</v>
      </c>
      <c r="F8856" s="717"/>
      <c r="G8856" t="e">
        <f>VLOOKUP(B8856,'SINAPI-%MO'!B:E,4,0)</f>
        <v>#N/A</v>
      </c>
      <c r="H8856" s="225" t="str">
        <f t="shared" si="138"/>
        <v/>
      </c>
    </row>
    <row r="8857" spans="1:8" x14ac:dyDescent="0.3">
      <c r="A8857" s="400"/>
      <c r="B8857" s="709">
        <v>103780</v>
      </c>
      <c r="C8857" s="710" t="s">
        <v>7377</v>
      </c>
      <c r="D8857" s="709" t="s">
        <v>168</v>
      </c>
      <c r="E8857" s="716">
        <v>0</v>
      </c>
      <c r="F8857" s="717"/>
      <c r="G8857" t="e">
        <f>VLOOKUP(B8857,'SINAPI-%MO'!B:E,4,0)</f>
        <v>#N/A</v>
      </c>
      <c r="H8857" s="225" t="str">
        <f t="shared" si="138"/>
        <v/>
      </c>
    </row>
    <row r="8858" spans="1:8" x14ac:dyDescent="0.3">
      <c r="A8858" s="400"/>
      <c r="B8858" s="709">
        <v>103781</v>
      </c>
      <c r="C8858" s="710" t="s">
        <v>7378</v>
      </c>
      <c r="D8858" s="709" t="s">
        <v>168</v>
      </c>
      <c r="E8858" s="716">
        <v>0</v>
      </c>
      <c r="F8858" s="717"/>
      <c r="G8858" t="e">
        <f>VLOOKUP(B8858,'SINAPI-%MO'!B:E,4,0)</f>
        <v>#N/A</v>
      </c>
      <c r="H8858" s="225" t="str">
        <f t="shared" si="138"/>
        <v/>
      </c>
    </row>
    <row r="8859" spans="1:8" x14ac:dyDescent="0.3">
      <c r="A8859" s="400"/>
      <c r="B8859" s="709">
        <v>103779</v>
      </c>
      <c r="C8859" s="710" t="s">
        <v>7379</v>
      </c>
      <c r="D8859" s="709" t="s">
        <v>168</v>
      </c>
      <c r="E8859" s="716">
        <v>0</v>
      </c>
      <c r="F8859" s="717"/>
      <c r="G8859" t="e">
        <f>VLOOKUP(B8859,'SINAPI-%MO'!B:E,4,0)</f>
        <v>#N/A</v>
      </c>
      <c r="H8859" s="225" t="str">
        <f t="shared" si="138"/>
        <v/>
      </c>
    </row>
    <row r="8860" spans="1:8" x14ac:dyDescent="0.3">
      <c r="A8860" s="400"/>
      <c r="B8860" s="709">
        <v>103778</v>
      </c>
      <c r="C8860" s="710" t="s">
        <v>7380</v>
      </c>
      <c r="D8860" s="709" t="s">
        <v>168</v>
      </c>
      <c r="E8860" s="716">
        <v>0</v>
      </c>
      <c r="F8860" s="717"/>
      <c r="G8860" t="e">
        <f>VLOOKUP(B8860,'SINAPI-%MO'!B:E,4,0)</f>
        <v>#N/A</v>
      </c>
      <c r="H8860" s="225" t="str">
        <f t="shared" si="138"/>
        <v/>
      </c>
    </row>
    <row r="8861" spans="1:8" x14ac:dyDescent="0.3">
      <c r="A8861" s="400"/>
      <c r="B8861" s="709">
        <v>103924</v>
      </c>
      <c r="C8861" s="710" t="s">
        <v>7381</v>
      </c>
      <c r="D8861" s="709" t="s">
        <v>168</v>
      </c>
      <c r="E8861" s="716">
        <v>0</v>
      </c>
      <c r="F8861" s="717"/>
      <c r="G8861" t="e">
        <f>VLOOKUP(B8861,'SINAPI-%MO'!B:E,4,0)</f>
        <v>#N/A</v>
      </c>
      <c r="H8861" s="225" t="str">
        <f t="shared" si="138"/>
        <v/>
      </c>
    </row>
    <row r="8862" spans="1:8" x14ac:dyDescent="0.3">
      <c r="A8862" s="400"/>
      <c r="B8862" s="709">
        <v>103776</v>
      </c>
      <c r="C8862" s="710" t="s">
        <v>7382</v>
      </c>
      <c r="D8862" s="709" t="s">
        <v>168</v>
      </c>
      <c r="E8862" s="716">
        <v>0</v>
      </c>
      <c r="F8862" s="717"/>
      <c r="G8862" t="e">
        <f>VLOOKUP(B8862,'SINAPI-%MO'!B:E,4,0)</f>
        <v>#N/A</v>
      </c>
      <c r="H8862" s="225" t="str">
        <f t="shared" si="138"/>
        <v/>
      </c>
    </row>
    <row r="8863" spans="1:8" x14ac:dyDescent="0.3">
      <c r="A8863" s="400"/>
      <c r="B8863" s="709">
        <v>103774</v>
      </c>
      <c r="C8863" s="710" t="s">
        <v>7383</v>
      </c>
      <c r="D8863" s="709" t="s">
        <v>168</v>
      </c>
      <c r="E8863" s="716">
        <v>0</v>
      </c>
      <c r="F8863" s="717"/>
      <c r="G8863" t="e">
        <f>VLOOKUP(B8863,'SINAPI-%MO'!B:E,4,0)</f>
        <v>#N/A</v>
      </c>
      <c r="H8863" s="225" t="str">
        <f t="shared" si="138"/>
        <v/>
      </c>
    </row>
    <row r="8864" spans="1:8" x14ac:dyDescent="0.3">
      <c r="A8864" s="400"/>
      <c r="B8864" s="709">
        <v>103775</v>
      </c>
      <c r="C8864" s="710" t="s">
        <v>7384</v>
      </c>
      <c r="D8864" s="709" t="s">
        <v>168</v>
      </c>
      <c r="E8864" s="716">
        <v>0</v>
      </c>
      <c r="F8864" s="717"/>
      <c r="G8864" t="e">
        <f>VLOOKUP(B8864,'SINAPI-%MO'!B:E,4,0)</f>
        <v>#N/A</v>
      </c>
      <c r="H8864" s="225" t="str">
        <f t="shared" si="138"/>
        <v/>
      </c>
    </row>
    <row r="8865" spans="1:8" x14ac:dyDescent="0.3">
      <c r="A8865" s="400"/>
      <c r="B8865" s="709">
        <v>106266</v>
      </c>
      <c r="C8865" s="710" t="s">
        <v>15249</v>
      </c>
      <c r="D8865" s="709" t="s">
        <v>136</v>
      </c>
      <c r="E8865" s="716">
        <v>0</v>
      </c>
      <c r="F8865" s="717"/>
      <c r="G8865" t="e">
        <f>VLOOKUP(B8865,'SINAPI-%MO'!B:E,4,0)</f>
        <v>#N/A</v>
      </c>
      <c r="H8865" s="225" t="str">
        <f t="shared" si="138"/>
        <v/>
      </c>
    </row>
    <row r="8866" spans="1:8" x14ac:dyDescent="0.3">
      <c r="A8866" s="400"/>
      <c r="B8866" s="709">
        <v>106270</v>
      </c>
      <c r="C8866" s="710" t="s">
        <v>15250</v>
      </c>
      <c r="D8866" s="709" t="s">
        <v>136</v>
      </c>
      <c r="E8866" s="716">
        <v>0</v>
      </c>
      <c r="F8866" s="717"/>
      <c r="G8866" t="e">
        <f>VLOOKUP(B8866,'SINAPI-%MO'!B:E,4,0)</f>
        <v>#N/A</v>
      </c>
      <c r="H8866" s="225" t="str">
        <f t="shared" si="138"/>
        <v/>
      </c>
    </row>
    <row r="8867" spans="1:8" x14ac:dyDescent="0.3">
      <c r="A8867" s="400"/>
      <c r="B8867" s="709">
        <v>106271</v>
      </c>
      <c r="C8867" s="710" t="s">
        <v>15251</v>
      </c>
      <c r="D8867" s="709" t="s">
        <v>136</v>
      </c>
      <c r="E8867" s="716">
        <v>0</v>
      </c>
      <c r="F8867" s="717"/>
      <c r="G8867" t="e">
        <f>VLOOKUP(B8867,'SINAPI-%MO'!B:E,4,0)</f>
        <v>#N/A</v>
      </c>
      <c r="H8867" s="225" t="str">
        <f t="shared" si="138"/>
        <v/>
      </c>
    </row>
    <row r="8868" spans="1:8" x14ac:dyDescent="0.3">
      <c r="A8868" s="400"/>
      <c r="B8868" s="709">
        <v>106267</v>
      </c>
      <c r="C8868" s="710" t="s">
        <v>15252</v>
      </c>
      <c r="D8868" s="709" t="s">
        <v>136</v>
      </c>
      <c r="E8868" s="716">
        <v>0</v>
      </c>
      <c r="F8868" s="717"/>
      <c r="G8868" t="e">
        <f>VLOOKUP(B8868,'SINAPI-%MO'!B:E,4,0)</f>
        <v>#N/A</v>
      </c>
      <c r="H8868" s="225" t="str">
        <f t="shared" si="138"/>
        <v/>
      </c>
    </row>
    <row r="8869" spans="1:8" x14ac:dyDescent="0.3">
      <c r="A8869" s="400"/>
      <c r="B8869" s="709">
        <v>106272</v>
      </c>
      <c r="C8869" s="710" t="s">
        <v>15253</v>
      </c>
      <c r="D8869" s="709" t="s">
        <v>136</v>
      </c>
      <c r="E8869" s="716">
        <v>0</v>
      </c>
      <c r="F8869" s="717"/>
      <c r="G8869" t="e">
        <f>VLOOKUP(B8869,'SINAPI-%MO'!B:E,4,0)</f>
        <v>#N/A</v>
      </c>
      <c r="H8869" s="225" t="str">
        <f t="shared" si="138"/>
        <v/>
      </c>
    </row>
    <row r="8870" spans="1:8" x14ac:dyDescent="0.3">
      <c r="A8870" s="400"/>
      <c r="B8870" s="709">
        <v>106268</v>
      </c>
      <c r="C8870" s="710" t="s">
        <v>15254</v>
      </c>
      <c r="D8870" s="709" t="s">
        <v>136</v>
      </c>
      <c r="E8870" s="716">
        <v>0</v>
      </c>
      <c r="F8870" s="717"/>
      <c r="G8870" t="e">
        <f>VLOOKUP(B8870,'SINAPI-%MO'!B:E,4,0)</f>
        <v>#N/A</v>
      </c>
      <c r="H8870" s="225" t="str">
        <f t="shared" si="138"/>
        <v/>
      </c>
    </row>
    <row r="8871" spans="1:8" x14ac:dyDescent="0.3">
      <c r="A8871" s="400"/>
      <c r="B8871" s="709">
        <v>106269</v>
      </c>
      <c r="C8871" s="710" t="s">
        <v>15255</v>
      </c>
      <c r="D8871" s="709" t="s">
        <v>136</v>
      </c>
      <c r="E8871" s="716">
        <v>0</v>
      </c>
      <c r="F8871" s="717"/>
      <c r="G8871" t="e">
        <f>VLOOKUP(B8871,'SINAPI-%MO'!B:E,4,0)</f>
        <v>#N/A</v>
      </c>
      <c r="H8871" s="225" t="str">
        <f t="shared" si="138"/>
        <v/>
      </c>
    </row>
    <row r="8872" spans="1:8" x14ac:dyDescent="0.3">
      <c r="A8872" s="400"/>
      <c r="B8872" s="709">
        <v>106279</v>
      </c>
      <c r="C8872" s="710" t="s">
        <v>15256</v>
      </c>
      <c r="D8872" s="709" t="s">
        <v>136</v>
      </c>
      <c r="E8872" s="716">
        <v>0</v>
      </c>
      <c r="F8872" s="717"/>
      <c r="G8872" t="e">
        <f>VLOOKUP(B8872,'SINAPI-%MO'!B:E,4,0)</f>
        <v>#N/A</v>
      </c>
      <c r="H8872" s="225" t="str">
        <f t="shared" si="138"/>
        <v/>
      </c>
    </row>
    <row r="8873" spans="1:8" x14ac:dyDescent="0.3">
      <c r="A8873" s="400"/>
      <c r="B8873" s="709">
        <v>106280</v>
      </c>
      <c r="C8873" s="710" t="s">
        <v>15257</v>
      </c>
      <c r="D8873" s="709" t="s">
        <v>136</v>
      </c>
      <c r="E8873" s="716">
        <v>0</v>
      </c>
      <c r="F8873" s="717"/>
      <c r="G8873" t="e">
        <f>VLOOKUP(B8873,'SINAPI-%MO'!B:E,4,0)</f>
        <v>#N/A</v>
      </c>
      <c r="H8873" s="225" t="str">
        <f t="shared" si="138"/>
        <v/>
      </c>
    </row>
    <row r="8874" spans="1:8" x14ac:dyDescent="0.3">
      <c r="A8874" s="400"/>
      <c r="B8874" s="709">
        <v>106265</v>
      </c>
      <c r="C8874" s="710" t="s">
        <v>15258</v>
      </c>
      <c r="D8874" s="709" t="s">
        <v>159</v>
      </c>
      <c r="E8874" s="716">
        <v>0</v>
      </c>
      <c r="F8874" s="717"/>
      <c r="G8874" t="e">
        <f>VLOOKUP(B8874,'SINAPI-%MO'!B:E,4,0)</f>
        <v>#N/A</v>
      </c>
      <c r="H8874" s="225" t="str">
        <f t="shared" si="138"/>
        <v/>
      </c>
    </row>
    <row r="8875" spans="1:8" x14ac:dyDescent="0.3">
      <c r="A8875" s="400"/>
      <c r="B8875" s="709">
        <v>106273</v>
      </c>
      <c r="C8875" s="710" t="s">
        <v>15259</v>
      </c>
      <c r="D8875" s="709" t="s">
        <v>136</v>
      </c>
      <c r="E8875" s="716">
        <v>0</v>
      </c>
      <c r="F8875" s="717"/>
      <c r="G8875" t="e">
        <f>VLOOKUP(B8875,'SINAPI-%MO'!B:E,4,0)</f>
        <v>#N/A</v>
      </c>
      <c r="H8875" s="225" t="str">
        <f t="shared" si="138"/>
        <v/>
      </c>
    </row>
    <row r="8876" spans="1:8" x14ac:dyDescent="0.3">
      <c r="A8876" s="400"/>
      <c r="B8876" s="709">
        <v>106274</v>
      </c>
      <c r="C8876" s="710" t="s">
        <v>15260</v>
      </c>
      <c r="D8876" s="709" t="s">
        <v>136</v>
      </c>
      <c r="E8876" s="716">
        <v>0</v>
      </c>
      <c r="F8876" s="717"/>
      <c r="G8876" t="e">
        <f>VLOOKUP(B8876,'SINAPI-%MO'!B:E,4,0)</f>
        <v>#N/A</v>
      </c>
      <c r="H8876" s="225" t="str">
        <f t="shared" si="138"/>
        <v/>
      </c>
    </row>
    <row r="8877" spans="1:8" x14ac:dyDescent="0.3">
      <c r="A8877" s="400"/>
      <c r="B8877" s="709">
        <v>106275</v>
      </c>
      <c r="C8877" s="710" t="s">
        <v>15261</v>
      </c>
      <c r="D8877" s="709" t="s">
        <v>136</v>
      </c>
      <c r="E8877" s="716">
        <v>0</v>
      </c>
      <c r="F8877" s="717"/>
      <c r="G8877" t="e">
        <f>VLOOKUP(B8877,'SINAPI-%MO'!B:E,4,0)</f>
        <v>#N/A</v>
      </c>
      <c r="H8877" s="225" t="str">
        <f t="shared" si="138"/>
        <v/>
      </c>
    </row>
    <row r="8878" spans="1:8" x14ac:dyDescent="0.3">
      <c r="A8878" s="400"/>
      <c r="B8878" s="709">
        <v>106276</v>
      </c>
      <c r="C8878" s="710" t="s">
        <v>15262</v>
      </c>
      <c r="D8878" s="709" t="s">
        <v>136</v>
      </c>
      <c r="E8878" s="716">
        <v>0</v>
      </c>
      <c r="F8878" s="717"/>
      <c r="G8878" t="e">
        <f>VLOOKUP(B8878,'SINAPI-%MO'!B:E,4,0)</f>
        <v>#N/A</v>
      </c>
      <c r="H8878" s="225" t="str">
        <f t="shared" si="138"/>
        <v/>
      </c>
    </row>
    <row r="8879" spans="1:8" x14ac:dyDescent="0.3">
      <c r="A8879" s="400"/>
      <c r="B8879" s="709">
        <v>106277</v>
      </c>
      <c r="C8879" s="710" t="s">
        <v>15263</v>
      </c>
      <c r="D8879" s="709" t="s">
        <v>136</v>
      </c>
      <c r="E8879" s="716">
        <v>0</v>
      </c>
      <c r="F8879" s="717"/>
      <c r="G8879" t="e">
        <f>VLOOKUP(B8879,'SINAPI-%MO'!B:E,4,0)</f>
        <v>#N/A</v>
      </c>
      <c r="H8879" s="225" t="str">
        <f t="shared" si="138"/>
        <v/>
      </c>
    </row>
    <row r="8880" spans="1:8" x14ac:dyDescent="0.3">
      <c r="A8880" s="400"/>
      <c r="B8880" s="709">
        <v>106278</v>
      </c>
      <c r="C8880" s="710" t="s">
        <v>15264</v>
      </c>
      <c r="D8880" s="709" t="s">
        <v>136</v>
      </c>
      <c r="E8880" s="716">
        <v>0</v>
      </c>
      <c r="F8880" s="717"/>
      <c r="G8880" t="e">
        <f>VLOOKUP(B8880,'SINAPI-%MO'!B:E,4,0)</f>
        <v>#N/A</v>
      </c>
      <c r="H8880" s="225" t="str">
        <f t="shared" si="138"/>
        <v/>
      </c>
    </row>
    <row r="8881" spans="1:8" x14ac:dyDescent="0.3">
      <c r="A8881" s="400"/>
      <c r="B8881" s="709">
        <v>106295</v>
      </c>
      <c r="C8881" s="710" t="s">
        <v>14398</v>
      </c>
      <c r="D8881" s="709" t="s">
        <v>136</v>
      </c>
      <c r="E8881" s="716">
        <v>253.01</v>
      </c>
      <c r="F8881" s="717">
        <v>0</v>
      </c>
      <c r="G8881">
        <f>VLOOKUP(B8881,'SINAPI-%MO'!B:E,4,0)</f>
        <v>0.13600000000000001</v>
      </c>
      <c r="H8881" s="225">
        <f t="shared" si="138"/>
        <v>218.6</v>
      </c>
    </row>
    <row r="8882" spans="1:8" x14ac:dyDescent="0.3">
      <c r="A8882" s="400"/>
      <c r="B8882" s="709">
        <v>106300</v>
      </c>
      <c r="C8882" s="710" t="s">
        <v>14399</v>
      </c>
      <c r="D8882" s="709" t="s">
        <v>136</v>
      </c>
      <c r="E8882" s="716">
        <v>599.26</v>
      </c>
      <c r="F8882" s="717">
        <v>0</v>
      </c>
      <c r="G8882">
        <f>VLOOKUP(B8882,'SINAPI-%MO'!B:E,4,0)</f>
        <v>0.2387</v>
      </c>
      <c r="H8882" s="225">
        <f t="shared" si="138"/>
        <v>456.21</v>
      </c>
    </row>
    <row r="8883" spans="1:8" x14ac:dyDescent="0.3">
      <c r="A8883" s="400"/>
      <c r="B8883" s="709">
        <v>106293</v>
      </c>
      <c r="C8883" s="710" t="s">
        <v>14400</v>
      </c>
      <c r="D8883" s="709" t="s">
        <v>136</v>
      </c>
      <c r="E8883" s="716">
        <v>200.04</v>
      </c>
      <c r="F8883" s="717">
        <v>0</v>
      </c>
      <c r="G8883">
        <f>VLOOKUP(B8883,'SINAPI-%MO'!B:E,4,0)</f>
        <v>9.9599999999999994E-2</v>
      </c>
      <c r="H8883" s="225">
        <f t="shared" si="138"/>
        <v>180.11</v>
      </c>
    </row>
    <row r="8884" spans="1:8" x14ac:dyDescent="0.3">
      <c r="A8884" s="400"/>
      <c r="B8884" s="709">
        <v>106297</v>
      </c>
      <c r="C8884" s="710" t="s">
        <v>14401</v>
      </c>
      <c r="D8884" s="709" t="s">
        <v>136</v>
      </c>
      <c r="E8884" s="716">
        <v>303.12</v>
      </c>
      <c r="F8884" s="717">
        <v>0</v>
      </c>
      <c r="G8884">
        <f>VLOOKUP(B8884,'SINAPI-%MO'!B:E,4,0)</f>
        <v>0.1852</v>
      </c>
      <c r="H8884" s="225">
        <f t="shared" si="138"/>
        <v>246.98</v>
      </c>
    </row>
    <row r="8885" spans="1:8" x14ac:dyDescent="0.3">
      <c r="A8885" s="400"/>
      <c r="B8885" s="709">
        <v>106298</v>
      </c>
      <c r="C8885" s="710" t="s">
        <v>14402</v>
      </c>
      <c r="D8885" s="709" t="s">
        <v>136</v>
      </c>
      <c r="E8885" s="716">
        <v>462.86</v>
      </c>
      <c r="F8885" s="717">
        <v>0</v>
      </c>
      <c r="G8885">
        <f>VLOOKUP(B8885,'SINAPI-%MO'!B:E,4,0)</f>
        <v>0.18390000000000001</v>
      </c>
      <c r="H8885" s="225">
        <f t="shared" si="138"/>
        <v>377.74</v>
      </c>
    </row>
    <row r="8886" spans="1:8" x14ac:dyDescent="0.3">
      <c r="A8886" s="400"/>
      <c r="B8886" s="709">
        <v>106301</v>
      </c>
      <c r="C8886" s="710" t="s">
        <v>14403</v>
      </c>
      <c r="D8886" s="709" t="s">
        <v>136</v>
      </c>
      <c r="E8886" s="716">
        <v>897.68</v>
      </c>
      <c r="F8886" s="717">
        <v>0</v>
      </c>
      <c r="G8886">
        <f>VLOOKUP(B8886,'SINAPI-%MO'!B:E,4,0)</f>
        <v>0.25609999999999999</v>
      </c>
      <c r="H8886" s="225">
        <f t="shared" si="138"/>
        <v>667.78</v>
      </c>
    </row>
    <row r="8887" spans="1:8" x14ac:dyDescent="0.3">
      <c r="A8887" s="400"/>
      <c r="B8887" s="709">
        <v>106292</v>
      </c>
      <c r="C8887" s="710" t="s">
        <v>14404</v>
      </c>
      <c r="D8887" s="709" t="s">
        <v>136</v>
      </c>
      <c r="E8887" s="716">
        <v>190.12</v>
      </c>
      <c r="F8887" s="717">
        <v>0</v>
      </c>
      <c r="G8887">
        <f>VLOOKUP(B8887,'SINAPI-%MO'!B:E,4,0)</f>
        <v>0.1048</v>
      </c>
      <c r="H8887" s="225">
        <f t="shared" si="138"/>
        <v>170.19</v>
      </c>
    </row>
    <row r="8888" spans="1:8" x14ac:dyDescent="0.3">
      <c r="A8888" s="400"/>
      <c r="B8888" s="709">
        <v>106282</v>
      </c>
      <c r="C8888" s="710" t="s">
        <v>14405</v>
      </c>
      <c r="D8888" s="709" t="s">
        <v>136</v>
      </c>
      <c r="E8888" s="716">
        <v>74.92</v>
      </c>
      <c r="F8888" s="717">
        <v>0</v>
      </c>
      <c r="G8888">
        <f>VLOOKUP(B8888,'SINAPI-%MO'!B:E,4,0)</f>
        <v>0.19939999999999999</v>
      </c>
      <c r="H8888" s="225">
        <f t="shared" si="138"/>
        <v>59.98</v>
      </c>
    </row>
    <row r="8889" spans="1:8" x14ac:dyDescent="0.3">
      <c r="A8889" s="400"/>
      <c r="B8889" s="709">
        <v>106283</v>
      </c>
      <c r="C8889" s="710" t="s">
        <v>14406</v>
      </c>
      <c r="D8889" s="709" t="s">
        <v>136</v>
      </c>
      <c r="E8889" s="716">
        <v>74.92</v>
      </c>
      <c r="F8889" s="717">
        <v>0</v>
      </c>
      <c r="G8889">
        <f>VLOOKUP(B8889,'SINAPI-%MO'!B:E,4,0)</f>
        <v>0.19939999999999999</v>
      </c>
      <c r="H8889" s="225">
        <f t="shared" si="138"/>
        <v>59.98</v>
      </c>
    </row>
    <row r="8890" spans="1:8" x14ac:dyDescent="0.3">
      <c r="A8890" s="400"/>
      <c r="B8890" s="709">
        <v>106286</v>
      </c>
      <c r="C8890" s="710" t="s">
        <v>14407</v>
      </c>
      <c r="D8890" s="709" t="s">
        <v>136</v>
      </c>
      <c r="E8890" s="716">
        <v>85.79</v>
      </c>
      <c r="F8890" s="717">
        <v>0</v>
      </c>
      <c r="G8890">
        <f>VLOOKUP(B8890,'SINAPI-%MO'!B:E,4,0)</f>
        <v>0.3009</v>
      </c>
      <c r="H8890" s="225">
        <f t="shared" si="138"/>
        <v>59.97</v>
      </c>
    </row>
    <row r="8891" spans="1:8" x14ac:dyDescent="0.3">
      <c r="A8891" s="400"/>
      <c r="B8891" s="709">
        <v>106287</v>
      </c>
      <c r="C8891" s="710" t="s">
        <v>14408</v>
      </c>
      <c r="D8891" s="709" t="s">
        <v>136</v>
      </c>
      <c r="E8891" s="716">
        <v>104.3</v>
      </c>
      <c r="F8891" s="717">
        <v>0</v>
      </c>
      <c r="G8891">
        <f>VLOOKUP(B8891,'SINAPI-%MO'!B:E,4,0)</f>
        <v>0.40360000000000001</v>
      </c>
      <c r="H8891" s="225">
        <f t="shared" si="138"/>
        <v>62.2</v>
      </c>
    </row>
    <row r="8892" spans="1:8" x14ac:dyDescent="0.3">
      <c r="A8892" s="400"/>
      <c r="B8892" s="709">
        <v>106288</v>
      </c>
      <c r="C8892" s="710" t="s">
        <v>14409</v>
      </c>
      <c r="D8892" s="709" t="s">
        <v>136</v>
      </c>
      <c r="E8892" s="716">
        <v>127.94</v>
      </c>
      <c r="F8892" s="717">
        <v>0</v>
      </c>
      <c r="G8892">
        <f>VLOOKUP(B8892,'SINAPI-%MO'!B:E,4,0)</f>
        <v>0.49880000000000002</v>
      </c>
      <c r="H8892" s="225">
        <f t="shared" si="138"/>
        <v>64.12</v>
      </c>
    </row>
    <row r="8893" spans="1:8" x14ac:dyDescent="0.3">
      <c r="A8893" s="400"/>
      <c r="B8893" s="709">
        <v>106289</v>
      </c>
      <c r="C8893" s="710" t="s">
        <v>14410</v>
      </c>
      <c r="D8893" s="709" t="s">
        <v>136</v>
      </c>
      <c r="E8893" s="716">
        <v>172.29</v>
      </c>
      <c r="F8893" s="717">
        <v>0</v>
      </c>
      <c r="G8893">
        <f>VLOOKUP(B8893,'SINAPI-%MO'!B:E,4,0)</f>
        <v>0.62260000000000004</v>
      </c>
      <c r="H8893" s="225">
        <f t="shared" si="138"/>
        <v>65.02</v>
      </c>
    </row>
    <row r="8894" spans="1:8" x14ac:dyDescent="0.3">
      <c r="A8894" s="400"/>
      <c r="B8894" s="709">
        <v>106290</v>
      </c>
      <c r="C8894" s="710" t="s">
        <v>14411</v>
      </c>
      <c r="D8894" s="709" t="s">
        <v>136</v>
      </c>
      <c r="E8894" s="716">
        <v>239.8</v>
      </c>
      <c r="F8894" s="717">
        <v>0</v>
      </c>
      <c r="G8894">
        <f>VLOOKUP(B8894,'SINAPI-%MO'!B:E,4,0)</f>
        <v>0.71909999999999996</v>
      </c>
      <c r="H8894" s="225">
        <f t="shared" si="138"/>
        <v>67.349999999999994</v>
      </c>
    </row>
    <row r="8895" spans="1:8" x14ac:dyDescent="0.3">
      <c r="A8895" s="400"/>
      <c r="B8895" s="709">
        <v>106291</v>
      </c>
      <c r="C8895" s="710" t="s">
        <v>14412</v>
      </c>
      <c r="D8895" s="709" t="s">
        <v>136</v>
      </c>
      <c r="E8895" s="716">
        <v>353.47</v>
      </c>
      <c r="F8895" s="717">
        <v>0</v>
      </c>
      <c r="G8895">
        <f>VLOOKUP(B8895,'SINAPI-%MO'!B:E,4,0)</f>
        <v>0.76439999999999997</v>
      </c>
      <c r="H8895" s="225">
        <f t="shared" si="138"/>
        <v>83.27</v>
      </c>
    </row>
    <row r="8896" spans="1:8" x14ac:dyDescent="0.3">
      <c r="A8896" s="400"/>
      <c r="B8896" s="709">
        <v>102136</v>
      </c>
      <c r="C8896" s="710" t="s">
        <v>14413</v>
      </c>
      <c r="D8896" s="709" t="s">
        <v>136</v>
      </c>
      <c r="E8896" s="716">
        <v>148.16</v>
      </c>
      <c r="F8896" s="717">
        <v>0</v>
      </c>
      <c r="G8896">
        <f>VLOOKUP(B8896,'SINAPI-%MO'!B:E,4,0)</f>
        <v>0.90820000000000001</v>
      </c>
      <c r="H8896" s="225">
        <f t="shared" si="138"/>
        <v>13.6</v>
      </c>
    </row>
    <row r="8897" spans="1:8" x14ac:dyDescent="0.3">
      <c r="A8897" s="400"/>
      <c r="B8897" s="709">
        <v>106263</v>
      </c>
      <c r="C8897" s="710" t="s">
        <v>14414</v>
      </c>
      <c r="D8897" s="709" t="s">
        <v>136</v>
      </c>
      <c r="E8897" s="716">
        <v>193.16</v>
      </c>
      <c r="F8897" s="717">
        <v>0</v>
      </c>
      <c r="G8897">
        <f>VLOOKUP(B8897,'SINAPI-%MO'!B:E,4,0)</f>
        <v>0.92149999999999999</v>
      </c>
      <c r="H8897" s="225">
        <f t="shared" si="138"/>
        <v>15.16</v>
      </c>
    </row>
    <row r="8898" spans="1:8" x14ac:dyDescent="0.3">
      <c r="A8898" s="400"/>
      <c r="B8898" s="709">
        <v>106259</v>
      </c>
      <c r="C8898" s="710" t="s">
        <v>15265</v>
      </c>
      <c r="D8898" s="709" t="s">
        <v>136</v>
      </c>
      <c r="E8898" s="716">
        <v>0</v>
      </c>
      <c r="F8898" s="717"/>
      <c r="G8898" t="e">
        <f>VLOOKUP(B8898,'SINAPI-%MO'!B:E,4,0)</f>
        <v>#N/A</v>
      </c>
      <c r="H8898" s="225" t="str">
        <f t="shared" si="138"/>
        <v/>
      </c>
    </row>
    <row r="8899" spans="1:8" x14ac:dyDescent="0.3">
      <c r="A8899" s="400"/>
      <c r="B8899" s="709">
        <v>106261</v>
      </c>
      <c r="C8899" s="710" t="s">
        <v>15266</v>
      </c>
      <c r="D8899" s="709" t="s">
        <v>136</v>
      </c>
      <c r="E8899" s="716">
        <v>0</v>
      </c>
      <c r="F8899" s="717"/>
      <c r="G8899" t="e">
        <f>VLOOKUP(B8899,'SINAPI-%MO'!B:E,4,0)</f>
        <v>#N/A</v>
      </c>
      <c r="H8899" s="225" t="str">
        <f t="shared" si="138"/>
        <v/>
      </c>
    </row>
    <row r="8900" spans="1:8" x14ac:dyDescent="0.3">
      <c r="A8900" s="400"/>
      <c r="B8900" s="709">
        <v>106260</v>
      </c>
      <c r="C8900" s="710" t="s">
        <v>15267</v>
      </c>
      <c r="D8900" s="709" t="s">
        <v>136</v>
      </c>
      <c r="E8900" s="716">
        <v>0</v>
      </c>
      <c r="F8900" s="717"/>
      <c r="G8900" t="e">
        <f>VLOOKUP(B8900,'SINAPI-%MO'!B:E,4,0)</f>
        <v>#N/A</v>
      </c>
      <c r="H8900" s="225" t="str">
        <f t="shared" si="138"/>
        <v/>
      </c>
    </row>
    <row r="8901" spans="1:8" x14ac:dyDescent="0.3">
      <c r="A8901" s="400"/>
      <c r="B8901" s="709">
        <v>102134</v>
      </c>
      <c r="C8901" s="710" t="s">
        <v>15268</v>
      </c>
      <c r="D8901" s="709" t="s">
        <v>136</v>
      </c>
      <c r="E8901" s="716">
        <v>0</v>
      </c>
      <c r="F8901" s="717"/>
      <c r="G8901" t="e">
        <f>VLOOKUP(B8901,'SINAPI-%MO'!B:E,4,0)</f>
        <v>#N/A</v>
      </c>
      <c r="H8901" s="225" t="str">
        <f t="shared" si="138"/>
        <v/>
      </c>
    </row>
    <row r="8902" spans="1:8" x14ac:dyDescent="0.3">
      <c r="A8902" s="400"/>
      <c r="B8902" s="709">
        <v>106262</v>
      </c>
      <c r="C8902" s="710" t="s">
        <v>15269</v>
      </c>
      <c r="D8902" s="709" t="s">
        <v>136</v>
      </c>
      <c r="E8902" s="716">
        <v>0</v>
      </c>
      <c r="F8902" s="717"/>
      <c r="G8902" t="e">
        <f>VLOOKUP(B8902,'SINAPI-%MO'!B:E,4,0)</f>
        <v>#N/A</v>
      </c>
      <c r="H8902" s="225" t="str">
        <f t="shared" si="138"/>
        <v/>
      </c>
    </row>
    <row r="8903" spans="1:8" x14ac:dyDescent="0.3">
      <c r="A8903" s="400"/>
      <c r="B8903" s="709">
        <v>102135</v>
      </c>
      <c r="C8903" s="710" t="s">
        <v>15270</v>
      </c>
      <c r="D8903" s="709" t="s">
        <v>136</v>
      </c>
      <c r="E8903" s="716">
        <v>0</v>
      </c>
      <c r="F8903" s="717"/>
      <c r="G8903" t="e">
        <f>VLOOKUP(B8903,'SINAPI-%MO'!B:E,4,0)</f>
        <v>#N/A</v>
      </c>
      <c r="H8903" s="225" t="str">
        <f t="shared" si="138"/>
        <v/>
      </c>
    </row>
    <row r="8904" spans="1:8" x14ac:dyDescent="0.3">
      <c r="A8904" s="400"/>
      <c r="B8904" s="709">
        <v>106302</v>
      </c>
      <c r="C8904" s="710" t="s">
        <v>15271</v>
      </c>
      <c r="D8904" s="709" t="s">
        <v>136</v>
      </c>
      <c r="E8904" s="716">
        <v>0</v>
      </c>
      <c r="F8904" s="717"/>
      <c r="G8904" t="e">
        <f>VLOOKUP(B8904,'SINAPI-%MO'!B:E,4,0)</f>
        <v>#N/A</v>
      </c>
      <c r="H8904" s="225" t="str">
        <f t="shared" si="138"/>
        <v/>
      </c>
    </row>
    <row r="8905" spans="1:8" x14ac:dyDescent="0.3">
      <c r="A8905" s="400"/>
      <c r="B8905" s="709">
        <v>106284</v>
      </c>
      <c r="C8905" s="710" t="s">
        <v>15272</v>
      </c>
      <c r="D8905" s="709" t="s">
        <v>136</v>
      </c>
      <c r="E8905" s="716">
        <v>0</v>
      </c>
      <c r="F8905" s="717"/>
      <c r="G8905" t="e">
        <f>VLOOKUP(B8905,'SINAPI-%MO'!B:E,4,0)</f>
        <v>#N/A</v>
      </c>
      <c r="H8905" s="225" t="str">
        <f t="shared" si="138"/>
        <v/>
      </c>
    </row>
    <row r="8906" spans="1:8" x14ac:dyDescent="0.3">
      <c r="A8906" s="400"/>
      <c r="B8906" s="709">
        <v>106285</v>
      </c>
      <c r="C8906" s="710" t="s">
        <v>15273</v>
      </c>
      <c r="D8906" s="709" t="s">
        <v>136</v>
      </c>
      <c r="E8906" s="716">
        <v>0</v>
      </c>
      <c r="F8906" s="717"/>
      <c r="G8906" t="e">
        <f>VLOOKUP(B8906,'SINAPI-%MO'!B:E,4,0)</f>
        <v>#N/A</v>
      </c>
      <c r="H8906" s="225" t="str">
        <f t="shared" si="138"/>
        <v/>
      </c>
    </row>
    <row r="8907" spans="1:8" x14ac:dyDescent="0.3">
      <c r="A8907" s="400"/>
      <c r="B8907" s="709">
        <v>106296</v>
      </c>
      <c r="C8907" s="710" t="s">
        <v>15274</v>
      </c>
      <c r="D8907" s="709" t="s">
        <v>136</v>
      </c>
      <c r="E8907" s="716">
        <v>0</v>
      </c>
      <c r="F8907" s="717"/>
      <c r="G8907" t="e">
        <f>VLOOKUP(B8907,'SINAPI-%MO'!B:E,4,0)</f>
        <v>#N/A</v>
      </c>
      <c r="H8907" s="225" t="str">
        <f t="shared" ref="H8907:H8970" si="139">IF(E8907&gt;0,TRUNC(E8907*(1-G8907),2),"")</f>
        <v/>
      </c>
    </row>
    <row r="8908" spans="1:8" x14ac:dyDescent="0.3">
      <c r="A8908" s="400"/>
      <c r="B8908" s="709">
        <v>106299</v>
      </c>
      <c r="C8908" s="710" t="s">
        <v>14415</v>
      </c>
      <c r="D8908" s="709" t="s">
        <v>136</v>
      </c>
      <c r="E8908" s="716">
        <v>273.77999999999997</v>
      </c>
      <c r="F8908" s="717">
        <v>0</v>
      </c>
      <c r="G8908">
        <f>VLOOKUP(B8908,'SINAPI-%MO'!B:E,4,0)</f>
        <v>0.31080000000000002</v>
      </c>
      <c r="H8908" s="225">
        <f t="shared" si="139"/>
        <v>188.68</v>
      </c>
    </row>
    <row r="8909" spans="1:8" x14ac:dyDescent="0.3">
      <c r="A8909" s="400"/>
      <c r="B8909" s="709">
        <v>106294</v>
      </c>
      <c r="C8909" s="710" t="s">
        <v>15275</v>
      </c>
      <c r="D8909" s="709" t="s">
        <v>136</v>
      </c>
      <c r="E8909" s="716">
        <v>0</v>
      </c>
      <c r="F8909" s="717"/>
      <c r="G8909" t="e">
        <f>VLOOKUP(B8909,'SINAPI-%MO'!B:E,4,0)</f>
        <v>#N/A</v>
      </c>
      <c r="H8909" s="225" t="str">
        <f t="shared" si="139"/>
        <v/>
      </c>
    </row>
    <row r="8910" spans="1:8" x14ac:dyDescent="0.3">
      <c r="A8910" s="400"/>
      <c r="B8910" s="709">
        <v>106281</v>
      </c>
      <c r="C8910" s="710" t="s">
        <v>15276</v>
      </c>
      <c r="D8910" s="709" t="s">
        <v>136</v>
      </c>
      <c r="E8910" s="716">
        <v>0</v>
      </c>
      <c r="F8910" s="717"/>
      <c r="G8910" t="e">
        <f>VLOOKUP(B8910,'SINAPI-%MO'!B:E,4,0)</f>
        <v>#N/A</v>
      </c>
      <c r="H8910" s="225" t="str">
        <f t="shared" si="139"/>
        <v/>
      </c>
    </row>
    <row r="8911" spans="1:8" x14ac:dyDescent="0.3">
      <c r="A8911" s="400"/>
      <c r="B8911" s="709">
        <v>106264</v>
      </c>
      <c r="C8911" s="710" t="s">
        <v>15277</v>
      </c>
      <c r="D8911" s="709" t="s">
        <v>159</v>
      </c>
      <c r="E8911" s="716">
        <v>0</v>
      </c>
      <c r="F8911" s="717"/>
      <c r="G8911" t="e">
        <f>VLOOKUP(B8911,'SINAPI-%MO'!B:E,4,0)</f>
        <v>#N/A</v>
      </c>
      <c r="H8911" s="225" t="str">
        <f t="shared" si="139"/>
        <v/>
      </c>
    </row>
    <row r="8912" spans="1:8" x14ac:dyDescent="0.3">
      <c r="A8912" s="400"/>
      <c r="B8912" s="709">
        <v>97097</v>
      </c>
      <c r="C8912" s="710" t="s">
        <v>16231</v>
      </c>
      <c r="D8912" s="709" t="s">
        <v>168</v>
      </c>
      <c r="E8912" s="716">
        <v>40.07</v>
      </c>
      <c r="F8912" s="717">
        <v>5.0000000000000001E-4</v>
      </c>
      <c r="G8912">
        <f>VLOOKUP(B8912,'SINAPI-%MO'!B:E,4,0)</f>
        <v>6.9599999999999995E-2</v>
      </c>
      <c r="H8912" s="225">
        <f t="shared" si="139"/>
        <v>37.28</v>
      </c>
    </row>
    <row r="8913" spans="1:8" x14ac:dyDescent="0.3">
      <c r="A8913" s="400"/>
      <c r="B8913" s="709">
        <v>97089</v>
      </c>
      <c r="C8913" s="710" t="s">
        <v>16232</v>
      </c>
      <c r="D8913" s="709" t="s">
        <v>175</v>
      </c>
      <c r="E8913" s="716">
        <v>15.7</v>
      </c>
      <c r="F8913" s="717">
        <v>0</v>
      </c>
      <c r="G8913">
        <f>VLOOKUP(B8913,'SINAPI-%MO'!B:E,4,0)</f>
        <v>0.107</v>
      </c>
      <c r="H8913" s="225">
        <f t="shared" si="139"/>
        <v>14.02</v>
      </c>
    </row>
    <row r="8914" spans="1:8" x14ac:dyDescent="0.3">
      <c r="A8914" s="400"/>
      <c r="B8914" s="709">
        <v>97090</v>
      </c>
      <c r="C8914" s="710" t="s">
        <v>16233</v>
      </c>
      <c r="D8914" s="709" t="s">
        <v>175</v>
      </c>
      <c r="E8914" s="716">
        <v>15.36</v>
      </c>
      <c r="F8914" s="717">
        <v>0</v>
      </c>
      <c r="G8914">
        <f>VLOOKUP(B8914,'SINAPI-%MO'!B:E,4,0)</f>
        <v>9.64E-2</v>
      </c>
      <c r="H8914" s="225">
        <f t="shared" si="139"/>
        <v>13.87</v>
      </c>
    </row>
    <row r="8915" spans="1:8" x14ac:dyDescent="0.3">
      <c r="A8915" s="400"/>
      <c r="B8915" s="709">
        <v>97091</v>
      </c>
      <c r="C8915" s="710" t="s">
        <v>16234</v>
      </c>
      <c r="D8915" s="709" t="s">
        <v>175</v>
      </c>
      <c r="E8915" s="716">
        <v>14.88</v>
      </c>
      <c r="F8915" s="717">
        <v>0</v>
      </c>
      <c r="G8915">
        <f>VLOOKUP(B8915,'SINAPI-%MO'!B:E,4,0)</f>
        <v>9.1399999999999995E-2</v>
      </c>
      <c r="H8915" s="225">
        <f t="shared" si="139"/>
        <v>13.51</v>
      </c>
    </row>
    <row r="8916" spans="1:8" x14ac:dyDescent="0.3">
      <c r="A8916" s="400"/>
      <c r="B8916" s="709">
        <v>97092</v>
      </c>
      <c r="C8916" s="710" t="s">
        <v>16235</v>
      </c>
      <c r="D8916" s="709" t="s">
        <v>175</v>
      </c>
      <c r="E8916" s="716">
        <v>14.4</v>
      </c>
      <c r="F8916" s="717">
        <v>0</v>
      </c>
      <c r="G8916">
        <f>VLOOKUP(B8916,'SINAPI-%MO'!B:E,4,0)</f>
        <v>8.4000000000000005E-2</v>
      </c>
      <c r="H8916" s="225">
        <f t="shared" si="139"/>
        <v>13.19</v>
      </c>
    </row>
    <row r="8917" spans="1:8" x14ac:dyDescent="0.3">
      <c r="A8917" s="400"/>
      <c r="B8917" s="709">
        <v>103053</v>
      </c>
      <c r="C8917" s="710" t="s">
        <v>16362</v>
      </c>
      <c r="D8917" s="709" t="s">
        <v>175</v>
      </c>
      <c r="E8917" s="716">
        <v>0</v>
      </c>
      <c r="F8917" s="717"/>
      <c r="G8917" t="e">
        <f>VLOOKUP(B8917,'SINAPI-%MO'!B:E,4,0)</f>
        <v>#N/A</v>
      </c>
      <c r="H8917" s="225" t="str">
        <f t="shared" si="139"/>
        <v/>
      </c>
    </row>
    <row r="8918" spans="1:8" x14ac:dyDescent="0.3">
      <c r="A8918" s="400"/>
      <c r="B8918" s="709">
        <v>97093</v>
      </c>
      <c r="C8918" s="710" t="s">
        <v>16236</v>
      </c>
      <c r="D8918" s="709" t="s">
        <v>175</v>
      </c>
      <c r="E8918" s="716">
        <v>13.5</v>
      </c>
      <c r="F8918" s="717">
        <v>0</v>
      </c>
      <c r="G8918">
        <f>VLOOKUP(B8918,'SINAPI-%MO'!B:E,4,0)</f>
        <v>7.4800000000000005E-2</v>
      </c>
      <c r="H8918" s="225">
        <f t="shared" si="139"/>
        <v>12.49</v>
      </c>
    </row>
    <row r="8919" spans="1:8" x14ac:dyDescent="0.3">
      <c r="A8919" s="400"/>
      <c r="B8919" s="709">
        <v>103054</v>
      </c>
      <c r="C8919" s="710" t="s">
        <v>16363</v>
      </c>
      <c r="D8919" s="709" t="s">
        <v>175</v>
      </c>
      <c r="E8919" s="716">
        <v>0</v>
      </c>
      <c r="F8919" s="717"/>
      <c r="G8919" t="e">
        <f>VLOOKUP(B8919,'SINAPI-%MO'!B:E,4,0)</f>
        <v>#N/A</v>
      </c>
      <c r="H8919" s="225" t="str">
        <f t="shared" si="139"/>
        <v/>
      </c>
    </row>
    <row r="8920" spans="1:8" x14ac:dyDescent="0.3">
      <c r="A8920" s="400"/>
      <c r="B8920" s="709">
        <v>107278</v>
      </c>
      <c r="C8920" s="710" t="s">
        <v>16364</v>
      </c>
      <c r="D8920" s="709" t="s">
        <v>175</v>
      </c>
      <c r="E8920" s="716">
        <v>0</v>
      </c>
      <c r="F8920" s="717"/>
      <c r="G8920" t="e">
        <f>VLOOKUP(B8920,'SINAPI-%MO'!B:E,4,0)</f>
        <v>#N/A</v>
      </c>
      <c r="H8920" s="225" t="str">
        <f t="shared" si="139"/>
        <v/>
      </c>
    </row>
    <row r="8921" spans="1:8" x14ac:dyDescent="0.3">
      <c r="A8921" s="400"/>
      <c r="B8921" s="709">
        <v>107279</v>
      </c>
      <c r="C8921" s="710" t="s">
        <v>16365</v>
      </c>
      <c r="D8921" s="709" t="s">
        <v>175</v>
      </c>
      <c r="E8921" s="716">
        <v>0</v>
      </c>
      <c r="F8921" s="717"/>
      <c r="G8921" t="e">
        <f>VLOOKUP(B8921,'SINAPI-%MO'!B:E,4,0)</f>
        <v>#N/A</v>
      </c>
      <c r="H8921" s="225" t="str">
        <f t="shared" si="139"/>
        <v/>
      </c>
    </row>
    <row r="8922" spans="1:8" x14ac:dyDescent="0.3">
      <c r="A8922" s="400"/>
      <c r="B8922" s="709">
        <v>97088</v>
      </c>
      <c r="C8922" s="710" t="s">
        <v>16237</v>
      </c>
      <c r="D8922" s="709" t="s">
        <v>175</v>
      </c>
      <c r="E8922" s="716">
        <v>17.18</v>
      </c>
      <c r="F8922" s="717">
        <v>0</v>
      </c>
      <c r="G8922">
        <f>VLOOKUP(B8922,'SINAPI-%MO'!B:E,4,0)</f>
        <v>0.1118</v>
      </c>
      <c r="H8922" s="225">
        <f t="shared" si="139"/>
        <v>15.25</v>
      </c>
    </row>
    <row r="8923" spans="1:8" x14ac:dyDescent="0.3">
      <c r="A8923" s="400"/>
      <c r="B8923" s="709">
        <v>107281</v>
      </c>
      <c r="C8923" s="710" t="s">
        <v>16238</v>
      </c>
      <c r="D8923" s="709" t="s">
        <v>175</v>
      </c>
      <c r="E8923" s="716">
        <v>10.35</v>
      </c>
      <c r="F8923" s="717">
        <v>0</v>
      </c>
      <c r="G8923">
        <f>VLOOKUP(B8923,'SINAPI-%MO'!B:E,4,0)</f>
        <v>0.1787</v>
      </c>
      <c r="H8923" s="225">
        <f t="shared" si="139"/>
        <v>8.5</v>
      </c>
    </row>
    <row r="8924" spans="1:8" x14ac:dyDescent="0.3">
      <c r="A8924" s="400"/>
      <c r="B8924" s="709">
        <v>107282</v>
      </c>
      <c r="C8924" s="710" t="s">
        <v>16239</v>
      </c>
      <c r="D8924" s="709" t="s">
        <v>175</v>
      </c>
      <c r="E8924" s="716">
        <v>10.65</v>
      </c>
      <c r="F8924" s="717">
        <v>0</v>
      </c>
      <c r="G8924">
        <f>VLOOKUP(B8924,'SINAPI-%MO'!B:E,4,0)</f>
        <v>0.1484</v>
      </c>
      <c r="H8924" s="225">
        <f t="shared" si="139"/>
        <v>9.06</v>
      </c>
    </row>
    <row r="8925" spans="1:8" x14ac:dyDescent="0.3">
      <c r="A8925" s="400"/>
      <c r="B8925" s="709">
        <v>107280</v>
      </c>
      <c r="C8925" s="710" t="s">
        <v>16240</v>
      </c>
      <c r="D8925" s="709" t="s">
        <v>175</v>
      </c>
      <c r="E8925" s="716">
        <v>11.42</v>
      </c>
      <c r="F8925" s="717">
        <v>0</v>
      </c>
      <c r="G8925">
        <f>VLOOKUP(B8925,'SINAPI-%MO'!B:E,4,0)</f>
        <v>0.2084</v>
      </c>
      <c r="H8925" s="225">
        <f t="shared" si="139"/>
        <v>9.0399999999999991</v>
      </c>
    </row>
    <row r="8926" spans="1:8" x14ac:dyDescent="0.3">
      <c r="A8926" s="400"/>
      <c r="B8926" s="709">
        <v>97087</v>
      </c>
      <c r="C8926" s="710" t="s">
        <v>16241</v>
      </c>
      <c r="D8926" s="709" t="s">
        <v>168</v>
      </c>
      <c r="E8926" s="716">
        <v>2.75</v>
      </c>
      <c r="F8926" s="717">
        <v>0</v>
      </c>
      <c r="G8926">
        <f>VLOOKUP(B8926,'SINAPI-%MO'!B:E,4,0)</f>
        <v>0.15640000000000001</v>
      </c>
      <c r="H8926" s="225">
        <f t="shared" si="139"/>
        <v>2.31</v>
      </c>
    </row>
    <row r="8927" spans="1:8" x14ac:dyDescent="0.3">
      <c r="A8927" s="400"/>
      <c r="B8927" s="709">
        <v>97083</v>
      </c>
      <c r="C8927" s="710" t="s">
        <v>16242</v>
      </c>
      <c r="D8927" s="709" t="s">
        <v>168</v>
      </c>
      <c r="E8927" s="716">
        <v>4.25</v>
      </c>
      <c r="F8927" s="717">
        <v>0</v>
      </c>
      <c r="G8927">
        <f>VLOOKUP(B8927,'SINAPI-%MO'!B:E,4,0)</f>
        <v>0.9506</v>
      </c>
      <c r="H8927" s="225">
        <f t="shared" si="139"/>
        <v>0.2</v>
      </c>
    </row>
    <row r="8928" spans="1:8" x14ac:dyDescent="0.3">
      <c r="A8928" s="400"/>
      <c r="B8928" s="709">
        <v>97084</v>
      </c>
      <c r="C8928" s="710" t="s">
        <v>16243</v>
      </c>
      <c r="D8928" s="709" t="s">
        <v>168</v>
      </c>
      <c r="E8928" s="716">
        <v>0.89</v>
      </c>
      <c r="F8928" s="717">
        <v>0</v>
      </c>
      <c r="G8928">
        <f>VLOOKUP(B8928,'SINAPI-%MO'!B:E,4,0)</f>
        <v>0.94379999999999997</v>
      </c>
      <c r="H8928" s="225">
        <f t="shared" si="139"/>
        <v>0.05</v>
      </c>
    </row>
    <row r="8929" spans="1:8" x14ac:dyDescent="0.3">
      <c r="A8929" s="400"/>
      <c r="B8929" s="709">
        <v>107276</v>
      </c>
      <c r="C8929" s="710" t="s">
        <v>16244</v>
      </c>
      <c r="D8929" s="709" t="s">
        <v>170</v>
      </c>
      <c r="E8929" s="716">
        <v>804</v>
      </c>
      <c r="F8929" s="717">
        <v>0</v>
      </c>
      <c r="G8929">
        <f>VLOOKUP(B8929,'SINAPI-%MO'!B:E,4,0)</f>
        <v>2.7900000000000001E-2</v>
      </c>
      <c r="H8929" s="225">
        <f t="shared" si="139"/>
        <v>781.56</v>
      </c>
    </row>
    <row r="8930" spans="1:8" x14ac:dyDescent="0.3">
      <c r="A8930" s="400"/>
      <c r="B8930" s="709">
        <v>97096</v>
      </c>
      <c r="C8930" s="710" t="s">
        <v>16245</v>
      </c>
      <c r="D8930" s="709" t="s">
        <v>170</v>
      </c>
      <c r="E8930" s="716">
        <v>828.03</v>
      </c>
      <c r="F8930" s="717">
        <v>0</v>
      </c>
      <c r="G8930">
        <f>VLOOKUP(B8930,'SINAPI-%MO'!B:E,4,0)</f>
        <v>2.7099999999999999E-2</v>
      </c>
      <c r="H8930" s="225">
        <f t="shared" si="139"/>
        <v>805.59</v>
      </c>
    </row>
    <row r="8931" spans="1:8" x14ac:dyDescent="0.3">
      <c r="A8931" s="400"/>
      <c r="B8931" s="709">
        <v>107277</v>
      </c>
      <c r="C8931" s="710" t="s">
        <v>16246</v>
      </c>
      <c r="D8931" s="709" t="s">
        <v>170</v>
      </c>
      <c r="E8931" s="716">
        <v>852.09</v>
      </c>
      <c r="F8931" s="717">
        <v>0</v>
      </c>
      <c r="G8931">
        <f>VLOOKUP(B8931,'SINAPI-%MO'!B:E,4,0)</f>
        <v>2.63E-2</v>
      </c>
      <c r="H8931" s="225">
        <f t="shared" si="139"/>
        <v>829.68</v>
      </c>
    </row>
    <row r="8932" spans="1:8" x14ac:dyDescent="0.3">
      <c r="A8932" s="400"/>
      <c r="B8932" s="709">
        <v>97082</v>
      </c>
      <c r="C8932" s="710" t="s">
        <v>16247</v>
      </c>
      <c r="D8932" s="709" t="s">
        <v>170</v>
      </c>
      <c r="E8932" s="716">
        <v>79.739999999999995</v>
      </c>
      <c r="F8932" s="717">
        <v>0</v>
      </c>
      <c r="G8932">
        <f>VLOOKUP(B8932,'SINAPI-%MO'!B:E,4,0)</f>
        <v>1</v>
      </c>
      <c r="H8932" s="225">
        <f t="shared" si="139"/>
        <v>0</v>
      </c>
    </row>
    <row r="8933" spans="1:8" x14ac:dyDescent="0.3">
      <c r="A8933" s="400"/>
      <c r="B8933" s="709">
        <v>103076</v>
      </c>
      <c r="C8933" s="710" t="s">
        <v>16248</v>
      </c>
      <c r="D8933" s="709" t="s">
        <v>168</v>
      </c>
      <c r="E8933" s="716">
        <v>176.08</v>
      </c>
      <c r="F8933" s="717">
        <v>0</v>
      </c>
      <c r="G8933">
        <f>VLOOKUP(B8933,'SINAPI-%MO'!B:E,4,0)</f>
        <v>0.16289999999999999</v>
      </c>
      <c r="H8933" s="225">
        <f t="shared" si="139"/>
        <v>147.38999999999999</v>
      </c>
    </row>
    <row r="8934" spans="1:8" x14ac:dyDescent="0.3">
      <c r="A8934" s="400"/>
      <c r="B8934" s="709">
        <v>103067</v>
      </c>
      <c r="C8934" s="710" t="s">
        <v>16366</v>
      </c>
      <c r="D8934" s="709" t="s">
        <v>168</v>
      </c>
      <c r="E8934" s="716">
        <v>0</v>
      </c>
      <c r="F8934" s="717"/>
      <c r="G8934" t="e">
        <f>VLOOKUP(B8934,'SINAPI-%MO'!B:E,4,0)</f>
        <v>#N/A</v>
      </c>
      <c r="H8934" s="225" t="str">
        <f t="shared" si="139"/>
        <v/>
      </c>
    </row>
    <row r="8935" spans="1:8" x14ac:dyDescent="0.3">
      <c r="A8935" s="400"/>
      <c r="B8935" s="709">
        <v>103077</v>
      </c>
      <c r="C8935" s="710" t="s">
        <v>16249</v>
      </c>
      <c r="D8935" s="709" t="s">
        <v>168</v>
      </c>
      <c r="E8935" s="716">
        <v>231.28</v>
      </c>
      <c r="F8935" s="717">
        <v>0</v>
      </c>
      <c r="G8935">
        <f>VLOOKUP(B8935,'SINAPI-%MO'!B:E,4,0)</f>
        <v>0.1411</v>
      </c>
      <c r="H8935" s="225">
        <f t="shared" si="139"/>
        <v>198.64</v>
      </c>
    </row>
    <row r="8936" spans="1:8" x14ac:dyDescent="0.3">
      <c r="A8936" s="400"/>
      <c r="B8936" s="709">
        <v>103068</v>
      </c>
      <c r="C8936" s="710" t="s">
        <v>16367</v>
      </c>
      <c r="D8936" s="709" t="s">
        <v>168</v>
      </c>
      <c r="E8936" s="716">
        <v>0</v>
      </c>
      <c r="F8936" s="717"/>
      <c r="G8936" t="e">
        <f>VLOOKUP(B8936,'SINAPI-%MO'!B:E,4,0)</f>
        <v>#N/A</v>
      </c>
      <c r="H8936" s="225" t="str">
        <f t="shared" si="139"/>
        <v/>
      </c>
    </row>
    <row r="8937" spans="1:8" x14ac:dyDescent="0.3">
      <c r="A8937" s="400"/>
      <c r="B8937" s="709">
        <v>103078</v>
      </c>
      <c r="C8937" s="710" t="s">
        <v>16250</v>
      </c>
      <c r="D8937" s="709" t="s">
        <v>168</v>
      </c>
      <c r="E8937" s="716">
        <v>282.83</v>
      </c>
      <c r="F8937" s="717">
        <v>0</v>
      </c>
      <c r="G8937">
        <f>VLOOKUP(B8937,'SINAPI-%MO'!B:E,4,0)</f>
        <v>0.12889999999999999</v>
      </c>
      <c r="H8937" s="225">
        <f t="shared" si="139"/>
        <v>246.37</v>
      </c>
    </row>
    <row r="8938" spans="1:8" x14ac:dyDescent="0.3">
      <c r="A8938" s="400"/>
      <c r="B8938" s="709">
        <v>103069</v>
      </c>
      <c r="C8938" s="710" t="s">
        <v>16368</v>
      </c>
      <c r="D8938" s="709" t="s">
        <v>168</v>
      </c>
      <c r="E8938" s="716">
        <v>0</v>
      </c>
      <c r="F8938" s="717"/>
      <c r="G8938" t="e">
        <f>VLOOKUP(B8938,'SINAPI-%MO'!B:E,4,0)</f>
        <v>#N/A</v>
      </c>
      <c r="H8938" s="225" t="str">
        <f t="shared" si="139"/>
        <v/>
      </c>
    </row>
    <row r="8939" spans="1:8" x14ac:dyDescent="0.3">
      <c r="A8939" s="400"/>
      <c r="B8939" s="709">
        <v>103079</v>
      </c>
      <c r="C8939" s="710" t="s">
        <v>16251</v>
      </c>
      <c r="D8939" s="709" t="s">
        <v>168</v>
      </c>
      <c r="E8939" s="716">
        <v>341.54</v>
      </c>
      <c r="F8939" s="717">
        <v>0</v>
      </c>
      <c r="G8939">
        <f>VLOOKUP(B8939,'SINAPI-%MO'!B:E,4,0)</f>
        <v>0.1188</v>
      </c>
      <c r="H8939" s="225">
        <f t="shared" si="139"/>
        <v>300.95999999999998</v>
      </c>
    </row>
    <row r="8940" spans="1:8" x14ac:dyDescent="0.3">
      <c r="A8940" s="400"/>
      <c r="B8940" s="709">
        <v>103070</v>
      </c>
      <c r="C8940" s="710" t="s">
        <v>16369</v>
      </c>
      <c r="D8940" s="709" t="s">
        <v>168</v>
      </c>
      <c r="E8940" s="716">
        <v>0</v>
      </c>
      <c r="F8940" s="717"/>
      <c r="G8940" t="e">
        <f>VLOOKUP(B8940,'SINAPI-%MO'!B:E,4,0)</f>
        <v>#N/A</v>
      </c>
      <c r="H8940" s="225" t="str">
        <f t="shared" si="139"/>
        <v/>
      </c>
    </row>
    <row r="8941" spans="1:8" x14ac:dyDescent="0.3">
      <c r="A8941" s="400"/>
      <c r="B8941" s="709">
        <v>103080</v>
      </c>
      <c r="C8941" s="710" t="s">
        <v>16252</v>
      </c>
      <c r="D8941" s="709" t="s">
        <v>168</v>
      </c>
      <c r="E8941" s="716">
        <v>417.08</v>
      </c>
      <c r="F8941" s="717">
        <v>0</v>
      </c>
      <c r="G8941">
        <f>VLOOKUP(B8941,'SINAPI-%MO'!B:E,4,0)</f>
        <v>0.10929999999999999</v>
      </c>
      <c r="H8941" s="225">
        <f t="shared" si="139"/>
        <v>371.49</v>
      </c>
    </row>
    <row r="8942" spans="1:8" x14ac:dyDescent="0.3">
      <c r="A8942" s="400"/>
      <c r="B8942" s="709">
        <v>103071</v>
      </c>
      <c r="C8942" s="710" t="s">
        <v>16370</v>
      </c>
      <c r="D8942" s="709" t="s">
        <v>168</v>
      </c>
      <c r="E8942" s="716">
        <v>0</v>
      </c>
      <c r="F8942" s="717"/>
      <c r="G8942" t="e">
        <f>VLOOKUP(B8942,'SINAPI-%MO'!B:E,4,0)</f>
        <v>#N/A</v>
      </c>
      <c r="H8942" s="225" t="str">
        <f t="shared" si="139"/>
        <v/>
      </c>
    </row>
    <row r="8943" spans="1:8" x14ac:dyDescent="0.3">
      <c r="A8943" s="400"/>
      <c r="B8943" s="709">
        <v>103075</v>
      </c>
      <c r="C8943" s="710" t="s">
        <v>16253</v>
      </c>
      <c r="D8943" s="709" t="s">
        <v>168</v>
      </c>
      <c r="E8943" s="716">
        <v>251.29</v>
      </c>
      <c r="F8943" s="717">
        <v>1E-4</v>
      </c>
      <c r="G8943">
        <f>VLOOKUP(B8943,'SINAPI-%MO'!B:E,4,0)</f>
        <v>0.1394</v>
      </c>
      <c r="H8943" s="225">
        <f t="shared" si="139"/>
        <v>216.26</v>
      </c>
    </row>
    <row r="8944" spans="1:8" x14ac:dyDescent="0.3">
      <c r="A8944" s="400"/>
      <c r="B8944" s="709">
        <v>103062</v>
      </c>
      <c r="C8944" s="710" t="s">
        <v>16371</v>
      </c>
      <c r="D8944" s="709" t="s">
        <v>168</v>
      </c>
      <c r="E8944" s="716">
        <v>0</v>
      </c>
      <c r="F8944" s="717"/>
      <c r="G8944" t="e">
        <f>VLOOKUP(B8944,'SINAPI-%MO'!B:E,4,0)</f>
        <v>#N/A</v>
      </c>
      <c r="H8944" s="225" t="str">
        <f t="shared" si="139"/>
        <v/>
      </c>
    </row>
    <row r="8945" spans="1:8" x14ac:dyDescent="0.3">
      <c r="A8945" s="400"/>
      <c r="B8945" s="709">
        <v>103065</v>
      </c>
      <c r="C8945" s="710" t="s">
        <v>16372</v>
      </c>
      <c r="D8945" s="709" t="s">
        <v>168</v>
      </c>
      <c r="E8945" s="716">
        <v>0</v>
      </c>
      <c r="F8945" s="717"/>
      <c r="G8945" t="e">
        <f>VLOOKUP(B8945,'SINAPI-%MO'!B:E,4,0)</f>
        <v>#N/A</v>
      </c>
      <c r="H8945" s="225" t="str">
        <f t="shared" si="139"/>
        <v/>
      </c>
    </row>
    <row r="8946" spans="1:8" x14ac:dyDescent="0.3">
      <c r="A8946" s="400"/>
      <c r="B8946" s="709">
        <v>103063</v>
      </c>
      <c r="C8946" s="710" t="s">
        <v>16373</v>
      </c>
      <c r="D8946" s="709" t="s">
        <v>168</v>
      </c>
      <c r="E8946" s="716">
        <v>0</v>
      </c>
      <c r="F8946" s="717"/>
      <c r="G8946" t="e">
        <f>VLOOKUP(B8946,'SINAPI-%MO'!B:E,4,0)</f>
        <v>#N/A</v>
      </c>
      <c r="H8946" s="225" t="str">
        <f t="shared" si="139"/>
        <v/>
      </c>
    </row>
    <row r="8947" spans="1:8" x14ac:dyDescent="0.3">
      <c r="A8947" s="400"/>
      <c r="B8947" s="709">
        <v>103066</v>
      </c>
      <c r="C8947" s="710" t="s">
        <v>16374</v>
      </c>
      <c r="D8947" s="709" t="s">
        <v>168</v>
      </c>
      <c r="E8947" s="716">
        <v>0</v>
      </c>
      <c r="F8947" s="717"/>
      <c r="G8947" t="e">
        <f>VLOOKUP(B8947,'SINAPI-%MO'!B:E,4,0)</f>
        <v>#N/A</v>
      </c>
      <c r="H8947" s="225" t="str">
        <f t="shared" si="139"/>
        <v/>
      </c>
    </row>
    <row r="8948" spans="1:8" x14ac:dyDescent="0.3">
      <c r="A8948" s="400"/>
      <c r="B8948" s="709">
        <v>103064</v>
      </c>
      <c r="C8948" s="710" t="s">
        <v>16375</v>
      </c>
      <c r="D8948" s="709" t="s">
        <v>168</v>
      </c>
      <c r="E8948" s="716">
        <v>0</v>
      </c>
      <c r="F8948" s="717"/>
      <c r="G8948" t="e">
        <f>VLOOKUP(B8948,'SINAPI-%MO'!B:E,4,0)</f>
        <v>#N/A</v>
      </c>
      <c r="H8948" s="225" t="str">
        <f t="shared" si="139"/>
        <v/>
      </c>
    </row>
    <row r="8949" spans="1:8" x14ac:dyDescent="0.3">
      <c r="A8949" s="400"/>
      <c r="B8949" s="709">
        <v>103074</v>
      </c>
      <c r="C8949" s="710" t="s">
        <v>16254</v>
      </c>
      <c r="D8949" s="709" t="s">
        <v>168</v>
      </c>
      <c r="E8949" s="716">
        <v>208.48</v>
      </c>
      <c r="F8949" s="717">
        <v>0</v>
      </c>
      <c r="G8949">
        <f>VLOOKUP(B8949,'SINAPI-%MO'!B:E,4,0)</f>
        <v>0.1434</v>
      </c>
      <c r="H8949" s="225">
        <f t="shared" si="139"/>
        <v>178.58</v>
      </c>
    </row>
    <row r="8950" spans="1:8" x14ac:dyDescent="0.3">
      <c r="A8950" s="400"/>
      <c r="B8950" s="709">
        <v>103057</v>
      </c>
      <c r="C8950" s="710" t="s">
        <v>16376</v>
      </c>
      <c r="D8950" s="709" t="s">
        <v>168</v>
      </c>
      <c r="E8950" s="716">
        <v>0</v>
      </c>
      <c r="F8950" s="717"/>
      <c r="G8950" t="e">
        <f>VLOOKUP(B8950,'SINAPI-%MO'!B:E,4,0)</f>
        <v>#N/A</v>
      </c>
      <c r="H8950" s="225" t="str">
        <f t="shared" si="139"/>
        <v/>
      </c>
    </row>
    <row r="8951" spans="1:8" x14ac:dyDescent="0.3">
      <c r="A8951" s="400"/>
      <c r="B8951" s="709">
        <v>103060</v>
      </c>
      <c r="C8951" s="710" t="s">
        <v>16377</v>
      </c>
      <c r="D8951" s="709" t="s">
        <v>168</v>
      </c>
      <c r="E8951" s="716">
        <v>0</v>
      </c>
      <c r="F8951" s="717"/>
      <c r="G8951" t="e">
        <f>VLOOKUP(B8951,'SINAPI-%MO'!B:E,4,0)</f>
        <v>#N/A</v>
      </c>
      <c r="H8951" s="225" t="str">
        <f t="shared" si="139"/>
        <v/>
      </c>
    </row>
    <row r="8952" spans="1:8" x14ac:dyDescent="0.3">
      <c r="A8952" s="400"/>
      <c r="B8952" s="709">
        <v>103058</v>
      </c>
      <c r="C8952" s="710" t="s">
        <v>16378</v>
      </c>
      <c r="D8952" s="709" t="s">
        <v>168</v>
      </c>
      <c r="E8952" s="716">
        <v>0</v>
      </c>
      <c r="F8952" s="717"/>
      <c r="G8952" t="e">
        <f>VLOOKUP(B8952,'SINAPI-%MO'!B:E,4,0)</f>
        <v>#N/A</v>
      </c>
      <c r="H8952" s="225" t="str">
        <f t="shared" si="139"/>
        <v/>
      </c>
    </row>
    <row r="8953" spans="1:8" x14ac:dyDescent="0.3">
      <c r="A8953" s="400"/>
      <c r="B8953" s="709">
        <v>103061</v>
      </c>
      <c r="C8953" s="710" t="s">
        <v>16379</v>
      </c>
      <c r="D8953" s="709" t="s">
        <v>168</v>
      </c>
      <c r="E8953" s="716">
        <v>0</v>
      </c>
      <c r="F8953" s="717"/>
      <c r="G8953" t="e">
        <f>VLOOKUP(B8953,'SINAPI-%MO'!B:E,4,0)</f>
        <v>#N/A</v>
      </c>
      <c r="H8953" s="225" t="str">
        <f t="shared" si="139"/>
        <v/>
      </c>
    </row>
    <row r="8954" spans="1:8" x14ac:dyDescent="0.3">
      <c r="A8954" s="400"/>
      <c r="B8954" s="709">
        <v>103059</v>
      </c>
      <c r="C8954" s="710" t="s">
        <v>16380</v>
      </c>
      <c r="D8954" s="709" t="s">
        <v>168</v>
      </c>
      <c r="E8954" s="716">
        <v>0</v>
      </c>
      <c r="F8954" s="717"/>
      <c r="G8954" t="e">
        <f>VLOOKUP(B8954,'SINAPI-%MO'!B:E,4,0)</f>
        <v>#N/A</v>
      </c>
      <c r="H8954" s="225" t="str">
        <f t="shared" si="139"/>
        <v/>
      </c>
    </row>
    <row r="8955" spans="1:8" x14ac:dyDescent="0.3">
      <c r="A8955" s="400"/>
      <c r="B8955" s="709">
        <v>97101</v>
      </c>
      <c r="C8955" s="710" t="s">
        <v>16255</v>
      </c>
      <c r="D8955" s="709" t="s">
        <v>168</v>
      </c>
      <c r="E8955" s="716">
        <v>179.51</v>
      </c>
      <c r="F8955" s="717">
        <v>0</v>
      </c>
      <c r="G8955">
        <f>VLOOKUP(B8955,'SINAPI-%MO'!B:E,4,0)</f>
        <v>0.17580000000000001</v>
      </c>
      <c r="H8955" s="225">
        <f t="shared" si="139"/>
        <v>147.94999999999999</v>
      </c>
    </row>
    <row r="8956" spans="1:8" x14ac:dyDescent="0.3">
      <c r="A8956" s="400"/>
      <c r="B8956" s="709">
        <v>97098</v>
      </c>
      <c r="C8956" s="710" t="s">
        <v>16381</v>
      </c>
      <c r="D8956" s="709" t="s">
        <v>168</v>
      </c>
      <c r="E8956" s="716">
        <v>0</v>
      </c>
      <c r="F8956" s="717"/>
      <c r="G8956" t="e">
        <f>VLOOKUP(B8956,'SINAPI-%MO'!B:E,4,0)</f>
        <v>#N/A</v>
      </c>
      <c r="H8956" s="225" t="str">
        <f t="shared" si="139"/>
        <v/>
      </c>
    </row>
    <row r="8957" spans="1:8" x14ac:dyDescent="0.3">
      <c r="A8957" s="400"/>
      <c r="B8957" s="709">
        <v>97102</v>
      </c>
      <c r="C8957" s="710" t="s">
        <v>16256</v>
      </c>
      <c r="D8957" s="709" t="s">
        <v>168</v>
      </c>
      <c r="E8957" s="716">
        <v>234.71</v>
      </c>
      <c r="F8957" s="717">
        <v>0</v>
      </c>
      <c r="G8957">
        <f>VLOOKUP(B8957,'SINAPI-%MO'!B:E,4,0)</f>
        <v>0.15129999999999999</v>
      </c>
      <c r="H8957" s="225">
        <f t="shared" si="139"/>
        <v>199.19</v>
      </c>
    </row>
    <row r="8958" spans="1:8" x14ac:dyDescent="0.3">
      <c r="A8958" s="400"/>
      <c r="B8958" s="709">
        <v>97099</v>
      </c>
      <c r="C8958" s="710" t="s">
        <v>16382</v>
      </c>
      <c r="D8958" s="709" t="s">
        <v>168</v>
      </c>
      <c r="E8958" s="716">
        <v>0</v>
      </c>
      <c r="F8958" s="717"/>
      <c r="G8958" t="e">
        <f>VLOOKUP(B8958,'SINAPI-%MO'!B:E,4,0)</f>
        <v>#N/A</v>
      </c>
      <c r="H8958" s="225" t="str">
        <f t="shared" si="139"/>
        <v/>
      </c>
    </row>
    <row r="8959" spans="1:8" x14ac:dyDescent="0.3">
      <c r="A8959" s="400"/>
      <c r="B8959" s="709">
        <v>97103</v>
      </c>
      <c r="C8959" s="710" t="s">
        <v>16257</v>
      </c>
      <c r="D8959" s="709" t="s">
        <v>168</v>
      </c>
      <c r="E8959" s="716">
        <v>286.26</v>
      </c>
      <c r="F8959" s="717">
        <v>0</v>
      </c>
      <c r="G8959">
        <f>VLOOKUP(B8959,'SINAPI-%MO'!B:E,4,0)</f>
        <v>0.13739999999999999</v>
      </c>
      <c r="H8959" s="225">
        <f t="shared" si="139"/>
        <v>246.92</v>
      </c>
    </row>
    <row r="8960" spans="1:8" x14ac:dyDescent="0.3">
      <c r="A8960" s="400"/>
      <c r="B8960" s="709">
        <v>97100</v>
      </c>
      <c r="C8960" s="710" t="s">
        <v>16383</v>
      </c>
      <c r="D8960" s="709" t="s">
        <v>168</v>
      </c>
      <c r="E8960" s="716">
        <v>0</v>
      </c>
      <c r="F8960" s="717"/>
      <c r="G8960" t="e">
        <f>VLOOKUP(B8960,'SINAPI-%MO'!B:E,4,0)</f>
        <v>#N/A</v>
      </c>
      <c r="H8960" s="225" t="str">
        <f t="shared" si="139"/>
        <v/>
      </c>
    </row>
    <row r="8961" spans="1:8" x14ac:dyDescent="0.3">
      <c r="A8961" s="400"/>
      <c r="B8961" s="709">
        <v>103072</v>
      </c>
      <c r="C8961" s="710" t="s">
        <v>16258</v>
      </c>
      <c r="D8961" s="709" t="s">
        <v>168</v>
      </c>
      <c r="E8961" s="716">
        <v>344.97</v>
      </c>
      <c r="F8961" s="717">
        <v>0</v>
      </c>
      <c r="G8961">
        <f>VLOOKUP(B8961,'SINAPI-%MO'!B:E,4,0)</f>
        <v>0.126</v>
      </c>
      <c r="H8961" s="225">
        <f t="shared" si="139"/>
        <v>301.5</v>
      </c>
    </row>
    <row r="8962" spans="1:8" x14ac:dyDescent="0.3">
      <c r="A8962" s="400"/>
      <c r="B8962" s="709">
        <v>103055</v>
      </c>
      <c r="C8962" s="710" t="s">
        <v>16384</v>
      </c>
      <c r="D8962" s="709" t="s">
        <v>168</v>
      </c>
      <c r="E8962" s="716">
        <v>0</v>
      </c>
      <c r="F8962" s="717"/>
      <c r="G8962" t="e">
        <f>VLOOKUP(B8962,'SINAPI-%MO'!B:E,4,0)</f>
        <v>#N/A</v>
      </c>
      <c r="H8962" s="225" t="str">
        <f t="shared" si="139"/>
        <v/>
      </c>
    </row>
    <row r="8963" spans="1:8" x14ac:dyDescent="0.3">
      <c r="A8963" s="400"/>
      <c r="B8963" s="709">
        <v>103073</v>
      </c>
      <c r="C8963" s="710" t="s">
        <v>16259</v>
      </c>
      <c r="D8963" s="709" t="s">
        <v>168</v>
      </c>
      <c r="E8963" s="716">
        <v>420.51</v>
      </c>
      <c r="F8963" s="717">
        <v>0</v>
      </c>
      <c r="G8963">
        <f>VLOOKUP(B8963,'SINAPI-%MO'!B:E,4,0)</f>
        <v>0.1152</v>
      </c>
      <c r="H8963" s="225">
        <f t="shared" si="139"/>
        <v>372.06</v>
      </c>
    </row>
    <row r="8964" spans="1:8" x14ac:dyDescent="0.3">
      <c r="A8964" s="400"/>
      <c r="B8964" s="709">
        <v>103056</v>
      </c>
      <c r="C8964" s="710" t="s">
        <v>16385</v>
      </c>
      <c r="D8964" s="709" t="s">
        <v>168</v>
      </c>
      <c r="E8964" s="716">
        <v>0</v>
      </c>
      <c r="F8964" s="717"/>
      <c r="G8964" t="e">
        <f>VLOOKUP(B8964,'SINAPI-%MO'!B:E,4,0)</f>
        <v>#N/A</v>
      </c>
      <c r="H8964" s="225" t="str">
        <f t="shared" si="139"/>
        <v/>
      </c>
    </row>
    <row r="8965" spans="1:8" x14ac:dyDescent="0.3">
      <c r="A8965" s="400"/>
      <c r="B8965" s="709">
        <v>107283</v>
      </c>
      <c r="C8965" s="710" t="s">
        <v>16260</v>
      </c>
      <c r="D8965" s="709" t="s">
        <v>168</v>
      </c>
      <c r="E8965" s="716">
        <v>128.5</v>
      </c>
      <c r="F8965" s="717">
        <v>0</v>
      </c>
      <c r="G8965">
        <f>VLOOKUP(B8965,'SINAPI-%MO'!B:E,4,0)</f>
        <v>0.77139999999999997</v>
      </c>
      <c r="H8965" s="225">
        <f t="shared" si="139"/>
        <v>29.37</v>
      </c>
    </row>
    <row r="8966" spans="1:8" x14ac:dyDescent="0.3">
      <c r="A8966" s="400"/>
      <c r="B8966" s="709">
        <v>97086</v>
      </c>
      <c r="C8966" s="710" t="s">
        <v>16261</v>
      </c>
      <c r="D8966" s="709" t="s">
        <v>168</v>
      </c>
      <c r="E8966" s="716">
        <v>114.85</v>
      </c>
      <c r="F8966" s="717">
        <v>0</v>
      </c>
      <c r="G8966">
        <f>VLOOKUP(B8966,'SINAPI-%MO'!B:E,4,0)</f>
        <v>0.85819999999999996</v>
      </c>
      <c r="H8966" s="225">
        <f t="shared" si="139"/>
        <v>16.28</v>
      </c>
    </row>
    <row r="8967" spans="1:8" x14ac:dyDescent="0.3">
      <c r="A8967" s="400"/>
      <c r="B8967" s="709">
        <v>97085</v>
      </c>
      <c r="C8967" s="710" t="s">
        <v>16386</v>
      </c>
      <c r="D8967" s="709" t="s">
        <v>168</v>
      </c>
      <c r="E8967" s="716">
        <v>0</v>
      </c>
      <c r="F8967" s="717"/>
      <c r="G8967" t="e">
        <f>VLOOKUP(B8967,'SINAPI-%MO'!B:E,4,0)</f>
        <v>#N/A</v>
      </c>
      <c r="H8967" s="225" t="str">
        <f t="shared" si="139"/>
        <v/>
      </c>
    </row>
    <row r="8968" spans="1:8" x14ac:dyDescent="0.3">
      <c r="A8968" s="400"/>
      <c r="B8968" s="709">
        <v>104766</v>
      </c>
      <c r="C8968" s="710" t="s">
        <v>7385</v>
      </c>
      <c r="D8968" s="709" t="s">
        <v>159</v>
      </c>
      <c r="E8968" s="716">
        <v>18.399999999999999</v>
      </c>
      <c r="F8968" s="717">
        <v>0</v>
      </c>
      <c r="G8968">
        <f>VLOOKUP(B8968,'SINAPI-%MO'!B:E,4,0)</f>
        <v>0.84730000000000005</v>
      </c>
      <c r="H8968" s="225">
        <f t="shared" si="139"/>
        <v>2.8</v>
      </c>
    </row>
    <row r="8969" spans="1:8" x14ac:dyDescent="0.3">
      <c r="A8969" s="400"/>
      <c r="B8969" s="709">
        <v>90467</v>
      </c>
      <c r="C8969" s="710" t="s">
        <v>7386</v>
      </c>
      <c r="D8969" s="709" t="s">
        <v>159</v>
      </c>
      <c r="E8969" s="716">
        <v>26.88</v>
      </c>
      <c r="F8969" s="717">
        <v>0</v>
      </c>
      <c r="G8969">
        <f>VLOOKUP(B8969,'SINAPI-%MO'!B:E,4,0)</f>
        <v>0.83779999999999999</v>
      </c>
      <c r="H8969" s="225">
        <f t="shared" si="139"/>
        <v>4.3499999999999996</v>
      </c>
    </row>
    <row r="8970" spans="1:8" x14ac:dyDescent="0.3">
      <c r="A8970" s="400"/>
      <c r="B8970" s="709">
        <v>90466</v>
      </c>
      <c r="C8970" s="710" t="s">
        <v>7387</v>
      </c>
      <c r="D8970" s="709" t="s">
        <v>159</v>
      </c>
      <c r="E8970" s="716">
        <v>17.86</v>
      </c>
      <c r="F8970" s="717">
        <v>0</v>
      </c>
      <c r="G8970">
        <f>VLOOKUP(B8970,'SINAPI-%MO'!B:E,4,0)</f>
        <v>0.8427</v>
      </c>
      <c r="H8970" s="225">
        <f t="shared" si="139"/>
        <v>2.8</v>
      </c>
    </row>
    <row r="8971" spans="1:8" x14ac:dyDescent="0.3">
      <c r="A8971" s="400"/>
      <c r="B8971" s="709">
        <v>90469</v>
      </c>
      <c r="C8971" s="710" t="s">
        <v>7388</v>
      </c>
      <c r="D8971" s="709" t="s">
        <v>159</v>
      </c>
      <c r="E8971" s="716">
        <v>13.87</v>
      </c>
      <c r="F8971" s="717">
        <v>0</v>
      </c>
      <c r="G8971">
        <f>VLOOKUP(B8971,'SINAPI-%MO'!B:E,4,0)</f>
        <v>0.68569999999999998</v>
      </c>
      <c r="H8971" s="225">
        <f t="shared" ref="H8971:H9034" si="140">IF(E8971&gt;0,TRUNC(E8971*(1-G8971),2),"")</f>
        <v>4.3499999999999996</v>
      </c>
    </row>
    <row r="8972" spans="1:8" x14ac:dyDescent="0.3">
      <c r="A8972" s="400"/>
      <c r="B8972" s="709">
        <v>90470</v>
      </c>
      <c r="C8972" s="710" t="s">
        <v>7389</v>
      </c>
      <c r="D8972" s="709" t="s">
        <v>159</v>
      </c>
      <c r="E8972" s="716">
        <v>18.52</v>
      </c>
      <c r="F8972" s="717">
        <v>0</v>
      </c>
      <c r="G8972">
        <f>VLOOKUP(B8972,'SINAPI-%MO'!B:E,4,0)</f>
        <v>0.66310000000000002</v>
      </c>
      <c r="H8972" s="225">
        <f t="shared" si="140"/>
        <v>6.23</v>
      </c>
    </row>
    <row r="8973" spans="1:8" x14ac:dyDescent="0.3">
      <c r="A8973" s="400"/>
      <c r="B8973" s="709">
        <v>90468</v>
      </c>
      <c r="C8973" s="710" t="s">
        <v>7390</v>
      </c>
      <c r="D8973" s="709" t="s">
        <v>159</v>
      </c>
      <c r="E8973" s="716">
        <v>9.1199999999999992</v>
      </c>
      <c r="F8973" s="717">
        <v>0</v>
      </c>
      <c r="G8973">
        <f>VLOOKUP(B8973,'SINAPI-%MO'!B:E,4,0)</f>
        <v>0.69189999999999996</v>
      </c>
      <c r="H8973" s="225">
        <f t="shared" si="140"/>
        <v>2.8</v>
      </c>
    </row>
    <row r="8974" spans="1:8" x14ac:dyDescent="0.3">
      <c r="A8974" s="400"/>
      <c r="B8974" s="709">
        <v>91188</v>
      </c>
      <c r="C8974" s="710" t="s">
        <v>7391</v>
      </c>
      <c r="D8974" s="709" t="s">
        <v>136</v>
      </c>
      <c r="E8974" s="716">
        <v>15.35</v>
      </c>
      <c r="F8974" s="717">
        <v>1.2999999999999999E-2</v>
      </c>
      <c r="G8974">
        <f>VLOOKUP(B8974,'SINAPI-%MO'!B:E,4,0)</f>
        <v>0.75370000000000004</v>
      </c>
      <c r="H8974" s="225">
        <f t="shared" si="140"/>
        <v>3.78</v>
      </c>
    </row>
    <row r="8975" spans="1:8" x14ac:dyDescent="0.3">
      <c r="A8975" s="400"/>
      <c r="B8975" s="709">
        <v>91189</v>
      </c>
      <c r="C8975" s="710" t="s">
        <v>7392</v>
      </c>
      <c r="D8975" s="709" t="s">
        <v>136</v>
      </c>
      <c r="E8975" s="716">
        <v>87.56</v>
      </c>
      <c r="F8975" s="717">
        <v>1.61E-2</v>
      </c>
      <c r="G8975">
        <f>VLOOKUP(B8975,'SINAPI-%MO'!B:E,4,0)</f>
        <v>0.59589999999999999</v>
      </c>
      <c r="H8975" s="225">
        <f t="shared" si="140"/>
        <v>35.380000000000003</v>
      </c>
    </row>
    <row r="8976" spans="1:8" x14ac:dyDescent="0.3">
      <c r="A8976" s="400"/>
      <c r="B8976" s="709">
        <v>91192</v>
      </c>
      <c r="C8976" s="710" t="s">
        <v>7393</v>
      </c>
      <c r="D8976" s="709" t="s">
        <v>136</v>
      </c>
      <c r="E8976" s="716">
        <v>27.14</v>
      </c>
      <c r="F8976" s="717">
        <v>0</v>
      </c>
      <c r="G8976">
        <f>VLOOKUP(B8976,'SINAPI-%MO'!B:E,4,0)</f>
        <v>0.56669999999999998</v>
      </c>
      <c r="H8976" s="225">
        <f t="shared" si="140"/>
        <v>11.75</v>
      </c>
    </row>
    <row r="8977" spans="1:8" x14ac:dyDescent="0.3">
      <c r="A8977" s="400"/>
      <c r="B8977" s="709">
        <v>91190</v>
      </c>
      <c r="C8977" s="710" t="s">
        <v>7394</v>
      </c>
      <c r="D8977" s="709" t="s">
        <v>136</v>
      </c>
      <c r="E8977" s="716">
        <v>12.58</v>
      </c>
      <c r="F8977" s="717">
        <v>0</v>
      </c>
      <c r="G8977">
        <f>VLOOKUP(B8977,'SINAPI-%MO'!B:E,4,0)</f>
        <v>0.73609999999999998</v>
      </c>
      <c r="H8977" s="225">
        <f t="shared" si="140"/>
        <v>3.31</v>
      </c>
    </row>
    <row r="8978" spans="1:8" x14ac:dyDescent="0.3">
      <c r="A8978" s="400"/>
      <c r="B8978" s="709">
        <v>91191</v>
      </c>
      <c r="C8978" s="710" t="s">
        <v>7395</v>
      </c>
      <c r="D8978" s="709" t="s">
        <v>136</v>
      </c>
      <c r="E8978" s="716">
        <v>17.79</v>
      </c>
      <c r="F8978" s="717">
        <v>0</v>
      </c>
      <c r="G8978">
        <f>VLOOKUP(B8978,'SINAPI-%MO'!B:E,4,0)</f>
        <v>0.6431</v>
      </c>
      <c r="H8978" s="225">
        <f t="shared" si="140"/>
        <v>6.34</v>
      </c>
    </row>
    <row r="8979" spans="1:8" x14ac:dyDescent="0.3">
      <c r="A8979" s="400"/>
      <c r="B8979" s="709">
        <v>95541</v>
      </c>
      <c r="C8979" s="710" t="s">
        <v>7396</v>
      </c>
      <c r="D8979" s="709" t="s">
        <v>136</v>
      </c>
      <c r="E8979" s="716">
        <v>26.96</v>
      </c>
      <c r="F8979" s="717">
        <v>0</v>
      </c>
      <c r="G8979">
        <f>VLOOKUP(B8979,'SINAPI-%MO'!B:E,4,0)</f>
        <v>1</v>
      </c>
      <c r="H8979" s="225">
        <f t="shared" si="140"/>
        <v>0</v>
      </c>
    </row>
    <row r="8980" spans="1:8" x14ac:dyDescent="0.3">
      <c r="A8980" s="400"/>
      <c r="B8980" s="709">
        <v>96564</v>
      </c>
      <c r="C8980" s="710" t="s">
        <v>7397</v>
      </c>
      <c r="D8980" s="709" t="s">
        <v>159</v>
      </c>
      <c r="E8980" s="716">
        <v>0</v>
      </c>
      <c r="F8980" s="717"/>
      <c r="G8980" t="e">
        <f>VLOOKUP(B8980,'SINAPI-%MO'!B:E,4,0)</f>
        <v>#N/A</v>
      </c>
      <c r="H8980" s="225" t="str">
        <f t="shared" si="140"/>
        <v/>
      </c>
    </row>
    <row r="8981" spans="1:8" x14ac:dyDescent="0.3">
      <c r="A8981" s="400"/>
      <c r="B8981" s="709">
        <v>104785</v>
      </c>
      <c r="C8981" s="710" t="s">
        <v>7398</v>
      </c>
      <c r="D8981" s="709" t="s">
        <v>159</v>
      </c>
      <c r="E8981" s="716">
        <v>12.47</v>
      </c>
      <c r="F8981" s="717">
        <v>6.1699999999999998E-2</v>
      </c>
      <c r="G8981">
        <f>VLOOKUP(B8981,'SINAPI-%MO'!B:E,4,0)</f>
        <v>0.59660000000000002</v>
      </c>
      <c r="H8981" s="225">
        <f t="shared" si="140"/>
        <v>5.03</v>
      </c>
    </row>
    <row r="8982" spans="1:8" x14ac:dyDescent="0.3">
      <c r="A8982" s="400"/>
      <c r="B8982" s="709">
        <v>91166</v>
      </c>
      <c r="C8982" s="710" t="s">
        <v>7399</v>
      </c>
      <c r="D8982" s="709" t="s">
        <v>159</v>
      </c>
      <c r="E8982" s="716">
        <v>4.1500000000000004</v>
      </c>
      <c r="F8982" s="717">
        <v>0.1976</v>
      </c>
      <c r="G8982">
        <f>VLOOKUP(B8982,'SINAPI-%MO'!B:E,4,0)</f>
        <v>0.50119999999999998</v>
      </c>
      <c r="H8982" s="225">
        <f t="shared" si="140"/>
        <v>2.0699999999999998</v>
      </c>
    </row>
    <row r="8983" spans="1:8" x14ac:dyDescent="0.3">
      <c r="A8983" s="400"/>
      <c r="B8983" s="709">
        <v>91167</v>
      </c>
      <c r="C8983" s="710" t="s">
        <v>7400</v>
      </c>
      <c r="D8983" s="709" t="s">
        <v>159</v>
      </c>
      <c r="E8983" s="716">
        <v>10.07</v>
      </c>
      <c r="F8983" s="717">
        <v>0</v>
      </c>
      <c r="G8983">
        <f>VLOOKUP(B8983,'SINAPI-%MO'!B:E,4,0)</f>
        <v>0.77159999999999995</v>
      </c>
      <c r="H8983" s="225">
        <f t="shared" si="140"/>
        <v>2.29</v>
      </c>
    </row>
    <row r="8984" spans="1:8" x14ac:dyDescent="0.3">
      <c r="A8984" s="400"/>
      <c r="B8984" s="709">
        <v>91176</v>
      </c>
      <c r="C8984" s="710" t="s">
        <v>7401</v>
      </c>
      <c r="D8984" s="709" t="s">
        <v>159</v>
      </c>
      <c r="E8984" s="716">
        <v>17.41</v>
      </c>
      <c r="F8984" s="717">
        <v>6.3200000000000006E-2</v>
      </c>
      <c r="G8984">
        <f>VLOOKUP(B8984,'SINAPI-%MO'!B:E,4,0)</f>
        <v>0.58760000000000001</v>
      </c>
      <c r="H8984" s="225">
        <f t="shared" si="140"/>
        <v>7.17</v>
      </c>
    </row>
    <row r="8985" spans="1:8" x14ac:dyDescent="0.3">
      <c r="A8985" s="400"/>
      <c r="B8985" s="709">
        <v>91182</v>
      </c>
      <c r="C8985" s="710" t="s">
        <v>7402</v>
      </c>
      <c r="D8985" s="709" t="s">
        <v>159</v>
      </c>
      <c r="E8985" s="716">
        <v>27.09</v>
      </c>
      <c r="F8985" s="717">
        <v>8.1600000000000006E-2</v>
      </c>
      <c r="G8985">
        <f>VLOOKUP(B8985,'SINAPI-%MO'!B:E,4,0)</f>
        <v>0.88780000000000003</v>
      </c>
      <c r="H8985" s="225">
        <f t="shared" si="140"/>
        <v>3.03</v>
      </c>
    </row>
    <row r="8986" spans="1:8" x14ac:dyDescent="0.3">
      <c r="A8986" s="400"/>
      <c r="B8986" s="709">
        <v>91186</v>
      </c>
      <c r="C8986" s="710" t="s">
        <v>7403</v>
      </c>
      <c r="D8986" s="709" t="s">
        <v>159</v>
      </c>
      <c r="E8986" s="716">
        <v>29.9</v>
      </c>
      <c r="F8986" s="717">
        <v>6.8900000000000003E-2</v>
      </c>
      <c r="G8986">
        <f>VLOOKUP(B8986,'SINAPI-%MO'!B:E,4,0)</f>
        <v>0.89500000000000002</v>
      </c>
      <c r="H8986" s="225">
        <f t="shared" si="140"/>
        <v>3.13</v>
      </c>
    </row>
    <row r="8987" spans="1:8" x14ac:dyDescent="0.3">
      <c r="A8987" s="400"/>
      <c r="B8987" s="709">
        <v>91171</v>
      </c>
      <c r="C8987" s="710" t="s">
        <v>7404</v>
      </c>
      <c r="D8987" s="709" t="s">
        <v>159</v>
      </c>
      <c r="E8987" s="716">
        <v>16.440000000000001</v>
      </c>
      <c r="F8987" s="717">
        <v>0</v>
      </c>
      <c r="G8987">
        <f>VLOOKUP(B8987,'SINAPI-%MO'!B:E,4,0)</f>
        <v>0.70320000000000005</v>
      </c>
      <c r="H8987" s="225">
        <f t="shared" si="140"/>
        <v>4.87</v>
      </c>
    </row>
    <row r="8988" spans="1:8" x14ac:dyDescent="0.3">
      <c r="A8988" s="400"/>
      <c r="B8988" s="709">
        <v>91187</v>
      </c>
      <c r="C8988" s="710" t="s">
        <v>7405</v>
      </c>
      <c r="D8988" s="709" t="s">
        <v>159</v>
      </c>
      <c r="E8988" s="716">
        <v>26.91</v>
      </c>
      <c r="F8988" s="717">
        <v>5.6500000000000002E-2</v>
      </c>
      <c r="G8988">
        <f>VLOOKUP(B8988,'SINAPI-%MO'!B:E,4,0)</f>
        <v>0.9052</v>
      </c>
      <c r="H8988" s="225">
        <f t="shared" si="140"/>
        <v>2.5499999999999998</v>
      </c>
    </row>
    <row r="8989" spans="1:8" x14ac:dyDescent="0.3">
      <c r="A8989" s="400"/>
      <c r="B8989" s="709">
        <v>91172</v>
      </c>
      <c r="C8989" s="710" t="s">
        <v>7406</v>
      </c>
      <c r="D8989" s="709" t="s">
        <v>159</v>
      </c>
      <c r="E8989" s="716">
        <v>20.05</v>
      </c>
      <c r="F8989" s="717">
        <v>0</v>
      </c>
      <c r="G8989">
        <f>VLOOKUP(B8989,'SINAPI-%MO'!B:E,4,0)</f>
        <v>0.65339999999999998</v>
      </c>
      <c r="H8989" s="225">
        <f t="shared" si="140"/>
        <v>6.94</v>
      </c>
    </row>
    <row r="8990" spans="1:8" x14ac:dyDescent="0.3">
      <c r="A8990" s="400"/>
      <c r="B8990" s="709">
        <v>91185</v>
      </c>
      <c r="C8990" s="710" t="s">
        <v>7407</v>
      </c>
      <c r="D8990" s="709" t="s">
        <v>159</v>
      </c>
      <c r="E8990" s="716">
        <v>27.09</v>
      </c>
      <c r="F8990" s="717">
        <v>8.1600000000000006E-2</v>
      </c>
      <c r="G8990">
        <f>VLOOKUP(B8990,'SINAPI-%MO'!B:E,4,0)</f>
        <v>0.88780000000000003</v>
      </c>
      <c r="H8990" s="225">
        <f t="shared" si="140"/>
        <v>3.03</v>
      </c>
    </row>
    <row r="8991" spans="1:8" x14ac:dyDescent="0.3">
      <c r="A8991" s="400"/>
      <c r="B8991" s="709">
        <v>91170</v>
      </c>
      <c r="C8991" s="710" t="s">
        <v>7408</v>
      </c>
      <c r="D8991" s="709" t="s">
        <v>159</v>
      </c>
      <c r="E8991" s="716">
        <v>10.07</v>
      </c>
      <c r="F8991" s="717">
        <v>0</v>
      </c>
      <c r="G8991">
        <f>VLOOKUP(B8991,'SINAPI-%MO'!B:E,4,0)</f>
        <v>0.77159999999999995</v>
      </c>
      <c r="H8991" s="225">
        <f t="shared" si="140"/>
        <v>2.29</v>
      </c>
    </row>
    <row r="8992" spans="1:8" x14ac:dyDescent="0.3">
      <c r="A8992" s="400"/>
      <c r="B8992" s="709">
        <v>91180</v>
      </c>
      <c r="C8992" s="710" t="s">
        <v>7409</v>
      </c>
      <c r="D8992" s="709" t="s">
        <v>159</v>
      </c>
      <c r="E8992" s="716">
        <v>23.33</v>
      </c>
      <c r="F8992" s="717">
        <v>4.41E-2</v>
      </c>
      <c r="G8992">
        <f>VLOOKUP(B8992,'SINAPI-%MO'!B:E,4,0)</f>
        <v>0.59319999999999995</v>
      </c>
      <c r="H8992" s="225">
        <f t="shared" si="140"/>
        <v>9.49</v>
      </c>
    </row>
    <row r="8993" spans="1:8" x14ac:dyDescent="0.3">
      <c r="A8993" s="400"/>
      <c r="B8993" s="709">
        <v>91181</v>
      </c>
      <c r="C8993" s="710" t="s">
        <v>7410</v>
      </c>
      <c r="D8993" s="709" t="s">
        <v>159</v>
      </c>
      <c r="E8993" s="716">
        <v>24.56</v>
      </c>
      <c r="F8993" s="717">
        <v>3.09E-2</v>
      </c>
      <c r="G8993">
        <f>VLOOKUP(B8993,'SINAPI-%MO'!B:E,4,0)</f>
        <v>0.60260000000000002</v>
      </c>
      <c r="H8993" s="225">
        <f t="shared" si="140"/>
        <v>9.76</v>
      </c>
    </row>
    <row r="8994" spans="1:8" x14ac:dyDescent="0.3">
      <c r="A8994" s="400"/>
      <c r="B8994" s="709">
        <v>91179</v>
      </c>
      <c r="C8994" s="710" t="s">
        <v>7411</v>
      </c>
      <c r="D8994" s="709" t="s">
        <v>159</v>
      </c>
      <c r="E8994" s="716">
        <v>17.41</v>
      </c>
      <c r="F8994" s="717">
        <v>6.3200000000000006E-2</v>
      </c>
      <c r="G8994">
        <f>VLOOKUP(B8994,'SINAPI-%MO'!B:E,4,0)</f>
        <v>0.58760000000000001</v>
      </c>
      <c r="H8994" s="225">
        <f t="shared" si="140"/>
        <v>7.17</v>
      </c>
    </row>
    <row r="8995" spans="1:8" x14ac:dyDescent="0.3">
      <c r="A8995" s="400"/>
      <c r="B8995" s="709">
        <v>91174</v>
      </c>
      <c r="C8995" s="710" t="s">
        <v>7412</v>
      </c>
      <c r="D8995" s="709" t="s">
        <v>159</v>
      </c>
      <c r="E8995" s="716">
        <v>6.56</v>
      </c>
      <c r="F8995" s="717">
        <v>0</v>
      </c>
      <c r="G8995">
        <f>VLOOKUP(B8995,'SINAPI-%MO'!B:E,4,0)</f>
        <v>0.70269999999999999</v>
      </c>
      <c r="H8995" s="225">
        <f t="shared" si="140"/>
        <v>1.95</v>
      </c>
    </row>
    <row r="8996" spans="1:8" x14ac:dyDescent="0.3">
      <c r="A8996" s="400"/>
      <c r="B8996" s="709">
        <v>91175</v>
      </c>
      <c r="C8996" s="710" t="s">
        <v>7413</v>
      </c>
      <c r="D8996" s="709" t="s">
        <v>159</v>
      </c>
      <c r="E8996" s="716">
        <v>10.82</v>
      </c>
      <c r="F8996" s="717">
        <v>0</v>
      </c>
      <c r="G8996">
        <f>VLOOKUP(B8996,'SINAPI-%MO'!B:E,4,0)</f>
        <v>0.65339999999999998</v>
      </c>
      <c r="H8996" s="225">
        <f t="shared" si="140"/>
        <v>3.75</v>
      </c>
    </row>
    <row r="8997" spans="1:8" x14ac:dyDescent="0.3">
      <c r="A8997" s="400"/>
      <c r="B8997" s="709">
        <v>91173</v>
      </c>
      <c r="C8997" s="710" t="s">
        <v>7414</v>
      </c>
      <c r="D8997" s="709" t="s">
        <v>159</v>
      </c>
      <c r="E8997" s="716">
        <v>3.75</v>
      </c>
      <c r="F8997" s="717">
        <v>0</v>
      </c>
      <c r="G8997">
        <f>VLOOKUP(B8997,'SINAPI-%MO'!B:E,4,0)</f>
        <v>0.77070000000000005</v>
      </c>
      <c r="H8997" s="225">
        <f t="shared" si="140"/>
        <v>0.85</v>
      </c>
    </row>
    <row r="8998" spans="1:8" x14ac:dyDescent="0.3">
      <c r="A8998" s="400"/>
      <c r="B8998" s="709">
        <v>104759</v>
      </c>
      <c r="C8998" s="710" t="s">
        <v>7415</v>
      </c>
      <c r="D8998" s="709" t="s">
        <v>136</v>
      </c>
      <c r="E8998" s="716">
        <v>46.33</v>
      </c>
      <c r="F8998" s="717">
        <v>0</v>
      </c>
      <c r="G8998">
        <f>VLOOKUP(B8998,'SINAPI-%MO'!B:E,4,0)</f>
        <v>1</v>
      </c>
      <c r="H8998" s="225">
        <f t="shared" si="140"/>
        <v>0</v>
      </c>
    </row>
    <row r="8999" spans="1:8" x14ac:dyDescent="0.3">
      <c r="A8999" s="400"/>
      <c r="B8999" s="709">
        <v>104760</v>
      </c>
      <c r="C8999" s="710" t="s">
        <v>7416</v>
      </c>
      <c r="D8999" s="709" t="s">
        <v>136</v>
      </c>
      <c r="E8999" s="716">
        <v>67.67</v>
      </c>
      <c r="F8999" s="717">
        <v>0</v>
      </c>
      <c r="G8999">
        <f>VLOOKUP(B8999,'SINAPI-%MO'!B:E,4,0)</f>
        <v>1</v>
      </c>
      <c r="H8999" s="225">
        <f t="shared" si="140"/>
        <v>0</v>
      </c>
    </row>
    <row r="9000" spans="1:8" x14ac:dyDescent="0.3">
      <c r="A9000" s="400"/>
      <c r="B9000" s="709">
        <v>104758</v>
      </c>
      <c r="C9000" s="710" t="s">
        <v>7417</v>
      </c>
      <c r="D9000" s="709" t="s">
        <v>136</v>
      </c>
      <c r="E9000" s="716">
        <v>17.38</v>
      </c>
      <c r="F9000" s="717">
        <v>0</v>
      </c>
      <c r="G9000">
        <f>VLOOKUP(B9000,'SINAPI-%MO'!B:E,4,0)</f>
        <v>1</v>
      </c>
      <c r="H9000" s="225">
        <f t="shared" si="140"/>
        <v>0</v>
      </c>
    </row>
    <row r="9001" spans="1:8" x14ac:dyDescent="0.3">
      <c r="A9001" s="400"/>
      <c r="B9001" s="709">
        <v>90437</v>
      </c>
      <c r="C9001" s="710" t="s">
        <v>7418</v>
      </c>
      <c r="D9001" s="709" t="s">
        <v>136</v>
      </c>
      <c r="E9001" s="716">
        <v>44.54</v>
      </c>
      <c r="F9001" s="717">
        <v>0</v>
      </c>
      <c r="G9001">
        <f>VLOOKUP(B9001,'SINAPI-%MO'!B:E,4,0)</f>
        <v>1</v>
      </c>
      <c r="H9001" s="225">
        <f t="shared" si="140"/>
        <v>0</v>
      </c>
    </row>
    <row r="9002" spans="1:8" x14ac:dyDescent="0.3">
      <c r="A9002" s="400"/>
      <c r="B9002" s="709">
        <v>90438</v>
      </c>
      <c r="C9002" s="710" t="s">
        <v>7419</v>
      </c>
      <c r="D9002" s="709" t="s">
        <v>136</v>
      </c>
      <c r="E9002" s="716">
        <v>65.040000000000006</v>
      </c>
      <c r="F9002" s="717">
        <v>0</v>
      </c>
      <c r="G9002">
        <f>VLOOKUP(B9002,'SINAPI-%MO'!B:E,4,0)</f>
        <v>1</v>
      </c>
      <c r="H9002" s="225">
        <f t="shared" si="140"/>
        <v>0</v>
      </c>
    </row>
    <row r="9003" spans="1:8" x14ac:dyDescent="0.3">
      <c r="A9003" s="400"/>
      <c r="B9003" s="709">
        <v>90436</v>
      </c>
      <c r="C9003" s="710" t="s">
        <v>7420</v>
      </c>
      <c r="D9003" s="709" t="s">
        <v>136</v>
      </c>
      <c r="E9003" s="716">
        <v>16.7</v>
      </c>
      <c r="F9003" s="717">
        <v>0</v>
      </c>
      <c r="G9003">
        <f>VLOOKUP(B9003,'SINAPI-%MO'!B:E,4,0)</f>
        <v>1</v>
      </c>
      <c r="H9003" s="225">
        <f t="shared" si="140"/>
        <v>0</v>
      </c>
    </row>
    <row r="9004" spans="1:8" x14ac:dyDescent="0.3">
      <c r="A9004" s="400"/>
      <c r="B9004" s="709">
        <v>104770</v>
      </c>
      <c r="C9004" s="710" t="s">
        <v>7421</v>
      </c>
      <c r="D9004" s="709" t="s">
        <v>136</v>
      </c>
      <c r="E9004" s="716">
        <v>1.96</v>
      </c>
      <c r="F9004" s="717">
        <v>0</v>
      </c>
      <c r="G9004">
        <f>VLOOKUP(B9004,'SINAPI-%MO'!B:E,4,0)</f>
        <v>1</v>
      </c>
      <c r="H9004" s="225">
        <f t="shared" si="140"/>
        <v>0</v>
      </c>
    </row>
    <row r="9005" spans="1:8" x14ac:dyDescent="0.3">
      <c r="A9005" s="400"/>
      <c r="B9005" s="709">
        <v>104772</v>
      </c>
      <c r="C9005" s="710" t="s">
        <v>7422</v>
      </c>
      <c r="D9005" s="709" t="s">
        <v>136</v>
      </c>
      <c r="E9005" s="716">
        <v>2.87</v>
      </c>
      <c r="F9005" s="717">
        <v>0</v>
      </c>
      <c r="G9005">
        <f>VLOOKUP(B9005,'SINAPI-%MO'!B:E,4,0)</f>
        <v>1</v>
      </c>
      <c r="H9005" s="225">
        <f t="shared" si="140"/>
        <v>0</v>
      </c>
    </row>
    <row r="9006" spans="1:8" x14ac:dyDescent="0.3">
      <c r="A9006" s="400"/>
      <c r="B9006" s="709">
        <v>104768</v>
      </c>
      <c r="C9006" s="710" t="s">
        <v>7423</v>
      </c>
      <c r="D9006" s="709" t="s">
        <v>136</v>
      </c>
      <c r="E9006" s="716">
        <v>0.73</v>
      </c>
      <c r="F9006" s="717">
        <v>0</v>
      </c>
      <c r="G9006">
        <f>VLOOKUP(B9006,'SINAPI-%MO'!B:E,4,0)</f>
        <v>1</v>
      </c>
      <c r="H9006" s="225">
        <f t="shared" si="140"/>
        <v>0</v>
      </c>
    </row>
    <row r="9007" spans="1:8" x14ac:dyDescent="0.3">
      <c r="A9007" s="400"/>
      <c r="B9007" s="709">
        <v>104769</v>
      </c>
      <c r="C9007" s="710" t="s">
        <v>7424</v>
      </c>
      <c r="D9007" s="709" t="s">
        <v>136</v>
      </c>
      <c r="E9007" s="716">
        <v>1.89</v>
      </c>
      <c r="F9007" s="717">
        <v>0</v>
      </c>
      <c r="G9007">
        <f>VLOOKUP(B9007,'SINAPI-%MO'!B:E,4,0)</f>
        <v>1</v>
      </c>
      <c r="H9007" s="225">
        <f t="shared" si="140"/>
        <v>0</v>
      </c>
    </row>
    <row r="9008" spans="1:8" x14ac:dyDescent="0.3">
      <c r="A9008" s="400"/>
      <c r="B9008" s="709">
        <v>104771</v>
      </c>
      <c r="C9008" s="710" t="s">
        <v>7425</v>
      </c>
      <c r="D9008" s="709" t="s">
        <v>136</v>
      </c>
      <c r="E9008" s="716">
        <v>2.76</v>
      </c>
      <c r="F9008" s="717">
        <v>0</v>
      </c>
      <c r="G9008">
        <f>VLOOKUP(B9008,'SINAPI-%MO'!B:E,4,0)</f>
        <v>1</v>
      </c>
      <c r="H9008" s="225">
        <f t="shared" si="140"/>
        <v>0</v>
      </c>
    </row>
    <row r="9009" spans="1:8" x14ac:dyDescent="0.3">
      <c r="A9009" s="400"/>
      <c r="B9009" s="709">
        <v>104767</v>
      </c>
      <c r="C9009" s="710" t="s">
        <v>7426</v>
      </c>
      <c r="D9009" s="709" t="s">
        <v>136</v>
      </c>
      <c r="E9009" s="716">
        <v>0.7</v>
      </c>
      <c r="F9009" s="717">
        <v>0</v>
      </c>
      <c r="G9009">
        <f>VLOOKUP(B9009,'SINAPI-%MO'!B:E,4,0)</f>
        <v>1</v>
      </c>
      <c r="H9009" s="225">
        <f t="shared" si="140"/>
        <v>0</v>
      </c>
    </row>
    <row r="9010" spans="1:8" x14ac:dyDescent="0.3">
      <c r="A9010" s="400"/>
      <c r="B9010" s="709">
        <v>104762</v>
      </c>
      <c r="C9010" s="710" t="s">
        <v>7427</v>
      </c>
      <c r="D9010" s="709" t="s">
        <v>136</v>
      </c>
      <c r="E9010" s="716">
        <v>31.22</v>
      </c>
      <c r="F9010" s="717">
        <v>0</v>
      </c>
      <c r="G9010">
        <f>VLOOKUP(B9010,'SINAPI-%MO'!B:E,4,0)</f>
        <v>0.95550000000000002</v>
      </c>
      <c r="H9010" s="225">
        <f t="shared" si="140"/>
        <v>1.38</v>
      </c>
    </row>
    <row r="9011" spans="1:8" x14ac:dyDescent="0.3">
      <c r="A9011" s="400"/>
      <c r="B9011" s="709">
        <v>104763</v>
      </c>
      <c r="C9011" s="710" t="s">
        <v>7428</v>
      </c>
      <c r="D9011" s="709" t="s">
        <v>136</v>
      </c>
      <c r="E9011" s="716">
        <v>45.6</v>
      </c>
      <c r="F9011" s="717">
        <v>0</v>
      </c>
      <c r="G9011">
        <f>VLOOKUP(B9011,'SINAPI-%MO'!B:E,4,0)</f>
        <v>0.95530000000000004</v>
      </c>
      <c r="H9011" s="225">
        <f t="shared" si="140"/>
        <v>2.0299999999999998</v>
      </c>
    </row>
    <row r="9012" spans="1:8" x14ac:dyDescent="0.3">
      <c r="A9012" s="400"/>
      <c r="B9012" s="709">
        <v>104761</v>
      </c>
      <c r="C9012" s="710" t="s">
        <v>7429</v>
      </c>
      <c r="D9012" s="709" t="s">
        <v>136</v>
      </c>
      <c r="E9012" s="716">
        <v>11.71</v>
      </c>
      <c r="F9012" s="717">
        <v>0</v>
      </c>
      <c r="G9012">
        <f>VLOOKUP(B9012,'SINAPI-%MO'!B:E,4,0)</f>
        <v>0.9556</v>
      </c>
      <c r="H9012" s="225">
        <f t="shared" si="140"/>
        <v>0.51</v>
      </c>
    </row>
    <row r="9013" spans="1:8" x14ac:dyDescent="0.3">
      <c r="A9013" s="400"/>
      <c r="B9013" s="709">
        <v>90440</v>
      </c>
      <c r="C9013" s="710" t="s">
        <v>7430</v>
      </c>
      <c r="D9013" s="709" t="s">
        <v>136</v>
      </c>
      <c r="E9013" s="716">
        <v>31</v>
      </c>
      <c r="F9013" s="717">
        <v>0</v>
      </c>
      <c r="G9013">
        <f>VLOOKUP(B9013,'SINAPI-%MO'!B:E,4,0)</f>
        <v>0.95520000000000005</v>
      </c>
      <c r="H9013" s="225">
        <f t="shared" si="140"/>
        <v>1.38</v>
      </c>
    </row>
    <row r="9014" spans="1:8" x14ac:dyDescent="0.3">
      <c r="A9014" s="400"/>
      <c r="B9014" s="709">
        <v>90441</v>
      </c>
      <c r="C9014" s="710" t="s">
        <v>7431</v>
      </c>
      <c r="D9014" s="709" t="s">
        <v>136</v>
      </c>
      <c r="E9014" s="716">
        <v>45.29</v>
      </c>
      <c r="F9014" s="717">
        <v>0</v>
      </c>
      <c r="G9014">
        <f>VLOOKUP(B9014,'SINAPI-%MO'!B:E,4,0)</f>
        <v>0.95499999999999996</v>
      </c>
      <c r="H9014" s="225">
        <f t="shared" si="140"/>
        <v>2.0299999999999998</v>
      </c>
    </row>
    <row r="9015" spans="1:8" x14ac:dyDescent="0.3">
      <c r="A9015" s="400"/>
      <c r="B9015" s="709">
        <v>90439</v>
      </c>
      <c r="C9015" s="710" t="s">
        <v>7432</v>
      </c>
      <c r="D9015" s="709" t="s">
        <v>136</v>
      </c>
      <c r="E9015" s="716">
        <v>11.63</v>
      </c>
      <c r="F9015" s="717">
        <v>0</v>
      </c>
      <c r="G9015">
        <f>VLOOKUP(B9015,'SINAPI-%MO'!B:E,4,0)</f>
        <v>0.95530000000000004</v>
      </c>
      <c r="H9015" s="225">
        <f t="shared" si="140"/>
        <v>0.51</v>
      </c>
    </row>
    <row r="9016" spans="1:8" x14ac:dyDescent="0.3">
      <c r="A9016" s="400"/>
      <c r="B9016" s="709">
        <v>104776</v>
      </c>
      <c r="C9016" s="710" t="s">
        <v>7433</v>
      </c>
      <c r="D9016" s="709" t="s">
        <v>136</v>
      </c>
      <c r="E9016" s="716">
        <v>6.95</v>
      </c>
      <c r="F9016" s="717">
        <v>0</v>
      </c>
      <c r="G9016">
        <f>VLOOKUP(B9016,'SINAPI-%MO'!B:E,4,0)</f>
        <v>0.87629999999999997</v>
      </c>
      <c r="H9016" s="225">
        <f t="shared" si="140"/>
        <v>0.85</v>
      </c>
    </row>
    <row r="9017" spans="1:8" x14ac:dyDescent="0.3">
      <c r="A9017" s="400"/>
      <c r="B9017" s="709">
        <v>104778</v>
      </c>
      <c r="C9017" s="710" t="s">
        <v>7434</v>
      </c>
      <c r="D9017" s="709" t="s">
        <v>136</v>
      </c>
      <c r="E9017" s="716">
        <v>10.14</v>
      </c>
      <c r="F9017" s="717">
        <v>0</v>
      </c>
      <c r="G9017">
        <f>VLOOKUP(B9017,'SINAPI-%MO'!B:E,4,0)</f>
        <v>0.87670000000000003</v>
      </c>
      <c r="H9017" s="225">
        <f t="shared" si="140"/>
        <v>1.25</v>
      </c>
    </row>
    <row r="9018" spans="1:8" x14ac:dyDescent="0.3">
      <c r="A9018" s="400"/>
      <c r="B9018" s="709">
        <v>104774</v>
      </c>
      <c r="C9018" s="710" t="s">
        <v>7435</v>
      </c>
      <c r="D9018" s="709" t="s">
        <v>136</v>
      </c>
      <c r="E9018" s="716">
        <v>2.58</v>
      </c>
      <c r="F9018" s="717">
        <v>0</v>
      </c>
      <c r="G9018">
        <f>VLOOKUP(B9018,'SINAPI-%MO'!B:E,4,0)</f>
        <v>0.87980000000000003</v>
      </c>
      <c r="H9018" s="225">
        <f t="shared" si="140"/>
        <v>0.31</v>
      </c>
    </row>
    <row r="9019" spans="1:8" x14ac:dyDescent="0.3">
      <c r="A9019" s="400"/>
      <c r="B9019" s="709">
        <v>104775</v>
      </c>
      <c r="C9019" s="710" t="s">
        <v>7436</v>
      </c>
      <c r="D9019" s="709" t="s">
        <v>136</v>
      </c>
      <c r="E9019" s="716">
        <v>6.71</v>
      </c>
      <c r="F9019" s="717">
        <v>0</v>
      </c>
      <c r="G9019">
        <f>VLOOKUP(B9019,'SINAPI-%MO'!B:E,4,0)</f>
        <v>0.87180000000000002</v>
      </c>
      <c r="H9019" s="225">
        <f t="shared" si="140"/>
        <v>0.86</v>
      </c>
    </row>
    <row r="9020" spans="1:8" x14ac:dyDescent="0.3">
      <c r="A9020" s="400"/>
      <c r="B9020" s="709">
        <v>104777</v>
      </c>
      <c r="C9020" s="710" t="s">
        <v>7437</v>
      </c>
      <c r="D9020" s="709" t="s">
        <v>136</v>
      </c>
      <c r="E9020" s="716">
        <v>9.8000000000000007</v>
      </c>
      <c r="F9020" s="717">
        <v>0</v>
      </c>
      <c r="G9020">
        <f>VLOOKUP(B9020,'SINAPI-%MO'!B:E,4,0)</f>
        <v>0.87239999999999995</v>
      </c>
      <c r="H9020" s="225">
        <f t="shared" si="140"/>
        <v>1.25</v>
      </c>
    </row>
    <row r="9021" spans="1:8" x14ac:dyDescent="0.3">
      <c r="A9021" s="400"/>
      <c r="B9021" s="709">
        <v>104773</v>
      </c>
      <c r="C9021" s="710" t="s">
        <v>7438</v>
      </c>
      <c r="D9021" s="709" t="s">
        <v>136</v>
      </c>
      <c r="E9021" s="716">
        <v>2.5</v>
      </c>
      <c r="F9021" s="717">
        <v>0</v>
      </c>
      <c r="G9021">
        <f>VLOOKUP(B9021,'SINAPI-%MO'!B:E,4,0)</f>
        <v>0.876</v>
      </c>
      <c r="H9021" s="225">
        <f t="shared" si="140"/>
        <v>0.31</v>
      </c>
    </row>
    <row r="9022" spans="1:8" x14ac:dyDescent="0.3">
      <c r="A9022" s="400"/>
      <c r="B9022" s="709">
        <v>104782</v>
      </c>
      <c r="C9022" s="710" t="s">
        <v>7439</v>
      </c>
      <c r="D9022" s="709" t="s">
        <v>136</v>
      </c>
      <c r="E9022" s="716">
        <v>78.91</v>
      </c>
      <c r="F9022" s="717">
        <v>0</v>
      </c>
      <c r="G9022">
        <f>VLOOKUP(B9022,'SINAPI-%MO'!B:E,4,0)</f>
        <v>0.10059999999999999</v>
      </c>
      <c r="H9022" s="225">
        <f t="shared" si="140"/>
        <v>70.97</v>
      </c>
    </row>
    <row r="9023" spans="1:8" x14ac:dyDescent="0.3">
      <c r="A9023" s="400"/>
      <c r="B9023" s="709">
        <v>90451</v>
      </c>
      <c r="C9023" s="710" t="s">
        <v>7440</v>
      </c>
      <c r="D9023" s="709" t="s">
        <v>136</v>
      </c>
      <c r="E9023" s="716">
        <v>7.15</v>
      </c>
      <c r="F9023" s="717">
        <v>0</v>
      </c>
      <c r="G9023">
        <f>VLOOKUP(B9023,'SINAPI-%MO'!B:E,4,0)</f>
        <v>0.65029999999999999</v>
      </c>
      <c r="H9023" s="225">
        <f t="shared" si="140"/>
        <v>2.5</v>
      </c>
    </row>
    <row r="9024" spans="1:8" x14ac:dyDescent="0.3">
      <c r="A9024" s="400"/>
      <c r="B9024" s="709">
        <v>90452</v>
      </c>
      <c r="C9024" s="710" t="s">
        <v>7441</v>
      </c>
      <c r="D9024" s="709" t="s">
        <v>136</v>
      </c>
      <c r="E9024" s="716">
        <v>27.96</v>
      </c>
      <c r="F9024" s="717">
        <v>0</v>
      </c>
      <c r="G9024">
        <f>VLOOKUP(B9024,'SINAPI-%MO'!B:E,4,0)</f>
        <v>0.29110000000000003</v>
      </c>
      <c r="H9024" s="225">
        <f t="shared" si="140"/>
        <v>19.82</v>
      </c>
    </row>
    <row r="9025" spans="1:8" x14ac:dyDescent="0.3">
      <c r="A9025" s="400"/>
      <c r="B9025" s="709">
        <v>90455</v>
      </c>
      <c r="C9025" s="710" t="s">
        <v>7442</v>
      </c>
      <c r="D9025" s="709" t="s">
        <v>136</v>
      </c>
      <c r="E9025" s="716">
        <v>9.34</v>
      </c>
      <c r="F9025" s="717">
        <v>0</v>
      </c>
      <c r="G9025">
        <f>VLOOKUP(B9025,'SINAPI-%MO'!B:E,4,0)</f>
        <v>0.62309999999999999</v>
      </c>
      <c r="H9025" s="225">
        <f t="shared" si="140"/>
        <v>3.52</v>
      </c>
    </row>
    <row r="9026" spans="1:8" x14ac:dyDescent="0.3">
      <c r="A9026" s="400"/>
      <c r="B9026" s="709">
        <v>104784</v>
      </c>
      <c r="C9026" s="710" t="s">
        <v>7443</v>
      </c>
      <c r="D9026" s="709" t="s">
        <v>136</v>
      </c>
      <c r="E9026" s="716">
        <v>16.399999999999999</v>
      </c>
      <c r="F9026" s="717">
        <v>0</v>
      </c>
      <c r="G9026">
        <f>VLOOKUP(B9026,'SINAPI-%MO'!B:E,4,0)</f>
        <v>0.49390000000000001</v>
      </c>
      <c r="H9026" s="225">
        <f t="shared" si="140"/>
        <v>8.3000000000000007</v>
      </c>
    </row>
    <row r="9027" spans="1:8" x14ac:dyDescent="0.3">
      <c r="A9027" s="400"/>
      <c r="B9027" s="709">
        <v>90453</v>
      </c>
      <c r="C9027" s="710" t="s">
        <v>7444</v>
      </c>
      <c r="D9027" s="709" t="s">
        <v>136</v>
      </c>
      <c r="E9027" s="716">
        <v>4.46</v>
      </c>
      <c r="F9027" s="717">
        <v>0</v>
      </c>
      <c r="G9027">
        <f>VLOOKUP(B9027,'SINAPI-%MO'!B:E,4,0)</f>
        <v>0.58740000000000003</v>
      </c>
      <c r="H9027" s="225">
        <f t="shared" si="140"/>
        <v>1.84</v>
      </c>
    </row>
    <row r="9028" spans="1:8" x14ac:dyDescent="0.3">
      <c r="A9028" s="400"/>
      <c r="B9028" s="709">
        <v>104783</v>
      </c>
      <c r="C9028" s="710" t="s">
        <v>7445</v>
      </c>
      <c r="D9028" s="709" t="s">
        <v>136</v>
      </c>
      <c r="E9028" s="716">
        <v>5.76</v>
      </c>
      <c r="F9028" s="717">
        <v>0</v>
      </c>
      <c r="G9028">
        <f>VLOOKUP(B9028,'SINAPI-%MO'!B:E,4,0)</f>
        <v>0.53469999999999995</v>
      </c>
      <c r="H9028" s="225">
        <f t="shared" si="140"/>
        <v>2.68</v>
      </c>
    </row>
    <row r="9029" spans="1:8" x14ac:dyDescent="0.3">
      <c r="A9029" s="400"/>
      <c r="B9029" s="709">
        <v>90454</v>
      </c>
      <c r="C9029" s="710" t="s">
        <v>7446</v>
      </c>
      <c r="D9029" s="709" t="s">
        <v>136</v>
      </c>
      <c r="E9029" s="716">
        <v>7.34</v>
      </c>
      <c r="F9029" s="717">
        <v>0</v>
      </c>
      <c r="G9029">
        <f>VLOOKUP(B9029,'SINAPI-%MO'!B:E,4,0)</f>
        <v>0.54359999999999997</v>
      </c>
      <c r="H9029" s="225">
        <f t="shared" si="140"/>
        <v>3.34</v>
      </c>
    </row>
    <row r="9030" spans="1:8" x14ac:dyDescent="0.3">
      <c r="A9030" s="400"/>
      <c r="B9030" s="709">
        <v>90459</v>
      </c>
      <c r="C9030" s="710" t="s">
        <v>7447</v>
      </c>
      <c r="D9030" s="709" t="s">
        <v>136</v>
      </c>
      <c r="E9030" s="716">
        <v>54.8</v>
      </c>
      <c r="F9030" s="717">
        <v>0</v>
      </c>
      <c r="G9030">
        <f>VLOOKUP(B9030,'SINAPI-%MO'!B:E,4,0)</f>
        <v>1</v>
      </c>
      <c r="H9030" s="225">
        <f t="shared" si="140"/>
        <v>0</v>
      </c>
    </row>
    <row r="9031" spans="1:8" x14ac:dyDescent="0.3">
      <c r="A9031" s="400"/>
      <c r="B9031" s="709">
        <v>90456</v>
      </c>
      <c r="C9031" s="710" t="s">
        <v>7448</v>
      </c>
      <c r="D9031" s="709" t="s">
        <v>136</v>
      </c>
      <c r="E9031" s="716">
        <v>6.18</v>
      </c>
      <c r="F9031" s="717">
        <v>0</v>
      </c>
      <c r="G9031">
        <f>VLOOKUP(B9031,'SINAPI-%MO'!B:E,4,0)</f>
        <v>1</v>
      </c>
      <c r="H9031" s="225">
        <f t="shared" si="140"/>
        <v>0</v>
      </c>
    </row>
    <row r="9032" spans="1:8" x14ac:dyDescent="0.3">
      <c r="A9032" s="400"/>
      <c r="B9032" s="709">
        <v>90458</v>
      </c>
      <c r="C9032" s="710" t="s">
        <v>7449</v>
      </c>
      <c r="D9032" s="709" t="s">
        <v>136</v>
      </c>
      <c r="E9032" s="716">
        <v>40.270000000000003</v>
      </c>
      <c r="F9032" s="717">
        <v>0</v>
      </c>
      <c r="G9032">
        <f>VLOOKUP(B9032,'SINAPI-%MO'!B:E,4,0)</f>
        <v>1</v>
      </c>
      <c r="H9032" s="225">
        <f t="shared" si="140"/>
        <v>0</v>
      </c>
    </row>
    <row r="9033" spans="1:8" x14ac:dyDescent="0.3">
      <c r="A9033" s="400"/>
      <c r="B9033" s="709">
        <v>90457</v>
      </c>
      <c r="C9033" s="710" t="s">
        <v>7450</v>
      </c>
      <c r="D9033" s="709" t="s">
        <v>136</v>
      </c>
      <c r="E9033" s="716">
        <v>14.11</v>
      </c>
      <c r="F9033" s="717">
        <v>0</v>
      </c>
      <c r="G9033">
        <f>VLOOKUP(B9033,'SINAPI-%MO'!B:E,4,0)</f>
        <v>1</v>
      </c>
      <c r="H9033" s="225">
        <f t="shared" si="140"/>
        <v>0</v>
      </c>
    </row>
    <row r="9034" spans="1:8" x14ac:dyDescent="0.3">
      <c r="A9034" s="400"/>
      <c r="B9034" s="709">
        <v>90447</v>
      </c>
      <c r="C9034" s="710" t="s">
        <v>7451</v>
      </c>
      <c r="D9034" s="709" t="s">
        <v>159</v>
      </c>
      <c r="E9034" s="716">
        <v>9.34</v>
      </c>
      <c r="F9034" s="717">
        <v>0</v>
      </c>
      <c r="G9034">
        <f>VLOOKUP(B9034,'SINAPI-%MO'!B:E,4,0)</f>
        <v>1</v>
      </c>
      <c r="H9034" s="225">
        <f t="shared" si="140"/>
        <v>0</v>
      </c>
    </row>
    <row r="9035" spans="1:8" x14ac:dyDescent="0.3">
      <c r="A9035" s="400"/>
      <c r="B9035" s="709">
        <v>91222</v>
      </c>
      <c r="C9035" s="710" t="s">
        <v>7452</v>
      </c>
      <c r="D9035" s="709" t="s">
        <v>159</v>
      </c>
      <c r="E9035" s="716">
        <v>9.9700000000000006</v>
      </c>
      <c r="F9035" s="717">
        <v>0</v>
      </c>
      <c r="G9035">
        <f>VLOOKUP(B9035,'SINAPI-%MO'!B:E,4,0)</f>
        <v>1</v>
      </c>
      <c r="H9035" s="225">
        <f t="shared" ref="H9035:H9098" si="141">IF(E9035&gt;0,TRUNC(E9035*(1-G9035),2),"")</f>
        <v>0</v>
      </c>
    </row>
    <row r="9036" spans="1:8" x14ac:dyDescent="0.3">
      <c r="A9036" s="400"/>
      <c r="B9036" s="709">
        <v>90443</v>
      </c>
      <c r="C9036" s="710" t="s">
        <v>7453</v>
      </c>
      <c r="D9036" s="709" t="s">
        <v>159</v>
      </c>
      <c r="E9036" s="716">
        <v>8.9700000000000006</v>
      </c>
      <c r="F9036" s="717">
        <v>0</v>
      </c>
      <c r="G9036">
        <f>VLOOKUP(B9036,'SINAPI-%MO'!B:E,4,0)</f>
        <v>1</v>
      </c>
      <c r="H9036" s="225">
        <f t="shared" si="141"/>
        <v>0</v>
      </c>
    </row>
    <row r="9037" spans="1:8" x14ac:dyDescent="0.3">
      <c r="A9037" s="400"/>
      <c r="B9037" s="709">
        <v>104780</v>
      </c>
      <c r="C9037" s="710" t="s">
        <v>7454</v>
      </c>
      <c r="D9037" s="709" t="s">
        <v>159</v>
      </c>
      <c r="E9037" s="716">
        <v>7.43</v>
      </c>
      <c r="F9037" s="717">
        <v>0</v>
      </c>
      <c r="G9037">
        <f>VLOOKUP(B9037,'SINAPI-%MO'!B:E,4,0)</f>
        <v>0.9879</v>
      </c>
      <c r="H9037" s="225">
        <f t="shared" si="141"/>
        <v>0.08</v>
      </c>
    </row>
    <row r="9038" spans="1:8" x14ac:dyDescent="0.3">
      <c r="A9038" s="400"/>
      <c r="B9038" s="709">
        <v>104781</v>
      </c>
      <c r="C9038" s="710" t="s">
        <v>7455</v>
      </c>
      <c r="D9038" s="709" t="s">
        <v>159</v>
      </c>
      <c r="E9038" s="716">
        <v>8.5299999999999994</v>
      </c>
      <c r="F9038" s="717">
        <v>0</v>
      </c>
      <c r="G9038">
        <f>VLOOKUP(B9038,'SINAPI-%MO'!B:E,4,0)</f>
        <v>0.98709999999999998</v>
      </c>
      <c r="H9038" s="225">
        <f t="shared" si="141"/>
        <v>0.11</v>
      </c>
    </row>
    <row r="9039" spans="1:8" x14ac:dyDescent="0.3">
      <c r="A9039" s="400"/>
      <c r="B9039" s="709">
        <v>104779</v>
      </c>
      <c r="C9039" s="710" t="s">
        <v>7456</v>
      </c>
      <c r="D9039" s="709" t="s">
        <v>159</v>
      </c>
      <c r="E9039" s="716">
        <v>7.39</v>
      </c>
      <c r="F9039" s="717">
        <v>0</v>
      </c>
      <c r="G9039">
        <f>VLOOKUP(B9039,'SINAPI-%MO'!B:E,4,0)</f>
        <v>0.98780000000000001</v>
      </c>
      <c r="H9039" s="225">
        <f t="shared" si="141"/>
        <v>0.09</v>
      </c>
    </row>
    <row r="9040" spans="1:8" x14ac:dyDescent="0.3">
      <c r="A9040" s="400"/>
      <c r="B9040" s="709">
        <v>104787</v>
      </c>
      <c r="C9040" s="710" t="s">
        <v>7457</v>
      </c>
      <c r="D9040" s="709" t="s">
        <v>159</v>
      </c>
      <c r="E9040" s="716">
        <v>10.26</v>
      </c>
      <c r="F9040" s="717">
        <v>0</v>
      </c>
      <c r="G9040">
        <f>VLOOKUP(B9040,'SINAPI-%MO'!B:E,4,0)</f>
        <v>0.95520000000000005</v>
      </c>
      <c r="H9040" s="225">
        <f t="shared" si="141"/>
        <v>0.45</v>
      </c>
    </row>
    <row r="9041" spans="1:8" x14ac:dyDescent="0.3">
      <c r="A9041" s="400"/>
      <c r="B9041" s="709">
        <v>104788</v>
      </c>
      <c r="C9041" s="710" t="s">
        <v>7458</v>
      </c>
      <c r="D9041" s="709" t="s">
        <v>159</v>
      </c>
      <c r="E9041" s="716">
        <v>13.63</v>
      </c>
      <c r="F9041" s="717">
        <v>0</v>
      </c>
      <c r="G9041">
        <f>VLOOKUP(B9041,'SINAPI-%MO'!B:E,4,0)</f>
        <v>0.95520000000000005</v>
      </c>
      <c r="H9041" s="225">
        <f t="shared" si="141"/>
        <v>0.61</v>
      </c>
    </row>
    <row r="9042" spans="1:8" x14ac:dyDescent="0.3">
      <c r="A9042" s="400"/>
      <c r="B9042" s="709">
        <v>104786</v>
      </c>
      <c r="C9042" s="710" t="s">
        <v>7459</v>
      </c>
      <c r="D9042" s="709" t="s">
        <v>159</v>
      </c>
      <c r="E9042" s="716">
        <v>7.74</v>
      </c>
      <c r="F9042" s="717">
        <v>0</v>
      </c>
      <c r="G9042">
        <f>VLOOKUP(B9042,'SINAPI-%MO'!B:E,4,0)</f>
        <v>0.95479999999999998</v>
      </c>
      <c r="H9042" s="225">
        <f t="shared" si="141"/>
        <v>0.34</v>
      </c>
    </row>
    <row r="9043" spans="1:8" x14ac:dyDescent="0.3">
      <c r="A9043" s="400"/>
      <c r="B9043" s="709">
        <v>90445</v>
      </c>
      <c r="C9043" s="710" t="s">
        <v>7460</v>
      </c>
      <c r="D9043" s="709" t="s">
        <v>159</v>
      </c>
      <c r="E9043" s="716">
        <v>21.3</v>
      </c>
      <c r="F9043" s="717">
        <v>0</v>
      </c>
      <c r="G9043">
        <f>VLOOKUP(B9043,'SINAPI-%MO'!B:E,4,0)</f>
        <v>0.97460000000000002</v>
      </c>
      <c r="H9043" s="225">
        <f t="shared" si="141"/>
        <v>0.54</v>
      </c>
    </row>
    <row r="9044" spans="1:8" x14ac:dyDescent="0.3">
      <c r="A9044" s="400"/>
      <c r="B9044" s="709">
        <v>90446</v>
      </c>
      <c r="C9044" s="710" t="s">
        <v>7461</v>
      </c>
      <c r="D9044" s="709" t="s">
        <v>159</v>
      </c>
      <c r="E9044" s="716">
        <v>28.29</v>
      </c>
      <c r="F9044" s="717">
        <v>0</v>
      </c>
      <c r="G9044">
        <f>VLOOKUP(B9044,'SINAPI-%MO'!B:E,4,0)</f>
        <v>0.97450000000000003</v>
      </c>
      <c r="H9044" s="225">
        <f t="shared" si="141"/>
        <v>0.72</v>
      </c>
    </row>
    <row r="9045" spans="1:8" x14ac:dyDescent="0.3">
      <c r="A9045" s="400"/>
      <c r="B9045" s="709">
        <v>90444</v>
      </c>
      <c r="C9045" s="710" t="s">
        <v>7462</v>
      </c>
      <c r="D9045" s="709" t="s">
        <v>159</v>
      </c>
      <c r="E9045" s="716">
        <v>16.05</v>
      </c>
      <c r="F9045" s="717">
        <v>0</v>
      </c>
      <c r="G9045">
        <f>VLOOKUP(B9045,'SINAPI-%MO'!B:E,4,0)</f>
        <v>0.97450000000000003</v>
      </c>
      <c r="H9045" s="225">
        <f t="shared" si="141"/>
        <v>0.4</v>
      </c>
    </row>
    <row r="9046" spans="1:8" x14ac:dyDescent="0.3">
      <c r="A9046" s="400"/>
      <c r="B9046" s="709">
        <v>104764</v>
      </c>
      <c r="C9046" s="710" t="s">
        <v>7463</v>
      </c>
      <c r="D9046" s="709" t="s">
        <v>159</v>
      </c>
      <c r="E9046" s="716">
        <v>21.15</v>
      </c>
      <c r="F9046" s="717">
        <v>0.33660000000000001</v>
      </c>
      <c r="G9046">
        <f>VLOOKUP(B9046,'SINAPI-%MO'!B:E,4,0)</f>
        <v>0.4723</v>
      </c>
      <c r="H9046" s="225">
        <f t="shared" si="141"/>
        <v>11.16</v>
      </c>
    </row>
    <row r="9047" spans="1:8" x14ac:dyDescent="0.3">
      <c r="A9047" s="400"/>
      <c r="B9047" s="709">
        <v>90460</v>
      </c>
      <c r="C9047" s="710" t="s">
        <v>7464</v>
      </c>
      <c r="D9047" s="709" t="s">
        <v>159</v>
      </c>
      <c r="E9047" s="716">
        <v>25.56</v>
      </c>
      <c r="F9047" s="717">
        <v>0.39829999999999999</v>
      </c>
      <c r="G9047">
        <f>VLOOKUP(B9047,'SINAPI-%MO'!B:E,4,0)</f>
        <v>0.37559999999999999</v>
      </c>
      <c r="H9047" s="225">
        <f t="shared" si="141"/>
        <v>15.95</v>
      </c>
    </row>
    <row r="9048" spans="1:8" x14ac:dyDescent="0.3">
      <c r="A9048" s="400"/>
      <c r="B9048" s="709">
        <v>90462</v>
      </c>
      <c r="C9048" s="710" t="s">
        <v>7465</v>
      </c>
      <c r="D9048" s="709" t="s">
        <v>159</v>
      </c>
      <c r="E9048" s="716">
        <v>4.3899999999999997</v>
      </c>
      <c r="F9048" s="717">
        <v>0.43959999999999999</v>
      </c>
      <c r="G9048">
        <f>VLOOKUP(B9048,'SINAPI-%MO'!B:E,4,0)</f>
        <v>0.39179999999999998</v>
      </c>
      <c r="H9048" s="225">
        <f t="shared" si="141"/>
        <v>2.66</v>
      </c>
    </row>
    <row r="9049" spans="1:8" x14ac:dyDescent="0.3">
      <c r="A9049" s="400"/>
      <c r="B9049" s="709">
        <v>104765</v>
      </c>
      <c r="C9049" s="710" t="s">
        <v>7466</v>
      </c>
      <c r="D9049" s="709" t="s">
        <v>159</v>
      </c>
      <c r="E9049" s="716">
        <v>17.62</v>
      </c>
      <c r="F9049" s="717">
        <v>0.20200000000000001</v>
      </c>
      <c r="G9049">
        <f>VLOOKUP(B9049,'SINAPI-%MO'!B:E,4,0)</f>
        <v>0.65659999999999996</v>
      </c>
      <c r="H9049" s="225">
        <f t="shared" si="141"/>
        <v>6.05</v>
      </c>
    </row>
    <row r="9050" spans="1:8" x14ac:dyDescent="0.3">
      <c r="A9050" s="400"/>
      <c r="B9050" s="709">
        <v>90461</v>
      </c>
      <c r="C9050" s="710" t="s">
        <v>7467</v>
      </c>
      <c r="D9050" s="709" t="s">
        <v>159</v>
      </c>
      <c r="E9050" s="716">
        <v>19.77</v>
      </c>
      <c r="F9050" s="717">
        <v>0.25700000000000001</v>
      </c>
      <c r="G9050">
        <f>VLOOKUP(B9050,'SINAPI-%MO'!B:E,4,0)</f>
        <v>0.56299999999999994</v>
      </c>
      <c r="H9050" s="225">
        <f t="shared" si="141"/>
        <v>8.6300000000000008</v>
      </c>
    </row>
    <row r="9051" spans="1:8" x14ac:dyDescent="0.3">
      <c r="A9051" s="400"/>
      <c r="B9051" s="709">
        <v>90463</v>
      </c>
      <c r="C9051" s="710" t="s">
        <v>7468</v>
      </c>
      <c r="D9051" s="709" t="s">
        <v>159</v>
      </c>
      <c r="E9051" s="716">
        <v>3.83</v>
      </c>
      <c r="F9051" s="717">
        <v>0.3211</v>
      </c>
      <c r="G9051">
        <f>VLOOKUP(B9051,'SINAPI-%MO'!B:E,4,0)</f>
        <v>0.51700000000000002</v>
      </c>
      <c r="H9051" s="225">
        <f t="shared" si="141"/>
        <v>1.84</v>
      </c>
    </row>
    <row r="9052" spans="1:8" x14ac:dyDescent="0.3">
      <c r="A9052" s="400"/>
      <c r="B9052" s="709">
        <v>96560</v>
      </c>
      <c r="C9052" s="710" t="s">
        <v>7469</v>
      </c>
      <c r="D9052" s="709" t="s">
        <v>168</v>
      </c>
      <c r="E9052" s="716">
        <v>35.119999999999997</v>
      </c>
      <c r="F9052" s="717">
        <v>0.22550000000000001</v>
      </c>
      <c r="G9052">
        <f>VLOOKUP(B9052,'SINAPI-%MO'!B:E,4,0)</f>
        <v>0.52359999999999995</v>
      </c>
      <c r="H9052" s="225">
        <f t="shared" si="141"/>
        <v>16.73</v>
      </c>
    </row>
    <row r="9053" spans="1:8" x14ac:dyDescent="0.3">
      <c r="A9053" s="400"/>
      <c r="B9053" s="709">
        <v>96559</v>
      </c>
      <c r="C9053" s="710" t="s">
        <v>7470</v>
      </c>
      <c r="D9053" s="709" t="s">
        <v>168</v>
      </c>
      <c r="E9053" s="716">
        <v>36.07</v>
      </c>
      <c r="F9053" s="717">
        <v>0.35149999999999998</v>
      </c>
      <c r="G9053">
        <f>VLOOKUP(B9053,'SINAPI-%MO'!B:E,4,0)</f>
        <v>0.35239999999999999</v>
      </c>
      <c r="H9053" s="225">
        <f t="shared" si="141"/>
        <v>23.35</v>
      </c>
    </row>
    <row r="9054" spans="1:8" x14ac:dyDescent="0.3">
      <c r="A9054" s="400"/>
      <c r="B9054" s="709">
        <v>96562</v>
      </c>
      <c r="C9054" s="710" t="s">
        <v>7471</v>
      </c>
      <c r="D9054" s="709" t="s">
        <v>159</v>
      </c>
      <c r="E9054" s="716">
        <v>53.89</v>
      </c>
      <c r="F9054" s="717">
        <v>0.23530000000000001</v>
      </c>
      <c r="G9054">
        <f>VLOOKUP(B9054,'SINAPI-%MO'!B:E,4,0)</f>
        <v>0.53480000000000005</v>
      </c>
      <c r="H9054" s="225">
        <f t="shared" si="141"/>
        <v>25.06</v>
      </c>
    </row>
    <row r="9055" spans="1:8" x14ac:dyDescent="0.3">
      <c r="A9055" s="400"/>
      <c r="B9055" s="709">
        <v>96563</v>
      </c>
      <c r="C9055" s="710" t="s">
        <v>7472</v>
      </c>
      <c r="D9055" s="709" t="s">
        <v>159</v>
      </c>
      <c r="E9055" s="716">
        <v>60.71</v>
      </c>
      <c r="F9055" s="717">
        <v>0.2089</v>
      </c>
      <c r="G9055">
        <f>VLOOKUP(B9055,'SINAPI-%MO'!B:E,4,0)</f>
        <v>0.47470000000000001</v>
      </c>
      <c r="H9055" s="225">
        <f t="shared" si="141"/>
        <v>31.89</v>
      </c>
    </row>
    <row r="9056" spans="1:8" x14ac:dyDescent="0.3">
      <c r="A9056" s="400"/>
      <c r="B9056" s="709">
        <v>102469</v>
      </c>
      <c r="C9056" s="710" t="s">
        <v>7473</v>
      </c>
      <c r="D9056" s="709" t="s">
        <v>168</v>
      </c>
      <c r="E9056" s="716">
        <v>0</v>
      </c>
      <c r="F9056" s="717"/>
      <c r="G9056" t="e">
        <f>VLOOKUP(B9056,'SINAPI-%MO'!B:E,4,0)</f>
        <v>#N/A</v>
      </c>
      <c r="H9056" s="225" t="str">
        <f t="shared" si="141"/>
        <v/>
      </c>
    </row>
    <row r="9057" spans="1:8" x14ac:dyDescent="0.3">
      <c r="A9057" s="400"/>
      <c r="B9057" s="709">
        <v>104388</v>
      </c>
      <c r="C9057" s="710" t="s">
        <v>7474</v>
      </c>
      <c r="D9057" s="709" t="s">
        <v>168</v>
      </c>
      <c r="E9057" s="716">
        <v>0</v>
      </c>
      <c r="F9057" s="717"/>
      <c r="G9057" t="e">
        <f>VLOOKUP(B9057,'SINAPI-%MO'!B:E,4,0)</f>
        <v>#N/A</v>
      </c>
      <c r="H9057" s="225" t="str">
        <f t="shared" si="141"/>
        <v/>
      </c>
    </row>
    <row r="9058" spans="1:8" x14ac:dyDescent="0.3">
      <c r="A9058" s="400"/>
      <c r="B9058" s="709">
        <v>104387</v>
      </c>
      <c r="C9058" s="710" t="s">
        <v>7475</v>
      </c>
      <c r="D9058" s="709" t="s">
        <v>170</v>
      </c>
      <c r="E9058" s="716">
        <v>0</v>
      </c>
      <c r="F9058" s="717"/>
      <c r="G9058" t="e">
        <f>VLOOKUP(B9058,'SINAPI-%MO'!B:E,4,0)</f>
        <v>#N/A</v>
      </c>
      <c r="H9058" s="225" t="str">
        <f t="shared" si="141"/>
        <v/>
      </c>
    </row>
    <row r="9059" spans="1:8" x14ac:dyDescent="0.3">
      <c r="A9059" s="400"/>
      <c r="B9059" s="709">
        <v>104364</v>
      </c>
      <c r="C9059" s="710" t="s">
        <v>7476</v>
      </c>
      <c r="D9059" s="709" t="s">
        <v>170</v>
      </c>
      <c r="E9059" s="716">
        <v>0</v>
      </c>
      <c r="F9059" s="717"/>
      <c r="G9059" t="e">
        <f>VLOOKUP(B9059,'SINAPI-%MO'!B:E,4,0)</f>
        <v>#N/A</v>
      </c>
      <c r="H9059" s="225" t="str">
        <f t="shared" si="141"/>
        <v/>
      </c>
    </row>
    <row r="9060" spans="1:8" x14ac:dyDescent="0.3">
      <c r="A9060" s="400"/>
      <c r="B9060" s="709">
        <v>102097</v>
      </c>
      <c r="C9060" s="710" t="s">
        <v>7477</v>
      </c>
      <c r="D9060" s="709" t="s">
        <v>170</v>
      </c>
      <c r="E9060" s="716">
        <v>0</v>
      </c>
      <c r="F9060" s="717"/>
      <c r="G9060" t="e">
        <f>VLOOKUP(B9060,'SINAPI-%MO'!B:E,4,0)</f>
        <v>#N/A</v>
      </c>
      <c r="H9060" s="225" t="str">
        <f t="shared" si="141"/>
        <v/>
      </c>
    </row>
    <row r="9061" spans="1:8" x14ac:dyDescent="0.3">
      <c r="A9061" s="400"/>
      <c r="B9061" s="709">
        <v>104365</v>
      </c>
      <c r="C9061" s="710" t="s">
        <v>7478</v>
      </c>
      <c r="D9061" s="709" t="s">
        <v>170</v>
      </c>
      <c r="E9061" s="716">
        <v>0</v>
      </c>
      <c r="F9061" s="717"/>
      <c r="G9061" t="e">
        <f>VLOOKUP(B9061,'SINAPI-%MO'!B:E,4,0)</f>
        <v>#N/A</v>
      </c>
      <c r="H9061" s="225" t="str">
        <f t="shared" si="141"/>
        <v/>
      </c>
    </row>
    <row r="9062" spans="1:8" x14ac:dyDescent="0.3">
      <c r="A9062" s="400"/>
      <c r="B9062" s="709">
        <v>103735</v>
      </c>
      <c r="C9062" s="710" t="s">
        <v>7837</v>
      </c>
      <c r="D9062" s="709" t="s">
        <v>136</v>
      </c>
      <c r="E9062" s="716">
        <v>0</v>
      </c>
      <c r="F9062" s="717"/>
      <c r="G9062" t="e">
        <f>VLOOKUP(B9062,'SINAPI-%MO'!B:E,4,0)</f>
        <v>#N/A</v>
      </c>
      <c r="H9062" s="225" t="str">
        <f t="shared" si="141"/>
        <v/>
      </c>
    </row>
    <row r="9063" spans="1:8" x14ac:dyDescent="0.3">
      <c r="A9063" s="400"/>
      <c r="B9063" s="709">
        <v>101870</v>
      </c>
      <c r="C9063" s="710" t="s">
        <v>7479</v>
      </c>
      <c r="D9063" s="709" t="s">
        <v>168</v>
      </c>
      <c r="E9063" s="716">
        <v>42.91</v>
      </c>
      <c r="F9063" s="717">
        <v>0</v>
      </c>
      <c r="G9063">
        <f>VLOOKUP(B9063,'SINAPI-%MO'!B:E,4,0)</f>
        <v>0.8488</v>
      </c>
      <c r="H9063" s="225">
        <f t="shared" si="141"/>
        <v>6.48</v>
      </c>
    </row>
    <row r="9064" spans="1:8" x14ac:dyDescent="0.3">
      <c r="A9064" s="400"/>
      <c r="B9064" s="709">
        <v>101866</v>
      </c>
      <c r="C9064" s="710" t="s">
        <v>7480</v>
      </c>
      <c r="D9064" s="709" t="s">
        <v>168</v>
      </c>
      <c r="E9064" s="716">
        <v>36.369999999999997</v>
      </c>
      <c r="F9064" s="717">
        <v>0</v>
      </c>
      <c r="G9064">
        <f>VLOOKUP(B9064,'SINAPI-%MO'!B:E,4,0)</f>
        <v>0.82430000000000003</v>
      </c>
      <c r="H9064" s="225">
        <f t="shared" si="141"/>
        <v>6.39</v>
      </c>
    </row>
    <row r="9065" spans="1:8" x14ac:dyDescent="0.3">
      <c r="A9065" s="400"/>
      <c r="B9065" s="709">
        <v>101867</v>
      </c>
      <c r="C9065" s="710" t="s">
        <v>7481</v>
      </c>
      <c r="D9065" s="709" t="s">
        <v>168</v>
      </c>
      <c r="E9065" s="716">
        <v>41.39</v>
      </c>
      <c r="F9065" s="717">
        <v>0</v>
      </c>
      <c r="G9065">
        <f>VLOOKUP(B9065,'SINAPI-%MO'!B:E,4,0)</f>
        <v>0.84419999999999995</v>
      </c>
      <c r="H9065" s="225">
        <f t="shared" si="141"/>
        <v>6.44</v>
      </c>
    </row>
    <row r="9066" spans="1:8" x14ac:dyDescent="0.3">
      <c r="A9066" s="400"/>
      <c r="B9066" s="709">
        <v>101868</v>
      </c>
      <c r="C9066" s="710" t="s">
        <v>7482</v>
      </c>
      <c r="D9066" s="709" t="s">
        <v>168</v>
      </c>
      <c r="E9066" s="716">
        <v>32.869999999999997</v>
      </c>
      <c r="F9066" s="717">
        <v>0</v>
      </c>
      <c r="G9066">
        <f>VLOOKUP(B9066,'SINAPI-%MO'!B:E,4,0)</f>
        <v>0.80559999999999998</v>
      </c>
      <c r="H9066" s="225">
        <f t="shared" si="141"/>
        <v>6.38</v>
      </c>
    </row>
    <row r="9067" spans="1:8" x14ac:dyDescent="0.3">
      <c r="A9067" s="400"/>
      <c r="B9067" s="709">
        <v>101869</v>
      </c>
      <c r="C9067" s="710" t="s">
        <v>7483</v>
      </c>
      <c r="D9067" s="709" t="s">
        <v>168</v>
      </c>
      <c r="E9067" s="716">
        <v>37.89</v>
      </c>
      <c r="F9067" s="717">
        <v>0</v>
      </c>
      <c r="G9067">
        <f>VLOOKUP(B9067,'SINAPI-%MO'!B:E,4,0)</f>
        <v>0.83030000000000004</v>
      </c>
      <c r="H9067" s="225">
        <f t="shared" si="141"/>
        <v>6.42</v>
      </c>
    </row>
    <row r="9068" spans="1:8" x14ac:dyDescent="0.3">
      <c r="A9068" s="400"/>
      <c r="B9068" s="709">
        <v>101856</v>
      </c>
      <c r="C9068" s="710" t="s">
        <v>7484</v>
      </c>
      <c r="D9068" s="709" t="s">
        <v>168</v>
      </c>
      <c r="E9068" s="716">
        <v>29.77</v>
      </c>
      <c r="F9068" s="717">
        <v>0</v>
      </c>
      <c r="G9068">
        <f>VLOOKUP(B9068,'SINAPI-%MO'!B:E,4,0)</f>
        <v>0.78639999999999999</v>
      </c>
      <c r="H9068" s="225">
        <f t="shared" si="141"/>
        <v>6.35</v>
      </c>
    </row>
    <row r="9069" spans="1:8" x14ac:dyDescent="0.3">
      <c r="A9069" s="400"/>
      <c r="B9069" s="709">
        <v>101865</v>
      </c>
      <c r="C9069" s="710" t="s">
        <v>7485</v>
      </c>
      <c r="D9069" s="709" t="s">
        <v>168</v>
      </c>
      <c r="E9069" s="716">
        <v>40.9</v>
      </c>
      <c r="F9069" s="717">
        <v>0</v>
      </c>
      <c r="G9069">
        <f>VLOOKUP(B9069,'SINAPI-%MO'!B:E,4,0)</f>
        <v>0.84160000000000001</v>
      </c>
      <c r="H9069" s="225">
        <f t="shared" si="141"/>
        <v>6.47</v>
      </c>
    </row>
    <row r="9070" spans="1:8" x14ac:dyDescent="0.3">
      <c r="A9070" s="400"/>
      <c r="B9070" s="709">
        <v>101861</v>
      </c>
      <c r="C9070" s="710" t="s">
        <v>7486</v>
      </c>
      <c r="D9070" s="709" t="s">
        <v>168</v>
      </c>
      <c r="E9070" s="716">
        <v>36.119999999999997</v>
      </c>
      <c r="F9070" s="717">
        <v>0</v>
      </c>
      <c r="G9070">
        <f>VLOOKUP(B9070,'SINAPI-%MO'!B:E,4,0)</f>
        <v>0.82310000000000005</v>
      </c>
      <c r="H9070" s="225">
        <f t="shared" si="141"/>
        <v>6.38</v>
      </c>
    </row>
    <row r="9071" spans="1:8" x14ac:dyDescent="0.3">
      <c r="A9071" s="400"/>
      <c r="B9071" s="709">
        <v>101862</v>
      </c>
      <c r="C9071" s="710" t="s">
        <v>7487</v>
      </c>
      <c r="D9071" s="709" t="s">
        <v>168</v>
      </c>
      <c r="E9071" s="716">
        <v>39.380000000000003</v>
      </c>
      <c r="F9071" s="717">
        <v>0</v>
      </c>
      <c r="G9071">
        <f>VLOOKUP(B9071,'SINAPI-%MO'!B:E,4,0)</f>
        <v>0.83650000000000002</v>
      </c>
      <c r="H9071" s="225">
        <f t="shared" si="141"/>
        <v>6.43</v>
      </c>
    </row>
    <row r="9072" spans="1:8" x14ac:dyDescent="0.3">
      <c r="A9072" s="400"/>
      <c r="B9072" s="709">
        <v>101863</v>
      </c>
      <c r="C9072" s="710" t="s">
        <v>7488</v>
      </c>
      <c r="D9072" s="709" t="s">
        <v>168</v>
      </c>
      <c r="E9072" s="716">
        <v>30.85</v>
      </c>
      <c r="F9072" s="717">
        <v>0</v>
      </c>
      <c r="G9072">
        <f>VLOOKUP(B9072,'SINAPI-%MO'!B:E,4,0)</f>
        <v>0.79349999999999998</v>
      </c>
      <c r="H9072" s="225">
        <f t="shared" si="141"/>
        <v>6.37</v>
      </c>
    </row>
    <row r="9073" spans="1:8" x14ac:dyDescent="0.3">
      <c r="A9073" s="400"/>
      <c r="B9073" s="709">
        <v>101864</v>
      </c>
      <c r="C9073" s="710" t="s">
        <v>7489</v>
      </c>
      <c r="D9073" s="709" t="s">
        <v>168</v>
      </c>
      <c r="E9073" s="716">
        <v>35.869999999999997</v>
      </c>
      <c r="F9073" s="717">
        <v>0</v>
      </c>
      <c r="G9073">
        <f>VLOOKUP(B9073,'SINAPI-%MO'!B:E,4,0)</f>
        <v>0.82099999999999995</v>
      </c>
      <c r="H9073" s="225">
        <f t="shared" si="141"/>
        <v>6.42</v>
      </c>
    </row>
    <row r="9074" spans="1:8" x14ac:dyDescent="0.3">
      <c r="A9074" s="400"/>
      <c r="B9074" s="709">
        <v>101860</v>
      </c>
      <c r="C9074" s="710" t="s">
        <v>7490</v>
      </c>
      <c r="D9074" s="709" t="s">
        <v>168</v>
      </c>
      <c r="E9074" s="716">
        <v>38.619999999999997</v>
      </c>
      <c r="F9074" s="717">
        <v>0</v>
      </c>
      <c r="G9074">
        <f>VLOOKUP(B9074,'SINAPI-%MO'!B:E,4,0)</f>
        <v>0.8327</v>
      </c>
      <c r="H9074" s="225">
        <f t="shared" si="141"/>
        <v>6.46</v>
      </c>
    </row>
    <row r="9075" spans="1:8" x14ac:dyDescent="0.3">
      <c r="A9075" s="400"/>
      <c r="B9075" s="709">
        <v>101857</v>
      </c>
      <c r="C9075" s="710" t="s">
        <v>7491</v>
      </c>
      <c r="D9075" s="709" t="s">
        <v>168</v>
      </c>
      <c r="E9075" s="716">
        <v>37.22</v>
      </c>
      <c r="F9075" s="717">
        <v>0</v>
      </c>
      <c r="G9075">
        <f>VLOOKUP(B9075,'SINAPI-%MO'!B:E,4,0)</f>
        <v>0.82750000000000001</v>
      </c>
      <c r="H9075" s="225">
        <f t="shared" si="141"/>
        <v>6.42</v>
      </c>
    </row>
    <row r="9076" spans="1:8" x14ac:dyDescent="0.3">
      <c r="A9076" s="400"/>
      <c r="B9076" s="709">
        <v>101858</v>
      </c>
      <c r="C9076" s="710" t="s">
        <v>7492</v>
      </c>
      <c r="D9076" s="709" t="s">
        <v>168</v>
      </c>
      <c r="E9076" s="716">
        <v>30.4</v>
      </c>
      <c r="F9076" s="717">
        <v>0</v>
      </c>
      <c r="G9076">
        <f>VLOOKUP(B9076,'SINAPI-%MO'!B:E,4,0)</f>
        <v>0.79049999999999998</v>
      </c>
      <c r="H9076" s="225">
        <f t="shared" si="141"/>
        <v>6.36</v>
      </c>
    </row>
    <row r="9077" spans="1:8" x14ac:dyDescent="0.3">
      <c r="A9077" s="400"/>
      <c r="B9077" s="709">
        <v>101859</v>
      </c>
      <c r="C9077" s="710" t="s">
        <v>7493</v>
      </c>
      <c r="D9077" s="709" t="s">
        <v>168</v>
      </c>
      <c r="E9077" s="716">
        <v>33.590000000000003</v>
      </c>
      <c r="F9077" s="717">
        <v>0</v>
      </c>
      <c r="G9077">
        <f>VLOOKUP(B9077,'SINAPI-%MO'!B:E,4,0)</f>
        <v>0.8095</v>
      </c>
      <c r="H9077" s="225">
        <f t="shared" si="141"/>
        <v>6.39</v>
      </c>
    </row>
    <row r="9078" spans="1:8" x14ac:dyDescent="0.3">
      <c r="A9078" s="400"/>
      <c r="B9078" s="709">
        <v>101852</v>
      </c>
      <c r="C9078" s="710" t="s">
        <v>7494</v>
      </c>
      <c r="D9078" s="709" t="s">
        <v>168</v>
      </c>
      <c r="E9078" s="716">
        <v>83.13</v>
      </c>
      <c r="F9078" s="717">
        <v>0.1162</v>
      </c>
      <c r="G9078">
        <f>VLOOKUP(B9078,'SINAPI-%MO'!B:E,4,0)</f>
        <v>0.60389999999999999</v>
      </c>
      <c r="H9078" s="225">
        <f t="shared" si="141"/>
        <v>32.92</v>
      </c>
    </row>
    <row r="9079" spans="1:8" x14ac:dyDescent="0.3">
      <c r="A9079" s="400"/>
      <c r="B9079" s="709">
        <v>104385</v>
      </c>
      <c r="C9079" s="710" t="s">
        <v>7495</v>
      </c>
      <c r="D9079" s="709" t="s">
        <v>168</v>
      </c>
      <c r="E9079" s="716">
        <v>0</v>
      </c>
      <c r="F9079" s="717"/>
      <c r="G9079" t="e">
        <f>VLOOKUP(B9079,'SINAPI-%MO'!B:E,4,0)</f>
        <v>#N/A</v>
      </c>
      <c r="H9079" s="225" t="str">
        <f t="shared" si="141"/>
        <v/>
      </c>
    </row>
    <row r="9080" spans="1:8" x14ac:dyDescent="0.3">
      <c r="A9080" s="400"/>
      <c r="B9080" s="709">
        <v>101850</v>
      </c>
      <c r="C9080" s="710" t="s">
        <v>7496</v>
      </c>
      <c r="D9080" s="709" t="s">
        <v>168</v>
      </c>
      <c r="E9080" s="716">
        <v>65.180000000000007</v>
      </c>
      <c r="F9080" s="717">
        <v>0.13420000000000001</v>
      </c>
      <c r="G9080">
        <f>VLOOKUP(B9080,'SINAPI-%MO'!B:E,4,0)</f>
        <v>0.65569999999999995</v>
      </c>
      <c r="H9080" s="225">
        <f t="shared" si="141"/>
        <v>22.44</v>
      </c>
    </row>
    <row r="9081" spans="1:8" x14ac:dyDescent="0.3">
      <c r="A9081" s="400"/>
      <c r="B9081" s="709">
        <v>101855</v>
      </c>
      <c r="C9081" s="710" t="s">
        <v>7497</v>
      </c>
      <c r="D9081" s="709" t="s">
        <v>168</v>
      </c>
      <c r="E9081" s="716">
        <v>90.3</v>
      </c>
      <c r="F9081" s="717">
        <v>8.9399999999999993E-2</v>
      </c>
      <c r="G9081">
        <f>VLOOKUP(B9081,'SINAPI-%MO'!B:E,4,0)</f>
        <v>0.50600000000000001</v>
      </c>
      <c r="H9081" s="225">
        <f t="shared" si="141"/>
        <v>44.6</v>
      </c>
    </row>
    <row r="9082" spans="1:8" x14ac:dyDescent="0.3">
      <c r="A9082" s="400"/>
      <c r="B9082" s="709">
        <v>104386</v>
      </c>
      <c r="C9082" s="710" t="s">
        <v>7498</v>
      </c>
      <c r="D9082" s="709" t="s">
        <v>168</v>
      </c>
      <c r="E9082" s="716">
        <v>0</v>
      </c>
      <c r="F9082" s="717"/>
      <c r="G9082" t="e">
        <f>VLOOKUP(B9082,'SINAPI-%MO'!B:E,4,0)</f>
        <v>#N/A</v>
      </c>
      <c r="H9082" s="225" t="str">
        <f t="shared" si="141"/>
        <v/>
      </c>
    </row>
    <row r="9083" spans="1:8" x14ac:dyDescent="0.3">
      <c r="A9083" s="400"/>
      <c r="B9083" s="709">
        <v>101853</v>
      </c>
      <c r="C9083" s="710" t="s">
        <v>7499</v>
      </c>
      <c r="D9083" s="709" t="s">
        <v>168</v>
      </c>
      <c r="E9083" s="716">
        <v>57.97</v>
      </c>
      <c r="F9083" s="717">
        <v>0.1235</v>
      </c>
      <c r="G9083">
        <f>VLOOKUP(B9083,'SINAPI-%MO'!B:E,4,0)</f>
        <v>0.60129999999999995</v>
      </c>
      <c r="H9083" s="225">
        <f t="shared" si="141"/>
        <v>23.11</v>
      </c>
    </row>
    <row r="9084" spans="1:8" x14ac:dyDescent="0.3">
      <c r="A9084" s="400"/>
      <c r="B9084" s="709">
        <v>101849</v>
      </c>
      <c r="C9084" s="710" t="s">
        <v>7500</v>
      </c>
      <c r="D9084" s="709" t="s">
        <v>170</v>
      </c>
      <c r="E9084" s="716">
        <v>193.88</v>
      </c>
      <c r="F9084" s="717">
        <v>4.5699999999999998E-2</v>
      </c>
      <c r="G9084">
        <f>VLOOKUP(B9084,'SINAPI-%MO'!B:E,4,0)</f>
        <v>8.4199999999999997E-2</v>
      </c>
      <c r="H9084" s="225">
        <f t="shared" si="141"/>
        <v>177.55</v>
      </c>
    </row>
    <row r="9085" spans="1:8" x14ac:dyDescent="0.3">
      <c r="A9085" s="400"/>
      <c r="B9085" s="709">
        <v>101841</v>
      </c>
      <c r="C9085" s="710" t="s">
        <v>7501</v>
      </c>
      <c r="D9085" s="709" t="s">
        <v>170</v>
      </c>
      <c r="E9085" s="716">
        <v>112.54</v>
      </c>
      <c r="F9085" s="717">
        <v>6.2199999999999998E-2</v>
      </c>
      <c r="G9085">
        <f>VLOOKUP(B9085,'SINAPI-%MO'!B:E,4,0)</f>
        <v>0.1067</v>
      </c>
      <c r="H9085" s="225">
        <f t="shared" si="141"/>
        <v>100.53</v>
      </c>
    </row>
    <row r="9086" spans="1:8" x14ac:dyDescent="0.3">
      <c r="A9086" s="400"/>
      <c r="B9086" s="709">
        <v>101843</v>
      </c>
      <c r="C9086" s="710" t="s">
        <v>7502</v>
      </c>
      <c r="D9086" s="709" t="s">
        <v>170</v>
      </c>
      <c r="E9086" s="716">
        <v>197.54</v>
      </c>
      <c r="F9086" s="717">
        <v>3.5400000000000001E-2</v>
      </c>
      <c r="G9086">
        <f>VLOOKUP(B9086,'SINAPI-%MO'!B:E,4,0)</f>
        <v>6.08E-2</v>
      </c>
      <c r="H9086" s="225">
        <f t="shared" si="141"/>
        <v>185.52</v>
      </c>
    </row>
    <row r="9087" spans="1:8" x14ac:dyDescent="0.3">
      <c r="A9087" s="400"/>
      <c r="B9087" s="709">
        <v>101844</v>
      </c>
      <c r="C9087" s="710" t="s">
        <v>7503</v>
      </c>
      <c r="D9087" s="709" t="s">
        <v>170</v>
      </c>
      <c r="E9087" s="716">
        <v>237.31</v>
      </c>
      <c r="F9087" s="717">
        <v>2.9499999999999998E-2</v>
      </c>
      <c r="G9087">
        <f>VLOOKUP(B9087,'SINAPI-%MO'!B:E,4,0)</f>
        <v>5.0599999999999999E-2</v>
      </c>
      <c r="H9087" s="225">
        <f t="shared" si="141"/>
        <v>225.3</v>
      </c>
    </row>
    <row r="9088" spans="1:8" x14ac:dyDescent="0.3">
      <c r="A9088" s="400"/>
      <c r="B9088" s="709">
        <v>101845</v>
      </c>
      <c r="C9088" s="710" t="s">
        <v>7504</v>
      </c>
      <c r="D9088" s="709" t="s">
        <v>170</v>
      </c>
      <c r="E9088" s="716">
        <v>276.52999999999997</v>
      </c>
      <c r="F9088" s="717">
        <v>2.53E-2</v>
      </c>
      <c r="G9088">
        <f>VLOOKUP(B9088,'SINAPI-%MO'!B:E,4,0)</f>
        <v>4.3400000000000001E-2</v>
      </c>
      <c r="H9088" s="225">
        <f t="shared" si="141"/>
        <v>264.52</v>
      </c>
    </row>
    <row r="9089" spans="1:8" x14ac:dyDescent="0.3">
      <c r="A9089" s="400"/>
      <c r="B9089" s="709">
        <v>101842</v>
      </c>
      <c r="C9089" s="710" t="s">
        <v>7505</v>
      </c>
      <c r="D9089" s="709" t="s">
        <v>170</v>
      </c>
      <c r="E9089" s="716">
        <v>98.49</v>
      </c>
      <c r="F9089" s="717">
        <v>7.1099999999999997E-2</v>
      </c>
      <c r="G9089">
        <f>VLOOKUP(B9089,'SINAPI-%MO'!B:E,4,0)</f>
        <v>0.12189999999999999</v>
      </c>
      <c r="H9089" s="225">
        <f t="shared" si="141"/>
        <v>86.48</v>
      </c>
    </row>
    <row r="9090" spans="1:8" x14ac:dyDescent="0.3">
      <c r="A9090" s="400"/>
      <c r="B9090" s="709">
        <v>101846</v>
      </c>
      <c r="C9090" s="710" t="s">
        <v>7506</v>
      </c>
      <c r="D9090" s="709" t="s">
        <v>170</v>
      </c>
      <c r="E9090" s="716">
        <v>184.05</v>
      </c>
      <c r="F9090" s="717">
        <v>3.7999999999999999E-2</v>
      </c>
      <c r="G9090">
        <f>VLOOKUP(B9090,'SINAPI-%MO'!B:E,4,0)</f>
        <v>6.5299999999999997E-2</v>
      </c>
      <c r="H9090" s="225">
        <f t="shared" si="141"/>
        <v>172.03</v>
      </c>
    </row>
    <row r="9091" spans="1:8" x14ac:dyDescent="0.3">
      <c r="A9091" s="400"/>
      <c r="B9091" s="709">
        <v>101847</v>
      </c>
      <c r="C9091" s="710" t="s">
        <v>7507</v>
      </c>
      <c r="D9091" s="709" t="s">
        <v>170</v>
      </c>
      <c r="E9091" s="716">
        <v>224.1</v>
      </c>
      <c r="F9091" s="717">
        <v>3.1199999999999999E-2</v>
      </c>
      <c r="G9091">
        <f>VLOOKUP(B9091,'SINAPI-%MO'!B:E,4,0)</f>
        <v>5.3600000000000002E-2</v>
      </c>
      <c r="H9091" s="225">
        <f t="shared" si="141"/>
        <v>212.08</v>
      </c>
    </row>
    <row r="9092" spans="1:8" x14ac:dyDescent="0.3">
      <c r="A9092" s="400"/>
      <c r="B9092" s="709">
        <v>101848</v>
      </c>
      <c r="C9092" s="710" t="s">
        <v>7508</v>
      </c>
      <c r="D9092" s="709" t="s">
        <v>170</v>
      </c>
      <c r="E9092" s="716">
        <v>263.61</v>
      </c>
      <c r="F9092" s="717">
        <v>2.6599999999999999E-2</v>
      </c>
      <c r="G9092">
        <f>VLOOKUP(B9092,'SINAPI-%MO'!B:E,4,0)</f>
        <v>4.5600000000000002E-2</v>
      </c>
      <c r="H9092" s="225">
        <f t="shared" si="141"/>
        <v>251.58</v>
      </c>
    </row>
    <row r="9093" spans="1:8" x14ac:dyDescent="0.3">
      <c r="A9093" s="400"/>
      <c r="B9093" s="709">
        <v>101839</v>
      </c>
      <c r="C9093" s="710" t="s">
        <v>7509</v>
      </c>
      <c r="D9093" s="709" t="s">
        <v>170</v>
      </c>
      <c r="E9093" s="716">
        <v>158.06</v>
      </c>
      <c r="F9093" s="717">
        <v>4.4299999999999999E-2</v>
      </c>
      <c r="G9093">
        <f>VLOOKUP(B9093,'SINAPI-%MO'!B:E,4,0)</f>
        <v>7.5899999999999995E-2</v>
      </c>
      <c r="H9093" s="225">
        <f t="shared" si="141"/>
        <v>146.06</v>
      </c>
    </row>
    <row r="9094" spans="1:8" x14ac:dyDescent="0.3">
      <c r="A9094" s="400"/>
      <c r="B9094" s="709">
        <v>101840</v>
      </c>
      <c r="C9094" s="710" t="s">
        <v>7510</v>
      </c>
      <c r="D9094" s="709" t="s">
        <v>170</v>
      </c>
      <c r="E9094" s="716">
        <v>249.86</v>
      </c>
      <c r="F9094" s="717">
        <v>2.8000000000000001E-2</v>
      </c>
      <c r="G9094">
        <f>VLOOKUP(B9094,'SINAPI-%MO'!B:E,4,0)</f>
        <v>0.15140000000000001</v>
      </c>
      <c r="H9094" s="225">
        <f t="shared" si="141"/>
        <v>212.03</v>
      </c>
    </row>
    <row r="9095" spans="1:8" x14ac:dyDescent="0.3">
      <c r="A9095" s="400"/>
      <c r="B9095" s="709">
        <v>101837</v>
      </c>
      <c r="C9095" s="710" t="s">
        <v>7511</v>
      </c>
      <c r="D9095" s="709" t="s">
        <v>170</v>
      </c>
      <c r="E9095" s="716">
        <v>74</v>
      </c>
      <c r="F9095" s="717">
        <v>9.4600000000000004E-2</v>
      </c>
      <c r="G9095">
        <f>VLOOKUP(B9095,'SINAPI-%MO'!B:E,4,0)</f>
        <v>0.1623</v>
      </c>
      <c r="H9095" s="225">
        <f t="shared" si="141"/>
        <v>61.98</v>
      </c>
    </row>
    <row r="9096" spans="1:8" x14ac:dyDescent="0.3">
      <c r="A9096" s="400"/>
      <c r="B9096" s="709">
        <v>101838</v>
      </c>
      <c r="C9096" s="710" t="s">
        <v>7512</v>
      </c>
      <c r="D9096" s="709" t="s">
        <v>170</v>
      </c>
      <c r="E9096" s="716">
        <v>116.61</v>
      </c>
      <c r="F9096" s="717">
        <v>0.06</v>
      </c>
      <c r="G9096">
        <f>VLOOKUP(B9096,'SINAPI-%MO'!B:E,4,0)</f>
        <v>0.10299999999999999</v>
      </c>
      <c r="H9096" s="225">
        <f t="shared" si="141"/>
        <v>104.59</v>
      </c>
    </row>
    <row r="9097" spans="1:8" x14ac:dyDescent="0.3">
      <c r="A9097" s="400"/>
      <c r="B9097" s="709">
        <v>101836</v>
      </c>
      <c r="C9097" s="710" t="s">
        <v>7513</v>
      </c>
      <c r="D9097" s="709" t="s">
        <v>170</v>
      </c>
      <c r="E9097" s="716">
        <v>28.24</v>
      </c>
      <c r="F9097" s="717">
        <v>0.24790000000000001</v>
      </c>
      <c r="G9097">
        <f>VLOOKUP(B9097,'SINAPI-%MO'!B:E,4,0)</f>
        <v>0.42530000000000001</v>
      </c>
      <c r="H9097" s="225">
        <f t="shared" si="141"/>
        <v>16.22</v>
      </c>
    </row>
    <row r="9098" spans="1:8" x14ac:dyDescent="0.3">
      <c r="A9098" s="400"/>
      <c r="B9098" s="709">
        <v>101835</v>
      </c>
      <c r="C9098" s="710" t="s">
        <v>7514</v>
      </c>
      <c r="D9098" s="709" t="s">
        <v>170</v>
      </c>
      <c r="E9098" s="716">
        <v>314.45999999999998</v>
      </c>
      <c r="F9098" s="717">
        <v>5.8999999999999999E-3</v>
      </c>
      <c r="G9098">
        <f>VLOOKUP(B9098,'SINAPI-%MO'!B:E,4,0)</f>
        <v>0.47770000000000001</v>
      </c>
      <c r="H9098" s="225">
        <f t="shared" si="141"/>
        <v>164.24</v>
      </c>
    </row>
    <row r="9099" spans="1:8" x14ac:dyDescent="0.3">
      <c r="A9099" s="400"/>
      <c r="B9099" s="709">
        <v>101827</v>
      </c>
      <c r="C9099" s="710" t="s">
        <v>7515</v>
      </c>
      <c r="D9099" s="709" t="s">
        <v>170</v>
      </c>
      <c r="E9099" s="716">
        <v>233.12</v>
      </c>
      <c r="F9099" s="717">
        <v>0</v>
      </c>
      <c r="G9099">
        <f>VLOOKUP(B9099,'SINAPI-%MO'!B:E,4,0)</f>
        <v>0.62590000000000001</v>
      </c>
      <c r="H9099" s="225">
        <f t="shared" ref="H9099:H9162" si="142">IF(E9099&gt;0,TRUNC(E9099*(1-G9099),2),"")</f>
        <v>87.21</v>
      </c>
    </row>
    <row r="9100" spans="1:8" x14ac:dyDescent="0.3">
      <c r="A9100" s="400"/>
      <c r="B9100" s="709">
        <v>101829</v>
      </c>
      <c r="C9100" s="710" t="s">
        <v>7516</v>
      </c>
      <c r="D9100" s="709" t="s">
        <v>170</v>
      </c>
      <c r="E9100" s="716">
        <v>318.12</v>
      </c>
      <c r="F9100" s="717">
        <v>0</v>
      </c>
      <c r="G9100">
        <f>VLOOKUP(B9100,'SINAPI-%MO'!B:E,4,0)</f>
        <v>0.4587</v>
      </c>
      <c r="H9100" s="225">
        <f t="shared" si="142"/>
        <v>172.19</v>
      </c>
    </row>
    <row r="9101" spans="1:8" x14ac:dyDescent="0.3">
      <c r="A9101" s="400"/>
      <c r="B9101" s="709">
        <v>101830</v>
      </c>
      <c r="C9101" s="710" t="s">
        <v>7517</v>
      </c>
      <c r="D9101" s="709" t="s">
        <v>170</v>
      </c>
      <c r="E9101" s="716">
        <v>357.89</v>
      </c>
      <c r="F9101" s="717">
        <v>0</v>
      </c>
      <c r="G9101">
        <f>VLOOKUP(B9101,'SINAPI-%MO'!B:E,4,0)</f>
        <v>0.40770000000000001</v>
      </c>
      <c r="H9101" s="225">
        <f t="shared" si="142"/>
        <v>211.97</v>
      </c>
    </row>
    <row r="9102" spans="1:8" x14ac:dyDescent="0.3">
      <c r="A9102" s="400"/>
      <c r="B9102" s="709">
        <v>101831</v>
      </c>
      <c r="C9102" s="710" t="s">
        <v>7518</v>
      </c>
      <c r="D9102" s="709" t="s">
        <v>170</v>
      </c>
      <c r="E9102" s="716">
        <v>397.11</v>
      </c>
      <c r="F9102" s="717">
        <v>0</v>
      </c>
      <c r="G9102">
        <f>VLOOKUP(B9102,'SINAPI-%MO'!B:E,4,0)</f>
        <v>0.3674</v>
      </c>
      <c r="H9102" s="225">
        <f t="shared" si="142"/>
        <v>251.21</v>
      </c>
    </row>
    <row r="9103" spans="1:8" x14ac:dyDescent="0.3">
      <c r="A9103" s="400"/>
      <c r="B9103" s="709">
        <v>101828</v>
      </c>
      <c r="C9103" s="710" t="s">
        <v>7519</v>
      </c>
      <c r="D9103" s="709" t="s">
        <v>170</v>
      </c>
      <c r="E9103" s="716">
        <v>219.07</v>
      </c>
      <c r="F9103" s="717">
        <v>0</v>
      </c>
      <c r="G9103">
        <f>VLOOKUP(B9103,'SINAPI-%MO'!B:E,4,0)</f>
        <v>0.66600000000000004</v>
      </c>
      <c r="H9103" s="225">
        <f t="shared" si="142"/>
        <v>73.16</v>
      </c>
    </row>
    <row r="9104" spans="1:8" x14ac:dyDescent="0.3">
      <c r="A9104" s="400"/>
      <c r="B9104" s="709">
        <v>101832</v>
      </c>
      <c r="C9104" s="710" t="s">
        <v>7520</v>
      </c>
      <c r="D9104" s="709" t="s">
        <v>170</v>
      </c>
      <c r="E9104" s="716">
        <v>304.63</v>
      </c>
      <c r="F9104" s="717">
        <v>0</v>
      </c>
      <c r="G9104">
        <f>VLOOKUP(B9104,'SINAPI-%MO'!B:E,4,0)</f>
        <v>0.47899999999999998</v>
      </c>
      <c r="H9104" s="225">
        <f t="shared" si="142"/>
        <v>158.71</v>
      </c>
    </row>
    <row r="9105" spans="1:8" x14ac:dyDescent="0.3">
      <c r="A9105" s="400"/>
      <c r="B9105" s="709">
        <v>101833</v>
      </c>
      <c r="C9105" s="710" t="s">
        <v>7521</v>
      </c>
      <c r="D9105" s="709" t="s">
        <v>170</v>
      </c>
      <c r="E9105" s="716">
        <v>344.68</v>
      </c>
      <c r="F9105" s="717">
        <v>0</v>
      </c>
      <c r="G9105">
        <f>VLOOKUP(B9105,'SINAPI-%MO'!B:E,4,0)</f>
        <v>0.42330000000000001</v>
      </c>
      <c r="H9105" s="225">
        <f t="shared" si="142"/>
        <v>198.77</v>
      </c>
    </row>
    <row r="9106" spans="1:8" x14ac:dyDescent="0.3">
      <c r="A9106" s="400"/>
      <c r="B9106" s="709">
        <v>101834</v>
      </c>
      <c r="C9106" s="710" t="s">
        <v>7522</v>
      </c>
      <c r="D9106" s="709" t="s">
        <v>170</v>
      </c>
      <c r="E9106" s="716">
        <v>384.19</v>
      </c>
      <c r="F9106" s="717">
        <v>0</v>
      </c>
      <c r="G9106">
        <f>VLOOKUP(B9106,'SINAPI-%MO'!B:E,4,0)</f>
        <v>0.37980000000000003</v>
      </c>
      <c r="H9106" s="225">
        <f t="shared" si="142"/>
        <v>238.27</v>
      </c>
    </row>
    <row r="9107" spans="1:8" x14ac:dyDescent="0.3">
      <c r="A9107" s="400"/>
      <c r="B9107" s="709">
        <v>101825</v>
      </c>
      <c r="C9107" s="710" t="s">
        <v>7523</v>
      </c>
      <c r="D9107" s="709" t="s">
        <v>170</v>
      </c>
      <c r="E9107" s="716">
        <v>278.64999999999998</v>
      </c>
      <c r="F9107" s="717">
        <v>0</v>
      </c>
      <c r="G9107">
        <f>VLOOKUP(B9107,'SINAPI-%MO'!B:E,4,0)</f>
        <v>0.52359999999999995</v>
      </c>
      <c r="H9107" s="225">
        <f t="shared" si="142"/>
        <v>132.74</v>
      </c>
    </row>
    <row r="9108" spans="1:8" x14ac:dyDescent="0.3">
      <c r="A9108" s="400"/>
      <c r="B9108" s="709">
        <v>101826</v>
      </c>
      <c r="C9108" s="710" t="s">
        <v>7524</v>
      </c>
      <c r="D9108" s="709" t="s">
        <v>170</v>
      </c>
      <c r="E9108" s="716">
        <v>319.56</v>
      </c>
      <c r="F9108" s="717">
        <v>0</v>
      </c>
      <c r="G9108">
        <f>VLOOKUP(B9108,'SINAPI-%MO'!B:E,4,0)</f>
        <v>0.45660000000000001</v>
      </c>
      <c r="H9108" s="225">
        <f t="shared" si="142"/>
        <v>173.64</v>
      </c>
    </row>
    <row r="9109" spans="1:8" x14ac:dyDescent="0.3">
      <c r="A9109" s="400"/>
      <c r="B9109" s="709">
        <v>101823</v>
      </c>
      <c r="C9109" s="710" t="s">
        <v>7525</v>
      </c>
      <c r="D9109" s="709" t="s">
        <v>170</v>
      </c>
      <c r="E9109" s="716">
        <v>194.58</v>
      </c>
      <c r="F9109" s="717">
        <v>0</v>
      </c>
      <c r="G9109">
        <f>VLOOKUP(B9109,'SINAPI-%MO'!B:E,4,0)</f>
        <v>0.74990000000000001</v>
      </c>
      <c r="H9109" s="225">
        <f t="shared" si="142"/>
        <v>48.66</v>
      </c>
    </row>
    <row r="9110" spans="1:8" x14ac:dyDescent="0.3">
      <c r="A9110" s="400"/>
      <c r="B9110" s="709">
        <v>101824</v>
      </c>
      <c r="C9110" s="710" t="s">
        <v>7526</v>
      </c>
      <c r="D9110" s="709" t="s">
        <v>170</v>
      </c>
      <c r="E9110" s="716">
        <v>237.19</v>
      </c>
      <c r="F9110" s="717">
        <v>0</v>
      </c>
      <c r="G9110">
        <f>VLOOKUP(B9110,'SINAPI-%MO'!B:E,4,0)</f>
        <v>0.61519999999999997</v>
      </c>
      <c r="H9110" s="225">
        <f t="shared" si="142"/>
        <v>91.27</v>
      </c>
    </row>
    <row r="9111" spans="1:8" x14ac:dyDescent="0.3">
      <c r="A9111" s="400"/>
      <c r="B9111" s="709">
        <v>101822</v>
      </c>
      <c r="C9111" s="710" t="s">
        <v>7527</v>
      </c>
      <c r="D9111" s="709" t="s">
        <v>170</v>
      </c>
      <c r="E9111" s="716">
        <v>148.82</v>
      </c>
      <c r="F9111" s="717">
        <v>0</v>
      </c>
      <c r="G9111">
        <f>VLOOKUP(B9111,'SINAPI-%MO'!B:E,4,0)</f>
        <v>0.98040000000000005</v>
      </c>
      <c r="H9111" s="225">
        <f t="shared" si="142"/>
        <v>2.91</v>
      </c>
    </row>
    <row r="9112" spans="1:8" x14ac:dyDescent="0.3">
      <c r="A9112" s="400"/>
      <c r="B9112" s="709">
        <v>101819</v>
      </c>
      <c r="C9112" s="710" t="s">
        <v>7528</v>
      </c>
      <c r="D9112" s="709" t="s">
        <v>168</v>
      </c>
      <c r="E9112" s="716">
        <v>75.63</v>
      </c>
      <c r="F9112" s="717">
        <v>0</v>
      </c>
      <c r="G9112">
        <f>VLOOKUP(B9112,'SINAPI-%MO'!B:E,4,0)</f>
        <v>0.68759999999999999</v>
      </c>
      <c r="H9112" s="225">
        <f t="shared" si="142"/>
        <v>23.62</v>
      </c>
    </row>
    <row r="9113" spans="1:8" x14ac:dyDescent="0.3">
      <c r="A9113" s="400"/>
      <c r="B9113" s="709">
        <v>104370</v>
      </c>
      <c r="C9113" s="710" t="s">
        <v>7529</v>
      </c>
      <c r="D9113" s="709" t="s">
        <v>168</v>
      </c>
      <c r="E9113" s="716">
        <v>0</v>
      </c>
      <c r="F9113" s="717"/>
      <c r="G9113" t="e">
        <f>VLOOKUP(B9113,'SINAPI-%MO'!B:E,4,0)</f>
        <v>#N/A</v>
      </c>
      <c r="H9113" s="225" t="str">
        <f t="shared" si="142"/>
        <v/>
      </c>
    </row>
    <row r="9114" spans="1:8" x14ac:dyDescent="0.3">
      <c r="A9114" s="400"/>
      <c r="B9114" s="709">
        <v>101817</v>
      </c>
      <c r="C9114" s="710" t="s">
        <v>7530</v>
      </c>
      <c r="D9114" s="709" t="s">
        <v>168</v>
      </c>
      <c r="E9114" s="716">
        <v>57.79</v>
      </c>
      <c r="F9114" s="717">
        <v>0</v>
      </c>
      <c r="G9114">
        <f>VLOOKUP(B9114,'SINAPI-%MO'!B:E,4,0)</f>
        <v>0.75829999999999997</v>
      </c>
      <c r="H9114" s="225">
        <f t="shared" si="142"/>
        <v>13.96</v>
      </c>
    </row>
    <row r="9115" spans="1:8" x14ac:dyDescent="0.3">
      <c r="A9115" s="400"/>
      <c r="B9115" s="709">
        <v>101816</v>
      </c>
      <c r="C9115" s="710" t="s">
        <v>7531</v>
      </c>
      <c r="D9115" s="709" t="s">
        <v>168</v>
      </c>
      <c r="E9115" s="716">
        <v>84.54</v>
      </c>
      <c r="F9115" s="717">
        <v>0</v>
      </c>
      <c r="G9115">
        <f>VLOOKUP(B9115,'SINAPI-%MO'!B:E,4,0)</f>
        <v>0.56279999999999997</v>
      </c>
      <c r="H9115" s="225">
        <f t="shared" si="142"/>
        <v>36.96</v>
      </c>
    </row>
    <row r="9116" spans="1:8" x14ac:dyDescent="0.3">
      <c r="A9116" s="400"/>
      <c r="B9116" s="709">
        <v>104369</v>
      </c>
      <c r="C9116" s="710" t="s">
        <v>7532</v>
      </c>
      <c r="D9116" s="709" t="s">
        <v>168</v>
      </c>
      <c r="E9116" s="716">
        <v>0</v>
      </c>
      <c r="F9116" s="717"/>
      <c r="G9116" t="e">
        <f>VLOOKUP(B9116,'SINAPI-%MO'!B:E,4,0)</f>
        <v>#N/A</v>
      </c>
      <c r="H9116" s="225" t="str">
        <f t="shared" si="142"/>
        <v/>
      </c>
    </row>
    <row r="9117" spans="1:8" x14ac:dyDescent="0.3">
      <c r="A9117" s="400"/>
      <c r="B9117" s="709">
        <v>101820</v>
      </c>
      <c r="C9117" s="710" t="s">
        <v>7533</v>
      </c>
      <c r="D9117" s="709" t="s">
        <v>168</v>
      </c>
      <c r="E9117" s="716">
        <v>48.54</v>
      </c>
      <c r="F9117" s="717">
        <v>0</v>
      </c>
      <c r="G9117">
        <f>VLOOKUP(B9117,'SINAPI-%MO'!B:E,4,0)</f>
        <v>0.86419999999999997</v>
      </c>
      <c r="H9117" s="225">
        <f t="shared" si="142"/>
        <v>6.59</v>
      </c>
    </row>
    <row r="9118" spans="1:8" x14ac:dyDescent="0.3">
      <c r="A9118" s="400"/>
      <c r="B9118" s="709">
        <v>102988</v>
      </c>
      <c r="C9118" s="710" t="s">
        <v>7534</v>
      </c>
      <c r="D9118" s="709" t="s">
        <v>168</v>
      </c>
      <c r="E9118" s="716">
        <v>65.180000000000007</v>
      </c>
      <c r="F9118" s="717">
        <v>0</v>
      </c>
      <c r="G9118">
        <f>VLOOKUP(B9118,'SINAPI-%MO'!B:E,4,0)</f>
        <v>0.89670000000000005</v>
      </c>
      <c r="H9118" s="225">
        <f t="shared" si="142"/>
        <v>6.73</v>
      </c>
    </row>
    <row r="9119" spans="1:8" x14ac:dyDescent="0.3">
      <c r="A9119" s="400"/>
      <c r="B9119" s="709">
        <v>101814</v>
      </c>
      <c r="C9119" s="710" t="s">
        <v>7535</v>
      </c>
      <c r="D9119" s="709" t="s">
        <v>168</v>
      </c>
      <c r="E9119" s="716">
        <v>52.19</v>
      </c>
      <c r="F9119" s="717">
        <v>0</v>
      </c>
      <c r="G9119">
        <f>VLOOKUP(B9119,'SINAPI-%MO'!B:E,4,0)</f>
        <v>0.68979999999999997</v>
      </c>
      <c r="H9119" s="225">
        <f t="shared" si="142"/>
        <v>16.18</v>
      </c>
    </row>
    <row r="9120" spans="1:8" x14ac:dyDescent="0.3">
      <c r="A9120" s="400"/>
      <c r="B9120" s="709">
        <v>102098</v>
      </c>
      <c r="C9120" s="710" t="s">
        <v>7536</v>
      </c>
      <c r="D9120" s="709" t="s">
        <v>170</v>
      </c>
      <c r="E9120" s="716">
        <v>2805.67</v>
      </c>
      <c r="F9120" s="717">
        <v>1.5100000000000001E-2</v>
      </c>
      <c r="G9120">
        <f>VLOOKUP(B9120,'SINAPI-%MO'!B:E,4,0)</f>
        <v>0.1208</v>
      </c>
      <c r="H9120" s="225">
        <f t="shared" si="142"/>
        <v>2466.7399999999998</v>
      </c>
    </row>
    <row r="9121" spans="1:8" x14ac:dyDescent="0.3">
      <c r="A9121" s="400"/>
      <c r="B9121" s="709">
        <v>104366</v>
      </c>
      <c r="C9121" s="710" t="s">
        <v>7537</v>
      </c>
      <c r="D9121" s="709" t="s">
        <v>170</v>
      </c>
      <c r="E9121" s="716">
        <v>0</v>
      </c>
      <c r="F9121" s="717"/>
      <c r="G9121" t="e">
        <f>VLOOKUP(B9121,'SINAPI-%MO'!B:E,4,0)</f>
        <v>#N/A</v>
      </c>
      <c r="H9121" s="225" t="str">
        <f t="shared" si="142"/>
        <v/>
      </c>
    </row>
    <row r="9122" spans="1:8" x14ac:dyDescent="0.3">
      <c r="A9122" s="400"/>
      <c r="B9122" s="709">
        <v>102099</v>
      </c>
      <c r="C9122" s="710" t="s">
        <v>7538</v>
      </c>
      <c r="D9122" s="709" t="s">
        <v>170</v>
      </c>
      <c r="E9122" s="716">
        <v>0</v>
      </c>
      <c r="F9122" s="717"/>
      <c r="G9122" t="e">
        <f>VLOOKUP(B9122,'SINAPI-%MO'!B:E,4,0)</f>
        <v>#N/A</v>
      </c>
      <c r="H9122" s="225" t="str">
        <f t="shared" si="142"/>
        <v/>
      </c>
    </row>
    <row r="9123" spans="1:8" x14ac:dyDescent="0.3">
      <c r="A9123" s="400"/>
      <c r="B9123" s="709">
        <v>104367</v>
      </c>
      <c r="C9123" s="710" t="s">
        <v>7539</v>
      </c>
      <c r="D9123" s="709" t="s">
        <v>170</v>
      </c>
      <c r="E9123" s="716">
        <v>0</v>
      </c>
      <c r="F9123" s="717"/>
      <c r="G9123" t="e">
        <f>VLOOKUP(B9123,'SINAPI-%MO'!B:E,4,0)</f>
        <v>#N/A</v>
      </c>
      <c r="H9123" s="225" t="str">
        <f t="shared" si="142"/>
        <v/>
      </c>
    </row>
    <row r="9124" spans="1:8" x14ac:dyDescent="0.3">
      <c r="A9124" s="400"/>
      <c r="B9124" s="709">
        <v>92994</v>
      </c>
      <c r="C9124" s="710" t="s">
        <v>7540</v>
      </c>
      <c r="D9124" s="709" t="s">
        <v>159</v>
      </c>
      <c r="E9124" s="716">
        <v>149.13999999999999</v>
      </c>
      <c r="F9124" s="717">
        <v>0</v>
      </c>
      <c r="G9124">
        <f>VLOOKUP(B9124,'SINAPI-%MO'!B:E,4,0)</f>
        <v>5.8000000000000003E-2</v>
      </c>
      <c r="H9124" s="225">
        <f t="shared" si="142"/>
        <v>140.47999999999999</v>
      </c>
    </row>
    <row r="9125" spans="1:8" x14ac:dyDescent="0.3">
      <c r="A9125" s="400"/>
      <c r="B9125" s="709">
        <v>92996</v>
      </c>
      <c r="C9125" s="710" t="s">
        <v>7541</v>
      </c>
      <c r="D9125" s="709" t="s">
        <v>159</v>
      </c>
      <c r="E9125" s="716">
        <v>180.42</v>
      </c>
      <c r="F9125" s="717">
        <v>0</v>
      </c>
      <c r="G9125">
        <f>VLOOKUP(B9125,'SINAPI-%MO'!B:E,4,0)</f>
        <v>5.67E-2</v>
      </c>
      <c r="H9125" s="225">
        <f t="shared" si="142"/>
        <v>170.19</v>
      </c>
    </row>
    <row r="9126" spans="1:8" x14ac:dyDescent="0.3">
      <c r="A9126" s="400"/>
      <c r="B9126" s="709">
        <v>92998</v>
      </c>
      <c r="C9126" s="710" t="s">
        <v>7542</v>
      </c>
      <c r="D9126" s="709" t="s">
        <v>159</v>
      </c>
      <c r="E9126" s="716">
        <v>221.12</v>
      </c>
      <c r="F9126" s="717">
        <v>0</v>
      </c>
      <c r="G9126">
        <f>VLOOKUP(B9126,'SINAPI-%MO'!B:E,4,0)</f>
        <v>5.4600000000000003E-2</v>
      </c>
      <c r="H9126" s="225">
        <f t="shared" si="142"/>
        <v>209.04</v>
      </c>
    </row>
    <row r="9127" spans="1:8" x14ac:dyDescent="0.3">
      <c r="A9127" s="400"/>
      <c r="B9127" s="709">
        <v>93000</v>
      </c>
      <c r="C9127" s="710" t="s">
        <v>7543</v>
      </c>
      <c r="D9127" s="709" t="s">
        <v>159</v>
      </c>
      <c r="E9127" s="716">
        <v>292.77</v>
      </c>
      <c r="F9127" s="717">
        <v>0</v>
      </c>
      <c r="G9127">
        <f>VLOOKUP(B9127,'SINAPI-%MO'!B:E,4,0)</f>
        <v>5.1200000000000002E-2</v>
      </c>
      <c r="H9127" s="225">
        <f t="shared" si="142"/>
        <v>277.77999999999997</v>
      </c>
    </row>
    <row r="9128" spans="1:8" x14ac:dyDescent="0.3">
      <c r="A9128" s="400"/>
      <c r="B9128" s="709">
        <v>92984</v>
      </c>
      <c r="C9128" s="710" t="s">
        <v>7544</v>
      </c>
      <c r="D9128" s="709" t="s">
        <v>159</v>
      </c>
      <c r="E9128" s="716">
        <v>31.96</v>
      </c>
      <c r="F9128" s="717">
        <v>0</v>
      </c>
      <c r="G9128">
        <f>VLOOKUP(B9128,'SINAPI-%MO'!B:E,4,0)</f>
        <v>0.1133</v>
      </c>
      <c r="H9128" s="225">
        <f t="shared" si="142"/>
        <v>28.33</v>
      </c>
    </row>
    <row r="9129" spans="1:8" x14ac:dyDescent="0.3">
      <c r="A9129" s="400"/>
      <c r="B9129" s="709">
        <v>93002</v>
      </c>
      <c r="C9129" s="710" t="s">
        <v>7545</v>
      </c>
      <c r="D9129" s="709" t="s">
        <v>159</v>
      </c>
      <c r="E9129" s="716">
        <v>378.55</v>
      </c>
      <c r="F9129" s="717">
        <v>0</v>
      </c>
      <c r="G9129">
        <f>VLOOKUP(B9129,'SINAPI-%MO'!B:E,4,0)</f>
        <v>4.8000000000000001E-2</v>
      </c>
      <c r="H9129" s="225">
        <f t="shared" si="142"/>
        <v>360.37</v>
      </c>
    </row>
    <row r="9130" spans="1:8" x14ac:dyDescent="0.3">
      <c r="A9130" s="400"/>
      <c r="B9130" s="709">
        <v>92986</v>
      </c>
      <c r="C9130" s="710" t="s">
        <v>7546</v>
      </c>
      <c r="D9130" s="709" t="s">
        <v>159</v>
      </c>
      <c r="E9130" s="716">
        <v>44.18</v>
      </c>
      <c r="F9130" s="717">
        <v>0</v>
      </c>
      <c r="G9130">
        <f>VLOOKUP(B9130,'SINAPI-%MO'!B:E,4,0)</f>
        <v>9.3899999999999997E-2</v>
      </c>
      <c r="H9130" s="225">
        <f t="shared" si="142"/>
        <v>40.03</v>
      </c>
    </row>
    <row r="9131" spans="1:8" x14ac:dyDescent="0.3">
      <c r="A9131" s="400"/>
      <c r="B9131" s="709">
        <v>92988</v>
      </c>
      <c r="C9131" s="710" t="s">
        <v>7547</v>
      </c>
      <c r="D9131" s="709" t="s">
        <v>159</v>
      </c>
      <c r="E9131" s="716">
        <v>64.12</v>
      </c>
      <c r="F9131" s="717">
        <v>0</v>
      </c>
      <c r="G9131">
        <f>VLOOKUP(B9131,'SINAPI-%MO'!B:E,4,0)</f>
        <v>7.7200000000000005E-2</v>
      </c>
      <c r="H9131" s="225">
        <f t="shared" si="142"/>
        <v>59.16</v>
      </c>
    </row>
    <row r="9132" spans="1:8" x14ac:dyDescent="0.3">
      <c r="A9132" s="400"/>
      <c r="B9132" s="709">
        <v>92990</v>
      </c>
      <c r="C9132" s="710" t="s">
        <v>7548</v>
      </c>
      <c r="D9132" s="709" t="s">
        <v>159</v>
      </c>
      <c r="E9132" s="716">
        <v>88.77</v>
      </c>
      <c r="F9132" s="717">
        <v>0</v>
      </c>
      <c r="G9132">
        <f>VLOOKUP(B9132,'SINAPI-%MO'!B:E,4,0)</f>
        <v>6.7699999999999996E-2</v>
      </c>
      <c r="H9132" s="225">
        <f t="shared" si="142"/>
        <v>82.76</v>
      </c>
    </row>
    <row r="9133" spans="1:8" x14ac:dyDescent="0.3">
      <c r="A9133" s="400"/>
      <c r="B9133" s="709">
        <v>92992</v>
      </c>
      <c r="C9133" s="710" t="s">
        <v>7549</v>
      </c>
      <c r="D9133" s="709" t="s">
        <v>159</v>
      </c>
      <c r="E9133" s="716">
        <v>114.76</v>
      </c>
      <c r="F9133" s="717">
        <v>0</v>
      </c>
      <c r="G9133">
        <f>VLOOKUP(B9133,'SINAPI-%MO'!B:E,4,0)</f>
        <v>6.3799999999999996E-2</v>
      </c>
      <c r="H9133" s="225">
        <f t="shared" si="142"/>
        <v>107.43</v>
      </c>
    </row>
    <row r="9134" spans="1:8" x14ac:dyDescent="0.3">
      <c r="A9134" s="400"/>
      <c r="B9134" s="709">
        <v>103491</v>
      </c>
      <c r="C9134" s="710" t="s">
        <v>7550</v>
      </c>
      <c r="D9134" s="709" t="s">
        <v>170</v>
      </c>
      <c r="E9134" s="716">
        <v>669.5</v>
      </c>
      <c r="F9134" s="717">
        <v>0</v>
      </c>
      <c r="G9134">
        <f>VLOOKUP(B9134,'SINAPI-%MO'!B:E,4,0)</f>
        <v>0.4768</v>
      </c>
      <c r="H9134" s="225">
        <f t="shared" si="142"/>
        <v>350.28</v>
      </c>
    </row>
    <row r="9135" spans="1:8" x14ac:dyDescent="0.3">
      <c r="A9135" s="400"/>
      <c r="B9135" s="709">
        <v>93026</v>
      </c>
      <c r="C9135" s="710" t="s">
        <v>7551</v>
      </c>
      <c r="D9135" s="709" t="s">
        <v>136</v>
      </c>
      <c r="E9135" s="716">
        <v>99.21</v>
      </c>
      <c r="F9135" s="717">
        <v>0</v>
      </c>
      <c r="G9135">
        <f>VLOOKUP(B9135,'SINAPI-%MO'!B:E,4,0)</f>
        <v>0.38469999999999999</v>
      </c>
      <c r="H9135" s="225">
        <f t="shared" si="142"/>
        <v>61.04</v>
      </c>
    </row>
    <row r="9136" spans="1:8" x14ac:dyDescent="0.3">
      <c r="A9136" s="400"/>
      <c r="B9136" s="709">
        <v>93018</v>
      </c>
      <c r="C9136" s="710" t="s">
        <v>7552</v>
      </c>
      <c r="D9136" s="709" t="s">
        <v>136</v>
      </c>
      <c r="E9136" s="716">
        <v>27.41</v>
      </c>
      <c r="F9136" s="717">
        <v>0</v>
      </c>
      <c r="G9136">
        <f>VLOOKUP(B9136,'SINAPI-%MO'!B:E,4,0)</f>
        <v>0.7329</v>
      </c>
      <c r="H9136" s="225">
        <f t="shared" si="142"/>
        <v>7.32</v>
      </c>
    </row>
    <row r="9137" spans="1:8" x14ac:dyDescent="0.3">
      <c r="A9137" s="400"/>
      <c r="B9137" s="709">
        <v>93020</v>
      </c>
      <c r="C9137" s="710" t="s">
        <v>7553</v>
      </c>
      <c r="D9137" s="709" t="s">
        <v>136</v>
      </c>
      <c r="E9137" s="716">
        <v>34.99</v>
      </c>
      <c r="F9137" s="717">
        <v>0</v>
      </c>
      <c r="G9137">
        <f>VLOOKUP(B9137,'SINAPI-%MO'!B:E,4,0)</f>
        <v>0.66020000000000001</v>
      </c>
      <c r="H9137" s="225">
        <f t="shared" si="142"/>
        <v>11.88</v>
      </c>
    </row>
    <row r="9138" spans="1:8" x14ac:dyDescent="0.3">
      <c r="A9138" s="400"/>
      <c r="B9138" s="709">
        <v>93022</v>
      </c>
      <c r="C9138" s="710" t="s">
        <v>7554</v>
      </c>
      <c r="D9138" s="709" t="s">
        <v>136</v>
      </c>
      <c r="E9138" s="716">
        <v>57.96</v>
      </c>
      <c r="F9138" s="717">
        <v>0</v>
      </c>
      <c r="G9138">
        <f>VLOOKUP(B9138,'SINAPI-%MO'!B:E,4,0)</f>
        <v>0.47649999999999998</v>
      </c>
      <c r="H9138" s="225">
        <f t="shared" si="142"/>
        <v>30.34</v>
      </c>
    </row>
    <row r="9139" spans="1:8" x14ac:dyDescent="0.3">
      <c r="A9139" s="400"/>
      <c r="B9139" s="709">
        <v>93024</v>
      </c>
      <c r="C9139" s="710" t="s">
        <v>7555</v>
      </c>
      <c r="D9139" s="709" t="s">
        <v>136</v>
      </c>
      <c r="E9139" s="716">
        <v>61.02</v>
      </c>
      <c r="F9139" s="717">
        <v>0</v>
      </c>
      <c r="G9139">
        <f>VLOOKUP(B9139,'SINAPI-%MO'!B:E,4,0)</f>
        <v>0.50209999999999999</v>
      </c>
      <c r="H9139" s="225">
        <f t="shared" si="142"/>
        <v>30.38</v>
      </c>
    </row>
    <row r="9140" spans="1:8" x14ac:dyDescent="0.3">
      <c r="A9140" s="400"/>
      <c r="B9140" s="709">
        <v>97670</v>
      </c>
      <c r="C9140" s="710" t="s">
        <v>7556</v>
      </c>
      <c r="D9140" s="709" t="s">
        <v>159</v>
      </c>
      <c r="E9140" s="716">
        <v>31.64</v>
      </c>
      <c r="F9140" s="717">
        <v>0</v>
      </c>
      <c r="G9140">
        <f>VLOOKUP(B9140,'SINAPI-%MO'!B:E,4,0)</f>
        <v>0.3246</v>
      </c>
      <c r="H9140" s="225">
        <f t="shared" si="142"/>
        <v>21.36</v>
      </c>
    </row>
    <row r="9141" spans="1:8" x14ac:dyDescent="0.3">
      <c r="A9141" s="400"/>
      <c r="B9141" s="709">
        <v>103486</v>
      </c>
      <c r="C9141" s="710" t="s">
        <v>7557</v>
      </c>
      <c r="D9141" s="709" t="s">
        <v>159</v>
      </c>
      <c r="E9141" s="716">
        <v>0</v>
      </c>
      <c r="F9141" s="717"/>
      <c r="G9141" t="e">
        <f>VLOOKUP(B9141,'SINAPI-%MO'!B:E,4,0)</f>
        <v>#N/A</v>
      </c>
      <c r="H9141" s="225" t="str">
        <f t="shared" si="142"/>
        <v/>
      </c>
    </row>
    <row r="9142" spans="1:8" x14ac:dyDescent="0.3">
      <c r="A9142" s="400"/>
      <c r="B9142" s="709">
        <v>103487</v>
      </c>
      <c r="C9142" s="710" t="s">
        <v>7558</v>
      </c>
      <c r="D9142" s="709" t="s">
        <v>159</v>
      </c>
      <c r="E9142" s="716">
        <v>0</v>
      </c>
      <c r="F9142" s="717"/>
      <c r="G9142" t="e">
        <f>VLOOKUP(B9142,'SINAPI-%MO'!B:E,4,0)</f>
        <v>#N/A</v>
      </c>
      <c r="H9142" s="225" t="str">
        <f t="shared" si="142"/>
        <v/>
      </c>
    </row>
    <row r="9143" spans="1:8" x14ac:dyDescent="0.3">
      <c r="A9143" s="400"/>
      <c r="B9143" s="709">
        <v>103488</v>
      </c>
      <c r="C9143" s="710" t="s">
        <v>7559</v>
      </c>
      <c r="D9143" s="709" t="s">
        <v>159</v>
      </c>
      <c r="E9143" s="716">
        <v>0</v>
      </c>
      <c r="F9143" s="717"/>
      <c r="G9143" t="e">
        <f>VLOOKUP(B9143,'SINAPI-%MO'!B:E,4,0)</f>
        <v>#N/A</v>
      </c>
      <c r="H9143" s="225" t="str">
        <f t="shared" si="142"/>
        <v/>
      </c>
    </row>
    <row r="9144" spans="1:8" x14ac:dyDescent="0.3">
      <c r="A9144" s="400"/>
      <c r="B9144" s="709">
        <v>103489</v>
      </c>
      <c r="C9144" s="710" t="s">
        <v>7560</v>
      </c>
      <c r="D9144" s="709" t="s">
        <v>159</v>
      </c>
      <c r="E9144" s="716">
        <v>0</v>
      </c>
      <c r="F9144" s="717"/>
      <c r="G9144" t="e">
        <f>VLOOKUP(B9144,'SINAPI-%MO'!B:E,4,0)</f>
        <v>#N/A</v>
      </c>
      <c r="H9144" s="225" t="str">
        <f t="shared" si="142"/>
        <v/>
      </c>
    </row>
    <row r="9145" spans="1:8" x14ac:dyDescent="0.3">
      <c r="A9145" s="400"/>
      <c r="B9145" s="709">
        <v>97667</v>
      </c>
      <c r="C9145" s="710" t="s">
        <v>7561</v>
      </c>
      <c r="D9145" s="709" t="s">
        <v>159</v>
      </c>
      <c r="E9145" s="716">
        <v>11.62</v>
      </c>
      <c r="F9145" s="717">
        <v>0</v>
      </c>
      <c r="G9145">
        <f>VLOOKUP(B9145,'SINAPI-%MO'!B:E,4,0)</f>
        <v>0.34420000000000001</v>
      </c>
      <c r="H9145" s="225">
        <f t="shared" si="142"/>
        <v>7.62</v>
      </c>
    </row>
    <row r="9146" spans="1:8" x14ac:dyDescent="0.3">
      <c r="A9146" s="400"/>
      <c r="B9146" s="709">
        <v>97668</v>
      </c>
      <c r="C9146" s="710" t="s">
        <v>7562</v>
      </c>
      <c r="D9146" s="709" t="s">
        <v>159</v>
      </c>
      <c r="E9146" s="716">
        <v>16.579999999999998</v>
      </c>
      <c r="F9146" s="717">
        <v>0</v>
      </c>
      <c r="G9146">
        <f>VLOOKUP(B9146,'SINAPI-%MO'!B:E,4,0)</f>
        <v>0.3402</v>
      </c>
      <c r="H9146" s="225">
        <f t="shared" si="142"/>
        <v>10.93</v>
      </c>
    </row>
    <row r="9147" spans="1:8" x14ac:dyDescent="0.3">
      <c r="A9147" s="400"/>
      <c r="B9147" s="709">
        <v>97669</v>
      </c>
      <c r="C9147" s="710" t="s">
        <v>7563</v>
      </c>
      <c r="D9147" s="709" t="s">
        <v>159</v>
      </c>
      <c r="E9147" s="716">
        <v>24.35</v>
      </c>
      <c r="F9147" s="717">
        <v>0</v>
      </c>
      <c r="G9147">
        <f>VLOOKUP(B9147,'SINAPI-%MO'!B:E,4,0)</f>
        <v>0.37040000000000001</v>
      </c>
      <c r="H9147" s="225">
        <f t="shared" si="142"/>
        <v>15.33</v>
      </c>
    </row>
    <row r="9148" spans="1:8" x14ac:dyDescent="0.3">
      <c r="A9148" s="400"/>
      <c r="B9148" s="709">
        <v>93012</v>
      </c>
      <c r="C9148" s="710" t="s">
        <v>7564</v>
      </c>
      <c r="D9148" s="709" t="s">
        <v>159</v>
      </c>
      <c r="E9148" s="716">
        <v>86.5</v>
      </c>
      <c r="F9148" s="717">
        <v>0</v>
      </c>
      <c r="G9148">
        <f>VLOOKUP(B9148,'SINAPI-%MO'!B:E,4,0)</f>
        <v>0.14710000000000001</v>
      </c>
      <c r="H9148" s="225">
        <f t="shared" si="142"/>
        <v>73.77</v>
      </c>
    </row>
    <row r="9149" spans="1:8" x14ac:dyDescent="0.3">
      <c r="A9149" s="400"/>
      <c r="B9149" s="709">
        <v>93008</v>
      </c>
      <c r="C9149" s="710" t="s">
        <v>7565</v>
      </c>
      <c r="D9149" s="709" t="s">
        <v>159</v>
      </c>
      <c r="E9149" s="716">
        <v>22.35</v>
      </c>
      <c r="F9149" s="717">
        <v>0</v>
      </c>
      <c r="G9149">
        <f>VLOOKUP(B9149,'SINAPI-%MO'!B:E,4,0)</f>
        <v>0.29930000000000001</v>
      </c>
      <c r="H9149" s="225">
        <f t="shared" si="142"/>
        <v>15.66</v>
      </c>
    </row>
    <row r="9150" spans="1:8" x14ac:dyDescent="0.3">
      <c r="A9150" s="400"/>
      <c r="B9150" s="709">
        <v>93009</v>
      </c>
      <c r="C9150" s="710" t="s">
        <v>7566</v>
      </c>
      <c r="D9150" s="709" t="s">
        <v>159</v>
      </c>
      <c r="E9150" s="716">
        <v>33.28</v>
      </c>
      <c r="F9150" s="717">
        <v>0</v>
      </c>
      <c r="G9150">
        <f>VLOOKUP(B9150,'SINAPI-%MO'!B:E,4,0)</f>
        <v>0.2311</v>
      </c>
      <c r="H9150" s="225">
        <f t="shared" si="142"/>
        <v>25.58</v>
      </c>
    </row>
    <row r="9151" spans="1:8" x14ac:dyDescent="0.3">
      <c r="A9151" s="400"/>
      <c r="B9151" s="709">
        <v>93010</v>
      </c>
      <c r="C9151" s="710" t="s">
        <v>7567</v>
      </c>
      <c r="D9151" s="709" t="s">
        <v>159</v>
      </c>
      <c r="E9151" s="716">
        <v>46.53</v>
      </c>
      <c r="F9151" s="717">
        <v>0</v>
      </c>
      <c r="G9151">
        <f>VLOOKUP(B9151,'SINAPI-%MO'!B:E,4,0)</f>
        <v>0.19769999999999999</v>
      </c>
      <c r="H9151" s="225">
        <f t="shared" si="142"/>
        <v>37.33</v>
      </c>
    </row>
    <row r="9152" spans="1:8" x14ac:dyDescent="0.3">
      <c r="A9152" s="400"/>
      <c r="B9152" s="709">
        <v>93011</v>
      </c>
      <c r="C9152" s="710" t="s">
        <v>7568</v>
      </c>
      <c r="D9152" s="709" t="s">
        <v>159</v>
      </c>
      <c r="E9152" s="716">
        <v>57.03</v>
      </c>
      <c r="F9152" s="717">
        <v>0</v>
      </c>
      <c r="G9152">
        <f>VLOOKUP(B9152,'SINAPI-%MO'!B:E,4,0)</f>
        <v>0.17899999999999999</v>
      </c>
      <c r="H9152" s="225">
        <f t="shared" si="142"/>
        <v>46.82</v>
      </c>
    </row>
    <row r="9153" spans="1:8" x14ac:dyDescent="0.3">
      <c r="A9153" s="400"/>
      <c r="B9153" s="709">
        <v>103492</v>
      </c>
      <c r="C9153" s="710" t="s">
        <v>7569</v>
      </c>
      <c r="D9153" s="709" t="s">
        <v>159</v>
      </c>
      <c r="E9153" s="716">
        <v>0</v>
      </c>
      <c r="F9153" s="717"/>
      <c r="G9153" t="e">
        <f>VLOOKUP(B9153,'SINAPI-%MO'!B:E,4,0)</f>
        <v>#N/A</v>
      </c>
      <c r="H9153" s="225" t="str">
        <f t="shared" si="142"/>
        <v/>
      </c>
    </row>
    <row r="9154" spans="1:8" x14ac:dyDescent="0.3">
      <c r="A9154" s="400"/>
      <c r="B9154" s="709">
        <v>93017</v>
      </c>
      <c r="C9154" s="710" t="s">
        <v>7570</v>
      </c>
      <c r="D9154" s="709" t="s">
        <v>136</v>
      </c>
      <c r="E9154" s="716">
        <v>60.13</v>
      </c>
      <c r="F9154" s="717">
        <v>0</v>
      </c>
      <c r="G9154">
        <f>VLOOKUP(B9154,'SINAPI-%MO'!B:E,4,0)</f>
        <v>0.42309999999999998</v>
      </c>
      <c r="H9154" s="225">
        <f t="shared" si="142"/>
        <v>34.68</v>
      </c>
    </row>
    <row r="9155" spans="1:8" x14ac:dyDescent="0.3">
      <c r="A9155" s="400"/>
      <c r="B9155" s="709">
        <v>93013</v>
      </c>
      <c r="C9155" s="710" t="s">
        <v>7571</v>
      </c>
      <c r="D9155" s="709" t="s">
        <v>136</v>
      </c>
      <c r="E9155" s="716">
        <v>17.96</v>
      </c>
      <c r="F9155" s="717">
        <v>0</v>
      </c>
      <c r="G9155">
        <f>VLOOKUP(B9155,'SINAPI-%MO'!B:E,4,0)</f>
        <v>0.74550000000000005</v>
      </c>
      <c r="H9155" s="225">
        <f t="shared" si="142"/>
        <v>4.57</v>
      </c>
    </row>
    <row r="9156" spans="1:8" x14ac:dyDescent="0.3">
      <c r="A9156" s="400"/>
      <c r="B9156" s="709">
        <v>93014</v>
      </c>
      <c r="C9156" s="710" t="s">
        <v>7572</v>
      </c>
      <c r="D9156" s="709" t="s">
        <v>136</v>
      </c>
      <c r="E9156" s="716">
        <v>22.01</v>
      </c>
      <c r="F9156" s="717">
        <v>0</v>
      </c>
      <c r="G9156">
        <f>VLOOKUP(B9156,'SINAPI-%MO'!B:E,4,0)</f>
        <v>0.69969999999999999</v>
      </c>
      <c r="H9156" s="225">
        <f t="shared" si="142"/>
        <v>6.6</v>
      </c>
    </row>
    <row r="9157" spans="1:8" x14ac:dyDescent="0.3">
      <c r="A9157" s="400"/>
      <c r="B9157" s="709">
        <v>93015</v>
      </c>
      <c r="C9157" s="710" t="s">
        <v>7573</v>
      </c>
      <c r="D9157" s="709" t="s">
        <v>136</v>
      </c>
      <c r="E9157" s="716">
        <v>33.11</v>
      </c>
      <c r="F9157" s="717">
        <v>0</v>
      </c>
      <c r="G9157">
        <f>VLOOKUP(B9157,'SINAPI-%MO'!B:E,4,0)</f>
        <v>0.55600000000000005</v>
      </c>
      <c r="H9157" s="225">
        <f t="shared" si="142"/>
        <v>14.7</v>
      </c>
    </row>
    <row r="9158" spans="1:8" x14ac:dyDescent="0.3">
      <c r="A9158" s="400"/>
      <c r="B9158" s="709">
        <v>93016</v>
      </c>
      <c r="C9158" s="710" t="s">
        <v>7574</v>
      </c>
      <c r="D9158" s="709" t="s">
        <v>136</v>
      </c>
      <c r="E9158" s="716">
        <v>40.17</v>
      </c>
      <c r="F9158" s="717">
        <v>0</v>
      </c>
      <c r="G9158">
        <f>VLOOKUP(B9158,'SINAPI-%MO'!B:E,4,0)</f>
        <v>0.50860000000000005</v>
      </c>
      <c r="H9158" s="225">
        <f t="shared" si="142"/>
        <v>19.73</v>
      </c>
    </row>
    <row r="9159" spans="1:8" x14ac:dyDescent="0.3">
      <c r="A9159" s="400"/>
      <c r="B9159" s="709">
        <v>103490</v>
      </c>
      <c r="C9159" s="710" t="s">
        <v>7575</v>
      </c>
      <c r="D9159" s="709" t="s">
        <v>170</v>
      </c>
      <c r="E9159" s="716">
        <v>3491.83</v>
      </c>
      <c r="F9159" s="717">
        <v>0</v>
      </c>
      <c r="G9159">
        <f>VLOOKUP(B9159,'SINAPI-%MO'!B:E,4,0)</f>
        <v>0.72119999999999995</v>
      </c>
      <c r="H9159" s="225">
        <f t="shared" si="142"/>
        <v>973.52</v>
      </c>
    </row>
    <row r="9160" spans="1:8" x14ac:dyDescent="0.3">
      <c r="A9160" s="400"/>
      <c r="B9160" s="709">
        <v>106082</v>
      </c>
      <c r="C9160" s="710" t="s">
        <v>7576</v>
      </c>
      <c r="D9160" s="709" t="s">
        <v>136</v>
      </c>
      <c r="E9160" s="716">
        <v>17.84</v>
      </c>
      <c r="F9160" s="717">
        <v>0</v>
      </c>
      <c r="G9160">
        <f>VLOOKUP(B9160,'SINAPI-%MO'!B:E,4,0)</f>
        <v>0.54990000000000006</v>
      </c>
      <c r="H9160" s="225">
        <f t="shared" si="142"/>
        <v>8.02</v>
      </c>
    </row>
    <row r="9161" spans="1:8" x14ac:dyDescent="0.3">
      <c r="A9161" s="400"/>
      <c r="B9161" s="709">
        <v>98306</v>
      </c>
      <c r="C9161" s="710" t="s">
        <v>7577</v>
      </c>
      <c r="D9161" s="709" t="s">
        <v>136</v>
      </c>
      <c r="E9161" s="716">
        <v>64.540000000000006</v>
      </c>
      <c r="F9161" s="717">
        <v>0</v>
      </c>
      <c r="G9161">
        <f>VLOOKUP(B9161,'SINAPI-%MO'!B:E,4,0)</f>
        <v>0.52059999999999995</v>
      </c>
      <c r="H9161" s="225">
        <f t="shared" si="142"/>
        <v>30.94</v>
      </c>
    </row>
    <row r="9162" spans="1:8" x14ac:dyDescent="0.3">
      <c r="A9162" s="400"/>
      <c r="B9162" s="709">
        <v>100553</v>
      </c>
      <c r="C9162" s="710" t="s">
        <v>7578</v>
      </c>
      <c r="D9162" s="709" t="s">
        <v>159</v>
      </c>
      <c r="E9162" s="716">
        <v>27.51</v>
      </c>
      <c r="F9162" s="717">
        <v>0</v>
      </c>
      <c r="G9162">
        <f>VLOOKUP(B9162,'SINAPI-%MO'!B:E,4,0)</f>
        <v>0.18099999999999999</v>
      </c>
      <c r="H9162" s="225">
        <f t="shared" si="142"/>
        <v>22.53</v>
      </c>
    </row>
    <row r="9163" spans="1:8" x14ac:dyDescent="0.3">
      <c r="A9163" s="400"/>
      <c r="B9163" s="709">
        <v>100554</v>
      </c>
      <c r="C9163" s="710" t="s">
        <v>7579</v>
      </c>
      <c r="D9163" s="709" t="s">
        <v>159</v>
      </c>
      <c r="E9163" s="716">
        <v>6.99</v>
      </c>
      <c r="F9163" s="717">
        <v>0</v>
      </c>
      <c r="G9163">
        <f>VLOOKUP(B9163,'SINAPI-%MO'!B:E,4,0)</f>
        <v>0.71240000000000003</v>
      </c>
      <c r="H9163" s="225">
        <f t="shared" ref="H9163:H9226" si="143">IF(E9163&gt;0,TRUNC(E9163*(1-G9163),2),"")</f>
        <v>2.0099999999999998</v>
      </c>
    </row>
    <row r="9164" spans="1:8" x14ac:dyDescent="0.3">
      <c r="A9164" s="400"/>
      <c r="B9164" s="709">
        <v>98300</v>
      </c>
      <c r="C9164" s="710" t="s">
        <v>7580</v>
      </c>
      <c r="D9164" s="709" t="s">
        <v>159</v>
      </c>
      <c r="E9164" s="716">
        <v>7.08</v>
      </c>
      <c r="F9164" s="717">
        <v>0</v>
      </c>
      <c r="G9164">
        <f>VLOOKUP(B9164,'SINAPI-%MO'!B:E,4,0)</f>
        <v>0.70340000000000003</v>
      </c>
      <c r="H9164" s="225">
        <f t="shared" si="143"/>
        <v>2.09</v>
      </c>
    </row>
    <row r="9165" spans="1:8" x14ac:dyDescent="0.3">
      <c r="A9165" s="400"/>
      <c r="B9165" s="709">
        <v>98295</v>
      </c>
      <c r="C9165" s="710" t="s">
        <v>7581</v>
      </c>
      <c r="D9165" s="709" t="s">
        <v>159</v>
      </c>
      <c r="E9165" s="716">
        <v>6.58</v>
      </c>
      <c r="F9165" s="717">
        <v>0</v>
      </c>
      <c r="G9165">
        <f>VLOOKUP(B9165,'SINAPI-%MO'!B:E,4,0)</f>
        <v>7.4499999999999997E-2</v>
      </c>
      <c r="H9165" s="225">
        <f t="shared" si="143"/>
        <v>6.08</v>
      </c>
    </row>
    <row r="9166" spans="1:8" x14ac:dyDescent="0.3">
      <c r="A9166" s="400"/>
      <c r="B9166" s="709">
        <v>98294</v>
      </c>
      <c r="C9166" s="710" t="s">
        <v>7582</v>
      </c>
      <c r="D9166" s="709" t="s">
        <v>159</v>
      </c>
      <c r="E9166" s="716">
        <v>8.89</v>
      </c>
      <c r="F9166" s="717">
        <v>0</v>
      </c>
      <c r="G9166">
        <f>VLOOKUP(B9166,'SINAPI-%MO'!B:E,4,0)</f>
        <v>0.315</v>
      </c>
      <c r="H9166" s="225">
        <f t="shared" si="143"/>
        <v>6.08</v>
      </c>
    </row>
    <row r="9167" spans="1:8" x14ac:dyDescent="0.3">
      <c r="A9167" s="400"/>
      <c r="B9167" s="709">
        <v>98297</v>
      </c>
      <c r="C9167" s="710" t="s">
        <v>7583</v>
      </c>
      <c r="D9167" s="709" t="s">
        <v>159</v>
      </c>
      <c r="E9167" s="716">
        <v>9.27</v>
      </c>
      <c r="F9167" s="717">
        <v>0</v>
      </c>
      <c r="G9167">
        <f>VLOOKUP(B9167,'SINAPI-%MO'!B:E,4,0)</f>
        <v>5.5E-2</v>
      </c>
      <c r="H9167" s="225">
        <f t="shared" si="143"/>
        <v>8.76</v>
      </c>
    </row>
    <row r="9168" spans="1:8" x14ac:dyDescent="0.3">
      <c r="A9168" s="400"/>
      <c r="B9168" s="709">
        <v>98296</v>
      </c>
      <c r="C9168" s="710" t="s">
        <v>7584</v>
      </c>
      <c r="D9168" s="709" t="s">
        <v>159</v>
      </c>
      <c r="E9168" s="716">
        <v>11.66</v>
      </c>
      <c r="F9168" s="717">
        <v>0</v>
      </c>
      <c r="G9168">
        <f>VLOOKUP(B9168,'SINAPI-%MO'!B:E,4,0)</f>
        <v>0.2487</v>
      </c>
      <c r="H9168" s="225">
        <f t="shared" si="143"/>
        <v>8.76</v>
      </c>
    </row>
    <row r="9169" spans="1:8" x14ac:dyDescent="0.3">
      <c r="A9169" s="400"/>
      <c r="B9169" s="709">
        <v>98299</v>
      </c>
      <c r="C9169" s="710" t="s">
        <v>7585</v>
      </c>
      <c r="D9169" s="709" t="s">
        <v>159</v>
      </c>
      <c r="E9169" s="716">
        <v>23.59</v>
      </c>
      <c r="F9169" s="717">
        <v>0</v>
      </c>
      <c r="G9169">
        <f>VLOOKUP(B9169,'SINAPI-%MO'!B:E,4,0)</f>
        <v>2.1600000000000001E-2</v>
      </c>
      <c r="H9169" s="225">
        <f t="shared" si="143"/>
        <v>23.08</v>
      </c>
    </row>
    <row r="9170" spans="1:8" x14ac:dyDescent="0.3">
      <c r="A9170" s="400"/>
      <c r="B9170" s="709">
        <v>98298</v>
      </c>
      <c r="C9170" s="710" t="s">
        <v>7586</v>
      </c>
      <c r="D9170" s="709" t="s">
        <v>159</v>
      </c>
      <c r="E9170" s="716">
        <v>25.98</v>
      </c>
      <c r="F9170" s="717">
        <v>0</v>
      </c>
      <c r="G9170">
        <f>VLOOKUP(B9170,'SINAPI-%MO'!B:E,4,0)</f>
        <v>0.1116</v>
      </c>
      <c r="H9170" s="225">
        <f t="shared" si="143"/>
        <v>23.08</v>
      </c>
    </row>
    <row r="9171" spans="1:8" x14ac:dyDescent="0.3">
      <c r="A9171" s="400"/>
      <c r="B9171" s="709">
        <v>98261</v>
      </c>
      <c r="C9171" s="710" t="s">
        <v>7587</v>
      </c>
      <c r="D9171" s="709" t="s">
        <v>159</v>
      </c>
      <c r="E9171" s="716">
        <v>3.65</v>
      </c>
      <c r="F9171" s="717">
        <v>0</v>
      </c>
      <c r="G9171">
        <f>VLOOKUP(B9171,'SINAPI-%MO'!B:E,4,0)</f>
        <v>0.7863</v>
      </c>
      <c r="H9171" s="225">
        <f t="shared" si="143"/>
        <v>0.78</v>
      </c>
    </row>
    <row r="9172" spans="1:8" x14ac:dyDescent="0.3">
      <c r="A9172" s="400"/>
      <c r="B9172" s="709">
        <v>98287</v>
      </c>
      <c r="C9172" s="710" t="s">
        <v>7588</v>
      </c>
      <c r="D9172" s="709" t="s">
        <v>159</v>
      </c>
      <c r="E9172" s="716">
        <v>1.47</v>
      </c>
      <c r="F9172" s="717">
        <v>0</v>
      </c>
      <c r="G9172">
        <f>VLOOKUP(B9172,'SINAPI-%MO'!B:E,4,0)</f>
        <v>0.46939999999999998</v>
      </c>
      <c r="H9172" s="225">
        <f t="shared" si="143"/>
        <v>0.77</v>
      </c>
    </row>
    <row r="9173" spans="1:8" x14ac:dyDescent="0.3">
      <c r="A9173" s="400"/>
      <c r="B9173" s="709">
        <v>98280</v>
      </c>
      <c r="C9173" s="710" t="s">
        <v>7589</v>
      </c>
      <c r="D9173" s="709" t="s">
        <v>159</v>
      </c>
      <c r="E9173" s="716">
        <v>7.28</v>
      </c>
      <c r="F9173" s="717">
        <v>0</v>
      </c>
      <c r="G9173">
        <f>VLOOKUP(B9173,'SINAPI-%MO'!B:E,4,0)</f>
        <v>0.89290000000000003</v>
      </c>
      <c r="H9173" s="225">
        <f t="shared" si="143"/>
        <v>0.77</v>
      </c>
    </row>
    <row r="9174" spans="1:8" x14ac:dyDescent="0.3">
      <c r="A9174" s="400"/>
      <c r="B9174" s="709">
        <v>98288</v>
      </c>
      <c r="C9174" s="710" t="s">
        <v>7590</v>
      </c>
      <c r="D9174" s="709" t="s">
        <v>159</v>
      </c>
      <c r="E9174" s="716">
        <v>2.33</v>
      </c>
      <c r="F9174" s="717">
        <v>0</v>
      </c>
      <c r="G9174">
        <f>VLOOKUP(B9174,'SINAPI-%MO'!B:E,4,0)</f>
        <v>0.35189999999999999</v>
      </c>
      <c r="H9174" s="225">
        <f t="shared" si="143"/>
        <v>1.51</v>
      </c>
    </row>
    <row r="9175" spans="1:8" x14ac:dyDescent="0.3">
      <c r="A9175" s="400"/>
      <c r="B9175" s="709">
        <v>98281</v>
      </c>
      <c r="C9175" s="710" t="s">
        <v>7591</v>
      </c>
      <c r="D9175" s="709" t="s">
        <v>159</v>
      </c>
      <c r="E9175" s="716">
        <v>8.15</v>
      </c>
      <c r="F9175" s="717">
        <v>0</v>
      </c>
      <c r="G9175">
        <f>VLOOKUP(B9175,'SINAPI-%MO'!B:E,4,0)</f>
        <v>0.81469999999999998</v>
      </c>
      <c r="H9175" s="225">
        <f t="shared" si="143"/>
        <v>1.51</v>
      </c>
    </row>
    <row r="9176" spans="1:8" x14ac:dyDescent="0.3">
      <c r="A9176" s="400"/>
      <c r="B9176" s="709">
        <v>98262</v>
      </c>
      <c r="C9176" s="710" t="s">
        <v>7592</v>
      </c>
      <c r="D9176" s="709" t="s">
        <v>159</v>
      </c>
      <c r="E9176" s="716">
        <v>4.51</v>
      </c>
      <c r="F9176" s="717">
        <v>0</v>
      </c>
      <c r="G9176">
        <f>VLOOKUP(B9176,'SINAPI-%MO'!B:E,4,0)</f>
        <v>0.66520000000000001</v>
      </c>
      <c r="H9176" s="225">
        <f t="shared" si="143"/>
        <v>1.5</v>
      </c>
    </row>
    <row r="9177" spans="1:8" x14ac:dyDescent="0.3">
      <c r="A9177" s="400"/>
      <c r="B9177" s="709">
        <v>98289</v>
      </c>
      <c r="C9177" s="710" t="s">
        <v>7593</v>
      </c>
      <c r="D9177" s="709" t="s">
        <v>159</v>
      </c>
      <c r="E9177" s="716">
        <v>2.5299999999999998</v>
      </c>
      <c r="F9177" s="717">
        <v>0</v>
      </c>
      <c r="G9177">
        <f>VLOOKUP(B9177,'SINAPI-%MO'!B:E,4,0)</f>
        <v>0.3715</v>
      </c>
      <c r="H9177" s="225">
        <f t="shared" si="143"/>
        <v>1.59</v>
      </c>
    </row>
    <row r="9178" spans="1:8" x14ac:dyDescent="0.3">
      <c r="A9178" s="400"/>
      <c r="B9178" s="709">
        <v>98282</v>
      </c>
      <c r="C9178" s="710" t="s">
        <v>7594</v>
      </c>
      <c r="D9178" s="709" t="s">
        <v>159</v>
      </c>
      <c r="E9178" s="716">
        <v>8.34</v>
      </c>
      <c r="F9178" s="717">
        <v>0</v>
      </c>
      <c r="G9178">
        <f>VLOOKUP(B9178,'SINAPI-%MO'!B:E,4,0)</f>
        <v>0.80940000000000001</v>
      </c>
      <c r="H9178" s="225">
        <f t="shared" si="143"/>
        <v>1.58</v>
      </c>
    </row>
    <row r="9179" spans="1:8" x14ac:dyDescent="0.3">
      <c r="A9179" s="400"/>
      <c r="B9179" s="709">
        <v>98263</v>
      </c>
      <c r="C9179" s="710" t="s">
        <v>7595</v>
      </c>
      <c r="D9179" s="709" t="s">
        <v>159</v>
      </c>
      <c r="E9179" s="716">
        <v>4.71</v>
      </c>
      <c r="F9179" s="717">
        <v>0</v>
      </c>
      <c r="G9179">
        <f>VLOOKUP(B9179,'SINAPI-%MO'!B:E,4,0)</f>
        <v>0.66239999999999999</v>
      </c>
      <c r="H9179" s="225">
        <f t="shared" si="143"/>
        <v>1.59</v>
      </c>
    </row>
    <row r="9180" spans="1:8" x14ac:dyDescent="0.3">
      <c r="A9180" s="400"/>
      <c r="B9180" s="709">
        <v>98290</v>
      </c>
      <c r="C9180" s="710" t="s">
        <v>7596</v>
      </c>
      <c r="D9180" s="709" t="s">
        <v>159</v>
      </c>
      <c r="E9180" s="716">
        <v>3.46</v>
      </c>
      <c r="F9180" s="717">
        <v>0</v>
      </c>
      <c r="G9180">
        <f>VLOOKUP(B9180,'SINAPI-%MO'!B:E,4,0)</f>
        <v>0.30059999999999998</v>
      </c>
      <c r="H9180" s="225">
        <f t="shared" si="143"/>
        <v>2.41</v>
      </c>
    </row>
    <row r="9181" spans="1:8" x14ac:dyDescent="0.3">
      <c r="A9181" s="400"/>
      <c r="B9181" s="709">
        <v>98283</v>
      </c>
      <c r="C9181" s="710" t="s">
        <v>7597</v>
      </c>
      <c r="D9181" s="709" t="s">
        <v>159</v>
      </c>
      <c r="E9181" s="716">
        <v>9.27</v>
      </c>
      <c r="F9181" s="717">
        <v>0</v>
      </c>
      <c r="G9181">
        <f>VLOOKUP(B9181,'SINAPI-%MO'!B:E,4,0)</f>
        <v>0.7389</v>
      </c>
      <c r="H9181" s="225">
        <f t="shared" si="143"/>
        <v>2.42</v>
      </c>
    </row>
    <row r="9182" spans="1:8" x14ac:dyDescent="0.3">
      <c r="A9182" s="400"/>
      <c r="B9182" s="709">
        <v>98264</v>
      </c>
      <c r="C9182" s="710" t="s">
        <v>7598</v>
      </c>
      <c r="D9182" s="709" t="s">
        <v>159</v>
      </c>
      <c r="E9182" s="716">
        <v>5.63</v>
      </c>
      <c r="F9182" s="717">
        <v>0</v>
      </c>
      <c r="G9182">
        <f>VLOOKUP(B9182,'SINAPI-%MO'!B:E,4,0)</f>
        <v>0.57020000000000004</v>
      </c>
      <c r="H9182" s="225">
        <f t="shared" si="143"/>
        <v>2.41</v>
      </c>
    </row>
    <row r="9183" spans="1:8" x14ac:dyDescent="0.3">
      <c r="A9183" s="400"/>
      <c r="B9183" s="709">
        <v>98273</v>
      </c>
      <c r="C9183" s="710" t="s">
        <v>7599</v>
      </c>
      <c r="D9183" s="709" t="s">
        <v>159</v>
      </c>
      <c r="E9183" s="716">
        <v>2.8</v>
      </c>
      <c r="F9183" s="717">
        <v>0</v>
      </c>
      <c r="G9183">
        <f>VLOOKUP(B9183,'SINAPI-%MO'!B:E,4,0)</f>
        <v>0.13569999999999999</v>
      </c>
      <c r="H9183" s="225">
        <f t="shared" si="143"/>
        <v>2.42</v>
      </c>
    </row>
    <row r="9184" spans="1:8" x14ac:dyDescent="0.3">
      <c r="A9184" s="400"/>
      <c r="B9184" s="709">
        <v>98291</v>
      </c>
      <c r="C9184" s="710" t="s">
        <v>7600</v>
      </c>
      <c r="D9184" s="709" t="s">
        <v>159</v>
      </c>
      <c r="E9184" s="716">
        <v>4.0599999999999996</v>
      </c>
      <c r="F9184" s="717">
        <v>0</v>
      </c>
      <c r="G9184">
        <f>VLOOKUP(B9184,'SINAPI-%MO'!B:E,4,0)</f>
        <v>0.27089999999999997</v>
      </c>
      <c r="H9184" s="225">
        <f t="shared" si="143"/>
        <v>2.96</v>
      </c>
    </row>
    <row r="9185" spans="1:8" x14ac:dyDescent="0.3">
      <c r="A9185" s="400"/>
      <c r="B9185" s="709">
        <v>98284</v>
      </c>
      <c r="C9185" s="710" t="s">
        <v>7601</v>
      </c>
      <c r="D9185" s="709" t="s">
        <v>159</v>
      </c>
      <c r="E9185" s="716">
        <v>9.89</v>
      </c>
      <c r="F9185" s="717">
        <v>0</v>
      </c>
      <c r="G9185">
        <f>VLOOKUP(B9185,'SINAPI-%MO'!B:E,4,0)</f>
        <v>0.70069999999999999</v>
      </c>
      <c r="H9185" s="225">
        <f t="shared" si="143"/>
        <v>2.96</v>
      </c>
    </row>
    <row r="9186" spans="1:8" x14ac:dyDescent="0.3">
      <c r="A9186" s="400"/>
      <c r="B9186" s="709">
        <v>98265</v>
      </c>
      <c r="C9186" s="710" t="s">
        <v>7602</v>
      </c>
      <c r="D9186" s="709" t="s">
        <v>159</v>
      </c>
      <c r="E9186" s="716">
        <v>6.25</v>
      </c>
      <c r="F9186" s="717">
        <v>0</v>
      </c>
      <c r="G9186">
        <f>VLOOKUP(B9186,'SINAPI-%MO'!B:E,4,0)</f>
        <v>0.52639999999999998</v>
      </c>
      <c r="H9186" s="225">
        <f t="shared" si="143"/>
        <v>2.96</v>
      </c>
    </row>
    <row r="9187" spans="1:8" x14ac:dyDescent="0.3">
      <c r="A9187" s="400"/>
      <c r="B9187" s="709">
        <v>98274</v>
      </c>
      <c r="C9187" s="710" t="s">
        <v>7603</v>
      </c>
      <c r="D9187" s="709" t="s">
        <v>159</v>
      </c>
      <c r="E9187" s="716">
        <v>3.42</v>
      </c>
      <c r="F9187" s="717">
        <v>0</v>
      </c>
      <c r="G9187">
        <f>VLOOKUP(B9187,'SINAPI-%MO'!B:E,4,0)</f>
        <v>0.13450000000000001</v>
      </c>
      <c r="H9187" s="225">
        <f t="shared" si="143"/>
        <v>2.96</v>
      </c>
    </row>
    <row r="9188" spans="1:8" x14ac:dyDescent="0.3">
      <c r="A9188" s="400"/>
      <c r="B9188" s="709">
        <v>98292</v>
      </c>
      <c r="C9188" s="710" t="s">
        <v>7604</v>
      </c>
      <c r="D9188" s="709" t="s">
        <v>159</v>
      </c>
      <c r="E9188" s="716">
        <v>4.9000000000000004</v>
      </c>
      <c r="F9188" s="717">
        <v>0</v>
      </c>
      <c r="G9188">
        <f>VLOOKUP(B9188,'SINAPI-%MO'!B:E,4,0)</f>
        <v>0.23469999999999999</v>
      </c>
      <c r="H9188" s="225">
        <f t="shared" si="143"/>
        <v>3.74</v>
      </c>
    </row>
    <row r="9189" spans="1:8" x14ac:dyDescent="0.3">
      <c r="A9189" s="400"/>
      <c r="B9189" s="709">
        <v>98285</v>
      </c>
      <c r="C9189" s="710" t="s">
        <v>7605</v>
      </c>
      <c r="D9189" s="709" t="s">
        <v>159</v>
      </c>
      <c r="E9189" s="716">
        <v>10.71</v>
      </c>
      <c r="F9189" s="717">
        <v>0</v>
      </c>
      <c r="G9189">
        <f>VLOOKUP(B9189,'SINAPI-%MO'!B:E,4,0)</f>
        <v>0.64990000000000003</v>
      </c>
      <c r="H9189" s="225">
        <f t="shared" si="143"/>
        <v>3.74</v>
      </c>
    </row>
    <row r="9190" spans="1:8" x14ac:dyDescent="0.3">
      <c r="A9190" s="400"/>
      <c r="B9190" s="709">
        <v>98266</v>
      </c>
      <c r="C9190" s="710" t="s">
        <v>7606</v>
      </c>
      <c r="D9190" s="709" t="s">
        <v>159</v>
      </c>
      <c r="E9190" s="716">
        <v>7.08</v>
      </c>
      <c r="F9190" s="717">
        <v>0</v>
      </c>
      <c r="G9190">
        <f>VLOOKUP(B9190,'SINAPI-%MO'!B:E,4,0)</f>
        <v>0.4703</v>
      </c>
      <c r="H9190" s="225">
        <f t="shared" si="143"/>
        <v>3.75</v>
      </c>
    </row>
    <row r="9191" spans="1:8" x14ac:dyDescent="0.3">
      <c r="A9191" s="400"/>
      <c r="B9191" s="709">
        <v>98275</v>
      </c>
      <c r="C9191" s="710" t="s">
        <v>7607</v>
      </c>
      <c r="D9191" s="709" t="s">
        <v>159</v>
      </c>
      <c r="E9191" s="716">
        <v>4.24</v>
      </c>
      <c r="F9191" s="717">
        <v>0</v>
      </c>
      <c r="G9191">
        <f>VLOOKUP(B9191,'SINAPI-%MO'!B:E,4,0)</f>
        <v>0.11559999999999999</v>
      </c>
      <c r="H9191" s="225">
        <f t="shared" si="143"/>
        <v>3.74</v>
      </c>
    </row>
    <row r="9192" spans="1:8" x14ac:dyDescent="0.3">
      <c r="A9192" s="400"/>
      <c r="B9192" s="709">
        <v>98293</v>
      </c>
      <c r="C9192" s="710" t="s">
        <v>7608</v>
      </c>
      <c r="D9192" s="709" t="s">
        <v>159</v>
      </c>
      <c r="E9192" s="716">
        <v>9.02</v>
      </c>
      <c r="F9192" s="717">
        <v>0</v>
      </c>
      <c r="G9192">
        <f>VLOOKUP(B9192,'SINAPI-%MO'!B:E,4,0)</f>
        <v>0.2361</v>
      </c>
      <c r="H9192" s="225">
        <f t="shared" si="143"/>
        <v>6.89</v>
      </c>
    </row>
    <row r="9193" spans="1:8" x14ac:dyDescent="0.3">
      <c r="A9193" s="400"/>
      <c r="B9193" s="709">
        <v>98286</v>
      </c>
      <c r="C9193" s="710" t="s">
        <v>7609</v>
      </c>
      <c r="D9193" s="709" t="s">
        <v>159</v>
      </c>
      <c r="E9193" s="716">
        <v>14.83</v>
      </c>
      <c r="F9193" s="717">
        <v>0</v>
      </c>
      <c r="G9193">
        <f>VLOOKUP(B9193,'SINAPI-%MO'!B:E,4,0)</f>
        <v>0.53539999999999999</v>
      </c>
      <c r="H9193" s="225">
        <f t="shared" si="143"/>
        <v>6.89</v>
      </c>
    </row>
    <row r="9194" spans="1:8" x14ac:dyDescent="0.3">
      <c r="A9194" s="400"/>
      <c r="B9194" s="709">
        <v>98267</v>
      </c>
      <c r="C9194" s="710" t="s">
        <v>7610</v>
      </c>
      <c r="D9194" s="709" t="s">
        <v>159</v>
      </c>
      <c r="E9194" s="716">
        <v>11.2</v>
      </c>
      <c r="F9194" s="717">
        <v>0</v>
      </c>
      <c r="G9194">
        <f>VLOOKUP(B9194,'SINAPI-%MO'!B:E,4,0)</f>
        <v>0.38479999999999998</v>
      </c>
      <c r="H9194" s="225">
        <f t="shared" si="143"/>
        <v>6.89</v>
      </c>
    </row>
    <row r="9195" spans="1:8" x14ac:dyDescent="0.3">
      <c r="A9195" s="400"/>
      <c r="B9195" s="709">
        <v>98276</v>
      </c>
      <c r="C9195" s="710" t="s">
        <v>7611</v>
      </c>
      <c r="D9195" s="709" t="s">
        <v>159</v>
      </c>
      <c r="E9195" s="716">
        <v>8.36</v>
      </c>
      <c r="F9195" s="717">
        <v>0</v>
      </c>
      <c r="G9195">
        <f>VLOOKUP(B9195,'SINAPI-%MO'!B:E,4,0)</f>
        <v>0.17580000000000001</v>
      </c>
      <c r="H9195" s="225">
        <f t="shared" si="143"/>
        <v>6.89</v>
      </c>
    </row>
    <row r="9196" spans="1:8" x14ac:dyDescent="0.3">
      <c r="A9196" s="400"/>
      <c r="B9196" s="709">
        <v>98268</v>
      </c>
      <c r="C9196" s="710" t="s">
        <v>7612</v>
      </c>
      <c r="D9196" s="709" t="s">
        <v>159</v>
      </c>
      <c r="E9196" s="716">
        <v>17.97</v>
      </c>
      <c r="F9196" s="717">
        <v>0</v>
      </c>
      <c r="G9196">
        <f>VLOOKUP(B9196,'SINAPI-%MO'!B:E,4,0)</f>
        <v>0.27160000000000001</v>
      </c>
      <c r="H9196" s="225">
        <f t="shared" si="143"/>
        <v>13.08</v>
      </c>
    </row>
    <row r="9197" spans="1:8" x14ac:dyDescent="0.3">
      <c r="A9197" s="400"/>
      <c r="B9197" s="709">
        <v>98277</v>
      </c>
      <c r="C9197" s="710" t="s">
        <v>7613</v>
      </c>
      <c r="D9197" s="709" t="s">
        <v>159</v>
      </c>
      <c r="E9197" s="716">
        <v>15.14</v>
      </c>
      <c r="F9197" s="717">
        <v>0</v>
      </c>
      <c r="G9197">
        <f>VLOOKUP(B9197,'SINAPI-%MO'!B:E,4,0)</f>
        <v>0.13539999999999999</v>
      </c>
      <c r="H9197" s="225">
        <f t="shared" si="143"/>
        <v>13.09</v>
      </c>
    </row>
    <row r="9198" spans="1:8" x14ac:dyDescent="0.3">
      <c r="A9198" s="400"/>
      <c r="B9198" s="709">
        <v>98272</v>
      </c>
      <c r="C9198" s="710" t="s">
        <v>7614</v>
      </c>
      <c r="D9198" s="709" t="s">
        <v>159</v>
      </c>
      <c r="E9198" s="716">
        <v>118.84</v>
      </c>
      <c r="F9198" s="717">
        <v>0</v>
      </c>
      <c r="G9198">
        <f>VLOOKUP(B9198,'SINAPI-%MO'!B:E,4,0)</f>
        <v>7.4899999999999994E-2</v>
      </c>
      <c r="H9198" s="225">
        <f t="shared" si="143"/>
        <v>109.93</v>
      </c>
    </row>
    <row r="9199" spans="1:8" x14ac:dyDescent="0.3">
      <c r="A9199" s="400"/>
      <c r="B9199" s="709">
        <v>98269</v>
      </c>
      <c r="C9199" s="710" t="s">
        <v>7615</v>
      </c>
      <c r="D9199" s="709" t="s">
        <v>159</v>
      </c>
      <c r="E9199" s="716">
        <v>24.52</v>
      </c>
      <c r="F9199" s="717">
        <v>0</v>
      </c>
      <c r="G9199">
        <f>VLOOKUP(B9199,'SINAPI-%MO'!B:E,4,0)</f>
        <v>0.21859999999999999</v>
      </c>
      <c r="H9199" s="225">
        <f t="shared" si="143"/>
        <v>19.149999999999999</v>
      </c>
    </row>
    <row r="9200" spans="1:8" x14ac:dyDescent="0.3">
      <c r="A9200" s="400"/>
      <c r="B9200" s="709">
        <v>98278</v>
      </c>
      <c r="C9200" s="710" t="s">
        <v>7616</v>
      </c>
      <c r="D9200" s="709" t="s">
        <v>159</v>
      </c>
      <c r="E9200" s="716">
        <v>21.69</v>
      </c>
      <c r="F9200" s="717">
        <v>0</v>
      </c>
      <c r="G9200">
        <f>VLOOKUP(B9200,'SINAPI-%MO'!B:E,4,0)</f>
        <v>0.1166</v>
      </c>
      <c r="H9200" s="225">
        <f t="shared" si="143"/>
        <v>19.16</v>
      </c>
    </row>
    <row r="9201" spans="1:8" x14ac:dyDescent="0.3">
      <c r="A9201" s="400"/>
      <c r="B9201" s="709">
        <v>98270</v>
      </c>
      <c r="C9201" s="710" t="s">
        <v>7617</v>
      </c>
      <c r="D9201" s="709" t="s">
        <v>159</v>
      </c>
      <c r="E9201" s="716">
        <v>36.909999999999997</v>
      </c>
      <c r="F9201" s="717">
        <v>0</v>
      </c>
      <c r="G9201">
        <f>VLOOKUP(B9201,'SINAPI-%MO'!B:E,4,0)</f>
        <v>0.16070000000000001</v>
      </c>
      <c r="H9201" s="225">
        <f t="shared" si="143"/>
        <v>30.97</v>
      </c>
    </row>
    <row r="9202" spans="1:8" x14ac:dyDescent="0.3">
      <c r="A9202" s="400"/>
      <c r="B9202" s="709">
        <v>98279</v>
      </c>
      <c r="C9202" s="710" t="s">
        <v>7618</v>
      </c>
      <c r="D9202" s="709" t="s">
        <v>159</v>
      </c>
      <c r="E9202" s="716">
        <v>34.08</v>
      </c>
      <c r="F9202" s="717">
        <v>0</v>
      </c>
      <c r="G9202">
        <f>VLOOKUP(B9202,'SINAPI-%MO'!B:E,4,0)</f>
        <v>9.0999999999999998E-2</v>
      </c>
      <c r="H9202" s="225">
        <f t="shared" si="143"/>
        <v>30.97</v>
      </c>
    </row>
    <row r="9203" spans="1:8" x14ac:dyDescent="0.3">
      <c r="A9203" s="400"/>
      <c r="B9203" s="709">
        <v>98271</v>
      </c>
      <c r="C9203" s="710" t="s">
        <v>7619</v>
      </c>
      <c r="D9203" s="709" t="s">
        <v>159</v>
      </c>
      <c r="E9203" s="716">
        <v>51.86</v>
      </c>
      <c r="F9203" s="717">
        <v>0</v>
      </c>
      <c r="G9203">
        <f>VLOOKUP(B9203,'SINAPI-%MO'!B:E,4,0)</f>
        <v>0.12529999999999999</v>
      </c>
      <c r="H9203" s="225">
        <f t="shared" si="143"/>
        <v>45.36</v>
      </c>
    </row>
    <row r="9204" spans="1:8" x14ac:dyDescent="0.3">
      <c r="A9204" s="400"/>
      <c r="B9204" s="709">
        <v>98400</v>
      </c>
      <c r="C9204" s="710" t="s">
        <v>7620</v>
      </c>
      <c r="D9204" s="709" t="s">
        <v>159</v>
      </c>
      <c r="E9204" s="716">
        <v>13.73</v>
      </c>
      <c r="F9204" s="717">
        <v>0</v>
      </c>
      <c r="G9204">
        <f>VLOOKUP(B9204,'SINAPI-%MO'!B:E,4,0)</f>
        <v>0.31390000000000001</v>
      </c>
      <c r="H9204" s="225">
        <f t="shared" si="143"/>
        <v>9.42</v>
      </c>
    </row>
    <row r="9205" spans="1:8" x14ac:dyDescent="0.3">
      <c r="A9205" s="400"/>
      <c r="B9205" s="709">
        <v>98401</v>
      </c>
      <c r="C9205" s="710" t="s">
        <v>7621</v>
      </c>
      <c r="D9205" s="709" t="s">
        <v>159</v>
      </c>
      <c r="E9205" s="716">
        <v>21.49</v>
      </c>
      <c r="F9205" s="717">
        <v>0</v>
      </c>
      <c r="G9205">
        <f>VLOOKUP(B9205,'SINAPI-%MO'!B:E,4,0)</f>
        <v>0.2271</v>
      </c>
      <c r="H9205" s="225">
        <f t="shared" si="143"/>
        <v>16.600000000000001</v>
      </c>
    </row>
    <row r="9206" spans="1:8" x14ac:dyDescent="0.3">
      <c r="A9206" s="400"/>
      <c r="B9206" s="709">
        <v>98402</v>
      </c>
      <c r="C9206" s="710" t="s">
        <v>7622</v>
      </c>
      <c r="D9206" s="709" t="s">
        <v>159</v>
      </c>
      <c r="E9206" s="716">
        <v>25.06</v>
      </c>
      <c r="F9206" s="717">
        <v>0</v>
      </c>
      <c r="G9206">
        <f>VLOOKUP(B9206,'SINAPI-%MO'!B:E,4,0)</f>
        <v>0.21390000000000001</v>
      </c>
      <c r="H9206" s="225">
        <f t="shared" si="143"/>
        <v>19.690000000000001</v>
      </c>
    </row>
    <row r="9207" spans="1:8" x14ac:dyDescent="0.3">
      <c r="A9207" s="400"/>
      <c r="B9207" s="709">
        <v>100556</v>
      </c>
      <c r="C9207" s="710" t="s">
        <v>7623</v>
      </c>
      <c r="D9207" s="709" t="s">
        <v>136</v>
      </c>
      <c r="E9207" s="716">
        <v>33.020000000000003</v>
      </c>
      <c r="F9207" s="717">
        <v>0</v>
      </c>
      <c r="G9207">
        <f>VLOOKUP(B9207,'SINAPI-%MO'!B:E,4,0)</f>
        <v>0.3528</v>
      </c>
      <c r="H9207" s="225">
        <f t="shared" si="143"/>
        <v>21.37</v>
      </c>
    </row>
    <row r="9208" spans="1:8" x14ac:dyDescent="0.3">
      <c r="A9208" s="400"/>
      <c r="B9208" s="709">
        <v>106083</v>
      </c>
      <c r="C9208" s="710" t="s">
        <v>7624</v>
      </c>
      <c r="D9208" s="709" t="s">
        <v>136</v>
      </c>
      <c r="E9208" s="716">
        <v>0</v>
      </c>
      <c r="F9208" s="717"/>
      <c r="G9208" t="e">
        <f>VLOOKUP(B9208,'SINAPI-%MO'!B:E,4,0)</f>
        <v>#N/A</v>
      </c>
      <c r="H9208" s="225" t="str">
        <f t="shared" si="143"/>
        <v/>
      </c>
    </row>
    <row r="9209" spans="1:8" x14ac:dyDescent="0.3">
      <c r="A9209" s="400"/>
      <c r="B9209" s="709">
        <v>100557</v>
      </c>
      <c r="C9209" s="710" t="s">
        <v>7625</v>
      </c>
      <c r="D9209" s="709" t="s">
        <v>136</v>
      </c>
      <c r="E9209" s="716">
        <v>453.99</v>
      </c>
      <c r="F9209" s="717">
        <v>0</v>
      </c>
      <c r="G9209">
        <f>VLOOKUP(B9209,'SINAPI-%MO'!B:E,4,0)</f>
        <v>0.1203</v>
      </c>
      <c r="H9209" s="225">
        <f t="shared" si="143"/>
        <v>399.37</v>
      </c>
    </row>
    <row r="9210" spans="1:8" x14ac:dyDescent="0.3">
      <c r="A9210" s="400"/>
      <c r="B9210" s="709">
        <v>106088</v>
      </c>
      <c r="C9210" s="710" t="s">
        <v>7626</v>
      </c>
      <c r="D9210" s="709" t="s">
        <v>136</v>
      </c>
      <c r="E9210" s="716">
        <v>0</v>
      </c>
      <c r="F9210" s="717"/>
      <c r="G9210" t="e">
        <f>VLOOKUP(B9210,'SINAPI-%MO'!B:E,4,0)</f>
        <v>#N/A</v>
      </c>
      <c r="H9210" s="225" t="str">
        <f t="shared" si="143"/>
        <v/>
      </c>
    </row>
    <row r="9211" spans="1:8" x14ac:dyDescent="0.3">
      <c r="A9211" s="400"/>
      <c r="B9211" s="709">
        <v>106081</v>
      </c>
      <c r="C9211" s="710" t="s">
        <v>7627</v>
      </c>
      <c r="D9211" s="709" t="s">
        <v>136</v>
      </c>
      <c r="E9211" s="716">
        <v>0</v>
      </c>
      <c r="F9211" s="717"/>
      <c r="G9211" t="e">
        <f>VLOOKUP(B9211,'SINAPI-%MO'!B:E,4,0)</f>
        <v>#N/A</v>
      </c>
      <c r="H9211" s="225" t="str">
        <f t="shared" si="143"/>
        <v/>
      </c>
    </row>
    <row r="9212" spans="1:8" x14ac:dyDescent="0.3">
      <c r="A9212" s="400"/>
      <c r="B9212" s="709">
        <v>106080</v>
      </c>
      <c r="C9212" s="710" t="s">
        <v>7628</v>
      </c>
      <c r="D9212" s="709" t="s">
        <v>136</v>
      </c>
      <c r="E9212" s="716">
        <v>0</v>
      </c>
      <c r="F9212" s="717"/>
      <c r="G9212" t="e">
        <f>VLOOKUP(B9212,'SINAPI-%MO'!B:E,4,0)</f>
        <v>#N/A</v>
      </c>
      <c r="H9212" s="225" t="str">
        <f t="shared" si="143"/>
        <v/>
      </c>
    </row>
    <row r="9213" spans="1:8" x14ac:dyDescent="0.3">
      <c r="A9213" s="400"/>
      <c r="B9213" s="709">
        <v>98301</v>
      </c>
      <c r="C9213" s="710" t="s">
        <v>7629</v>
      </c>
      <c r="D9213" s="709" t="s">
        <v>136</v>
      </c>
      <c r="E9213" s="716">
        <v>655.08000000000004</v>
      </c>
      <c r="F9213" s="717">
        <v>0</v>
      </c>
      <c r="G9213">
        <f>VLOOKUP(B9213,'SINAPI-%MO'!B:E,4,0)</f>
        <v>0.46639999999999998</v>
      </c>
      <c r="H9213" s="225">
        <f t="shared" si="143"/>
        <v>349.55</v>
      </c>
    </row>
    <row r="9214" spans="1:8" x14ac:dyDescent="0.3">
      <c r="A9214" s="400"/>
      <c r="B9214" s="709">
        <v>98302</v>
      </c>
      <c r="C9214" s="710" t="s">
        <v>7630</v>
      </c>
      <c r="D9214" s="709" t="s">
        <v>136</v>
      </c>
      <c r="E9214" s="716">
        <v>1241.67</v>
      </c>
      <c r="F9214" s="717">
        <v>0</v>
      </c>
      <c r="G9214">
        <f>VLOOKUP(B9214,'SINAPI-%MO'!B:E,4,0)</f>
        <v>0.24610000000000001</v>
      </c>
      <c r="H9214" s="225">
        <f t="shared" si="143"/>
        <v>936.09</v>
      </c>
    </row>
    <row r="9215" spans="1:8" x14ac:dyDescent="0.3">
      <c r="A9215" s="400"/>
      <c r="B9215" s="709">
        <v>98593</v>
      </c>
      <c r="C9215" s="710" t="s">
        <v>7631</v>
      </c>
      <c r="D9215" s="709" t="s">
        <v>136</v>
      </c>
      <c r="E9215" s="716">
        <v>2710.63</v>
      </c>
      <c r="F9215" s="717">
        <v>0</v>
      </c>
      <c r="G9215">
        <f>VLOOKUP(B9215,'SINAPI-%MO'!B:E,4,0)</f>
        <v>0.224</v>
      </c>
      <c r="H9215" s="225">
        <f t="shared" si="143"/>
        <v>2103.44</v>
      </c>
    </row>
    <row r="9216" spans="1:8" x14ac:dyDescent="0.3">
      <c r="A9216" s="400"/>
      <c r="B9216" s="709">
        <v>98304</v>
      </c>
      <c r="C9216" s="710" t="s">
        <v>7632</v>
      </c>
      <c r="D9216" s="709" t="s">
        <v>136</v>
      </c>
      <c r="E9216" s="716">
        <v>3906.69</v>
      </c>
      <c r="F9216" s="717">
        <v>0</v>
      </c>
      <c r="G9216">
        <f>VLOOKUP(B9216,'SINAPI-%MO'!B:E,4,0)</f>
        <v>0.15540000000000001</v>
      </c>
      <c r="H9216" s="225">
        <f t="shared" si="143"/>
        <v>3299.59</v>
      </c>
    </row>
    <row r="9217" spans="1:8" x14ac:dyDescent="0.3">
      <c r="A9217" s="400"/>
      <c r="B9217" s="709">
        <v>106079</v>
      </c>
      <c r="C9217" s="710" t="s">
        <v>7633</v>
      </c>
      <c r="D9217" s="709" t="s">
        <v>136</v>
      </c>
      <c r="E9217" s="716">
        <v>0</v>
      </c>
      <c r="F9217" s="717"/>
      <c r="G9217" t="e">
        <f>VLOOKUP(B9217,'SINAPI-%MO'!B:E,4,0)</f>
        <v>#N/A</v>
      </c>
      <c r="H9217" s="225" t="str">
        <f t="shared" si="143"/>
        <v/>
      </c>
    </row>
    <row r="9218" spans="1:8" x14ac:dyDescent="0.3">
      <c r="A9218" s="400"/>
      <c r="B9218" s="709">
        <v>100561</v>
      </c>
      <c r="C9218" s="710" t="s">
        <v>7634</v>
      </c>
      <c r="D9218" s="709" t="s">
        <v>136</v>
      </c>
      <c r="E9218" s="716">
        <v>164.48</v>
      </c>
      <c r="F9218" s="717">
        <v>0</v>
      </c>
      <c r="G9218">
        <f>VLOOKUP(B9218,'SINAPI-%MO'!B:E,4,0)</f>
        <v>0.1769</v>
      </c>
      <c r="H9218" s="225">
        <f t="shared" si="143"/>
        <v>135.38</v>
      </c>
    </row>
    <row r="9219" spans="1:8" x14ac:dyDescent="0.3">
      <c r="A9219" s="400"/>
      <c r="B9219" s="709">
        <v>100562</v>
      </c>
      <c r="C9219" s="710" t="s">
        <v>7635</v>
      </c>
      <c r="D9219" s="709" t="s">
        <v>136</v>
      </c>
      <c r="E9219" s="716">
        <v>263.02999999999997</v>
      </c>
      <c r="F9219" s="717">
        <v>0</v>
      </c>
      <c r="G9219">
        <f>VLOOKUP(B9219,'SINAPI-%MO'!B:E,4,0)</f>
        <v>0.13639999999999999</v>
      </c>
      <c r="H9219" s="225">
        <f t="shared" si="143"/>
        <v>227.15</v>
      </c>
    </row>
    <row r="9220" spans="1:8" x14ac:dyDescent="0.3">
      <c r="A9220" s="400"/>
      <c r="B9220" s="709">
        <v>100560</v>
      </c>
      <c r="C9220" s="710" t="s">
        <v>7636</v>
      </c>
      <c r="D9220" s="709" t="s">
        <v>136</v>
      </c>
      <c r="E9220" s="716">
        <v>83.99</v>
      </c>
      <c r="F9220" s="717">
        <v>0</v>
      </c>
      <c r="G9220">
        <f>VLOOKUP(B9220,'SINAPI-%MO'!B:E,4,0)</f>
        <v>0.2838</v>
      </c>
      <c r="H9220" s="225">
        <f t="shared" si="143"/>
        <v>60.15</v>
      </c>
    </row>
    <row r="9221" spans="1:8" x14ac:dyDescent="0.3">
      <c r="A9221" s="400"/>
      <c r="B9221" s="709">
        <v>100563</v>
      </c>
      <c r="C9221" s="710" t="s">
        <v>7637</v>
      </c>
      <c r="D9221" s="709" t="s">
        <v>136</v>
      </c>
      <c r="E9221" s="716">
        <v>386.67</v>
      </c>
      <c r="F9221" s="717">
        <v>0</v>
      </c>
      <c r="G9221">
        <f>VLOOKUP(B9221,'SINAPI-%MO'!B:E,4,0)</f>
        <v>0.1144</v>
      </c>
      <c r="H9221" s="225">
        <f t="shared" si="143"/>
        <v>342.43</v>
      </c>
    </row>
    <row r="9222" spans="1:8" x14ac:dyDescent="0.3">
      <c r="A9222" s="400"/>
      <c r="B9222" s="709">
        <v>100555</v>
      </c>
      <c r="C9222" s="710" t="s">
        <v>7638</v>
      </c>
      <c r="D9222" s="709" t="s">
        <v>136</v>
      </c>
      <c r="E9222" s="716">
        <v>1448.53</v>
      </c>
      <c r="F9222" s="717">
        <v>0</v>
      </c>
      <c r="G9222">
        <f>VLOOKUP(B9222,'SINAPI-%MO'!B:E,4,0)</f>
        <v>3.49E-2</v>
      </c>
      <c r="H9222" s="225">
        <f t="shared" si="143"/>
        <v>1397.97</v>
      </c>
    </row>
    <row r="9223" spans="1:8" x14ac:dyDescent="0.3">
      <c r="A9223" s="400"/>
      <c r="B9223" s="709">
        <v>106084</v>
      </c>
      <c r="C9223" s="710" t="s">
        <v>7639</v>
      </c>
      <c r="D9223" s="709" t="s">
        <v>136</v>
      </c>
      <c r="E9223" s="716">
        <v>0</v>
      </c>
      <c r="F9223" s="717"/>
      <c r="G9223" t="e">
        <f>VLOOKUP(B9223,'SINAPI-%MO'!B:E,4,0)</f>
        <v>#N/A</v>
      </c>
      <c r="H9223" s="225" t="str">
        <f t="shared" si="143"/>
        <v/>
      </c>
    </row>
    <row r="9224" spans="1:8" x14ac:dyDescent="0.3">
      <c r="A9224" s="400"/>
      <c r="B9224" s="709">
        <v>106087</v>
      </c>
      <c r="C9224" s="710" t="s">
        <v>7640</v>
      </c>
      <c r="D9224" s="709" t="s">
        <v>136</v>
      </c>
      <c r="E9224" s="716">
        <v>0</v>
      </c>
      <c r="F9224" s="717"/>
      <c r="G9224" t="e">
        <f>VLOOKUP(B9224,'SINAPI-%MO'!B:E,4,0)</f>
        <v>#N/A</v>
      </c>
      <c r="H9224" s="225" t="str">
        <f t="shared" si="143"/>
        <v/>
      </c>
    </row>
    <row r="9225" spans="1:8" x14ac:dyDescent="0.3">
      <c r="A9225" s="400"/>
      <c r="B9225" s="709">
        <v>106085</v>
      </c>
      <c r="C9225" s="710" t="s">
        <v>7641</v>
      </c>
      <c r="D9225" s="709" t="s">
        <v>136</v>
      </c>
      <c r="E9225" s="716">
        <v>0</v>
      </c>
      <c r="F9225" s="717"/>
      <c r="G9225" t="e">
        <f>VLOOKUP(B9225,'SINAPI-%MO'!B:E,4,0)</f>
        <v>#N/A</v>
      </c>
      <c r="H9225" s="225" t="str">
        <f t="shared" si="143"/>
        <v/>
      </c>
    </row>
    <row r="9226" spans="1:8" x14ac:dyDescent="0.3">
      <c r="A9226" s="400"/>
      <c r="B9226" s="709">
        <v>106086</v>
      </c>
      <c r="C9226" s="710" t="s">
        <v>7642</v>
      </c>
      <c r="D9226" s="709" t="s">
        <v>136</v>
      </c>
      <c r="E9226" s="716">
        <v>0</v>
      </c>
      <c r="F9226" s="717"/>
      <c r="G9226" t="e">
        <f>VLOOKUP(B9226,'SINAPI-%MO'!B:E,4,0)</f>
        <v>#N/A</v>
      </c>
      <c r="H9226" s="225" t="str">
        <f t="shared" si="143"/>
        <v/>
      </c>
    </row>
    <row r="9227" spans="1:8" x14ac:dyDescent="0.3">
      <c r="A9227" s="400"/>
      <c r="B9227" s="709">
        <v>98305</v>
      </c>
      <c r="C9227" s="710" t="s">
        <v>7643</v>
      </c>
      <c r="D9227" s="709" t="s">
        <v>136</v>
      </c>
      <c r="E9227" s="716">
        <v>2895.2</v>
      </c>
      <c r="F9227" s="717">
        <v>0</v>
      </c>
      <c r="G9227">
        <f>VLOOKUP(B9227,'SINAPI-%MO'!B:E,4,0)</f>
        <v>1.7500000000000002E-2</v>
      </c>
      <c r="H9227" s="225">
        <f t="shared" ref="H9227:H9290" si="144">IF(E9227&gt;0,TRUNC(E9227*(1-G9227),2),"")</f>
        <v>2844.53</v>
      </c>
    </row>
    <row r="9228" spans="1:8" x14ac:dyDescent="0.3">
      <c r="A9228" s="400"/>
      <c r="B9228" s="709">
        <v>98307</v>
      </c>
      <c r="C9228" s="710" t="s">
        <v>7644</v>
      </c>
      <c r="D9228" s="709" t="s">
        <v>136</v>
      </c>
      <c r="E9228" s="716">
        <v>63.05</v>
      </c>
      <c r="F9228" s="717">
        <v>0</v>
      </c>
      <c r="G9228">
        <f>VLOOKUP(B9228,'SINAPI-%MO'!B:E,4,0)</f>
        <v>0.36149999999999999</v>
      </c>
      <c r="H9228" s="225">
        <f t="shared" si="144"/>
        <v>40.25</v>
      </c>
    </row>
    <row r="9229" spans="1:8" x14ac:dyDescent="0.3">
      <c r="A9229" s="400"/>
      <c r="B9229" s="709">
        <v>98308</v>
      </c>
      <c r="C9229" s="710" t="s">
        <v>7645</v>
      </c>
      <c r="D9229" s="709" t="s">
        <v>136</v>
      </c>
      <c r="E9229" s="716">
        <v>45.6</v>
      </c>
      <c r="F9229" s="717">
        <v>0</v>
      </c>
      <c r="G9229">
        <f>VLOOKUP(B9229,'SINAPI-%MO'!B:E,4,0)</f>
        <v>0.49980000000000002</v>
      </c>
      <c r="H9229" s="225">
        <f t="shared" si="144"/>
        <v>22.8</v>
      </c>
    </row>
    <row r="9230" spans="1:8" x14ac:dyDescent="0.3">
      <c r="A9230" s="400"/>
      <c r="B9230" s="709">
        <v>106077</v>
      </c>
      <c r="C9230" s="710" t="s">
        <v>7646</v>
      </c>
      <c r="D9230" s="709" t="s">
        <v>136</v>
      </c>
      <c r="E9230" s="716">
        <v>0</v>
      </c>
      <c r="F9230" s="717"/>
      <c r="G9230" t="e">
        <f>VLOOKUP(B9230,'SINAPI-%MO'!B:E,4,0)</f>
        <v>#N/A</v>
      </c>
      <c r="H9230" s="225" t="str">
        <f t="shared" si="144"/>
        <v/>
      </c>
    </row>
    <row r="9231" spans="1:8" x14ac:dyDescent="0.3">
      <c r="A9231" s="400"/>
      <c r="B9231" s="709">
        <v>106078</v>
      </c>
      <c r="C9231" s="710" t="s">
        <v>7647</v>
      </c>
      <c r="D9231" s="709" t="s">
        <v>136</v>
      </c>
      <c r="E9231" s="716">
        <v>0</v>
      </c>
      <c r="F9231" s="717"/>
      <c r="G9231" t="e">
        <f>VLOOKUP(B9231,'SINAPI-%MO'!B:E,4,0)</f>
        <v>#N/A</v>
      </c>
      <c r="H9231" s="225" t="str">
        <f t="shared" si="144"/>
        <v/>
      </c>
    </row>
    <row r="9232" spans="1:8" x14ac:dyDescent="0.3">
      <c r="A9232" s="400"/>
      <c r="B9232" s="709">
        <v>103401</v>
      </c>
      <c r="C9232" s="710" t="s">
        <v>7648</v>
      </c>
      <c r="D9232" s="709" t="s">
        <v>136</v>
      </c>
      <c r="E9232" s="716">
        <v>22.63</v>
      </c>
      <c r="F9232" s="717">
        <v>0</v>
      </c>
      <c r="G9232">
        <f>VLOOKUP(B9232,'SINAPI-%MO'!B:E,4,0)</f>
        <v>1</v>
      </c>
      <c r="H9232" s="225">
        <f t="shared" si="144"/>
        <v>0</v>
      </c>
    </row>
    <row r="9233" spans="1:8" x14ac:dyDescent="0.3">
      <c r="A9233" s="400"/>
      <c r="B9233" s="709">
        <v>103402</v>
      </c>
      <c r="C9233" s="710" t="s">
        <v>7649</v>
      </c>
      <c r="D9233" s="709" t="s">
        <v>136</v>
      </c>
      <c r="E9233" s="716">
        <v>32.92</v>
      </c>
      <c r="F9233" s="717">
        <v>0</v>
      </c>
      <c r="G9233">
        <f>VLOOKUP(B9233,'SINAPI-%MO'!B:E,4,0)</f>
        <v>1</v>
      </c>
      <c r="H9233" s="225">
        <f t="shared" si="144"/>
        <v>0</v>
      </c>
    </row>
    <row r="9234" spans="1:8" x14ac:dyDescent="0.3">
      <c r="A9234" s="400"/>
      <c r="B9234" s="709">
        <v>103403</v>
      </c>
      <c r="C9234" s="710" t="s">
        <v>7650</v>
      </c>
      <c r="D9234" s="709" t="s">
        <v>136</v>
      </c>
      <c r="E9234" s="716">
        <v>37.04</v>
      </c>
      <c r="F9234" s="717">
        <v>0</v>
      </c>
      <c r="G9234">
        <f>VLOOKUP(B9234,'SINAPI-%MO'!B:E,4,0)</f>
        <v>1</v>
      </c>
      <c r="H9234" s="225">
        <f t="shared" si="144"/>
        <v>0</v>
      </c>
    </row>
    <row r="9235" spans="1:8" x14ac:dyDescent="0.3">
      <c r="A9235" s="400"/>
      <c r="B9235" s="709">
        <v>103397</v>
      </c>
      <c r="C9235" s="710" t="s">
        <v>7651</v>
      </c>
      <c r="D9235" s="709" t="s">
        <v>136</v>
      </c>
      <c r="E9235" s="716">
        <v>4.1100000000000003</v>
      </c>
      <c r="F9235" s="717">
        <v>0</v>
      </c>
      <c r="G9235">
        <f>VLOOKUP(B9235,'SINAPI-%MO'!B:E,4,0)</f>
        <v>1</v>
      </c>
      <c r="H9235" s="225">
        <f t="shared" si="144"/>
        <v>0</v>
      </c>
    </row>
    <row r="9236" spans="1:8" x14ac:dyDescent="0.3">
      <c r="A9236" s="400"/>
      <c r="B9236" s="709">
        <v>103404</v>
      </c>
      <c r="C9236" s="710" t="s">
        <v>7652</v>
      </c>
      <c r="D9236" s="709" t="s">
        <v>136</v>
      </c>
      <c r="E9236" s="716">
        <v>41.15</v>
      </c>
      <c r="F9236" s="717">
        <v>0</v>
      </c>
      <c r="G9236">
        <f>VLOOKUP(B9236,'SINAPI-%MO'!B:E,4,0)</f>
        <v>1</v>
      </c>
      <c r="H9236" s="225">
        <f t="shared" si="144"/>
        <v>0</v>
      </c>
    </row>
    <row r="9237" spans="1:8" x14ac:dyDescent="0.3">
      <c r="A9237" s="400"/>
      <c r="B9237" s="709">
        <v>103405</v>
      </c>
      <c r="C9237" s="710" t="s">
        <v>7653</v>
      </c>
      <c r="D9237" s="709" t="s">
        <v>136</v>
      </c>
      <c r="E9237" s="716">
        <v>46.29</v>
      </c>
      <c r="F9237" s="717">
        <v>0</v>
      </c>
      <c r="G9237">
        <f>VLOOKUP(B9237,'SINAPI-%MO'!B:E,4,0)</f>
        <v>1</v>
      </c>
      <c r="H9237" s="225">
        <f t="shared" si="144"/>
        <v>0</v>
      </c>
    </row>
    <row r="9238" spans="1:8" x14ac:dyDescent="0.3">
      <c r="A9238" s="400"/>
      <c r="B9238" s="709">
        <v>103406</v>
      </c>
      <c r="C9238" s="710" t="s">
        <v>7654</v>
      </c>
      <c r="D9238" s="709" t="s">
        <v>136</v>
      </c>
      <c r="E9238" s="716">
        <v>51.44</v>
      </c>
      <c r="F9238" s="717">
        <v>0</v>
      </c>
      <c r="G9238">
        <f>VLOOKUP(B9238,'SINAPI-%MO'!B:E,4,0)</f>
        <v>1</v>
      </c>
      <c r="H9238" s="225">
        <f t="shared" si="144"/>
        <v>0</v>
      </c>
    </row>
    <row r="9239" spans="1:8" x14ac:dyDescent="0.3">
      <c r="A9239" s="400"/>
      <c r="B9239" s="709">
        <v>103407</v>
      </c>
      <c r="C9239" s="710" t="s">
        <v>7655</v>
      </c>
      <c r="D9239" s="709" t="s">
        <v>136</v>
      </c>
      <c r="E9239" s="716">
        <v>57.61</v>
      </c>
      <c r="F9239" s="717">
        <v>0</v>
      </c>
      <c r="G9239">
        <f>VLOOKUP(B9239,'SINAPI-%MO'!B:E,4,0)</f>
        <v>1</v>
      </c>
      <c r="H9239" s="225">
        <f t="shared" si="144"/>
        <v>0</v>
      </c>
    </row>
    <row r="9240" spans="1:8" x14ac:dyDescent="0.3">
      <c r="A9240" s="400"/>
      <c r="B9240" s="709">
        <v>103408</v>
      </c>
      <c r="C9240" s="710" t="s">
        <v>7656</v>
      </c>
      <c r="D9240" s="709" t="s">
        <v>136</v>
      </c>
      <c r="E9240" s="716">
        <v>64.819999999999993</v>
      </c>
      <c r="F9240" s="717">
        <v>0</v>
      </c>
      <c r="G9240">
        <f>VLOOKUP(B9240,'SINAPI-%MO'!B:E,4,0)</f>
        <v>1</v>
      </c>
      <c r="H9240" s="225">
        <f t="shared" si="144"/>
        <v>0</v>
      </c>
    </row>
    <row r="9241" spans="1:8" x14ac:dyDescent="0.3">
      <c r="A9241" s="400"/>
      <c r="B9241" s="709">
        <v>103398</v>
      </c>
      <c r="C9241" s="710" t="s">
        <v>7657</v>
      </c>
      <c r="D9241" s="709" t="s">
        <v>136</v>
      </c>
      <c r="E9241" s="716">
        <v>6.57</v>
      </c>
      <c r="F9241" s="717">
        <v>0</v>
      </c>
      <c r="G9241">
        <f>VLOOKUP(B9241,'SINAPI-%MO'!B:E,4,0)</f>
        <v>1</v>
      </c>
      <c r="H9241" s="225">
        <f t="shared" si="144"/>
        <v>0</v>
      </c>
    </row>
    <row r="9242" spans="1:8" x14ac:dyDescent="0.3">
      <c r="A9242" s="400"/>
      <c r="B9242" s="709">
        <v>103409</v>
      </c>
      <c r="C9242" s="710" t="s">
        <v>7658</v>
      </c>
      <c r="D9242" s="709" t="s">
        <v>136</v>
      </c>
      <c r="E9242" s="716">
        <v>73.05</v>
      </c>
      <c r="F9242" s="717">
        <v>0</v>
      </c>
      <c r="G9242">
        <f>VLOOKUP(B9242,'SINAPI-%MO'!B:E,4,0)</f>
        <v>1</v>
      </c>
      <c r="H9242" s="225">
        <f t="shared" si="144"/>
        <v>0</v>
      </c>
    </row>
    <row r="9243" spans="1:8" x14ac:dyDescent="0.3">
      <c r="A9243" s="400"/>
      <c r="B9243" s="709">
        <v>103410</v>
      </c>
      <c r="C9243" s="710" t="s">
        <v>7659</v>
      </c>
      <c r="D9243" s="709" t="s">
        <v>136</v>
      </c>
      <c r="E9243" s="716">
        <v>82.31</v>
      </c>
      <c r="F9243" s="717">
        <v>0</v>
      </c>
      <c r="G9243">
        <f>VLOOKUP(B9243,'SINAPI-%MO'!B:E,4,0)</f>
        <v>1</v>
      </c>
      <c r="H9243" s="225">
        <f t="shared" si="144"/>
        <v>0</v>
      </c>
    </row>
    <row r="9244" spans="1:8" x14ac:dyDescent="0.3">
      <c r="A9244" s="400"/>
      <c r="B9244" s="709">
        <v>103399</v>
      </c>
      <c r="C9244" s="710" t="s">
        <v>7660</v>
      </c>
      <c r="D9244" s="709" t="s">
        <v>136</v>
      </c>
      <c r="E9244" s="716">
        <v>12.95</v>
      </c>
      <c r="F9244" s="717">
        <v>0</v>
      </c>
      <c r="G9244">
        <f>VLOOKUP(B9244,'SINAPI-%MO'!B:E,4,0)</f>
        <v>1</v>
      </c>
      <c r="H9244" s="225">
        <f t="shared" si="144"/>
        <v>0</v>
      </c>
    </row>
    <row r="9245" spans="1:8" x14ac:dyDescent="0.3">
      <c r="A9245" s="400"/>
      <c r="B9245" s="709">
        <v>103400</v>
      </c>
      <c r="C9245" s="710" t="s">
        <v>7661</v>
      </c>
      <c r="D9245" s="709" t="s">
        <v>136</v>
      </c>
      <c r="E9245" s="716">
        <v>18.52</v>
      </c>
      <c r="F9245" s="717">
        <v>0</v>
      </c>
      <c r="G9245">
        <f>VLOOKUP(B9245,'SINAPI-%MO'!B:E,4,0)</f>
        <v>1</v>
      </c>
      <c r="H9245" s="225">
        <f t="shared" si="144"/>
        <v>0</v>
      </c>
    </row>
    <row r="9246" spans="1:8" x14ac:dyDescent="0.3">
      <c r="A9246" s="400"/>
      <c r="B9246" s="709">
        <v>103415</v>
      </c>
      <c r="C9246" s="710" t="s">
        <v>7662</v>
      </c>
      <c r="D9246" s="709" t="s">
        <v>136</v>
      </c>
      <c r="E9246" s="716">
        <v>45.27</v>
      </c>
      <c r="F9246" s="717">
        <v>0</v>
      </c>
      <c r="G9246">
        <f>VLOOKUP(B9246,'SINAPI-%MO'!B:E,4,0)</f>
        <v>1</v>
      </c>
      <c r="H9246" s="225">
        <f t="shared" si="144"/>
        <v>0</v>
      </c>
    </row>
    <row r="9247" spans="1:8" x14ac:dyDescent="0.3">
      <c r="A9247" s="400"/>
      <c r="B9247" s="709">
        <v>103416</v>
      </c>
      <c r="C9247" s="710" t="s">
        <v>7663</v>
      </c>
      <c r="D9247" s="709" t="s">
        <v>136</v>
      </c>
      <c r="E9247" s="716">
        <v>65.849999999999994</v>
      </c>
      <c r="F9247" s="717">
        <v>0</v>
      </c>
      <c r="G9247">
        <f>VLOOKUP(B9247,'SINAPI-%MO'!B:E,4,0)</f>
        <v>1</v>
      </c>
      <c r="H9247" s="225">
        <f t="shared" si="144"/>
        <v>0</v>
      </c>
    </row>
    <row r="9248" spans="1:8" x14ac:dyDescent="0.3">
      <c r="A9248" s="400"/>
      <c r="B9248" s="709">
        <v>103417</v>
      </c>
      <c r="C9248" s="710" t="s">
        <v>7664</v>
      </c>
      <c r="D9248" s="709" t="s">
        <v>136</v>
      </c>
      <c r="E9248" s="716">
        <v>74.08</v>
      </c>
      <c r="F9248" s="717">
        <v>0</v>
      </c>
      <c r="G9248">
        <f>VLOOKUP(B9248,'SINAPI-%MO'!B:E,4,0)</f>
        <v>1</v>
      </c>
      <c r="H9248" s="225">
        <f t="shared" si="144"/>
        <v>0</v>
      </c>
    </row>
    <row r="9249" spans="1:8" x14ac:dyDescent="0.3">
      <c r="A9249" s="400"/>
      <c r="B9249" s="709">
        <v>103411</v>
      </c>
      <c r="C9249" s="710" t="s">
        <v>7665</v>
      </c>
      <c r="D9249" s="709" t="s">
        <v>136</v>
      </c>
      <c r="E9249" s="716">
        <v>8.2200000000000006</v>
      </c>
      <c r="F9249" s="717">
        <v>0</v>
      </c>
      <c r="G9249">
        <f>VLOOKUP(B9249,'SINAPI-%MO'!B:E,4,0)</f>
        <v>1</v>
      </c>
      <c r="H9249" s="225">
        <f t="shared" si="144"/>
        <v>0</v>
      </c>
    </row>
    <row r="9250" spans="1:8" x14ac:dyDescent="0.3">
      <c r="A9250" s="400"/>
      <c r="B9250" s="709">
        <v>103418</v>
      </c>
      <c r="C9250" s="710" t="s">
        <v>7666</v>
      </c>
      <c r="D9250" s="709" t="s">
        <v>136</v>
      </c>
      <c r="E9250" s="716">
        <v>82.31</v>
      </c>
      <c r="F9250" s="717">
        <v>0</v>
      </c>
      <c r="G9250">
        <f>VLOOKUP(B9250,'SINAPI-%MO'!B:E,4,0)</f>
        <v>1</v>
      </c>
      <c r="H9250" s="225">
        <f t="shared" si="144"/>
        <v>0</v>
      </c>
    </row>
    <row r="9251" spans="1:8" x14ac:dyDescent="0.3">
      <c r="A9251" s="400"/>
      <c r="B9251" s="709">
        <v>103419</v>
      </c>
      <c r="C9251" s="710" t="s">
        <v>7667</v>
      </c>
      <c r="D9251" s="709" t="s">
        <v>136</v>
      </c>
      <c r="E9251" s="716">
        <v>92.6</v>
      </c>
      <c r="F9251" s="717">
        <v>0</v>
      </c>
      <c r="G9251">
        <f>VLOOKUP(B9251,'SINAPI-%MO'!B:E,4,0)</f>
        <v>1</v>
      </c>
      <c r="H9251" s="225">
        <f t="shared" si="144"/>
        <v>0</v>
      </c>
    </row>
    <row r="9252" spans="1:8" x14ac:dyDescent="0.3">
      <c r="A9252" s="400"/>
      <c r="B9252" s="709">
        <v>103420</v>
      </c>
      <c r="C9252" s="710" t="s">
        <v>7668</v>
      </c>
      <c r="D9252" s="709" t="s">
        <v>136</v>
      </c>
      <c r="E9252" s="716">
        <v>102.89</v>
      </c>
      <c r="F9252" s="717">
        <v>0</v>
      </c>
      <c r="G9252">
        <f>VLOOKUP(B9252,'SINAPI-%MO'!B:E,4,0)</f>
        <v>1</v>
      </c>
      <c r="H9252" s="225">
        <f t="shared" si="144"/>
        <v>0</v>
      </c>
    </row>
    <row r="9253" spans="1:8" x14ac:dyDescent="0.3">
      <c r="A9253" s="400"/>
      <c r="B9253" s="709">
        <v>103421</v>
      </c>
      <c r="C9253" s="710" t="s">
        <v>7669</v>
      </c>
      <c r="D9253" s="709" t="s">
        <v>136</v>
      </c>
      <c r="E9253" s="716">
        <v>115.24</v>
      </c>
      <c r="F9253" s="717">
        <v>0</v>
      </c>
      <c r="G9253">
        <f>VLOOKUP(B9253,'SINAPI-%MO'!B:E,4,0)</f>
        <v>1</v>
      </c>
      <c r="H9253" s="225">
        <f t="shared" si="144"/>
        <v>0</v>
      </c>
    </row>
    <row r="9254" spans="1:8" x14ac:dyDescent="0.3">
      <c r="A9254" s="400"/>
      <c r="B9254" s="709">
        <v>103422</v>
      </c>
      <c r="C9254" s="710" t="s">
        <v>7670</v>
      </c>
      <c r="D9254" s="709" t="s">
        <v>136</v>
      </c>
      <c r="E9254" s="716">
        <v>129.65</v>
      </c>
      <c r="F9254" s="717">
        <v>0</v>
      </c>
      <c r="G9254">
        <f>VLOOKUP(B9254,'SINAPI-%MO'!B:E,4,0)</f>
        <v>1</v>
      </c>
      <c r="H9254" s="225">
        <f t="shared" si="144"/>
        <v>0</v>
      </c>
    </row>
    <row r="9255" spans="1:8" x14ac:dyDescent="0.3">
      <c r="A9255" s="400"/>
      <c r="B9255" s="709">
        <v>103412</v>
      </c>
      <c r="C9255" s="710" t="s">
        <v>7671</v>
      </c>
      <c r="D9255" s="709" t="s">
        <v>136</v>
      </c>
      <c r="E9255" s="716">
        <v>13.16</v>
      </c>
      <c r="F9255" s="717">
        <v>0</v>
      </c>
      <c r="G9255">
        <f>VLOOKUP(B9255,'SINAPI-%MO'!B:E,4,0)</f>
        <v>1</v>
      </c>
      <c r="H9255" s="225">
        <f t="shared" si="144"/>
        <v>0</v>
      </c>
    </row>
    <row r="9256" spans="1:8" x14ac:dyDescent="0.3">
      <c r="A9256" s="400"/>
      <c r="B9256" s="709">
        <v>103423</v>
      </c>
      <c r="C9256" s="710" t="s">
        <v>7672</v>
      </c>
      <c r="D9256" s="709" t="s">
        <v>136</v>
      </c>
      <c r="E9256" s="716">
        <v>146.11000000000001</v>
      </c>
      <c r="F9256" s="717">
        <v>0</v>
      </c>
      <c r="G9256">
        <f>VLOOKUP(B9256,'SINAPI-%MO'!B:E,4,0)</f>
        <v>1</v>
      </c>
      <c r="H9256" s="225">
        <f t="shared" si="144"/>
        <v>0</v>
      </c>
    </row>
    <row r="9257" spans="1:8" x14ac:dyDescent="0.3">
      <c r="A9257" s="400"/>
      <c r="B9257" s="709">
        <v>103424</v>
      </c>
      <c r="C9257" s="710" t="s">
        <v>7673</v>
      </c>
      <c r="D9257" s="709" t="s">
        <v>136</v>
      </c>
      <c r="E9257" s="716">
        <v>164.63</v>
      </c>
      <c r="F9257" s="717">
        <v>0</v>
      </c>
      <c r="G9257">
        <f>VLOOKUP(B9257,'SINAPI-%MO'!B:E,4,0)</f>
        <v>1</v>
      </c>
      <c r="H9257" s="225">
        <f t="shared" si="144"/>
        <v>0</v>
      </c>
    </row>
    <row r="9258" spans="1:8" x14ac:dyDescent="0.3">
      <c r="A9258" s="400"/>
      <c r="B9258" s="709">
        <v>103413</v>
      </c>
      <c r="C9258" s="710" t="s">
        <v>7674</v>
      </c>
      <c r="D9258" s="709" t="s">
        <v>136</v>
      </c>
      <c r="E9258" s="716">
        <v>25.92</v>
      </c>
      <c r="F9258" s="717">
        <v>0</v>
      </c>
      <c r="G9258">
        <f>VLOOKUP(B9258,'SINAPI-%MO'!B:E,4,0)</f>
        <v>1</v>
      </c>
      <c r="H9258" s="225">
        <f t="shared" si="144"/>
        <v>0</v>
      </c>
    </row>
    <row r="9259" spans="1:8" x14ac:dyDescent="0.3">
      <c r="A9259" s="400"/>
      <c r="B9259" s="709">
        <v>103414</v>
      </c>
      <c r="C9259" s="710" t="s">
        <v>7675</v>
      </c>
      <c r="D9259" s="709" t="s">
        <v>136</v>
      </c>
      <c r="E9259" s="716">
        <v>37.04</v>
      </c>
      <c r="F9259" s="717">
        <v>0</v>
      </c>
      <c r="G9259">
        <f>VLOOKUP(B9259,'SINAPI-%MO'!B:E,4,0)</f>
        <v>1</v>
      </c>
      <c r="H9259" s="225">
        <f t="shared" si="144"/>
        <v>0</v>
      </c>
    </row>
    <row r="9260" spans="1:8" x14ac:dyDescent="0.3">
      <c r="A9260" s="400"/>
      <c r="B9260" s="709">
        <v>103432</v>
      </c>
      <c r="C9260" s="710" t="s">
        <v>7676</v>
      </c>
      <c r="D9260" s="709" t="s">
        <v>136</v>
      </c>
      <c r="E9260" s="716">
        <v>1705.47</v>
      </c>
      <c r="F9260" s="717">
        <v>0</v>
      </c>
      <c r="G9260">
        <f>VLOOKUP(B9260,'SINAPI-%MO'!B:E,4,0)</f>
        <v>2.41E-2</v>
      </c>
      <c r="H9260" s="225">
        <f t="shared" si="144"/>
        <v>1664.36</v>
      </c>
    </row>
    <row r="9261" spans="1:8" x14ac:dyDescent="0.3">
      <c r="A9261" s="400"/>
      <c r="B9261" s="709">
        <v>103430</v>
      </c>
      <c r="C9261" s="710" t="s">
        <v>7677</v>
      </c>
      <c r="D9261" s="709" t="s">
        <v>136</v>
      </c>
      <c r="E9261" s="716">
        <v>36.479999999999997</v>
      </c>
      <c r="F9261" s="717">
        <v>0</v>
      </c>
      <c r="G9261">
        <f>VLOOKUP(B9261,'SINAPI-%MO'!B:E,4,0)</f>
        <v>0.18010000000000001</v>
      </c>
      <c r="H9261" s="225">
        <f t="shared" si="144"/>
        <v>29.9</v>
      </c>
    </row>
    <row r="9262" spans="1:8" x14ac:dyDescent="0.3">
      <c r="A9262" s="400"/>
      <c r="B9262" s="709">
        <v>103431</v>
      </c>
      <c r="C9262" s="710" t="s">
        <v>7678</v>
      </c>
      <c r="D9262" s="709" t="s">
        <v>136</v>
      </c>
      <c r="E9262" s="716">
        <v>64.010000000000005</v>
      </c>
      <c r="F9262" s="717">
        <v>0</v>
      </c>
      <c r="G9262">
        <f>VLOOKUP(B9262,'SINAPI-%MO'!B:E,4,0)</f>
        <v>0.20230000000000001</v>
      </c>
      <c r="H9262" s="225">
        <f t="shared" si="144"/>
        <v>51.06</v>
      </c>
    </row>
    <row r="9263" spans="1:8" x14ac:dyDescent="0.3">
      <c r="A9263" s="400"/>
      <c r="B9263" s="709">
        <v>103433</v>
      </c>
      <c r="C9263" s="710" t="s">
        <v>7679</v>
      </c>
      <c r="D9263" s="709" t="s">
        <v>136</v>
      </c>
      <c r="E9263" s="716">
        <v>36.01</v>
      </c>
      <c r="F9263" s="717">
        <v>0</v>
      </c>
      <c r="G9263">
        <f>VLOOKUP(B9263,'SINAPI-%MO'!B:E,4,0)</f>
        <v>0.11409999999999999</v>
      </c>
      <c r="H9263" s="225">
        <f t="shared" si="144"/>
        <v>31.9</v>
      </c>
    </row>
    <row r="9264" spans="1:8" x14ac:dyDescent="0.3">
      <c r="A9264" s="400"/>
      <c r="B9264" s="709">
        <v>103434</v>
      </c>
      <c r="C9264" s="710" t="s">
        <v>7680</v>
      </c>
      <c r="D9264" s="709" t="s">
        <v>136</v>
      </c>
      <c r="E9264" s="716">
        <v>49.84</v>
      </c>
      <c r="F9264" s="717">
        <v>0</v>
      </c>
      <c r="G9264">
        <f>VLOOKUP(B9264,'SINAPI-%MO'!B:E,4,0)</f>
        <v>0.1318</v>
      </c>
      <c r="H9264" s="225">
        <f t="shared" si="144"/>
        <v>43.27</v>
      </c>
    </row>
    <row r="9265" spans="1:8" x14ac:dyDescent="0.3">
      <c r="A9265" s="400"/>
      <c r="B9265" s="709">
        <v>103435</v>
      </c>
      <c r="C9265" s="710" t="s">
        <v>289</v>
      </c>
      <c r="D9265" s="709" t="s">
        <v>136</v>
      </c>
      <c r="E9265" s="716">
        <v>92.77</v>
      </c>
      <c r="F9265" s="717">
        <v>0</v>
      </c>
      <c r="G9265">
        <f>VLOOKUP(B9265,'SINAPI-%MO'!B:E,4,0)</f>
        <v>0.1396</v>
      </c>
      <c r="H9265" s="225">
        <f t="shared" si="144"/>
        <v>79.81</v>
      </c>
    </row>
    <row r="9266" spans="1:8" x14ac:dyDescent="0.3">
      <c r="A9266" s="400"/>
      <c r="B9266" s="709">
        <v>103436</v>
      </c>
      <c r="C9266" s="710" t="s">
        <v>7681</v>
      </c>
      <c r="D9266" s="709" t="s">
        <v>136</v>
      </c>
      <c r="E9266" s="716">
        <v>2414.69</v>
      </c>
      <c r="F9266" s="717">
        <v>0</v>
      </c>
      <c r="G9266">
        <f>VLOOKUP(B9266,'SINAPI-%MO'!B:E,4,0)</f>
        <v>1.7000000000000001E-2</v>
      </c>
      <c r="H9266" s="225">
        <f t="shared" si="144"/>
        <v>2373.64</v>
      </c>
    </row>
    <row r="9267" spans="1:8" x14ac:dyDescent="0.3">
      <c r="A9267" s="400"/>
      <c r="B9267" s="709">
        <v>103482</v>
      </c>
      <c r="C9267" s="710" t="s">
        <v>7682</v>
      </c>
      <c r="D9267" s="709" t="s">
        <v>136</v>
      </c>
      <c r="E9267" s="716">
        <v>0</v>
      </c>
      <c r="F9267" s="717"/>
      <c r="G9267" t="e">
        <f>VLOOKUP(B9267,'SINAPI-%MO'!B:E,4,0)</f>
        <v>#N/A</v>
      </c>
      <c r="H9267" s="225" t="str">
        <f t="shared" si="144"/>
        <v/>
      </c>
    </row>
    <row r="9268" spans="1:8" x14ac:dyDescent="0.3">
      <c r="A9268" s="400"/>
      <c r="B9268" s="709">
        <v>103465</v>
      </c>
      <c r="C9268" s="710" t="s">
        <v>7683</v>
      </c>
      <c r="D9268" s="709" t="s">
        <v>136</v>
      </c>
      <c r="E9268" s="716">
        <v>0</v>
      </c>
      <c r="F9268" s="717"/>
      <c r="G9268" t="e">
        <f>VLOOKUP(B9268,'SINAPI-%MO'!B:E,4,0)</f>
        <v>#N/A</v>
      </c>
      <c r="H9268" s="225" t="str">
        <f t="shared" si="144"/>
        <v/>
      </c>
    </row>
    <row r="9269" spans="1:8" x14ac:dyDescent="0.3">
      <c r="A9269" s="400"/>
      <c r="B9269" s="709">
        <v>103483</v>
      </c>
      <c r="C9269" s="710" t="s">
        <v>7684</v>
      </c>
      <c r="D9269" s="709" t="s">
        <v>136</v>
      </c>
      <c r="E9269" s="716">
        <v>0</v>
      </c>
      <c r="F9269" s="717"/>
      <c r="G9269" t="e">
        <f>VLOOKUP(B9269,'SINAPI-%MO'!B:E,4,0)</f>
        <v>#N/A</v>
      </c>
      <c r="H9269" s="225" t="str">
        <f t="shared" si="144"/>
        <v/>
      </c>
    </row>
    <row r="9270" spans="1:8" x14ac:dyDescent="0.3">
      <c r="A9270" s="400"/>
      <c r="B9270" s="709">
        <v>103484</v>
      </c>
      <c r="C9270" s="710" t="s">
        <v>7685</v>
      </c>
      <c r="D9270" s="709" t="s">
        <v>136</v>
      </c>
      <c r="E9270" s="716">
        <v>0</v>
      </c>
      <c r="F9270" s="717"/>
      <c r="G9270" t="e">
        <f>VLOOKUP(B9270,'SINAPI-%MO'!B:E,4,0)</f>
        <v>#N/A</v>
      </c>
      <c r="H9270" s="225" t="str">
        <f t="shared" si="144"/>
        <v/>
      </c>
    </row>
    <row r="9271" spans="1:8" x14ac:dyDescent="0.3">
      <c r="A9271" s="400"/>
      <c r="B9271" s="709">
        <v>103466</v>
      </c>
      <c r="C9271" s="710" t="s">
        <v>7686</v>
      </c>
      <c r="D9271" s="709" t="s">
        <v>136</v>
      </c>
      <c r="E9271" s="716">
        <v>0</v>
      </c>
      <c r="F9271" s="717"/>
      <c r="G9271" t="e">
        <f>VLOOKUP(B9271,'SINAPI-%MO'!B:E,4,0)</f>
        <v>#N/A</v>
      </c>
      <c r="H9271" s="225" t="str">
        <f t="shared" si="144"/>
        <v/>
      </c>
    </row>
    <row r="9272" spans="1:8" x14ac:dyDescent="0.3">
      <c r="A9272" s="400"/>
      <c r="B9272" s="709">
        <v>103485</v>
      </c>
      <c r="C9272" s="710" t="s">
        <v>7687</v>
      </c>
      <c r="D9272" s="709" t="s">
        <v>136</v>
      </c>
      <c r="E9272" s="716">
        <v>0</v>
      </c>
      <c r="F9272" s="717"/>
      <c r="G9272" t="e">
        <f>VLOOKUP(B9272,'SINAPI-%MO'!B:E,4,0)</f>
        <v>#N/A</v>
      </c>
      <c r="H9272" s="225" t="str">
        <f t="shared" si="144"/>
        <v/>
      </c>
    </row>
    <row r="9273" spans="1:8" x14ac:dyDescent="0.3">
      <c r="A9273" s="400"/>
      <c r="B9273" s="709">
        <v>103467</v>
      </c>
      <c r="C9273" s="710" t="s">
        <v>7688</v>
      </c>
      <c r="D9273" s="709" t="s">
        <v>136</v>
      </c>
      <c r="E9273" s="716">
        <v>0</v>
      </c>
      <c r="F9273" s="717"/>
      <c r="G9273" t="e">
        <f>VLOOKUP(B9273,'SINAPI-%MO'!B:E,4,0)</f>
        <v>#N/A</v>
      </c>
      <c r="H9273" s="225" t="str">
        <f t="shared" si="144"/>
        <v/>
      </c>
    </row>
    <row r="9274" spans="1:8" x14ac:dyDescent="0.3">
      <c r="A9274" s="400"/>
      <c r="B9274" s="709">
        <v>103461</v>
      </c>
      <c r="C9274" s="710" t="s">
        <v>7689</v>
      </c>
      <c r="D9274" s="709" t="s">
        <v>136</v>
      </c>
      <c r="E9274" s="716">
        <v>0</v>
      </c>
      <c r="F9274" s="717"/>
      <c r="G9274" t="e">
        <f>VLOOKUP(B9274,'SINAPI-%MO'!B:E,4,0)</f>
        <v>#N/A</v>
      </c>
      <c r="H9274" s="225" t="str">
        <f t="shared" si="144"/>
        <v/>
      </c>
    </row>
    <row r="9275" spans="1:8" x14ac:dyDescent="0.3">
      <c r="A9275" s="400"/>
      <c r="B9275" s="709">
        <v>103468</v>
      </c>
      <c r="C9275" s="710" t="s">
        <v>7690</v>
      </c>
      <c r="D9275" s="709" t="s">
        <v>136</v>
      </c>
      <c r="E9275" s="716">
        <v>0</v>
      </c>
      <c r="F9275" s="717"/>
      <c r="G9275" t="e">
        <f>VLOOKUP(B9275,'SINAPI-%MO'!B:E,4,0)</f>
        <v>#N/A</v>
      </c>
      <c r="H9275" s="225" t="str">
        <f t="shared" si="144"/>
        <v/>
      </c>
    </row>
    <row r="9276" spans="1:8" x14ac:dyDescent="0.3">
      <c r="A9276" s="400"/>
      <c r="B9276" s="709">
        <v>103469</v>
      </c>
      <c r="C9276" s="710" t="s">
        <v>7691</v>
      </c>
      <c r="D9276" s="709" t="s">
        <v>136</v>
      </c>
      <c r="E9276" s="716">
        <v>0</v>
      </c>
      <c r="F9276" s="717"/>
      <c r="G9276" t="e">
        <f>VLOOKUP(B9276,'SINAPI-%MO'!B:E,4,0)</f>
        <v>#N/A</v>
      </c>
      <c r="H9276" s="225" t="str">
        <f t="shared" si="144"/>
        <v/>
      </c>
    </row>
    <row r="9277" spans="1:8" x14ac:dyDescent="0.3">
      <c r="A9277" s="400"/>
      <c r="B9277" s="709">
        <v>103470</v>
      </c>
      <c r="C9277" s="710" t="s">
        <v>7692</v>
      </c>
      <c r="D9277" s="709" t="s">
        <v>136</v>
      </c>
      <c r="E9277" s="716">
        <v>0</v>
      </c>
      <c r="F9277" s="717"/>
      <c r="G9277" t="e">
        <f>VLOOKUP(B9277,'SINAPI-%MO'!B:E,4,0)</f>
        <v>#N/A</v>
      </c>
      <c r="H9277" s="225" t="str">
        <f t="shared" si="144"/>
        <v/>
      </c>
    </row>
    <row r="9278" spans="1:8" x14ac:dyDescent="0.3">
      <c r="A9278" s="400"/>
      <c r="B9278" s="709">
        <v>103471</v>
      </c>
      <c r="C9278" s="710" t="s">
        <v>7693</v>
      </c>
      <c r="D9278" s="709" t="s">
        <v>136</v>
      </c>
      <c r="E9278" s="716">
        <v>0</v>
      </c>
      <c r="F9278" s="717"/>
      <c r="G9278" t="e">
        <f>VLOOKUP(B9278,'SINAPI-%MO'!B:E,4,0)</f>
        <v>#N/A</v>
      </c>
      <c r="H9278" s="225" t="str">
        <f t="shared" si="144"/>
        <v/>
      </c>
    </row>
    <row r="9279" spans="1:8" x14ac:dyDescent="0.3">
      <c r="A9279" s="400"/>
      <c r="B9279" s="709">
        <v>103472</v>
      </c>
      <c r="C9279" s="710" t="s">
        <v>7694</v>
      </c>
      <c r="D9279" s="709" t="s">
        <v>136</v>
      </c>
      <c r="E9279" s="716">
        <v>0</v>
      </c>
      <c r="F9279" s="717"/>
      <c r="G9279" t="e">
        <f>VLOOKUP(B9279,'SINAPI-%MO'!B:E,4,0)</f>
        <v>#N/A</v>
      </c>
      <c r="H9279" s="225" t="str">
        <f t="shared" si="144"/>
        <v/>
      </c>
    </row>
    <row r="9280" spans="1:8" x14ac:dyDescent="0.3">
      <c r="A9280" s="400"/>
      <c r="B9280" s="709">
        <v>103462</v>
      </c>
      <c r="C9280" s="710" t="s">
        <v>7695</v>
      </c>
      <c r="D9280" s="709" t="s">
        <v>136</v>
      </c>
      <c r="E9280" s="716">
        <v>0</v>
      </c>
      <c r="F9280" s="717"/>
      <c r="G9280" t="e">
        <f>VLOOKUP(B9280,'SINAPI-%MO'!B:E,4,0)</f>
        <v>#N/A</v>
      </c>
      <c r="H9280" s="225" t="str">
        <f t="shared" si="144"/>
        <v/>
      </c>
    </row>
    <row r="9281" spans="1:8" x14ac:dyDescent="0.3">
      <c r="A9281" s="400"/>
      <c r="B9281" s="709">
        <v>103473</v>
      </c>
      <c r="C9281" s="710" t="s">
        <v>7696</v>
      </c>
      <c r="D9281" s="709" t="s">
        <v>136</v>
      </c>
      <c r="E9281" s="716">
        <v>0</v>
      </c>
      <c r="F9281" s="717"/>
      <c r="G9281" t="e">
        <f>VLOOKUP(B9281,'SINAPI-%MO'!B:E,4,0)</f>
        <v>#N/A</v>
      </c>
      <c r="H9281" s="225" t="str">
        <f t="shared" si="144"/>
        <v/>
      </c>
    </row>
    <row r="9282" spans="1:8" x14ac:dyDescent="0.3">
      <c r="A9282" s="400"/>
      <c r="B9282" s="709">
        <v>103474</v>
      </c>
      <c r="C9282" s="710" t="s">
        <v>7697</v>
      </c>
      <c r="D9282" s="709" t="s">
        <v>136</v>
      </c>
      <c r="E9282" s="716">
        <v>0</v>
      </c>
      <c r="F9282" s="717"/>
      <c r="G9282" t="e">
        <f>VLOOKUP(B9282,'SINAPI-%MO'!B:E,4,0)</f>
        <v>#N/A</v>
      </c>
      <c r="H9282" s="225" t="str">
        <f t="shared" si="144"/>
        <v/>
      </c>
    </row>
    <row r="9283" spans="1:8" x14ac:dyDescent="0.3">
      <c r="A9283" s="400"/>
      <c r="B9283" s="709">
        <v>103475</v>
      </c>
      <c r="C9283" s="710" t="s">
        <v>7698</v>
      </c>
      <c r="D9283" s="709" t="s">
        <v>136</v>
      </c>
      <c r="E9283" s="716">
        <v>0</v>
      </c>
      <c r="F9283" s="717"/>
      <c r="G9283" t="e">
        <f>VLOOKUP(B9283,'SINAPI-%MO'!B:E,4,0)</f>
        <v>#N/A</v>
      </c>
      <c r="H9283" s="225" t="str">
        <f t="shared" si="144"/>
        <v/>
      </c>
    </row>
    <row r="9284" spans="1:8" x14ac:dyDescent="0.3">
      <c r="A9284" s="400"/>
      <c r="B9284" s="709">
        <v>103476</v>
      </c>
      <c r="C9284" s="710" t="s">
        <v>7699</v>
      </c>
      <c r="D9284" s="709" t="s">
        <v>136</v>
      </c>
      <c r="E9284" s="716">
        <v>0</v>
      </c>
      <c r="F9284" s="717"/>
      <c r="G9284" t="e">
        <f>VLOOKUP(B9284,'SINAPI-%MO'!B:E,4,0)</f>
        <v>#N/A</v>
      </c>
      <c r="H9284" s="225" t="str">
        <f t="shared" si="144"/>
        <v/>
      </c>
    </row>
    <row r="9285" spans="1:8" x14ac:dyDescent="0.3">
      <c r="A9285" s="400"/>
      <c r="B9285" s="709">
        <v>103477</v>
      </c>
      <c r="C9285" s="710" t="s">
        <v>7700</v>
      </c>
      <c r="D9285" s="709" t="s">
        <v>136</v>
      </c>
      <c r="E9285" s="716">
        <v>0</v>
      </c>
      <c r="F9285" s="717"/>
      <c r="G9285" t="e">
        <f>VLOOKUP(B9285,'SINAPI-%MO'!B:E,4,0)</f>
        <v>#N/A</v>
      </c>
      <c r="H9285" s="225" t="str">
        <f t="shared" si="144"/>
        <v/>
      </c>
    </row>
    <row r="9286" spans="1:8" x14ac:dyDescent="0.3">
      <c r="A9286" s="400"/>
      <c r="B9286" s="709">
        <v>103463</v>
      </c>
      <c r="C9286" s="710" t="s">
        <v>7701</v>
      </c>
      <c r="D9286" s="709" t="s">
        <v>136</v>
      </c>
      <c r="E9286" s="716">
        <v>0</v>
      </c>
      <c r="F9286" s="717"/>
      <c r="G9286" t="e">
        <f>VLOOKUP(B9286,'SINAPI-%MO'!B:E,4,0)</f>
        <v>#N/A</v>
      </c>
      <c r="H9286" s="225" t="str">
        <f t="shared" si="144"/>
        <v/>
      </c>
    </row>
    <row r="9287" spans="1:8" x14ac:dyDescent="0.3">
      <c r="A9287" s="400"/>
      <c r="B9287" s="709">
        <v>103478</v>
      </c>
      <c r="C9287" s="710" t="s">
        <v>7702</v>
      </c>
      <c r="D9287" s="709" t="s">
        <v>136</v>
      </c>
      <c r="E9287" s="716">
        <v>0</v>
      </c>
      <c r="F9287" s="717"/>
      <c r="G9287" t="e">
        <f>VLOOKUP(B9287,'SINAPI-%MO'!B:E,4,0)</f>
        <v>#N/A</v>
      </c>
      <c r="H9287" s="225" t="str">
        <f t="shared" si="144"/>
        <v/>
      </c>
    </row>
    <row r="9288" spans="1:8" x14ac:dyDescent="0.3">
      <c r="A9288" s="400"/>
      <c r="B9288" s="709">
        <v>103479</v>
      </c>
      <c r="C9288" s="710" t="s">
        <v>7703</v>
      </c>
      <c r="D9288" s="709" t="s">
        <v>136</v>
      </c>
      <c r="E9288" s="716">
        <v>0</v>
      </c>
      <c r="F9288" s="717"/>
      <c r="G9288" t="e">
        <f>VLOOKUP(B9288,'SINAPI-%MO'!B:E,4,0)</f>
        <v>#N/A</v>
      </c>
      <c r="H9288" s="225" t="str">
        <f t="shared" si="144"/>
        <v/>
      </c>
    </row>
    <row r="9289" spans="1:8" x14ac:dyDescent="0.3">
      <c r="A9289" s="400"/>
      <c r="B9289" s="709">
        <v>103480</v>
      </c>
      <c r="C9289" s="710" t="s">
        <v>7704</v>
      </c>
      <c r="D9289" s="709" t="s">
        <v>136</v>
      </c>
      <c r="E9289" s="716">
        <v>0</v>
      </c>
      <c r="F9289" s="717"/>
      <c r="G9289" t="e">
        <f>VLOOKUP(B9289,'SINAPI-%MO'!B:E,4,0)</f>
        <v>#N/A</v>
      </c>
      <c r="H9289" s="225" t="str">
        <f t="shared" si="144"/>
        <v/>
      </c>
    </row>
    <row r="9290" spans="1:8" x14ac:dyDescent="0.3">
      <c r="A9290" s="400"/>
      <c r="B9290" s="709">
        <v>103464</v>
      </c>
      <c r="C9290" s="710" t="s">
        <v>7705</v>
      </c>
      <c r="D9290" s="709" t="s">
        <v>136</v>
      </c>
      <c r="E9290" s="716">
        <v>0</v>
      </c>
      <c r="F9290" s="717"/>
      <c r="G9290" t="e">
        <f>VLOOKUP(B9290,'SINAPI-%MO'!B:E,4,0)</f>
        <v>#N/A</v>
      </c>
      <c r="H9290" s="225" t="str">
        <f t="shared" si="144"/>
        <v/>
      </c>
    </row>
    <row r="9291" spans="1:8" x14ac:dyDescent="0.3">
      <c r="A9291" s="400"/>
      <c r="B9291" s="709">
        <v>103481</v>
      </c>
      <c r="C9291" s="710" t="s">
        <v>7706</v>
      </c>
      <c r="D9291" s="709" t="s">
        <v>136</v>
      </c>
      <c r="E9291" s="716">
        <v>0</v>
      </c>
      <c r="F9291" s="717"/>
      <c r="G9291" t="e">
        <f>VLOOKUP(B9291,'SINAPI-%MO'!B:E,4,0)</f>
        <v>#N/A</v>
      </c>
      <c r="H9291" s="225" t="str">
        <f t="shared" ref="H9291:H9354" si="145">IF(E9291&gt;0,TRUNC(E9291*(1-G9291),2),"")</f>
        <v/>
      </c>
    </row>
    <row r="9292" spans="1:8" x14ac:dyDescent="0.3">
      <c r="A9292" s="400"/>
      <c r="B9292" s="709">
        <v>103459</v>
      </c>
      <c r="C9292" s="710" t="s">
        <v>7707</v>
      </c>
      <c r="D9292" s="709" t="s">
        <v>136</v>
      </c>
      <c r="E9292" s="716">
        <v>0</v>
      </c>
      <c r="F9292" s="717"/>
      <c r="G9292" t="e">
        <f>VLOOKUP(B9292,'SINAPI-%MO'!B:E,4,0)</f>
        <v>#N/A</v>
      </c>
      <c r="H9292" s="225" t="str">
        <f t="shared" si="145"/>
        <v/>
      </c>
    </row>
    <row r="9293" spans="1:8" x14ac:dyDescent="0.3">
      <c r="A9293" s="400"/>
      <c r="B9293" s="709">
        <v>103460</v>
      </c>
      <c r="C9293" s="710" t="s">
        <v>7708</v>
      </c>
      <c r="D9293" s="709" t="s">
        <v>136</v>
      </c>
      <c r="E9293" s="716">
        <v>0</v>
      </c>
      <c r="F9293" s="717"/>
      <c r="G9293" t="e">
        <f>VLOOKUP(B9293,'SINAPI-%MO'!B:E,4,0)</f>
        <v>#N/A</v>
      </c>
      <c r="H9293" s="225" t="str">
        <f t="shared" si="145"/>
        <v/>
      </c>
    </row>
    <row r="9294" spans="1:8" x14ac:dyDescent="0.3">
      <c r="A9294" s="400"/>
      <c r="B9294" s="709">
        <v>103443</v>
      </c>
      <c r="C9294" s="710" t="s">
        <v>7709</v>
      </c>
      <c r="D9294" s="709" t="s">
        <v>136</v>
      </c>
      <c r="E9294" s="716">
        <v>0</v>
      </c>
      <c r="F9294" s="717"/>
      <c r="G9294" t="e">
        <f>VLOOKUP(B9294,'SINAPI-%MO'!B:E,4,0)</f>
        <v>#N/A</v>
      </c>
      <c r="H9294" s="225" t="str">
        <f t="shared" si="145"/>
        <v/>
      </c>
    </row>
    <row r="9295" spans="1:8" x14ac:dyDescent="0.3">
      <c r="A9295" s="400"/>
      <c r="B9295" s="709">
        <v>103444</v>
      </c>
      <c r="C9295" s="710" t="s">
        <v>7710</v>
      </c>
      <c r="D9295" s="709" t="s">
        <v>136</v>
      </c>
      <c r="E9295" s="716">
        <v>0</v>
      </c>
      <c r="F9295" s="717"/>
      <c r="G9295" t="e">
        <f>VLOOKUP(B9295,'SINAPI-%MO'!B:E,4,0)</f>
        <v>#N/A</v>
      </c>
      <c r="H9295" s="225" t="str">
        <f t="shared" si="145"/>
        <v/>
      </c>
    </row>
    <row r="9296" spans="1:8" x14ac:dyDescent="0.3">
      <c r="A9296" s="400"/>
      <c r="B9296" s="709">
        <v>103445</v>
      </c>
      <c r="C9296" s="710" t="s">
        <v>7711</v>
      </c>
      <c r="D9296" s="709" t="s">
        <v>136</v>
      </c>
      <c r="E9296" s="716">
        <v>0</v>
      </c>
      <c r="F9296" s="717"/>
      <c r="G9296" t="e">
        <f>VLOOKUP(B9296,'SINAPI-%MO'!B:E,4,0)</f>
        <v>#N/A</v>
      </c>
      <c r="H9296" s="225" t="str">
        <f t="shared" si="145"/>
        <v/>
      </c>
    </row>
    <row r="9297" spans="1:8" x14ac:dyDescent="0.3">
      <c r="A9297" s="400"/>
      <c r="B9297" s="709">
        <v>103446</v>
      </c>
      <c r="C9297" s="710" t="s">
        <v>7712</v>
      </c>
      <c r="D9297" s="709" t="s">
        <v>136</v>
      </c>
      <c r="E9297" s="716">
        <v>0</v>
      </c>
      <c r="F9297" s="717"/>
      <c r="G9297" t="e">
        <f>VLOOKUP(B9297,'SINAPI-%MO'!B:E,4,0)</f>
        <v>#N/A</v>
      </c>
      <c r="H9297" s="225" t="str">
        <f t="shared" si="145"/>
        <v/>
      </c>
    </row>
    <row r="9298" spans="1:8" x14ac:dyDescent="0.3">
      <c r="A9298" s="400"/>
      <c r="B9298" s="709">
        <v>103447</v>
      </c>
      <c r="C9298" s="710" t="s">
        <v>7713</v>
      </c>
      <c r="D9298" s="709" t="s">
        <v>136</v>
      </c>
      <c r="E9298" s="716">
        <v>0</v>
      </c>
      <c r="F9298" s="717"/>
      <c r="G9298" t="e">
        <f>VLOOKUP(B9298,'SINAPI-%MO'!B:E,4,0)</f>
        <v>#N/A</v>
      </c>
      <c r="H9298" s="225" t="str">
        <f t="shared" si="145"/>
        <v/>
      </c>
    </row>
    <row r="9299" spans="1:8" x14ac:dyDescent="0.3">
      <c r="A9299" s="400"/>
      <c r="B9299" s="709">
        <v>103448</v>
      </c>
      <c r="C9299" s="710" t="s">
        <v>7714</v>
      </c>
      <c r="D9299" s="709" t="s">
        <v>136</v>
      </c>
      <c r="E9299" s="716">
        <v>0</v>
      </c>
      <c r="F9299" s="717"/>
      <c r="G9299" t="e">
        <f>VLOOKUP(B9299,'SINAPI-%MO'!B:E,4,0)</f>
        <v>#N/A</v>
      </c>
      <c r="H9299" s="225" t="str">
        <f t="shared" si="145"/>
        <v/>
      </c>
    </row>
    <row r="9300" spans="1:8" x14ac:dyDescent="0.3">
      <c r="A9300" s="400"/>
      <c r="B9300" s="709">
        <v>103449</v>
      </c>
      <c r="C9300" s="710" t="s">
        <v>7715</v>
      </c>
      <c r="D9300" s="709" t="s">
        <v>136</v>
      </c>
      <c r="E9300" s="716">
        <v>0</v>
      </c>
      <c r="F9300" s="717"/>
      <c r="G9300" t="e">
        <f>VLOOKUP(B9300,'SINAPI-%MO'!B:E,4,0)</f>
        <v>#N/A</v>
      </c>
      <c r="H9300" s="225" t="str">
        <f t="shared" si="145"/>
        <v/>
      </c>
    </row>
    <row r="9301" spans="1:8" x14ac:dyDescent="0.3">
      <c r="A9301" s="400"/>
      <c r="B9301" s="709">
        <v>103450</v>
      </c>
      <c r="C9301" s="710" t="s">
        <v>7716</v>
      </c>
      <c r="D9301" s="709" t="s">
        <v>136</v>
      </c>
      <c r="E9301" s="716">
        <v>0</v>
      </c>
      <c r="F9301" s="717"/>
      <c r="G9301" t="e">
        <f>VLOOKUP(B9301,'SINAPI-%MO'!B:E,4,0)</f>
        <v>#N/A</v>
      </c>
      <c r="H9301" s="225" t="str">
        <f t="shared" si="145"/>
        <v/>
      </c>
    </row>
    <row r="9302" spans="1:8" x14ac:dyDescent="0.3">
      <c r="A9302" s="400"/>
      <c r="B9302" s="709">
        <v>103451</v>
      </c>
      <c r="C9302" s="710" t="s">
        <v>7717</v>
      </c>
      <c r="D9302" s="709" t="s">
        <v>136</v>
      </c>
      <c r="E9302" s="716">
        <v>0</v>
      </c>
      <c r="F9302" s="717"/>
      <c r="G9302" t="e">
        <f>VLOOKUP(B9302,'SINAPI-%MO'!B:E,4,0)</f>
        <v>#N/A</v>
      </c>
      <c r="H9302" s="225" t="str">
        <f t="shared" si="145"/>
        <v/>
      </c>
    </row>
    <row r="9303" spans="1:8" x14ac:dyDescent="0.3">
      <c r="A9303" s="400"/>
      <c r="B9303" s="709">
        <v>103452</v>
      </c>
      <c r="C9303" s="710" t="s">
        <v>7718</v>
      </c>
      <c r="D9303" s="709" t="s">
        <v>136</v>
      </c>
      <c r="E9303" s="716">
        <v>0</v>
      </c>
      <c r="F9303" s="717"/>
      <c r="G9303" t="e">
        <f>VLOOKUP(B9303,'SINAPI-%MO'!B:E,4,0)</f>
        <v>#N/A</v>
      </c>
      <c r="H9303" s="225" t="str">
        <f t="shared" si="145"/>
        <v/>
      </c>
    </row>
    <row r="9304" spans="1:8" x14ac:dyDescent="0.3">
      <c r="A9304" s="400"/>
      <c r="B9304" s="709">
        <v>103453</v>
      </c>
      <c r="C9304" s="710" t="s">
        <v>7719</v>
      </c>
      <c r="D9304" s="709" t="s">
        <v>136</v>
      </c>
      <c r="E9304" s="716">
        <v>0</v>
      </c>
      <c r="F9304" s="717"/>
      <c r="G9304" t="e">
        <f>VLOOKUP(B9304,'SINAPI-%MO'!B:E,4,0)</f>
        <v>#N/A</v>
      </c>
      <c r="H9304" s="225" t="str">
        <f t="shared" si="145"/>
        <v/>
      </c>
    </row>
    <row r="9305" spans="1:8" x14ac:dyDescent="0.3">
      <c r="A9305" s="400"/>
      <c r="B9305" s="709">
        <v>103454</v>
      </c>
      <c r="C9305" s="710" t="s">
        <v>7720</v>
      </c>
      <c r="D9305" s="709" t="s">
        <v>136</v>
      </c>
      <c r="E9305" s="716">
        <v>0</v>
      </c>
      <c r="F9305" s="717"/>
      <c r="G9305" t="e">
        <f>VLOOKUP(B9305,'SINAPI-%MO'!B:E,4,0)</f>
        <v>#N/A</v>
      </c>
      <c r="H9305" s="225" t="str">
        <f t="shared" si="145"/>
        <v/>
      </c>
    </row>
    <row r="9306" spans="1:8" x14ac:dyDescent="0.3">
      <c r="A9306" s="400"/>
      <c r="B9306" s="709">
        <v>103455</v>
      </c>
      <c r="C9306" s="710" t="s">
        <v>7721</v>
      </c>
      <c r="D9306" s="709" t="s">
        <v>136</v>
      </c>
      <c r="E9306" s="716">
        <v>0</v>
      </c>
      <c r="F9306" s="717"/>
      <c r="G9306" t="e">
        <f>VLOOKUP(B9306,'SINAPI-%MO'!B:E,4,0)</f>
        <v>#N/A</v>
      </c>
      <c r="H9306" s="225" t="str">
        <f t="shared" si="145"/>
        <v/>
      </c>
    </row>
    <row r="9307" spans="1:8" x14ac:dyDescent="0.3">
      <c r="A9307" s="400"/>
      <c r="B9307" s="709">
        <v>103456</v>
      </c>
      <c r="C9307" s="710" t="s">
        <v>7722</v>
      </c>
      <c r="D9307" s="709" t="s">
        <v>136</v>
      </c>
      <c r="E9307" s="716">
        <v>0</v>
      </c>
      <c r="F9307" s="717"/>
      <c r="G9307" t="e">
        <f>VLOOKUP(B9307,'SINAPI-%MO'!B:E,4,0)</f>
        <v>#N/A</v>
      </c>
      <c r="H9307" s="225" t="str">
        <f t="shared" si="145"/>
        <v/>
      </c>
    </row>
    <row r="9308" spans="1:8" x14ac:dyDescent="0.3">
      <c r="A9308" s="400"/>
      <c r="B9308" s="709">
        <v>103457</v>
      </c>
      <c r="C9308" s="710" t="s">
        <v>7723</v>
      </c>
      <c r="D9308" s="709" t="s">
        <v>136</v>
      </c>
      <c r="E9308" s="716">
        <v>0</v>
      </c>
      <c r="F9308" s="717"/>
      <c r="G9308" t="e">
        <f>VLOOKUP(B9308,'SINAPI-%MO'!B:E,4,0)</f>
        <v>#N/A</v>
      </c>
      <c r="H9308" s="225" t="str">
        <f t="shared" si="145"/>
        <v/>
      </c>
    </row>
    <row r="9309" spans="1:8" x14ac:dyDescent="0.3">
      <c r="A9309" s="400"/>
      <c r="B9309" s="709">
        <v>103458</v>
      </c>
      <c r="C9309" s="710" t="s">
        <v>7724</v>
      </c>
      <c r="D9309" s="709" t="s">
        <v>136</v>
      </c>
      <c r="E9309" s="716">
        <v>0</v>
      </c>
      <c r="F9309" s="717"/>
      <c r="G9309" t="e">
        <f>VLOOKUP(B9309,'SINAPI-%MO'!B:E,4,0)</f>
        <v>#N/A</v>
      </c>
      <c r="H9309" s="225" t="str">
        <f t="shared" si="145"/>
        <v/>
      </c>
    </row>
    <row r="9310" spans="1:8" x14ac:dyDescent="0.3">
      <c r="A9310" s="400"/>
      <c r="B9310" s="709">
        <v>103425</v>
      </c>
      <c r="C9310" s="710" t="s">
        <v>287</v>
      </c>
      <c r="D9310" s="709" t="s">
        <v>136</v>
      </c>
      <c r="E9310" s="716">
        <v>17.03</v>
      </c>
      <c r="F9310" s="717">
        <v>0</v>
      </c>
      <c r="G9310">
        <f>VLOOKUP(B9310,'SINAPI-%MO'!B:E,4,0)</f>
        <v>0.24129999999999999</v>
      </c>
      <c r="H9310" s="225">
        <f t="shared" si="145"/>
        <v>12.92</v>
      </c>
    </row>
    <row r="9311" spans="1:8" x14ac:dyDescent="0.3">
      <c r="A9311" s="400"/>
      <c r="B9311" s="709">
        <v>103428</v>
      </c>
      <c r="C9311" s="710" t="s">
        <v>7725</v>
      </c>
      <c r="D9311" s="709" t="s">
        <v>136</v>
      </c>
      <c r="E9311" s="716">
        <v>272.24</v>
      </c>
      <c r="F9311" s="717">
        <v>0</v>
      </c>
      <c r="G9311">
        <f>VLOOKUP(B9311,'SINAPI-%MO'!B:E,4,0)</f>
        <v>0.1512</v>
      </c>
      <c r="H9311" s="225">
        <f t="shared" si="145"/>
        <v>231.07</v>
      </c>
    </row>
    <row r="9312" spans="1:8" x14ac:dyDescent="0.3">
      <c r="A9312" s="400"/>
      <c r="B9312" s="709">
        <v>103426</v>
      </c>
      <c r="C9312" s="710" t="s">
        <v>7726</v>
      </c>
      <c r="D9312" s="709" t="s">
        <v>136</v>
      </c>
      <c r="E9312" s="716">
        <v>20.49</v>
      </c>
      <c r="F9312" s="717">
        <v>0</v>
      </c>
      <c r="G9312">
        <f>VLOOKUP(B9312,'SINAPI-%MO'!B:E,4,0)</f>
        <v>0.3206</v>
      </c>
      <c r="H9312" s="225">
        <f t="shared" si="145"/>
        <v>13.92</v>
      </c>
    </row>
    <row r="9313" spans="1:8" x14ac:dyDescent="0.3">
      <c r="A9313" s="400"/>
      <c r="B9313" s="709">
        <v>103429</v>
      </c>
      <c r="C9313" s="710" t="s">
        <v>7727</v>
      </c>
      <c r="D9313" s="709" t="s">
        <v>136</v>
      </c>
      <c r="E9313" s="716">
        <v>3004.61</v>
      </c>
      <c r="F9313" s="717">
        <v>0</v>
      </c>
      <c r="G9313">
        <f>VLOOKUP(B9313,'SINAPI-%MO'!B:E,4,0)</f>
        <v>2.7400000000000001E-2</v>
      </c>
      <c r="H9313" s="225">
        <f t="shared" si="145"/>
        <v>2922.28</v>
      </c>
    </row>
    <row r="9314" spans="1:8" x14ac:dyDescent="0.3">
      <c r="A9314" s="400"/>
      <c r="B9314" s="709">
        <v>103427</v>
      </c>
      <c r="C9314" s="710" t="s">
        <v>295</v>
      </c>
      <c r="D9314" s="709" t="s">
        <v>136</v>
      </c>
      <c r="E9314" s="716">
        <v>41.06</v>
      </c>
      <c r="F9314" s="717">
        <v>0</v>
      </c>
      <c r="G9314">
        <f>VLOOKUP(B9314,'SINAPI-%MO'!B:E,4,0)</f>
        <v>0.31540000000000001</v>
      </c>
      <c r="H9314" s="225">
        <f t="shared" si="145"/>
        <v>28.1</v>
      </c>
    </row>
    <row r="9315" spans="1:8" x14ac:dyDescent="0.3">
      <c r="A9315" s="400"/>
      <c r="B9315" s="709">
        <v>103393</v>
      </c>
      <c r="C9315" s="710" t="s">
        <v>7728</v>
      </c>
      <c r="D9315" s="709" t="s">
        <v>159</v>
      </c>
      <c r="E9315" s="716">
        <v>5657.15</v>
      </c>
      <c r="F9315" s="717">
        <v>0</v>
      </c>
      <c r="G9315">
        <f>VLOOKUP(B9315,'SINAPI-%MO'!B:E,4,0)</f>
        <v>3.3999999999999998E-3</v>
      </c>
      <c r="H9315" s="225">
        <f t="shared" si="145"/>
        <v>5637.91</v>
      </c>
    </row>
    <row r="9316" spans="1:8" x14ac:dyDescent="0.3">
      <c r="A9316" s="400"/>
      <c r="B9316" s="709">
        <v>103376</v>
      </c>
      <c r="C9316" s="710" t="s">
        <v>7729</v>
      </c>
      <c r="D9316" s="709" t="s">
        <v>159</v>
      </c>
      <c r="E9316" s="716">
        <v>138.59</v>
      </c>
      <c r="F9316" s="717">
        <v>0</v>
      </c>
      <c r="G9316">
        <f>VLOOKUP(B9316,'SINAPI-%MO'!B:E,4,0)</f>
        <v>9.4999999999999998E-3</v>
      </c>
      <c r="H9316" s="225">
        <f t="shared" si="145"/>
        <v>137.27000000000001</v>
      </c>
    </row>
    <row r="9317" spans="1:8" x14ac:dyDescent="0.3">
      <c r="A9317" s="400"/>
      <c r="B9317" s="709">
        <v>104804</v>
      </c>
      <c r="C9317" s="710" t="s">
        <v>7730</v>
      </c>
      <c r="D9317" s="709" t="s">
        <v>159</v>
      </c>
      <c r="E9317" s="716">
        <v>8475.23</v>
      </c>
      <c r="F9317" s="717">
        <v>0</v>
      </c>
      <c r="G9317">
        <f>VLOOKUP(B9317,'SINAPI-%MO'!B:E,4,0)</f>
        <v>2.8999999999999998E-3</v>
      </c>
      <c r="H9317" s="225">
        <f t="shared" si="145"/>
        <v>8450.65</v>
      </c>
    </row>
    <row r="9318" spans="1:8" x14ac:dyDescent="0.3">
      <c r="A9318" s="400"/>
      <c r="B9318" s="709">
        <v>104805</v>
      </c>
      <c r="C9318" s="710" t="s">
        <v>7731</v>
      </c>
      <c r="D9318" s="709" t="s">
        <v>159</v>
      </c>
      <c r="E9318" s="716">
        <v>11113.43</v>
      </c>
      <c r="F9318" s="717">
        <v>0</v>
      </c>
      <c r="G9318">
        <f>VLOOKUP(B9318,'SINAPI-%MO'!B:E,4,0)</f>
        <v>2.5999999999999999E-3</v>
      </c>
      <c r="H9318" s="225">
        <f t="shared" si="145"/>
        <v>11084.53</v>
      </c>
    </row>
    <row r="9319" spans="1:8" x14ac:dyDescent="0.3">
      <c r="A9319" s="400"/>
      <c r="B9319" s="709">
        <v>103377</v>
      </c>
      <c r="C9319" s="710" t="s">
        <v>7732</v>
      </c>
      <c r="D9319" s="709" t="s">
        <v>159</v>
      </c>
      <c r="E9319" s="716">
        <v>296.58999999999997</v>
      </c>
      <c r="F9319" s="717">
        <v>0</v>
      </c>
      <c r="G9319">
        <f>VLOOKUP(B9319,'SINAPI-%MO'!B:E,4,0)</f>
        <v>6.4999999999999997E-3</v>
      </c>
      <c r="H9319" s="225">
        <f t="shared" si="145"/>
        <v>294.66000000000003</v>
      </c>
    </row>
    <row r="9320" spans="1:8" x14ac:dyDescent="0.3">
      <c r="A9320" s="400"/>
      <c r="B9320" s="709">
        <v>104806</v>
      </c>
      <c r="C9320" s="710" t="s">
        <v>7733</v>
      </c>
      <c r="D9320" s="709" t="s">
        <v>159</v>
      </c>
      <c r="E9320" s="716">
        <v>14379.83</v>
      </c>
      <c r="F9320" s="717">
        <v>0</v>
      </c>
      <c r="G9320">
        <f>VLOOKUP(B9320,'SINAPI-%MO'!B:E,4,0)</f>
        <v>2.3999999999999998E-3</v>
      </c>
      <c r="H9320" s="225">
        <f t="shared" si="145"/>
        <v>14345.31</v>
      </c>
    </row>
    <row r="9321" spans="1:8" x14ac:dyDescent="0.3">
      <c r="A9321" s="400"/>
      <c r="B9321" s="709">
        <v>103378</v>
      </c>
      <c r="C9321" s="710" t="s">
        <v>7734</v>
      </c>
      <c r="D9321" s="709" t="s">
        <v>159</v>
      </c>
      <c r="E9321" s="716">
        <v>0</v>
      </c>
      <c r="F9321" s="717"/>
      <c r="G9321" t="e">
        <f>VLOOKUP(B9321,'SINAPI-%MO'!B:E,4,0)</f>
        <v>#N/A</v>
      </c>
      <c r="H9321" s="225" t="str">
        <f t="shared" si="145"/>
        <v/>
      </c>
    </row>
    <row r="9322" spans="1:8" x14ac:dyDescent="0.3">
      <c r="A9322" s="400"/>
      <c r="B9322" s="709">
        <v>103372</v>
      </c>
      <c r="C9322" s="710" t="s">
        <v>7735</v>
      </c>
      <c r="D9322" s="709" t="s">
        <v>159</v>
      </c>
      <c r="E9322" s="716">
        <v>5.93</v>
      </c>
      <c r="F9322" s="717">
        <v>0</v>
      </c>
      <c r="G9322">
        <f>VLOOKUP(B9322,'SINAPI-%MO'!B:E,4,0)</f>
        <v>3.8800000000000001E-2</v>
      </c>
      <c r="H9322" s="225">
        <f t="shared" si="145"/>
        <v>5.69</v>
      </c>
    </row>
    <row r="9323" spans="1:8" x14ac:dyDescent="0.3">
      <c r="A9323" s="400"/>
      <c r="B9323" s="709">
        <v>103379</v>
      </c>
      <c r="C9323" s="710" t="s">
        <v>7736</v>
      </c>
      <c r="D9323" s="709" t="s">
        <v>159</v>
      </c>
      <c r="E9323" s="716">
        <v>461.75</v>
      </c>
      <c r="F9323" s="717">
        <v>0</v>
      </c>
      <c r="G9323">
        <f>VLOOKUP(B9323,'SINAPI-%MO'!B:E,4,0)</f>
        <v>5.1999999999999998E-3</v>
      </c>
      <c r="H9323" s="225">
        <f t="shared" si="145"/>
        <v>459.34</v>
      </c>
    </row>
    <row r="9324" spans="1:8" x14ac:dyDescent="0.3">
      <c r="A9324" s="400"/>
      <c r="B9324" s="709">
        <v>103380</v>
      </c>
      <c r="C9324" s="710" t="s">
        <v>7737</v>
      </c>
      <c r="D9324" s="709" t="s">
        <v>159</v>
      </c>
      <c r="E9324" s="716">
        <v>0</v>
      </c>
      <c r="F9324" s="717"/>
      <c r="G9324" t="e">
        <f>VLOOKUP(B9324,'SINAPI-%MO'!B:E,4,0)</f>
        <v>#N/A</v>
      </c>
      <c r="H9324" s="225" t="str">
        <f t="shared" si="145"/>
        <v/>
      </c>
    </row>
    <row r="9325" spans="1:8" x14ac:dyDescent="0.3">
      <c r="A9325" s="400"/>
      <c r="B9325" s="709">
        <v>103381</v>
      </c>
      <c r="C9325" s="710" t="s">
        <v>7738</v>
      </c>
      <c r="D9325" s="709" t="s">
        <v>159</v>
      </c>
      <c r="E9325" s="716">
        <v>0</v>
      </c>
      <c r="F9325" s="717"/>
      <c r="G9325" t="e">
        <f>VLOOKUP(B9325,'SINAPI-%MO'!B:E,4,0)</f>
        <v>#N/A</v>
      </c>
      <c r="H9325" s="225" t="str">
        <f t="shared" si="145"/>
        <v/>
      </c>
    </row>
    <row r="9326" spans="1:8" x14ac:dyDescent="0.3">
      <c r="A9326" s="400"/>
      <c r="B9326" s="709">
        <v>103382</v>
      </c>
      <c r="C9326" s="710" t="s">
        <v>7739</v>
      </c>
      <c r="D9326" s="709" t="s">
        <v>159</v>
      </c>
      <c r="E9326" s="716">
        <v>0</v>
      </c>
      <c r="F9326" s="717"/>
      <c r="G9326" t="e">
        <f>VLOOKUP(B9326,'SINAPI-%MO'!B:E,4,0)</f>
        <v>#N/A</v>
      </c>
      <c r="H9326" s="225" t="str">
        <f t="shared" si="145"/>
        <v/>
      </c>
    </row>
    <row r="9327" spans="1:8" x14ac:dyDescent="0.3">
      <c r="A9327" s="400"/>
      <c r="B9327" s="709">
        <v>103383</v>
      </c>
      <c r="C9327" s="710" t="s">
        <v>7740</v>
      </c>
      <c r="D9327" s="709" t="s">
        <v>159</v>
      </c>
      <c r="E9327" s="716">
        <v>1132.2</v>
      </c>
      <c r="F9327" s="717">
        <v>0</v>
      </c>
      <c r="G9327">
        <f>VLOOKUP(B9327,'SINAPI-%MO'!B:E,4,0)</f>
        <v>2E-3</v>
      </c>
      <c r="H9327" s="225">
        <f t="shared" si="145"/>
        <v>1129.93</v>
      </c>
    </row>
    <row r="9328" spans="1:8" x14ac:dyDescent="0.3">
      <c r="A9328" s="400"/>
      <c r="B9328" s="709">
        <v>103373</v>
      </c>
      <c r="C9328" s="710" t="s">
        <v>7741</v>
      </c>
      <c r="D9328" s="709" t="s">
        <v>159</v>
      </c>
      <c r="E9328" s="716">
        <v>11.62</v>
      </c>
      <c r="F9328" s="717">
        <v>0</v>
      </c>
      <c r="G9328">
        <f>VLOOKUP(B9328,'SINAPI-%MO'!B:E,4,0)</f>
        <v>3.1800000000000002E-2</v>
      </c>
      <c r="H9328" s="225">
        <f t="shared" si="145"/>
        <v>11.25</v>
      </c>
    </row>
    <row r="9329" spans="1:8" x14ac:dyDescent="0.3">
      <c r="A9329" s="400"/>
      <c r="B9329" s="709">
        <v>103384</v>
      </c>
      <c r="C9329" s="710" t="s">
        <v>7742</v>
      </c>
      <c r="D9329" s="709" t="s">
        <v>159</v>
      </c>
      <c r="E9329" s="716">
        <v>0</v>
      </c>
      <c r="F9329" s="717"/>
      <c r="G9329" t="e">
        <f>VLOOKUP(B9329,'SINAPI-%MO'!B:E,4,0)</f>
        <v>#N/A</v>
      </c>
      <c r="H9329" s="225" t="str">
        <f t="shared" si="145"/>
        <v/>
      </c>
    </row>
    <row r="9330" spans="1:8" x14ac:dyDescent="0.3">
      <c r="A9330" s="400"/>
      <c r="B9330" s="709">
        <v>103385</v>
      </c>
      <c r="C9330" s="710" t="s">
        <v>7743</v>
      </c>
      <c r="D9330" s="709" t="s">
        <v>159</v>
      </c>
      <c r="E9330" s="716">
        <v>1825.6</v>
      </c>
      <c r="F9330" s="717">
        <v>0</v>
      </c>
      <c r="G9330">
        <f>VLOOKUP(B9330,'SINAPI-%MO'!B:E,4,0)</f>
        <v>2.3999999999999998E-3</v>
      </c>
      <c r="H9330" s="225">
        <f t="shared" si="145"/>
        <v>1821.21</v>
      </c>
    </row>
    <row r="9331" spans="1:8" x14ac:dyDescent="0.3">
      <c r="A9331" s="400"/>
      <c r="B9331" s="709">
        <v>103386</v>
      </c>
      <c r="C9331" s="710" t="s">
        <v>7744</v>
      </c>
      <c r="D9331" s="709" t="s">
        <v>159</v>
      </c>
      <c r="E9331" s="716">
        <v>0</v>
      </c>
      <c r="F9331" s="717"/>
      <c r="G9331" t="e">
        <f>VLOOKUP(B9331,'SINAPI-%MO'!B:E,4,0)</f>
        <v>#N/A</v>
      </c>
      <c r="H9331" s="225" t="str">
        <f t="shared" si="145"/>
        <v/>
      </c>
    </row>
    <row r="9332" spans="1:8" x14ac:dyDescent="0.3">
      <c r="A9332" s="400"/>
      <c r="B9332" s="709">
        <v>103387</v>
      </c>
      <c r="C9332" s="710" t="s">
        <v>7745</v>
      </c>
      <c r="D9332" s="709" t="s">
        <v>159</v>
      </c>
      <c r="E9332" s="716">
        <v>3202.62</v>
      </c>
      <c r="F9332" s="717">
        <v>0</v>
      </c>
      <c r="G9332">
        <f>VLOOKUP(B9332,'SINAPI-%MO'!B:E,4,0)</f>
        <v>2.0999999999999999E-3</v>
      </c>
      <c r="H9332" s="225">
        <f t="shared" si="145"/>
        <v>3195.89</v>
      </c>
    </row>
    <row r="9333" spans="1:8" x14ac:dyDescent="0.3">
      <c r="A9333" s="400"/>
      <c r="B9333" s="709">
        <v>103388</v>
      </c>
      <c r="C9333" s="710" t="s">
        <v>7746</v>
      </c>
      <c r="D9333" s="709" t="s">
        <v>159</v>
      </c>
      <c r="E9333" s="716">
        <v>0</v>
      </c>
      <c r="F9333" s="717"/>
      <c r="G9333" t="e">
        <f>VLOOKUP(B9333,'SINAPI-%MO'!B:E,4,0)</f>
        <v>#N/A</v>
      </c>
      <c r="H9333" s="225" t="str">
        <f t="shared" si="145"/>
        <v/>
      </c>
    </row>
    <row r="9334" spans="1:8" x14ac:dyDescent="0.3">
      <c r="A9334" s="400"/>
      <c r="B9334" s="709">
        <v>103374</v>
      </c>
      <c r="C9334" s="710" t="s">
        <v>7747</v>
      </c>
      <c r="D9334" s="709" t="s">
        <v>159</v>
      </c>
      <c r="E9334" s="716">
        <v>0</v>
      </c>
      <c r="F9334" s="717"/>
      <c r="G9334" t="e">
        <f>VLOOKUP(B9334,'SINAPI-%MO'!B:E,4,0)</f>
        <v>#N/A</v>
      </c>
      <c r="H9334" s="225" t="str">
        <f t="shared" si="145"/>
        <v/>
      </c>
    </row>
    <row r="9335" spans="1:8" x14ac:dyDescent="0.3">
      <c r="A9335" s="400"/>
      <c r="B9335" s="709">
        <v>103389</v>
      </c>
      <c r="C9335" s="710" t="s">
        <v>7748</v>
      </c>
      <c r="D9335" s="709" t="s">
        <v>159</v>
      </c>
      <c r="E9335" s="716">
        <v>4762.8</v>
      </c>
      <c r="F9335" s="717">
        <v>0</v>
      </c>
      <c r="G9335">
        <f>VLOOKUP(B9335,'SINAPI-%MO'!B:E,4,0)</f>
        <v>2.0999999999999999E-3</v>
      </c>
      <c r="H9335" s="225">
        <f t="shared" si="145"/>
        <v>4752.79</v>
      </c>
    </row>
    <row r="9336" spans="1:8" x14ac:dyDescent="0.3">
      <c r="A9336" s="400"/>
      <c r="B9336" s="709">
        <v>103390</v>
      </c>
      <c r="C9336" s="710" t="s">
        <v>7749</v>
      </c>
      <c r="D9336" s="709" t="s">
        <v>159</v>
      </c>
      <c r="E9336" s="716">
        <v>0</v>
      </c>
      <c r="F9336" s="717"/>
      <c r="G9336" t="e">
        <f>VLOOKUP(B9336,'SINAPI-%MO'!B:E,4,0)</f>
        <v>#N/A</v>
      </c>
      <c r="H9336" s="225" t="str">
        <f t="shared" si="145"/>
        <v/>
      </c>
    </row>
    <row r="9337" spans="1:8" x14ac:dyDescent="0.3">
      <c r="A9337" s="400"/>
      <c r="B9337" s="709">
        <v>103391</v>
      </c>
      <c r="C9337" s="710" t="s">
        <v>7750</v>
      </c>
      <c r="D9337" s="709" t="s">
        <v>159</v>
      </c>
      <c r="E9337" s="716">
        <v>3138.48</v>
      </c>
      <c r="F9337" s="717">
        <v>0</v>
      </c>
      <c r="G9337">
        <f>VLOOKUP(B9337,'SINAPI-%MO'!B:E,4,0)</f>
        <v>4.5999999999999999E-3</v>
      </c>
      <c r="H9337" s="225">
        <f t="shared" si="145"/>
        <v>3124.04</v>
      </c>
    </row>
    <row r="9338" spans="1:8" x14ac:dyDescent="0.3">
      <c r="A9338" s="400"/>
      <c r="B9338" s="709">
        <v>103375</v>
      </c>
      <c r="C9338" s="710" t="s">
        <v>7751</v>
      </c>
      <c r="D9338" s="709" t="s">
        <v>159</v>
      </c>
      <c r="E9338" s="716">
        <v>0</v>
      </c>
      <c r="F9338" s="717"/>
      <c r="G9338" t="e">
        <f>VLOOKUP(B9338,'SINAPI-%MO'!B:E,4,0)</f>
        <v>#N/A</v>
      </c>
      <c r="H9338" s="225" t="str">
        <f t="shared" si="145"/>
        <v/>
      </c>
    </row>
    <row r="9339" spans="1:8" x14ac:dyDescent="0.3">
      <c r="A9339" s="400"/>
      <c r="B9339" s="709">
        <v>103392</v>
      </c>
      <c r="C9339" s="710" t="s">
        <v>7752</v>
      </c>
      <c r="D9339" s="709" t="s">
        <v>159</v>
      </c>
      <c r="E9339" s="716">
        <v>5129.0200000000004</v>
      </c>
      <c r="F9339" s="717">
        <v>0</v>
      </c>
      <c r="G9339">
        <f>VLOOKUP(B9339,'SINAPI-%MO'!B:E,4,0)</f>
        <v>3.3E-3</v>
      </c>
      <c r="H9339" s="225">
        <f t="shared" si="145"/>
        <v>5112.09</v>
      </c>
    </row>
    <row r="9340" spans="1:8" x14ac:dyDescent="0.3">
      <c r="A9340" s="400"/>
      <c r="B9340" s="709">
        <v>103440</v>
      </c>
      <c r="C9340" s="710" t="s">
        <v>7753</v>
      </c>
      <c r="D9340" s="709" t="s">
        <v>136</v>
      </c>
      <c r="E9340" s="716">
        <v>434.88</v>
      </c>
      <c r="F9340" s="717">
        <v>0</v>
      </c>
      <c r="G9340">
        <f>VLOOKUP(B9340,'SINAPI-%MO'!B:E,4,0)</f>
        <v>0.1893</v>
      </c>
      <c r="H9340" s="225">
        <f t="shared" si="145"/>
        <v>352.55</v>
      </c>
    </row>
    <row r="9341" spans="1:8" x14ac:dyDescent="0.3">
      <c r="A9341" s="400"/>
      <c r="B9341" s="709">
        <v>103441</v>
      </c>
      <c r="C9341" s="710" t="s">
        <v>7754</v>
      </c>
      <c r="D9341" s="709" t="s">
        <v>136</v>
      </c>
      <c r="E9341" s="716">
        <v>440.4</v>
      </c>
      <c r="F9341" s="717">
        <v>0</v>
      </c>
      <c r="G9341">
        <f>VLOOKUP(B9341,'SINAPI-%MO'!B:E,4,0)</f>
        <v>0.18690000000000001</v>
      </c>
      <c r="H9341" s="225">
        <f t="shared" si="145"/>
        <v>358.08</v>
      </c>
    </row>
    <row r="9342" spans="1:8" x14ac:dyDescent="0.3">
      <c r="A9342" s="400"/>
      <c r="B9342" s="709">
        <v>103442</v>
      </c>
      <c r="C9342" s="710" t="s">
        <v>7755</v>
      </c>
      <c r="D9342" s="709" t="s">
        <v>136</v>
      </c>
      <c r="E9342" s="716">
        <v>573.49</v>
      </c>
      <c r="F9342" s="717">
        <v>0</v>
      </c>
      <c r="G9342">
        <f>VLOOKUP(B9342,'SINAPI-%MO'!B:E,4,0)</f>
        <v>0.14349999999999999</v>
      </c>
      <c r="H9342" s="225">
        <f t="shared" si="145"/>
        <v>491.19</v>
      </c>
    </row>
    <row r="9343" spans="1:8" x14ac:dyDescent="0.3">
      <c r="A9343" s="400"/>
      <c r="B9343" s="709">
        <v>103437</v>
      </c>
      <c r="C9343" s="710" t="s">
        <v>263</v>
      </c>
      <c r="D9343" s="709" t="s">
        <v>136</v>
      </c>
      <c r="E9343" s="716">
        <v>192.45</v>
      </c>
      <c r="F9343" s="717">
        <v>0</v>
      </c>
      <c r="G9343">
        <f>VLOOKUP(B9343,'SINAPI-%MO'!B:E,4,0)</f>
        <v>0.13469999999999999</v>
      </c>
      <c r="H9343" s="225">
        <f t="shared" si="145"/>
        <v>166.52</v>
      </c>
    </row>
    <row r="9344" spans="1:8" x14ac:dyDescent="0.3">
      <c r="A9344" s="400"/>
      <c r="B9344" s="709">
        <v>103438</v>
      </c>
      <c r="C9344" s="710" t="s">
        <v>7756</v>
      </c>
      <c r="D9344" s="709" t="s">
        <v>136</v>
      </c>
      <c r="E9344" s="716">
        <v>192.45</v>
      </c>
      <c r="F9344" s="717">
        <v>0</v>
      </c>
      <c r="G9344">
        <f>VLOOKUP(B9344,'SINAPI-%MO'!B:E,4,0)</f>
        <v>0.13469999999999999</v>
      </c>
      <c r="H9344" s="225">
        <f t="shared" si="145"/>
        <v>166.52</v>
      </c>
    </row>
    <row r="9345" spans="1:8" x14ac:dyDescent="0.3">
      <c r="A9345" s="400"/>
      <c r="B9345" s="709">
        <v>103439</v>
      </c>
      <c r="C9345" s="710" t="s">
        <v>7757</v>
      </c>
      <c r="D9345" s="709" t="s">
        <v>136</v>
      </c>
      <c r="E9345" s="716">
        <v>226.5</v>
      </c>
      <c r="F9345" s="717">
        <v>0</v>
      </c>
      <c r="G9345">
        <f>VLOOKUP(B9345,'SINAPI-%MO'!B:E,4,0)</f>
        <v>0.1144</v>
      </c>
      <c r="H9345" s="225">
        <f t="shared" si="145"/>
        <v>200.58</v>
      </c>
    </row>
    <row r="9346" spans="1:8" x14ac:dyDescent="0.3">
      <c r="A9346" s="400"/>
      <c r="B9346" s="709">
        <v>106122</v>
      </c>
      <c r="C9346" s="710" t="s">
        <v>7758</v>
      </c>
      <c r="D9346" s="709" t="s">
        <v>170</v>
      </c>
      <c r="E9346" s="716">
        <v>88.19</v>
      </c>
      <c r="F9346" s="717">
        <v>0</v>
      </c>
      <c r="G9346">
        <f>VLOOKUP(B9346,'SINAPI-%MO'!B:E,4,0)</f>
        <v>1</v>
      </c>
      <c r="H9346" s="225">
        <f t="shared" si="145"/>
        <v>0</v>
      </c>
    </row>
    <row r="9347" spans="1:8" x14ac:dyDescent="0.3">
      <c r="A9347" s="400"/>
      <c r="B9347" s="709">
        <v>106131</v>
      </c>
      <c r="C9347" s="710" t="s">
        <v>7759</v>
      </c>
      <c r="D9347" s="709" t="s">
        <v>170</v>
      </c>
      <c r="E9347" s="716">
        <v>131.79</v>
      </c>
      <c r="F9347" s="717">
        <v>0</v>
      </c>
      <c r="G9347">
        <f>VLOOKUP(B9347,'SINAPI-%MO'!B:E,4,0)</f>
        <v>1</v>
      </c>
      <c r="H9347" s="225">
        <f t="shared" si="145"/>
        <v>0</v>
      </c>
    </row>
    <row r="9348" spans="1:8" x14ac:dyDescent="0.3">
      <c r="A9348" s="400"/>
      <c r="B9348" s="709">
        <v>106127</v>
      </c>
      <c r="C9348" s="710" t="s">
        <v>7760</v>
      </c>
      <c r="D9348" s="709" t="s">
        <v>170</v>
      </c>
      <c r="E9348" s="716">
        <v>118.65</v>
      </c>
      <c r="F9348" s="717">
        <v>0</v>
      </c>
      <c r="G9348">
        <f>VLOOKUP(B9348,'SINAPI-%MO'!B:E,4,0)</f>
        <v>1</v>
      </c>
      <c r="H9348" s="225">
        <f t="shared" si="145"/>
        <v>0</v>
      </c>
    </row>
    <row r="9349" spans="1:8" x14ac:dyDescent="0.3">
      <c r="A9349" s="400"/>
      <c r="B9349" s="709">
        <v>106126</v>
      </c>
      <c r="C9349" s="710" t="s">
        <v>7761</v>
      </c>
      <c r="D9349" s="709" t="s">
        <v>170</v>
      </c>
      <c r="E9349" s="716">
        <v>52.41</v>
      </c>
      <c r="F9349" s="717">
        <v>0</v>
      </c>
      <c r="G9349">
        <f>VLOOKUP(B9349,'SINAPI-%MO'!B:E,4,0)</f>
        <v>1</v>
      </c>
      <c r="H9349" s="225">
        <f t="shared" si="145"/>
        <v>0</v>
      </c>
    </row>
    <row r="9350" spans="1:8" x14ac:dyDescent="0.3">
      <c r="A9350" s="400"/>
      <c r="B9350" s="709">
        <v>106128</v>
      </c>
      <c r="C9350" s="710" t="s">
        <v>7762</v>
      </c>
      <c r="D9350" s="709" t="s">
        <v>170</v>
      </c>
      <c r="E9350" s="716">
        <v>174.2</v>
      </c>
      <c r="F9350" s="717">
        <v>0</v>
      </c>
      <c r="G9350">
        <f>VLOOKUP(B9350,'SINAPI-%MO'!B:E,4,0)</f>
        <v>0.47570000000000001</v>
      </c>
      <c r="H9350" s="225">
        <f t="shared" si="145"/>
        <v>91.33</v>
      </c>
    </row>
    <row r="9351" spans="1:8" x14ac:dyDescent="0.3">
      <c r="A9351" s="400"/>
      <c r="B9351" s="709">
        <v>106130</v>
      </c>
      <c r="C9351" s="710" t="s">
        <v>7763</v>
      </c>
      <c r="D9351" s="709" t="s">
        <v>170</v>
      </c>
      <c r="E9351" s="716">
        <v>149.25</v>
      </c>
      <c r="F9351" s="717">
        <v>0</v>
      </c>
      <c r="G9351">
        <f>VLOOKUP(B9351,'SINAPI-%MO'!B:E,4,0)</f>
        <v>1</v>
      </c>
      <c r="H9351" s="225">
        <f t="shared" si="145"/>
        <v>0</v>
      </c>
    </row>
    <row r="9352" spans="1:8" x14ac:dyDescent="0.3">
      <c r="A9352" s="400"/>
      <c r="B9352" s="709">
        <v>106129</v>
      </c>
      <c r="C9352" s="710" t="s">
        <v>7764</v>
      </c>
      <c r="D9352" s="709" t="s">
        <v>170</v>
      </c>
      <c r="E9352" s="716">
        <v>78.459999999999994</v>
      </c>
      <c r="F9352" s="717">
        <v>0</v>
      </c>
      <c r="G9352">
        <f>VLOOKUP(B9352,'SINAPI-%MO'!B:E,4,0)</f>
        <v>1</v>
      </c>
      <c r="H9352" s="225">
        <f t="shared" si="145"/>
        <v>0</v>
      </c>
    </row>
    <row r="9353" spans="1:8" x14ac:dyDescent="0.3">
      <c r="A9353" s="400"/>
      <c r="B9353" s="709">
        <v>106125</v>
      </c>
      <c r="C9353" s="710" t="s">
        <v>7765</v>
      </c>
      <c r="D9353" s="709" t="s">
        <v>170</v>
      </c>
      <c r="E9353" s="716">
        <v>60.65</v>
      </c>
      <c r="F9353" s="717">
        <v>0</v>
      </c>
      <c r="G9353">
        <f>VLOOKUP(B9353,'SINAPI-%MO'!B:E,4,0)</f>
        <v>1</v>
      </c>
      <c r="H9353" s="225">
        <f t="shared" si="145"/>
        <v>0</v>
      </c>
    </row>
    <row r="9354" spans="1:8" x14ac:dyDescent="0.3">
      <c r="A9354" s="400"/>
      <c r="B9354" s="709">
        <v>106124</v>
      </c>
      <c r="C9354" s="710" t="s">
        <v>7766</v>
      </c>
      <c r="D9354" s="709" t="s">
        <v>170</v>
      </c>
      <c r="E9354" s="716">
        <v>60.43</v>
      </c>
      <c r="F9354" s="717">
        <v>0</v>
      </c>
      <c r="G9354">
        <f>VLOOKUP(B9354,'SINAPI-%MO'!B:E,4,0)</f>
        <v>1</v>
      </c>
      <c r="H9354" s="225">
        <f t="shared" si="145"/>
        <v>0</v>
      </c>
    </row>
    <row r="9355" spans="1:8" x14ac:dyDescent="0.3">
      <c r="A9355" s="400"/>
      <c r="B9355" s="709">
        <v>106123</v>
      </c>
      <c r="C9355" s="710" t="s">
        <v>7767</v>
      </c>
      <c r="D9355" s="709" t="s">
        <v>170</v>
      </c>
      <c r="E9355" s="716">
        <v>174.68</v>
      </c>
      <c r="F9355" s="717">
        <v>0</v>
      </c>
      <c r="G9355">
        <f>VLOOKUP(B9355,'SINAPI-%MO'!B:E,4,0)</f>
        <v>0.47720000000000001</v>
      </c>
      <c r="H9355" s="225">
        <f t="shared" ref="H9355:H9418" si="146">IF(E9355&gt;0,TRUNC(E9355*(1-G9355),2),"")</f>
        <v>91.32</v>
      </c>
    </row>
    <row r="9356" spans="1:8" x14ac:dyDescent="0.3">
      <c r="A9356" s="400"/>
      <c r="B9356" s="709">
        <v>106445</v>
      </c>
      <c r="C9356" s="710" t="s">
        <v>15278</v>
      </c>
      <c r="D9356" s="709" t="s">
        <v>136</v>
      </c>
      <c r="E9356" s="716">
        <v>0</v>
      </c>
      <c r="F9356" s="717"/>
      <c r="G9356" t="e">
        <f>VLOOKUP(B9356,'SINAPI-%MO'!B:E,4,0)</f>
        <v>#N/A</v>
      </c>
      <c r="H9356" s="225" t="str">
        <f t="shared" si="146"/>
        <v/>
      </c>
    </row>
    <row r="9357" spans="1:8" x14ac:dyDescent="0.3">
      <c r="A9357" s="400"/>
      <c r="B9357" s="709">
        <v>106446</v>
      </c>
      <c r="C9357" s="710" t="s">
        <v>15279</v>
      </c>
      <c r="D9357" s="709" t="s">
        <v>136</v>
      </c>
      <c r="E9357" s="716">
        <v>0</v>
      </c>
      <c r="F9357" s="717"/>
      <c r="G9357" t="e">
        <f>VLOOKUP(B9357,'SINAPI-%MO'!B:E,4,0)</f>
        <v>#N/A</v>
      </c>
      <c r="H9357" s="225" t="str">
        <f t="shared" si="146"/>
        <v/>
      </c>
    </row>
    <row r="9358" spans="1:8" x14ac:dyDescent="0.3">
      <c r="A9358" s="400"/>
      <c r="B9358" s="709">
        <v>106447</v>
      </c>
      <c r="C9358" s="710" t="s">
        <v>15280</v>
      </c>
      <c r="D9358" s="709" t="s">
        <v>136</v>
      </c>
      <c r="E9358" s="716">
        <v>0</v>
      </c>
      <c r="F9358" s="717"/>
      <c r="G9358" t="e">
        <f>VLOOKUP(B9358,'SINAPI-%MO'!B:E,4,0)</f>
        <v>#N/A</v>
      </c>
      <c r="H9358" s="225" t="str">
        <f t="shared" si="146"/>
        <v/>
      </c>
    </row>
    <row r="9359" spans="1:8" x14ac:dyDescent="0.3">
      <c r="A9359" s="400"/>
      <c r="B9359" s="709">
        <v>106448</v>
      </c>
      <c r="C9359" s="710" t="s">
        <v>15281</v>
      </c>
      <c r="D9359" s="709" t="s">
        <v>136</v>
      </c>
      <c r="E9359" s="716">
        <v>0</v>
      </c>
      <c r="F9359" s="717"/>
      <c r="G9359" t="e">
        <f>VLOOKUP(B9359,'SINAPI-%MO'!B:E,4,0)</f>
        <v>#N/A</v>
      </c>
      <c r="H9359" s="225" t="str">
        <f t="shared" si="146"/>
        <v/>
      </c>
    </row>
    <row r="9360" spans="1:8" x14ac:dyDescent="0.3">
      <c r="A9360" s="400"/>
      <c r="B9360" s="709">
        <v>106449</v>
      </c>
      <c r="C9360" s="710" t="s">
        <v>15282</v>
      </c>
      <c r="D9360" s="709" t="s">
        <v>136</v>
      </c>
      <c r="E9360" s="716">
        <v>0</v>
      </c>
      <c r="F9360" s="717"/>
      <c r="G9360" t="e">
        <f>VLOOKUP(B9360,'SINAPI-%MO'!B:E,4,0)</f>
        <v>#N/A</v>
      </c>
      <c r="H9360" s="225" t="str">
        <f t="shared" si="146"/>
        <v/>
      </c>
    </row>
    <row r="9361" spans="1:8" x14ac:dyDescent="0.3">
      <c r="A9361" s="400"/>
      <c r="B9361" s="709">
        <v>106455</v>
      </c>
      <c r="C9361" s="710" t="s">
        <v>14416</v>
      </c>
      <c r="D9361" s="709" t="s">
        <v>159</v>
      </c>
      <c r="E9361" s="716">
        <v>1164.74</v>
      </c>
      <c r="F9361" s="717">
        <v>0</v>
      </c>
      <c r="G9361">
        <f>VLOOKUP(B9361,'SINAPI-%MO'!B:E,4,0)</f>
        <v>0.54449999999999998</v>
      </c>
      <c r="H9361" s="225">
        <f t="shared" si="146"/>
        <v>530.53</v>
      </c>
    </row>
    <row r="9362" spans="1:8" x14ac:dyDescent="0.3">
      <c r="A9362" s="400"/>
      <c r="B9362" s="709">
        <v>106450</v>
      </c>
      <c r="C9362" s="710" t="s">
        <v>15283</v>
      </c>
      <c r="D9362" s="709" t="s">
        <v>136</v>
      </c>
      <c r="E9362" s="716">
        <v>0</v>
      </c>
      <c r="F9362" s="717"/>
      <c r="G9362" t="e">
        <f>VLOOKUP(B9362,'SINAPI-%MO'!B:E,4,0)</f>
        <v>#N/A</v>
      </c>
      <c r="H9362" s="225" t="str">
        <f t="shared" si="146"/>
        <v/>
      </c>
    </row>
    <row r="9363" spans="1:8" x14ac:dyDescent="0.3">
      <c r="A9363" s="400"/>
      <c r="B9363" s="709">
        <v>106451</v>
      </c>
      <c r="C9363" s="710" t="s">
        <v>15284</v>
      </c>
      <c r="D9363" s="709" t="s">
        <v>136</v>
      </c>
      <c r="E9363" s="716">
        <v>0</v>
      </c>
      <c r="F9363" s="717"/>
      <c r="G9363" t="e">
        <f>VLOOKUP(B9363,'SINAPI-%MO'!B:E,4,0)</f>
        <v>#N/A</v>
      </c>
      <c r="H9363" s="225" t="str">
        <f t="shared" si="146"/>
        <v/>
      </c>
    </row>
    <row r="9364" spans="1:8" x14ac:dyDescent="0.3">
      <c r="A9364" s="400"/>
      <c r="B9364" s="709">
        <v>106452</v>
      </c>
      <c r="C9364" s="710" t="s">
        <v>15285</v>
      </c>
      <c r="D9364" s="709" t="s">
        <v>136</v>
      </c>
      <c r="E9364" s="716">
        <v>0</v>
      </c>
      <c r="F9364" s="717"/>
      <c r="G9364" t="e">
        <f>VLOOKUP(B9364,'SINAPI-%MO'!B:E,4,0)</f>
        <v>#N/A</v>
      </c>
      <c r="H9364" s="225" t="str">
        <f t="shared" si="146"/>
        <v/>
      </c>
    </row>
    <row r="9365" spans="1:8" x14ac:dyDescent="0.3">
      <c r="A9365" s="400"/>
      <c r="B9365" s="709">
        <v>106453</v>
      </c>
      <c r="C9365" s="710" t="s">
        <v>15286</v>
      </c>
      <c r="D9365" s="709" t="s">
        <v>136</v>
      </c>
      <c r="E9365" s="716">
        <v>0</v>
      </c>
      <c r="F9365" s="717"/>
      <c r="G9365" t="e">
        <f>VLOOKUP(B9365,'SINAPI-%MO'!B:E,4,0)</f>
        <v>#N/A</v>
      </c>
      <c r="H9365" s="225" t="str">
        <f t="shared" si="146"/>
        <v/>
      </c>
    </row>
    <row r="9366" spans="1:8" x14ac:dyDescent="0.3">
      <c r="A9366" s="400"/>
      <c r="B9366" s="709">
        <v>106454</v>
      </c>
      <c r="C9366" s="710" t="s">
        <v>15287</v>
      </c>
      <c r="D9366" s="709" t="s">
        <v>136</v>
      </c>
      <c r="E9366" s="716">
        <v>0</v>
      </c>
      <c r="F9366" s="717"/>
      <c r="G9366" t="e">
        <f>VLOOKUP(B9366,'SINAPI-%MO'!B:E,4,0)</f>
        <v>#N/A</v>
      </c>
      <c r="H9366" s="225" t="str">
        <f t="shared" si="146"/>
        <v/>
      </c>
    </row>
    <row r="9367" spans="1:8" x14ac:dyDescent="0.3">
      <c r="A9367" s="400"/>
      <c r="B9367" s="709">
        <v>106456</v>
      </c>
      <c r="C9367" s="710" t="s">
        <v>14417</v>
      </c>
      <c r="D9367" s="709" t="s">
        <v>159</v>
      </c>
      <c r="E9367" s="716">
        <v>1315.67</v>
      </c>
      <c r="F9367" s="717">
        <v>0</v>
      </c>
      <c r="G9367">
        <f>VLOOKUP(B9367,'SINAPI-%MO'!B:E,4,0)</f>
        <v>0.54969999999999997</v>
      </c>
      <c r="H9367" s="225">
        <f t="shared" si="146"/>
        <v>592.44000000000005</v>
      </c>
    </row>
    <row r="9368" spans="1:8" x14ac:dyDescent="0.3">
      <c r="A9368" s="400"/>
      <c r="B9368" s="709">
        <v>106426</v>
      </c>
      <c r="C9368" s="710" t="s">
        <v>15288</v>
      </c>
      <c r="D9368" s="709" t="s">
        <v>136</v>
      </c>
      <c r="E9368" s="716">
        <v>0</v>
      </c>
      <c r="F9368" s="717"/>
      <c r="G9368" t="e">
        <f>VLOOKUP(B9368,'SINAPI-%MO'!B:E,4,0)</f>
        <v>#N/A</v>
      </c>
      <c r="H9368" s="225" t="str">
        <f t="shared" si="146"/>
        <v/>
      </c>
    </row>
    <row r="9369" spans="1:8" x14ac:dyDescent="0.3">
      <c r="A9369" s="400"/>
      <c r="B9369" s="709">
        <v>106442</v>
      </c>
      <c r="C9369" s="710" t="s">
        <v>15289</v>
      </c>
      <c r="D9369" s="709" t="s">
        <v>136</v>
      </c>
      <c r="E9369" s="716">
        <v>0</v>
      </c>
      <c r="F9369" s="717"/>
      <c r="G9369" t="e">
        <f>VLOOKUP(B9369,'SINAPI-%MO'!B:E,4,0)</f>
        <v>#N/A</v>
      </c>
      <c r="H9369" s="225" t="str">
        <f t="shared" si="146"/>
        <v/>
      </c>
    </row>
    <row r="9370" spans="1:8" x14ac:dyDescent="0.3">
      <c r="A9370" s="400"/>
      <c r="B9370" s="709">
        <v>106427</v>
      </c>
      <c r="C9370" s="710" t="s">
        <v>15290</v>
      </c>
      <c r="D9370" s="709" t="s">
        <v>136</v>
      </c>
      <c r="E9370" s="716">
        <v>0</v>
      </c>
      <c r="F9370" s="717"/>
      <c r="G9370" t="e">
        <f>VLOOKUP(B9370,'SINAPI-%MO'!B:E,4,0)</f>
        <v>#N/A</v>
      </c>
      <c r="H9370" s="225" t="str">
        <f t="shared" si="146"/>
        <v/>
      </c>
    </row>
    <row r="9371" spans="1:8" x14ac:dyDescent="0.3">
      <c r="A9371" s="400"/>
      <c r="B9371" s="709">
        <v>106428</v>
      </c>
      <c r="C9371" s="710" t="s">
        <v>15291</v>
      </c>
      <c r="D9371" s="709" t="s">
        <v>136</v>
      </c>
      <c r="E9371" s="716">
        <v>0</v>
      </c>
      <c r="F9371" s="717"/>
      <c r="G9371" t="e">
        <f>VLOOKUP(B9371,'SINAPI-%MO'!B:E,4,0)</f>
        <v>#N/A</v>
      </c>
      <c r="H9371" s="225" t="str">
        <f t="shared" si="146"/>
        <v/>
      </c>
    </row>
    <row r="9372" spans="1:8" x14ac:dyDescent="0.3">
      <c r="A9372" s="400"/>
      <c r="B9372" s="709">
        <v>106429</v>
      </c>
      <c r="C9372" s="710" t="s">
        <v>15292</v>
      </c>
      <c r="D9372" s="709" t="s">
        <v>136</v>
      </c>
      <c r="E9372" s="716">
        <v>0</v>
      </c>
      <c r="F9372" s="717"/>
      <c r="G9372" t="e">
        <f>VLOOKUP(B9372,'SINAPI-%MO'!B:E,4,0)</f>
        <v>#N/A</v>
      </c>
      <c r="H9372" s="225" t="str">
        <f t="shared" si="146"/>
        <v/>
      </c>
    </row>
    <row r="9373" spans="1:8" x14ac:dyDescent="0.3">
      <c r="A9373" s="400"/>
      <c r="B9373" s="709">
        <v>106430</v>
      </c>
      <c r="C9373" s="710" t="s">
        <v>15293</v>
      </c>
      <c r="D9373" s="709" t="s">
        <v>136</v>
      </c>
      <c r="E9373" s="716">
        <v>0</v>
      </c>
      <c r="F9373" s="717"/>
      <c r="G9373" t="e">
        <f>VLOOKUP(B9373,'SINAPI-%MO'!B:E,4,0)</f>
        <v>#N/A</v>
      </c>
      <c r="H9373" s="225" t="str">
        <f t="shared" si="146"/>
        <v/>
      </c>
    </row>
    <row r="9374" spans="1:8" x14ac:dyDescent="0.3">
      <c r="A9374" s="400"/>
      <c r="B9374" s="709">
        <v>106425</v>
      </c>
      <c r="C9374" s="710" t="s">
        <v>15294</v>
      </c>
      <c r="D9374" s="709" t="s">
        <v>136</v>
      </c>
      <c r="E9374" s="716">
        <v>0</v>
      </c>
      <c r="F9374" s="717"/>
      <c r="G9374" t="e">
        <f>VLOOKUP(B9374,'SINAPI-%MO'!B:E,4,0)</f>
        <v>#N/A</v>
      </c>
      <c r="H9374" s="225" t="str">
        <f t="shared" si="146"/>
        <v/>
      </c>
    </row>
    <row r="9375" spans="1:8" x14ac:dyDescent="0.3">
      <c r="A9375" s="400"/>
      <c r="B9375" s="709">
        <v>106431</v>
      </c>
      <c r="C9375" s="710" t="s">
        <v>15295</v>
      </c>
      <c r="D9375" s="709" t="s">
        <v>136</v>
      </c>
      <c r="E9375" s="716">
        <v>0</v>
      </c>
      <c r="F9375" s="717"/>
      <c r="G9375" t="e">
        <f>VLOOKUP(B9375,'SINAPI-%MO'!B:E,4,0)</f>
        <v>#N/A</v>
      </c>
      <c r="H9375" s="225" t="str">
        <f t="shared" si="146"/>
        <v/>
      </c>
    </row>
    <row r="9376" spans="1:8" x14ac:dyDescent="0.3">
      <c r="A9376" s="400"/>
      <c r="B9376" s="709">
        <v>106441</v>
      </c>
      <c r="C9376" s="710" t="s">
        <v>15296</v>
      </c>
      <c r="D9376" s="709" t="s">
        <v>136</v>
      </c>
      <c r="E9376" s="716">
        <v>0</v>
      </c>
      <c r="F9376" s="717"/>
      <c r="G9376" t="e">
        <f>VLOOKUP(B9376,'SINAPI-%MO'!B:E,4,0)</f>
        <v>#N/A</v>
      </c>
      <c r="H9376" s="225" t="str">
        <f t="shared" si="146"/>
        <v/>
      </c>
    </row>
    <row r="9377" spans="1:8" x14ac:dyDescent="0.3">
      <c r="A9377" s="400"/>
      <c r="B9377" s="709">
        <v>106433</v>
      </c>
      <c r="C9377" s="710" t="s">
        <v>15297</v>
      </c>
      <c r="D9377" s="709" t="s">
        <v>136</v>
      </c>
      <c r="E9377" s="716">
        <v>0</v>
      </c>
      <c r="F9377" s="717"/>
      <c r="G9377" t="e">
        <f>VLOOKUP(B9377,'SINAPI-%MO'!B:E,4,0)</f>
        <v>#N/A</v>
      </c>
      <c r="H9377" s="225" t="str">
        <f t="shared" si="146"/>
        <v/>
      </c>
    </row>
    <row r="9378" spans="1:8" x14ac:dyDescent="0.3">
      <c r="A9378" s="400"/>
      <c r="B9378" s="709">
        <v>106444</v>
      </c>
      <c r="C9378" s="710" t="s">
        <v>15298</v>
      </c>
      <c r="D9378" s="709" t="s">
        <v>136</v>
      </c>
      <c r="E9378" s="716">
        <v>0</v>
      </c>
      <c r="F9378" s="717"/>
      <c r="G9378" t="e">
        <f>VLOOKUP(B9378,'SINAPI-%MO'!B:E,4,0)</f>
        <v>#N/A</v>
      </c>
      <c r="H9378" s="225" t="str">
        <f t="shared" si="146"/>
        <v/>
      </c>
    </row>
    <row r="9379" spans="1:8" x14ac:dyDescent="0.3">
      <c r="A9379" s="400"/>
      <c r="B9379" s="709">
        <v>106434</v>
      </c>
      <c r="C9379" s="710" t="s">
        <v>15299</v>
      </c>
      <c r="D9379" s="709" t="s">
        <v>136</v>
      </c>
      <c r="E9379" s="716">
        <v>0</v>
      </c>
      <c r="F9379" s="717"/>
      <c r="G9379" t="e">
        <f>VLOOKUP(B9379,'SINAPI-%MO'!B:E,4,0)</f>
        <v>#N/A</v>
      </c>
      <c r="H9379" s="225" t="str">
        <f t="shared" si="146"/>
        <v/>
      </c>
    </row>
    <row r="9380" spans="1:8" x14ac:dyDescent="0.3">
      <c r="A9380" s="400"/>
      <c r="B9380" s="709">
        <v>106435</v>
      </c>
      <c r="C9380" s="710" t="s">
        <v>15300</v>
      </c>
      <c r="D9380" s="709" t="s">
        <v>136</v>
      </c>
      <c r="E9380" s="716">
        <v>0</v>
      </c>
      <c r="F9380" s="717"/>
      <c r="G9380" t="e">
        <f>VLOOKUP(B9380,'SINAPI-%MO'!B:E,4,0)</f>
        <v>#N/A</v>
      </c>
      <c r="H9380" s="225" t="str">
        <f t="shared" si="146"/>
        <v/>
      </c>
    </row>
    <row r="9381" spans="1:8" x14ac:dyDescent="0.3">
      <c r="A9381" s="400"/>
      <c r="B9381" s="709">
        <v>106436</v>
      </c>
      <c r="C9381" s="710" t="s">
        <v>15301</v>
      </c>
      <c r="D9381" s="709" t="s">
        <v>136</v>
      </c>
      <c r="E9381" s="716">
        <v>0</v>
      </c>
      <c r="F9381" s="717"/>
      <c r="G9381" t="e">
        <f>VLOOKUP(B9381,'SINAPI-%MO'!B:E,4,0)</f>
        <v>#N/A</v>
      </c>
      <c r="H9381" s="225" t="str">
        <f t="shared" si="146"/>
        <v/>
      </c>
    </row>
    <row r="9382" spans="1:8" x14ac:dyDescent="0.3">
      <c r="A9382" s="400"/>
      <c r="B9382" s="709">
        <v>106437</v>
      </c>
      <c r="C9382" s="710" t="s">
        <v>15302</v>
      </c>
      <c r="D9382" s="709" t="s">
        <v>136</v>
      </c>
      <c r="E9382" s="716">
        <v>0</v>
      </c>
      <c r="F9382" s="717"/>
      <c r="G9382" t="e">
        <f>VLOOKUP(B9382,'SINAPI-%MO'!B:E,4,0)</f>
        <v>#N/A</v>
      </c>
      <c r="H9382" s="225" t="str">
        <f t="shared" si="146"/>
        <v/>
      </c>
    </row>
    <row r="9383" spans="1:8" x14ac:dyDescent="0.3">
      <c r="A9383" s="400"/>
      <c r="B9383" s="709">
        <v>106432</v>
      </c>
      <c r="C9383" s="710" t="s">
        <v>15303</v>
      </c>
      <c r="D9383" s="709" t="s">
        <v>136</v>
      </c>
      <c r="E9383" s="716">
        <v>0</v>
      </c>
      <c r="F9383" s="717"/>
      <c r="G9383" t="e">
        <f>VLOOKUP(B9383,'SINAPI-%MO'!B:E,4,0)</f>
        <v>#N/A</v>
      </c>
      <c r="H9383" s="225" t="str">
        <f t="shared" si="146"/>
        <v/>
      </c>
    </row>
    <row r="9384" spans="1:8" x14ac:dyDescent="0.3">
      <c r="A9384" s="400"/>
      <c r="B9384" s="709">
        <v>106438</v>
      </c>
      <c r="C9384" s="710" t="s">
        <v>15304</v>
      </c>
      <c r="D9384" s="709" t="s">
        <v>136</v>
      </c>
      <c r="E9384" s="716">
        <v>0</v>
      </c>
      <c r="F9384" s="717"/>
      <c r="G9384" t="e">
        <f>VLOOKUP(B9384,'SINAPI-%MO'!B:E,4,0)</f>
        <v>#N/A</v>
      </c>
      <c r="H9384" s="225" t="str">
        <f t="shared" si="146"/>
        <v/>
      </c>
    </row>
    <row r="9385" spans="1:8" x14ac:dyDescent="0.3">
      <c r="A9385" s="400"/>
      <c r="B9385" s="709">
        <v>106443</v>
      </c>
      <c r="C9385" s="710" t="s">
        <v>15305</v>
      </c>
      <c r="D9385" s="709" t="s">
        <v>136</v>
      </c>
      <c r="E9385" s="716">
        <v>0</v>
      </c>
      <c r="F9385" s="717"/>
      <c r="G9385" t="e">
        <f>VLOOKUP(B9385,'SINAPI-%MO'!B:E,4,0)</f>
        <v>#N/A</v>
      </c>
      <c r="H9385" s="225" t="str">
        <f t="shared" si="146"/>
        <v/>
      </c>
    </row>
    <row r="9386" spans="1:8" x14ac:dyDescent="0.3">
      <c r="A9386" s="400"/>
      <c r="B9386" s="709">
        <v>106419</v>
      </c>
      <c r="C9386" s="710" t="s">
        <v>15306</v>
      </c>
      <c r="D9386" s="709" t="s">
        <v>136</v>
      </c>
      <c r="E9386" s="716">
        <v>0</v>
      </c>
      <c r="F9386" s="717"/>
      <c r="G9386" t="e">
        <f>VLOOKUP(B9386,'SINAPI-%MO'!B:E,4,0)</f>
        <v>#N/A</v>
      </c>
      <c r="H9386" s="225" t="str">
        <f t="shared" si="146"/>
        <v/>
      </c>
    </row>
    <row r="9387" spans="1:8" x14ac:dyDescent="0.3">
      <c r="A9387" s="400"/>
      <c r="B9387" s="709">
        <v>106440</v>
      </c>
      <c r="C9387" s="710" t="s">
        <v>15307</v>
      </c>
      <c r="D9387" s="709" t="s">
        <v>136</v>
      </c>
      <c r="E9387" s="716">
        <v>0</v>
      </c>
      <c r="F9387" s="717"/>
      <c r="G9387" t="e">
        <f>VLOOKUP(B9387,'SINAPI-%MO'!B:E,4,0)</f>
        <v>#N/A</v>
      </c>
      <c r="H9387" s="225" t="str">
        <f t="shared" si="146"/>
        <v/>
      </c>
    </row>
    <row r="9388" spans="1:8" x14ac:dyDescent="0.3">
      <c r="A9388" s="400"/>
      <c r="B9388" s="709">
        <v>106420</v>
      </c>
      <c r="C9388" s="710" t="s">
        <v>15308</v>
      </c>
      <c r="D9388" s="709" t="s">
        <v>136</v>
      </c>
      <c r="E9388" s="716">
        <v>0</v>
      </c>
      <c r="F9388" s="717"/>
      <c r="G9388" t="e">
        <f>VLOOKUP(B9388,'SINAPI-%MO'!B:E,4,0)</f>
        <v>#N/A</v>
      </c>
      <c r="H9388" s="225" t="str">
        <f t="shared" si="146"/>
        <v/>
      </c>
    </row>
    <row r="9389" spans="1:8" x14ac:dyDescent="0.3">
      <c r="A9389" s="400"/>
      <c r="B9389" s="709">
        <v>106421</v>
      </c>
      <c r="C9389" s="710" t="s">
        <v>15309</v>
      </c>
      <c r="D9389" s="709" t="s">
        <v>136</v>
      </c>
      <c r="E9389" s="716">
        <v>0</v>
      </c>
      <c r="F9389" s="717"/>
      <c r="G9389" t="e">
        <f>VLOOKUP(B9389,'SINAPI-%MO'!B:E,4,0)</f>
        <v>#N/A</v>
      </c>
      <c r="H9389" s="225" t="str">
        <f t="shared" si="146"/>
        <v/>
      </c>
    </row>
    <row r="9390" spans="1:8" x14ac:dyDescent="0.3">
      <c r="A9390" s="400"/>
      <c r="B9390" s="709">
        <v>106422</v>
      </c>
      <c r="C9390" s="710" t="s">
        <v>15310</v>
      </c>
      <c r="D9390" s="709" t="s">
        <v>136</v>
      </c>
      <c r="E9390" s="716">
        <v>0</v>
      </c>
      <c r="F9390" s="717"/>
      <c r="G9390" t="e">
        <f>VLOOKUP(B9390,'SINAPI-%MO'!B:E,4,0)</f>
        <v>#N/A</v>
      </c>
      <c r="H9390" s="225" t="str">
        <f t="shared" si="146"/>
        <v/>
      </c>
    </row>
    <row r="9391" spans="1:8" x14ac:dyDescent="0.3">
      <c r="A9391" s="400"/>
      <c r="B9391" s="709">
        <v>106423</v>
      </c>
      <c r="C9391" s="710" t="s">
        <v>15311</v>
      </c>
      <c r="D9391" s="709" t="s">
        <v>136</v>
      </c>
      <c r="E9391" s="716">
        <v>0</v>
      </c>
      <c r="F9391" s="717"/>
      <c r="G9391" t="e">
        <f>VLOOKUP(B9391,'SINAPI-%MO'!B:E,4,0)</f>
        <v>#N/A</v>
      </c>
      <c r="H9391" s="225" t="str">
        <f t="shared" si="146"/>
        <v/>
      </c>
    </row>
    <row r="9392" spans="1:8" x14ac:dyDescent="0.3">
      <c r="A9392" s="400"/>
      <c r="B9392" s="709">
        <v>106418</v>
      </c>
      <c r="C9392" s="710" t="s">
        <v>15312</v>
      </c>
      <c r="D9392" s="709" t="s">
        <v>136</v>
      </c>
      <c r="E9392" s="716">
        <v>0</v>
      </c>
      <c r="F9392" s="717"/>
      <c r="G9392" t="e">
        <f>VLOOKUP(B9392,'SINAPI-%MO'!B:E,4,0)</f>
        <v>#N/A</v>
      </c>
      <c r="H9392" s="225" t="str">
        <f t="shared" si="146"/>
        <v/>
      </c>
    </row>
    <row r="9393" spans="1:8" x14ac:dyDescent="0.3">
      <c r="A9393" s="400"/>
      <c r="B9393" s="709">
        <v>106424</v>
      </c>
      <c r="C9393" s="710" t="s">
        <v>15313</v>
      </c>
      <c r="D9393" s="709" t="s">
        <v>136</v>
      </c>
      <c r="E9393" s="716">
        <v>0</v>
      </c>
      <c r="F9393" s="717"/>
      <c r="G9393" t="e">
        <f>VLOOKUP(B9393,'SINAPI-%MO'!B:E,4,0)</f>
        <v>#N/A</v>
      </c>
      <c r="H9393" s="225" t="str">
        <f t="shared" si="146"/>
        <v/>
      </c>
    </row>
    <row r="9394" spans="1:8" x14ac:dyDescent="0.3">
      <c r="A9394" s="400"/>
      <c r="B9394" s="709">
        <v>106439</v>
      </c>
      <c r="C9394" s="710" t="s">
        <v>15314</v>
      </c>
      <c r="D9394" s="709" t="s">
        <v>136</v>
      </c>
      <c r="E9394" s="716">
        <v>0</v>
      </c>
      <c r="F9394" s="717"/>
      <c r="G9394" t="e">
        <f>VLOOKUP(B9394,'SINAPI-%MO'!B:E,4,0)</f>
        <v>#N/A</v>
      </c>
      <c r="H9394" s="225" t="str">
        <f t="shared" si="146"/>
        <v/>
      </c>
    </row>
    <row r="9395" spans="1:8" x14ac:dyDescent="0.3">
      <c r="A9395" s="400"/>
      <c r="B9395" s="709">
        <v>88789</v>
      </c>
      <c r="C9395" s="710" t="s">
        <v>7768</v>
      </c>
      <c r="D9395" s="709" t="s">
        <v>168</v>
      </c>
      <c r="E9395" s="716">
        <v>501.2</v>
      </c>
      <c r="F9395" s="717">
        <v>0</v>
      </c>
      <c r="G9395">
        <f>VLOOKUP(B9395,'SINAPI-%MO'!B:E,4,0)</f>
        <v>0.12089999999999999</v>
      </c>
      <c r="H9395" s="225">
        <f t="shared" si="146"/>
        <v>440.6</v>
      </c>
    </row>
    <row r="9396" spans="1:8" x14ac:dyDescent="0.3">
      <c r="A9396" s="400"/>
      <c r="B9396" s="709">
        <v>88788</v>
      </c>
      <c r="C9396" s="710" t="s">
        <v>7769</v>
      </c>
      <c r="D9396" s="709" t="s">
        <v>168</v>
      </c>
      <c r="E9396" s="716">
        <v>416.21</v>
      </c>
      <c r="F9396" s="717">
        <v>0</v>
      </c>
      <c r="G9396">
        <f>VLOOKUP(B9396,'SINAPI-%MO'!B:E,4,0)</f>
        <v>0.126</v>
      </c>
      <c r="H9396" s="225">
        <f t="shared" si="146"/>
        <v>363.76</v>
      </c>
    </row>
    <row r="9397" spans="1:8" x14ac:dyDescent="0.3">
      <c r="A9397" s="400"/>
      <c r="B9397" s="709">
        <v>87245</v>
      </c>
      <c r="C9397" s="710" t="s">
        <v>7770</v>
      </c>
      <c r="D9397" s="709" t="s">
        <v>168</v>
      </c>
      <c r="E9397" s="716">
        <v>382.18</v>
      </c>
      <c r="F9397" s="717">
        <v>0</v>
      </c>
      <c r="G9397">
        <f>VLOOKUP(B9397,'SINAPI-%MO'!B:E,4,0)</f>
        <v>0.15409999999999999</v>
      </c>
      <c r="H9397" s="225">
        <f t="shared" si="146"/>
        <v>323.27999999999997</v>
      </c>
    </row>
    <row r="9398" spans="1:8" x14ac:dyDescent="0.3">
      <c r="A9398" s="400"/>
      <c r="B9398" s="709">
        <v>87244</v>
      </c>
      <c r="C9398" s="710" t="s">
        <v>7771</v>
      </c>
      <c r="D9398" s="709" t="s">
        <v>168</v>
      </c>
      <c r="E9398" s="716">
        <v>317.87</v>
      </c>
      <c r="F9398" s="717">
        <v>0</v>
      </c>
      <c r="G9398">
        <f>VLOOKUP(B9398,'SINAPI-%MO'!B:E,4,0)</f>
        <v>0.1595</v>
      </c>
      <c r="H9398" s="225">
        <f t="shared" si="146"/>
        <v>267.16000000000003</v>
      </c>
    </row>
    <row r="9399" spans="1:8" x14ac:dyDescent="0.3">
      <c r="A9399" s="400"/>
      <c r="B9399" s="709">
        <v>104589</v>
      </c>
      <c r="C9399" s="710" t="s">
        <v>7772</v>
      </c>
      <c r="D9399" s="709" t="s">
        <v>168</v>
      </c>
      <c r="E9399" s="716">
        <v>314.67</v>
      </c>
      <c r="F9399" s="717">
        <v>0</v>
      </c>
      <c r="G9399">
        <f>VLOOKUP(B9399,'SINAPI-%MO'!B:E,4,0)</f>
        <v>0.185</v>
      </c>
      <c r="H9399" s="225">
        <f t="shared" si="146"/>
        <v>256.45</v>
      </c>
    </row>
    <row r="9400" spans="1:8" x14ac:dyDescent="0.3">
      <c r="A9400" s="400"/>
      <c r="B9400" s="709">
        <v>104588</v>
      </c>
      <c r="C9400" s="710" t="s">
        <v>7773</v>
      </c>
      <c r="D9400" s="709" t="s">
        <v>168</v>
      </c>
      <c r="E9400" s="716">
        <v>262.33999999999997</v>
      </c>
      <c r="F9400" s="717">
        <v>0</v>
      </c>
      <c r="G9400">
        <f>VLOOKUP(B9400,'SINAPI-%MO'!B:E,4,0)</f>
        <v>0.19059999999999999</v>
      </c>
      <c r="H9400" s="225">
        <f t="shared" si="146"/>
        <v>212.33</v>
      </c>
    </row>
    <row r="9401" spans="1:8" x14ac:dyDescent="0.3">
      <c r="A9401" s="400"/>
      <c r="B9401" s="709">
        <v>104591</v>
      </c>
      <c r="C9401" s="710" t="s">
        <v>7774</v>
      </c>
      <c r="D9401" s="709" t="s">
        <v>168</v>
      </c>
      <c r="E9401" s="716">
        <v>343.98</v>
      </c>
      <c r="F9401" s="717">
        <v>0</v>
      </c>
      <c r="G9401">
        <f>VLOOKUP(B9401,'SINAPI-%MO'!B:E,4,0)</f>
        <v>0.2117</v>
      </c>
      <c r="H9401" s="225">
        <f t="shared" si="146"/>
        <v>271.14999999999998</v>
      </c>
    </row>
    <row r="9402" spans="1:8" x14ac:dyDescent="0.3">
      <c r="A9402" s="400"/>
      <c r="B9402" s="709">
        <v>104590</v>
      </c>
      <c r="C9402" s="710" t="s">
        <v>7775</v>
      </c>
      <c r="D9402" s="709" t="s">
        <v>168</v>
      </c>
      <c r="E9402" s="716">
        <v>288.02</v>
      </c>
      <c r="F9402" s="717">
        <v>0</v>
      </c>
      <c r="G9402">
        <f>VLOOKUP(B9402,'SINAPI-%MO'!B:E,4,0)</f>
        <v>0.22450000000000001</v>
      </c>
      <c r="H9402" s="225">
        <f t="shared" si="146"/>
        <v>223.35</v>
      </c>
    </row>
    <row r="9403" spans="1:8" x14ac:dyDescent="0.3">
      <c r="A9403" s="400"/>
      <c r="B9403" s="709">
        <v>87267</v>
      </c>
      <c r="C9403" s="710" t="s">
        <v>7776</v>
      </c>
      <c r="D9403" s="709" t="s">
        <v>168</v>
      </c>
      <c r="E9403" s="716">
        <v>72.239999999999995</v>
      </c>
      <c r="F9403" s="717">
        <v>0</v>
      </c>
      <c r="G9403">
        <f>VLOOKUP(B9403,'SINAPI-%MO'!B:E,4,0)</f>
        <v>0.40139999999999998</v>
      </c>
      <c r="H9403" s="225">
        <f t="shared" si="146"/>
        <v>43.24</v>
      </c>
    </row>
    <row r="9404" spans="1:8" x14ac:dyDescent="0.3">
      <c r="A9404" s="400"/>
      <c r="B9404" s="709">
        <v>104614</v>
      </c>
      <c r="C9404" s="710" t="s">
        <v>7777</v>
      </c>
      <c r="D9404" s="709" t="s">
        <v>168</v>
      </c>
      <c r="E9404" s="716">
        <v>77.87</v>
      </c>
      <c r="F9404" s="717">
        <v>0</v>
      </c>
      <c r="G9404">
        <f>VLOOKUP(B9404,'SINAPI-%MO'!B:E,4,0)</f>
        <v>0.43590000000000001</v>
      </c>
      <c r="H9404" s="225">
        <f t="shared" si="146"/>
        <v>43.92</v>
      </c>
    </row>
    <row r="9405" spans="1:8" x14ac:dyDescent="0.3">
      <c r="A9405" s="400"/>
      <c r="B9405" s="709">
        <v>104613</v>
      </c>
      <c r="C9405" s="710" t="s">
        <v>7778</v>
      </c>
      <c r="D9405" s="709" t="s">
        <v>168</v>
      </c>
      <c r="E9405" s="716">
        <v>70.34</v>
      </c>
      <c r="F9405" s="717">
        <v>0</v>
      </c>
      <c r="G9405">
        <f>VLOOKUP(B9405,'SINAPI-%MO'!B:E,4,0)</f>
        <v>0.38190000000000002</v>
      </c>
      <c r="H9405" s="225">
        <f t="shared" si="146"/>
        <v>43.47</v>
      </c>
    </row>
    <row r="9406" spans="1:8" x14ac:dyDescent="0.3">
      <c r="A9406" s="400"/>
      <c r="B9406" s="709">
        <v>87265</v>
      </c>
      <c r="C9406" s="710" t="s">
        <v>7779</v>
      </c>
      <c r="D9406" s="709" t="s">
        <v>168</v>
      </c>
      <c r="E9406" s="716">
        <v>66.47</v>
      </c>
      <c r="F9406" s="717">
        <v>0</v>
      </c>
      <c r="G9406">
        <f>VLOOKUP(B9406,'SINAPI-%MO'!B:E,4,0)</f>
        <v>0.35289999999999999</v>
      </c>
      <c r="H9406" s="225">
        <f t="shared" si="146"/>
        <v>43.01</v>
      </c>
    </row>
    <row r="9407" spans="1:8" x14ac:dyDescent="0.3">
      <c r="A9407" s="400"/>
      <c r="B9407" s="709">
        <v>87271</v>
      </c>
      <c r="C9407" s="710" t="s">
        <v>7780</v>
      </c>
      <c r="D9407" s="709" t="s">
        <v>168</v>
      </c>
      <c r="E9407" s="716">
        <v>76.67</v>
      </c>
      <c r="F9407" s="717">
        <v>0</v>
      </c>
      <c r="G9407">
        <f>VLOOKUP(B9407,'SINAPI-%MO'!B:E,4,0)</f>
        <v>0.43619999999999998</v>
      </c>
      <c r="H9407" s="225">
        <f t="shared" si="146"/>
        <v>43.22</v>
      </c>
    </row>
    <row r="9408" spans="1:8" x14ac:dyDescent="0.3">
      <c r="A9408" s="400"/>
      <c r="B9408" s="709">
        <v>87269</v>
      </c>
      <c r="C9408" s="710" t="s">
        <v>7781</v>
      </c>
      <c r="D9408" s="709" t="s">
        <v>168</v>
      </c>
      <c r="E9408" s="716">
        <v>70.84</v>
      </c>
      <c r="F9408" s="717">
        <v>0</v>
      </c>
      <c r="G9408">
        <f>VLOOKUP(B9408,'SINAPI-%MO'!B:E,4,0)</f>
        <v>0.39290000000000003</v>
      </c>
      <c r="H9408" s="225">
        <f t="shared" si="146"/>
        <v>43</v>
      </c>
    </row>
    <row r="9409" spans="1:8" x14ac:dyDescent="0.3">
      <c r="A9409" s="400"/>
      <c r="B9409" s="709">
        <v>87275</v>
      </c>
      <c r="C9409" s="710" t="s">
        <v>7782</v>
      </c>
      <c r="D9409" s="709" t="s">
        <v>168</v>
      </c>
      <c r="E9409" s="716">
        <v>81.92</v>
      </c>
      <c r="F9409" s="717">
        <v>0</v>
      </c>
      <c r="G9409">
        <f>VLOOKUP(B9409,'SINAPI-%MO'!B:E,4,0)</f>
        <v>0.45100000000000001</v>
      </c>
      <c r="H9409" s="225">
        <f t="shared" si="146"/>
        <v>44.97</v>
      </c>
    </row>
    <row r="9410" spans="1:8" x14ac:dyDescent="0.3">
      <c r="A9410" s="400"/>
      <c r="B9410" s="709">
        <v>87273</v>
      </c>
      <c r="C9410" s="710" t="s">
        <v>7783</v>
      </c>
      <c r="D9410" s="709" t="s">
        <v>168</v>
      </c>
      <c r="E9410" s="716">
        <v>74.16</v>
      </c>
      <c r="F9410" s="717">
        <v>0</v>
      </c>
      <c r="G9410">
        <f>VLOOKUP(B9410,'SINAPI-%MO'!B:E,4,0)</f>
        <v>0.39989999999999998</v>
      </c>
      <c r="H9410" s="225">
        <f t="shared" si="146"/>
        <v>44.5</v>
      </c>
    </row>
    <row r="9411" spans="1:8" x14ac:dyDescent="0.3">
      <c r="A9411" s="400"/>
      <c r="B9411" s="709">
        <v>104612</v>
      </c>
      <c r="C9411" s="710" t="s">
        <v>7784</v>
      </c>
      <c r="D9411" s="709" t="s">
        <v>168</v>
      </c>
      <c r="E9411" s="716">
        <v>106.05</v>
      </c>
      <c r="F9411" s="717">
        <v>0</v>
      </c>
      <c r="G9411">
        <f>VLOOKUP(B9411,'SINAPI-%MO'!B:E,4,0)</f>
        <v>0.30830000000000002</v>
      </c>
      <c r="H9411" s="225">
        <f t="shared" si="146"/>
        <v>73.349999999999994</v>
      </c>
    </row>
    <row r="9412" spans="1:8" x14ac:dyDescent="0.3">
      <c r="A9412" s="400"/>
      <c r="B9412" s="709">
        <v>104611</v>
      </c>
      <c r="C9412" s="710" t="s">
        <v>7785</v>
      </c>
      <c r="D9412" s="709" t="s">
        <v>168</v>
      </c>
      <c r="E9412" s="716">
        <v>105.32</v>
      </c>
      <c r="F9412" s="717">
        <v>0</v>
      </c>
      <c r="G9412">
        <f>VLOOKUP(B9412,'SINAPI-%MO'!B:E,4,0)</f>
        <v>0.29759999999999998</v>
      </c>
      <c r="H9412" s="225">
        <f t="shared" si="146"/>
        <v>73.97</v>
      </c>
    </row>
    <row r="9413" spans="1:8" x14ac:dyDescent="0.3">
      <c r="A9413" s="400"/>
      <c r="B9413" s="709">
        <v>104618</v>
      </c>
      <c r="C9413" s="710" t="s">
        <v>7786</v>
      </c>
      <c r="D9413" s="709" t="s">
        <v>168</v>
      </c>
      <c r="E9413" s="716">
        <v>431.17</v>
      </c>
      <c r="F9413" s="717">
        <v>0</v>
      </c>
      <c r="G9413">
        <f>VLOOKUP(B9413,'SINAPI-%MO'!B:E,4,0)</f>
        <v>0.126</v>
      </c>
      <c r="H9413" s="225">
        <f t="shared" si="146"/>
        <v>376.84</v>
      </c>
    </row>
    <row r="9414" spans="1:8" x14ac:dyDescent="0.3">
      <c r="A9414" s="400"/>
      <c r="B9414" s="709">
        <v>104616</v>
      </c>
      <c r="C9414" s="710" t="s">
        <v>7787</v>
      </c>
      <c r="D9414" s="709" t="s">
        <v>168</v>
      </c>
      <c r="E9414" s="716">
        <v>419.55</v>
      </c>
      <c r="F9414" s="717">
        <v>0</v>
      </c>
      <c r="G9414">
        <f>VLOOKUP(B9414,'SINAPI-%MO'!B:E,4,0)</f>
        <v>0.1018</v>
      </c>
      <c r="H9414" s="225">
        <f t="shared" si="146"/>
        <v>376.83</v>
      </c>
    </row>
    <row r="9415" spans="1:8" x14ac:dyDescent="0.3">
      <c r="A9415" s="400"/>
      <c r="B9415" s="709">
        <v>104617</v>
      </c>
      <c r="C9415" s="710" t="s">
        <v>7788</v>
      </c>
      <c r="D9415" s="709" t="s">
        <v>168</v>
      </c>
      <c r="E9415" s="716">
        <v>329.04</v>
      </c>
      <c r="F9415" s="717">
        <v>0</v>
      </c>
      <c r="G9415">
        <f>VLOOKUP(B9415,'SINAPI-%MO'!B:E,4,0)</f>
        <v>0.1651</v>
      </c>
      <c r="H9415" s="225">
        <f t="shared" si="146"/>
        <v>274.70999999999998</v>
      </c>
    </row>
    <row r="9416" spans="1:8" x14ac:dyDescent="0.3">
      <c r="A9416" s="400"/>
      <c r="B9416" s="709">
        <v>104615</v>
      </c>
      <c r="C9416" s="710" t="s">
        <v>7789</v>
      </c>
      <c r="D9416" s="709" t="s">
        <v>168</v>
      </c>
      <c r="E9416" s="716">
        <v>317.42</v>
      </c>
      <c r="F9416" s="717">
        <v>0</v>
      </c>
      <c r="G9416">
        <f>VLOOKUP(B9416,'SINAPI-%MO'!B:E,4,0)</f>
        <v>0.13450000000000001</v>
      </c>
      <c r="H9416" s="225">
        <f t="shared" si="146"/>
        <v>274.72000000000003</v>
      </c>
    </row>
    <row r="9417" spans="1:8" x14ac:dyDescent="0.3">
      <c r="A9417" s="400"/>
      <c r="B9417" s="709">
        <v>87247</v>
      </c>
      <c r="C9417" s="710" t="s">
        <v>7790</v>
      </c>
      <c r="D9417" s="709" t="s">
        <v>168</v>
      </c>
      <c r="E9417" s="716">
        <v>67.39</v>
      </c>
      <c r="F9417" s="717">
        <v>0</v>
      </c>
      <c r="G9417">
        <f>VLOOKUP(B9417,'SINAPI-%MO'!B:E,4,0)</f>
        <v>0.27929999999999999</v>
      </c>
      <c r="H9417" s="225">
        <f t="shared" si="146"/>
        <v>48.56</v>
      </c>
    </row>
    <row r="9418" spans="1:8" x14ac:dyDescent="0.3">
      <c r="A9418" s="400"/>
      <c r="B9418" s="709">
        <v>87248</v>
      </c>
      <c r="C9418" s="710" t="s">
        <v>7791</v>
      </c>
      <c r="D9418" s="709" t="s">
        <v>168</v>
      </c>
      <c r="E9418" s="716">
        <v>59.18</v>
      </c>
      <c r="F9418" s="717">
        <v>0</v>
      </c>
      <c r="G9418">
        <f>VLOOKUP(B9418,'SINAPI-%MO'!B:E,4,0)</f>
        <v>0.1822</v>
      </c>
      <c r="H9418" s="225">
        <f t="shared" si="146"/>
        <v>48.39</v>
      </c>
    </row>
    <row r="9419" spans="1:8" x14ac:dyDescent="0.3">
      <c r="A9419" s="400"/>
      <c r="B9419" s="709">
        <v>87246</v>
      </c>
      <c r="C9419" s="710" t="s">
        <v>7792</v>
      </c>
      <c r="D9419" s="709" t="s">
        <v>168</v>
      </c>
      <c r="E9419" s="716">
        <v>75.23</v>
      </c>
      <c r="F9419" s="717">
        <v>0</v>
      </c>
      <c r="G9419">
        <f>VLOOKUP(B9419,'SINAPI-%MO'!B:E,4,0)</f>
        <v>0.34449999999999997</v>
      </c>
      <c r="H9419" s="225">
        <f t="shared" ref="H9419:H9482" si="147">IF(E9419&gt;0,TRUNC(E9419*(1-G9419),2),"")</f>
        <v>49.31</v>
      </c>
    </row>
    <row r="9420" spans="1:8" x14ac:dyDescent="0.3">
      <c r="A9420" s="400"/>
      <c r="B9420" s="709">
        <v>104601</v>
      </c>
      <c r="C9420" s="710" t="s">
        <v>7793</v>
      </c>
      <c r="D9420" s="709" t="s">
        <v>168</v>
      </c>
      <c r="E9420" s="716">
        <v>72.930000000000007</v>
      </c>
      <c r="F9420" s="717">
        <v>0</v>
      </c>
      <c r="G9420">
        <f>VLOOKUP(B9420,'SINAPI-%MO'!B:E,4,0)</f>
        <v>0.31759999999999999</v>
      </c>
      <c r="H9420" s="225">
        <f t="shared" si="147"/>
        <v>49.76</v>
      </c>
    </row>
    <row r="9421" spans="1:8" x14ac:dyDescent="0.3">
      <c r="A9421" s="400"/>
      <c r="B9421" s="709">
        <v>104603</v>
      </c>
      <c r="C9421" s="710" t="s">
        <v>7794</v>
      </c>
      <c r="D9421" s="709" t="s">
        <v>168</v>
      </c>
      <c r="E9421" s="716">
        <v>61.95</v>
      </c>
      <c r="F9421" s="717">
        <v>0</v>
      </c>
      <c r="G9421">
        <f>VLOOKUP(B9421,'SINAPI-%MO'!B:E,4,0)</f>
        <v>0.20899999999999999</v>
      </c>
      <c r="H9421" s="225">
        <f t="shared" si="147"/>
        <v>49</v>
      </c>
    </row>
    <row r="9422" spans="1:8" x14ac:dyDescent="0.3">
      <c r="A9422" s="400"/>
      <c r="B9422" s="709">
        <v>104599</v>
      </c>
      <c r="C9422" s="710" t="s">
        <v>7795</v>
      </c>
      <c r="D9422" s="709" t="s">
        <v>168</v>
      </c>
      <c r="E9422" s="716">
        <v>89.91</v>
      </c>
      <c r="F9422" s="717">
        <v>0</v>
      </c>
      <c r="G9422">
        <f>VLOOKUP(B9422,'SINAPI-%MO'!B:E,4,0)</f>
        <v>0.41610000000000003</v>
      </c>
      <c r="H9422" s="225">
        <f t="shared" si="147"/>
        <v>52.49</v>
      </c>
    </row>
    <row r="9423" spans="1:8" x14ac:dyDescent="0.3">
      <c r="A9423" s="400"/>
      <c r="B9423" s="709">
        <v>87250</v>
      </c>
      <c r="C9423" s="710" t="s">
        <v>7796</v>
      </c>
      <c r="D9423" s="709" t="s">
        <v>168</v>
      </c>
      <c r="E9423" s="716">
        <v>68.89</v>
      </c>
      <c r="F9423" s="717">
        <v>0</v>
      </c>
      <c r="G9423">
        <f>VLOOKUP(B9423,'SINAPI-%MO'!B:E,4,0)</f>
        <v>0.29339999999999999</v>
      </c>
      <c r="H9423" s="225">
        <f t="shared" si="147"/>
        <v>48.67</v>
      </c>
    </row>
    <row r="9424" spans="1:8" x14ac:dyDescent="0.3">
      <c r="A9424" s="400"/>
      <c r="B9424" s="709">
        <v>87251</v>
      </c>
      <c r="C9424" s="710" t="s">
        <v>7797</v>
      </c>
      <c r="D9424" s="709" t="s">
        <v>168</v>
      </c>
      <c r="E9424" s="716">
        <v>59.48</v>
      </c>
      <c r="F9424" s="717">
        <v>0</v>
      </c>
      <c r="G9424">
        <f>VLOOKUP(B9424,'SINAPI-%MO'!B:E,4,0)</f>
        <v>0.18859999999999999</v>
      </c>
      <c r="H9424" s="225">
        <f t="shared" si="147"/>
        <v>48.26</v>
      </c>
    </row>
    <row r="9425" spans="1:8" x14ac:dyDescent="0.3">
      <c r="A9425" s="400"/>
      <c r="B9425" s="709">
        <v>87249</v>
      </c>
      <c r="C9425" s="710" t="s">
        <v>7798</v>
      </c>
      <c r="D9425" s="709" t="s">
        <v>168</v>
      </c>
      <c r="E9425" s="716">
        <v>80.58</v>
      </c>
      <c r="F9425" s="717">
        <v>0</v>
      </c>
      <c r="G9425">
        <f>VLOOKUP(B9425,'SINAPI-%MO'!B:E,4,0)</f>
        <v>0.37590000000000001</v>
      </c>
      <c r="H9425" s="225">
        <f t="shared" si="147"/>
        <v>50.28</v>
      </c>
    </row>
    <row r="9426" spans="1:8" x14ac:dyDescent="0.3">
      <c r="A9426" s="400"/>
      <c r="B9426" s="709">
        <v>104606</v>
      </c>
      <c r="C9426" s="710" t="s">
        <v>7799</v>
      </c>
      <c r="D9426" s="709" t="s">
        <v>168</v>
      </c>
      <c r="E9426" s="716">
        <v>77.69</v>
      </c>
      <c r="F9426" s="717">
        <v>0</v>
      </c>
      <c r="G9426">
        <f>VLOOKUP(B9426,'SINAPI-%MO'!B:E,4,0)</f>
        <v>0.34870000000000001</v>
      </c>
      <c r="H9426" s="225">
        <f t="shared" si="147"/>
        <v>50.59</v>
      </c>
    </row>
    <row r="9427" spans="1:8" x14ac:dyDescent="0.3">
      <c r="A9427" s="400"/>
      <c r="B9427" s="709">
        <v>104607</v>
      </c>
      <c r="C9427" s="710" t="s">
        <v>7800</v>
      </c>
      <c r="D9427" s="709" t="s">
        <v>168</v>
      </c>
      <c r="E9427" s="716">
        <v>63.42</v>
      </c>
      <c r="F9427" s="717">
        <v>0</v>
      </c>
      <c r="G9427">
        <f>VLOOKUP(B9427,'SINAPI-%MO'!B:E,4,0)</f>
        <v>0.22550000000000001</v>
      </c>
      <c r="H9427" s="225">
        <f t="shared" si="147"/>
        <v>49.11</v>
      </c>
    </row>
    <row r="9428" spans="1:8" x14ac:dyDescent="0.3">
      <c r="A9428" s="400"/>
      <c r="B9428" s="709">
        <v>104605</v>
      </c>
      <c r="C9428" s="710" t="s">
        <v>7801</v>
      </c>
      <c r="D9428" s="709" t="s">
        <v>168</v>
      </c>
      <c r="E9428" s="716">
        <v>111.65</v>
      </c>
      <c r="F9428" s="717">
        <v>0</v>
      </c>
      <c r="G9428">
        <f>VLOOKUP(B9428,'SINAPI-%MO'!B:E,4,0)</f>
        <v>0.48970000000000002</v>
      </c>
      <c r="H9428" s="225">
        <f t="shared" si="147"/>
        <v>56.97</v>
      </c>
    </row>
    <row r="9429" spans="1:8" x14ac:dyDescent="0.3">
      <c r="A9429" s="400"/>
      <c r="B9429" s="709">
        <v>87256</v>
      </c>
      <c r="C9429" s="710" t="s">
        <v>7802</v>
      </c>
      <c r="D9429" s="709" t="s">
        <v>168</v>
      </c>
      <c r="E9429" s="716">
        <v>81.5</v>
      </c>
      <c r="F9429" s="717">
        <v>0</v>
      </c>
      <c r="G9429">
        <f>VLOOKUP(B9429,'SINAPI-%MO'!B:E,4,0)</f>
        <v>0.27260000000000001</v>
      </c>
      <c r="H9429" s="225">
        <f t="shared" si="147"/>
        <v>59.28</v>
      </c>
    </row>
    <row r="9430" spans="1:8" x14ac:dyDescent="0.3">
      <c r="A9430" s="400"/>
      <c r="B9430" s="709">
        <v>87257</v>
      </c>
      <c r="C9430" s="710" t="s">
        <v>7803</v>
      </c>
      <c r="D9430" s="709" t="s">
        <v>168</v>
      </c>
      <c r="E9430" s="716">
        <v>70.900000000000006</v>
      </c>
      <c r="F9430" s="717">
        <v>0</v>
      </c>
      <c r="G9430">
        <f>VLOOKUP(B9430,'SINAPI-%MO'!B:E,4,0)</f>
        <v>0.17549999999999999</v>
      </c>
      <c r="H9430" s="225">
        <f t="shared" si="147"/>
        <v>58.45</v>
      </c>
    </row>
    <row r="9431" spans="1:8" x14ac:dyDescent="0.3">
      <c r="A9431" s="400"/>
      <c r="B9431" s="709">
        <v>87255</v>
      </c>
      <c r="C9431" s="710" t="s">
        <v>7804</v>
      </c>
      <c r="D9431" s="709" t="s">
        <v>168</v>
      </c>
      <c r="E9431" s="716">
        <v>94.38</v>
      </c>
      <c r="F9431" s="717">
        <v>0</v>
      </c>
      <c r="G9431">
        <f>VLOOKUP(B9431,'SINAPI-%MO'!B:E,4,0)</f>
        <v>0.3488</v>
      </c>
      <c r="H9431" s="225">
        <f t="shared" si="147"/>
        <v>61.46</v>
      </c>
    </row>
    <row r="9432" spans="1:8" x14ac:dyDescent="0.3">
      <c r="A9432" s="400"/>
      <c r="B9432" s="709">
        <v>104594</v>
      </c>
      <c r="C9432" s="710" t="s">
        <v>7805</v>
      </c>
      <c r="D9432" s="709" t="s">
        <v>168</v>
      </c>
      <c r="E9432" s="716">
        <v>83.85</v>
      </c>
      <c r="F9432" s="717">
        <v>0</v>
      </c>
      <c r="G9432">
        <f>VLOOKUP(B9432,'SINAPI-%MO'!B:E,4,0)</f>
        <v>0.28739999999999999</v>
      </c>
      <c r="H9432" s="225">
        <f t="shared" si="147"/>
        <v>59.75</v>
      </c>
    </row>
    <row r="9433" spans="1:8" x14ac:dyDescent="0.3">
      <c r="A9433" s="400"/>
      <c r="B9433" s="709">
        <v>104595</v>
      </c>
      <c r="C9433" s="710" t="s">
        <v>7806</v>
      </c>
      <c r="D9433" s="709" t="s">
        <v>168</v>
      </c>
      <c r="E9433" s="716">
        <v>71.41</v>
      </c>
      <c r="F9433" s="717">
        <v>0</v>
      </c>
      <c r="G9433">
        <f>VLOOKUP(B9433,'SINAPI-%MO'!B:E,4,0)</f>
        <v>0.18129999999999999</v>
      </c>
      <c r="H9433" s="225">
        <f t="shared" si="147"/>
        <v>58.46</v>
      </c>
    </row>
    <row r="9434" spans="1:8" x14ac:dyDescent="0.3">
      <c r="A9434" s="400"/>
      <c r="B9434" s="709">
        <v>104593</v>
      </c>
      <c r="C9434" s="710" t="s">
        <v>7807</v>
      </c>
      <c r="D9434" s="709" t="s">
        <v>168</v>
      </c>
      <c r="E9434" s="716">
        <v>98.24</v>
      </c>
      <c r="F9434" s="717">
        <v>0</v>
      </c>
      <c r="G9434">
        <f>VLOOKUP(B9434,'SINAPI-%MO'!B:E,4,0)</f>
        <v>0.36559999999999998</v>
      </c>
      <c r="H9434" s="225">
        <f t="shared" si="147"/>
        <v>62.32</v>
      </c>
    </row>
    <row r="9435" spans="1:8" x14ac:dyDescent="0.3">
      <c r="A9435" s="400"/>
      <c r="B9435" s="709">
        <v>87262</v>
      </c>
      <c r="C9435" s="710" t="s">
        <v>7808</v>
      </c>
      <c r="D9435" s="709" t="s">
        <v>168</v>
      </c>
      <c r="E9435" s="716">
        <v>138.04</v>
      </c>
      <c r="F9435" s="717">
        <v>0</v>
      </c>
      <c r="G9435">
        <f>VLOOKUP(B9435,'SINAPI-%MO'!B:E,4,0)</f>
        <v>0.21879999999999999</v>
      </c>
      <c r="H9435" s="225">
        <f t="shared" si="147"/>
        <v>107.83</v>
      </c>
    </row>
    <row r="9436" spans="1:8" x14ac:dyDescent="0.3">
      <c r="A9436" s="400"/>
      <c r="B9436" s="709">
        <v>87263</v>
      </c>
      <c r="C9436" s="710" t="s">
        <v>7809</v>
      </c>
      <c r="D9436" s="709" t="s">
        <v>168</v>
      </c>
      <c r="E9436" s="716">
        <v>126.91</v>
      </c>
      <c r="F9436" s="717">
        <v>0</v>
      </c>
      <c r="G9436">
        <f>VLOOKUP(B9436,'SINAPI-%MO'!B:E,4,0)</f>
        <v>0.16089999999999999</v>
      </c>
      <c r="H9436" s="225">
        <f t="shared" si="147"/>
        <v>106.49</v>
      </c>
    </row>
    <row r="9437" spans="1:8" x14ac:dyDescent="0.3">
      <c r="A9437" s="400"/>
      <c r="B9437" s="709">
        <v>87261</v>
      </c>
      <c r="C9437" s="710" t="s">
        <v>7810</v>
      </c>
      <c r="D9437" s="709" t="s">
        <v>168</v>
      </c>
      <c r="E9437" s="716">
        <v>152.34</v>
      </c>
      <c r="F9437" s="717">
        <v>0</v>
      </c>
      <c r="G9437">
        <f>VLOOKUP(B9437,'SINAPI-%MO'!B:E,4,0)</f>
        <v>0.26840000000000003</v>
      </c>
      <c r="H9437" s="225">
        <f t="shared" si="147"/>
        <v>111.45</v>
      </c>
    </row>
    <row r="9438" spans="1:8" x14ac:dyDescent="0.3">
      <c r="A9438" s="400"/>
      <c r="B9438" s="709">
        <v>104597</v>
      </c>
      <c r="C9438" s="710" t="s">
        <v>7811</v>
      </c>
      <c r="D9438" s="709" t="s">
        <v>168</v>
      </c>
      <c r="E9438" s="716">
        <v>140.82</v>
      </c>
      <c r="F9438" s="717">
        <v>0</v>
      </c>
      <c r="G9438">
        <f>VLOOKUP(B9438,'SINAPI-%MO'!B:E,4,0)</f>
        <v>0.2278</v>
      </c>
      <c r="H9438" s="225">
        <f t="shared" si="147"/>
        <v>108.74</v>
      </c>
    </row>
    <row r="9439" spans="1:8" x14ac:dyDescent="0.3">
      <c r="A9439" s="400"/>
      <c r="B9439" s="709">
        <v>104598</v>
      </c>
      <c r="C9439" s="710" t="s">
        <v>7812</v>
      </c>
      <c r="D9439" s="709" t="s">
        <v>168</v>
      </c>
      <c r="E9439" s="716">
        <v>127.53</v>
      </c>
      <c r="F9439" s="717">
        <v>0</v>
      </c>
      <c r="G9439">
        <f>VLOOKUP(B9439,'SINAPI-%MO'!B:E,4,0)</f>
        <v>0.16400000000000001</v>
      </c>
      <c r="H9439" s="225">
        <f t="shared" si="147"/>
        <v>106.61</v>
      </c>
    </row>
    <row r="9440" spans="1:8" x14ac:dyDescent="0.3">
      <c r="A9440" s="400"/>
      <c r="B9440" s="709">
        <v>104596</v>
      </c>
      <c r="C9440" s="710" t="s">
        <v>7813</v>
      </c>
      <c r="D9440" s="709" t="s">
        <v>168</v>
      </c>
      <c r="E9440" s="716">
        <v>156.87</v>
      </c>
      <c r="F9440" s="717">
        <v>0</v>
      </c>
      <c r="G9440">
        <f>VLOOKUP(B9440,'SINAPI-%MO'!B:E,4,0)</f>
        <v>0.27979999999999999</v>
      </c>
      <c r="H9440" s="225">
        <f t="shared" si="147"/>
        <v>112.97</v>
      </c>
    </row>
    <row r="9441" spans="1:8" x14ac:dyDescent="0.3">
      <c r="A9441" s="400"/>
      <c r="B9441" s="709">
        <v>88648</v>
      </c>
      <c r="C9441" s="710" t="s">
        <v>7814</v>
      </c>
      <c r="D9441" s="709" t="s">
        <v>159</v>
      </c>
      <c r="E9441" s="716">
        <v>8.5399999999999991</v>
      </c>
      <c r="F9441" s="717">
        <v>0</v>
      </c>
      <c r="G9441">
        <f>VLOOKUP(B9441,'SINAPI-%MO'!B:E,4,0)</f>
        <v>0.3478</v>
      </c>
      <c r="H9441" s="225">
        <f t="shared" si="147"/>
        <v>5.56</v>
      </c>
    </row>
    <row r="9442" spans="1:8" x14ac:dyDescent="0.3">
      <c r="A9442" s="400"/>
      <c r="B9442" s="709">
        <v>88649</v>
      </c>
      <c r="C9442" s="710" t="s">
        <v>7815</v>
      </c>
      <c r="D9442" s="709" t="s">
        <v>159</v>
      </c>
      <c r="E9442" s="716">
        <v>9.7200000000000006</v>
      </c>
      <c r="F9442" s="717">
        <v>0</v>
      </c>
      <c r="G9442">
        <f>VLOOKUP(B9442,'SINAPI-%MO'!B:E,4,0)</f>
        <v>0.32100000000000001</v>
      </c>
      <c r="H9442" s="225">
        <f t="shared" si="147"/>
        <v>6.59</v>
      </c>
    </row>
    <row r="9443" spans="1:8" x14ac:dyDescent="0.3">
      <c r="A9443" s="400"/>
      <c r="B9443" s="709">
        <v>88650</v>
      </c>
      <c r="C9443" s="710" t="s">
        <v>7816</v>
      </c>
      <c r="D9443" s="709" t="s">
        <v>159</v>
      </c>
      <c r="E9443" s="716">
        <v>13.3</v>
      </c>
      <c r="F9443" s="717">
        <v>0</v>
      </c>
      <c r="G9443">
        <f>VLOOKUP(B9443,'SINAPI-%MO'!B:E,4,0)</f>
        <v>0.26540000000000002</v>
      </c>
      <c r="H9443" s="225">
        <f t="shared" si="147"/>
        <v>9.77</v>
      </c>
    </row>
    <row r="9444" spans="1:8" x14ac:dyDescent="0.3">
      <c r="A9444" s="400"/>
      <c r="B9444" s="709">
        <v>104619</v>
      </c>
      <c r="C9444" s="710" t="s">
        <v>7817</v>
      </c>
      <c r="D9444" s="709" t="s">
        <v>159</v>
      </c>
      <c r="E9444" s="716">
        <v>15.85</v>
      </c>
      <c r="F9444" s="717">
        <v>0</v>
      </c>
      <c r="G9444">
        <f>VLOOKUP(B9444,'SINAPI-%MO'!B:E,4,0)</f>
        <v>0.2379</v>
      </c>
      <c r="H9444" s="225">
        <f t="shared" si="147"/>
        <v>12.07</v>
      </c>
    </row>
    <row r="9445" spans="1:8" x14ac:dyDescent="0.3">
      <c r="A9445" s="400"/>
      <c r="B9445" s="709">
        <v>102500</v>
      </c>
      <c r="C9445" s="710" t="s">
        <v>7047</v>
      </c>
      <c r="D9445" s="709" t="s">
        <v>159</v>
      </c>
      <c r="E9445" s="716">
        <v>5.13</v>
      </c>
      <c r="F9445" s="717">
        <v>0</v>
      </c>
      <c r="G9445">
        <f>VLOOKUP(B9445,'SINAPI-%MO'!B:E,4,0)</f>
        <v>0.70569999999999999</v>
      </c>
      <c r="H9445" s="225">
        <f t="shared" si="147"/>
        <v>1.5</v>
      </c>
    </row>
    <row r="9446" spans="1:8" x14ac:dyDescent="0.3">
      <c r="A9446" s="400"/>
      <c r="B9446" s="709">
        <v>102502</v>
      </c>
      <c r="C9446" s="710" t="s">
        <v>7048</v>
      </c>
      <c r="D9446" s="709" t="s">
        <v>159</v>
      </c>
      <c r="E9446" s="716">
        <v>0</v>
      </c>
      <c r="F9446" s="717"/>
      <c r="G9446" t="e">
        <f>VLOOKUP(B9446,'SINAPI-%MO'!B:E,4,0)</f>
        <v>#N/A</v>
      </c>
      <c r="H9446" s="225" t="str">
        <f t="shared" si="147"/>
        <v/>
      </c>
    </row>
    <row r="9447" spans="1:8" x14ac:dyDescent="0.3">
      <c r="A9447" s="400"/>
      <c r="B9447" s="709">
        <v>102510</v>
      </c>
      <c r="C9447" s="710" t="s">
        <v>7050</v>
      </c>
      <c r="D9447" s="709" t="s">
        <v>159</v>
      </c>
      <c r="E9447" s="716">
        <v>0</v>
      </c>
      <c r="F9447" s="717"/>
      <c r="G9447" t="e">
        <f>VLOOKUP(B9447,'SINAPI-%MO'!B:E,4,0)</f>
        <v>#N/A</v>
      </c>
      <c r="H9447" s="225" t="str">
        <f t="shared" si="147"/>
        <v/>
      </c>
    </row>
    <row r="9448" spans="1:8" x14ac:dyDescent="0.3">
      <c r="A9448" s="400"/>
      <c r="B9448" s="709">
        <v>102512</v>
      </c>
      <c r="C9448" s="710" t="s">
        <v>7051</v>
      </c>
      <c r="D9448" s="709" t="s">
        <v>159</v>
      </c>
      <c r="E9448" s="716">
        <v>6.77</v>
      </c>
      <c r="F9448" s="717">
        <v>0.37219999999999998</v>
      </c>
      <c r="G9448">
        <f>VLOOKUP(B9448,'SINAPI-%MO'!B:E,4,0)</f>
        <v>0.39879999999999999</v>
      </c>
      <c r="H9448" s="225">
        <f t="shared" si="147"/>
        <v>4.07</v>
      </c>
    </row>
    <row r="9449" spans="1:8" x14ac:dyDescent="0.3">
      <c r="A9449" s="400"/>
      <c r="B9449" s="709">
        <v>102501</v>
      </c>
      <c r="C9449" s="710" t="s">
        <v>7052</v>
      </c>
      <c r="D9449" s="709" t="s">
        <v>168</v>
      </c>
      <c r="E9449" s="716">
        <v>28.49</v>
      </c>
      <c r="F9449" s="717">
        <v>0</v>
      </c>
      <c r="G9449">
        <f>VLOOKUP(B9449,'SINAPI-%MO'!B:E,4,0)</f>
        <v>0.66020000000000001</v>
      </c>
      <c r="H9449" s="225">
        <f t="shared" si="147"/>
        <v>9.68</v>
      </c>
    </row>
    <row r="9450" spans="1:8" x14ac:dyDescent="0.3">
      <c r="A9450" s="400"/>
      <c r="B9450" s="709">
        <v>102503</v>
      </c>
      <c r="C9450" s="710" t="s">
        <v>7053</v>
      </c>
      <c r="D9450" s="709" t="s">
        <v>168</v>
      </c>
      <c r="E9450" s="716">
        <v>0</v>
      </c>
      <c r="F9450" s="717"/>
      <c r="G9450" t="e">
        <f>VLOOKUP(B9450,'SINAPI-%MO'!B:E,4,0)</f>
        <v>#N/A</v>
      </c>
      <c r="H9450" s="225" t="str">
        <f t="shared" si="147"/>
        <v/>
      </c>
    </row>
    <row r="9451" spans="1:8" x14ac:dyDescent="0.3">
      <c r="A9451" s="400"/>
      <c r="B9451" s="709">
        <v>102508</v>
      </c>
      <c r="C9451" s="710" t="s">
        <v>7054</v>
      </c>
      <c r="D9451" s="709" t="s">
        <v>168</v>
      </c>
      <c r="E9451" s="716">
        <v>50.56</v>
      </c>
      <c r="F9451" s="717">
        <v>0</v>
      </c>
      <c r="G9451">
        <f>VLOOKUP(B9451,'SINAPI-%MO'!B:E,4,0)</f>
        <v>0.372</v>
      </c>
      <c r="H9451" s="225">
        <f t="shared" si="147"/>
        <v>31.75</v>
      </c>
    </row>
    <row r="9452" spans="1:8" x14ac:dyDescent="0.3">
      <c r="A9452" s="400"/>
      <c r="B9452" s="709">
        <v>102511</v>
      </c>
      <c r="C9452" s="710" t="s">
        <v>7055</v>
      </c>
      <c r="D9452" s="709" t="s">
        <v>168</v>
      </c>
      <c r="E9452" s="716">
        <v>0</v>
      </c>
      <c r="F9452" s="717"/>
      <c r="G9452" t="e">
        <f>VLOOKUP(B9452,'SINAPI-%MO'!B:E,4,0)</f>
        <v>#N/A</v>
      </c>
      <c r="H9452" s="225" t="str">
        <f t="shared" si="147"/>
        <v/>
      </c>
    </row>
    <row r="9453" spans="1:8" x14ac:dyDescent="0.3">
      <c r="A9453" s="400"/>
      <c r="B9453" s="709">
        <v>102509</v>
      </c>
      <c r="C9453" s="710" t="s">
        <v>7056</v>
      </c>
      <c r="D9453" s="709" t="s">
        <v>168</v>
      </c>
      <c r="E9453" s="716">
        <v>31.66</v>
      </c>
      <c r="F9453" s="717">
        <v>0</v>
      </c>
      <c r="G9453">
        <f>VLOOKUP(B9453,'SINAPI-%MO'!B:E,4,0)</f>
        <v>0.5</v>
      </c>
      <c r="H9453" s="225">
        <f t="shared" si="147"/>
        <v>15.83</v>
      </c>
    </row>
    <row r="9454" spans="1:8" x14ac:dyDescent="0.3">
      <c r="A9454" s="400"/>
      <c r="B9454" s="709">
        <v>102498</v>
      </c>
      <c r="C9454" s="710" t="s">
        <v>7057</v>
      </c>
      <c r="D9454" s="709" t="s">
        <v>159</v>
      </c>
      <c r="E9454" s="716">
        <v>1.8</v>
      </c>
      <c r="F9454" s="717">
        <v>0</v>
      </c>
      <c r="G9454">
        <f>VLOOKUP(B9454,'SINAPI-%MO'!B:E,4,0)</f>
        <v>0.9</v>
      </c>
      <c r="H9454" s="225">
        <f t="shared" si="147"/>
        <v>0.18</v>
      </c>
    </row>
    <row r="9455" spans="1:8" x14ac:dyDescent="0.3">
      <c r="A9455" s="400"/>
      <c r="B9455" s="709">
        <v>102519</v>
      </c>
      <c r="C9455" s="710" t="s">
        <v>7058</v>
      </c>
      <c r="D9455" s="709" t="s">
        <v>136</v>
      </c>
      <c r="E9455" s="716">
        <v>0</v>
      </c>
      <c r="F9455" s="717"/>
      <c r="G9455" t="e">
        <f>VLOOKUP(B9455,'SINAPI-%MO'!B:E,4,0)</f>
        <v>#N/A</v>
      </c>
      <c r="H9455" s="225" t="str">
        <f t="shared" si="147"/>
        <v/>
      </c>
    </row>
    <row r="9456" spans="1:8" x14ac:dyDescent="0.3">
      <c r="A9456" s="400"/>
      <c r="B9456" s="709">
        <v>102518</v>
      </c>
      <c r="C9456" s="710" t="s">
        <v>7068</v>
      </c>
      <c r="D9456" s="709" t="s">
        <v>136</v>
      </c>
      <c r="E9456" s="716">
        <v>0</v>
      </c>
      <c r="F9456" s="717"/>
      <c r="G9456" t="e">
        <f>VLOOKUP(B9456,'SINAPI-%MO'!B:E,4,0)</f>
        <v>#N/A</v>
      </c>
      <c r="H9456" s="225" t="str">
        <f t="shared" si="147"/>
        <v/>
      </c>
    </row>
    <row r="9457" spans="1:8" x14ac:dyDescent="0.3">
      <c r="A9457" s="400"/>
      <c r="B9457" s="709">
        <v>102514</v>
      </c>
      <c r="C9457" s="710" t="s">
        <v>7069</v>
      </c>
      <c r="D9457" s="709" t="s">
        <v>136</v>
      </c>
      <c r="E9457" s="716">
        <v>0</v>
      </c>
      <c r="F9457" s="717"/>
      <c r="G9457" t="e">
        <f>VLOOKUP(B9457,'SINAPI-%MO'!B:E,4,0)</f>
        <v>#N/A</v>
      </c>
      <c r="H9457" s="225" t="str">
        <f t="shared" si="147"/>
        <v/>
      </c>
    </row>
    <row r="9458" spans="1:8" x14ac:dyDescent="0.3">
      <c r="A9458" s="400"/>
      <c r="B9458" s="709">
        <v>102516</v>
      </c>
      <c r="C9458" s="710" t="s">
        <v>7070</v>
      </c>
      <c r="D9458" s="709" t="s">
        <v>136</v>
      </c>
      <c r="E9458" s="716">
        <v>0</v>
      </c>
      <c r="F9458" s="717"/>
      <c r="G9458" t="e">
        <f>VLOOKUP(B9458,'SINAPI-%MO'!B:E,4,0)</f>
        <v>#N/A</v>
      </c>
      <c r="H9458" s="225" t="str">
        <f t="shared" si="147"/>
        <v/>
      </c>
    </row>
    <row r="9459" spans="1:8" x14ac:dyDescent="0.3">
      <c r="A9459" s="400"/>
      <c r="B9459" s="709">
        <v>102515</v>
      </c>
      <c r="C9459" s="710" t="s">
        <v>7071</v>
      </c>
      <c r="D9459" s="709" t="s">
        <v>136</v>
      </c>
      <c r="E9459" s="716">
        <v>0</v>
      </c>
      <c r="F9459" s="717"/>
      <c r="G9459" t="e">
        <f>VLOOKUP(B9459,'SINAPI-%MO'!B:E,4,0)</f>
        <v>#N/A</v>
      </c>
      <c r="H9459" s="225" t="str">
        <f t="shared" si="147"/>
        <v/>
      </c>
    </row>
    <row r="9460" spans="1:8" x14ac:dyDescent="0.3">
      <c r="A9460" s="400"/>
      <c r="B9460" s="709">
        <v>102517</v>
      </c>
      <c r="C9460" s="710" t="s">
        <v>7072</v>
      </c>
      <c r="D9460" s="709" t="s">
        <v>136</v>
      </c>
      <c r="E9460" s="716">
        <v>0</v>
      </c>
      <c r="F9460" s="717"/>
      <c r="G9460" t="e">
        <f>VLOOKUP(B9460,'SINAPI-%MO'!B:E,4,0)</f>
        <v>#N/A</v>
      </c>
      <c r="H9460" s="225" t="str">
        <f t="shared" si="147"/>
        <v/>
      </c>
    </row>
    <row r="9461" spans="1:8" x14ac:dyDescent="0.3">
      <c r="A9461" s="400"/>
      <c r="B9461" s="709">
        <v>102513</v>
      </c>
      <c r="C9461" s="710" t="s">
        <v>7073</v>
      </c>
      <c r="D9461" s="709" t="s">
        <v>168</v>
      </c>
      <c r="E9461" s="716">
        <v>54.58</v>
      </c>
      <c r="F9461" s="717">
        <v>0</v>
      </c>
      <c r="G9461">
        <f>VLOOKUP(B9461,'SINAPI-%MO'!B:E,4,0)</f>
        <v>0.76619999999999999</v>
      </c>
      <c r="H9461" s="225">
        <f t="shared" si="147"/>
        <v>12.76</v>
      </c>
    </row>
    <row r="9462" spans="1:8" x14ac:dyDescent="0.3">
      <c r="A9462" s="400"/>
      <c r="B9462" s="709">
        <v>103689</v>
      </c>
      <c r="C9462" s="710" t="s">
        <v>274</v>
      </c>
      <c r="D9462" s="709" t="s">
        <v>168</v>
      </c>
      <c r="E9462" s="716">
        <v>496.79</v>
      </c>
      <c r="F9462" s="717">
        <v>0.86960000000000004</v>
      </c>
      <c r="G9462">
        <f>VLOOKUP(B9462,'SINAPI-%MO'!B:E,4,0)</f>
        <v>9.5899999999999999E-2</v>
      </c>
      <c r="H9462" s="225">
        <f t="shared" si="147"/>
        <v>449.14</v>
      </c>
    </row>
    <row r="9463" spans="1:8" x14ac:dyDescent="0.3">
      <c r="A9463" s="400"/>
      <c r="B9463" s="709">
        <v>103702</v>
      </c>
      <c r="C9463" s="710" t="s">
        <v>7843</v>
      </c>
      <c r="D9463" s="709" t="s">
        <v>168</v>
      </c>
      <c r="E9463" s="716">
        <v>0</v>
      </c>
      <c r="F9463" s="717"/>
      <c r="G9463" t="e">
        <f>VLOOKUP(B9463,'SINAPI-%MO'!B:E,4,0)</f>
        <v>#N/A</v>
      </c>
      <c r="H9463" s="225" t="str">
        <f t="shared" si="147"/>
        <v/>
      </c>
    </row>
    <row r="9464" spans="1:8" x14ac:dyDescent="0.3">
      <c r="A9464" s="400"/>
      <c r="B9464" s="709">
        <v>103700</v>
      </c>
      <c r="C9464" s="710" t="s">
        <v>7844</v>
      </c>
      <c r="D9464" s="709" t="s">
        <v>168</v>
      </c>
      <c r="E9464" s="716">
        <v>0</v>
      </c>
      <c r="F9464" s="717"/>
      <c r="G9464" t="e">
        <f>VLOOKUP(B9464,'SINAPI-%MO'!B:E,4,0)</f>
        <v>#N/A</v>
      </c>
      <c r="H9464" s="225" t="str">
        <f t="shared" si="147"/>
        <v/>
      </c>
    </row>
    <row r="9465" spans="1:8" x14ac:dyDescent="0.3">
      <c r="A9465" s="400"/>
      <c r="B9465" s="709">
        <v>103698</v>
      </c>
      <c r="C9465" s="710" t="s">
        <v>7845</v>
      </c>
      <c r="D9465" s="709" t="s">
        <v>168</v>
      </c>
      <c r="E9465" s="716">
        <v>0</v>
      </c>
      <c r="F9465" s="717"/>
      <c r="G9465" t="e">
        <f>VLOOKUP(B9465,'SINAPI-%MO'!B:E,4,0)</f>
        <v>#N/A</v>
      </c>
      <c r="H9465" s="225" t="str">
        <f t="shared" si="147"/>
        <v/>
      </c>
    </row>
    <row r="9466" spans="1:8" x14ac:dyDescent="0.3">
      <c r="A9466" s="400"/>
      <c r="B9466" s="709">
        <v>103703</v>
      </c>
      <c r="C9466" s="710" t="s">
        <v>7846</v>
      </c>
      <c r="D9466" s="709" t="s">
        <v>168</v>
      </c>
      <c r="E9466" s="716">
        <v>0</v>
      </c>
      <c r="F9466" s="717"/>
      <c r="G9466" t="e">
        <f>VLOOKUP(B9466,'SINAPI-%MO'!B:E,4,0)</f>
        <v>#N/A</v>
      </c>
      <c r="H9466" s="225" t="str">
        <f t="shared" si="147"/>
        <v/>
      </c>
    </row>
    <row r="9467" spans="1:8" x14ac:dyDescent="0.3">
      <c r="A9467" s="400"/>
      <c r="B9467" s="709">
        <v>103701</v>
      </c>
      <c r="C9467" s="710" t="s">
        <v>7847</v>
      </c>
      <c r="D9467" s="709" t="s">
        <v>168</v>
      </c>
      <c r="E9467" s="716">
        <v>0</v>
      </c>
      <c r="F9467" s="717"/>
      <c r="G9467" t="e">
        <f>VLOOKUP(B9467,'SINAPI-%MO'!B:E,4,0)</f>
        <v>#N/A</v>
      </c>
      <c r="H9467" s="225" t="str">
        <f t="shared" si="147"/>
        <v/>
      </c>
    </row>
    <row r="9468" spans="1:8" x14ac:dyDescent="0.3">
      <c r="A9468" s="400"/>
      <c r="B9468" s="709">
        <v>103699</v>
      </c>
      <c r="C9468" s="710" t="s">
        <v>7848</v>
      </c>
      <c r="D9468" s="709" t="s">
        <v>168</v>
      </c>
      <c r="E9468" s="716">
        <v>0</v>
      </c>
      <c r="F9468" s="717"/>
      <c r="G9468" t="e">
        <f>VLOOKUP(B9468,'SINAPI-%MO'!B:E,4,0)</f>
        <v>#N/A</v>
      </c>
      <c r="H9468" s="225" t="str">
        <f t="shared" si="147"/>
        <v/>
      </c>
    </row>
    <row r="9469" spans="1:8" x14ac:dyDescent="0.3">
      <c r="A9469" s="400"/>
      <c r="B9469" s="709">
        <v>103704</v>
      </c>
      <c r="C9469" s="710" t="s">
        <v>7849</v>
      </c>
      <c r="D9469" s="709" t="s">
        <v>168</v>
      </c>
      <c r="E9469" s="716">
        <v>0</v>
      </c>
      <c r="F9469" s="717"/>
      <c r="G9469" t="e">
        <f>VLOOKUP(B9469,'SINAPI-%MO'!B:E,4,0)</f>
        <v>#N/A</v>
      </c>
      <c r="H9469" s="225" t="str">
        <f t="shared" si="147"/>
        <v/>
      </c>
    </row>
    <row r="9470" spans="1:8" x14ac:dyDescent="0.3">
      <c r="A9470" s="400"/>
      <c r="B9470" s="709">
        <v>103706</v>
      </c>
      <c r="C9470" s="710" t="s">
        <v>7850</v>
      </c>
      <c r="D9470" s="709" t="s">
        <v>136</v>
      </c>
      <c r="E9470" s="716">
        <v>0</v>
      </c>
      <c r="F9470" s="717"/>
      <c r="G9470" t="e">
        <f>VLOOKUP(B9470,'SINAPI-%MO'!B:E,4,0)</f>
        <v>#N/A</v>
      </c>
      <c r="H9470" s="225" t="str">
        <f t="shared" si="147"/>
        <v/>
      </c>
    </row>
    <row r="9471" spans="1:8" x14ac:dyDescent="0.3">
      <c r="A9471" s="400"/>
      <c r="B9471" s="709">
        <v>103707</v>
      </c>
      <c r="C9471" s="710" t="s">
        <v>7851</v>
      </c>
      <c r="D9471" s="709" t="s">
        <v>136</v>
      </c>
      <c r="E9471" s="716">
        <v>0</v>
      </c>
      <c r="F9471" s="717"/>
      <c r="G9471" t="e">
        <f>VLOOKUP(B9471,'SINAPI-%MO'!B:E,4,0)</f>
        <v>#N/A</v>
      </c>
      <c r="H9471" s="225" t="str">
        <f t="shared" si="147"/>
        <v/>
      </c>
    </row>
    <row r="9472" spans="1:8" x14ac:dyDescent="0.3">
      <c r="A9472" s="400"/>
      <c r="B9472" s="709">
        <v>103708</v>
      </c>
      <c r="C9472" s="710" t="s">
        <v>7852</v>
      </c>
      <c r="D9472" s="709" t="s">
        <v>136</v>
      </c>
      <c r="E9472" s="716">
        <v>0</v>
      </c>
      <c r="F9472" s="717"/>
      <c r="G9472" t="e">
        <f>VLOOKUP(B9472,'SINAPI-%MO'!B:E,4,0)</f>
        <v>#N/A</v>
      </c>
      <c r="H9472" s="225" t="str">
        <f t="shared" si="147"/>
        <v/>
      </c>
    </row>
    <row r="9473" spans="1:8" x14ac:dyDescent="0.3">
      <c r="A9473" s="400"/>
      <c r="B9473" s="709">
        <v>103709</v>
      </c>
      <c r="C9473" s="710" t="s">
        <v>7853</v>
      </c>
      <c r="D9473" s="709" t="s">
        <v>136</v>
      </c>
      <c r="E9473" s="716">
        <v>0</v>
      </c>
      <c r="F9473" s="717"/>
      <c r="G9473" t="e">
        <f>VLOOKUP(B9473,'SINAPI-%MO'!B:E,4,0)</f>
        <v>#N/A</v>
      </c>
      <c r="H9473" s="225" t="str">
        <f t="shared" si="147"/>
        <v/>
      </c>
    </row>
    <row r="9474" spans="1:8" x14ac:dyDescent="0.3">
      <c r="A9474" s="400"/>
      <c r="B9474" s="709">
        <v>103710</v>
      </c>
      <c r="C9474" s="710" t="s">
        <v>7854</v>
      </c>
      <c r="D9474" s="709" t="s">
        <v>136</v>
      </c>
      <c r="E9474" s="716">
        <v>0</v>
      </c>
      <c r="F9474" s="717"/>
      <c r="G9474" t="e">
        <f>VLOOKUP(B9474,'SINAPI-%MO'!B:E,4,0)</f>
        <v>#N/A</v>
      </c>
      <c r="H9474" s="225" t="str">
        <f t="shared" si="147"/>
        <v/>
      </c>
    </row>
    <row r="9475" spans="1:8" x14ac:dyDescent="0.3">
      <c r="A9475" s="400"/>
      <c r="B9475" s="709">
        <v>103711</v>
      </c>
      <c r="C9475" s="710" t="s">
        <v>7855</v>
      </c>
      <c r="D9475" s="709" t="s">
        <v>136</v>
      </c>
      <c r="E9475" s="716">
        <v>0</v>
      </c>
      <c r="F9475" s="717"/>
      <c r="G9475" t="e">
        <f>VLOOKUP(B9475,'SINAPI-%MO'!B:E,4,0)</f>
        <v>#N/A</v>
      </c>
      <c r="H9475" s="225" t="str">
        <f t="shared" si="147"/>
        <v/>
      </c>
    </row>
    <row r="9476" spans="1:8" x14ac:dyDescent="0.3">
      <c r="A9476" s="400"/>
      <c r="B9476" s="709">
        <v>103712</v>
      </c>
      <c r="C9476" s="710" t="s">
        <v>7856</v>
      </c>
      <c r="D9476" s="709" t="s">
        <v>136</v>
      </c>
      <c r="E9476" s="716">
        <v>0</v>
      </c>
      <c r="F9476" s="717"/>
      <c r="G9476" t="e">
        <f>VLOOKUP(B9476,'SINAPI-%MO'!B:E,4,0)</f>
        <v>#N/A</v>
      </c>
      <c r="H9476" s="225" t="str">
        <f t="shared" si="147"/>
        <v/>
      </c>
    </row>
    <row r="9477" spans="1:8" x14ac:dyDescent="0.3">
      <c r="A9477" s="400"/>
      <c r="B9477" s="709">
        <v>103713</v>
      </c>
      <c r="C9477" s="710" t="s">
        <v>7857</v>
      </c>
      <c r="D9477" s="709" t="s">
        <v>136</v>
      </c>
      <c r="E9477" s="716">
        <v>0</v>
      </c>
      <c r="F9477" s="717"/>
      <c r="G9477" t="e">
        <f>VLOOKUP(B9477,'SINAPI-%MO'!B:E,4,0)</f>
        <v>#N/A</v>
      </c>
      <c r="H9477" s="225" t="str">
        <f t="shared" si="147"/>
        <v/>
      </c>
    </row>
    <row r="9478" spans="1:8" x14ac:dyDescent="0.3">
      <c r="A9478" s="400"/>
      <c r="B9478" s="709">
        <v>103714</v>
      </c>
      <c r="C9478" s="710" t="s">
        <v>7858</v>
      </c>
      <c r="D9478" s="709" t="s">
        <v>136</v>
      </c>
      <c r="E9478" s="716">
        <v>0</v>
      </c>
      <c r="F9478" s="717"/>
      <c r="G9478" t="e">
        <f>VLOOKUP(B9478,'SINAPI-%MO'!B:E,4,0)</f>
        <v>#N/A</v>
      </c>
      <c r="H9478" s="225" t="str">
        <f t="shared" si="147"/>
        <v/>
      </c>
    </row>
    <row r="9479" spans="1:8" x14ac:dyDescent="0.3">
      <c r="A9479" s="400"/>
      <c r="B9479" s="709">
        <v>103715</v>
      </c>
      <c r="C9479" s="710" t="s">
        <v>7859</v>
      </c>
      <c r="D9479" s="709" t="s">
        <v>136</v>
      </c>
      <c r="E9479" s="716">
        <v>0</v>
      </c>
      <c r="F9479" s="717"/>
      <c r="G9479" t="e">
        <f>VLOOKUP(B9479,'SINAPI-%MO'!B:E,4,0)</f>
        <v>#N/A</v>
      </c>
      <c r="H9479" s="225" t="str">
        <f t="shared" si="147"/>
        <v/>
      </c>
    </row>
    <row r="9480" spans="1:8" x14ac:dyDescent="0.3">
      <c r="A9480" s="400"/>
      <c r="B9480" s="709">
        <v>103716</v>
      </c>
      <c r="C9480" s="710" t="s">
        <v>7860</v>
      </c>
      <c r="D9480" s="709" t="s">
        <v>136</v>
      </c>
      <c r="E9480" s="716">
        <v>0</v>
      </c>
      <c r="F9480" s="717"/>
      <c r="G9480" t="e">
        <f>VLOOKUP(B9480,'SINAPI-%MO'!B:E,4,0)</f>
        <v>#N/A</v>
      </c>
      <c r="H9480" s="225" t="str">
        <f t="shared" si="147"/>
        <v/>
      </c>
    </row>
    <row r="9481" spans="1:8" x14ac:dyDescent="0.3">
      <c r="A9481" s="400"/>
      <c r="B9481" s="709">
        <v>103717</v>
      </c>
      <c r="C9481" s="710" t="s">
        <v>7861</v>
      </c>
      <c r="D9481" s="709" t="s">
        <v>136</v>
      </c>
      <c r="E9481" s="716">
        <v>0</v>
      </c>
      <c r="F9481" s="717"/>
      <c r="G9481" t="e">
        <f>VLOOKUP(B9481,'SINAPI-%MO'!B:E,4,0)</f>
        <v>#N/A</v>
      </c>
      <c r="H9481" s="225" t="str">
        <f t="shared" si="147"/>
        <v/>
      </c>
    </row>
    <row r="9482" spans="1:8" x14ac:dyDescent="0.3">
      <c r="A9482" s="400"/>
      <c r="B9482" s="709">
        <v>103718</v>
      </c>
      <c r="C9482" s="710" t="s">
        <v>7862</v>
      </c>
      <c r="D9482" s="709" t="s">
        <v>136</v>
      </c>
      <c r="E9482" s="716">
        <v>0</v>
      </c>
      <c r="F9482" s="717"/>
      <c r="G9482" t="e">
        <f>VLOOKUP(B9482,'SINAPI-%MO'!B:E,4,0)</f>
        <v>#N/A</v>
      </c>
      <c r="H9482" s="225" t="str">
        <f t="shared" si="147"/>
        <v/>
      </c>
    </row>
    <row r="9483" spans="1:8" x14ac:dyDescent="0.3">
      <c r="A9483" s="400"/>
      <c r="B9483" s="709">
        <v>103719</v>
      </c>
      <c r="C9483" s="710" t="s">
        <v>7863</v>
      </c>
      <c r="D9483" s="709" t="s">
        <v>136</v>
      </c>
      <c r="E9483" s="716">
        <v>0</v>
      </c>
      <c r="F9483" s="717"/>
      <c r="G9483" t="e">
        <f>VLOOKUP(B9483,'SINAPI-%MO'!B:E,4,0)</f>
        <v>#N/A</v>
      </c>
      <c r="H9483" s="225" t="str">
        <f t="shared" ref="H9483:H9546" si="148">IF(E9483&gt;0,TRUNC(E9483*(1-G9483),2),"")</f>
        <v/>
      </c>
    </row>
    <row r="9484" spans="1:8" x14ac:dyDescent="0.3">
      <c r="A9484" s="400"/>
      <c r="B9484" s="709">
        <v>103720</v>
      </c>
      <c r="C9484" s="710" t="s">
        <v>7864</v>
      </c>
      <c r="D9484" s="709" t="s">
        <v>136</v>
      </c>
      <c r="E9484" s="716">
        <v>0</v>
      </c>
      <c r="F9484" s="717"/>
      <c r="G9484" t="e">
        <f>VLOOKUP(B9484,'SINAPI-%MO'!B:E,4,0)</f>
        <v>#N/A</v>
      </c>
      <c r="H9484" s="225" t="str">
        <f t="shared" si="148"/>
        <v/>
      </c>
    </row>
    <row r="9485" spans="1:8" x14ac:dyDescent="0.3">
      <c r="A9485" s="400"/>
      <c r="B9485" s="709">
        <v>103721</v>
      </c>
      <c r="C9485" s="710" t="s">
        <v>7865</v>
      </c>
      <c r="D9485" s="709" t="s">
        <v>136</v>
      </c>
      <c r="E9485" s="716">
        <v>0</v>
      </c>
      <c r="F9485" s="717"/>
      <c r="G9485" t="e">
        <f>VLOOKUP(B9485,'SINAPI-%MO'!B:E,4,0)</f>
        <v>#N/A</v>
      </c>
      <c r="H9485" s="225" t="str">
        <f t="shared" si="148"/>
        <v/>
      </c>
    </row>
    <row r="9486" spans="1:8" x14ac:dyDescent="0.3">
      <c r="A9486" s="400"/>
      <c r="B9486" s="709">
        <v>103705</v>
      </c>
      <c r="C9486" s="710" t="s">
        <v>7866</v>
      </c>
      <c r="D9486" s="709" t="s">
        <v>136</v>
      </c>
      <c r="E9486" s="716">
        <v>0</v>
      </c>
      <c r="F9486" s="717"/>
      <c r="G9486" t="e">
        <f>VLOOKUP(B9486,'SINAPI-%MO'!B:E,4,0)</f>
        <v>#N/A</v>
      </c>
      <c r="H9486" s="225" t="str">
        <f t="shared" si="148"/>
        <v/>
      </c>
    </row>
    <row r="9487" spans="1:8" x14ac:dyDescent="0.3">
      <c r="A9487" s="400"/>
      <c r="B9487" s="709">
        <v>103722</v>
      </c>
      <c r="C9487" s="710" t="s">
        <v>7867</v>
      </c>
      <c r="D9487" s="709" t="s">
        <v>136</v>
      </c>
      <c r="E9487" s="716">
        <v>0</v>
      </c>
      <c r="F9487" s="717"/>
      <c r="G9487" t="e">
        <f>VLOOKUP(B9487,'SINAPI-%MO'!B:E,4,0)</f>
        <v>#N/A</v>
      </c>
      <c r="H9487" s="225" t="str">
        <f t="shared" si="148"/>
        <v/>
      </c>
    </row>
    <row r="9488" spans="1:8" x14ac:dyDescent="0.3">
      <c r="A9488" s="400"/>
      <c r="B9488" s="709">
        <v>103723</v>
      </c>
      <c r="C9488" s="710" t="s">
        <v>7868</v>
      </c>
      <c r="D9488" s="709" t="s">
        <v>136</v>
      </c>
      <c r="E9488" s="716">
        <v>0</v>
      </c>
      <c r="F9488" s="717"/>
      <c r="G9488" t="e">
        <f>VLOOKUP(B9488,'SINAPI-%MO'!B:E,4,0)</f>
        <v>#N/A</v>
      </c>
      <c r="H9488" s="225" t="str">
        <f t="shared" si="148"/>
        <v/>
      </c>
    </row>
    <row r="9489" spans="1:8" x14ac:dyDescent="0.3">
      <c r="A9489" s="400"/>
      <c r="B9489" s="709">
        <v>103724</v>
      </c>
      <c r="C9489" s="710" t="s">
        <v>7869</v>
      </c>
      <c r="D9489" s="709" t="s">
        <v>136</v>
      </c>
      <c r="E9489" s="716">
        <v>0</v>
      </c>
      <c r="F9489" s="717"/>
      <c r="G9489" t="e">
        <f>VLOOKUP(B9489,'SINAPI-%MO'!B:E,4,0)</f>
        <v>#N/A</v>
      </c>
      <c r="H9489" s="225" t="str">
        <f t="shared" si="148"/>
        <v/>
      </c>
    </row>
    <row r="9490" spans="1:8" x14ac:dyDescent="0.3">
      <c r="A9490" s="400"/>
      <c r="B9490" s="709">
        <v>103725</v>
      </c>
      <c r="C9490" s="710" t="s">
        <v>7870</v>
      </c>
      <c r="D9490" s="709" t="s">
        <v>136</v>
      </c>
      <c r="E9490" s="716">
        <v>0</v>
      </c>
      <c r="F9490" s="717"/>
      <c r="G9490" t="e">
        <f>VLOOKUP(B9490,'SINAPI-%MO'!B:E,4,0)</f>
        <v>#N/A</v>
      </c>
      <c r="H9490" s="225" t="str">
        <f t="shared" si="148"/>
        <v/>
      </c>
    </row>
    <row r="9491" spans="1:8" x14ac:dyDescent="0.3">
      <c r="A9491" s="400"/>
      <c r="B9491" s="709">
        <v>103726</v>
      </c>
      <c r="C9491" s="710" t="s">
        <v>7871</v>
      </c>
      <c r="D9491" s="709" t="s">
        <v>136</v>
      </c>
      <c r="E9491" s="716">
        <v>0</v>
      </c>
      <c r="F9491" s="717"/>
      <c r="G9491" t="e">
        <f>VLOOKUP(B9491,'SINAPI-%MO'!B:E,4,0)</f>
        <v>#N/A</v>
      </c>
      <c r="H9491" s="225" t="str">
        <f t="shared" si="148"/>
        <v/>
      </c>
    </row>
    <row r="9492" spans="1:8" x14ac:dyDescent="0.3">
      <c r="A9492" s="400"/>
      <c r="B9492" s="709">
        <v>103727</v>
      </c>
      <c r="C9492" s="710" t="s">
        <v>7872</v>
      </c>
      <c r="D9492" s="709" t="s">
        <v>136</v>
      </c>
      <c r="E9492" s="716">
        <v>0</v>
      </c>
      <c r="F9492" s="717"/>
      <c r="G9492" t="e">
        <f>VLOOKUP(B9492,'SINAPI-%MO'!B:E,4,0)</f>
        <v>#N/A</v>
      </c>
      <c r="H9492" s="225" t="str">
        <f t="shared" si="148"/>
        <v/>
      </c>
    </row>
    <row r="9493" spans="1:8" x14ac:dyDescent="0.3">
      <c r="A9493" s="400"/>
      <c r="B9493" s="709">
        <v>103728</v>
      </c>
      <c r="C9493" s="710" t="s">
        <v>7873</v>
      </c>
      <c r="D9493" s="709" t="s">
        <v>136</v>
      </c>
      <c r="E9493" s="716">
        <v>0</v>
      </c>
      <c r="F9493" s="717"/>
      <c r="G9493" t="e">
        <f>VLOOKUP(B9493,'SINAPI-%MO'!B:E,4,0)</f>
        <v>#N/A</v>
      </c>
      <c r="H9493" s="225" t="str">
        <f t="shared" si="148"/>
        <v/>
      </c>
    </row>
    <row r="9494" spans="1:8" x14ac:dyDescent="0.3">
      <c r="A9494" s="400"/>
      <c r="B9494" s="709">
        <v>103729</v>
      </c>
      <c r="C9494" s="710" t="s">
        <v>7874</v>
      </c>
      <c r="D9494" s="709" t="s">
        <v>136</v>
      </c>
      <c r="E9494" s="716">
        <v>0</v>
      </c>
      <c r="F9494" s="717"/>
      <c r="G9494" t="e">
        <f>VLOOKUP(B9494,'SINAPI-%MO'!B:E,4,0)</f>
        <v>#N/A</v>
      </c>
      <c r="H9494" s="225" t="str">
        <f t="shared" si="148"/>
        <v/>
      </c>
    </row>
    <row r="9495" spans="1:8" x14ac:dyDescent="0.3">
      <c r="A9495" s="400"/>
      <c r="B9495" s="709">
        <v>103730</v>
      </c>
      <c r="C9495" s="710" t="s">
        <v>7875</v>
      </c>
      <c r="D9495" s="709" t="s">
        <v>136</v>
      </c>
      <c r="E9495" s="716">
        <v>0</v>
      </c>
      <c r="F9495" s="717"/>
      <c r="G9495" t="e">
        <f>VLOOKUP(B9495,'SINAPI-%MO'!B:E,4,0)</f>
        <v>#N/A</v>
      </c>
      <c r="H9495" s="225" t="str">
        <f t="shared" si="148"/>
        <v/>
      </c>
    </row>
    <row r="9496" spans="1:8" x14ac:dyDescent="0.3">
      <c r="A9496" s="400"/>
      <c r="B9496" s="709">
        <v>103731</v>
      </c>
      <c r="C9496" s="710" t="s">
        <v>7876</v>
      </c>
      <c r="D9496" s="709" t="s">
        <v>136</v>
      </c>
      <c r="E9496" s="716">
        <v>0</v>
      </c>
      <c r="F9496" s="717"/>
      <c r="G9496" t="e">
        <f>VLOOKUP(B9496,'SINAPI-%MO'!B:E,4,0)</f>
        <v>#N/A</v>
      </c>
      <c r="H9496" s="225" t="str">
        <f t="shared" si="148"/>
        <v/>
      </c>
    </row>
    <row r="9497" spans="1:8" x14ac:dyDescent="0.3">
      <c r="A9497" s="400"/>
      <c r="B9497" s="709">
        <v>103732</v>
      </c>
      <c r="C9497" s="710" t="s">
        <v>7877</v>
      </c>
      <c r="D9497" s="709" t="s">
        <v>136</v>
      </c>
      <c r="E9497" s="716">
        <v>0</v>
      </c>
      <c r="F9497" s="717"/>
      <c r="G9497" t="e">
        <f>VLOOKUP(B9497,'SINAPI-%MO'!B:E,4,0)</f>
        <v>#N/A</v>
      </c>
      <c r="H9497" s="225" t="str">
        <f t="shared" si="148"/>
        <v/>
      </c>
    </row>
    <row r="9498" spans="1:8" x14ac:dyDescent="0.3">
      <c r="A9498" s="400"/>
      <c r="B9498" s="709">
        <v>103733</v>
      </c>
      <c r="C9498" s="710" t="s">
        <v>7878</v>
      </c>
      <c r="D9498" s="709" t="s">
        <v>136</v>
      </c>
      <c r="E9498" s="716">
        <v>0</v>
      </c>
      <c r="F9498" s="717"/>
      <c r="G9498" t="e">
        <f>VLOOKUP(B9498,'SINAPI-%MO'!B:E,4,0)</f>
        <v>#N/A</v>
      </c>
      <c r="H9498" s="225" t="str">
        <f t="shared" si="148"/>
        <v/>
      </c>
    </row>
    <row r="9499" spans="1:8" x14ac:dyDescent="0.3">
      <c r="A9499" s="400"/>
      <c r="B9499" s="709">
        <v>103696</v>
      </c>
      <c r="C9499" s="710" t="s">
        <v>7879</v>
      </c>
      <c r="D9499" s="709" t="s">
        <v>136</v>
      </c>
      <c r="E9499" s="716">
        <v>147.19999999999999</v>
      </c>
      <c r="F9499" s="717">
        <v>0</v>
      </c>
      <c r="G9499">
        <f>VLOOKUP(B9499,'SINAPI-%MO'!B:E,4,0)</f>
        <v>0.54759999999999998</v>
      </c>
      <c r="H9499" s="225">
        <f t="shared" si="148"/>
        <v>66.59</v>
      </c>
    </row>
    <row r="9500" spans="1:8" x14ac:dyDescent="0.3">
      <c r="A9500" s="400"/>
      <c r="B9500" s="709">
        <v>103697</v>
      </c>
      <c r="C9500" s="710" t="s">
        <v>7880</v>
      </c>
      <c r="D9500" s="709" t="s">
        <v>136</v>
      </c>
      <c r="E9500" s="716">
        <v>135.72999999999999</v>
      </c>
      <c r="F9500" s="717">
        <v>0</v>
      </c>
      <c r="G9500">
        <f>VLOOKUP(B9500,'SINAPI-%MO'!B:E,4,0)</f>
        <v>0.56999999999999995</v>
      </c>
      <c r="H9500" s="225">
        <f t="shared" si="148"/>
        <v>58.36</v>
      </c>
    </row>
    <row r="9501" spans="1:8" x14ac:dyDescent="0.3">
      <c r="A9501" s="400"/>
      <c r="B9501" s="709">
        <v>103695</v>
      </c>
      <c r="C9501" s="710" t="s">
        <v>7881</v>
      </c>
      <c r="D9501" s="709" t="s">
        <v>136</v>
      </c>
      <c r="E9501" s="716">
        <v>103.23</v>
      </c>
      <c r="F9501" s="717">
        <v>0</v>
      </c>
      <c r="G9501">
        <f>VLOOKUP(B9501,'SINAPI-%MO'!B:E,4,0)</f>
        <v>0.43459999999999999</v>
      </c>
      <c r="H9501" s="225">
        <f t="shared" si="148"/>
        <v>58.36</v>
      </c>
    </row>
    <row r="9502" spans="1:8" x14ac:dyDescent="0.3">
      <c r="A9502" s="400"/>
      <c r="B9502" s="709">
        <v>103694</v>
      </c>
      <c r="C9502" s="710" t="s">
        <v>7882</v>
      </c>
      <c r="D9502" s="709" t="s">
        <v>136</v>
      </c>
      <c r="E9502" s="716">
        <v>114.7</v>
      </c>
      <c r="F9502" s="717">
        <v>0</v>
      </c>
      <c r="G9502">
        <f>VLOOKUP(B9502,'SINAPI-%MO'!B:E,4,0)</f>
        <v>0.4194</v>
      </c>
      <c r="H9502" s="225">
        <f t="shared" si="148"/>
        <v>66.59</v>
      </c>
    </row>
    <row r="9503" spans="1:8" x14ac:dyDescent="0.3">
      <c r="A9503" s="400"/>
      <c r="B9503" s="709">
        <v>103690</v>
      </c>
      <c r="C9503" s="710" t="s">
        <v>7883</v>
      </c>
      <c r="D9503" s="709" t="s">
        <v>136</v>
      </c>
      <c r="E9503" s="716">
        <v>0</v>
      </c>
      <c r="F9503" s="717"/>
      <c r="G9503" t="e">
        <f>VLOOKUP(B9503,'SINAPI-%MO'!B:E,4,0)</f>
        <v>#N/A</v>
      </c>
      <c r="H9503" s="225" t="str">
        <f t="shared" si="148"/>
        <v/>
      </c>
    </row>
    <row r="9504" spans="1:8" x14ac:dyDescent="0.3">
      <c r="A9504" s="400"/>
      <c r="B9504" s="709">
        <v>103693</v>
      </c>
      <c r="C9504" s="710" t="s">
        <v>7884</v>
      </c>
      <c r="D9504" s="709" t="s">
        <v>136</v>
      </c>
      <c r="E9504" s="716">
        <v>0</v>
      </c>
      <c r="F9504" s="717"/>
      <c r="G9504" t="e">
        <f>VLOOKUP(B9504,'SINAPI-%MO'!B:E,4,0)</f>
        <v>#N/A</v>
      </c>
      <c r="H9504" s="225" t="str">
        <f t="shared" si="148"/>
        <v/>
      </c>
    </row>
    <row r="9505" spans="1:8" x14ac:dyDescent="0.3">
      <c r="A9505" s="400"/>
      <c r="B9505" s="709">
        <v>103692</v>
      </c>
      <c r="C9505" s="710" t="s">
        <v>7885</v>
      </c>
      <c r="D9505" s="709" t="s">
        <v>136</v>
      </c>
      <c r="E9505" s="716">
        <v>0</v>
      </c>
      <c r="F9505" s="717"/>
      <c r="G9505" t="e">
        <f>VLOOKUP(B9505,'SINAPI-%MO'!B:E,4,0)</f>
        <v>#N/A</v>
      </c>
      <c r="H9505" s="225" t="str">
        <f t="shared" si="148"/>
        <v/>
      </c>
    </row>
    <row r="9506" spans="1:8" x14ac:dyDescent="0.3">
      <c r="A9506" s="400"/>
      <c r="B9506" s="709">
        <v>103691</v>
      </c>
      <c r="C9506" s="710" t="s">
        <v>7886</v>
      </c>
      <c r="D9506" s="709" t="s">
        <v>136</v>
      </c>
      <c r="E9506" s="716">
        <v>0</v>
      </c>
      <c r="F9506" s="717"/>
      <c r="G9506" t="e">
        <f>VLOOKUP(B9506,'SINAPI-%MO'!B:E,4,0)</f>
        <v>#N/A</v>
      </c>
      <c r="H9506" s="225" t="str">
        <f t="shared" si="148"/>
        <v/>
      </c>
    </row>
    <row r="9507" spans="1:8" x14ac:dyDescent="0.3">
      <c r="A9507" s="400"/>
      <c r="B9507" s="709">
        <v>96987</v>
      </c>
      <c r="C9507" s="710" t="s">
        <v>7887</v>
      </c>
      <c r="D9507" s="709" t="s">
        <v>136</v>
      </c>
      <c r="E9507" s="716">
        <v>138.94999999999999</v>
      </c>
      <c r="F9507" s="717">
        <v>3.4000000000000002E-2</v>
      </c>
      <c r="G9507">
        <f>VLOOKUP(B9507,'SINAPI-%MO'!B:E,4,0)</f>
        <v>0.50770000000000004</v>
      </c>
      <c r="H9507" s="225">
        <f t="shared" si="148"/>
        <v>68.400000000000006</v>
      </c>
    </row>
    <row r="9508" spans="1:8" x14ac:dyDescent="0.3">
      <c r="A9508" s="400"/>
      <c r="B9508" s="709">
        <v>96989</v>
      </c>
      <c r="C9508" s="710" t="s">
        <v>7888</v>
      </c>
      <c r="D9508" s="709" t="s">
        <v>136</v>
      </c>
      <c r="E9508" s="716">
        <v>153.06</v>
      </c>
      <c r="F9508" s="717">
        <v>0</v>
      </c>
      <c r="G9508">
        <f>VLOOKUP(B9508,'SINAPI-%MO'!B:E,4,0)</f>
        <v>5.2499999999999998E-2</v>
      </c>
      <c r="H9508" s="225">
        <f t="shared" si="148"/>
        <v>145.02000000000001</v>
      </c>
    </row>
    <row r="9509" spans="1:8" x14ac:dyDescent="0.3">
      <c r="A9509" s="400"/>
      <c r="B9509" s="709">
        <v>104749</v>
      </c>
      <c r="C9509" s="710" t="s">
        <v>7889</v>
      </c>
      <c r="D9509" s="709" t="s">
        <v>136</v>
      </c>
      <c r="E9509" s="716">
        <v>26.44</v>
      </c>
      <c r="F9509" s="717">
        <v>0</v>
      </c>
      <c r="G9509">
        <f>VLOOKUP(B9509,'SINAPI-%MO'!B:E,4,0)</f>
        <v>0.42020000000000002</v>
      </c>
      <c r="H9509" s="225">
        <f t="shared" si="148"/>
        <v>15.32</v>
      </c>
    </row>
    <row r="9510" spans="1:8" x14ac:dyDescent="0.3">
      <c r="A9510" s="400"/>
      <c r="B9510" s="709">
        <v>104750</v>
      </c>
      <c r="C9510" s="710" t="s">
        <v>7890</v>
      </c>
      <c r="D9510" s="709" t="s">
        <v>136</v>
      </c>
      <c r="E9510" s="716">
        <v>20.61</v>
      </c>
      <c r="F9510" s="717">
        <v>0</v>
      </c>
      <c r="G9510">
        <f>VLOOKUP(B9510,'SINAPI-%MO'!B:E,4,0)</f>
        <v>0.53910000000000002</v>
      </c>
      <c r="H9510" s="225">
        <f t="shared" si="148"/>
        <v>9.49</v>
      </c>
    </row>
    <row r="9511" spans="1:8" x14ac:dyDescent="0.3">
      <c r="A9511" s="400"/>
      <c r="B9511" s="709">
        <v>104751</v>
      </c>
      <c r="C9511" s="710" t="s">
        <v>7891</v>
      </c>
      <c r="D9511" s="709" t="s">
        <v>136</v>
      </c>
      <c r="E9511" s="716">
        <v>30.62</v>
      </c>
      <c r="F9511" s="717">
        <v>0</v>
      </c>
      <c r="G9511">
        <f>VLOOKUP(B9511,'SINAPI-%MO'!B:E,4,0)</f>
        <v>0.36280000000000001</v>
      </c>
      <c r="H9511" s="225">
        <f t="shared" si="148"/>
        <v>19.510000000000002</v>
      </c>
    </row>
    <row r="9512" spans="1:8" x14ac:dyDescent="0.3">
      <c r="A9512" s="400"/>
      <c r="B9512" s="709">
        <v>104752</v>
      </c>
      <c r="C9512" s="710" t="s">
        <v>7892</v>
      </c>
      <c r="D9512" s="709" t="s">
        <v>136</v>
      </c>
      <c r="E9512" s="716">
        <v>23.75</v>
      </c>
      <c r="F9512" s="717">
        <v>0</v>
      </c>
      <c r="G9512">
        <f>VLOOKUP(B9512,'SINAPI-%MO'!B:E,4,0)</f>
        <v>0.46779999999999999</v>
      </c>
      <c r="H9512" s="225">
        <f t="shared" si="148"/>
        <v>12.63</v>
      </c>
    </row>
    <row r="9513" spans="1:8" x14ac:dyDescent="0.3">
      <c r="A9513" s="400"/>
      <c r="B9513" s="709">
        <v>104753</v>
      </c>
      <c r="C9513" s="710" t="s">
        <v>7893</v>
      </c>
      <c r="D9513" s="709" t="s">
        <v>136</v>
      </c>
      <c r="E9513" s="716">
        <v>28.84</v>
      </c>
      <c r="F9513" s="717">
        <v>0</v>
      </c>
      <c r="G9513">
        <f>VLOOKUP(B9513,'SINAPI-%MO'!B:E,4,0)</f>
        <v>0.38519999999999999</v>
      </c>
      <c r="H9513" s="225">
        <f t="shared" si="148"/>
        <v>17.73</v>
      </c>
    </row>
    <row r="9514" spans="1:8" x14ac:dyDescent="0.3">
      <c r="A9514" s="400"/>
      <c r="B9514" s="709">
        <v>104754</v>
      </c>
      <c r="C9514" s="710" t="s">
        <v>7894</v>
      </c>
      <c r="D9514" s="709" t="s">
        <v>136</v>
      </c>
      <c r="E9514" s="716">
        <v>37.58</v>
      </c>
      <c r="F9514" s="717">
        <v>0</v>
      </c>
      <c r="G9514">
        <f>VLOOKUP(B9514,'SINAPI-%MO'!B:E,4,0)</f>
        <v>0.29559999999999997</v>
      </c>
      <c r="H9514" s="225">
        <f t="shared" si="148"/>
        <v>26.47</v>
      </c>
    </row>
    <row r="9515" spans="1:8" x14ac:dyDescent="0.3">
      <c r="A9515" s="400"/>
      <c r="B9515" s="709">
        <v>104755</v>
      </c>
      <c r="C9515" s="710" t="s">
        <v>7895</v>
      </c>
      <c r="D9515" s="709" t="s">
        <v>136</v>
      </c>
      <c r="E9515" s="716">
        <v>51.13</v>
      </c>
      <c r="F9515" s="717">
        <v>0</v>
      </c>
      <c r="G9515">
        <f>VLOOKUP(B9515,'SINAPI-%MO'!B:E,4,0)</f>
        <v>0.21729999999999999</v>
      </c>
      <c r="H9515" s="225">
        <f t="shared" si="148"/>
        <v>40.01</v>
      </c>
    </row>
    <row r="9516" spans="1:8" x14ac:dyDescent="0.3">
      <c r="A9516" s="400"/>
      <c r="B9516" s="709">
        <v>96982</v>
      </c>
      <c r="C9516" s="710" t="s">
        <v>7896</v>
      </c>
      <c r="D9516" s="709" t="s">
        <v>136</v>
      </c>
      <c r="E9516" s="716">
        <v>0</v>
      </c>
      <c r="F9516" s="717"/>
      <c r="G9516" t="e">
        <f>VLOOKUP(B9516,'SINAPI-%MO'!B:E,4,0)</f>
        <v>#N/A</v>
      </c>
      <c r="H9516" s="225" t="str">
        <f t="shared" si="148"/>
        <v/>
      </c>
    </row>
    <row r="9517" spans="1:8" x14ac:dyDescent="0.3">
      <c r="A9517" s="400"/>
      <c r="B9517" s="709">
        <v>96993</v>
      </c>
      <c r="C9517" s="710" t="s">
        <v>7897</v>
      </c>
      <c r="D9517" s="709" t="s">
        <v>136</v>
      </c>
      <c r="E9517" s="716">
        <v>0</v>
      </c>
      <c r="F9517" s="717"/>
      <c r="G9517" t="e">
        <f>VLOOKUP(B9517,'SINAPI-%MO'!B:E,4,0)</f>
        <v>#N/A</v>
      </c>
      <c r="H9517" s="225" t="str">
        <f t="shared" si="148"/>
        <v/>
      </c>
    </row>
    <row r="9518" spans="1:8" x14ac:dyDescent="0.3">
      <c r="A9518" s="400"/>
      <c r="B9518" s="709">
        <v>96990</v>
      </c>
      <c r="C9518" s="710" t="s">
        <v>7898</v>
      </c>
      <c r="D9518" s="709" t="s">
        <v>136</v>
      </c>
      <c r="E9518" s="716">
        <v>0</v>
      </c>
      <c r="F9518" s="717"/>
      <c r="G9518" t="e">
        <f>VLOOKUP(B9518,'SINAPI-%MO'!B:E,4,0)</f>
        <v>#N/A</v>
      </c>
      <c r="H9518" s="225" t="str">
        <f t="shared" si="148"/>
        <v/>
      </c>
    </row>
    <row r="9519" spans="1:8" x14ac:dyDescent="0.3">
      <c r="A9519" s="400"/>
      <c r="B9519" s="709">
        <v>96991</v>
      </c>
      <c r="C9519" s="710" t="s">
        <v>7899</v>
      </c>
      <c r="D9519" s="709" t="s">
        <v>136</v>
      </c>
      <c r="E9519" s="716">
        <v>0</v>
      </c>
      <c r="F9519" s="717"/>
      <c r="G9519" t="e">
        <f>VLOOKUP(B9519,'SINAPI-%MO'!B:E,4,0)</f>
        <v>#N/A</v>
      </c>
      <c r="H9519" s="225" t="str">
        <f t="shared" si="148"/>
        <v/>
      </c>
    </row>
    <row r="9520" spans="1:8" x14ac:dyDescent="0.3">
      <c r="A9520" s="400"/>
      <c r="B9520" s="709">
        <v>96992</v>
      </c>
      <c r="C9520" s="710" t="s">
        <v>7900</v>
      </c>
      <c r="D9520" s="709" t="s">
        <v>136</v>
      </c>
      <c r="E9520" s="716">
        <v>0</v>
      </c>
      <c r="F9520" s="717"/>
      <c r="G9520" t="e">
        <f>VLOOKUP(B9520,'SINAPI-%MO'!B:E,4,0)</f>
        <v>#N/A</v>
      </c>
      <c r="H9520" s="225" t="str">
        <f t="shared" si="148"/>
        <v/>
      </c>
    </row>
    <row r="9521" spans="1:8" x14ac:dyDescent="0.3">
      <c r="A9521" s="400"/>
      <c r="B9521" s="709">
        <v>96994</v>
      </c>
      <c r="C9521" s="710" t="s">
        <v>7901</v>
      </c>
      <c r="D9521" s="709" t="s">
        <v>136</v>
      </c>
      <c r="E9521" s="716">
        <v>0</v>
      </c>
      <c r="F9521" s="717"/>
      <c r="G9521" t="e">
        <f>VLOOKUP(B9521,'SINAPI-%MO'!B:E,4,0)</f>
        <v>#N/A</v>
      </c>
      <c r="H9521" s="225" t="str">
        <f t="shared" si="148"/>
        <v/>
      </c>
    </row>
    <row r="9522" spans="1:8" x14ac:dyDescent="0.3">
      <c r="A9522" s="400"/>
      <c r="B9522" s="709">
        <v>96973</v>
      </c>
      <c r="C9522" s="710" t="s">
        <v>7902</v>
      </c>
      <c r="D9522" s="709" t="s">
        <v>159</v>
      </c>
      <c r="E9522" s="716">
        <v>79.62</v>
      </c>
      <c r="F9522" s="717">
        <v>9.7999999999999997E-3</v>
      </c>
      <c r="G9522">
        <f>VLOOKUP(B9522,'SINAPI-%MO'!B:E,4,0)</f>
        <v>0.34150000000000003</v>
      </c>
      <c r="H9522" s="225">
        <f t="shared" si="148"/>
        <v>52.42</v>
      </c>
    </row>
    <row r="9523" spans="1:8" x14ac:dyDescent="0.3">
      <c r="A9523" s="400"/>
      <c r="B9523" s="709">
        <v>104743</v>
      </c>
      <c r="C9523" s="710" t="s">
        <v>7903</v>
      </c>
      <c r="D9523" s="709" t="s">
        <v>159</v>
      </c>
      <c r="E9523" s="716">
        <v>0</v>
      </c>
      <c r="F9523" s="717"/>
      <c r="G9523" t="e">
        <f>VLOOKUP(B9523,'SINAPI-%MO'!B:E,4,0)</f>
        <v>#N/A</v>
      </c>
      <c r="H9523" s="225" t="str">
        <f t="shared" si="148"/>
        <v/>
      </c>
    </row>
    <row r="9524" spans="1:8" x14ac:dyDescent="0.3">
      <c r="A9524" s="400"/>
      <c r="B9524" s="709">
        <v>96977</v>
      </c>
      <c r="C9524" s="710" t="s">
        <v>7904</v>
      </c>
      <c r="D9524" s="709" t="s">
        <v>159</v>
      </c>
      <c r="E9524" s="716">
        <v>66.27</v>
      </c>
      <c r="F9524" s="717">
        <v>0</v>
      </c>
      <c r="G9524">
        <f>VLOOKUP(B9524,'SINAPI-%MO'!B:E,4,0)</f>
        <v>2.9600000000000001E-2</v>
      </c>
      <c r="H9524" s="225">
        <f t="shared" si="148"/>
        <v>64.3</v>
      </c>
    </row>
    <row r="9525" spans="1:8" x14ac:dyDescent="0.3">
      <c r="A9525" s="400"/>
      <c r="B9525" s="709">
        <v>96974</v>
      </c>
      <c r="C9525" s="710" t="s">
        <v>7905</v>
      </c>
      <c r="D9525" s="709" t="s">
        <v>159</v>
      </c>
      <c r="E9525" s="716">
        <v>102.99</v>
      </c>
      <c r="F9525" s="717">
        <v>7.6E-3</v>
      </c>
      <c r="G9525">
        <f>VLOOKUP(B9525,'SINAPI-%MO'!B:E,4,0)</f>
        <v>0.3049</v>
      </c>
      <c r="H9525" s="225">
        <f t="shared" si="148"/>
        <v>71.58</v>
      </c>
    </row>
    <row r="9526" spans="1:8" x14ac:dyDescent="0.3">
      <c r="A9526" s="400"/>
      <c r="B9526" s="709">
        <v>104744</v>
      </c>
      <c r="C9526" s="710" t="s">
        <v>7906</v>
      </c>
      <c r="D9526" s="709" t="s">
        <v>159</v>
      </c>
      <c r="E9526" s="716">
        <v>0</v>
      </c>
      <c r="F9526" s="717"/>
      <c r="G9526" t="e">
        <f>VLOOKUP(B9526,'SINAPI-%MO'!B:E,4,0)</f>
        <v>#N/A</v>
      </c>
      <c r="H9526" s="225" t="str">
        <f t="shared" si="148"/>
        <v/>
      </c>
    </row>
    <row r="9527" spans="1:8" x14ac:dyDescent="0.3">
      <c r="A9527" s="400"/>
      <c r="B9527" s="709">
        <v>96978</v>
      </c>
      <c r="C9527" s="710" t="s">
        <v>7907</v>
      </c>
      <c r="D9527" s="709" t="s">
        <v>159</v>
      </c>
      <c r="E9527" s="716">
        <v>87.32</v>
      </c>
      <c r="F9527" s="717">
        <v>0</v>
      </c>
      <c r="G9527">
        <f>VLOOKUP(B9527,'SINAPI-%MO'!B:E,4,0)</f>
        <v>2.7300000000000001E-2</v>
      </c>
      <c r="H9527" s="225">
        <f t="shared" si="148"/>
        <v>84.93</v>
      </c>
    </row>
    <row r="9528" spans="1:8" x14ac:dyDescent="0.3">
      <c r="A9528" s="400"/>
      <c r="B9528" s="709">
        <v>96975</v>
      </c>
      <c r="C9528" s="710" t="s">
        <v>7908</v>
      </c>
      <c r="D9528" s="709" t="s">
        <v>159</v>
      </c>
      <c r="E9528" s="716">
        <v>127.59</v>
      </c>
      <c r="F9528" s="717">
        <v>6.1000000000000004E-3</v>
      </c>
      <c r="G9528">
        <f>VLOOKUP(B9528,'SINAPI-%MO'!B:E,4,0)</f>
        <v>0.2772</v>
      </c>
      <c r="H9528" s="225">
        <f t="shared" si="148"/>
        <v>92.22</v>
      </c>
    </row>
    <row r="9529" spans="1:8" x14ac:dyDescent="0.3">
      <c r="A9529" s="400"/>
      <c r="B9529" s="709">
        <v>104745</v>
      </c>
      <c r="C9529" s="710" t="s">
        <v>7909</v>
      </c>
      <c r="D9529" s="709" t="s">
        <v>159</v>
      </c>
      <c r="E9529" s="716">
        <v>0</v>
      </c>
      <c r="F9529" s="717"/>
      <c r="G9529" t="e">
        <f>VLOOKUP(B9529,'SINAPI-%MO'!B:E,4,0)</f>
        <v>#N/A</v>
      </c>
      <c r="H9529" s="225" t="str">
        <f t="shared" si="148"/>
        <v/>
      </c>
    </row>
    <row r="9530" spans="1:8" x14ac:dyDescent="0.3">
      <c r="A9530" s="400"/>
      <c r="B9530" s="709">
        <v>96979</v>
      </c>
      <c r="C9530" s="710" t="s">
        <v>7910</v>
      </c>
      <c r="D9530" s="709" t="s">
        <v>159</v>
      </c>
      <c r="E9530" s="716">
        <v>124.93</v>
      </c>
      <c r="F9530" s="717">
        <v>0</v>
      </c>
      <c r="G9530">
        <f>VLOOKUP(B9530,'SINAPI-%MO'!B:E,4,0)</f>
        <v>2.1999999999999999E-2</v>
      </c>
      <c r="H9530" s="225">
        <f t="shared" si="148"/>
        <v>122.18</v>
      </c>
    </row>
    <row r="9531" spans="1:8" x14ac:dyDescent="0.3">
      <c r="A9531" s="400"/>
      <c r="B9531" s="709">
        <v>96976</v>
      </c>
      <c r="C9531" s="710" t="s">
        <v>7911</v>
      </c>
      <c r="D9531" s="709" t="s">
        <v>159</v>
      </c>
      <c r="E9531" s="716">
        <v>168.43</v>
      </c>
      <c r="F9531" s="717">
        <v>4.5999999999999999E-3</v>
      </c>
      <c r="G9531">
        <f>VLOOKUP(B9531,'SINAPI-%MO'!B:E,4,0)</f>
        <v>0.23139999999999999</v>
      </c>
      <c r="H9531" s="225">
        <f t="shared" si="148"/>
        <v>129.44999999999999</v>
      </c>
    </row>
    <row r="9532" spans="1:8" x14ac:dyDescent="0.3">
      <c r="A9532" s="400"/>
      <c r="B9532" s="709">
        <v>96984</v>
      </c>
      <c r="C9532" s="710" t="s">
        <v>7912</v>
      </c>
      <c r="D9532" s="709" t="s">
        <v>136</v>
      </c>
      <c r="E9532" s="716">
        <v>67.95</v>
      </c>
      <c r="F9532" s="717">
        <v>0</v>
      </c>
      <c r="G9532">
        <f>VLOOKUP(B9532,'SINAPI-%MO'!B:E,4,0)</f>
        <v>0.6552</v>
      </c>
      <c r="H9532" s="225">
        <f t="shared" si="148"/>
        <v>23.42</v>
      </c>
    </row>
    <row r="9533" spans="1:8" x14ac:dyDescent="0.3">
      <c r="A9533" s="400"/>
      <c r="B9533" s="709">
        <v>96980</v>
      </c>
      <c r="C9533" s="710" t="s">
        <v>7913</v>
      </c>
      <c r="D9533" s="709" t="s">
        <v>159</v>
      </c>
      <c r="E9533" s="716">
        <v>0</v>
      </c>
      <c r="F9533" s="717"/>
      <c r="G9533" t="e">
        <f>VLOOKUP(B9533,'SINAPI-%MO'!B:E,4,0)</f>
        <v>#N/A</v>
      </c>
      <c r="H9533" s="225" t="str">
        <f t="shared" si="148"/>
        <v/>
      </c>
    </row>
    <row r="9534" spans="1:8" x14ac:dyDescent="0.3">
      <c r="A9534" s="400"/>
      <c r="B9534" s="709">
        <v>96986</v>
      </c>
      <c r="C9534" s="710" t="s">
        <v>7914</v>
      </c>
      <c r="D9534" s="709" t="s">
        <v>136</v>
      </c>
      <c r="E9534" s="716">
        <v>171.45</v>
      </c>
      <c r="F9534" s="717">
        <v>0</v>
      </c>
      <c r="G9534">
        <f>VLOOKUP(B9534,'SINAPI-%MO'!B:E,4,0)</f>
        <v>0.13519999999999999</v>
      </c>
      <c r="H9534" s="225">
        <f t="shared" si="148"/>
        <v>148.26</v>
      </c>
    </row>
    <row r="9535" spans="1:8" x14ac:dyDescent="0.3">
      <c r="A9535" s="400"/>
      <c r="B9535" s="709">
        <v>96985</v>
      </c>
      <c r="C9535" s="710" t="s">
        <v>7915</v>
      </c>
      <c r="D9535" s="709" t="s">
        <v>136</v>
      </c>
      <c r="E9535" s="716">
        <v>115.04</v>
      </c>
      <c r="F9535" s="717">
        <v>0</v>
      </c>
      <c r="G9535">
        <f>VLOOKUP(B9535,'SINAPI-%MO'!B:E,4,0)</f>
        <v>0.12889999999999999</v>
      </c>
      <c r="H9535" s="225">
        <f t="shared" si="148"/>
        <v>100.21</v>
      </c>
    </row>
    <row r="9536" spans="1:8" x14ac:dyDescent="0.3">
      <c r="A9536" s="400"/>
      <c r="B9536" s="709">
        <v>96988</v>
      </c>
      <c r="C9536" s="710" t="s">
        <v>7916</v>
      </c>
      <c r="D9536" s="709" t="s">
        <v>136</v>
      </c>
      <c r="E9536" s="716">
        <v>182.87</v>
      </c>
      <c r="F9536" s="717">
        <v>0</v>
      </c>
      <c r="G9536">
        <f>VLOOKUP(B9536,'SINAPI-%MO'!B:E,4,0)</f>
        <v>5.4399999999999997E-2</v>
      </c>
      <c r="H9536" s="225">
        <f t="shared" si="148"/>
        <v>172.92</v>
      </c>
    </row>
    <row r="9537" spans="1:8" x14ac:dyDescent="0.3">
      <c r="A9537" s="400"/>
      <c r="B9537" s="709">
        <v>104746</v>
      </c>
      <c r="C9537" s="710" t="s">
        <v>7917</v>
      </c>
      <c r="D9537" s="709" t="s">
        <v>136</v>
      </c>
      <c r="E9537" s="716">
        <v>30.27</v>
      </c>
      <c r="F9537" s="717">
        <v>7.8E-2</v>
      </c>
      <c r="G9537">
        <f>VLOOKUP(B9537,'SINAPI-%MO'!B:E,4,0)</f>
        <v>0.37559999999999999</v>
      </c>
      <c r="H9537" s="225">
        <f t="shared" si="148"/>
        <v>18.899999999999999</v>
      </c>
    </row>
    <row r="9538" spans="1:8" x14ac:dyDescent="0.3">
      <c r="A9538" s="400"/>
      <c r="B9538" s="709">
        <v>104747</v>
      </c>
      <c r="C9538" s="710" t="s">
        <v>7918</v>
      </c>
      <c r="D9538" s="709" t="s">
        <v>136</v>
      </c>
      <c r="E9538" s="716">
        <v>0</v>
      </c>
      <c r="F9538" s="717"/>
      <c r="G9538" t="e">
        <f>VLOOKUP(B9538,'SINAPI-%MO'!B:E,4,0)</f>
        <v>#N/A</v>
      </c>
      <c r="H9538" s="225" t="str">
        <f t="shared" si="148"/>
        <v/>
      </c>
    </row>
    <row r="9539" spans="1:8" x14ac:dyDescent="0.3">
      <c r="A9539" s="400"/>
      <c r="B9539" s="709">
        <v>96983</v>
      </c>
      <c r="C9539" s="710" t="s">
        <v>7919</v>
      </c>
      <c r="D9539" s="709" t="s">
        <v>136</v>
      </c>
      <c r="E9539" s="716">
        <v>0</v>
      </c>
      <c r="F9539" s="717"/>
      <c r="G9539" t="e">
        <f>VLOOKUP(B9539,'SINAPI-%MO'!B:E,4,0)</f>
        <v>#N/A</v>
      </c>
      <c r="H9539" s="225" t="str">
        <f t="shared" si="148"/>
        <v/>
      </c>
    </row>
    <row r="9540" spans="1:8" x14ac:dyDescent="0.3">
      <c r="A9540" s="400"/>
      <c r="B9540" s="709">
        <v>104748</v>
      </c>
      <c r="C9540" s="710" t="s">
        <v>7920</v>
      </c>
      <c r="D9540" s="709" t="s">
        <v>136</v>
      </c>
      <c r="E9540" s="716">
        <v>0</v>
      </c>
      <c r="F9540" s="717"/>
      <c r="G9540" t="e">
        <f>VLOOKUP(B9540,'SINAPI-%MO'!B:E,4,0)</f>
        <v>#N/A</v>
      </c>
      <c r="H9540" s="225" t="str">
        <f t="shared" si="148"/>
        <v/>
      </c>
    </row>
    <row r="9541" spans="1:8" x14ac:dyDescent="0.3">
      <c r="A9541" s="400"/>
      <c r="B9541" s="709">
        <v>98463</v>
      </c>
      <c r="C9541" s="710" t="s">
        <v>7921</v>
      </c>
      <c r="D9541" s="709" t="s">
        <v>136</v>
      </c>
      <c r="E9541" s="716">
        <v>29.46</v>
      </c>
      <c r="F9541" s="717">
        <v>4.0099999999999997E-2</v>
      </c>
      <c r="G9541">
        <f>VLOOKUP(B9541,'SINAPI-%MO'!B:E,4,0)</f>
        <v>0.62929999999999997</v>
      </c>
      <c r="H9541" s="225">
        <f t="shared" si="148"/>
        <v>10.92</v>
      </c>
    </row>
    <row r="9542" spans="1:8" x14ac:dyDescent="0.3">
      <c r="A9542" s="400"/>
      <c r="B9542" s="709">
        <v>104827</v>
      </c>
      <c r="C9542" s="710" t="s">
        <v>7922</v>
      </c>
      <c r="D9542" s="709" t="s">
        <v>136</v>
      </c>
      <c r="E9542" s="716">
        <v>0</v>
      </c>
      <c r="F9542" s="717"/>
      <c r="G9542" t="e">
        <f>VLOOKUP(B9542,'SINAPI-%MO'!B:E,4,0)</f>
        <v>#N/A</v>
      </c>
      <c r="H9542" s="225" t="str">
        <f t="shared" si="148"/>
        <v/>
      </c>
    </row>
    <row r="9543" spans="1:8" x14ac:dyDescent="0.3">
      <c r="A9543" s="400"/>
      <c r="B9543" s="709">
        <v>104828</v>
      </c>
      <c r="C9543" s="710" t="s">
        <v>7923</v>
      </c>
      <c r="D9543" s="709" t="s">
        <v>136</v>
      </c>
      <c r="E9543" s="716">
        <v>0</v>
      </c>
      <c r="F9543" s="717"/>
      <c r="G9543" t="e">
        <f>VLOOKUP(B9543,'SINAPI-%MO'!B:E,4,0)</f>
        <v>#N/A</v>
      </c>
      <c r="H9543" s="225" t="str">
        <f t="shared" si="148"/>
        <v/>
      </c>
    </row>
    <row r="9544" spans="1:8" x14ac:dyDescent="0.3">
      <c r="A9544" s="400"/>
      <c r="B9544" s="709">
        <v>104824</v>
      </c>
      <c r="C9544" s="710" t="s">
        <v>7924</v>
      </c>
      <c r="D9544" s="709" t="s">
        <v>136</v>
      </c>
      <c r="E9544" s="716">
        <v>0</v>
      </c>
      <c r="F9544" s="717"/>
      <c r="G9544" t="e">
        <f>VLOOKUP(B9544,'SINAPI-%MO'!B:E,4,0)</f>
        <v>#N/A</v>
      </c>
      <c r="H9544" s="225" t="str">
        <f t="shared" si="148"/>
        <v/>
      </c>
    </row>
    <row r="9545" spans="1:8" x14ac:dyDescent="0.3">
      <c r="A9545" s="400"/>
      <c r="B9545" s="709">
        <v>104826</v>
      </c>
      <c r="C9545" s="710" t="s">
        <v>7925</v>
      </c>
      <c r="D9545" s="709" t="s">
        <v>136</v>
      </c>
      <c r="E9545" s="716">
        <v>0</v>
      </c>
      <c r="F9545" s="717"/>
      <c r="G9545" t="e">
        <f>VLOOKUP(B9545,'SINAPI-%MO'!B:E,4,0)</f>
        <v>#N/A</v>
      </c>
      <c r="H9545" s="225" t="str">
        <f t="shared" si="148"/>
        <v/>
      </c>
    </row>
    <row r="9546" spans="1:8" x14ac:dyDescent="0.3">
      <c r="A9546" s="400"/>
      <c r="B9546" s="709">
        <v>104825</v>
      </c>
      <c r="C9546" s="710" t="s">
        <v>7926</v>
      </c>
      <c r="D9546" s="709" t="s">
        <v>136</v>
      </c>
      <c r="E9546" s="716">
        <v>0</v>
      </c>
      <c r="F9546" s="717"/>
      <c r="G9546" t="e">
        <f>VLOOKUP(B9546,'SINAPI-%MO'!B:E,4,0)</f>
        <v>#N/A</v>
      </c>
      <c r="H9546" s="225" t="str">
        <f t="shared" si="148"/>
        <v/>
      </c>
    </row>
    <row r="9547" spans="1:8" x14ac:dyDescent="0.3">
      <c r="A9547" s="400"/>
      <c r="B9547" s="709">
        <v>104993</v>
      </c>
      <c r="C9547" s="710" t="s">
        <v>7927</v>
      </c>
      <c r="D9547" s="709" t="s">
        <v>136</v>
      </c>
      <c r="E9547" s="716">
        <v>0</v>
      </c>
      <c r="F9547" s="717"/>
      <c r="G9547" t="e">
        <f>VLOOKUP(B9547,'SINAPI-%MO'!B:E,4,0)</f>
        <v>#N/A</v>
      </c>
      <c r="H9547" s="225" t="str">
        <f t="shared" ref="H9547:H9610" si="149">IF(E9547&gt;0,TRUNC(E9547*(1-G9547),2),"")</f>
        <v/>
      </c>
    </row>
    <row r="9548" spans="1:8" x14ac:dyDescent="0.3">
      <c r="A9548" s="400"/>
      <c r="B9548" s="709">
        <v>104994</v>
      </c>
      <c r="C9548" s="710" t="s">
        <v>7928</v>
      </c>
      <c r="D9548" s="709" t="s">
        <v>136</v>
      </c>
      <c r="E9548" s="716">
        <v>0</v>
      </c>
      <c r="F9548" s="717"/>
      <c r="G9548" t="e">
        <f>VLOOKUP(B9548,'SINAPI-%MO'!B:E,4,0)</f>
        <v>#N/A</v>
      </c>
      <c r="H9548" s="225" t="str">
        <f t="shared" si="149"/>
        <v/>
      </c>
    </row>
    <row r="9549" spans="1:8" x14ac:dyDescent="0.3">
      <c r="A9549" s="400"/>
      <c r="B9549" s="709">
        <v>104995</v>
      </c>
      <c r="C9549" s="710" t="s">
        <v>7929</v>
      </c>
      <c r="D9549" s="709" t="s">
        <v>136</v>
      </c>
      <c r="E9549" s="716">
        <v>0</v>
      </c>
      <c r="F9549" s="717"/>
      <c r="G9549" t="e">
        <f>VLOOKUP(B9549,'SINAPI-%MO'!B:E,4,0)</f>
        <v>#N/A</v>
      </c>
      <c r="H9549" s="225" t="str">
        <f t="shared" si="149"/>
        <v/>
      </c>
    </row>
    <row r="9550" spans="1:8" x14ac:dyDescent="0.3">
      <c r="A9550" s="400"/>
      <c r="B9550" s="709">
        <v>104996</v>
      </c>
      <c r="C9550" s="710" t="s">
        <v>7930</v>
      </c>
      <c r="D9550" s="709" t="s">
        <v>136</v>
      </c>
      <c r="E9550" s="716">
        <v>0</v>
      </c>
      <c r="F9550" s="717"/>
      <c r="G9550" t="e">
        <f>VLOOKUP(B9550,'SINAPI-%MO'!B:E,4,0)</f>
        <v>#N/A</v>
      </c>
      <c r="H9550" s="225" t="str">
        <f t="shared" si="149"/>
        <v/>
      </c>
    </row>
    <row r="9551" spans="1:8" x14ac:dyDescent="0.3">
      <c r="A9551" s="400"/>
      <c r="B9551" s="709">
        <v>95676</v>
      </c>
      <c r="C9551" s="710" t="s">
        <v>7931</v>
      </c>
      <c r="D9551" s="709" t="s">
        <v>136</v>
      </c>
      <c r="E9551" s="716">
        <v>157.36000000000001</v>
      </c>
      <c r="F9551" s="717">
        <v>0</v>
      </c>
      <c r="G9551">
        <f>VLOOKUP(B9551,'SINAPI-%MO'!B:E,4,0)</f>
        <v>9.6100000000000005E-2</v>
      </c>
      <c r="H9551" s="225">
        <f t="shared" si="149"/>
        <v>142.22999999999999</v>
      </c>
    </row>
    <row r="9552" spans="1:8" x14ac:dyDescent="0.3">
      <c r="A9552" s="400"/>
      <c r="B9552" s="709">
        <v>95677</v>
      </c>
      <c r="C9552" s="710" t="s">
        <v>7932</v>
      </c>
      <c r="D9552" s="709" t="s">
        <v>136</v>
      </c>
      <c r="E9552" s="716">
        <v>0</v>
      </c>
      <c r="F9552" s="717"/>
      <c r="G9552" t="e">
        <f>VLOOKUP(B9552,'SINAPI-%MO'!B:E,4,0)</f>
        <v>#N/A</v>
      </c>
      <c r="H9552" s="225" t="str">
        <f t="shared" si="149"/>
        <v/>
      </c>
    </row>
    <row r="9553" spans="1:8" x14ac:dyDescent="0.3">
      <c r="A9553" s="400"/>
      <c r="B9553" s="709">
        <v>105135</v>
      </c>
      <c r="C9553" s="710" t="s">
        <v>7933</v>
      </c>
      <c r="D9553" s="709" t="s">
        <v>136</v>
      </c>
      <c r="E9553" s="716">
        <v>1636.37</v>
      </c>
      <c r="F9553" s="717">
        <v>0</v>
      </c>
      <c r="G9553">
        <f>VLOOKUP(B9553,'SINAPI-%MO'!B:E,4,0)</f>
        <v>2.64E-2</v>
      </c>
      <c r="H9553" s="225">
        <f t="shared" si="149"/>
        <v>1593.16</v>
      </c>
    </row>
    <row r="9554" spans="1:8" x14ac:dyDescent="0.3">
      <c r="A9554" s="400"/>
      <c r="B9554" s="709">
        <v>104998</v>
      </c>
      <c r="C9554" s="710" t="s">
        <v>7934</v>
      </c>
      <c r="D9554" s="709" t="s">
        <v>136</v>
      </c>
      <c r="E9554" s="716">
        <v>995.95</v>
      </c>
      <c r="F9554" s="717">
        <v>0</v>
      </c>
      <c r="G9554">
        <f>VLOOKUP(B9554,'SINAPI-%MO'!B:E,4,0)</f>
        <v>3.7400000000000003E-2</v>
      </c>
      <c r="H9554" s="225">
        <f t="shared" si="149"/>
        <v>958.7</v>
      </c>
    </row>
    <row r="9555" spans="1:8" x14ac:dyDescent="0.3">
      <c r="A9555" s="400"/>
      <c r="B9555" s="709">
        <v>104997</v>
      </c>
      <c r="C9555" s="710" t="s">
        <v>7935</v>
      </c>
      <c r="D9555" s="709" t="s">
        <v>136</v>
      </c>
      <c r="E9555" s="716">
        <v>739.47</v>
      </c>
      <c r="F9555" s="717">
        <v>0</v>
      </c>
      <c r="G9555">
        <f>VLOOKUP(B9555,'SINAPI-%MO'!B:E,4,0)</f>
        <v>5.04E-2</v>
      </c>
      <c r="H9555" s="225">
        <f t="shared" si="149"/>
        <v>702.2</v>
      </c>
    </row>
    <row r="9556" spans="1:8" x14ac:dyDescent="0.3">
      <c r="A9556" s="400"/>
      <c r="B9556" s="709">
        <v>95673</v>
      </c>
      <c r="C9556" s="710" t="s">
        <v>7936</v>
      </c>
      <c r="D9556" s="709" t="s">
        <v>136</v>
      </c>
      <c r="E9556" s="716">
        <v>208.55</v>
      </c>
      <c r="F9556" s="717">
        <v>0</v>
      </c>
      <c r="G9556">
        <f>VLOOKUP(B9556,'SINAPI-%MO'!B:E,4,0)</f>
        <v>0.11890000000000001</v>
      </c>
      <c r="H9556" s="225">
        <f t="shared" si="149"/>
        <v>183.75</v>
      </c>
    </row>
    <row r="9557" spans="1:8" x14ac:dyDescent="0.3">
      <c r="A9557" s="400"/>
      <c r="B9557" s="709">
        <v>95674</v>
      </c>
      <c r="C9557" s="710" t="s">
        <v>7937</v>
      </c>
      <c r="D9557" s="709" t="s">
        <v>136</v>
      </c>
      <c r="E9557" s="716">
        <v>222.04</v>
      </c>
      <c r="F9557" s="717">
        <v>0</v>
      </c>
      <c r="G9557">
        <f>VLOOKUP(B9557,'SINAPI-%MO'!B:E,4,0)</f>
        <v>0.1116</v>
      </c>
      <c r="H9557" s="225">
        <f t="shared" si="149"/>
        <v>197.26</v>
      </c>
    </row>
    <row r="9558" spans="1:8" x14ac:dyDescent="0.3">
      <c r="A9558" s="400"/>
      <c r="B9558" s="709">
        <v>104992</v>
      </c>
      <c r="C9558" s="710" t="s">
        <v>7938</v>
      </c>
      <c r="D9558" s="709" t="s">
        <v>136</v>
      </c>
      <c r="E9558" s="716">
        <v>2290.3200000000002</v>
      </c>
      <c r="F9558" s="717">
        <v>0</v>
      </c>
      <c r="G9558">
        <f>VLOOKUP(B9558,'SINAPI-%MO'!B:E,4,0)</f>
        <v>2.1399999999999999E-2</v>
      </c>
      <c r="H9558" s="225">
        <f t="shared" si="149"/>
        <v>2241.3000000000002</v>
      </c>
    </row>
    <row r="9559" spans="1:8" x14ac:dyDescent="0.3">
      <c r="A9559" s="400"/>
      <c r="B9559" s="709">
        <v>95675</v>
      </c>
      <c r="C9559" s="710" t="s">
        <v>7939</v>
      </c>
      <c r="D9559" s="709" t="s">
        <v>136</v>
      </c>
      <c r="E9559" s="716">
        <v>273.89</v>
      </c>
      <c r="F9559" s="717">
        <v>0</v>
      </c>
      <c r="G9559">
        <f>VLOOKUP(B9559,'SINAPI-%MO'!B:E,4,0)</f>
        <v>0.11210000000000001</v>
      </c>
      <c r="H9559" s="225">
        <f t="shared" si="149"/>
        <v>243.18</v>
      </c>
    </row>
    <row r="9560" spans="1:8" x14ac:dyDescent="0.3">
      <c r="A9560" s="400"/>
      <c r="B9560" s="709">
        <v>95648</v>
      </c>
      <c r="C9560" s="710" t="s">
        <v>7940</v>
      </c>
      <c r="D9560" s="709" t="s">
        <v>136</v>
      </c>
      <c r="E9560" s="716">
        <v>813.45</v>
      </c>
      <c r="F9560" s="717">
        <v>0</v>
      </c>
      <c r="G9560">
        <f>VLOOKUP(B9560,'SINAPI-%MO'!B:E,4,0)</f>
        <v>0.11600000000000001</v>
      </c>
      <c r="H9560" s="225">
        <f t="shared" si="149"/>
        <v>719.08</v>
      </c>
    </row>
    <row r="9561" spans="1:8" x14ac:dyDescent="0.3">
      <c r="A9561" s="400"/>
      <c r="B9561" s="709">
        <v>95649</v>
      </c>
      <c r="C9561" s="710" t="s">
        <v>7941</v>
      </c>
      <c r="D9561" s="709" t="s">
        <v>136</v>
      </c>
      <c r="E9561" s="716">
        <v>1405.57</v>
      </c>
      <c r="F9561" s="717">
        <v>0</v>
      </c>
      <c r="G9561">
        <f>VLOOKUP(B9561,'SINAPI-%MO'!B:E,4,0)</f>
        <v>0.11749999999999999</v>
      </c>
      <c r="H9561" s="225">
        <f t="shared" si="149"/>
        <v>1240.4100000000001</v>
      </c>
    </row>
    <row r="9562" spans="1:8" x14ac:dyDescent="0.3">
      <c r="A9562" s="400"/>
      <c r="B9562" s="709">
        <v>95650</v>
      </c>
      <c r="C9562" s="710" t="s">
        <v>7942</v>
      </c>
      <c r="D9562" s="709" t="s">
        <v>136</v>
      </c>
      <c r="E9562" s="716">
        <v>2053.12</v>
      </c>
      <c r="F9562" s="717">
        <v>0</v>
      </c>
      <c r="G9562">
        <f>VLOOKUP(B9562,'SINAPI-%MO'!B:E,4,0)</f>
        <v>0.11890000000000001</v>
      </c>
      <c r="H9562" s="225">
        <f t="shared" si="149"/>
        <v>1809</v>
      </c>
    </row>
    <row r="9563" spans="1:8" x14ac:dyDescent="0.3">
      <c r="A9563" s="400"/>
      <c r="B9563" s="709">
        <v>95651</v>
      </c>
      <c r="C9563" s="710" t="s">
        <v>7943</v>
      </c>
      <c r="D9563" s="709" t="s">
        <v>136</v>
      </c>
      <c r="E9563" s="716">
        <v>2667.93</v>
      </c>
      <c r="F9563" s="717">
        <v>0</v>
      </c>
      <c r="G9563">
        <f>VLOOKUP(B9563,'SINAPI-%MO'!B:E,4,0)</f>
        <v>0.11890000000000001</v>
      </c>
      <c r="H9563" s="225">
        <f t="shared" si="149"/>
        <v>2350.71</v>
      </c>
    </row>
    <row r="9564" spans="1:8" x14ac:dyDescent="0.3">
      <c r="A9564" s="400"/>
      <c r="B9564" s="709">
        <v>95652</v>
      </c>
      <c r="C9564" s="710" t="s">
        <v>7944</v>
      </c>
      <c r="D9564" s="709" t="s">
        <v>136</v>
      </c>
      <c r="E9564" s="716">
        <v>1009.71</v>
      </c>
      <c r="F9564" s="717">
        <v>0</v>
      </c>
      <c r="G9564">
        <f>VLOOKUP(B9564,'SINAPI-%MO'!B:E,4,0)</f>
        <v>0.10440000000000001</v>
      </c>
      <c r="H9564" s="225">
        <f t="shared" si="149"/>
        <v>904.29</v>
      </c>
    </row>
    <row r="9565" spans="1:8" x14ac:dyDescent="0.3">
      <c r="A9565" s="400"/>
      <c r="B9565" s="709">
        <v>95653</v>
      </c>
      <c r="C9565" s="710" t="s">
        <v>7945</v>
      </c>
      <c r="D9565" s="709" t="s">
        <v>136</v>
      </c>
      <c r="E9565" s="716">
        <v>1795.54</v>
      </c>
      <c r="F9565" s="717">
        <v>0</v>
      </c>
      <c r="G9565">
        <f>VLOOKUP(B9565,'SINAPI-%MO'!B:E,4,0)</f>
        <v>0.104</v>
      </c>
      <c r="H9565" s="225">
        <f t="shared" si="149"/>
        <v>1608.8</v>
      </c>
    </row>
    <row r="9566" spans="1:8" x14ac:dyDescent="0.3">
      <c r="A9566" s="400"/>
      <c r="B9566" s="709">
        <v>95654</v>
      </c>
      <c r="C9566" s="710" t="s">
        <v>7946</v>
      </c>
      <c r="D9566" s="709" t="s">
        <v>136</v>
      </c>
      <c r="E9566" s="716">
        <v>2644.48</v>
      </c>
      <c r="F9566" s="717">
        <v>0</v>
      </c>
      <c r="G9566">
        <f>VLOOKUP(B9566,'SINAPI-%MO'!B:E,4,0)</f>
        <v>0.10489999999999999</v>
      </c>
      <c r="H9566" s="225">
        <f t="shared" si="149"/>
        <v>2367.0700000000002</v>
      </c>
    </row>
    <row r="9567" spans="1:8" x14ac:dyDescent="0.3">
      <c r="A9567" s="400"/>
      <c r="B9567" s="709">
        <v>95655</v>
      </c>
      <c r="C9567" s="710" t="s">
        <v>7947</v>
      </c>
      <c r="D9567" s="709" t="s">
        <v>136</v>
      </c>
      <c r="E9567" s="716">
        <v>3451.3</v>
      </c>
      <c r="F9567" s="717">
        <v>0</v>
      </c>
      <c r="G9567">
        <f>VLOOKUP(B9567,'SINAPI-%MO'!B:E,4,0)</f>
        <v>0.1046</v>
      </c>
      <c r="H9567" s="225">
        <f t="shared" si="149"/>
        <v>3090.29</v>
      </c>
    </row>
    <row r="9568" spans="1:8" x14ac:dyDescent="0.3">
      <c r="A9568" s="400"/>
      <c r="B9568" s="709">
        <v>95657</v>
      </c>
      <c r="C9568" s="710" t="s">
        <v>7948</v>
      </c>
      <c r="D9568" s="709" t="s">
        <v>136</v>
      </c>
      <c r="E9568" s="716">
        <v>355.3</v>
      </c>
      <c r="F9568" s="717">
        <v>0</v>
      </c>
      <c r="G9568">
        <f>VLOOKUP(B9568,'SINAPI-%MO'!B:E,4,0)</f>
        <v>0.37780000000000002</v>
      </c>
      <c r="H9568" s="225">
        <f t="shared" si="149"/>
        <v>221.06</v>
      </c>
    </row>
    <row r="9569" spans="1:8" x14ac:dyDescent="0.3">
      <c r="A9569" s="400"/>
      <c r="B9569" s="709">
        <v>95658</v>
      </c>
      <c r="C9569" s="710" t="s">
        <v>7949</v>
      </c>
      <c r="D9569" s="709" t="s">
        <v>136</v>
      </c>
      <c r="E9569" s="716">
        <v>649.02</v>
      </c>
      <c r="F9569" s="717">
        <v>0</v>
      </c>
      <c r="G9569">
        <f>VLOOKUP(B9569,'SINAPI-%MO'!B:E,4,0)</f>
        <v>0.36370000000000002</v>
      </c>
      <c r="H9569" s="225">
        <f t="shared" si="149"/>
        <v>412.97</v>
      </c>
    </row>
    <row r="9570" spans="1:8" x14ac:dyDescent="0.3">
      <c r="A9570" s="400"/>
      <c r="B9570" s="709">
        <v>95659</v>
      </c>
      <c r="C9570" s="710" t="s">
        <v>7950</v>
      </c>
      <c r="D9570" s="709" t="s">
        <v>136</v>
      </c>
      <c r="E9570" s="716">
        <v>966.08</v>
      </c>
      <c r="F9570" s="717">
        <v>0</v>
      </c>
      <c r="G9570">
        <f>VLOOKUP(B9570,'SINAPI-%MO'!B:E,4,0)</f>
        <v>0.36109999999999998</v>
      </c>
      <c r="H9570" s="225">
        <f t="shared" si="149"/>
        <v>617.22</v>
      </c>
    </row>
    <row r="9571" spans="1:8" x14ac:dyDescent="0.3">
      <c r="A9571" s="400"/>
      <c r="B9571" s="709">
        <v>95660</v>
      </c>
      <c r="C9571" s="710" t="s">
        <v>7951</v>
      </c>
      <c r="D9571" s="709" t="s">
        <v>136</v>
      </c>
      <c r="E9571" s="716">
        <v>1267.1199999999999</v>
      </c>
      <c r="F9571" s="717">
        <v>0</v>
      </c>
      <c r="G9571">
        <f>VLOOKUP(B9571,'SINAPI-%MO'!B:E,4,0)</f>
        <v>0.35820000000000002</v>
      </c>
      <c r="H9571" s="225">
        <f t="shared" si="149"/>
        <v>813.23</v>
      </c>
    </row>
    <row r="9572" spans="1:8" x14ac:dyDescent="0.3">
      <c r="A9572" s="400"/>
      <c r="B9572" s="709">
        <v>95661</v>
      </c>
      <c r="C9572" s="710" t="s">
        <v>7952</v>
      </c>
      <c r="D9572" s="709" t="s">
        <v>136</v>
      </c>
      <c r="E9572" s="716">
        <v>444.75</v>
      </c>
      <c r="F9572" s="717">
        <v>0</v>
      </c>
      <c r="G9572">
        <f>VLOOKUP(B9572,'SINAPI-%MO'!B:E,4,0)</f>
        <v>0.33679999999999999</v>
      </c>
      <c r="H9572" s="225">
        <f t="shared" si="149"/>
        <v>294.95</v>
      </c>
    </row>
    <row r="9573" spans="1:8" x14ac:dyDescent="0.3">
      <c r="A9573" s="400"/>
      <c r="B9573" s="709">
        <v>95662</v>
      </c>
      <c r="C9573" s="710" t="s">
        <v>7953</v>
      </c>
      <c r="D9573" s="709" t="s">
        <v>136</v>
      </c>
      <c r="E9573" s="716">
        <v>826.35</v>
      </c>
      <c r="F9573" s="717">
        <v>0</v>
      </c>
      <c r="G9573">
        <f>VLOOKUP(B9573,'SINAPI-%MO'!B:E,4,0)</f>
        <v>0.32269999999999999</v>
      </c>
      <c r="H9573" s="225">
        <f t="shared" si="149"/>
        <v>559.67999999999995</v>
      </c>
    </row>
    <row r="9574" spans="1:8" x14ac:dyDescent="0.3">
      <c r="A9574" s="400"/>
      <c r="B9574" s="709">
        <v>95663</v>
      </c>
      <c r="C9574" s="710" t="s">
        <v>7954</v>
      </c>
      <c r="D9574" s="709" t="s">
        <v>136</v>
      </c>
      <c r="E9574" s="716">
        <v>1235.95</v>
      </c>
      <c r="F9574" s="717">
        <v>0</v>
      </c>
      <c r="G9574">
        <f>VLOOKUP(B9574,'SINAPI-%MO'!B:E,4,0)</f>
        <v>0.32019999999999998</v>
      </c>
      <c r="H9574" s="225">
        <f t="shared" si="149"/>
        <v>840.19</v>
      </c>
    </row>
    <row r="9575" spans="1:8" x14ac:dyDescent="0.3">
      <c r="A9575" s="400"/>
      <c r="B9575" s="709">
        <v>95664</v>
      </c>
      <c r="C9575" s="710" t="s">
        <v>7955</v>
      </c>
      <c r="D9575" s="709" t="s">
        <v>136</v>
      </c>
      <c r="E9575" s="716">
        <v>1623.86</v>
      </c>
      <c r="F9575" s="717">
        <v>0</v>
      </c>
      <c r="G9575">
        <f>VLOOKUP(B9575,'SINAPI-%MO'!B:E,4,0)</f>
        <v>0.31759999999999999</v>
      </c>
      <c r="H9575" s="225">
        <f t="shared" si="149"/>
        <v>1108.1199999999999</v>
      </c>
    </row>
    <row r="9576" spans="1:8" x14ac:dyDescent="0.3">
      <c r="A9576" s="400"/>
      <c r="B9576" s="709">
        <v>95665</v>
      </c>
      <c r="C9576" s="710" t="s">
        <v>7956</v>
      </c>
      <c r="D9576" s="709" t="s">
        <v>136</v>
      </c>
      <c r="E9576" s="716">
        <v>391.74</v>
      </c>
      <c r="F9576" s="717">
        <v>0</v>
      </c>
      <c r="G9576">
        <f>VLOOKUP(B9576,'SINAPI-%MO'!B:E,4,0)</f>
        <v>0.36720000000000003</v>
      </c>
      <c r="H9576" s="225">
        <f t="shared" si="149"/>
        <v>247.89</v>
      </c>
    </row>
    <row r="9577" spans="1:8" x14ac:dyDescent="0.3">
      <c r="A9577" s="400"/>
      <c r="B9577" s="709">
        <v>95666</v>
      </c>
      <c r="C9577" s="710" t="s">
        <v>7957</v>
      </c>
      <c r="D9577" s="709" t="s">
        <v>136</v>
      </c>
      <c r="E9577" s="716">
        <v>696.34</v>
      </c>
      <c r="F9577" s="717">
        <v>0</v>
      </c>
      <c r="G9577">
        <f>VLOOKUP(B9577,'SINAPI-%MO'!B:E,4,0)</f>
        <v>0.36120000000000002</v>
      </c>
      <c r="H9577" s="225">
        <f t="shared" si="149"/>
        <v>444.82</v>
      </c>
    </row>
    <row r="9578" spans="1:8" x14ac:dyDescent="0.3">
      <c r="A9578" s="400"/>
      <c r="B9578" s="709">
        <v>95667</v>
      </c>
      <c r="C9578" s="710" t="s">
        <v>7958</v>
      </c>
      <c r="D9578" s="709" t="s">
        <v>136</v>
      </c>
      <c r="E9578" s="716">
        <v>1031.6600000000001</v>
      </c>
      <c r="F9578" s="717">
        <v>0</v>
      </c>
      <c r="G9578">
        <f>VLOOKUP(B9578,'SINAPI-%MO'!B:E,4,0)</f>
        <v>0.36049999999999999</v>
      </c>
      <c r="H9578" s="225">
        <f t="shared" si="149"/>
        <v>659.74</v>
      </c>
    </row>
    <row r="9579" spans="1:8" x14ac:dyDescent="0.3">
      <c r="A9579" s="400"/>
      <c r="B9579" s="709">
        <v>95668</v>
      </c>
      <c r="C9579" s="710" t="s">
        <v>7959</v>
      </c>
      <c r="D9579" s="709" t="s">
        <v>136</v>
      </c>
      <c r="E9579" s="716">
        <v>1348.73</v>
      </c>
      <c r="F9579" s="717">
        <v>0</v>
      </c>
      <c r="G9579">
        <f>VLOOKUP(B9579,'SINAPI-%MO'!B:E,4,0)</f>
        <v>0.35849999999999999</v>
      </c>
      <c r="H9579" s="225">
        <f t="shared" si="149"/>
        <v>865.21</v>
      </c>
    </row>
    <row r="9580" spans="1:8" x14ac:dyDescent="0.3">
      <c r="A9580" s="400"/>
      <c r="B9580" s="709">
        <v>95669</v>
      </c>
      <c r="C9580" s="710" t="s">
        <v>7960</v>
      </c>
      <c r="D9580" s="709" t="s">
        <v>136</v>
      </c>
      <c r="E9580" s="716">
        <v>477</v>
      </c>
      <c r="F9580" s="717">
        <v>0</v>
      </c>
      <c r="G9580">
        <f>VLOOKUP(B9580,'SINAPI-%MO'!B:E,4,0)</f>
        <v>0.33660000000000001</v>
      </c>
      <c r="H9580" s="225">
        <f t="shared" si="149"/>
        <v>316.44</v>
      </c>
    </row>
    <row r="9581" spans="1:8" x14ac:dyDescent="0.3">
      <c r="A9581" s="400"/>
      <c r="B9581" s="709">
        <v>95670</v>
      </c>
      <c r="C9581" s="710" t="s">
        <v>7961</v>
      </c>
      <c r="D9581" s="709" t="s">
        <v>136</v>
      </c>
      <c r="E9581" s="716">
        <v>865.58</v>
      </c>
      <c r="F9581" s="717">
        <v>0</v>
      </c>
      <c r="G9581">
        <f>VLOOKUP(B9581,'SINAPI-%MO'!B:E,4,0)</f>
        <v>0.32869999999999999</v>
      </c>
      <c r="H9581" s="225">
        <f t="shared" si="149"/>
        <v>581.05999999999995</v>
      </c>
    </row>
    <row r="9582" spans="1:8" x14ac:dyDescent="0.3">
      <c r="A9582" s="400"/>
      <c r="B9582" s="709">
        <v>95671</v>
      </c>
      <c r="C9582" s="710" t="s">
        <v>7962</v>
      </c>
      <c r="D9582" s="709" t="s">
        <v>136</v>
      </c>
      <c r="E9582" s="716">
        <v>1288.8</v>
      </c>
      <c r="F9582" s="717">
        <v>0</v>
      </c>
      <c r="G9582">
        <f>VLOOKUP(B9582,'SINAPI-%MO'!B:E,4,0)</f>
        <v>0.32790000000000002</v>
      </c>
      <c r="H9582" s="225">
        <f t="shared" si="149"/>
        <v>866.2</v>
      </c>
    </row>
    <row r="9583" spans="1:8" x14ac:dyDescent="0.3">
      <c r="A9583" s="400"/>
      <c r="B9583" s="709">
        <v>95672</v>
      </c>
      <c r="C9583" s="710" t="s">
        <v>7963</v>
      </c>
      <c r="D9583" s="709" t="s">
        <v>136</v>
      </c>
      <c r="E9583" s="716">
        <v>1688.96</v>
      </c>
      <c r="F9583" s="717">
        <v>0</v>
      </c>
      <c r="G9583">
        <f>VLOOKUP(B9583,'SINAPI-%MO'!B:E,4,0)</f>
        <v>0.32569999999999999</v>
      </c>
      <c r="H9583" s="225">
        <f t="shared" si="149"/>
        <v>1138.8599999999999</v>
      </c>
    </row>
    <row r="9584" spans="1:8" x14ac:dyDescent="0.3">
      <c r="A9584" s="400"/>
      <c r="B9584" s="709">
        <v>97741</v>
      </c>
      <c r="C9584" s="710" t="s">
        <v>7964</v>
      </c>
      <c r="D9584" s="709" t="s">
        <v>136</v>
      </c>
      <c r="E9584" s="716">
        <v>209.77</v>
      </c>
      <c r="F9584" s="717">
        <v>0</v>
      </c>
      <c r="G9584">
        <f>VLOOKUP(B9584,'SINAPI-%MO'!B:E,4,0)</f>
        <v>0.41830000000000001</v>
      </c>
      <c r="H9584" s="225">
        <f t="shared" si="149"/>
        <v>122.02</v>
      </c>
    </row>
    <row r="9585" spans="1:8" x14ac:dyDescent="0.3">
      <c r="A9585" s="400"/>
      <c r="B9585" s="709">
        <v>95641</v>
      </c>
      <c r="C9585" s="710" t="s">
        <v>7965</v>
      </c>
      <c r="D9585" s="709" t="s">
        <v>136</v>
      </c>
      <c r="E9585" s="716">
        <v>376.44</v>
      </c>
      <c r="F9585" s="717">
        <v>0</v>
      </c>
      <c r="G9585">
        <f>VLOOKUP(B9585,'SINAPI-%MO'!B:E,4,0)</f>
        <v>0.40770000000000001</v>
      </c>
      <c r="H9585" s="225">
        <f t="shared" si="149"/>
        <v>222.96</v>
      </c>
    </row>
    <row r="9586" spans="1:8" x14ac:dyDescent="0.3">
      <c r="A9586" s="400"/>
      <c r="B9586" s="709">
        <v>95642</v>
      </c>
      <c r="C9586" s="710" t="s">
        <v>7966</v>
      </c>
      <c r="D9586" s="709" t="s">
        <v>136</v>
      </c>
      <c r="E9586" s="716">
        <v>557.27</v>
      </c>
      <c r="F9586" s="717">
        <v>0</v>
      </c>
      <c r="G9586">
        <f>VLOOKUP(B9586,'SINAPI-%MO'!B:E,4,0)</f>
        <v>0.40720000000000001</v>
      </c>
      <c r="H9586" s="225">
        <f t="shared" si="149"/>
        <v>330.34</v>
      </c>
    </row>
    <row r="9587" spans="1:8" x14ac:dyDescent="0.3">
      <c r="A9587" s="400"/>
      <c r="B9587" s="709">
        <v>95643</v>
      </c>
      <c r="C9587" s="710" t="s">
        <v>7967</v>
      </c>
      <c r="D9587" s="709" t="s">
        <v>136</v>
      </c>
      <c r="E9587" s="716">
        <v>729.73</v>
      </c>
      <c r="F9587" s="717">
        <v>0</v>
      </c>
      <c r="G9587">
        <f>VLOOKUP(B9587,'SINAPI-%MO'!B:E,4,0)</f>
        <v>0.4042</v>
      </c>
      <c r="H9587" s="225">
        <f t="shared" si="149"/>
        <v>434.77</v>
      </c>
    </row>
    <row r="9588" spans="1:8" x14ac:dyDescent="0.3">
      <c r="A9588" s="400"/>
      <c r="B9588" s="709">
        <v>95644</v>
      </c>
      <c r="C9588" s="710" t="s">
        <v>7968</v>
      </c>
      <c r="D9588" s="709" t="s">
        <v>136</v>
      </c>
      <c r="E9588" s="716">
        <v>277.89</v>
      </c>
      <c r="F9588" s="717">
        <v>0</v>
      </c>
      <c r="G9588">
        <f>VLOOKUP(B9588,'SINAPI-%MO'!B:E,4,0)</f>
        <v>0.35249999999999998</v>
      </c>
      <c r="H9588" s="225">
        <f t="shared" si="149"/>
        <v>179.93</v>
      </c>
    </row>
    <row r="9589" spans="1:8" x14ac:dyDescent="0.3">
      <c r="A9589" s="400"/>
      <c r="B9589" s="709">
        <v>95645</v>
      </c>
      <c r="C9589" s="710" t="s">
        <v>7969</v>
      </c>
      <c r="D9589" s="709" t="s">
        <v>136</v>
      </c>
      <c r="E9589" s="716">
        <v>511.46</v>
      </c>
      <c r="F9589" s="717">
        <v>0</v>
      </c>
      <c r="G9589">
        <f>VLOOKUP(B9589,'SINAPI-%MO'!B:E,4,0)</f>
        <v>0.33939999999999998</v>
      </c>
      <c r="H9589" s="225">
        <f t="shared" si="149"/>
        <v>337.87</v>
      </c>
    </row>
    <row r="9590" spans="1:8" x14ac:dyDescent="0.3">
      <c r="A9590" s="400"/>
      <c r="B9590" s="709">
        <v>95646</v>
      </c>
      <c r="C9590" s="710" t="s">
        <v>7970</v>
      </c>
      <c r="D9590" s="709" t="s">
        <v>136</v>
      </c>
      <c r="E9590" s="716">
        <v>762.85</v>
      </c>
      <c r="F9590" s="717">
        <v>0</v>
      </c>
      <c r="G9590">
        <f>VLOOKUP(B9590,'SINAPI-%MO'!B:E,4,0)</f>
        <v>0.33800000000000002</v>
      </c>
      <c r="H9590" s="225">
        <f t="shared" si="149"/>
        <v>505</v>
      </c>
    </row>
    <row r="9591" spans="1:8" x14ac:dyDescent="0.3">
      <c r="A9591" s="400"/>
      <c r="B9591" s="709">
        <v>95647</v>
      </c>
      <c r="C9591" s="710" t="s">
        <v>7971</v>
      </c>
      <c r="D9591" s="709" t="s">
        <v>136</v>
      </c>
      <c r="E9591" s="716">
        <v>1001.42</v>
      </c>
      <c r="F9591" s="717">
        <v>0</v>
      </c>
      <c r="G9591">
        <f>VLOOKUP(B9591,'SINAPI-%MO'!B:E,4,0)</f>
        <v>0.33510000000000001</v>
      </c>
      <c r="H9591" s="225">
        <f t="shared" si="149"/>
        <v>665.84</v>
      </c>
    </row>
    <row r="9592" spans="1:8" x14ac:dyDescent="0.3">
      <c r="A9592" s="400"/>
      <c r="B9592" s="709">
        <v>95636</v>
      </c>
      <c r="C9592" s="710" t="s">
        <v>7972</v>
      </c>
      <c r="D9592" s="709" t="s">
        <v>136</v>
      </c>
      <c r="E9592" s="716">
        <v>418.88</v>
      </c>
      <c r="F9592" s="717">
        <v>0</v>
      </c>
      <c r="G9592">
        <f>VLOOKUP(B9592,'SINAPI-%MO'!B:E,4,0)</f>
        <v>0.48730000000000001</v>
      </c>
      <c r="H9592" s="225">
        <f t="shared" si="149"/>
        <v>214.75</v>
      </c>
    </row>
    <row r="9593" spans="1:8" x14ac:dyDescent="0.3">
      <c r="A9593" s="400"/>
      <c r="B9593" s="709">
        <v>95637</v>
      </c>
      <c r="C9593" s="710" t="s">
        <v>7973</v>
      </c>
      <c r="D9593" s="709" t="s">
        <v>136</v>
      </c>
      <c r="E9593" s="716">
        <v>547.97</v>
      </c>
      <c r="F9593" s="717">
        <v>0</v>
      </c>
      <c r="G9593">
        <f>VLOOKUP(B9593,'SINAPI-%MO'!B:E,4,0)</f>
        <v>0.44409999999999999</v>
      </c>
      <c r="H9593" s="225">
        <f t="shared" si="149"/>
        <v>304.61</v>
      </c>
    </row>
    <row r="9594" spans="1:8" x14ac:dyDescent="0.3">
      <c r="A9594" s="400"/>
      <c r="B9594" s="709">
        <v>95638</v>
      </c>
      <c r="C9594" s="710" t="s">
        <v>7974</v>
      </c>
      <c r="D9594" s="709" t="s">
        <v>136</v>
      </c>
      <c r="E9594" s="716">
        <v>673.64</v>
      </c>
      <c r="F9594" s="717">
        <v>0</v>
      </c>
      <c r="G9594">
        <f>VLOOKUP(B9594,'SINAPI-%MO'!B:E,4,0)</f>
        <v>0.42780000000000001</v>
      </c>
      <c r="H9594" s="225">
        <f t="shared" si="149"/>
        <v>385.45</v>
      </c>
    </row>
    <row r="9595" spans="1:8" x14ac:dyDescent="0.3">
      <c r="A9595" s="400"/>
      <c r="B9595" s="709">
        <v>95639</v>
      </c>
      <c r="C9595" s="710" t="s">
        <v>7975</v>
      </c>
      <c r="D9595" s="709" t="s">
        <v>136</v>
      </c>
      <c r="E9595" s="716">
        <v>910.99</v>
      </c>
      <c r="F9595" s="717">
        <v>0</v>
      </c>
      <c r="G9595">
        <f>VLOOKUP(B9595,'SINAPI-%MO'!B:E,4,0)</f>
        <v>0.37790000000000001</v>
      </c>
      <c r="H9595" s="225">
        <f t="shared" si="149"/>
        <v>566.72</v>
      </c>
    </row>
    <row r="9596" spans="1:8" x14ac:dyDescent="0.3">
      <c r="A9596" s="400"/>
      <c r="B9596" s="709">
        <v>95634</v>
      </c>
      <c r="C9596" s="710" t="s">
        <v>7976</v>
      </c>
      <c r="D9596" s="709" t="s">
        <v>136</v>
      </c>
      <c r="E9596" s="716">
        <v>246.42</v>
      </c>
      <c r="F9596" s="717">
        <v>0</v>
      </c>
      <c r="G9596">
        <f>VLOOKUP(B9596,'SINAPI-%MO'!B:E,4,0)</f>
        <v>0.3</v>
      </c>
      <c r="H9596" s="225">
        <f t="shared" si="149"/>
        <v>172.49</v>
      </c>
    </row>
    <row r="9597" spans="1:8" x14ac:dyDescent="0.3">
      <c r="A9597" s="400"/>
      <c r="B9597" s="709">
        <v>95635</v>
      </c>
      <c r="C9597" s="710" t="s">
        <v>7977</v>
      </c>
      <c r="D9597" s="709" t="s">
        <v>136</v>
      </c>
      <c r="E9597" s="716">
        <v>258.54000000000002</v>
      </c>
      <c r="F9597" s="717">
        <v>0</v>
      </c>
      <c r="G9597">
        <f>VLOOKUP(B9597,'SINAPI-%MO'!B:E,4,0)</f>
        <v>0.33139999999999997</v>
      </c>
      <c r="H9597" s="225">
        <f t="shared" si="149"/>
        <v>172.85</v>
      </c>
    </row>
    <row r="9598" spans="1:8" x14ac:dyDescent="0.3">
      <c r="A9598" s="400"/>
      <c r="B9598" s="709">
        <v>107293</v>
      </c>
      <c r="C9598" s="710" t="s">
        <v>16387</v>
      </c>
      <c r="D9598" s="709" t="s">
        <v>136</v>
      </c>
      <c r="E9598" s="716">
        <v>0</v>
      </c>
      <c r="F9598" s="717"/>
      <c r="G9598" t="e">
        <f>VLOOKUP(B9598,'SINAPI-%MO'!B:E,4,0)</f>
        <v>#N/A</v>
      </c>
      <c r="H9598" s="225" t="str">
        <f t="shared" si="149"/>
        <v/>
      </c>
    </row>
    <row r="9599" spans="1:8" x14ac:dyDescent="0.3">
      <c r="A9599" s="400"/>
      <c r="B9599" s="709">
        <v>107294</v>
      </c>
      <c r="C9599" s="710" t="s">
        <v>16388</v>
      </c>
      <c r="D9599" s="709" t="s">
        <v>136</v>
      </c>
      <c r="E9599" s="716">
        <v>0</v>
      </c>
      <c r="F9599" s="717"/>
      <c r="G9599" t="e">
        <f>VLOOKUP(B9599,'SINAPI-%MO'!B:E,4,0)</f>
        <v>#N/A</v>
      </c>
      <c r="H9599" s="225" t="str">
        <f t="shared" si="149"/>
        <v/>
      </c>
    </row>
    <row r="9600" spans="1:8" x14ac:dyDescent="0.3">
      <c r="A9600" s="400"/>
      <c r="B9600" s="709">
        <v>107295</v>
      </c>
      <c r="C9600" s="710" t="s">
        <v>16389</v>
      </c>
      <c r="D9600" s="709" t="s">
        <v>136</v>
      </c>
      <c r="E9600" s="716">
        <v>0</v>
      </c>
      <c r="F9600" s="717"/>
      <c r="G9600" t="e">
        <f>VLOOKUP(B9600,'SINAPI-%MO'!B:E,4,0)</f>
        <v>#N/A</v>
      </c>
      <c r="H9600" s="225" t="str">
        <f t="shared" si="149"/>
        <v/>
      </c>
    </row>
    <row r="9601" spans="1:8" x14ac:dyDescent="0.3">
      <c r="A9601" s="400"/>
      <c r="B9601" s="709">
        <v>107288</v>
      </c>
      <c r="C9601" s="710" t="s">
        <v>16390</v>
      </c>
      <c r="D9601" s="709" t="s">
        <v>136</v>
      </c>
      <c r="E9601" s="716">
        <v>0</v>
      </c>
      <c r="F9601" s="717"/>
      <c r="G9601" t="e">
        <f>VLOOKUP(B9601,'SINAPI-%MO'!B:E,4,0)</f>
        <v>#N/A</v>
      </c>
      <c r="H9601" s="225" t="str">
        <f t="shared" si="149"/>
        <v/>
      </c>
    </row>
    <row r="9602" spans="1:8" x14ac:dyDescent="0.3">
      <c r="A9602" s="400"/>
      <c r="B9602" s="709">
        <v>107289</v>
      </c>
      <c r="C9602" s="710" t="s">
        <v>16391</v>
      </c>
      <c r="D9602" s="709" t="s">
        <v>136</v>
      </c>
      <c r="E9602" s="716">
        <v>0</v>
      </c>
      <c r="F9602" s="717"/>
      <c r="G9602" t="e">
        <f>VLOOKUP(B9602,'SINAPI-%MO'!B:E,4,0)</f>
        <v>#N/A</v>
      </c>
      <c r="H9602" s="225" t="str">
        <f t="shared" si="149"/>
        <v/>
      </c>
    </row>
    <row r="9603" spans="1:8" x14ac:dyDescent="0.3">
      <c r="A9603" s="400"/>
      <c r="B9603" s="709">
        <v>107290</v>
      </c>
      <c r="C9603" s="710" t="s">
        <v>16392</v>
      </c>
      <c r="D9603" s="709" t="s">
        <v>136</v>
      </c>
      <c r="E9603" s="716">
        <v>0</v>
      </c>
      <c r="F9603" s="717"/>
      <c r="G9603" t="e">
        <f>VLOOKUP(B9603,'SINAPI-%MO'!B:E,4,0)</f>
        <v>#N/A</v>
      </c>
      <c r="H9603" s="225" t="str">
        <f t="shared" si="149"/>
        <v/>
      </c>
    </row>
    <row r="9604" spans="1:8" x14ac:dyDescent="0.3">
      <c r="A9604" s="400"/>
      <c r="B9604" s="709">
        <v>107292</v>
      </c>
      <c r="C9604" s="710" t="s">
        <v>16262</v>
      </c>
      <c r="D9604" s="709" t="s">
        <v>136</v>
      </c>
      <c r="E9604" s="716">
        <v>146.71</v>
      </c>
      <c r="F9604" s="717">
        <v>6.4299999999999996E-2</v>
      </c>
      <c r="G9604">
        <f>VLOOKUP(B9604,'SINAPI-%MO'!B:E,4,0)</f>
        <v>0.93569999999999998</v>
      </c>
      <c r="H9604" s="225">
        <f t="shared" si="149"/>
        <v>9.43</v>
      </c>
    </row>
    <row r="9605" spans="1:8" x14ac:dyDescent="0.3">
      <c r="A9605" s="400"/>
      <c r="B9605" s="709">
        <v>107291</v>
      </c>
      <c r="C9605" s="710" t="s">
        <v>16263</v>
      </c>
      <c r="D9605" s="709" t="s">
        <v>136</v>
      </c>
      <c r="E9605" s="716">
        <v>110.03</v>
      </c>
      <c r="F9605" s="717">
        <v>6.4299999999999996E-2</v>
      </c>
      <c r="G9605">
        <f>VLOOKUP(B9605,'SINAPI-%MO'!B:E,4,0)</f>
        <v>0.93569999999999998</v>
      </c>
      <c r="H9605" s="225">
        <f t="shared" si="149"/>
        <v>7.07</v>
      </c>
    </row>
    <row r="9606" spans="1:8" x14ac:dyDescent="0.3">
      <c r="A9606" s="400"/>
      <c r="B9606" s="709">
        <v>107309</v>
      </c>
      <c r="C9606" s="710" t="s">
        <v>16393</v>
      </c>
      <c r="D9606" s="709" t="s">
        <v>136</v>
      </c>
      <c r="E9606" s="716">
        <v>0</v>
      </c>
      <c r="F9606" s="717"/>
      <c r="G9606" t="e">
        <f>VLOOKUP(B9606,'SINAPI-%MO'!B:E,4,0)</f>
        <v>#N/A</v>
      </c>
      <c r="H9606" s="225" t="str">
        <f t="shared" si="149"/>
        <v/>
      </c>
    </row>
    <row r="9607" spans="1:8" x14ac:dyDescent="0.3">
      <c r="A9607" s="400"/>
      <c r="B9607" s="709">
        <v>107308</v>
      </c>
      <c r="C9607" s="710" t="s">
        <v>16394</v>
      </c>
      <c r="D9607" s="709" t="s">
        <v>136</v>
      </c>
      <c r="E9607" s="716">
        <v>0</v>
      </c>
      <c r="F9607" s="717"/>
      <c r="G9607" t="e">
        <f>VLOOKUP(B9607,'SINAPI-%MO'!B:E,4,0)</f>
        <v>#N/A</v>
      </c>
      <c r="H9607" s="225" t="str">
        <f t="shared" si="149"/>
        <v/>
      </c>
    </row>
    <row r="9608" spans="1:8" x14ac:dyDescent="0.3">
      <c r="A9608" s="400"/>
      <c r="B9608" s="709">
        <v>107284</v>
      </c>
      <c r="C9608" s="710" t="s">
        <v>16264</v>
      </c>
      <c r="D9608" s="709" t="s">
        <v>136</v>
      </c>
      <c r="E9608" s="716">
        <v>7790.73</v>
      </c>
      <c r="F9608" s="717">
        <v>0</v>
      </c>
      <c r="G9608">
        <f>VLOOKUP(B9608,'SINAPI-%MO'!B:E,4,0)</f>
        <v>0.46550000000000002</v>
      </c>
      <c r="H9608" s="225">
        <f t="shared" si="149"/>
        <v>4164.1400000000003</v>
      </c>
    </row>
    <row r="9609" spans="1:8" x14ac:dyDescent="0.3">
      <c r="A9609" s="400"/>
      <c r="B9609" s="709">
        <v>107285</v>
      </c>
      <c r="C9609" s="710" t="s">
        <v>16265</v>
      </c>
      <c r="D9609" s="709" t="s">
        <v>136</v>
      </c>
      <c r="E9609" s="716">
        <v>15608.67</v>
      </c>
      <c r="F9609" s="717">
        <v>0</v>
      </c>
      <c r="G9609">
        <f>VLOOKUP(B9609,'SINAPI-%MO'!B:E,4,0)</f>
        <v>0.50249999999999995</v>
      </c>
      <c r="H9609" s="225">
        <f t="shared" si="149"/>
        <v>7765.31</v>
      </c>
    </row>
    <row r="9610" spans="1:8" x14ac:dyDescent="0.3">
      <c r="A9610" s="400"/>
      <c r="B9610" s="709">
        <v>107296</v>
      </c>
      <c r="C9610" s="710" t="s">
        <v>16266</v>
      </c>
      <c r="D9610" s="709" t="s">
        <v>136</v>
      </c>
      <c r="E9610" s="716">
        <v>2497.38</v>
      </c>
      <c r="F9610" s="717">
        <v>0</v>
      </c>
      <c r="G9610">
        <f>VLOOKUP(B9610,'SINAPI-%MO'!B:E,4,0)</f>
        <v>0.32379999999999998</v>
      </c>
      <c r="H9610" s="225">
        <f t="shared" si="149"/>
        <v>1688.72</v>
      </c>
    </row>
    <row r="9611" spans="1:8" x14ac:dyDescent="0.3">
      <c r="A9611" s="400"/>
      <c r="B9611" s="709">
        <v>107297</v>
      </c>
      <c r="C9611" s="710" t="s">
        <v>16267</v>
      </c>
      <c r="D9611" s="709" t="s">
        <v>136</v>
      </c>
      <c r="E9611" s="716">
        <v>3421.14</v>
      </c>
      <c r="F9611" s="717">
        <v>0</v>
      </c>
      <c r="G9611">
        <f>VLOOKUP(B9611,'SINAPI-%MO'!B:E,4,0)</f>
        <v>0.40550000000000003</v>
      </c>
      <c r="H9611" s="225">
        <f t="shared" ref="H9611:H9674" si="150">IF(E9611&gt;0,TRUNC(E9611*(1-G9611),2),"")</f>
        <v>2033.86</v>
      </c>
    </row>
    <row r="9612" spans="1:8" x14ac:dyDescent="0.3">
      <c r="A9612" s="400"/>
      <c r="B9612" s="709">
        <v>107298</v>
      </c>
      <c r="C9612" s="710" t="s">
        <v>16268</v>
      </c>
      <c r="D9612" s="709" t="s">
        <v>136</v>
      </c>
      <c r="E9612" s="716">
        <v>5104.97</v>
      </c>
      <c r="F9612" s="717">
        <v>0</v>
      </c>
      <c r="G9612">
        <f>VLOOKUP(B9612,'SINAPI-%MO'!B:E,4,0)</f>
        <v>0.44209999999999999</v>
      </c>
      <c r="H9612" s="225">
        <f t="shared" si="150"/>
        <v>2848.06</v>
      </c>
    </row>
    <row r="9613" spans="1:8" x14ac:dyDescent="0.3">
      <c r="A9613" s="400"/>
      <c r="B9613" s="709">
        <v>107299</v>
      </c>
      <c r="C9613" s="710" t="s">
        <v>16395</v>
      </c>
      <c r="D9613" s="709" t="s">
        <v>136</v>
      </c>
      <c r="E9613" s="716">
        <v>0</v>
      </c>
      <c r="F9613" s="717"/>
      <c r="G9613" t="e">
        <f>VLOOKUP(B9613,'SINAPI-%MO'!B:E,4,0)</f>
        <v>#N/A</v>
      </c>
      <c r="H9613" s="225" t="str">
        <f t="shared" si="150"/>
        <v/>
      </c>
    </row>
    <row r="9614" spans="1:8" x14ac:dyDescent="0.3">
      <c r="A9614" s="400"/>
      <c r="B9614" s="709">
        <v>107303</v>
      </c>
      <c r="C9614" s="710" t="s">
        <v>16396</v>
      </c>
      <c r="D9614" s="709" t="s">
        <v>136</v>
      </c>
      <c r="E9614" s="716">
        <v>0</v>
      </c>
      <c r="F9614" s="717"/>
      <c r="G9614" t="e">
        <f>VLOOKUP(B9614,'SINAPI-%MO'!B:E,4,0)</f>
        <v>#N/A</v>
      </c>
      <c r="H9614" s="225" t="str">
        <f t="shared" si="150"/>
        <v/>
      </c>
    </row>
    <row r="9615" spans="1:8" x14ac:dyDescent="0.3">
      <c r="A9615" s="400"/>
      <c r="B9615" s="709">
        <v>107304</v>
      </c>
      <c r="C9615" s="710" t="s">
        <v>16397</v>
      </c>
      <c r="D9615" s="709" t="s">
        <v>136</v>
      </c>
      <c r="E9615" s="716">
        <v>0</v>
      </c>
      <c r="F9615" s="717"/>
      <c r="G9615" t="e">
        <f>VLOOKUP(B9615,'SINAPI-%MO'!B:E,4,0)</f>
        <v>#N/A</v>
      </c>
      <c r="H9615" s="225" t="str">
        <f t="shared" si="150"/>
        <v/>
      </c>
    </row>
    <row r="9616" spans="1:8" x14ac:dyDescent="0.3">
      <c r="A9616" s="400"/>
      <c r="B9616" s="709">
        <v>107305</v>
      </c>
      <c r="C9616" s="710" t="s">
        <v>16398</v>
      </c>
      <c r="D9616" s="709" t="s">
        <v>136</v>
      </c>
      <c r="E9616" s="716">
        <v>0</v>
      </c>
      <c r="F9616" s="717"/>
      <c r="G9616" t="e">
        <f>VLOOKUP(B9616,'SINAPI-%MO'!B:E,4,0)</f>
        <v>#N/A</v>
      </c>
      <c r="H9616" s="225" t="str">
        <f t="shared" si="150"/>
        <v/>
      </c>
    </row>
    <row r="9617" spans="1:8" x14ac:dyDescent="0.3">
      <c r="A9617" s="400"/>
      <c r="B9617" s="709">
        <v>107306</v>
      </c>
      <c r="C9617" s="710" t="s">
        <v>16399</v>
      </c>
      <c r="D9617" s="709" t="s">
        <v>136</v>
      </c>
      <c r="E9617" s="716">
        <v>0</v>
      </c>
      <c r="F9617" s="717"/>
      <c r="G9617" t="e">
        <f>VLOOKUP(B9617,'SINAPI-%MO'!B:E,4,0)</f>
        <v>#N/A</v>
      </c>
      <c r="H9617" s="225" t="str">
        <f t="shared" si="150"/>
        <v/>
      </c>
    </row>
    <row r="9618" spans="1:8" x14ac:dyDescent="0.3">
      <c r="A9618" s="400"/>
      <c r="B9618" s="709">
        <v>107307</v>
      </c>
      <c r="C9618" s="710" t="s">
        <v>16400</v>
      </c>
      <c r="D9618" s="709" t="s">
        <v>136</v>
      </c>
      <c r="E9618" s="716">
        <v>0</v>
      </c>
      <c r="F9618" s="717"/>
      <c r="G9618" t="e">
        <f>VLOOKUP(B9618,'SINAPI-%MO'!B:E,4,0)</f>
        <v>#N/A</v>
      </c>
      <c r="H9618" s="225" t="str">
        <f t="shared" si="150"/>
        <v/>
      </c>
    </row>
    <row r="9619" spans="1:8" x14ac:dyDescent="0.3">
      <c r="A9619" s="400"/>
      <c r="B9619" s="709">
        <v>100790</v>
      </c>
      <c r="C9619" s="710" t="s">
        <v>16401</v>
      </c>
      <c r="D9619" s="709" t="s">
        <v>136</v>
      </c>
      <c r="E9619" s="716">
        <v>0</v>
      </c>
      <c r="F9619" s="717"/>
      <c r="G9619" t="e">
        <f>VLOOKUP(B9619,'SINAPI-%MO'!B:E,4,0)</f>
        <v>#N/A</v>
      </c>
      <c r="H9619" s="225" t="str">
        <f t="shared" si="150"/>
        <v/>
      </c>
    </row>
    <row r="9620" spans="1:8" x14ac:dyDescent="0.3">
      <c r="A9620" s="400"/>
      <c r="B9620" s="709">
        <v>100789</v>
      </c>
      <c r="C9620" s="710" t="s">
        <v>16402</v>
      </c>
      <c r="D9620" s="709" t="s">
        <v>136</v>
      </c>
      <c r="E9620" s="716">
        <v>0</v>
      </c>
      <c r="F9620" s="717"/>
      <c r="G9620" t="e">
        <f>VLOOKUP(B9620,'SINAPI-%MO'!B:E,4,0)</f>
        <v>#N/A</v>
      </c>
      <c r="H9620" s="225" t="str">
        <f t="shared" si="150"/>
        <v/>
      </c>
    </row>
    <row r="9621" spans="1:8" x14ac:dyDescent="0.3">
      <c r="A9621" s="400"/>
      <c r="B9621" s="709">
        <v>100788</v>
      </c>
      <c r="C9621" s="710" t="s">
        <v>16269</v>
      </c>
      <c r="D9621" s="709" t="s">
        <v>136</v>
      </c>
      <c r="E9621" s="716">
        <v>1059.47</v>
      </c>
      <c r="F9621" s="717">
        <v>0</v>
      </c>
      <c r="G9621">
        <f>VLOOKUP(B9621,'SINAPI-%MO'!B:E,4,0)</f>
        <v>0.38600000000000001</v>
      </c>
      <c r="H9621" s="225">
        <f t="shared" si="150"/>
        <v>650.51</v>
      </c>
    </row>
    <row r="9622" spans="1:8" x14ac:dyDescent="0.3">
      <c r="A9622" s="400"/>
      <c r="B9622" s="709">
        <v>107302</v>
      </c>
      <c r="C9622" s="710" t="s">
        <v>16403</v>
      </c>
      <c r="D9622" s="709" t="s">
        <v>136</v>
      </c>
      <c r="E9622" s="716">
        <v>0</v>
      </c>
      <c r="F9622" s="717"/>
      <c r="G9622" t="e">
        <f>VLOOKUP(B9622,'SINAPI-%MO'!B:E,4,0)</f>
        <v>#N/A</v>
      </c>
      <c r="H9622" s="225" t="str">
        <f t="shared" si="150"/>
        <v/>
      </c>
    </row>
    <row r="9623" spans="1:8" x14ac:dyDescent="0.3">
      <c r="A9623" s="400"/>
      <c r="B9623" s="709">
        <v>107286</v>
      </c>
      <c r="C9623" s="710" t="s">
        <v>16404</v>
      </c>
      <c r="D9623" s="709" t="s">
        <v>136</v>
      </c>
      <c r="E9623" s="716">
        <v>0</v>
      </c>
      <c r="F9623" s="717"/>
      <c r="G9623" t="e">
        <f>VLOOKUP(B9623,'SINAPI-%MO'!B:E,4,0)</f>
        <v>#N/A</v>
      </c>
      <c r="H9623" s="225" t="str">
        <f t="shared" si="150"/>
        <v/>
      </c>
    </row>
    <row r="9624" spans="1:8" x14ac:dyDescent="0.3">
      <c r="A9624" s="400"/>
      <c r="B9624" s="709">
        <v>107300</v>
      </c>
      <c r="C9624" s="710" t="s">
        <v>16405</v>
      </c>
      <c r="D9624" s="709" t="s">
        <v>136</v>
      </c>
      <c r="E9624" s="716">
        <v>0</v>
      </c>
      <c r="F9624" s="717"/>
      <c r="G9624" t="e">
        <f>VLOOKUP(B9624,'SINAPI-%MO'!B:E,4,0)</f>
        <v>#N/A</v>
      </c>
      <c r="H9624" s="225" t="str">
        <f t="shared" si="150"/>
        <v/>
      </c>
    </row>
    <row r="9625" spans="1:8" x14ac:dyDescent="0.3">
      <c r="A9625" s="400"/>
      <c r="B9625" s="709">
        <v>107287</v>
      </c>
      <c r="C9625" s="710" t="s">
        <v>16406</v>
      </c>
      <c r="D9625" s="709" t="s">
        <v>136</v>
      </c>
      <c r="E9625" s="716">
        <v>0</v>
      </c>
      <c r="F9625" s="717"/>
      <c r="G9625" t="e">
        <f>VLOOKUP(B9625,'SINAPI-%MO'!B:E,4,0)</f>
        <v>#N/A</v>
      </c>
      <c r="H9625" s="225" t="str">
        <f t="shared" si="150"/>
        <v/>
      </c>
    </row>
    <row r="9626" spans="1:8" x14ac:dyDescent="0.3">
      <c r="A9626" s="400"/>
      <c r="B9626" s="709">
        <v>107301</v>
      </c>
      <c r="C9626" s="710" t="s">
        <v>16407</v>
      </c>
      <c r="D9626" s="709" t="s">
        <v>136</v>
      </c>
      <c r="E9626" s="716">
        <v>0</v>
      </c>
      <c r="F9626" s="717"/>
      <c r="G9626" t="e">
        <f>VLOOKUP(B9626,'SINAPI-%MO'!B:E,4,0)</f>
        <v>#N/A</v>
      </c>
      <c r="H9626" s="225" t="str">
        <f t="shared" si="150"/>
        <v/>
      </c>
    </row>
    <row r="9627" spans="1:8" x14ac:dyDescent="0.3">
      <c r="A9627" s="400"/>
      <c r="B9627" s="709">
        <v>107313</v>
      </c>
      <c r="C9627" s="710" t="s">
        <v>16408</v>
      </c>
      <c r="D9627" s="709" t="s">
        <v>136</v>
      </c>
      <c r="E9627" s="716">
        <v>0</v>
      </c>
      <c r="F9627" s="717"/>
      <c r="G9627" t="e">
        <f>VLOOKUP(B9627,'SINAPI-%MO'!B:E,4,0)</f>
        <v>#N/A</v>
      </c>
      <c r="H9627" s="225" t="str">
        <f t="shared" si="150"/>
        <v/>
      </c>
    </row>
    <row r="9628" spans="1:8" x14ac:dyDescent="0.3">
      <c r="A9628" s="400"/>
      <c r="B9628" s="709">
        <v>107311</v>
      </c>
      <c r="C9628" s="710" t="s">
        <v>16270</v>
      </c>
      <c r="D9628" s="709" t="s">
        <v>136</v>
      </c>
      <c r="E9628" s="716">
        <v>73.760000000000005</v>
      </c>
      <c r="F9628" s="717">
        <v>0</v>
      </c>
      <c r="G9628">
        <f>VLOOKUP(B9628,'SINAPI-%MO'!B:E,4,0)</f>
        <v>0.1895</v>
      </c>
      <c r="H9628" s="225">
        <f t="shared" si="150"/>
        <v>59.78</v>
      </c>
    </row>
    <row r="9629" spans="1:8" x14ac:dyDescent="0.3">
      <c r="A9629" s="400"/>
      <c r="B9629" s="709">
        <v>107310</v>
      </c>
      <c r="C9629" s="710" t="s">
        <v>16409</v>
      </c>
      <c r="D9629" s="709" t="s">
        <v>136</v>
      </c>
      <c r="E9629" s="716">
        <v>0</v>
      </c>
      <c r="F9629" s="717"/>
      <c r="G9629" t="e">
        <f>VLOOKUP(B9629,'SINAPI-%MO'!B:E,4,0)</f>
        <v>#N/A</v>
      </c>
      <c r="H9629" s="225" t="str">
        <f t="shared" si="150"/>
        <v/>
      </c>
    </row>
    <row r="9630" spans="1:8" x14ac:dyDescent="0.3">
      <c r="A9630" s="400"/>
      <c r="B9630" s="709">
        <v>107314</v>
      </c>
      <c r="C9630" s="710" t="s">
        <v>16410</v>
      </c>
      <c r="D9630" s="709" t="s">
        <v>136</v>
      </c>
      <c r="E9630" s="716">
        <v>0</v>
      </c>
      <c r="F9630" s="717"/>
      <c r="G9630" t="e">
        <f>VLOOKUP(B9630,'SINAPI-%MO'!B:E,4,0)</f>
        <v>#N/A</v>
      </c>
      <c r="H9630" s="225" t="str">
        <f t="shared" si="150"/>
        <v/>
      </c>
    </row>
    <row r="9631" spans="1:8" x14ac:dyDescent="0.3">
      <c r="A9631" s="400"/>
      <c r="B9631" s="709">
        <v>107315</v>
      </c>
      <c r="C9631" s="710" t="s">
        <v>16411</v>
      </c>
      <c r="D9631" s="709" t="s">
        <v>136</v>
      </c>
      <c r="E9631" s="716">
        <v>0</v>
      </c>
      <c r="F9631" s="717"/>
      <c r="G9631" t="e">
        <f>VLOOKUP(B9631,'SINAPI-%MO'!B:E,4,0)</f>
        <v>#N/A</v>
      </c>
      <c r="H9631" s="225" t="str">
        <f t="shared" si="150"/>
        <v/>
      </c>
    </row>
    <row r="9632" spans="1:8" x14ac:dyDescent="0.3">
      <c r="A9632" s="400"/>
      <c r="B9632" s="709">
        <v>107316</v>
      </c>
      <c r="C9632" s="710" t="s">
        <v>16412</v>
      </c>
      <c r="D9632" s="709" t="s">
        <v>136</v>
      </c>
      <c r="E9632" s="716">
        <v>0</v>
      </c>
      <c r="F9632" s="717"/>
      <c r="G9632" t="e">
        <f>VLOOKUP(B9632,'SINAPI-%MO'!B:E,4,0)</f>
        <v>#N/A</v>
      </c>
      <c r="H9632" s="225" t="str">
        <f t="shared" si="150"/>
        <v/>
      </c>
    </row>
    <row r="9633" spans="1:8" x14ac:dyDescent="0.3">
      <c r="A9633" s="400"/>
      <c r="B9633" s="709">
        <v>107312</v>
      </c>
      <c r="C9633" s="710" t="s">
        <v>16413</v>
      </c>
      <c r="D9633" s="709" t="s">
        <v>136</v>
      </c>
      <c r="E9633" s="716">
        <v>0</v>
      </c>
      <c r="F9633" s="717"/>
      <c r="G9633" t="e">
        <f>VLOOKUP(B9633,'SINAPI-%MO'!B:E,4,0)</f>
        <v>#N/A</v>
      </c>
      <c r="H9633" s="225" t="str">
        <f t="shared" si="150"/>
        <v/>
      </c>
    </row>
    <row r="9634" spans="1:8" x14ac:dyDescent="0.3">
      <c r="A9634" s="400"/>
      <c r="B9634" s="709">
        <v>107319</v>
      </c>
      <c r="C9634" s="710" t="s">
        <v>16271</v>
      </c>
      <c r="D9634" s="709" t="s">
        <v>136</v>
      </c>
      <c r="E9634" s="716">
        <v>319.13</v>
      </c>
      <c r="F9634" s="717">
        <v>0</v>
      </c>
      <c r="G9634">
        <f>VLOOKUP(B9634,'SINAPI-%MO'!B:E,4,0)</f>
        <v>1</v>
      </c>
      <c r="H9634" s="225">
        <f t="shared" si="150"/>
        <v>0</v>
      </c>
    </row>
    <row r="9635" spans="1:8" x14ac:dyDescent="0.3">
      <c r="A9635" s="400"/>
      <c r="B9635" s="709">
        <v>107317</v>
      </c>
      <c r="C9635" s="710" t="s">
        <v>16414</v>
      </c>
      <c r="D9635" s="709" t="s">
        <v>136</v>
      </c>
      <c r="E9635" s="716">
        <v>0</v>
      </c>
      <c r="F9635" s="717"/>
      <c r="G9635" t="e">
        <f>VLOOKUP(B9635,'SINAPI-%MO'!B:E,4,0)</f>
        <v>#N/A</v>
      </c>
      <c r="H9635" s="225" t="str">
        <f t="shared" si="150"/>
        <v/>
      </c>
    </row>
    <row r="9636" spans="1:8" x14ac:dyDescent="0.3">
      <c r="A9636" s="400"/>
      <c r="B9636" s="709">
        <v>107318</v>
      </c>
      <c r="C9636" s="710" t="s">
        <v>16415</v>
      </c>
      <c r="D9636" s="709" t="s">
        <v>136</v>
      </c>
      <c r="E9636" s="716">
        <v>0</v>
      </c>
      <c r="F9636" s="717"/>
      <c r="G9636" t="e">
        <f>VLOOKUP(B9636,'SINAPI-%MO'!B:E,4,0)</f>
        <v>#N/A</v>
      </c>
      <c r="H9636" s="225" t="str">
        <f t="shared" si="150"/>
        <v/>
      </c>
    </row>
    <row r="9637" spans="1:8" x14ac:dyDescent="0.3">
      <c r="A9637" s="400"/>
      <c r="B9637" s="709">
        <v>98751</v>
      </c>
      <c r="C9637" s="710" t="s">
        <v>7978</v>
      </c>
      <c r="D9637" s="709" t="s">
        <v>159</v>
      </c>
      <c r="E9637" s="716">
        <v>204.98</v>
      </c>
      <c r="F9637" s="717">
        <v>0</v>
      </c>
      <c r="G9637">
        <f>VLOOKUP(B9637,'SINAPI-%MO'!B:E,4,0)</f>
        <v>0.30399999999999999</v>
      </c>
      <c r="H9637" s="225">
        <f t="shared" si="150"/>
        <v>142.66</v>
      </c>
    </row>
    <row r="9638" spans="1:8" x14ac:dyDescent="0.3">
      <c r="A9638" s="400"/>
      <c r="B9638" s="709">
        <v>98746</v>
      </c>
      <c r="C9638" s="710" t="s">
        <v>7979</v>
      </c>
      <c r="D9638" s="709" t="s">
        <v>159</v>
      </c>
      <c r="E9638" s="716">
        <v>91.39</v>
      </c>
      <c r="F9638" s="717">
        <v>0</v>
      </c>
      <c r="G9638">
        <f>VLOOKUP(B9638,'SINAPI-%MO'!B:E,4,0)</f>
        <v>0.59430000000000005</v>
      </c>
      <c r="H9638" s="225">
        <f t="shared" si="150"/>
        <v>37.07</v>
      </c>
    </row>
    <row r="9639" spans="1:8" x14ac:dyDescent="0.3">
      <c r="A9639" s="400"/>
      <c r="B9639" s="709">
        <v>98753</v>
      </c>
      <c r="C9639" s="710" t="s">
        <v>7980</v>
      </c>
      <c r="D9639" s="709" t="s">
        <v>159</v>
      </c>
      <c r="E9639" s="716">
        <v>387.37</v>
      </c>
      <c r="F9639" s="717">
        <v>0</v>
      </c>
      <c r="G9639">
        <f>VLOOKUP(B9639,'SINAPI-%MO'!B:E,4,0)</f>
        <v>0.1807</v>
      </c>
      <c r="H9639" s="225">
        <f t="shared" si="150"/>
        <v>317.37</v>
      </c>
    </row>
    <row r="9640" spans="1:8" x14ac:dyDescent="0.3">
      <c r="A9640" s="400"/>
      <c r="B9640" s="709">
        <v>98750</v>
      </c>
      <c r="C9640" s="710" t="s">
        <v>7981</v>
      </c>
      <c r="D9640" s="709" t="s">
        <v>159</v>
      </c>
      <c r="E9640" s="716">
        <v>137.94999999999999</v>
      </c>
      <c r="F9640" s="717">
        <v>0</v>
      </c>
      <c r="G9640">
        <f>VLOOKUP(B9640,'SINAPI-%MO'!B:E,4,0)</f>
        <v>0.42149999999999999</v>
      </c>
      <c r="H9640" s="225">
        <f t="shared" si="150"/>
        <v>79.8</v>
      </c>
    </row>
    <row r="9641" spans="1:8" x14ac:dyDescent="0.3">
      <c r="A9641" s="400"/>
      <c r="B9641" s="709">
        <v>98749</v>
      </c>
      <c r="C9641" s="710" t="s">
        <v>7982</v>
      </c>
      <c r="D9641" s="709" t="s">
        <v>159</v>
      </c>
      <c r="E9641" s="716">
        <v>112.33</v>
      </c>
      <c r="F9641" s="717">
        <v>0</v>
      </c>
      <c r="G9641">
        <f>VLOOKUP(B9641,'SINAPI-%MO'!B:E,4,0)</f>
        <v>0.50209999999999999</v>
      </c>
      <c r="H9641" s="225">
        <f t="shared" si="150"/>
        <v>55.92</v>
      </c>
    </row>
    <row r="9642" spans="1:8" x14ac:dyDescent="0.3">
      <c r="A9642" s="400"/>
      <c r="B9642" s="709">
        <v>98752</v>
      </c>
      <c r="C9642" s="710" t="s">
        <v>7983</v>
      </c>
      <c r="D9642" s="709" t="s">
        <v>159</v>
      </c>
      <c r="E9642" s="716">
        <v>286.12</v>
      </c>
      <c r="F9642" s="717">
        <v>0</v>
      </c>
      <c r="G9642">
        <f>VLOOKUP(B9642,'SINAPI-%MO'!B:E,4,0)</f>
        <v>0.23119999999999999</v>
      </c>
      <c r="H9642" s="225">
        <f t="shared" si="150"/>
        <v>219.96</v>
      </c>
    </row>
    <row r="9643" spans="1:8" x14ac:dyDescent="0.3">
      <c r="A9643" s="400"/>
      <c r="B9643" s="709">
        <v>98529</v>
      </c>
      <c r="C9643" s="710" t="s">
        <v>293</v>
      </c>
      <c r="D9643" s="709" t="s">
        <v>136</v>
      </c>
      <c r="E9643" s="716">
        <v>87.02</v>
      </c>
      <c r="F9643" s="717">
        <v>0</v>
      </c>
      <c r="G9643">
        <f>VLOOKUP(B9643,'SINAPI-%MO'!B:E,4,0)</f>
        <v>1</v>
      </c>
      <c r="H9643" s="225">
        <f t="shared" si="150"/>
        <v>0</v>
      </c>
    </row>
    <row r="9644" spans="1:8" x14ac:dyDescent="0.3">
      <c r="A9644" s="400"/>
      <c r="B9644" s="709">
        <v>98530</v>
      </c>
      <c r="C9644" s="710" t="s">
        <v>7984</v>
      </c>
      <c r="D9644" s="709" t="s">
        <v>136</v>
      </c>
      <c r="E9644" s="716">
        <v>170.81</v>
      </c>
      <c r="F9644" s="717">
        <v>0</v>
      </c>
      <c r="G9644">
        <f>VLOOKUP(B9644,'SINAPI-%MO'!B:E,4,0)</f>
        <v>1</v>
      </c>
      <c r="H9644" s="225">
        <f t="shared" si="150"/>
        <v>0</v>
      </c>
    </row>
    <row r="9645" spans="1:8" x14ac:dyDescent="0.3">
      <c r="A9645" s="400"/>
      <c r="B9645" s="709">
        <v>98531</v>
      </c>
      <c r="C9645" s="710" t="s">
        <v>7985</v>
      </c>
      <c r="D9645" s="709" t="s">
        <v>136</v>
      </c>
      <c r="E9645" s="716">
        <v>440.08</v>
      </c>
      <c r="F9645" s="717">
        <v>0</v>
      </c>
      <c r="G9645">
        <f>VLOOKUP(B9645,'SINAPI-%MO'!B:E,4,0)</f>
        <v>0.70299999999999996</v>
      </c>
      <c r="H9645" s="225">
        <f t="shared" si="150"/>
        <v>130.69999999999999</v>
      </c>
    </row>
    <row r="9646" spans="1:8" x14ac:dyDescent="0.3">
      <c r="A9646" s="400"/>
      <c r="B9646" s="709">
        <v>98524</v>
      </c>
      <c r="C9646" s="710" t="s">
        <v>7986</v>
      </c>
      <c r="D9646" s="709" t="s">
        <v>168</v>
      </c>
      <c r="E9646" s="716">
        <v>5.5</v>
      </c>
      <c r="F9646" s="717">
        <v>0</v>
      </c>
      <c r="G9646">
        <f>VLOOKUP(B9646,'SINAPI-%MO'!B:E,4,0)</f>
        <v>1</v>
      </c>
      <c r="H9646" s="225">
        <f t="shared" si="150"/>
        <v>0</v>
      </c>
    </row>
    <row r="9647" spans="1:8" x14ac:dyDescent="0.3">
      <c r="A9647" s="400"/>
      <c r="B9647" s="709">
        <v>98525</v>
      </c>
      <c r="C9647" s="710" t="s">
        <v>279</v>
      </c>
      <c r="D9647" s="709" t="s">
        <v>168</v>
      </c>
      <c r="E9647" s="716">
        <v>0.7</v>
      </c>
      <c r="F9647" s="717">
        <v>0</v>
      </c>
      <c r="G9647">
        <f>VLOOKUP(B9647,'SINAPI-%MO'!B:E,4,0)</f>
        <v>0.4</v>
      </c>
      <c r="H9647" s="225">
        <f t="shared" si="150"/>
        <v>0.42</v>
      </c>
    </row>
    <row r="9648" spans="1:8" x14ac:dyDescent="0.3">
      <c r="A9648" s="400"/>
      <c r="B9648" s="709">
        <v>98533</v>
      </c>
      <c r="C9648" s="710" t="s">
        <v>7987</v>
      </c>
      <c r="D9648" s="709" t="s">
        <v>136</v>
      </c>
      <c r="E9648" s="716">
        <v>131.21</v>
      </c>
      <c r="F9648" s="717">
        <v>0</v>
      </c>
      <c r="G9648">
        <f>VLOOKUP(B9648,'SINAPI-%MO'!B:E,4,0)</f>
        <v>0.60119999999999996</v>
      </c>
      <c r="H9648" s="225">
        <f t="shared" si="150"/>
        <v>52.32</v>
      </c>
    </row>
    <row r="9649" spans="1:8" x14ac:dyDescent="0.3">
      <c r="A9649" s="400"/>
      <c r="B9649" s="709">
        <v>98534</v>
      </c>
      <c r="C9649" s="710" t="s">
        <v>7988</v>
      </c>
      <c r="D9649" s="709" t="s">
        <v>136</v>
      </c>
      <c r="E9649" s="716">
        <v>362.65</v>
      </c>
      <c r="F9649" s="717">
        <v>0</v>
      </c>
      <c r="G9649">
        <f>VLOOKUP(B9649,'SINAPI-%MO'!B:E,4,0)</f>
        <v>0.59179999999999999</v>
      </c>
      <c r="H9649" s="225">
        <f t="shared" si="150"/>
        <v>148.03</v>
      </c>
    </row>
    <row r="9650" spans="1:8" x14ac:dyDescent="0.3">
      <c r="A9650" s="400"/>
      <c r="B9650" s="709">
        <v>98535</v>
      </c>
      <c r="C9650" s="710" t="s">
        <v>7989</v>
      </c>
      <c r="D9650" s="709" t="s">
        <v>136</v>
      </c>
      <c r="E9650" s="716">
        <v>762.71</v>
      </c>
      <c r="F9650" s="717">
        <v>0</v>
      </c>
      <c r="G9650">
        <f>VLOOKUP(B9650,'SINAPI-%MO'!B:E,4,0)</f>
        <v>0.63590000000000002</v>
      </c>
      <c r="H9650" s="225">
        <f t="shared" si="150"/>
        <v>277.7</v>
      </c>
    </row>
    <row r="9651" spans="1:8" x14ac:dyDescent="0.3">
      <c r="A9651" s="400"/>
      <c r="B9651" s="709">
        <v>98532</v>
      </c>
      <c r="C9651" s="710" t="s">
        <v>7990</v>
      </c>
      <c r="D9651" s="709" t="s">
        <v>136</v>
      </c>
      <c r="E9651" s="716">
        <v>34.479999999999997</v>
      </c>
      <c r="F9651" s="717">
        <v>0</v>
      </c>
      <c r="G9651">
        <f>VLOOKUP(B9651,'SINAPI-%MO'!B:E,4,0)</f>
        <v>0.50090000000000001</v>
      </c>
      <c r="H9651" s="225">
        <f t="shared" si="150"/>
        <v>17.2</v>
      </c>
    </row>
    <row r="9652" spans="1:8" x14ac:dyDescent="0.3">
      <c r="A9652" s="400"/>
      <c r="B9652" s="709">
        <v>98526</v>
      </c>
      <c r="C9652" s="710" t="s">
        <v>291</v>
      </c>
      <c r="D9652" s="709" t="s">
        <v>136</v>
      </c>
      <c r="E9652" s="716">
        <v>140.52000000000001</v>
      </c>
      <c r="F9652" s="717">
        <v>0</v>
      </c>
      <c r="G9652">
        <f>VLOOKUP(B9652,'SINAPI-%MO'!B:E,4,0)</f>
        <v>0.65249999999999997</v>
      </c>
      <c r="H9652" s="225">
        <f t="shared" si="150"/>
        <v>48.83</v>
      </c>
    </row>
    <row r="9653" spans="1:8" x14ac:dyDescent="0.3">
      <c r="A9653" s="400"/>
      <c r="B9653" s="709">
        <v>98527</v>
      </c>
      <c r="C9653" s="710" t="s">
        <v>7991</v>
      </c>
      <c r="D9653" s="709" t="s">
        <v>136</v>
      </c>
      <c r="E9653" s="716">
        <v>233.21</v>
      </c>
      <c r="F9653" s="717">
        <v>0</v>
      </c>
      <c r="G9653">
        <f>VLOOKUP(B9653,'SINAPI-%MO'!B:E,4,0)</f>
        <v>0.65249999999999997</v>
      </c>
      <c r="H9653" s="225">
        <f t="shared" si="150"/>
        <v>81.040000000000006</v>
      </c>
    </row>
    <row r="9654" spans="1:8" x14ac:dyDescent="0.3">
      <c r="A9654" s="400"/>
      <c r="B9654" s="709">
        <v>98528</v>
      </c>
      <c r="C9654" s="710" t="s">
        <v>7992</v>
      </c>
      <c r="D9654" s="709" t="s">
        <v>136</v>
      </c>
      <c r="E9654" s="716">
        <v>307.38</v>
      </c>
      <c r="F9654" s="717">
        <v>0</v>
      </c>
      <c r="G9654">
        <f>VLOOKUP(B9654,'SINAPI-%MO'!B:E,4,0)</f>
        <v>0.65249999999999997</v>
      </c>
      <c r="H9654" s="225">
        <f t="shared" si="150"/>
        <v>106.81</v>
      </c>
    </row>
    <row r="9655" spans="1:8" x14ac:dyDescent="0.3">
      <c r="A9655" s="400"/>
      <c r="B9655" s="709">
        <v>107146</v>
      </c>
      <c r="C9655" s="710" t="s">
        <v>15998</v>
      </c>
      <c r="D9655" s="709" t="s">
        <v>159</v>
      </c>
      <c r="E9655" s="716">
        <v>0</v>
      </c>
      <c r="F9655" s="717"/>
      <c r="G9655" t="e">
        <f>VLOOKUP(B9655,'SINAPI-%MO'!B:E,4,0)</f>
        <v>#N/A</v>
      </c>
      <c r="H9655" s="225" t="str">
        <f t="shared" si="150"/>
        <v/>
      </c>
    </row>
    <row r="9656" spans="1:8" x14ac:dyDescent="0.3">
      <c r="A9656" s="400"/>
      <c r="B9656" s="709">
        <v>94232</v>
      </c>
      <c r="C9656" s="710" t="s">
        <v>15935</v>
      </c>
      <c r="D9656" s="709" t="s">
        <v>136</v>
      </c>
      <c r="E9656" s="716">
        <v>3.06</v>
      </c>
      <c r="F9656" s="717">
        <v>0</v>
      </c>
      <c r="G9656">
        <f>VLOOKUP(B9656,'SINAPI-%MO'!B:E,4,0)</f>
        <v>0.96730000000000005</v>
      </c>
      <c r="H9656" s="225">
        <f t="shared" si="150"/>
        <v>0.1</v>
      </c>
    </row>
    <row r="9657" spans="1:8" x14ac:dyDescent="0.3">
      <c r="A9657" s="400"/>
      <c r="B9657" s="709">
        <v>100434</v>
      </c>
      <c r="C9657" s="710" t="s">
        <v>15936</v>
      </c>
      <c r="D9657" s="709" t="s">
        <v>159</v>
      </c>
      <c r="E9657" s="716">
        <v>212.42</v>
      </c>
      <c r="F9657" s="717">
        <v>0</v>
      </c>
      <c r="G9657">
        <f>VLOOKUP(B9657,'SINAPI-%MO'!B:E,4,0)</f>
        <v>7.6300000000000007E-2</v>
      </c>
      <c r="H9657" s="225">
        <f t="shared" si="150"/>
        <v>196.21</v>
      </c>
    </row>
    <row r="9658" spans="1:8" x14ac:dyDescent="0.3">
      <c r="A9658" s="400"/>
      <c r="B9658" s="709">
        <v>94229</v>
      </c>
      <c r="C9658" s="710" t="s">
        <v>15937</v>
      </c>
      <c r="D9658" s="709" t="s">
        <v>159</v>
      </c>
      <c r="E9658" s="716">
        <v>183.89</v>
      </c>
      <c r="F9658" s="717">
        <v>0</v>
      </c>
      <c r="G9658">
        <f>VLOOKUP(B9658,'SINAPI-%MO'!B:E,4,0)</f>
        <v>0.16520000000000001</v>
      </c>
      <c r="H9658" s="225">
        <f t="shared" si="150"/>
        <v>153.51</v>
      </c>
    </row>
    <row r="9659" spans="1:8" x14ac:dyDescent="0.3">
      <c r="A9659" s="400"/>
      <c r="B9659" s="709">
        <v>94227</v>
      </c>
      <c r="C9659" s="710" t="s">
        <v>15938</v>
      </c>
      <c r="D9659" s="709" t="s">
        <v>159</v>
      </c>
      <c r="E9659" s="716">
        <v>75.13</v>
      </c>
      <c r="F9659" s="717">
        <v>0</v>
      </c>
      <c r="G9659">
        <f>VLOOKUP(B9659,'SINAPI-%MO'!B:E,4,0)</f>
        <v>0.24729999999999999</v>
      </c>
      <c r="H9659" s="225">
        <f t="shared" si="150"/>
        <v>56.55</v>
      </c>
    </row>
    <row r="9660" spans="1:8" x14ac:dyDescent="0.3">
      <c r="A9660" s="400"/>
      <c r="B9660" s="709">
        <v>94228</v>
      </c>
      <c r="C9660" s="710" t="s">
        <v>15939</v>
      </c>
      <c r="D9660" s="709" t="s">
        <v>159</v>
      </c>
      <c r="E9660" s="716">
        <v>99.39</v>
      </c>
      <c r="F9660" s="717">
        <v>0</v>
      </c>
      <c r="G9660">
        <f>VLOOKUP(B9660,'SINAPI-%MO'!B:E,4,0)</f>
        <v>0.217</v>
      </c>
      <c r="H9660" s="225">
        <f t="shared" si="150"/>
        <v>77.819999999999993</v>
      </c>
    </row>
    <row r="9661" spans="1:8" x14ac:dyDescent="0.3">
      <c r="A9661" s="400"/>
      <c r="B9661" s="709">
        <v>94219</v>
      </c>
      <c r="C9661" s="710" t="s">
        <v>15940</v>
      </c>
      <c r="D9661" s="709" t="s">
        <v>159</v>
      </c>
      <c r="E9661" s="716">
        <v>49.68</v>
      </c>
      <c r="F9661" s="717">
        <v>0</v>
      </c>
      <c r="G9661">
        <f>VLOOKUP(B9661,'SINAPI-%MO'!B:E,4,0)</f>
        <v>0.39960000000000001</v>
      </c>
      <c r="H9661" s="225">
        <f t="shared" si="150"/>
        <v>29.82</v>
      </c>
    </row>
    <row r="9662" spans="1:8" x14ac:dyDescent="0.3">
      <c r="A9662" s="400"/>
      <c r="B9662" s="709">
        <v>94220</v>
      </c>
      <c r="C9662" s="710" t="s">
        <v>15941</v>
      </c>
      <c r="D9662" s="709" t="s">
        <v>159</v>
      </c>
      <c r="E9662" s="716">
        <v>69.75</v>
      </c>
      <c r="F9662" s="717">
        <v>0</v>
      </c>
      <c r="G9662">
        <f>VLOOKUP(B9662,'SINAPI-%MO'!B:E,4,0)</f>
        <v>0.28460000000000002</v>
      </c>
      <c r="H9662" s="225">
        <f t="shared" si="150"/>
        <v>49.89</v>
      </c>
    </row>
    <row r="9663" spans="1:8" x14ac:dyDescent="0.3">
      <c r="A9663" s="400"/>
      <c r="B9663" s="709">
        <v>100326</v>
      </c>
      <c r="C9663" s="710" t="s">
        <v>15999</v>
      </c>
      <c r="D9663" s="709" t="s">
        <v>159</v>
      </c>
      <c r="E9663" s="716">
        <v>0</v>
      </c>
      <c r="F9663" s="717"/>
      <c r="G9663" t="e">
        <f>VLOOKUP(B9663,'SINAPI-%MO'!B:E,4,0)</f>
        <v>#N/A</v>
      </c>
      <c r="H9663" s="225" t="str">
        <f t="shared" si="150"/>
        <v/>
      </c>
    </row>
    <row r="9664" spans="1:8" x14ac:dyDescent="0.3">
      <c r="A9664" s="400"/>
      <c r="B9664">
        <v>94221</v>
      </c>
      <c r="C9664" t="s">
        <v>15942</v>
      </c>
      <c r="D9664" t="s">
        <v>159</v>
      </c>
      <c r="E9664" s="716">
        <v>43.17</v>
      </c>
      <c r="F9664" s="717">
        <v>0</v>
      </c>
      <c r="G9664">
        <f>VLOOKUP(B9664,'SINAPI-%MO'!B:E,4,0)</f>
        <v>0.309</v>
      </c>
      <c r="H9664" s="225">
        <f t="shared" si="150"/>
        <v>29.83</v>
      </c>
    </row>
    <row r="9665" spans="1:8" x14ac:dyDescent="0.3">
      <c r="A9665" s="400"/>
      <c r="B9665">
        <v>94222</v>
      </c>
      <c r="C9665" t="s">
        <v>15943</v>
      </c>
      <c r="D9665" t="s">
        <v>159</v>
      </c>
      <c r="E9665" s="716">
        <v>63.24</v>
      </c>
      <c r="F9665" s="717">
        <v>0</v>
      </c>
      <c r="G9665">
        <f>VLOOKUP(B9665,'SINAPI-%MO'!B:E,4,0)</f>
        <v>0.2109</v>
      </c>
      <c r="H9665" s="225">
        <f t="shared" si="150"/>
        <v>49.9</v>
      </c>
    </row>
    <row r="9666" spans="1:8" x14ac:dyDescent="0.3">
      <c r="A9666" s="400"/>
      <c r="B9666">
        <v>94451</v>
      </c>
      <c r="C9666" t="s">
        <v>15944</v>
      </c>
      <c r="D9666" t="s">
        <v>159</v>
      </c>
      <c r="E9666" s="716">
        <v>97.18</v>
      </c>
      <c r="F9666" s="717">
        <v>0</v>
      </c>
      <c r="G9666">
        <f>VLOOKUP(B9666,'SINAPI-%MO'!B:E,4,0)</f>
        <v>5.6399999999999999E-2</v>
      </c>
      <c r="H9666" s="225">
        <f t="shared" si="150"/>
        <v>91.69</v>
      </c>
    </row>
    <row r="9667" spans="1:8" x14ac:dyDescent="0.3">
      <c r="A9667" s="400"/>
      <c r="B9667">
        <v>94223</v>
      </c>
      <c r="C9667" t="s">
        <v>15945</v>
      </c>
      <c r="D9667" t="s">
        <v>159</v>
      </c>
      <c r="E9667" s="716">
        <v>89.72</v>
      </c>
      <c r="F9667" s="717">
        <v>0</v>
      </c>
      <c r="G9667">
        <f>VLOOKUP(B9667,'SINAPI-%MO'!B:E,4,0)</f>
        <v>9.3600000000000003E-2</v>
      </c>
      <c r="H9667" s="225">
        <f t="shared" si="150"/>
        <v>81.319999999999993</v>
      </c>
    </row>
    <row r="9668" spans="1:8" x14ac:dyDescent="0.3">
      <c r="A9668" s="400"/>
      <c r="B9668">
        <v>100325</v>
      </c>
      <c r="C9668" t="s">
        <v>15946</v>
      </c>
      <c r="D9668" t="s">
        <v>159</v>
      </c>
      <c r="E9668" s="716">
        <v>96.14</v>
      </c>
      <c r="F9668" s="717">
        <v>0</v>
      </c>
      <c r="G9668">
        <f>VLOOKUP(B9668,'SINAPI-%MO'!B:E,4,0)</f>
        <v>6.5100000000000005E-2</v>
      </c>
      <c r="H9668" s="225">
        <f t="shared" si="150"/>
        <v>89.88</v>
      </c>
    </row>
    <row r="9669" spans="1:8" x14ac:dyDescent="0.3">
      <c r="A9669" s="400"/>
      <c r="B9669">
        <v>94224</v>
      </c>
      <c r="C9669" t="s">
        <v>15947</v>
      </c>
      <c r="D9669" t="s">
        <v>159</v>
      </c>
      <c r="E9669" s="716">
        <v>28.24</v>
      </c>
      <c r="F9669" s="717">
        <v>0</v>
      </c>
      <c r="G9669">
        <f>VLOOKUP(B9669,'SINAPI-%MO'!B:E,4,0)</f>
        <v>0.84670000000000001</v>
      </c>
      <c r="H9669" s="225">
        <f t="shared" si="150"/>
        <v>4.32</v>
      </c>
    </row>
    <row r="9670" spans="1:8" x14ac:dyDescent="0.3">
      <c r="A9670" s="400"/>
      <c r="B9670">
        <v>102653</v>
      </c>
      <c r="C9670" t="s">
        <v>16000</v>
      </c>
      <c r="D9670" t="s">
        <v>168</v>
      </c>
      <c r="E9670" s="716">
        <v>0</v>
      </c>
      <c r="F9670" s="717"/>
      <c r="G9670" t="e">
        <f>VLOOKUP(B9670,'SINAPI-%MO'!B:E,4,0)</f>
        <v>#N/A</v>
      </c>
      <c r="H9670" s="225" t="str">
        <f t="shared" si="150"/>
        <v/>
      </c>
    </row>
    <row r="9671" spans="1:8" x14ac:dyDescent="0.3">
      <c r="A9671" s="400"/>
      <c r="B9671">
        <v>107144</v>
      </c>
      <c r="C9671" t="s">
        <v>16001</v>
      </c>
      <c r="D9671" t="s">
        <v>159</v>
      </c>
      <c r="E9671" s="716">
        <v>0</v>
      </c>
      <c r="F9671" s="717"/>
      <c r="G9671" t="e">
        <f>VLOOKUP(B9671,'SINAPI-%MO'!B:E,4,0)</f>
        <v>#N/A</v>
      </c>
      <c r="H9671" s="225" t="str">
        <f t="shared" si="150"/>
        <v/>
      </c>
    </row>
    <row r="9672" spans="1:8" x14ac:dyDescent="0.3">
      <c r="A9672" s="400"/>
      <c r="B9672">
        <v>107145</v>
      </c>
      <c r="C9672" t="s">
        <v>16002</v>
      </c>
      <c r="D9672" t="s">
        <v>159</v>
      </c>
      <c r="E9672" s="716">
        <v>0</v>
      </c>
      <c r="F9672" s="717"/>
      <c r="G9672" t="e">
        <f>VLOOKUP(B9672,'SINAPI-%MO'!B:E,4,0)</f>
        <v>#N/A</v>
      </c>
      <c r="H9672" s="225" t="str">
        <f t="shared" si="150"/>
        <v/>
      </c>
    </row>
    <row r="9673" spans="1:8" x14ac:dyDescent="0.3">
      <c r="A9673" s="400"/>
      <c r="B9673">
        <v>100330</v>
      </c>
      <c r="C9673" t="s">
        <v>15948</v>
      </c>
      <c r="D9673" t="s">
        <v>168</v>
      </c>
      <c r="E9673" s="716">
        <v>36.299999999999997</v>
      </c>
      <c r="F9673" s="717">
        <v>0</v>
      </c>
      <c r="G9673">
        <f>VLOOKUP(B9673,'SINAPI-%MO'!B:E,4,0)</f>
        <v>0.52149999999999996</v>
      </c>
      <c r="H9673" s="225">
        <f t="shared" si="150"/>
        <v>17.36</v>
      </c>
    </row>
    <row r="9674" spans="1:8" x14ac:dyDescent="0.3">
      <c r="A9674" s="400"/>
      <c r="B9674">
        <v>100331</v>
      </c>
      <c r="C9674" t="s">
        <v>15949</v>
      </c>
      <c r="D9674" t="s">
        <v>168</v>
      </c>
      <c r="E9674" s="716">
        <v>51.7</v>
      </c>
      <c r="F9674" s="717">
        <v>0</v>
      </c>
      <c r="G9674">
        <f>VLOOKUP(B9674,'SINAPI-%MO'!B:E,4,0)</f>
        <v>0.66400000000000003</v>
      </c>
      <c r="H9674" s="225">
        <f t="shared" si="150"/>
        <v>17.37</v>
      </c>
    </row>
    <row r="9675" spans="1:8" x14ac:dyDescent="0.3">
      <c r="A9675" s="400"/>
      <c r="B9675">
        <v>100328</v>
      </c>
      <c r="C9675" t="s">
        <v>15950</v>
      </c>
      <c r="D9675" t="s">
        <v>168</v>
      </c>
      <c r="E9675" s="716">
        <v>27.96</v>
      </c>
      <c r="F9675" s="717">
        <v>0</v>
      </c>
      <c r="G9675">
        <f>VLOOKUP(B9675,'SINAPI-%MO'!B:E,4,0)</f>
        <v>0.54790000000000005</v>
      </c>
      <c r="H9675" s="225">
        <f t="shared" ref="H9675:H9712" si="151">IF(E9675&gt;0,TRUNC(E9675*(1-G9675),2),"")</f>
        <v>12.64</v>
      </c>
    </row>
    <row r="9676" spans="1:8" x14ac:dyDescent="0.3">
      <c r="A9676" s="400"/>
      <c r="B9676">
        <v>100329</v>
      </c>
      <c r="C9676" t="s">
        <v>15951</v>
      </c>
      <c r="D9676" t="s">
        <v>168</v>
      </c>
      <c r="E9676" s="716">
        <v>35.71</v>
      </c>
      <c r="F9676" s="717">
        <v>0</v>
      </c>
      <c r="G9676">
        <f>VLOOKUP(B9676,'SINAPI-%MO'!B:E,4,0)</f>
        <v>0.64600000000000002</v>
      </c>
      <c r="H9676" s="225">
        <f t="shared" si="151"/>
        <v>12.64</v>
      </c>
    </row>
    <row r="9677" spans="1:8" x14ac:dyDescent="0.3">
      <c r="A9677" s="400"/>
      <c r="B9677">
        <v>94231</v>
      </c>
      <c r="C9677" t="s">
        <v>15952</v>
      </c>
      <c r="D9677" t="s">
        <v>159</v>
      </c>
      <c r="E9677" s="716">
        <v>55.86</v>
      </c>
      <c r="F9677" s="717">
        <v>0</v>
      </c>
      <c r="G9677">
        <f>VLOOKUP(B9677,'SINAPI-%MO'!B:E,4,0)</f>
        <v>0.25580000000000003</v>
      </c>
      <c r="H9677" s="225">
        <f t="shared" si="151"/>
        <v>41.57</v>
      </c>
    </row>
    <row r="9678" spans="1:8" x14ac:dyDescent="0.3">
      <c r="A9678" s="400"/>
      <c r="B9678">
        <v>100435</v>
      </c>
      <c r="C9678" t="s">
        <v>15953</v>
      </c>
      <c r="D9678" t="s">
        <v>159</v>
      </c>
      <c r="E9678" s="716">
        <v>76.37</v>
      </c>
      <c r="F9678" s="717">
        <v>0</v>
      </c>
      <c r="G9678">
        <f>VLOOKUP(B9678,'SINAPI-%MO'!B:E,4,0)</f>
        <v>0.15390000000000001</v>
      </c>
      <c r="H9678" s="225">
        <f t="shared" si="151"/>
        <v>64.61</v>
      </c>
    </row>
    <row r="9679" spans="1:8" x14ac:dyDescent="0.3">
      <c r="B9679">
        <v>100327</v>
      </c>
      <c r="C9679" t="s">
        <v>15954</v>
      </c>
      <c r="D9679" t="s">
        <v>159</v>
      </c>
      <c r="E9679" s="716">
        <v>63.61</v>
      </c>
      <c r="F9679" s="717">
        <v>0</v>
      </c>
      <c r="G9679">
        <f>VLOOKUP(B9679,'SINAPI-%MO'!B:E,4,0)</f>
        <v>0.24160000000000001</v>
      </c>
      <c r="H9679" s="225">
        <f t="shared" si="151"/>
        <v>48.24</v>
      </c>
    </row>
    <row r="9680" spans="1:8" x14ac:dyDescent="0.3">
      <c r="B9680">
        <v>94226</v>
      </c>
      <c r="C9680" t="s">
        <v>15955</v>
      </c>
      <c r="D9680" t="s">
        <v>168</v>
      </c>
      <c r="E9680" s="716">
        <v>17.690000000000001</v>
      </c>
      <c r="F9680" s="717">
        <v>0</v>
      </c>
      <c r="G9680">
        <f>VLOOKUP(B9680,'SINAPI-%MO'!B:E,4,0)</f>
        <v>0.53820000000000001</v>
      </c>
      <c r="H9680" s="225">
        <f t="shared" si="151"/>
        <v>8.16</v>
      </c>
    </row>
    <row r="9681" spans="2:8" x14ac:dyDescent="0.3">
      <c r="B9681">
        <v>94201</v>
      </c>
      <c r="C9681" t="s">
        <v>15956</v>
      </c>
      <c r="D9681" t="s">
        <v>168</v>
      </c>
      <c r="E9681" s="716">
        <v>105.46</v>
      </c>
      <c r="F9681" s="717">
        <v>0</v>
      </c>
      <c r="G9681">
        <f>VLOOKUP(B9681,'SINAPI-%MO'!B:E,4,0)</f>
        <v>0.17760000000000001</v>
      </c>
      <c r="H9681" s="225">
        <f t="shared" si="151"/>
        <v>86.73</v>
      </c>
    </row>
    <row r="9682" spans="2:8" x14ac:dyDescent="0.3">
      <c r="B9682">
        <v>94204</v>
      </c>
      <c r="C9682" t="s">
        <v>15957</v>
      </c>
      <c r="D9682" t="s">
        <v>168</v>
      </c>
      <c r="E9682" s="716">
        <v>120.85</v>
      </c>
      <c r="F9682" s="717">
        <v>0</v>
      </c>
      <c r="G9682">
        <f>VLOOKUP(B9682,'SINAPI-%MO'!B:E,4,0)</f>
        <v>0.2823</v>
      </c>
      <c r="H9682" s="225">
        <f t="shared" si="151"/>
        <v>86.73</v>
      </c>
    </row>
    <row r="9683" spans="2:8" x14ac:dyDescent="0.3">
      <c r="B9683">
        <v>94447</v>
      </c>
      <c r="C9683" t="s">
        <v>15958</v>
      </c>
      <c r="D9683" t="s">
        <v>168</v>
      </c>
      <c r="E9683" s="716">
        <v>105.46</v>
      </c>
      <c r="F9683" s="717">
        <v>0</v>
      </c>
      <c r="G9683">
        <f>VLOOKUP(B9683,'SINAPI-%MO'!B:E,4,0)</f>
        <v>0.17760000000000001</v>
      </c>
      <c r="H9683" s="225">
        <f t="shared" si="151"/>
        <v>86.73</v>
      </c>
    </row>
    <row r="9684" spans="2:8" x14ac:dyDescent="0.3">
      <c r="B9684">
        <v>94448</v>
      </c>
      <c r="C9684" t="s">
        <v>15959</v>
      </c>
      <c r="D9684" t="s">
        <v>168</v>
      </c>
      <c r="E9684" s="716">
        <v>120.85</v>
      </c>
      <c r="F9684" s="717">
        <v>0</v>
      </c>
      <c r="G9684">
        <f>VLOOKUP(B9684,'SINAPI-%MO'!B:E,4,0)</f>
        <v>0.2823</v>
      </c>
      <c r="H9684" s="225">
        <f t="shared" si="151"/>
        <v>86.73</v>
      </c>
    </row>
    <row r="9685" spans="2:8" x14ac:dyDescent="0.3">
      <c r="B9685">
        <v>94445</v>
      </c>
      <c r="C9685" t="s">
        <v>15960</v>
      </c>
      <c r="D9685" t="s">
        <v>168</v>
      </c>
      <c r="E9685" s="716">
        <v>105.46</v>
      </c>
      <c r="F9685" s="717">
        <v>0</v>
      </c>
      <c r="G9685">
        <f>VLOOKUP(B9685,'SINAPI-%MO'!B:E,4,0)</f>
        <v>0.17760000000000001</v>
      </c>
      <c r="H9685" s="225">
        <f t="shared" si="151"/>
        <v>86.73</v>
      </c>
    </row>
    <row r="9686" spans="2:8" x14ac:dyDescent="0.3">
      <c r="B9686">
        <v>94446</v>
      </c>
      <c r="C9686" t="s">
        <v>15961</v>
      </c>
      <c r="D9686" t="s">
        <v>168</v>
      </c>
      <c r="E9686" s="716">
        <v>120.85</v>
      </c>
      <c r="F9686" s="717">
        <v>0</v>
      </c>
      <c r="G9686">
        <f>VLOOKUP(B9686,'SINAPI-%MO'!B:E,4,0)</f>
        <v>0.2823</v>
      </c>
      <c r="H9686" s="225">
        <f t="shared" si="151"/>
        <v>86.73</v>
      </c>
    </row>
    <row r="9687" spans="2:8" x14ac:dyDescent="0.3">
      <c r="B9687">
        <v>94440</v>
      </c>
      <c r="C9687" t="s">
        <v>15962</v>
      </c>
      <c r="D9687" t="s">
        <v>168</v>
      </c>
      <c r="E9687" s="716">
        <v>79.209999999999994</v>
      </c>
      <c r="F9687" s="717">
        <v>0</v>
      </c>
      <c r="G9687">
        <f>VLOOKUP(B9687,'SINAPI-%MO'!B:E,4,0)</f>
        <v>0.2019</v>
      </c>
      <c r="H9687" s="225">
        <f t="shared" si="151"/>
        <v>63.21</v>
      </c>
    </row>
    <row r="9688" spans="2:8" x14ac:dyDescent="0.3">
      <c r="B9688">
        <v>94441</v>
      </c>
      <c r="C9688" t="s">
        <v>15963</v>
      </c>
      <c r="D9688" t="s">
        <v>168</v>
      </c>
      <c r="E9688" s="716">
        <v>86.97</v>
      </c>
      <c r="F9688" s="717">
        <v>0</v>
      </c>
      <c r="G9688">
        <f>VLOOKUP(B9688,'SINAPI-%MO'!B:E,4,0)</f>
        <v>0.27310000000000001</v>
      </c>
      <c r="H9688" s="225">
        <f t="shared" si="151"/>
        <v>63.21</v>
      </c>
    </row>
    <row r="9689" spans="2:8" x14ac:dyDescent="0.3">
      <c r="B9689">
        <v>94195</v>
      </c>
      <c r="C9689" t="s">
        <v>15964</v>
      </c>
      <c r="D9689" t="s">
        <v>168</v>
      </c>
      <c r="E9689" s="716">
        <v>79.209999999999994</v>
      </c>
      <c r="F9689" s="717">
        <v>0</v>
      </c>
      <c r="G9689">
        <f>VLOOKUP(B9689,'SINAPI-%MO'!B:E,4,0)</f>
        <v>0.2019</v>
      </c>
      <c r="H9689" s="225">
        <f t="shared" si="151"/>
        <v>63.21</v>
      </c>
    </row>
    <row r="9690" spans="2:8" x14ac:dyDescent="0.3">
      <c r="B9690">
        <v>94198</v>
      </c>
      <c r="C9690" t="s">
        <v>15965</v>
      </c>
      <c r="D9690" t="s">
        <v>168</v>
      </c>
      <c r="E9690" s="716">
        <v>86.97</v>
      </c>
      <c r="F9690" s="717">
        <v>0</v>
      </c>
      <c r="G9690">
        <f>VLOOKUP(B9690,'SINAPI-%MO'!B:E,4,0)</f>
        <v>0.27310000000000001</v>
      </c>
      <c r="H9690" s="225">
        <f t="shared" si="151"/>
        <v>63.21</v>
      </c>
    </row>
    <row r="9691" spans="2:8" x14ac:dyDescent="0.3">
      <c r="B9691">
        <v>94442</v>
      </c>
      <c r="C9691" t="s">
        <v>15966</v>
      </c>
      <c r="D9691" t="s">
        <v>168</v>
      </c>
      <c r="E9691" s="716">
        <v>79.209999999999994</v>
      </c>
      <c r="F9691" s="717">
        <v>0</v>
      </c>
      <c r="G9691">
        <f>VLOOKUP(B9691,'SINAPI-%MO'!B:E,4,0)</f>
        <v>0.2019</v>
      </c>
      <c r="H9691" s="225">
        <f t="shared" si="151"/>
        <v>63.21</v>
      </c>
    </row>
    <row r="9692" spans="2:8" x14ac:dyDescent="0.3">
      <c r="B9692">
        <v>94443</v>
      </c>
      <c r="C9692" t="s">
        <v>15967</v>
      </c>
      <c r="D9692" t="s">
        <v>168</v>
      </c>
      <c r="E9692" s="716">
        <v>86.97</v>
      </c>
      <c r="F9692" s="717">
        <v>0</v>
      </c>
      <c r="G9692">
        <f>VLOOKUP(B9692,'SINAPI-%MO'!B:E,4,0)</f>
        <v>0.27310000000000001</v>
      </c>
      <c r="H9692" s="225">
        <f t="shared" si="151"/>
        <v>63.21</v>
      </c>
    </row>
    <row r="9693" spans="2:8" x14ac:dyDescent="0.3">
      <c r="B9693">
        <v>94213</v>
      </c>
      <c r="C9693" t="s">
        <v>15968</v>
      </c>
      <c r="D9693" t="s">
        <v>168</v>
      </c>
      <c r="E9693" s="716">
        <v>67.290000000000006</v>
      </c>
      <c r="F9693" s="717">
        <v>0</v>
      </c>
      <c r="G9693">
        <f>VLOOKUP(B9693,'SINAPI-%MO'!B:E,4,0)</f>
        <v>7.85E-2</v>
      </c>
      <c r="H9693" s="225">
        <f t="shared" si="151"/>
        <v>62</v>
      </c>
    </row>
    <row r="9694" spans="2:8" x14ac:dyDescent="0.3">
      <c r="B9694">
        <v>94189</v>
      </c>
      <c r="C9694" t="s">
        <v>15969</v>
      </c>
      <c r="D9694" t="s">
        <v>168</v>
      </c>
      <c r="E9694" s="716">
        <v>57.34</v>
      </c>
      <c r="F9694" s="717">
        <v>0</v>
      </c>
      <c r="G9694">
        <f>VLOOKUP(B9694,'SINAPI-%MO'!B:E,4,0)</f>
        <v>0.17630000000000001</v>
      </c>
      <c r="H9694" s="225">
        <f t="shared" si="151"/>
        <v>47.23</v>
      </c>
    </row>
    <row r="9695" spans="2:8" x14ac:dyDescent="0.3">
      <c r="B9695">
        <v>94192</v>
      </c>
      <c r="C9695" t="s">
        <v>15970</v>
      </c>
      <c r="D9695" t="s">
        <v>168</v>
      </c>
      <c r="E9695" s="716">
        <v>61.75</v>
      </c>
      <c r="F9695" s="717">
        <v>0</v>
      </c>
      <c r="G9695">
        <f>VLOOKUP(B9695,'SINAPI-%MO'!B:E,4,0)</f>
        <v>0.2351</v>
      </c>
      <c r="H9695" s="225">
        <f t="shared" si="151"/>
        <v>47.23</v>
      </c>
    </row>
    <row r="9696" spans="2:8" x14ac:dyDescent="0.3">
      <c r="B9696">
        <v>94444</v>
      </c>
      <c r="C9696" t="s">
        <v>15971</v>
      </c>
      <c r="D9696" t="s">
        <v>168</v>
      </c>
      <c r="E9696" s="716">
        <v>79.209999999999994</v>
      </c>
      <c r="F9696" s="717">
        <v>0</v>
      </c>
      <c r="G9696">
        <f>VLOOKUP(B9696,'SINAPI-%MO'!B:E,4,0)</f>
        <v>0.2019</v>
      </c>
      <c r="H9696" s="225">
        <f t="shared" si="151"/>
        <v>63.21</v>
      </c>
    </row>
    <row r="9697" spans="2:8" x14ac:dyDescent="0.3">
      <c r="B9697">
        <v>107143</v>
      </c>
      <c r="C9697" t="s">
        <v>16003</v>
      </c>
      <c r="D9697" t="s">
        <v>168</v>
      </c>
      <c r="E9697" s="716">
        <v>0</v>
      </c>
      <c r="F9697" s="717"/>
      <c r="G9697" t="e">
        <f>VLOOKUP(B9697,'SINAPI-%MO'!B:E,4,0)</f>
        <v>#N/A</v>
      </c>
      <c r="H9697" s="225" t="str">
        <f t="shared" si="151"/>
        <v/>
      </c>
    </row>
    <row r="9698" spans="2:8" x14ac:dyDescent="0.3">
      <c r="B9698">
        <v>107142</v>
      </c>
      <c r="C9698" t="s">
        <v>16004</v>
      </c>
      <c r="D9698" t="s">
        <v>168</v>
      </c>
      <c r="E9698" s="716">
        <v>0</v>
      </c>
      <c r="F9698" s="717"/>
      <c r="G9698" t="e">
        <f>VLOOKUP(B9698,'SINAPI-%MO'!B:E,4,0)</f>
        <v>#N/A</v>
      </c>
      <c r="H9698" s="225" t="str">
        <f t="shared" si="151"/>
        <v/>
      </c>
    </row>
    <row r="9699" spans="2:8" x14ac:dyDescent="0.3">
      <c r="B9699">
        <v>107147</v>
      </c>
      <c r="C9699" t="s">
        <v>16005</v>
      </c>
      <c r="D9699" t="s">
        <v>168</v>
      </c>
      <c r="E9699" s="716">
        <v>0</v>
      </c>
      <c r="F9699" s="717"/>
      <c r="G9699" t="e">
        <f>VLOOKUP(B9699,'SINAPI-%MO'!B:E,4,0)</f>
        <v>#N/A</v>
      </c>
      <c r="H9699" s="225" t="str">
        <f t="shared" si="151"/>
        <v/>
      </c>
    </row>
    <row r="9700" spans="2:8" x14ac:dyDescent="0.3">
      <c r="B9700">
        <v>94218</v>
      </c>
      <c r="C9700" t="s">
        <v>15972</v>
      </c>
      <c r="D9700" t="s">
        <v>168</v>
      </c>
      <c r="E9700" s="716">
        <v>138.80000000000001</v>
      </c>
      <c r="F9700" s="717">
        <v>0</v>
      </c>
      <c r="G9700">
        <f>VLOOKUP(B9700,'SINAPI-%MO'!B:E,4,0)</f>
        <v>8.4400000000000003E-2</v>
      </c>
      <c r="H9700" s="225">
        <f t="shared" si="151"/>
        <v>127.08</v>
      </c>
    </row>
    <row r="9701" spans="2:8" x14ac:dyDescent="0.3">
      <c r="B9701">
        <v>94216</v>
      </c>
      <c r="C9701" t="s">
        <v>15973</v>
      </c>
      <c r="D9701" t="s">
        <v>168</v>
      </c>
      <c r="E9701" s="716">
        <v>196.77</v>
      </c>
      <c r="F9701" s="717">
        <v>0</v>
      </c>
      <c r="G9701">
        <f>VLOOKUP(B9701,'SINAPI-%MO'!B:E,4,0)</f>
        <v>4.2700000000000002E-2</v>
      </c>
      <c r="H9701" s="225">
        <f t="shared" si="151"/>
        <v>188.36</v>
      </c>
    </row>
    <row r="9702" spans="2:8" x14ac:dyDescent="0.3">
      <c r="B9702">
        <v>94449</v>
      </c>
      <c r="C9702" t="s">
        <v>15974</v>
      </c>
      <c r="D9702" t="s">
        <v>168</v>
      </c>
      <c r="E9702" s="716">
        <v>51.42</v>
      </c>
      <c r="F9702" s="717">
        <v>0</v>
      </c>
      <c r="G9702">
        <f>VLOOKUP(B9702,'SINAPI-%MO'!B:E,4,0)</f>
        <v>0.1472</v>
      </c>
      <c r="H9702" s="225">
        <f t="shared" si="151"/>
        <v>43.85</v>
      </c>
    </row>
    <row r="9703" spans="2:8" x14ac:dyDescent="0.3">
      <c r="B9703">
        <v>94210</v>
      </c>
      <c r="C9703" t="s">
        <v>15975</v>
      </c>
      <c r="D9703" t="s">
        <v>168</v>
      </c>
      <c r="E9703" s="716">
        <v>55.03</v>
      </c>
      <c r="F9703" s="717">
        <v>0</v>
      </c>
      <c r="G9703">
        <f>VLOOKUP(B9703,'SINAPI-%MO'!B:E,4,0)</f>
        <v>0.15770000000000001</v>
      </c>
      <c r="H9703" s="225">
        <f t="shared" si="151"/>
        <v>46.35</v>
      </c>
    </row>
    <row r="9704" spans="2:8" x14ac:dyDescent="0.3">
      <c r="B9704">
        <v>94207</v>
      </c>
      <c r="C9704" t="s">
        <v>15976</v>
      </c>
      <c r="D9704" t="s">
        <v>168</v>
      </c>
      <c r="E9704" s="716">
        <v>51.42</v>
      </c>
      <c r="F9704" s="717">
        <v>0</v>
      </c>
      <c r="G9704">
        <f>VLOOKUP(B9704,'SINAPI-%MO'!B:E,4,0)</f>
        <v>0.1472</v>
      </c>
      <c r="H9704" s="225">
        <f t="shared" si="151"/>
        <v>43.85</v>
      </c>
    </row>
    <row r="9705" spans="2:8" x14ac:dyDescent="0.3">
      <c r="B9705">
        <v>102109</v>
      </c>
      <c r="C9705" t="s">
        <v>7993</v>
      </c>
      <c r="D9705" t="s">
        <v>136</v>
      </c>
      <c r="E9705" s="716">
        <v>58.89</v>
      </c>
      <c r="F9705" s="717">
        <v>0.55020000000000002</v>
      </c>
      <c r="G9705">
        <f>VLOOKUP(B9705,'SINAPI-%MO'!B:E,4,0)</f>
        <v>0.44979999999999998</v>
      </c>
      <c r="H9705" s="225">
        <f t="shared" si="151"/>
        <v>32.4</v>
      </c>
    </row>
    <row r="9706" spans="2:8" x14ac:dyDescent="0.3">
      <c r="B9706">
        <v>102110</v>
      </c>
      <c r="C9706" t="s">
        <v>7994</v>
      </c>
      <c r="D9706" t="s">
        <v>136</v>
      </c>
      <c r="E9706" s="716">
        <v>167.79</v>
      </c>
      <c r="F9706" s="717">
        <v>0.84209999999999996</v>
      </c>
      <c r="G9706">
        <f>VLOOKUP(B9706,'SINAPI-%MO'!B:E,4,0)</f>
        <v>0.15790000000000001</v>
      </c>
      <c r="H9706" s="225">
        <f t="shared" si="151"/>
        <v>141.29</v>
      </c>
    </row>
    <row r="9707" spans="2:8" x14ac:dyDescent="0.3">
      <c r="B9707">
        <v>103656</v>
      </c>
      <c r="C9707" t="s">
        <v>7995</v>
      </c>
      <c r="D9707" t="s">
        <v>136</v>
      </c>
      <c r="E9707" s="716">
        <v>123146.67</v>
      </c>
      <c r="F9707" s="717">
        <v>0.99280000000000002</v>
      </c>
      <c r="G9707">
        <f>VLOOKUP(B9707,'SINAPI-%MO'!B:E,4,0)</f>
        <v>6.6E-3</v>
      </c>
      <c r="H9707" s="225">
        <f t="shared" si="151"/>
        <v>122333.9</v>
      </c>
    </row>
    <row r="9708" spans="2:8" x14ac:dyDescent="0.3">
      <c r="B9708">
        <v>102105</v>
      </c>
      <c r="C9708" t="s">
        <v>7996</v>
      </c>
      <c r="D9708" t="s">
        <v>136</v>
      </c>
      <c r="E9708" s="716">
        <v>19532.84</v>
      </c>
      <c r="F9708" s="717">
        <v>0.96750000000000003</v>
      </c>
      <c r="G9708">
        <f>VLOOKUP(B9708,'SINAPI-%MO'!B:E,4,0)</f>
        <v>2.9000000000000001E-2</v>
      </c>
      <c r="H9708" s="225">
        <f t="shared" si="151"/>
        <v>18966.38</v>
      </c>
    </row>
    <row r="9709" spans="2:8" x14ac:dyDescent="0.3">
      <c r="B9709">
        <v>102106</v>
      </c>
      <c r="C9709" t="s">
        <v>7997</v>
      </c>
      <c r="D9709" t="s">
        <v>136</v>
      </c>
      <c r="E9709" s="716">
        <v>24485</v>
      </c>
      <c r="F9709" s="717">
        <v>0.97350000000000003</v>
      </c>
      <c r="G9709">
        <f>VLOOKUP(B9709,'SINAPI-%MO'!B:E,4,0)</f>
        <v>2.35E-2</v>
      </c>
      <c r="H9709" s="225">
        <f t="shared" si="151"/>
        <v>23909.599999999999</v>
      </c>
    </row>
    <row r="9710" spans="2:8" x14ac:dyDescent="0.3">
      <c r="B9710">
        <v>102107</v>
      </c>
      <c r="C9710" t="s">
        <v>7998</v>
      </c>
      <c r="D9710" t="s">
        <v>136</v>
      </c>
      <c r="E9710" s="716">
        <v>34143.339999999997</v>
      </c>
      <c r="F9710" s="717">
        <v>0.97940000000000005</v>
      </c>
      <c r="G9710">
        <f>VLOOKUP(B9710,'SINAPI-%MO'!B:E,4,0)</f>
        <v>1.78E-2</v>
      </c>
      <c r="H9710" s="225">
        <f t="shared" si="151"/>
        <v>33535.58</v>
      </c>
    </row>
    <row r="9711" spans="2:8" x14ac:dyDescent="0.3">
      <c r="B9711">
        <v>102102</v>
      </c>
      <c r="C9711" t="s">
        <v>7999</v>
      </c>
      <c r="D9711" t="s">
        <v>136</v>
      </c>
      <c r="E9711" s="716">
        <v>11156.12</v>
      </c>
      <c r="F9711" s="717">
        <v>0.94920000000000004</v>
      </c>
      <c r="G9711">
        <f>VLOOKUP(B9711,'SINAPI-%MO'!B:E,4,0)</f>
        <v>4.7199999999999999E-2</v>
      </c>
      <c r="H9711" s="225">
        <f t="shared" si="151"/>
        <v>10629.55</v>
      </c>
    </row>
    <row r="9712" spans="2:8" x14ac:dyDescent="0.3">
      <c r="B9712">
        <v>102108</v>
      </c>
      <c r="C9712" t="s">
        <v>8000</v>
      </c>
      <c r="D9712" t="s">
        <v>136</v>
      </c>
      <c r="E9712" s="716">
        <v>39750.79</v>
      </c>
      <c r="F9712" s="717">
        <v>0.98140000000000005</v>
      </c>
      <c r="G9712">
        <f>VLOOKUP(B9712,'SINAPI-%MO'!B:E,4,0)</f>
        <v>1.5800000000000002E-2</v>
      </c>
      <c r="H9712" s="225">
        <f t="shared" si="151"/>
        <v>39122.720000000001</v>
      </c>
    </row>
    <row r="9713" spans="2:8" x14ac:dyDescent="0.3">
      <c r="B9713">
        <v>102103</v>
      </c>
      <c r="C9713" t="s">
        <v>8001</v>
      </c>
      <c r="D9713" t="s">
        <v>136</v>
      </c>
      <c r="E9713" s="716">
        <v>12409.63</v>
      </c>
      <c r="F9713" s="717">
        <v>0.95309999999999995</v>
      </c>
      <c r="G9713">
        <f>VLOOKUP(B9713,'SINAPI-%MO'!B:E,4,0)</f>
        <v>4.3099999999999999E-2</v>
      </c>
      <c r="H9713" s="225">
        <f t="shared" ref="H9713:H9776" si="152">IF(E9713&gt;0,TRUNC(E9713*(1-G9713),2),"")</f>
        <v>11874.77</v>
      </c>
    </row>
    <row r="9714" spans="2:8" x14ac:dyDescent="0.3">
      <c r="B9714">
        <v>103654</v>
      </c>
      <c r="C9714" t="s">
        <v>8002</v>
      </c>
      <c r="D9714" t="s">
        <v>136</v>
      </c>
      <c r="E9714" s="716">
        <v>64316.97</v>
      </c>
      <c r="F9714" s="717">
        <v>0.98980000000000001</v>
      </c>
      <c r="G9714">
        <f>VLOOKUP(B9714,'SINAPI-%MO'!B:E,4,0)</f>
        <v>9.4000000000000004E-3</v>
      </c>
      <c r="H9714" s="225">
        <f t="shared" si="152"/>
        <v>63712.39</v>
      </c>
    </row>
    <row r="9715" spans="2:8" x14ac:dyDescent="0.3">
      <c r="B9715">
        <v>102104</v>
      </c>
      <c r="C9715" t="s">
        <v>8003</v>
      </c>
      <c r="D9715" t="s">
        <v>136</v>
      </c>
      <c r="E9715" s="716">
        <v>15903.11</v>
      </c>
      <c r="F9715" s="717">
        <v>0.96179999999999999</v>
      </c>
      <c r="G9715">
        <f>VLOOKUP(B9715,'SINAPI-%MO'!B:E,4,0)</f>
        <v>3.4599999999999999E-2</v>
      </c>
      <c r="H9715" s="225">
        <f t="shared" si="152"/>
        <v>15352.86</v>
      </c>
    </row>
    <row r="9716" spans="2:8" x14ac:dyDescent="0.3">
      <c r="B9716">
        <v>103655</v>
      </c>
      <c r="C9716" t="s">
        <v>8004</v>
      </c>
      <c r="D9716" t="s">
        <v>136</v>
      </c>
      <c r="E9716" s="716">
        <v>88092.85</v>
      </c>
      <c r="F9716" s="717">
        <v>0.99119999999999997</v>
      </c>
      <c r="G9716">
        <f>VLOOKUP(B9716,'SINAPI-%MO'!B:E,4,0)</f>
        <v>8.0000000000000002E-3</v>
      </c>
      <c r="H9716" s="225">
        <f t="shared" si="152"/>
        <v>87388.1</v>
      </c>
    </row>
    <row r="9717" spans="2:8" x14ac:dyDescent="0.3">
      <c r="B9717">
        <v>105473</v>
      </c>
      <c r="C9717" t="s">
        <v>8005</v>
      </c>
      <c r="D9717" t="s">
        <v>180</v>
      </c>
      <c r="E9717" s="716">
        <v>0</v>
      </c>
      <c r="F9717" s="717"/>
      <c r="G9717" t="e">
        <f>VLOOKUP(B9717,'SINAPI-%MO'!B:E,4,0)</f>
        <v>#N/A</v>
      </c>
      <c r="H9717" s="225" t="str">
        <f t="shared" si="152"/>
        <v/>
      </c>
    </row>
    <row r="9718" spans="2:8" x14ac:dyDescent="0.3">
      <c r="B9718">
        <v>105414</v>
      </c>
      <c r="C9718" t="s">
        <v>8006</v>
      </c>
      <c r="D9718" t="s">
        <v>180</v>
      </c>
      <c r="E9718" s="716">
        <v>0</v>
      </c>
      <c r="F9718" s="717"/>
      <c r="G9718" t="e">
        <f>VLOOKUP(B9718,'SINAPI-%MO'!B:E,4,0)</f>
        <v>#N/A</v>
      </c>
      <c r="H9718" s="225" t="str">
        <f t="shared" si="152"/>
        <v/>
      </c>
    </row>
    <row r="9719" spans="2:8" x14ac:dyDescent="0.3">
      <c r="B9719">
        <v>105424</v>
      </c>
      <c r="C9719" t="s">
        <v>8007</v>
      </c>
      <c r="D9719" t="s">
        <v>180</v>
      </c>
      <c r="E9719" s="716">
        <v>0</v>
      </c>
      <c r="F9719" s="717"/>
      <c r="G9719" t="e">
        <f>VLOOKUP(B9719,'SINAPI-%MO'!B:E,4,0)</f>
        <v>#N/A</v>
      </c>
      <c r="H9719" s="225" t="str">
        <f t="shared" si="152"/>
        <v/>
      </c>
    </row>
    <row r="9720" spans="2:8" x14ac:dyDescent="0.3">
      <c r="B9720">
        <v>105448</v>
      </c>
      <c r="C9720" t="s">
        <v>8008</v>
      </c>
      <c r="D9720" t="s">
        <v>180</v>
      </c>
      <c r="E9720" s="716">
        <v>0</v>
      </c>
      <c r="F9720" s="717"/>
      <c r="G9720" t="e">
        <f>VLOOKUP(B9720,'SINAPI-%MO'!B:E,4,0)</f>
        <v>#N/A</v>
      </c>
      <c r="H9720" s="225" t="str">
        <f t="shared" si="152"/>
        <v/>
      </c>
    </row>
    <row r="9721" spans="2:8" x14ac:dyDescent="0.3">
      <c r="B9721">
        <v>105409</v>
      </c>
      <c r="C9721" t="s">
        <v>8009</v>
      </c>
      <c r="D9721" t="s">
        <v>180</v>
      </c>
      <c r="E9721" s="716">
        <v>0</v>
      </c>
      <c r="F9721" s="717"/>
      <c r="G9721" t="e">
        <f>VLOOKUP(B9721,'SINAPI-%MO'!B:E,4,0)</f>
        <v>#N/A</v>
      </c>
      <c r="H9721" s="225" t="str">
        <f t="shared" si="152"/>
        <v/>
      </c>
    </row>
    <row r="9722" spans="2:8" x14ac:dyDescent="0.3">
      <c r="B9722">
        <v>105415</v>
      </c>
      <c r="C9722" t="s">
        <v>8010</v>
      </c>
      <c r="D9722" t="s">
        <v>180</v>
      </c>
      <c r="E9722" s="716">
        <v>0</v>
      </c>
      <c r="F9722" s="717"/>
      <c r="G9722" t="e">
        <f>VLOOKUP(B9722,'SINAPI-%MO'!B:E,4,0)</f>
        <v>#N/A</v>
      </c>
      <c r="H9722" s="225" t="str">
        <f t="shared" si="152"/>
        <v/>
      </c>
    </row>
    <row r="9723" spans="2:8" x14ac:dyDescent="0.3">
      <c r="B9723">
        <v>105487</v>
      </c>
      <c r="C9723" t="s">
        <v>8011</v>
      </c>
      <c r="D9723" t="s">
        <v>180</v>
      </c>
      <c r="E9723" s="716">
        <v>0</v>
      </c>
      <c r="F9723" s="717"/>
      <c r="G9723" t="e">
        <f>VLOOKUP(B9723,'SINAPI-%MO'!B:E,4,0)</f>
        <v>#N/A</v>
      </c>
      <c r="H9723" s="225" t="str">
        <f t="shared" si="152"/>
        <v/>
      </c>
    </row>
    <row r="9724" spans="2:8" x14ac:dyDescent="0.3">
      <c r="B9724">
        <v>105451</v>
      </c>
      <c r="C9724" t="s">
        <v>8012</v>
      </c>
      <c r="D9724" t="s">
        <v>180</v>
      </c>
      <c r="E9724" s="716">
        <v>0</v>
      </c>
      <c r="F9724" s="717"/>
      <c r="G9724" t="e">
        <f>VLOOKUP(B9724,'SINAPI-%MO'!B:E,4,0)</f>
        <v>#N/A</v>
      </c>
      <c r="H9724" s="225" t="str">
        <f t="shared" si="152"/>
        <v/>
      </c>
    </row>
    <row r="9725" spans="2:8" x14ac:dyDescent="0.3">
      <c r="B9725">
        <v>105454</v>
      </c>
      <c r="C9725" t="s">
        <v>8013</v>
      </c>
      <c r="D9725" t="s">
        <v>180</v>
      </c>
      <c r="E9725" s="716">
        <v>0</v>
      </c>
      <c r="F9725" s="717"/>
      <c r="G9725" t="e">
        <f>VLOOKUP(B9725,'SINAPI-%MO'!B:E,4,0)</f>
        <v>#N/A</v>
      </c>
      <c r="H9725" s="225" t="str">
        <f t="shared" si="152"/>
        <v/>
      </c>
    </row>
    <row r="9726" spans="2:8" x14ac:dyDescent="0.3">
      <c r="B9726">
        <v>105411</v>
      </c>
      <c r="C9726" t="s">
        <v>8014</v>
      </c>
      <c r="D9726" t="s">
        <v>180</v>
      </c>
      <c r="E9726" s="716">
        <v>0</v>
      </c>
      <c r="F9726" s="717"/>
      <c r="G9726" t="e">
        <f>VLOOKUP(B9726,'SINAPI-%MO'!B:E,4,0)</f>
        <v>#N/A</v>
      </c>
      <c r="H9726" s="225" t="str">
        <f t="shared" si="152"/>
        <v/>
      </c>
    </row>
    <row r="9727" spans="2:8" x14ac:dyDescent="0.3">
      <c r="B9727">
        <v>105419</v>
      </c>
      <c r="C9727" t="s">
        <v>8015</v>
      </c>
      <c r="D9727" t="s">
        <v>180</v>
      </c>
      <c r="E9727" s="716">
        <v>0</v>
      </c>
      <c r="F9727" s="717"/>
      <c r="G9727" t="e">
        <f>VLOOKUP(B9727,'SINAPI-%MO'!B:E,4,0)</f>
        <v>#N/A</v>
      </c>
      <c r="H9727" s="225" t="str">
        <f t="shared" si="152"/>
        <v/>
      </c>
    </row>
    <row r="9728" spans="2:8" x14ac:dyDescent="0.3">
      <c r="B9728">
        <v>105443</v>
      </c>
      <c r="C9728" t="s">
        <v>8016</v>
      </c>
      <c r="D9728" t="s">
        <v>180</v>
      </c>
      <c r="E9728" s="716">
        <v>0</v>
      </c>
      <c r="F9728" s="717"/>
      <c r="G9728" t="e">
        <f>VLOOKUP(B9728,'SINAPI-%MO'!B:E,4,0)</f>
        <v>#N/A</v>
      </c>
      <c r="H9728" s="225" t="str">
        <f t="shared" si="152"/>
        <v/>
      </c>
    </row>
    <row r="9729" spans="2:8" x14ac:dyDescent="0.3">
      <c r="B9729">
        <v>105455</v>
      </c>
      <c r="C9729" t="s">
        <v>8017</v>
      </c>
      <c r="D9729" t="s">
        <v>180</v>
      </c>
      <c r="E9729" s="716">
        <v>0</v>
      </c>
      <c r="F9729" s="717"/>
      <c r="G9729" t="e">
        <f>VLOOKUP(B9729,'SINAPI-%MO'!B:E,4,0)</f>
        <v>#N/A</v>
      </c>
      <c r="H9729" s="225" t="str">
        <f t="shared" si="152"/>
        <v/>
      </c>
    </row>
    <row r="9730" spans="2:8" x14ac:dyDescent="0.3">
      <c r="B9730">
        <v>105412</v>
      </c>
      <c r="C9730" t="s">
        <v>8018</v>
      </c>
      <c r="D9730" t="s">
        <v>180</v>
      </c>
      <c r="E9730" s="716">
        <v>0</v>
      </c>
      <c r="F9730" s="717"/>
      <c r="G9730" t="e">
        <f>VLOOKUP(B9730,'SINAPI-%MO'!B:E,4,0)</f>
        <v>#N/A</v>
      </c>
      <c r="H9730" s="225" t="str">
        <f t="shared" si="152"/>
        <v/>
      </c>
    </row>
    <row r="9731" spans="2:8" x14ac:dyDescent="0.3">
      <c r="B9731">
        <v>105420</v>
      </c>
      <c r="C9731" t="s">
        <v>8019</v>
      </c>
      <c r="D9731" t="s">
        <v>180</v>
      </c>
      <c r="E9731" s="716">
        <v>0</v>
      </c>
      <c r="F9731" s="717"/>
      <c r="G9731" t="e">
        <f>VLOOKUP(B9731,'SINAPI-%MO'!B:E,4,0)</f>
        <v>#N/A</v>
      </c>
      <c r="H9731" s="225" t="str">
        <f t="shared" si="152"/>
        <v/>
      </c>
    </row>
    <row r="9732" spans="2:8" x14ac:dyDescent="0.3">
      <c r="B9732">
        <v>105444</v>
      </c>
      <c r="C9732" t="s">
        <v>8020</v>
      </c>
      <c r="D9732" t="s">
        <v>180</v>
      </c>
      <c r="E9732" s="716">
        <v>0</v>
      </c>
      <c r="F9732" s="717"/>
      <c r="G9732" t="e">
        <f>VLOOKUP(B9732,'SINAPI-%MO'!B:E,4,0)</f>
        <v>#N/A</v>
      </c>
      <c r="H9732" s="225" t="str">
        <f t="shared" si="152"/>
        <v/>
      </c>
    </row>
    <row r="9733" spans="2:8" x14ac:dyDescent="0.3">
      <c r="B9733">
        <v>105456</v>
      </c>
      <c r="C9733" t="s">
        <v>8021</v>
      </c>
      <c r="D9733" t="s">
        <v>180</v>
      </c>
      <c r="E9733" s="716">
        <v>0</v>
      </c>
      <c r="F9733" s="717"/>
      <c r="G9733" t="e">
        <f>VLOOKUP(B9733,'SINAPI-%MO'!B:E,4,0)</f>
        <v>#N/A</v>
      </c>
      <c r="H9733" s="225" t="str">
        <f t="shared" si="152"/>
        <v/>
      </c>
    </row>
    <row r="9734" spans="2:8" x14ac:dyDescent="0.3">
      <c r="B9734">
        <v>105478</v>
      </c>
      <c r="C9734" t="s">
        <v>8022</v>
      </c>
      <c r="D9734" t="s">
        <v>180</v>
      </c>
      <c r="E9734" s="716">
        <v>0</v>
      </c>
      <c r="F9734" s="717"/>
      <c r="G9734" t="e">
        <f>VLOOKUP(B9734,'SINAPI-%MO'!B:E,4,0)</f>
        <v>#N/A</v>
      </c>
      <c r="H9734" s="225" t="str">
        <f t="shared" si="152"/>
        <v/>
      </c>
    </row>
    <row r="9735" spans="2:8" x14ac:dyDescent="0.3">
      <c r="B9735">
        <v>105421</v>
      </c>
      <c r="C9735" t="s">
        <v>8023</v>
      </c>
      <c r="D9735" t="s">
        <v>180</v>
      </c>
      <c r="E9735" s="716">
        <v>0</v>
      </c>
      <c r="F9735" s="717"/>
      <c r="G9735" t="e">
        <f>VLOOKUP(B9735,'SINAPI-%MO'!B:E,4,0)</f>
        <v>#N/A</v>
      </c>
      <c r="H9735" s="225" t="str">
        <f t="shared" si="152"/>
        <v/>
      </c>
    </row>
    <row r="9736" spans="2:8" x14ac:dyDescent="0.3">
      <c r="B9736">
        <v>105445</v>
      </c>
      <c r="C9736" t="s">
        <v>8024</v>
      </c>
      <c r="D9736" t="s">
        <v>180</v>
      </c>
      <c r="E9736" s="716">
        <v>0</v>
      </c>
      <c r="F9736" s="717"/>
      <c r="G9736" t="e">
        <f>VLOOKUP(B9736,'SINAPI-%MO'!B:E,4,0)</f>
        <v>#N/A</v>
      </c>
      <c r="H9736" s="225" t="str">
        <f t="shared" si="152"/>
        <v/>
      </c>
    </row>
    <row r="9737" spans="2:8" x14ac:dyDescent="0.3">
      <c r="B9737">
        <v>105453</v>
      </c>
      <c r="C9737" t="s">
        <v>8025</v>
      </c>
      <c r="D9737" t="s">
        <v>180</v>
      </c>
      <c r="E9737" s="716">
        <v>0</v>
      </c>
      <c r="F9737" s="717"/>
      <c r="G9737" t="e">
        <f>VLOOKUP(B9737,'SINAPI-%MO'!B:E,4,0)</f>
        <v>#N/A</v>
      </c>
      <c r="H9737" s="225" t="str">
        <f t="shared" si="152"/>
        <v/>
      </c>
    </row>
    <row r="9738" spans="2:8" x14ac:dyDescent="0.3">
      <c r="B9738">
        <v>105497</v>
      </c>
      <c r="C9738" t="s">
        <v>8026</v>
      </c>
      <c r="D9738" t="s">
        <v>180</v>
      </c>
      <c r="E9738" s="716">
        <v>0</v>
      </c>
      <c r="F9738" s="717"/>
      <c r="G9738" t="e">
        <f>VLOOKUP(B9738,'SINAPI-%MO'!B:E,4,0)</f>
        <v>#N/A</v>
      </c>
      <c r="H9738" s="225" t="str">
        <f t="shared" si="152"/>
        <v/>
      </c>
    </row>
    <row r="9739" spans="2:8" x14ac:dyDescent="0.3">
      <c r="B9739">
        <v>105418</v>
      </c>
      <c r="C9739" t="s">
        <v>8027</v>
      </c>
      <c r="D9739" t="s">
        <v>180</v>
      </c>
      <c r="E9739" s="716">
        <v>0</v>
      </c>
      <c r="F9739" s="717"/>
      <c r="G9739" t="e">
        <f>VLOOKUP(B9739,'SINAPI-%MO'!B:E,4,0)</f>
        <v>#N/A</v>
      </c>
      <c r="H9739" s="225" t="str">
        <f t="shared" si="152"/>
        <v/>
      </c>
    </row>
    <row r="9740" spans="2:8" x14ac:dyDescent="0.3">
      <c r="B9740">
        <v>105442</v>
      </c>
      <c r="C9740" t="s">
        <v>8028</v>
      </c>
      <c r="D9740" t="s">
        <v>180</v>
      </c>
      <c r="E9740" s="716">
        <v>0</v>
      </c>
      <c r="F9740" s="717"/>
      <c r="G9740" t="e">
        <f>VLOOKUP(B9740,'SINAPI-%MO'!B:E,4,0)</f>
        <v>#N/A</v>
      </c>
      <c r="H9740" s="225" t="str">
        <f t="shared" si="152"/>
        <v/>
      </c>
    </row>
    <row r="9741" spans="2:8" x14ac:dyDescent="0.3">
      <c r="B9741">
        <v>105410</v>
      </c>
      <c r="C9741" t="s">
        <v>8029</v>
      </c>
      <c r="D9741" t="s">
        <v>180</v>
      </c>
      <c r="E9741" s="716">
        <v>0</v>
      </c>
      <c r="F9741" s="717"/>
      <c r="G9741" t="e">
        <f>VLOOKUP(B9741,'SINAPI-%MO'!B:E,4,0)</f>
        <v>#N/A</v>
      </c>
      <c r="H9741" s="225" t="str">
        <f t="shared" si="152"/>
        <v/>
      </c>
    </row>
    <row r="9742" spans="2:8" x14ac:dyDescent="0.3">
      <c r="B9742">
        <v>105416</v>
      </c>
      <c r="C9742" t="s">
        <v>8030</v>
      </c>
      <c r="D9742" t="s">
        <v>180</v>
      </c>
      <c r="E9742" s="716">
        <v>0</v>
      </c>
      <c r="F9742" s="717"/>
      <c r="G9742" t="e">
        <f>VLOOKUP(B9742,'SINAPI-%MO'!B:E,4,0)</f>
        <v>#N/A</v>
      </c>
      <c r="H9742" s="225" t="str">
        <f t="shared" si="152"/>
        <v/>
      </c>
    </row>
    <row r="9743" spans="2:8" x14ac:dyDescent="0.3">
      <c r="B9743">
        <v>105488</v>
      </c>
      <c r="C9743" t="s">
        <v>8031</v>
      </c>
      <c r="D9743" t="s">
        <v>180</v>
      </c>
      <c r="E9743" s="716">
        <v>0</v>
      </c>
      <c r="F9743" s="717"/>
      <c r="G9743" t="e">
        <f>VLOOKUP(B9743,'SINAPI-%MO'!B:E,4,0)</f>
        <v>#N/A</v>
      </c>
      <c r="H9743" s="225" t="str">
        <f t="shared" si="152"/>
        <v/>
      </c>
    </row>
    <row r="9744" spans="2:8" x14ac:dyDescent="0.3">
      <c r="B9744">
        <v>105452</v>
      </c>
      <c r="C9744" t="s">
        <v>8032</v>
      </c>
      <c r="D9744" t="s">
        <v>180</v>
      </c>
      <c r="E9744" s="716">
        <v>0</v>
      </c>
      <c r="F9744" s="717"/>
      <c r="G9744" t="e">
        <f>VLOOKUP(B9744,'SINAPI-%MO'!B:E,4,0)</f>
        <v>#N/A</v>
      </c>
      <c r="H9744" s="225" t="str">
        <f t="shared" si="152"/>
        <v/>
      </c>
    </row>
    <row r="9745" spans="2:8" x14ac:dyDescent="0.3">
      <c r="B9745">
        <v>105475</v>
      </c>
      <c r="C9745" t="s">
        <v>8033</v>
      </c>
      <c r="D9745" t="s">
        <v>180</v>
      </c>
      <c r="E9745" s="716">
        <v>0</v>
      </c>
      <c r="F9745" s="717"/>
      <c r="G9745" t="e">
        <f>VLOOKUP(B9745,'SINAPI-%MO'!B:E,4,0)</f>
        <v>#N/A</v>
      </c>
      <c r="H9745" s="225" t="str">
        <f t="shared" si="152"/>
        <v/>
      </c>
    </row>
    <row r="9746" spans="2:8" x14ac:dyDescent="0.3">
      <c r="B9746">
        <v>105498</v>
      </c>
      <c r="C9746" t="s">
        <v>8034</v>
      </c>
      <c r="D9746" t="s">
        <v>180</v>
      </c>
      <c r="E9746" s="716">
        <v>0</v>
      </c>
      <c r="F9746" s="717"/>
      <c r="G9746" t="e">
        <f>VLOOKUP(B9746,'SINAPI-%MO'!B:E,4,0)</f>
        <v>#N/A</v>
      </c>
      <c r="H9746" s="225" t="str">
        <f t="shared" si="152"/>
        <v/>
      </c>
    </row>
    <row r="9747" spans="2:8" x14ac:dyDescent="0.3">
      <c r="B9747">
        <v>105486</v>
      </c>
      <c r="C9747" t="s">
        <v>8035</v>
      </c>
      <c r="D9747" t="s">
        <v>180</v>
      </c>
      <c r="E9747" s="716">
        <v>0</v>
      </c>
      <c r="F9747" s="717"/>
      <c r="G9747" t="e">
        <f>VLOOKUP(B9747,'SINAPI-%MO'!B:E,4,0)</f>
        <v>#N/A</v>
      </c>
      <c r="H9747" s="225" t="str">
        <f t="shared" si="152"/>
        <v/>
      </c>
    </row>
    <row r="9748" spans="2:8" x14ac:dyDescent="0.3">
      <c r="B9748">
        <v>105450</v>
      </c>
      <c r="C9748" t="s">
        <v>8036</v>
      </c>
      <c r="D9748" t="s">
        <v>180</v>
      </c>
      <c r="E9748" s="716">
        <v>0</v>
      </c>
      <c r="F9748" s="717"/>
      <c r="G9748" t="e">
        <f>VLOOKUP(B9748,'SINAPI-%MO'!B:E,4,0)</f>
        <v>#N/A</v>
      </c>
      <c r="H9748" s="225" t="str">
        <f t="shared" si="152"/>
        <v/>
      </c>
    </row>
    <row r="9749" spans="2:8" x14ac:dyDescent="0.3">
      <c r="B9749">
        <v>105438</v>
      </c>
      <c r="C9749" t="s">
        <v>8037</v>
      </c>
      <c r="D9749" t="s">
        <v>180</v>
      </c>
      <c r="E9749" s="716">
        <v>0</v>
      </c>
      <c r="F9749" s="717"/>
      <c r="G9749" t="e">
        <f>VLOOKUP(B9749,'SINAPI-%MO'!B:E,4,0)</f>
        <v>#N/A</v>
      </c>
      <c r="H9749" s="225" t="str">
        <f t="shared" si="152"/>
        <v/>
      </c>
    </row>
    <row r="9750" spans="2:8" x14ac:dyDescent="0.3">
      <c r="B9750">
        <v>105463</v>
      </c>
      <c r="C9750" t="s">
        <v>8038</v>
      </c>
      <c r="D9750" t="s">
        <v>180</v>
      </c>
      <c r="E9750" s="716">
        <v>0</v>
      </c>
      <c r="F9750" s="717"/>
      <c r="G9750" t="e">
        <f>VLOOKUP(B9750,'SINAPI-%MO'!B:E,4,0)</f>
        <v>#N/A</v>
      </c>
      <c r="H9750" s="225" t="str">
        <f t="shared" si="152"/>
        <v/>
      </c>
    </row>
    <row r="9751" spans="2:8" x14ac:dyDescent="0.3">
      <c r="B9751">
        <v>105485</v>
      </c>
      <c r="C9751" t="s">
        <v>8039</v>
      </c>
      <c r="D9751" t="s">
        <v>180</v>
      </c>
      <c r="E9751" s="716">
        <v>0</v>
      </c>
      <c r="F9751" s="717"/>
      <c r="G9751" t="e">
        <f>VLOOKUP(B9751,'SINAPI-%MO'!B:E,4,0)</f>
        <v>#N/A</v>
      </c>
      <c r="H9751" s="225" t="str">
        <f t="shared" si="152"/>
        <v/>
      </c>
    </row>
    <row r="9752" spans="2:8" x14ac:dyDescent="0.3">
      <c r="B9752">
        <v>105428</v>
      </c>
      <c r="C9752" t="s">
        <v>8040</v>
      </c>
      <c r="D9752" t="s">
        <v>180</v>
      </c>
      <c r="E9752" s="716">
        <v>0</v>
      </c>
      <c r="F9752" s="717"/>
      <c r="G9752" t="e">
        <f>VLOOKUP(B9752,'SINAPI-%MO'!B:E,4,0)</f>
        <v>#N/A</v>
      </c>
      <c r="H9752" s="225" t="str">
        <f t="shared" si="152"/>
        <v/>
      </c>
    </row>
    <row r="9753" spans="2:8" x14ac:dyDescent="0.3">
      <c r="B9753">
        <v>105426</v>
      </c>
      <c r="C9753" t="s">
        <v>8041</v>
      </c>
      <c r="D9753" t="s">
        <v>180</v>
      </c>
      <c r="E9753" s="716">
        <v>0</v>
      </c>
      <c r="F9753" s="717"/>
      <c r="G9753" t="e">
        <f>VLOOKUP(B9753,'SINAPI-%MO'!B:E,4,0)</f>
        <v>#N/A</v>
      </c>
      <c r="H9753" s="225" t="str">
        <f t="shared" si="152"/>
        <v/>
      </c>
    </row>
    <row r="9754" spans="2:8" x14ac:dyDescent="0.3">
      <c r="B9754">
        <v>105491</v>
      </c>
      <c r="C9754" t="s">
        <v>8042</v>
      </c>
      <c r="D9754" t="s">
        <v>180</v>
      </c>
      <c r="E9754" s="716">
        <v>0</v>
      </c>
      <c r="F9754" s="717"/>
      <c r="G9754" t="e">
        <f>VLOOKUP(B9754,'SINAPI-%MO'!B:E,4,0)</f>
        <v>#N/A</v>
      </c>
      <c r="H9754" s="225" t="str">
        <f t="shared" si="152"/>
        <v/>
      </c>
    </row>
    <row r="9755" spans="2:8" x14ac:dyDescent="0.3">
      <c r="B9755">
        <v>105495</v>
      </c>
      <c r="C9755" t="s">
        <v>8043</v>
      </c>
      <c r="D9755" t="s">
        <v>180</v>
      </c>
      <c r="E9755" s="716">
        <v>0</v>
      </c>
      <c r="F9755" s="717"/>
      <c r="G9755" t="e">
        <f>VLOOKUP(B9755,'SINAPI-%MO'!B:E,4,0)</f>
        <v>#N/A</v>
      </c>
      <c r="H9755" s="225" t="str">
        <f t="shared" si="152"/>
        <v/>
      </c>
    </row>
    <row r="9756" spans="2:8" x14ac:dyDescent="0.3">
      <c r="B9756">
        <v>105407</v>
      </c>
      <c r="C9756" t="s">
        <v>8044</v>
      </c>
      <c r="D9756" t="s">
        <v>180</v>
      </c>
      <c r="E9756" s="716">
        <v>0</v>
      </c>
      <c r="F9756" s="717"/>
      <c r="G9756" t="e">
        <f>VLOOKUP(B9756,'SINAPI-%MO'!B:E,4,0)</f>
        <v>#N/A</v>
      </c>
      <c r="H9756" s="225" t="str">
        <f t="shared" si="152"/>
        <v/>
      </c>
    </row>
    <row r="9757" spans="2:8" x14ac:dyDescent="0.3">
      <c r="B9757">
        <v>105427</v>
      </c>
      <c r="C9757" t="s">
        <v>8045</v>
      </c>
      <c r="D9757" t="s">
        <v>180</v>
      </c>
      <c r="E9757" s="716">
        <v>0</v>
      </c>
      <c r="F9757" s="717"/>
      <c r="G9757" t="e">
        <f>VLOOKUP(B9757,'SINAPI-%MO'!B:E,4,0)</f>
        <v>#N/A</v>
      </c>
      <c r="H9757" s="225" t="str">
        <f t="shared" si="152"/>
        <v/>
      </c>
    </row>
    <row r="9758" spans="2:8" x14ac:dyDescent="0.3">
      <c r="B9758">
        <v>105492</v>
      </c>
      <c r="C9758" t="s">
        <v>8046</v>
      </c>
      <c r="D9758" t="s">
        <v>180</v>
      </c>
      <c r="E9758" s="716">
        <v>0</v>
      </c>
      <c r="F9758" s="717"/>
      <c r="G9758" t="e">
        <f>VLOOKUP(B9758,'SINAPI-%MO'!B:E,4,0)</f>
        <v>#N/A</v>
      </c>
      <c r="H9758" s="225" t="str">
        <f t="shared" si="152"/>
        <v/>
      </c>
    </row>
    <row r="9759" spans="2:8" x14ac:dyDescent="0.3">
      <c r="B9759">
        <v>105496</v>
      </c>
      <c r="C9759" t="s">
        <v>8047</v>
      </c>
      <c r="D9759" t="s">
        <v>180</v>
      </c>
      <c r="E9759" s="716">
        <v>0</v>
      </c>
      <c r="F9759" s="717"/>
      <c r="G9759" t="e">
        <f>VLOOKUP(B9759,'SINAPI-%MO'!B:E,4,0)</f>
        <v>#N/A</v>
      </c>
      <c r="H9759" s="225" t="str">
        <f t="shared" si="152"/>
        <v/>
      </c>
    </row>
    <row r="9760" spans="2:8" x14ac:dyDescent="0.3">
      <c r="B9760">
        <v>105425</v>
      </c>
      <c r="C9760" t="s">
        <v>8048</v>
      </c>
      <c r="D9760" t="s">
        <v>180</v>
      </c>
      <c r="E9760" s="716">
        <v>0</v>
      </c>
      <c r="F9760" s="717"/>
      <c r="G9760" t="e">
        <f>VLOOKUP(B9760,'SINAPI-%MO'!B:E,4,0)</f>
        <v>#N/A</v>
      </c>
      <c r="H9760" s="225" t="str">
        <f t="shared" si="152"/>
        <v/>
      </c>
    </row>
    <row r="9761" spans="2:8" x14ac:dyDescent="0.3">
      <c r="B9761">
        <v>105477</v>
      </c>
      <c r="C9761" t="s">
        <v>8049</v>
      </c>
      <c r="D9761" t="s">
        <v>180</v>
      </c>
      <c r="E9761" s="716">
        <v>0</v>
      </c>
      <c r="F9761" s="717"/>
      <c r="G9761" t="e">
        <f>VLOOKUP(B9761,'SINAPI-%MO'!B:E,4,0)</f>
        <v>#N/A</v>
      </c>
      <c r="H9761" s="225" t="str">
        <f t="shared" si="152"/>
        <v/>
      </c>
    </row>
    <row r="9762" spans="2:8" x14ac:dyDescent="0.3">
      <c r="B9762">
        <v>105490</v>
      </c>
      <c r="C9762" t="s">
        <v>8050</v>
      </c>
      <c r="D9762" t="s">
        <v>180</v>
      </c>
      <c r="E9762" s="716">
        <v>0</v>
      </c>
      <c r="F9762" s="717"/>
      <c r="G9762" t="e">
        <f>VLOOKUP(B9762,'SINAPI-%MO'!B:E,4,0)</f>
        <v>#N/A</v>
      </c>
      <c r="H9762" s="225" t="str">
        <f t="shared" si="152"/>
        <v/>
      </c>
    </row>
    <row r="9763" spans="2:8" x14ac:dyDescent="0.3">
      <c r="B9763">
        <v>105494</v>
      </c>
      <c r="C9763" t="s">
        <v>8051</v>
      </c>
      <c r="D9763" t="s">
        <v>180</v>
      </c>
      <c r="E9763" s="716">
        <v>0</v>
      </c>
      <c r="F9763" s="717"/>
      <c r="G9763" t="e">
        <f>VLOOKUP(B9763,'SINAPI-%MO'!B:E,4,0)</f>
        <v>#N/A</v>
      </c>
      <c r="H9763" s="225" t="str">
        <f t="shared" si="152"/>
        <v/>
      </c>
    </row>
    <row r="9764" spans="2:8" x14ac:dyDescent="0.3">
      <c r="B9764">
        <v>105417</v>
      </c>
      <c r="C9764" t="s">
        <v>8052</v>
      </c>
      <c r="D9764" t="s">
        <v>180</v>
      </c>
      <c r="E9764" s="716">
        <v>0</v>
      </c>
      <c r="F9764" s="717"/>
      <c r="G9764" t="e">
        <f>VLOOKUP(B9764,'SINAPI-%MO'!B:E,4,0)</f>
        <v>#N/A</v>
      </c>
      <c r="H9764" s="225" t="str">
        <f t="shared" si="152"/>
        <v/>
      </c>
    </row>
    <row r="9765" spans="2:8" x14ac:dyDescent="0.3">
      <c r="B9765">
        <v>105461</v>
      </c>
      <c r="C9765" t="s">
        <v>8053</v>
      </c>
      <c r="D9765" t="s">
        <v>180</v>
      </c>
      <c r="E9765" s="716">
        <v>0</v>
      </c>
      <c r="F9765" s="717"/>
      <c r="G9765" t="e">
        <f>VLOOKUP(B9765,'SINAPI-%MO'!B:E,4,0)</f>
        <v>#N/A</v>
      </c>
      <c r="H9765" s="225" t="str">
        <f t="shared" si="152"/>
        <v/>
      </c>
    </row>
    <row r="9766" spans="2:8" x14ac:dyDescent="0.3">
      <c r="B9766">
        <v>105436</v>
      </c>
      <c r="C9766" t="s">
        <v>8054</v>
      </c>
      <c r="D9766" t="s">
        <v>180</v>
      </c>
      <c r="E9766" s="716">
        <v>0</v>
      </c>
      <c r="F9766" s="717"/>
      <c r="G9766" t="e">
        <f>VLOOKUP(B9766,'SINAPI-%MO'!B:E,4,0)</f>
        <v>#N/A</v>
      </c>
      <c r="H9766" s="225" t="str">
        <f t="shared" si="152"/>
        <v/>
      </c>
    </row>
    <row r="9767" spans="2:8" x14ac:dyDescent="0.3">
      <c r="B9767">
        <v>105483</v>
      </c>
      <c r="C9767" t="s">
        <v>8055</v>
      </c>
      <c r="D9767" t="s">
        <v>180</v>
      </c>
      <c r="E9767" s="716">
        <v>0</v>
      </c>
      <c r="F9767" s="717"/>
      <c r="G9767" t="e">
        <f>VLOOKUP(B9767,'SINAPI-%MO'!B:E,4,0)</f>
        <v>#N/A</v>
      </c>
      <c r="H9767" s="225" t="str">
        <f t="shared" si="152"/>
        <v/>
      </c>
    </row>
    <row r="9768" spans="2:8" x14ac:dyDescent="0.3">
      <c r="B9768">
        <v>105505</v>
      </c>
      <c r="C9768" t="s">
        <v>8056</v>
      </c>
      <c r="D9768" t="s">
        <v>180</v>
      </c>
      <c r="E9768" s="716">
        <v>0</v>
      </c>
      <c r="F9768" s="717"/>
      <c r="G9768" t="e">
        <f>VLOOKUP(B9768,'SINAPI-%MO'!B:E,4,0)</f>
        <v>#N/A</v>
      </c>
      <c r="H9768" s="225" t="str">
        <f t="shared" si="152"/>
        <v/>
      </c>
    </row>
    <row r="9769" spans="2:8" x14ac:dyDescent="0.3">
      <c r="B9769">
        <v>105435</v>
      </c>
      <c r="C9769" t="s">
        <v>8057</v>
      </c>
      <c r="D9769" t="s">
        <v>180</v>
      </c>
      <c r="E9769" s="716">
        <v>0</v>
      </c>
      <c r="F9769" s="717"/>
      <c r="G9769" t="e">
        <f>VLOOKUP(B9769,'SINAPI-%MO'!B:E,4,0)</f>
        <v>#N/A</v>
      </c>
      <c r="H9769" s="225" t="str">
        <f t="shared" si="152"/>
        <v/>
      </c>
    </row>
    <row r="9770" spans="2:8" x14ac:dyDescent="0.3">
      <c r="B9770">
        <v>105460</v>
      </c>
      <c r="C9770" t="s">
        <v>8058</v>
      </c>
      <c r="D9770" t="s">
        <v>180</v>
      </c>
      <c r="E9770" s="716">
        <v>0</v>
      </c>
      <c r="F9770" s="717"/>
      <c r="G9770" t="e">
        <f>VLOOKUP(B9770,'SINAPI-%MO'!B:E,4,0)</f>
        <v>#N/A</v>
      </c>
      <c r="H9770" s="225" t="str">
        <f t="shared" si="152"/>
        <v/>
      </c>
    </row>
    <row r="9771" spans="2:8" x14ac:dyDescent="0.3">
      <c r="B9771">
        <v>105470</v>
      </c>
      <c r="C9771" t="s">
        <v>8059</v>
      </c>
      <c r="D9771" t="s">
        <v>180</v>
      </c>
      <c r="E9771" s="716">
        <v>0</v>
      </c>
      <c r="F9771" s="717"/>
      <c r="G9771" t="e">
        <f>VLOOKUP(B9771,'SINAPI-%MO'!B:E,4,0)</f>
        <v>#N/A</v>
      </c>
      <c r="H9771" s="225" t="str">
        <f t="shared" si="152"/>
        <v/>
      </c>
    </row>
    <row r="9772" spans="2:8" x14ac:dyDescent="0.3">
      <c r="B9772">
        <v>105504</v>
      </c>
      <c r="C9772" t="s">
        <v>8060</v>
      </c>
      <c r="D9772" t="s">
        <v>180</v>
      </c>
      <c r="E9772" s="716">
        <v>0</v>
      </c>
      <c r="F9772" s="717"/>
      <c r="G9772" t="e">
        <f>VLOOKUP(B9772,'SINAPI-%MO'!B:E,4,0)</f>
        <v>#N/A</v>
      </c>
      <c r="H9772" s="225" t="str">
        <f t="shared" si="152"/>
        <v/>
      </c>
    </row>
    <row r="9773" spans="2:8" x14ac:dyDescent="0.3">
      <c r="B9773">
        <v>105476</v>
      </c>
      <c r="C9773" t="s">
        <v>8061</v>
      </c>
      <c r="D9773" t="s">
        <v>180</v>
      </c>
      <c r="E9773" s="716">
        <v>0</v>
      </c>
      <c r="F9773" s="717"/>
      <c r="G9773" t="e">
        <f>VLOOKUP(B9773,'SINAPI-%MO'!B:E,4,0)</f>
        <v>#N/A</v>
      </c>
      <c r="H9773" s="225" t="str">
        <f t="shared" si="152"/>
        <v/>
      </c>
    </row>
    <row r="9774" spans="2:8" x14ac:dyDescent="0.3">
      <c r="B9774">
        <v>105471</v>
      </c>
      <c r="C9774" t="s">
        <v>8062</v>
      </c>
      <c r="D9774" t="s">
        <v>180</v>
      </c>
      <c r="E9774" s="716">
        <v>0</v>
      </c>
      <c r="F9774" s="717"/>
      <c r="G9774" t="e">
        <f>VLOOKUP(B9774,'SINAPI-%MO'!B:E,4,0)</f>
        <v>#N/A</v>
      </c>
      <c r="H9774" s="225" t="str">
        <f t="shared" si="152"/>
        <v/>
      </c>
    </row>
    <row r="9775" spans="2:8" x14ac:dyDescent="0.3">
      <c r="B9775">
        <v>105493</v>
      </c>
      <c r="C9775" t="s">
        <v>8063</v>
      </c>
      <c r="D9775" t="s">
        <v>180</v>
      </c>
      <c r="E9775" s="716">
        <v>0</v>
      </c>
      <c r="F9775" s="717"/>
      <c r="G9775" t="e">
        <f>VLOOKUP(B9775,'SINAPI-%MO'!B:E,4,0)</f>
        <v>#N/A</v>
      </c>
      <c r="H9775" s="225" t="str">
        <f t="shared" si="152"/>
        <v/>
      </c>
    </row>
    <row r="9776" spans="2:8" x14ac:dyDescent="0.3">
      <c r="B9776">
        <v>105482</v>
      </c>
      <c r="C9776" t="s">
        <v>8064</v>
      </c>
      <c r="D9776" t="s">
        <v>180</v>
      </c>
      <c r="E9776" s="716">
        <v>0</v>
      </c>
      <c r="F9776" s="717"/>
      <c r="G9776" t="e">
        <f>VLOOKUP(B9776,'SINAPI-%MO'!B:E,4,0)</f>
        <v>#N/A</v>
      </c>
      <c r="H9776" s="225" t="str">
        <f t="shared" si="152"/>
        <v/>
      </c>
    </row>
    <row r="9777" spans="2:8" x14ac:dyDescent="0.3">
      <c r="B9777">
        <v>105430</v>
      </c>
      <c r="C9777" t="s">
        <v>8065</v>
      </c>
      <c r="D9777" t="s">
        <v>180</v>
      </c>
      <c r="E9777" s="716">
        <v>0</v>
      </c>
      <c r="F9777" s="717"/>
      <c r="G9777" t="e">
        <f>VLOOKUP(B9777,'SINAPI-%MO'!B:E,4,0)</f>
        <v>#N/A</v>
      </c>
      <c r="H9777" s="225" t="str">
        <f t="shared" ref="H9777:H9840" si="153">IF(E9777&gt;0,TRUNC(E9777*(1-G9777),2),"")</f>
        <v/>
      </c>
    </row>
    <row r="9778" spans="2:8" x14ac:dyDescent="0.3">
      <c r="B9778">
        <v>105440</v>
      </c>
      <c r="C9778" t="s">
        <v>8066</v>
      </c>
      <c r="D9778" t="s">
        <v>180</v>
      </c>
      <c r="E9778" s="716">
        <v>0</v>
      </c>
      <c r="F9778" s="717"/>
      <c r="G9778" t="e">
        <f>VLOOKUP(B9778,'SINAPI-%MO'!B:E,4,0)</f>
        <v>#N/A</v>
      </c>
      <c r="H9778" s="225" t="str">
        <f t="shared" si="153"/>
        <v/>
      </c>
    </row>
    <row r="9779" spans="2:8" x14ac:dyDescent="0.3">
      <c r="B9779">
        <v>105465</v>
      </c>
      <c r="C9779" t="s">
        <v>8067</v>
      </c>
      <c r="D9779" t="s">
        <v>180</v>
      </c>
      <c r="E9779" s="716">
        <v>0</v>
      </c>
      <c r="F9779" s="717"/>
      <c r="G9779" t="e">
        <f>VLOOKUP(B9779,'SINAPI-%MO'!B:E,4,0)</f>
        <v>#N/A</v>
      </c>
      <c r="H9779" s="225" t="str">
        <f t="shared" si="153"/>
        <v/>
      </c>
    </row>
    <row r="9780" spans="2:8" x14ac:dyDescent="0.3">
      <c r="B9780">
        <v>105499</v>
      </c>
      <c r="C9780" t="s">
        <v>8068</v>
      </c>
      <c r="D9780" t="s">
        <v>180</v>
      </c>
      <c r="E9780" s="716">
        <v>0</v>
      </c>
      <c r="F9780" s="717"/>
      <c r="G9780" t="e">
        <f>VLOOKUP(B9780,'SINAPI-%MO'!B:E,4,0)</f>
        <v>#N/A</v>
      </c>
      <c r="H9780" s="225" t="str">
        <f t="shared" si="153"/>
        <v/>
      </c>
    </row>
    <row r="9781" spans="2:8" x14ac:dyDescent="0.3">
      <c r="B9781">
        <v>105431</v>
      </c>
      <c r="C9781" t="s">
        <v>8069</v>
      </c>
      <c r="D9781" t="s">
        <v>180</v>
      </c>
      <c r="E9781" s="716">
        <v>0</v>
      </c>
      <c r="F9781" s="717"/>
      <c r="G9781" t="e">
        <f>VLOOKUP(B9781,'SINAPI-%MO'!B:E,4,0)</f>
        <v>#N/A</v>
      </c>
      <c r="H9781" s="225" t="str">
        <f t="shared" si="153"/>
        <v/>
      </c>
    </row>
    <row r="9782" spans="2:8" x14ac:dyDescent="0.3">
      <c r="B9782">
        <v>105441</v>
      </c>
      <c r="C9782" t="s">
        <v>8070</v>
      </c>
      <c r="D9782" t="s">
        <v>180</v>
      </c>
      <c r="E9782" s="716">
        <v>0</v>
      </c>
      <c r="F9782" s="717"/>
      <c r="G9782" t="e">
        <f>VLOOKUP(B9782,'SINAPI-%MO'!B:E,4,0)</f>
        <v>#N/A</v>
      </c>
      <c r="H9782" s="225" t="str">
        <f t="shared" si="153"/>
        <v/>
      </c>
    </row>
    <row r="9783" spans="2:8" x14ac:dyDescent="0.3">
      <c r="B9783">
        <v>105466</v>
      </c>
      <c r="C9783" t="s">
        <v>8071</v>
      </c>
      <c r="D9783" t="s">
        <v>180</v>
      </c>
      <c r="E9783" s="716">
        <v>0</v>
      </c>
      <c r="F9783" s="717"/>
      <c r="G9783" t="e">
        <f>VLOOKUP(B9783,'SINAPI-%MO'!B:E,4,0)</f>
        <v>#N/A</v>
      </c>
      <c r="H9783" s="225" t="str">
        <f t="shared" si="153"/>
        <v/>
      </c>
    </row>
    <row r="9784" spans="2:8" x14ac:dyDescent="0.3">
      <c r="B9784">
        <v>105500</v>
      </c>
      <c r="C9784" t="s">
        <v>8072</v>
      </c>
      <c r="D9784" t="s">
        <v>180</v>
      </c>
      <c r="E9784" s="716">
        <v>0</v>
      </c>
      <c r="F9784" s="717"/>
      <c r="G9784" t="e">
        <f>VLOOKUP(B9784,'SINAPI-%MO'!B:E,4,0)</f>
        <v>#N/A</v>
      </c>
      <c r="H9784" s="225" t="str">
        <f t="shared" si="153"/>
        <v/>
      </c>
    </row>
    <row r="9785" spans="2:8" x14ac:dyDescent="0.3">
      <c r="B9785">
        <v>105429</v>
      </c>
      <c r="C9785" t="s">
        <v>8073</v>
      </c>
      <c r="D9785" t="s">
        <v>180</v>
      </c>
      <c r="E9785" s="716">
        <v>0</v>
      </c>
      <c r="F9785" s="717"/>
      <c r="G9785" t="e">
        <f>VLOOKUP(B9785,'SINAPI-%MO'!B:E,4,0)</f>
        <v>#N/A</v>
      </c>
      <c r="H9785" s="225" t="str">
        <f t="shared" si="153"/>
        <v/>
      </c>
    </row>
    <row r="9786" spans="2:8" x14ac:dyDescent="0.3">
      <c r="B9786">
        <v>105439</v>
      </c>
      <c r="C9786" t="s">
        <v>8074</v>
      </c>
      <c r="D9786" t="s">
        <v>180</v>
      </c>
      <c r="E9786" s="716">
        <v>0</v>
      </c>
      <c r="F9786" s="717"/>
      <c r="G9786" t="e">
        <f>VLOOKUP(B9786,'SINAPI-%MO'!B:E,4,0)</f>
        <v>#N/A</v>
      </c>
      <c r="H9786" s="225" t="str">
        <f t="shared" si="153"/>
        <v/>
      </c>
    </row>
    <row r="9787" spans="2:8" x14ac:dyDescent="0.3">
      <c r="B9787">
        <v>105464</v>
      </c>
      <c r="C9787" t="s">
        <v>8075</v>
      </c>
      <c r="D9787" t="s">
        <v>180</v>
      </c>
      <c r="E9787" s="716">
        <v>0</v>
      </c>
      <c r="F9787" s="717"/>
      <c r="G9787" t="e">
        <f>VLOOKUP(B9787,'SINAPI-%MO'!B:E,4,0)</f>
        <v>#N/A</v>
      </c>
      <c r="H9787" s="225" t="str">
        <f t="shared" si="153"/>
        <v/>
      </c>
    </row>
    <row r="9788" spans="2:8" x14ac:dyDescent="0.3">
      <c r="B9788">
        <v>105489</v>
      </c>
      <c r="C9788" t="s">
        <v>8076</v>
      </c>
      <c r="D9788" t="s">
        <v>180</v>
      </c>
      <c r="E9788" s="716">
        <v>0</v>
      </c>
      <c r="F9788" s="717"/>
      <c r="G9788" t="e">
        <f>VLOOKUP(B9788,'SINAPI-%MO'!B:E,4,0)</f>
        <v>#N/A</v>
      </c>
      <c r="H9788" s="225" t="str">
        <f t="shared" si="153"/>
        <v/>
      </c>
    </row>
    <row r="9789" spans="2:8" x14ac:dyDescent="0.3">
      <c r="B9789">
        <v>105437</v>
      </c>
      <c r="C9789" t="s">
        <v>8077</v>
      </c>
      <c r="D9789" t="s">
        <v>180</v>
      </c>
      <c r="E9789" s="716">
        <v>0</v>
      </c>
      <c r="F9789" s="717"/>
      <c r="G9789" t="e">
        <f>VLOOKUP(B9789,'SINAPI-%MO'!B:E,4,0)</f>
        <v>#N/A</v>
      </c>
      <c r="H9789" s="225" t="str">
        <f t="shared" si="153"/>
        <v/>
      </c>
    </row>
    <row r="9790" spans="2:8" x14ac:dyDescent="0.3">
      <c r="B9790">
        <v>105462</v>
      </c>
      <c r="C9790" t="s">
        <v>8078</v>
      </c>
      <c r="D9790" t="s">
        <v>180</v>
      </c>
      <c r="E9790" s="716">
        <v>0</v>
      </c>
      <c r="F9790" s="717"/>
      <c r="G9790" t="e">
        <f>VLOOKUP(B9790,'SINAPI-%MO'!B:E,4,0)</f>
        <v>#N/A</v>
      </c>
      <c r="H9790" s="225" t="str">
        <f t="shared" si="153"/>
        <v/>
      </c>
    </row>
    <row r="9791" spans="2:8" x14ac:dyDescent="0.3">
      <c r="B9791">
        <v>105484</v>
      </c>
      <c r="C9791" t="s">
        <v>8079</v>
      </c>
      <c r="D9791" t="s">
        <v>180</v>
      </c>
      <c r="E9791" s="716">
        <v>0</v>
      </c>
      <c r="F9791" s="717"/>
      <c r="G9791" t="e">
        <f>VLOOKUP(B9791,'SINAPI-%MO'!B:E,4,0)</f>
        <v>#N/A</v>
      </c>
      <c r="H9791" s="225" t="str">
        <f t="shared" si="153"/>
        <v/>
      </c>
    </row>
    <row r="9792" spans="2:8" x14ac:dyDescent="0.3">
      <c r="B9792">
        <v>105506</v>
      </c>
      <c r="C9792" t="s">
        <v>8080</v>
      </c>
      <c r="D9792" t="s">
        <v>180</v>
      </c>
      <c r="E9792" s="716">
        <v>0</v>
      </c>
      <c r="F9792" s="717"/>
      <c r="G9792" t="e">
        <f>VLOOKUP(B9792,'SINAPI-%MO'!B:E,4,0)</f>
        <v>#N/A</v>
      </c>
      <c r="H9792" s="225" t="str">
        <f t="shared" si="153"/>
        <v/>
      </c>
    </row>
    <row r="9793" spans="2:8" x14ac:dyDescent="0.3">
      <c r="B9793">
        <v>105432</v>
      </c>
      <c r="C9793" t="s">
        <v>8081</v>
      </c>
      <c r="D9793" t="s">
        <v>180</v>
      </c>
      <c r="E9793" s="716">
        <v>0</v>
      </c>
      <c r="F9793" s="717"/>
      <c r="G9793" t="e">
        <f>VLOOKUP(B9793,'SINAPI-%MO'!B:E,4,0)</f>
        <v>#N/A</v>
      </c>
      <c r="H9793" s="225" t="str">
        <f t="shared" si="153"/>
        <v/>
      </c>
    </row>
    <row r="9794" spans="2:8" x14ac:dyDescent="0.3">
      <c r="B9794">
        <v>105457</v>
      </c>
      <c r="C9794" t="s">
        <v>8082</v>
      </c>
      <c r="D9794" t="s">
        <v>180</v>
      </c>
      <c r="E9794" s="716">
        <v>0</v>
      </c>
      <c r="F9794" s="717"/>
      <c r="G9794" t="e">
        <f>VLOOKUP(B9794,'SINAPI-%MO'!B:E,4,0)</f>
        <v>#N/A</v>
      </c>
      <c r="H9794" s="225" t="str">
        <f t="shared" si="153"/>
        <v/>
      </c>
    </row>
    <row r="9795" spans="2:8" x14ac:dyDescent="0.3">
      <c r="B9795">
        <v>105467</v>
      </c>
      <c r="C9795" t="s">
        <v>8083</v>
      </c>
      <c r="D9795" t="s">
        <v>180</v>
      </c>
      <c r="E9795" s="716">
        <v>0</v>
      </c>
      <c r="F9795" s="717"/>
      <c r="G9795" t="e">
        <f>VLOOKUP(B9795,'SINAPI-%MO'!B:E,4,0)</f>
        <v>#N/A</v>
      </c>
      <c r="H9795" s="225" t="str">
        <f t="shared" si="153"/>
        <v/>
      </c>
    </row>
    <row r="9796" spans="2:8" x14ac:dyDescent="0.3">
      <c r="B9796">
        <v>105501</v>
      </c>
      <c r="C9796" t="s">
        <v>8084</v>
      </c>
      <c r="D9796" t="s">
        <v>180</v>
      </c>
      <c r="E9796" s="716">
        <v>0</v>
      </c>
      <c r="F9796" s="717"/>
      <c r="G9796" t="e">
        <f>VLOOKUP(B9796,'SINAPI-%MO'!B:E,4,0)</f>
        <v>#N/A</v>
      </c>
      <c r="H9796" s="225" t="str">
        <f t="shared" si="153"/>
        <v/>
      </c>
    </row>
    <row r="9797" spans="2:8" x14ac:dyDescent="0.3">
      <c r="B9797">
        <v>105433</v>
      </c>
      <c r="C9797" t="s">
        <v>8085</v>
      </c>
      <c r="D9797" t="s">
        <v>180</v>
      </c>
      <c r="E9797" s="716">
        <v>0</v>
      </c>
      <c r="F9797" s="717"/>
      <c r="G9797" t="e">
        <f>VLOOKUP(B9797,'SINAPI-%MO'!B:E,4,0)</f>
        <v>#N/A</v>
      </c>
      <c r="H9797" s="225" t="str">
        <f t="shared" si="153"/>
        <v/>
      </c>
    </row>
    <row r="9798" spans="2:8" x14ac:dyDescent="0.3">
      <c r="B9798">
        <v>105458</v>
      </c>
      <c r="C9798" t="s">
        <v>8086</v>
      </c>
      <c r="D9798" t="s">
        <v>180</v>
      </c>
      <c r="E9798" s="716">
        <v>0</v>
      </c>
      <c r="F9798" s="717"/>
      <c r="G9798" t="e">
        <f>VLOOKUP(B9798,'SINAPI-%MO'!B:E,4,0)</f>
        <v>#N/A</v>
      </c>
      <c r="H9798" s="225" t="str">
        <f t="shared" si="153"/>
        <v/>
      </c>
    </row>
    <row r="9799" spans="2:8" x14ac:dyDescent="0.3">
      <c r="B9799">
        <v>105468</v>
      </c>
      <c r="C9799" t="s">
        <v>8087</v>
      </c>
      <c r="D9799" t="s">
        <v>180</v>
      </c>
      <c r="E9799" s="716">
        <v>0</v>
      </c>
      <c r="F9799" s="717"/>
      <c r="G9799" t="e">
        <f>VLOOKUP(B9799,'SINAPI-%MO'!B:E,4,0)</f>
        <v>#N/A</v>
      </c>
      <c r="H9799" s="225" t="str">
        <f t="shared" si="153"/>
        <v/>
      </c>
    </row>
    <row r="9800" spans="2:8" x14ac:dyDescent="0.3">
      <c r="B9800">
        <v>105502</v>
      </c>
      <c r="C9800" t="s">
        <v>8088</v>
      </c>
      <c r="D9800" t="s">
        <v>180</v>
      </c>
      <c r="E9800" s="716">
        <v>0</v>
      </c>
      <c r="F9800" s="717"/>
      <c r="G9800" t="e">
        <f>VLOOKUP(B9800,'SINAPI-%MO'!B:E,4,0)</f>
        <v>#N/A</v>
      </c>
      <c r="H9800" s="225" t="str">
        <f t="shared" si="153"/>
        <v/>
      </c>
    </row>
    <row r="9801" spans="2:8" x14ac:dyDescent="0.3">
      <c r="B9801">
        <v>105434</v>
      </c>
      <c r="C9801" t="s">
        <v>8089</v>
      </c>
      <c r="D9801" t="s">
        <v>180</v>
      </c>
      <c r="E9801" s="716">
        <v>0</v>
      </c>
      <c r="F9801" s="717"/>
      <c r="G9801" t="e">
        <f>VLOOKUP(B9801,'SINAPI-%MO'!B:E,4,0)</f>
        <v>#N/A</v>
      </c>
      <c r="H9801" s="225" t="str">
        <f t="shared" si="153"/>
        <v/>
      </c>
    </row>
    <row r="9802" spans="2:8" x14ac:dyDescent="0.3">
      <c r="B9802">
        <v>105459</v>
      </c>
      <c r="C9802" t="s">
        <v>8090</v>
      </c>
      <c r="D9802" t="s">
        <v>180</v>
      </c>
      <c r="E9802" s="716">
        <v>0</v>
      </c>
      <c r="F9802" s="717"/>
      <c r="G9802" t="e">
        <f>VLOOKUP(B9802,'SINAPI-%MO'!B:E,4,0)</f>
        <v>#N/A</v>
      </c>
      <c r="H9802" s="225" t="str">
        <f t="shared" si="153"/>
        <v/>
      </c>
    </row>
    <row r="9803" spans="2:8" x14ac:dyDescent="0.3">
      <c r="B9803">
        <v>105469</v>
      </c>
      <c r="C9803" t="s">
        <v>8091</v>
      </c>
      <c r="D9803" t="s">
        <v>180</v>
      </c>
      <c r="E9803" s="716">
        <v>0</v>
      </c>
      <c r="F9803" s="717"/>
      <c r="G9803" t="e">
        <f>VLOOKUP(B9803,'SINAPI-%MO'!B:E,4,0)</f>
        <v>#N/A</v>
      </c>
      <c r="H9803" s="225" t="str">
        <f t="shared" si="153"/>
        <v/>
      </c>
    </row>
    <row r="9804" spans="2:8" x14ac:dyDescent="0.3">
      <c r="B9804">
        <v>105503</v>
      </c>
      <c r="C9804" t="s">
        <v>8092</v>
      </c>
      <c r="D9804" t="s">
        <v>180</v>
      </c>
      <c r="E9804" s="716">
        <v>0</v>
      </c>
      <c r="F9804" s="717"/>
      <c r="G9804" t="e">
        <f>VLOOKUP(B9804,'SINAPI-%MO'!B:E,4,0)</f>
        <v>#N/A</v>
      </c>
      <c r="H9804" s="225" t="str">
        <f t="shared" si="153"/>
        <v/>
      </c>
    </row>
    <row r="9805" spans="2:8" x14ac:dyDescent="0.3">
      <c r="B9805">
        <v>105472</v>
      </c>
      <c r="C9805" t="s">
        <v>8093</v>
      </c>
      <c r="D9805" t="s">
        <v>180</v>
      </c>
      <c r="E9805" s="716">
        <v>0</v>
      </c>
      <c r="F9805" s="717"/>
      <c r="G9805" t="e">
        <f>VLOOKUP(B9805,'SINAPI-%MO'!B:E,4,0)</f>
        <v>#N/A</v>
      </c>
      <c r="H9805" s="225" t="str">
        <f t="shared" si="153"/>
        <v/>
      </c>
    </row>
    <row r="9806" spans="2:8" x14ac:dyDescent="0.3">
      <c r="B9806">
        <v>105413</v>
      </c>
      <c r="C9806" t="s">
        <v>8094</v>
      </c>
      <c r="D9806" t="s">
        <v>180</v>
      </c>
      <c r="E9806" s="716">
        <v>0</v>
      </c>
      <c r="F9806" s="717"/>
      <c r="G9806" t="e">
        <f>VLOOKUP(B9806,'SINAPI-%MO'!B:E,4,0)</f>
        <v>#N/A</v>
      </c>
      <c r="H9806" s="225" t="str">
        <f t="shared" si="153"/>
        <v/>
      </c>
    </row>
    <row r="9807" spans="2:8" x14ac:dyDescent="0.3">
      <c r="B9807">
        <v>105423</v>
      </c>
      <c r="C9807" t="s">
        <v>8095</v>
      </c>
      <c r="D9807" t="s">
        <v>180</v>
      </c>
      <c r="E9807" s="716">
        <v>0</v>
      </c>
      <c r="F9807" s="717"/>
      <c r="G9807" t="e">
        <f>VLOOKUP(B9807,'SINAPI-%MO'!B:E,4,0)</f>
        <v>#N/A</v>
      </c>
      <c r="H9807" s="225" t="str">
        <f t="shared" si="153"/>
        <v/>
      </c>
    </row>
    <row r="9808" spans="2:8" x14ac:dyDescent="0.3">
      <c r="B9808">
        <v>105447</v>
      </c>
      <c r="C9808" t="s">
        <v>8096</v>
      </c>
      <c r="D9808" t="s">
        <v>180</v>
      </c>
      <c r="E9808" s="716">
        <v>0</v>
      </c>
      <c r="F9808" s="717"/>
      <c r="G9808" t="e">
        <f>VLOOKUP(B9808,'SINAPI-%MO'!B:E,4,0)</f>
        <v>#N/A</v>
      </c>
      <c r="H9808" s="225" t="str">
        <f t="shared" si="153"/>
        <v/>
      </c>
    </row>
    <row r="9809" spans="2:8" x14ac:dyDescent="0.3">
      <c r="B9809">
        <v>105408</v>
      </c>
      <c r="C9809" t="s">
        <v>8097</v>
      </c>
      <c r="D9809" t="s">
        <v>180</v>
      </c>
      <c r="E9809" s="716">
        <v>0</v>
      </c>
      <c r="F9809" s="717"/>
      <c r="G9809" t="e">
        <f>VLOOKUP(B9809,'SINAPI-%MO'!B:E,4,0)</f>
        <v>#N/A</v>
      </c>
      <c r="H9809" s="225" t="str">
        <f t="shared" si="153"/>
        <v/>
      </c>
    </row>
    <row r="9810" spans="2:8" x14ac:dyDescent="0.3">
      <c r="B9810">
        <v>105479</v>
      </c>
      <c r="C9810" t="s">
        <v>8098</v>
      </c>
      <c r="D9810" t="s">
        <v>180</v>
      </c>
      <c r="E9810" s="716">
        <v>0</v>
      </c>
      <c r="F9810" s="717"/>
      <c r="G9810" t="e">
        <f>VLOOKUP(B9810,'SINAPI-%MO'!B:E,4,0)</f>
        <v>#N/A</v>
      </c>
      <c r="H9810" s="225" t="str">
        <f t="shared" si="153"/>
        <v/>
      </c>
    </row>
    <row r="9811" spans="2:8" x14ac:dyDescent="0.3">
      <c r="B9811">
        <v>105422</v>
      </c>
      <c r="C9811" t="s">
        <v>8099</v>
      </c>
      <c r="D9811" t="s">
        <v>180</v>
      </c>
      <c r="E9811" s="716">
        <v>0</v>
      </c>
      <c r="F9811" s="717"/>
      <c r="G9811" t="e">
        <f>VLOOKUP(B9811,'SINAPI-%MO'!B:E,4,0)</f>
        <v>#N/A</v>
      </c>
      <c r="H9811" s="225" t="str">
        <f t="shared" si="153"/>
        <v/>
      </c>
    </row>
    <row r="9812" spans="2:8" x14ac:dyDescent="0.3">
      <c r="B9812">
        <v>105446</v>
      </c>
      <c r="C9812" t="s">
        <v>8100</v>
      </c>
      <c r="D9812" t="s">
        <v>180</v>
      </c>
      <c r="E9812" s="716">
        <v>0</v>
      </c>
      <c r="F9812" s="717"/>
      <c r="G9812" t="e">
        <f>VLOOKUP(B9812,'SINAPI-%MO'!B:E,4,0)</f>
        <v>#N/A</v>
      </c>
      <c r="H9812" s="225" t="str">
        <f t="shared" si="153"/>
        <v/>
      </c>
    </row>
    <row r="9813" spans="2:8" x14ac:dyDescent="0.3">
      <c r="B9813">
        <v>105474</v>
      </c>
      <c r="C9813" t="s">
        <v>8101</v>
      </c>
      <c r="D9813" t="s">
        <v>180</v>
      </c>
      <c r="E9813" s="716">
        <v>0</v>
      </c>
      <c r="F9813" s="717"/>
      <c r="G9813" t="e">
        <f>VLOOKUP(B9813,'SINAPI-%MO'!B:E,4,0)</f>
        <v>#N/A</v>
      </c>
      <c r="H9813" s="225" t="str">
        <f t="shared" si="153"/>
        <v/>
      </c>
    </row>
    <row r="9814" spans="2:8" x14ac:dyDescent="0.3">
      <c r="B9814">
        <v>105480</v>
      </c>
      <c r="C9814" t="s">
        <v>8102</v>
      </c>
      <c r="D9814" t="s">
        <v>180</v>
      </c>
      <c r="E9814" s="716">
        <v>0</v>
      </c>
      <c r="F9814" s="717"/>
      <c r="G9814" t="e">
        <f>VLOOKUP(B9814,'SINAPI-%MO'!B:E,4,0)</f>
        <v>#N/A</v>
      </c>
      <c r="H9814" s="225" t="str">
        <f t="shared" si="153"/>
        <v/>
      </c>
    </row>
    <row r="9815" spans="2:8" x14ac:dyDescent="0.3">
      <c r="B9815">
        <v>105481</v>
      </c>
      <c r="C9815" t="s">
        <v>8103</v>
      </c>
      <c r="D9815" t="s">
        <v>180</v>
      </c>
      <c r="E9815" s="716">
        <v>0</v>
      </c>
      <c r="F9815" s="717"/>
      <c r="G9815" t="e">
        <f>VLOOKUP(B9815,'SINAPI-%MO'!B:E,4,0)</f>
        <v>#N/A</v>
      </c>
      <c r="H9815" s="225" t="str">
        <f t="shared" si="153"/>
        <v/>
      </c>
    </row>
    <row r="9816" spans="2:8" x14ac:dyDescent="0.3">
      <c r="B9816">
        <v>105449</v>
      </c>
      <c r="C9816" t="s">
        <v>8104</v>
      </c>
      <c r="D9816" t="s">
        <v>180</v>
      </c>
      <c r="E9816" s="716">
        <v>0</v>
      </c>
      <c r="F9816" s="717"/>
      <c r="G9816" t="e">
        <f>VLOOKUP(B9816,'SINAPI-%MO'!B:E,4,0)</f>
        <v>#N/A</v>
      </c>
      <c r="H9816" s="225" t="str">
        <f t="shared" si="153"/>
        <v/>
      </c>
    </row>
    <row r="9817" spans="2:8" x14ac:dyDescent="0.3">
      <c r="B9817">
        <v>105511</v>
      </c>
      <c r="C9817" t="s">
        <v>8105</v>
      </c>
      <c r="D9817" t="s">
        <v>8106</v>
      </c>
      <c r="E9817" s="716">
        <v>0</v>
      </c>
      <c r="F9817" s="717"/>
      <c r="G9817" t="e">
        <f>VLOOKUP(B9817,'SINAPI-%MO'!B:E,4,0)</f>
        <v>#N/A</v>
      </c>
      <c r="H9817" s="225" t="str">
        <f t="shared" si="153"/>
        <v/>
      </c>
    </row>
    <row r="9818" spans="2:8" x14ac:dyDescent="0.3">
      <c r="B9818">
        <v>105507</v>
      </c>
      <c r="C9818" t="s">
        <v>8107</v>
      </c>
      <c r="D9818" t="s">
        <v>8106</v>
      </c>
      <c r="E9818" s="716">
        <v>0</v>
      </c>
      <c r="F9818" s="717"/>
      <c r="G9818" t="e">
        <f>VLOOKUP(B9818,'SINAPI-%MO'!B:E,4,0)</f>
        <v>#N/A</v>
      </c>
      <c r="H9818" s="225" t="str">
        <f t="shared" si="153"/>
        <v/>
      </c>
    </row>
    <row r="9819" spans="2:8" x14ac:dyDescent="0.3">
      <c r="B9819">
        <v>105512</v>
      </c>
      <c r="C9819" t="s">
        <v>8108</v>
      </c>
      <c r="D9819" t="s">
        <v>8106</v>
      </c>
      <c r="E9819" s="716">
        <v>0</v>
      </c>
      <c r="F9819" s="717"/>
      <c r="G9819" t="e">
        <f>VLOOKUP(B9819,'SINAPI-%MO'!B:E,4,0)</f>
        <v>#N/A</v>
      </c>
      <c r="H9819" s="225" t="str">
        <f t="shared" si="153"/>
        <v/>
      </c>
    </row>
    <row r="9820" spans="2:8" x14ac:dyDescent="0.3">
      <c r="B9820">
        <v>105508</v>
      </c>
      <c r="C9820" t="s">
        <v>8109</v>
      </c>
      <c r="D9820" t="s">
        <v>8106</v>
      </c>
      <c r="E9820" s="716">
        <v>0</v>
      </c>
      <c r="F9820" s="717"/>
      <c r="G9820" t="e">
        <f>VLOOKUP(B9820,'SINAPI-%MO'!B:E,4,0)</f>
        <v>#N/A</v>
      </c>
      <c r="H9820" s="225" t="str">
        <f t="shared" si="153"/>
        <v/>
      </c>
    </row>
    <row r="9821" spans="2:8" x14ac:dyDescent="0.3">
      <c r="B9821">
        <v>105513</v>
      </c>
      <c r="C9821" t="s">
        <v>8110</v>
      </c>
      <c r="D9821" t="s">
        <v>8106</v>
      </c>
      <c r="E9821" s="716">
        <v>0</v>
      </c>
      <c r="F9821" s="717"/>
      <c r="G9821" t="e">
        <f>VLOOKUP(B9821,'SINAPI-%MO'!B:E,4,0)</f>
        <v>#N/A</v>
      </c>
      <c r="H9821" s="225" t="str">
        <f t="shared" si="153"/>
        <v/>
      </c>
    </row>
    <row r="9822" spans="2:8" x14ac:dyDescent="0.3">
      <c r="B9822">
        <v>105509</v>
      </c>
      <c r="C9822" t="s">
        <v>8111</v>
      </c>
      <c r="D9822" t="s">
        <v>8106</v>
      </c>
      <c r="E9822" s="716">
        <v>0</v>
      </c>
      <c r="F9822" s="717"/>
      <c r="G9822" t="e">
        <f>VLOOKUP(B9822,'SINAPI-%MO'!B:E,4,0)</f>
        <v>#N/A</v>
      </c>
      <c r="H9822" s="225" t="str">
        <f t="shared" si="153"/>
        <v/>
      </c>
    </row>
    <row r="9823" spans="2:8" x14ac:dyDescent="0.3">
      <c r="B9823">
        <v>105514</v>
      </c>
      <c r="C9823" t="s">
        <v>8112</v>
      </c>
      <c r="D9823" t="s">
        <v>8106</v>
      </c>
      <c r="E9823" s="716">
        <v>0</v>
      </c>
      <c r="F9823" s="717"/>
      <c r="G9823" t="e">
        <f>VLOOKUP(B9823,'SINAPI-%MO'!B:E,4,0)</f>
        <v>#N/A</v>
      </c>
      <c r="H9823" s="225" t="str">
        <f t="shared" si="153"/>
        <v/>
      </c>
    </row>
    <row r="9824" spans="2:8" x14ac:dyDescent="0.3">
      <c r="B9824">
        <v>105510</v>
      </c>
      <c r="C9824" t="s">
        <v>8113</v>
      </c>
      <c r="D9824" t="s">
        <v>8106</v>
      </c>
      <c r="E9824" s="716">
        <v>0</v>
      </c>
      <c r="F9824" s="717"/>
      <c r="G9824" t="e">
        <f>VLOOKUP(B9824,'SINAPI-%MO'!B:E,4,0)</f>
        <v>#N/A</v>
      </c>
      <c r="H9824" s="225" t="str">
        <f t="shared" si="153"/>
        <v/>
      </c>
    </row>
    <row r="9825" spans="2:8" x14ac:dyDescent="0.3">
      <c r="B9825">
        <v>100207</v>
      </c>
      <c r="C9825" t="s">
        <v>14418</v>
      </c>
      <c r="D9825" t="s">
        <v>8114</v>
      </c>
      <c r="E9825" s="716">
        <v>923.46</v>
      </c>
      <c r="F9825" s="717">
        <v>0</v>
      </c>
      <c r="G9825">
        <f>VLOOKUP(B9825,'SINAPI-%MO'!B:E,4,0)</f>
        <v>0.53610000000000002</v>
      </c>
      <c r="H9825" s="225">
        <f t="shared" si="153"/>
        <v>428.39</v>
      </c>
    </row>
    <row r="9826" spans="2:8" x14ac:dyDescent="0.3">
      <c r="B9826">
        <v>100221</v>
      </c>
      <c r="C9826" t="s">
        <v>14419</v>
      </c>
      <c r="D9826" t="s">
        <v>8116</v>
      </c>
      <c r="E9826" s="716">
        <v>40.68</v>
      </c>
      <c r="F9826" s="717">
        <v>0</v>
      </c>
      <c r="G9826">
        <f>VLOOKUP(B9826,'SINAPI-%MO'!B:E,4,0)</f>
        <v>1</v>
      </c>
      <c r="H9826" s="225">
        <f t="shared" si="153"/>
        <v>0</v>
      </c>
    </row>
    <row r="9827" spans="2:8" x14ac:dyDescent="0.3">
      <c r="B9827">
        <v>100203</v>
      </c>
      <c r="C9827" t="s">
        <v>14420</v>
      </c>
      <c r="D9827" t="s">
        <v>8117</v>
      </c>
      <c r="E9827" s="716">
        <v>1.42</v>
      </c>
      <c r="F9827" s="717">
        <v>0</v>
      </c>
      <c r="G9827">
        <f>VLOOKUP(B9827,'SINAPI-%MO'!B:E,4,0)</f>
        <v>1</v>
      </c>
      <c r="H9827" s="225">
        <f t="shared" si="153"/>
        <v>0</v>
      </c>
    </row>
    <row r="9828" spans="2:8" x14ac:dyDescent="0.3">
      <c r="B9828">
        <v>100202</v>
      </c>
      <c r="C9828" t="s">
        <v>14421</v>
      </c>
      <c r="D9828" t="s">
        <v>8117</v>
      </c>
      <c r="E9828" s="716">
        <v>1.2</v>
      </c>
      <c r="F9828" s="717">
        <v>0</v>
      </c>
      <c r="G9828">
        <f>VLOOKUP(B9828,'SINAPI-%MO'!B:E,4,0)</f>
        <v>1</v>
      </c>
      <c r="H9828" s="225">
        <f t="shared" si="153"/>
        <v>0</v>
      </c>
    </row>
    <row r="9829" spans="2:8" x14ac:dyDescent="0.3">
      <c r="B9829">
        <v>100201</v>
      </c>
      <c r="C9829" t="s">
        <v>14422</v>
      </c>
      <c r="D9829" t="s">
        <v>8117</v>
      </c>
      <c r="E9829" s="716">
        <v>1.03</v>
      </c>
      <c r="F9829" s="717">
        <v>0</v>
      </c>
      <c r="G9829">
        <f>VLOOKUP(B9829,'SINAPI-%MO'!B:E,4,0)</f>
        <v>1</v>
      </c>
      <c r="H9829" s="225">
        <f t="shared" si="153"/>
        <v>0</v>
      </c>
    </row>
    <row r="9830" spans="2:8" x14ac:dyDescent="0.3">
      <c r="B9830">
        <v>100211</v>
      </c>
      <c r="C9830" t="s">
        <v>14423</v>
      </c>
      <c r="D9830" t="s">
        <v>8115</v>
      </c>
      <c r="E9830" s="716">
        <v>8.8800000000000008</v>
      </c>
      <c r="F9830" s="717">
        <v>0</v>
      </c>
      <c r="G9830">
        <f>VLOOKUP(B9830,'SINAPI-%MO'!B:E,4,0)</f>
        <v>1</v>
      </c>
      <c r="H9830" s="225">
        <f t="shared" si="153"/>
        <v>0</v>
      </c>
    </row>
    <row r="9831" spans="2:8" x14ac:dyDescent="0.3">
      <c r="B9831">
        <v>100210</v>
      </c>
      <c r="C9831" t="s">
        <v>14424</v>
      </c>
      <c r="D9831" t="s">
        <v>8115</v>
      </c>
      <c r="E9831" s="716">
        <v>23.01</v>
      </c>
      <c r="F9831" s="717">
        <v>0</v>
      </c>
      <c r="G9831">
        <f>VLOOKUP(B9831,'SINAPI-%MO'!B:E,4,0)</f>
        <v>1</v>
      </c>
      <c r="H9831" s="225">
        <f t="shared" si="153"/>
        <v>0</v>
      </c>
    </row>
    <row r="9832" spans="2:8" x14ac:dyDescent="0.3">
      <c r="B9832">
        <v>100216</v>
      </c>
      <c r="C9832" t="s">
        <v>14425</v>
      </c>
      <c r="D9832" t="s">
        <v>8115</v>
      </c>
      <c r="E9832" s="716">
        <v>1.24</v>
      </c>
      <c r="F9832" s="717">
        <v>0</v>
      </c>
      <c r="G9832">
        <f>VLOOKUP(B9832,'SINAPI-%MO'!B:E,4,0)</f>
        <v>1</v>
      </c>
      <c r="H9832" s="225">
        <f t="shared" si="153"/>
        <v>0</v>
      </c>
    </row>
    <row r="9833" spans="2:8" x14ac:dyDescent="0.3">
      <c r="B9833">
        <v>100215</v>
      </c>
      <c r="C9833" t="s">
        <v>14426</v>
      </c>
      <c r="D9833" t="s">
        <v>8115</v>
      </c>
      <c r="E9833" s="716">
        <v>4.6399999999999997</v>
      </c>
      <c r="F9833" s="717">
        <v>0</v>
      </c>
      <c r="G9833">
        <f>VLOOKUP(B9833,'SINAPI-%MO'!B:E,4,0)</f>
        <v>1</v>
      </c>
      <c r="H9833" s="225">
        <f t="shared" si="153"/>
        <v>0</v>
      </c>
    </row>
    <row r="9834" spans="2:8" x14ac:dyDescent="0.3">
      <c r="B9834">
        <v>100214</v>
      </c>
      <c r="C9834" t="s">
        <v>14427</v>
      </c>
      <c r="D9834" t="s">
        <v>8115</v>
      </c>
      <c r="E9834" s="716">
        <v>5.41</v>
      </c>
      <c r="F9834" s="717">
        <v>0</v>
      </c>
      <c r="G9834">
        <f>VLOOKUP(B9834,'SINAPI-%MO'!B:E,4,0)</f>
        <v>1</v>
      </c>
      <c r="H9834" s="225">
        <f t="shared" si="153"/>
        <v>0</v>
      </c>
    </row>
    <row r="9835" spans="2:8" x14ac:dyDescent="0.3">
      <c r="B9835">
        <v>100223</v>
      </c>
      <c r="C9835" t="s">
        <v>14428</v>
      </c>
      <c r="D9835" t="s">
        <v>8116</v>
      </c>
      <c r="E9835" s="716">
        <v>7.21</v>
      </c>
      <c r="F9835" s="717">
        <v>0</v>
      </c>
      <c r="G9835">
        <f>VLOOKUP(B9835,'SINAPI-%MO'!B:E,4,0)</f>
        <v>1</v>
      </c>
      <c r="H9835" s="225">
        <f t="shared" si="153"/>
        <v>0</v>
      </c>
    </row>
    <row r="9836" spans="2:8" x14ac:dyDescent="0.3">
      <c r="B9836">
        <v>100280</v>
      </c>
      <c r="C9836" t="s">
        <v>14429</v>
      </c>
      <c r="D9836" t="s">
        <v>8115</v>
      </c>
      <c r="E9836" s="716">
        <v>23.66</v>
      </c>
      <c r="F9836" s="717">
        <v>0</v>
      </c>
      <c r="G9836">
        <f>VLOOKUP(B9836,'SINAPI-%MO'!B:E,4,0)</f>
        <v>1</v>
      </c>
      <c r="H9836" s="225">
        <f t="shared" si="153"/>
        <v>0</v>
      </c>
    </row>
    <row r="9837" spans="2:8" x14ac:dyDescent="0.3">
      <c r="B9837">
        <v>100270</v>
      </c>
      <c r="C9837" t="s">
        <v>14430</v>
      </c>
      <c r="D9837" t="s">
        <v>8115</v>
      </c>
      <c r="E9837" s="716">
        <v>80.75</v>
      </c>
      <c r="F9837" s="717">
        <v>0</v>
      </c>
      <c r="G9837">
        <f>VLOOKUP(B9837,'SINAPI-%MO'!B:E,4,0)</f>
        <v>1</v>
      </c>
      <c r="H9837" s="225">
        <f t="shared" si="153"/>
        <v>0</v>
      </c>
    </row>
    <row r="9838" spans="2:8" x14ac:dyDescent="0.3">
      <c r="B9838">
        <v>100286</v>
      </c>
      <c r="C9838" t="s">
        <v>14431</v>
      </c>
      <c r="D9838" t="s">
        <v>8118</v>
      </c>
      <c r="E9838" s="716">
        <v>35.36</v>
      </c>
      <c r="F9838" s="717">
        <v>0</v>
      </c>
      <c r="G9838">
        <f>VLOOKUP(B9838,'SINAPI-%MO'!B:E,4,0)</f>
        <v>1</v>
      </c>
      <c r="H9838" s="225">
        <f t="shared" si="153"/>
        <v>0</v>
      </c>
    </row>
    <row r="9839" spans="2:8" x14ac:dyDescent="0.3">
      <c r="B9839">
        <v>100213</v>
      </c>
      <c r="C9839" t="s">
        <v>14432</v>
      </c>
      <c r="D9839" t="s">
        <v>8115</v>
      </c>
      <c r="E9839" s="716">
        <v>3.52</v>
      </c>
      <c r="F9839" s="717">
        <v>0</v>
      </c>
      <c r="G9839">
        <f>VLOOKUP(B9839,'SINAPI-%MO'!B:E,4,0)</f>
        <v>1</v>
      </c>
      <c r="H9839" s="225">
        <f t="shared" si="153"/>
        <v>0</v>
      </c>
    </row>
    <row r="9840" spans="2:8" x14ac:dyDescent="0.3">
      <c r="B9840">
        <v>100212</v>
      </c>
      <c r="C9840" t="s">
        <v>14433</v>
      </c>
      <c r="D9840" t="s">
        <v>8115</v>
      </c>
      <c r="E9840" s="716">
        <v>9.81</v>
      </c>
      <c r="F9840" s="717">
        <v>0</v>
      </c>
      <c r="G9840">
        <f>VLOOKUP(B9840,'SINAPI-%MO'!B:E,4,0)</f>
        <v>1</v>
      </c>
      <c r="H9840" s="225">
        <f t="shared" si="153"/>
        <v>0</v>
      </c>
    </row>
    <row r="9841" spans="2:8" x14ac:dyDescent="0.3">
      <c r="B9841">
        <v>100222</v>
      </c>
      <c r="C9841" t="s">
        <v>14434</v>
      </c>
      <c r="D9841" t="s">
        <v>8116</v>
      </c>
      <c r="E9841" s="716">
        <v>15.43</v>
      </c>
      <c r="F9841" s="717">
        <v>0</v>
      </c>
      <c r="G9841">
        <f>VLOOKUP(B9841,'SINAPI-%MO'!B:E,4,0)</f>
        <v>1</v>
      </c>
      <c r="H9841" s="225">
        <f t="shared" ref="H9841:H9904" si="154">IF(E9841&gt;0,TRUNC(E9841*(1-G9841),2),"")</f>
        <v>0</v>
      </c>
    </row>
    <row r="9842" spans="2:8" x14ac:dyDescent="0.3">
      <c r="B9842">
        <v>100226</v>
      </c>
      <c r="C9842" t="s">
        <v>14435</v>
      </c>
      <c r="D9842" t="s">
        <v>8119</v>
      </c>
      <c r="E9842" s="716">
        <v>0.88</v>
      </c>
      <c r="F9842" s="717">
        <v>0</v>
      </c>
      <c r="G9842">
        <f>VLOOKUP(B9842,'SINAPI-%MO'!B:E,4,0)</f>
        <v>1</v>
      </c>
      <c r="H9842" s="225">
        <f t="shared" si="154"/>
        <v>0</v>
      </c>
    </row>
    <row r="9843" spans="2:8" x14ac:dyDescent="0.3">
      <c r="B9843">
        <v>100200</v>
      </c>
      <c r="C9843" t="s">
        <v>14436</v>
      </c>
      <c r="D9843" t="s">
        <v>8117</v>
      </c>
      <c r="E9843" s="716">
        <v>0.51</v>
      </c>
      <c r="F9843" s="717">
        <v>0</v>
      </c>
      <c r="G9843">
        <f>VLOOKUP(B9843,'SINAPI-%MO'!B:E,4,0)</f>
        <v>1</v>
      </c>
      <c r="H9843" s="225">
        <f t="shared" si="154"/>
        <v>0</v>
      </c>
    </row>
    <row r="9844" spans="2:8" x14ac:dyDescent="0.3">
      <c r="B9844">
        <v>100199</v>
      </c>
      <c r="C9844" t="s">
        <v>14437</v>
      </c>
      <c r="D9844" t="s">
        <v>8117</v>
      </c>
      <c r="E9844" s="716">
        <v>0.42</v>
      </c>
      <c r="F9844" s="717">
        <v>0</v>
      </c>
      <c r="G9844">
        <f>VLOOKUP(B9844,'SINAPI-%MO'!B:E,4,0)</f>
        <v>1</v>
      </c>
      <c r="H9844" s="225">
        <f t="shared" si="154"/>
        <v>0</v>
      </c>
    </row>
    <row r="9845" spans="2:8" x14ac:dyDescent="0.3">
      <c r="B9845">
        <v>100198</v>
      </c>
      <c r="C9845" t="s">
        <v>14438</v>
      </c>
      <c r="D9845" t="s">
        <v>8117</v>
      </c>
      <c r="E9845" s="716">
        <v>0.35</v>
      </c>
      <c r="F9845" s="717">
        <v>0</v>
      </c>
      <c r="G9845">
        <f>VLOOKUP(B9845,'SINAPI-%MO'!B:E,4,0)</f>
        <v>1</v>
      </c>
      <c r="H9845" s="225">
        <f t="shared" si="154"/>
        <v>0</v>
      </c>
    </row>
    <row r="9846" spans="2:8" x14ac:dyDescent="0.3">
      <c r="B9846">
        <v>100283</v>
      </c>
      <c r="C9846" t="s">
        <v>14439</v>
      </c>
      <c r="D9846" t="s">
        <v>8116</v>
      </c>
      <c r="E9846" s="716">
        <v>28.3</v>
      </c>
      <c r="F9846" s="717">
        <v>0</v>
      </c>
      <c r="G9846">
        <f>VLOOKUP(B9846,'SINAPI-%MO'!B:E,4,0)</f>
        <v>1</v>
      </c>
      <c r="H9846" s="225">
        <f t="shared" si="154"/>
        <v>0</v>
      </c>
    </row>
    <row r="9847" spans="2:8" x14ac:dyDescent="0.3">
      <c r="B9847">
        <v>106811</v>
      </c>
      <c r="C9847" t="s">
        <v>14440</v>
      </c>
      <c r="D9847" t="s">
        <v>8115</v>
      </c>
      <c r="E9847" s="716">
        <v>1.73</v>
      </c>
      <c r="F9847" s="717">
        <v>0</v>
      </c>
      <c r="G9847">
        <f>VLOOKUP(B9847,'SINAPI-%MO'!B:E,4,0)</f>
        <v>1</v>
      </c>
      <c r="H9847" s="225">
        <f t="shared" si="154"/>
        <v>0</v>
      </c>
    </row>
    <row r="9848" spans="2:8" x14ac:dyDescent="0.3">
      <c r="B9848">
        <v>106810</v>
      </c>
      <c r="C9848" t="s">
        <v>14441</v>
      </c>
      <c r="D9848" t="s">
        <v>8115</v>
      </c>
      <c r="E9848" s="716">
        <v>7.43</v>
      </c>
      <c r="F9848" s="717">
        <v>0</v>
      </c>
      <c r="G9848">
        <f>VLOOKUP(B9848,'SINAPI-%MO'!B:E,4,0)</f>
        <v>1</v>
      </c>
      <c r="H9848" s="225">
        <f t="shared" si="154"/>
        <v>0</v>
      </c>
    </row>
    <row r="9849" spans="2:8" x14ac:dyDescent="0.3">
      <c r="B9849">
        <v>106809</v>
      </c>
      <c r="C9849" t="s">
        <v>14442</v>
      </c>
      <c r="D9849" t="s">
        <v>8115</v>
      </c>
      <c r="E9849" s="716">
        <v>8</v>
      </c>
      <c r="F9849" s="717">
        <v>0</v>
      </c>
      <c r="G9849">
        <f>VLOOKUP(B9849,'SINAPI-%MO'!B:E,4,0)</f>
        <v>1</v>
      </c>
      <c r="H9849" s="225">
        <f t="shared" si="154"/>
        <v>0</v>
      </c>
    </row>
    <row r="9850" spans="2:8" x14ac:dyDescent="0.3">
      <c r="B9850">
        <v>106812</v>
      </c>
      <c r="C9850" t="s">
        <v>14443</v>
      </c>
      <c r="D9850" t="s">
        <v>8116</v>
      </c>
      <c r="E9850" s="716">
        <v>7.71</v>
      </c>
      <c r="F9850" s="717">
        <v>0</v>
      </c>
      <c r="G9850">
        <f>VLOOKUP(B9850,'SINAPI-%MO'!B:E,4,0)</f>
        <v>1</v>
      </c>
      <c r="H9850" s="225">
        <f t="shared" si="154"/>
        <v>0</v>
      </c>
    </row>
    <row r="9851" spans="2:8" x14ac:dyDescent="0.3">
      <c r="B9851">
        <v>100227</v>
      </c>
      <c r="C9851" t="s">
        <v>14444</v>
      </c>
      <c r="D9851" t="s">
        <v>8119</v>
      </c>
      <c r="E9851" s="716">
        <v>1.3</v>
      </c>
      <c r="F9851" s="717">
        <v>0</v>
      </c>
      <c r="G9851">
        <f>VLOOKUP(B9851,'SINAPI-%MO'!B:E,4,0)</f>
        <v>1</v>
      </c>
      <c r="H9851" s="225">
        <f t="shared" si="154"/>
        <v>0</v>
      </c>
    </row>
    <row r="9852" spans="2:8" x14ac:dyDescent="0.3">
      <c r="B9852">
        <v>100205</v>
      </c>
      <c r="C9852" t="s">
        <v>14445</v>
      </c>
      <c r="D9852" t="s">
        <v>8114</v>
      </c>
      <c r="E9852" s="716">
        <v>1887.39</v>
      </c>
      <c r="F9852" s="717">
        <v>0</v>
      </c>
      <c r="G9852">
        <f>VLOOKUP(B9852,'SINAPI-%MO'!B:E,4,0)</f>
        <v>1</v>
      </c>
      <c r="H9852" s="225">
        <f t="shared" si="154"/>
        <v>0</v>
      </c>
    </row>
    <row r="9853" spans="2:8" x14ac:dyDescent="0.3">
      <c r="B9853">
        <v>100206</v>
      </c>
      <c r="C9853" t="s">
        <v>14446</v>
      </c>
      <c r="D9853" t="s">
        <v>8114</v>
      </c>
      <c r="E9853" s="716">
        <v>1366.55</v>
      </c>
      <c r="F9853" s="717">
        <v>0</v>
      </c>
      <c r="G9853">
        <f>VLOOKUP(B9853,'SINAPI-%MO'!B:E,4,0)</f>
        <v>1</v>
      </c>
      <c r="H9853" s="225">
        <f t="shared" si="154"/>
        <v>0</v>
      </c>
    </row>
    <row r="9854" spans="2:8" x14ac:dyDescent="0.3">
      <c r="B9854">
        <v>100281</v>
      </c>
      <c r="C9854" t="s">
        <v>14447</v>
      </c>
      <c r="D9854" t="s">
        <v>8115</v>
      </c>
      <c r="E9854" s="716">
        <v>16.079999999999998</v>
      </c>
      <c r="F9854" s="717">
        <v>0.4173</v>
      </c>
      <c r="G9854">
        <f>VLOOKUP(B9854,'SINAPI-%MO'!B:E,4,0)</f>
        <v>0.44590000000000002</v>
      </c>
      <c r="H9854" s="225">
        <f t="shared" si="154"/>
        <v>8.9</v>
      </c>
    </row>
    <row r="9855" spans="2:8" x14ac:dyDescent="0.3">
      <c r="B9855">
        <v>100219</v>
      </c>
      <c r="C9855" t="s">
        <v>14448</v>
      </c>
      <c r="D9855" t="s">
        <v>8115</v>
      </c>
      <c r="E9855" s="716">
        <v>1.23</v>
      </c>
      <c r="F9855" s="717">
        <v>0.41460000000000002</v>
      </c>
      <c r="G9855">
        <f>VLOOKUP(B9855,'SINAPI-%MO'!B:E,4,0)</f>
        <v>0.44719999999999999</v>
      </c>
      <c r="H9855" s="225">
        <f t="shared" si="154"/>
        <v>0.67</v>
      </c>
    </row>
    <row r="9856" spans="2:8" x14ac:dyDescent="0.3">
      <c r="B9856">
        <v>100218</v>
      </c>
      <c r="C9856" t="s">
        <v>14449</v>
      </c>
      <c r="D9856" t="s">
        <v>8115</v>
      </c>
      <c r="E9856" s="716">
        <v>5.47</v>
      </c>
      <c r="F9856" s="717">
        <v>0.4168</v>
      </c>
      <c r="G9856">
        <f>VLOOKUP(B9856,'SINAPI-%MO'!B:E,4,0)</f>
        <v>0.44419999999999998</v>
      </c>
      <c r="H9856" s="225">
        <f t="shared" si="154"/>
        <v>3.04</v>
      </c>
    </row>
    <row r="9857" spans="2:8" x14ac:dyDescent="0.3">
      <c r="B9857">
        <v>100217</v>
      </c>
      <c r="C9857" t="s">
        <v>14450</v>
      </c>
      <c r="D9857" t="s">
        <v>8115</v>
      </c>
      <c r="E9857" s="716">
        <v>7.97</v>
      </c>
      <c r="F9857" s="717">
        <v>0.4178</v>
      </c>
      <c r="G9857">
        <f>VLOOKUP(B9857,'SINAPI-%MO'!B:E,4,0)</f>
        <v>0.44540000000000002</v>
      </c>
      <c r="H9857" s="225">
        <f t="shared" si="154"/>
        <v>4.42</v>
      </c>
    </row>
    <row r="9858" spans="2:8" x14ac:dyDescent="0.3">
      <c r="B9858">
        <v>100224</v>
      </c>
      <c r="C9858" t="s">
        <v>14451</v>
      </c>
      <c r="D9858" t="s">
        <v>8116</v>
      </c>
      <c r="E9858" s="716">
        <v>7.97</v>
      </c>
      <c r="F9858" s="717">
        <v>0.4178</v>
      </c>
      <c r="G9858">
        <f>VLOOKUP(B9858,'SINAPI-%MO'!B:E,4,0)</f>
        <v>0.44540000000000002</v>
      </c>
      <c r="H9858" s="225">
        <f t="shared" si="154"/>
        <v>4.42</v>
      </c>
    </row>
    <row r="9859" spans="2:8" x14ac:dyDescent="0.3">
      <c r="B9859">
        <v>100228</v>
      </c>
      <c r="C9859" t="s">
        <v>14452</v>
      </c>
      <c r="D9859" t="s">
        <v>8119</v>
      </c>
      <c r="E9859" s="716">
        <v>0.78</v>
      </c>
      <c r="F9859" s="717">
        <v>0.42309999999999998</v>
      </c>
      <c r="G9859">
        <f>VLOOKUP(B9859,'SINAPI-%MO'!B:E,4,0)</f>
        <v>0.43590000000000001</v>
      </c>
      <c r="H9859" s="225">
        <f t="shared" si="154"/>
        <v>0.43</v>
      </c>
    </row>
    <row r="9860" spans="2:8" x14ac:dyDescent="0.3">
      <c r="B9860">
        <v>100204</v>
      </c>
      <c r="C9860" t="s">
        <v>14453</v>
      </c>
      <c r="D9860" t="s">
        <v>8117</v>
      </c>
      <c r="E9860" s="716">
        <v>0.27</v>
      </c>
      <c r="F9860" s="717">
        <v>0.40739999999999998</v>
      </c>
      <c r="G9860">
        <f>VLOOKUP(B9860,'SINAPI-%MO'!B:E,4,0)</f>
        <v>0.44440000000000002</v>
      </c>
      <c r="H9860" s="225">
        <f t="shared" si="154"/>
        <v>0.15</v>
      </c>
    </row>
    <row r="9861" spans="2:8" x14ac:dyDescent="0.3">
      <c r="B9861">
        <v>100284</v>
      </c>
      <c r="C9861" t="s">
        <v>14454</v>
      </c>
      <c r="D9861" t="s">
        <v>8116</v>
      </c>
      <c r="E9861" s="716">
        <v>40.68</v>
      </c>
      <c r="F9861" s="717">
        <v>0.41789999999999999</v>
      </c>
      <c r="G9861">
        <f>VLOOKUP(B9861,'SINAPI-%MO'!B:E,4,0)</f>
        <v>0.44619999999999999</v>
      </c>
      <c r="H9861" s="225">
        <f t="shared" si="154"/>
        <v>22.52</v>
      </c>
    </row>
    <row r="9862" spans="2:8" x14ac:dyDescent="0.3">
      <c r="B9862">
        <v>100277</v>
      </c>
      <c r="C9862" t="s">
        <v>14455</v>
      </c>
      <c r="D9862" t="s">
        <v>8116</v>
      </c>
      <c r="E9862" s="716">
        <v>8.26</v>
      </c>
      <c r="F9862" s="717">
        <v>0.41770000000000002</v>
      </c>
      <c r="G9862">
        <f>VLOOKUP(B9862,'SINAPI-%MO'!B:E,4,0)</f>
        <v>0.44429999999999997</v>
      </c>
      <c r="H9862" s="225">
        <f t="shared" si="154"/>
        <v>4.59</v>
      </c>
    </row>
    <row r="9863" spans="2:8" x14ac:dyDescent="0.3">
      <c r="B9863">
        <v>100278</v>
      </c>
      <c r="C9863" t="s">
        <v>14456</v>
      </c>
      <c r="D9863" t="s">
        <v>8115</v>
      </c>
      <c r="E9863" s="716">
        <v>51.82</v>
      </c>
      <c r="F9863" s="717">
        <v>0</v>
      </c>
      <c r="G9863">
        <f>VLOOKUP(B9863,'SINAPI-%MO'!B:E,4,0)</f>
        <v>1</v>
      </c>
      <c r="H9863" s="225">
        <f t="shared" si="154"/>
        <v>0</v>
      </c>
    </row>
    <row r="9864" spans="2:8" x14ac:dyDescent="0.3">
      <c r="B9864">
        <v>100268</v>
      </c>
      <c r="C9864" t="s">
        <v>14457</v>
      </c>
      <c r="D9864" t="s">
        <v>8115</v>
      </c>
      <c r="E9864" s="716">
        <v>108.29</v>
      </c>
      <c r="F9864" s="717">
        <v>0</v>
      </c>
      <c r="G9864">
        <f>VLOOKUP(B9864,'SINAPI-%MO'!B:E,4,0)</f>
        <v>1</v>
      </c>
      <c r="H9864" s="225">
        <f t="shared" si="154"/>
        <v>0</v>
      </c>
    </row>
    <row r="9865" spans="2:8" x14ac:dyDescent="0.3">
      <c r="B9865">
        <v>100285</v>
      </c>
      <c r="C9865" t="s">
        <v>14458</v>
      </c>
      <c r="D9865" t="s">
        <v>8118</v>
      </c>
      <c r="E9865" s="716">
        <v>54.43</v>
      </c>
      <c r="F9865" s="717">
        <v>0</v>
      </c>
      <c r="G9865">
        <f>VLOOKUP(B9865,'SINAPI-%MO'!B:E,4,0)</f>
        <v>1</v>
      </c>
      <c r="H9865" s="225">
        <f t="shared" si="154"/>
        <v>0</v>
      </c>
    </row>
    <row r="9866" spans="2:8" x14ac:dyDescent="0.3">
      <c r="B9866">
        <v>100209</v>
      </c>
      <c r="C9866" t="s">
        <v>14459</v>
      </c>
      <c r="D9866" t="s">
        <v>8115</v>
      </c>
      <c r="E9866" s="716">
        <v>12.56</v>
      </c>
      <c r="F9866" s="717">
        <v>0</v>
      </c>
      <c r="G9866">
        <f>VLOOKUP(B9866,'SINAPI-%MO'!B:E,4,0)</f>
        <v>1</v>
      </c>
      <c r="H9866" s="225">
        <f t="shared" si="154"/>
        <v>0</v>
      </c>
    </row>
    <row r="9867" spans="2:8" x14ac:dyDescent="0.3">
      <c r="B9867">
        <v>100208</v>
      </c>
      <c r="C9867" t="s">
        <v>14460</v>
      </c>
      <c r="D9867" t="s">
        <v>8115</v>
      </c>
      <c r="E9867" s="716">
        <v>25.13</v>
      </c>
      <c r="F9867" s="717">
        <v>0</v>
      </c>
      <c r="G9867">
        <f>VLOOKUP(B9867,'SINAPI-%MO'!B:E,4,0)</f>
        <v>1</v>
      </c>
      <c r="H9867" s="225">
        <f t="shared" si="154"/>
        <v>0</v>
      </c>
    </row>
    <row r="9868" spans="2:8" x14ac:dyDescent="0.3">
      <c r="B9868">
        <v>100256</v>
      </c>
      <c r="C9868" t="s">
        <v>14461</v>
      </c>
      <c r="D9868" t="s">
        <v>8118</v>
      </c>
      <c r="E9868" s="716">
        <v>11.51</v>
      </c>
      <c r="F9868" s="717">
        <v>0</v>
      </c>
      <c r="G9868">
        <f>VLOOKUP(B9868,'SINAPI-%MO'!B:E,4,0)</f>
        <v>1</v>
      </c>
      <c r="H9868" s="225">
        <f t="shared" si="154"/>
        <v>0</v>
      </c>
    </row>
    <row r="9869" spans="2:8" x14ac:dyDescent="0.3">
      <c r="B9869">
        <v>100220</v>
      </c>
      <c r="C9869" t="s">
        <v>14462</v>
      </c>
      <c r="D9869" t="s">
        <v>8116</v>
      </c>
      <c r="E9869" s="716">
        <v>36.090000000000003</v>
      </c>
      <c r="F9869" s="717">
        <v>0</v>
      </c>
      <c r="G9869">
        <f>VLOOKUP(B9869,'SINAPI-%MO'!B:E,4,0)</f>
        <v>1</v>
      </c>
      <c r="H9869" s="225">
        <f t="shared" si="154"/>
        <v>0</v>
      </c>
    </row>
    <row r="9870" spans="2:8" x14ac:dyDescent="0.3">
      <c r="B9870">
        <v>100287</v>
      </c>
      <c r="C9870" t="s">
        <v>14463</v>
      </c>
      <c r="D9870" t="s">
        <v>8118</v>
      </c>
      <c r="E9870" s="716">
        <v>17.010000000000002</v>
      </c>
      <c r="F9870" s="717">
        <v>0</v>
      </c>
      <c r="G9870">
        <f>VLOOKUP(B9870,'SINAPI-%MO'!B:E,4,0)</f>
        <v>1</v>
      </c>
      <c r="H9870" s="225">
        <f t="shared" si="154"/>
        <v>0</v>
      </c>
    </row>
    <row r="9871" spans="2:8" x14ac:dyDescent="0.3">
      <c r="B9871">
        <v>100274</v>
      </c>
      <c r="C9871" t="s">
        <v>14464</v>
      </c>
      <c r="D9871" t="s">
        <v>8116</v>
      </c>
      <c r="E9871" s="716">
        <v>35.82</v>
      </c>
      <c r="F9871" s="717">
        <v>0</v>
      </c>
      <c r="G9871">
        <f>VLOOKUP(B9871,'SINAPI-%MO'!B:E,4,0)</f>
        <v>1</v>
      </c>
      <c r="H9871" s="225">
        <f t="shared" si="154"/>
        <v>0</v>
      </c>
    </row>
    <row r="9872" spans="2:8" x14ac:dyDescent="0.3">
      <c r="B9872">
        <v>100264</v>
      </c>
      <c r="C9872" t="s">
        <v>14465</v>
      </c>
      <c r="D9872" t="s">
        <v>8116</v>
      </c>
      <c r="E9872" s="716">
        <v>50.92</v>
      </c>
      <c r="F9872" s="717">
        <v>0</v>
      </c>
      <c r="G9872">
        <f>VLOOKUP(B9872,'SINAPI-%MO'!B:E,4,0)</f>
        <v>1</v>
      </c>
      <c r="H9872" s="225">
        <f t="shared" si="154"/>
        <v>0</v>
      </c>
    </row>
    <row r="9873" spans="2:8" x14ac:dyDescent="0.3">
      <c r="B9873">
        <v>100225</v>
      </c>
      <c r="C9873" t="s">
        <v>14466</v>
      </c>
      <c r="D9873" t="s">
        <v>8119</v>
      </c>
      <c r="E9873" s="716">
        <v>2.83</v>
      </c>
      <c r="F9873" s="717">
        <v>0</v>
      </c>
      <c r="G9873">
        <f>VLOOKUP(B9873,'SINAPI-%MO'!B:E,4,0)</f>
        <v>1</v>
      </c>
      <c r="H9873" s="225">
        <f t="shared" si="154"/>
        <v>0</v>
      </c>
    </row>
    <row r="9874" spans="2:8" x14ac:dyDescent="0.3">
      <c r="B9874">
        <v>100266</v>
      </c>
      <c r="C9874" t="s">
        <v>14467</v>
      </c>
      <c r="D9874" t="s">
        <v>8115</v>
      </c>
      <c r="E9874" s="716">
        <v>108.29</v>
      </c>
      <c r="F9874" s="717">
        <v>0</v>
      </c>
      <c r="G9874">
        <f>VLOOKUP(B9874,'SINAPI-%MO'!B:E,4,0)</f>
        <v>1</v>
      </c>
      <c r="H9874" s="225">
        <f t="shared" si="154"/>
        <v>0</v>
      </c>
    </row>
    <row r="9875" spans="2:8" x14ac:dyDescent="0.3">
      <c r="B9875">
        <v>100257</v>
      </c>
      <c r="C9875" t="s">
        <v>14468</v>
      </c>
      <c r="D9875" t="s">
        <v>8118</v>
      </c>
      <c r="E9875" s="716">
        <v>6.91</v>
      </c>
      <c r="F9875" s="717">
        <v>0</v>
      </c>
      <c r="G9875">
        <f>VLOOKUP(B9875,'SINAPI-%MO'!B:E,4,0)</f>
        <v>1</v>
      </c>
      <c r="H9875" s="225">
        <f t="shared" si="154"/>
        <v>0</v>
      </c>
    </row>
    <row r="9876" spans="2:8" x14ac:dyDescent="0.3">
      <c r="B9876">
        <v>100197</v>
      </c>
      <c r="C9876" t="s">
        <v>14469</v>
      </c>
      <c r="D9876" t="s">
        <v>8117</v>
      </c>
      <c r="E9876" s="716">
        <v>2.5499999999999998</v>
      </c>
      <c r="F9876" s="717">
        <v>0</v>
      </c>
      <c r="G9876">
        <f>VLOOKUP(B9876,'SINAPI-%MO'!B:E,4,0)</f>
        <v>1</v>
      </c>
      <c r="H9876" s="225">
        <f t="shared" si="154"/>
        <v>0</v>
      </c>
    </row>
    <row r="9877" spans="2:8" x14ac:dyDescent="0.3">
      <c r="B9877">
        <v>100196</v>
      </c>
      <c r="C9877" t="s">
        <v>14470</v>
      </c>
      <c r="D9877" t="s">
        <v>8117</v>
      </c>
      <c r="E9877" s="716">
        <v>1.7</v>
      </c>
      <c r="F9877" s="717">
        <v>0</v>
      </c>
      <c r="G9877">
        <f>VLOOKUP(B9877,'SINAPI-%MO'!B:E,4,0)</f>
        <v>1</v>
      </c>
      <c r="H9877" s="225">
        <f t="shared" si="154"/>
        <v>0</v>
      </c>
    </row>
    <row r="9878" spans="2:8" x14ac:dyDescent="0.3">
      <c r="B9878">
        <v>100195</v>
      </c>
      <c r="C9878" t="s">
        <v>14471</v>
      </c>
      <c r="D9878" t="s">
        <v>8117</v>
      </c>
      <c r="E9878" s="716">
        <v>1.02</v>
      </c>
      <c r="F9878" s="717">
        <v>0</v>
      </c>
      <c r="G9878">
        <f>VLOOKUP(B9878,'SINAPI-%MO'!B:E,4,0)</f>
        <v>1</v>
      </c>
      <c r="H9878" s="225">
        <f t="shared" si="154"/>
        <v>0</v>
      </c>
    </row>
    <row r="9879" spans="2:8" x14ac:dyDescent="0.3">
      <c r="B9879">
        <v>100273</v>
      </c>
      <c r="C9879" t="s">
        <v>14472</v>
      </c>
      <c r="D9879" t="s">
        <v>8117</v>
      </c>
      <c r="E9879" s="716">
        <v>4.2300000000000004</v>
      </c>
      <c r="F9879" s="717">
        <v>0</v>
      </c>
      <c r="G9879">
        <f>VLOOKUP(B9879,'SINAPI-%MO'!B:E,4,0)</f>
        <v>1</v>
      </c>
      <c r="H9879" s="225">
        <f t="shared" si="154"/>
        <v>0</v>
      </c>
    </row>
    <row r="9880" spans="2:8" x14ac:dyDescent="0.3">
      <c r="B9880">
        <v>100282</v>
      </c>
      <c r="C9880" t="s">
        <v>14473</v>
      </c>
      <c r="D9880" t="s">
        <v>8116</v>
      </c>
      <c r="E9880" s="716">
        <v>173.37</v>
      </c>
      <c r="F9880" s="717">
        <v>0</v>
      </c>
      <c r="G9880">
        <f>VLOOKUP(B9880,'SINAPI-%MO'!B:E,4,0)</f>
        <v>1</v>
      </c>
      <c r="H9880" s="225">
        <f t="shared" si="154"/>
        <v>0</v>
      </c>
    </row>
    <row r="9881" spans="2:8" x14ac:dyDescent="0.3">
      <c r="B9881">
        <v>100276</v>
      </c>
      <c r="C9881" t="s">
        <v>14474</v>
      </c>
      <c r="D9881" t="s">
        <v>8116</v>
      </c>
      <c r="E9881" s="716">
        <v>41.69</v>
      </c>
      <c r="F9881" s="717">
        <v>0</v>
      </c>
      <c r="G9881">
        <f>VLOOKUP(B9881,'SINAPI-%MO'!B:E,4,0)</f>
        <v>1</v>
      </c>
      <c r="H9881" s="225">
        <f t="shared" si="154"/>
        <v>0</v>
      </c>
    </row>
    <row r="9882" spans="2:8" x14ac:dyDescent="0.3">
      <c r="B9882">
        <v>100275</v>
      </c>
      <c r="C9882" t="s">
        <v>14475</v>
      </c>
      <c r="D9882" t="s">
        <v>8116</v>
      </c>
      <c r="E9882" s="716">
        <v>22.98</v>
      </c>
      <c r="F9882" s="717">
        <v>0</v>
      </c>
      <c r="G9882">
        <f>VLOOKUP(B9882,'SINAPI-%MO'!B:E,4,0)</f>
        <v>1</v>
      </c>
      <c r="H9882" s="225">
        <f t="shared" si="154"/>
        <v>0</v>
      </c>
    </row>
    <row r="9883" spans="2:8" x14ac:dyDescent="0.3">
      <c r="B9883">
        <v>100254</v>
      </c>
      <c r="C9883" t="s">
        <v>14476</v>
      </c>
      <c r="D9883" t="s">
        <v>8118</v>
      </c>
      <c r="E9883" s="716">
        <v>51.05</v>
      </c>
      <c r="F9883" s="717">
        <v>0</v>
      </c>
      <c r="G9883">
        <f>VLOOKUP(B9883,'SINAPI-%MO'!B:E,4,0)</f>
        <v>1</v>
      </c>
      <c r="H9883" s="225">
        <f t="shared" si="154"/>
        <v>0</v>
      </c>
    </row>
    <row r="9884" spans="2:8" x14ac:dyDescent="0.3">
      <c r="B9884">
        <v>100250</v>
      </c>
      <c r="C9884" t="s">
        <v>14477</v>
      </c>
      <c r="D9884" t="s">
        <v>8118</v>
      </c>
      <c r="E9884" s="716">
        <v>5.75</v>
      </c>
      <c r="F9884" s="717">
        <v>0</v>
      </c>
      <c r="G9884">
        <f>VLOOKUP(B9884,'SINAPI-%MO'!B:E,4,0)</f>
        <v>1</v>
      </c>
      <c r="H9884" s="225">
        <f t="shared" si="154"/>
        <v>0</v>
      </c>
    </row>
    <row r="9885" spans="2:8" x14ac:dyDescent="0.3">
      <c r="B9885">
        <v>100251</v>
      </c>
      <c r="C9885" t="s">
        <v>14478</v>
      </c>
      <c r="D9885" t="s">
        <v>8118</v>
      </c>
      <c r="E9885" s="716">
        <v>17.010000000000002</v>
      </c>
      <c r="F9885" s="717">
        <v>0</v>
      </c>
      <c r="G9885">
        <f>VLOOKUP(B9885,'SINAPI-%MO'!B:E,4,0)</f>
        <v>1</v>
      </c>
      <c r="H9885" s="225">
        <f t="shared" si="154"/>
        <v>0</v>
      </c>
    </row>
    <row r="9886" spans="2:8" x14ac:dyDescent="0.3">
      <c r="B9886">
        <v>100252</v>
      </c>
      <c r="C9886" t="s">
        <v>14479</v>
      </c>
      <c r="D9886" t="s">
        <v>8118</v>
      </c>
      <c r="E9886" s="716">
        <v>25.52</v>
      </c>
      <c r="F9886" s="717">
        <v>0</v>
      </c>
      <c r="G9886">
        <f>VLOOKUP(B9886,'SINAPI-%MO'!B:E,4,0)</f>
        <v>1</v>
      </c>
      <c r="H9886" s="225">
        <f t="shared" si="154"/>
        <v>0</v>
      </c>
    </row>
    <row r="9887" spans="2:8" x14ac:dyDescent="0.3">
      <c r="B9887">
        <v>100253</v>
      </c>
      <c r="C9887" t="s">
        <v>14480</v>
      </c>
      <c r="D9887" t="s">
        <v>8118</v>
      </c>
      <c r="E9887" s="716">
        <v>34.03</v>
      </c>
      <c r="F9887" s="717">
        <v>0</v>
      </c>
      <c r="G9887">
        <f>VLOOKUP(B9887,'SINAPI-%MO'!B:E,4,0)</f>
        <v>1</v>
      </c>
      <c r="H9887" s="225">
        <f t="shared" si="154"/>
        <v>0</v>
      </c>
    </row>
    <row r="9888" spans="2:8" x14ac:dyDescent="0.3">
      <c r="B9888">
        <v>100249</v>
      </c>
      <c r="C9888" t="s">
        <v>14481</v>
      </c>
      <c r="D9888" t="s">
        <v>8118</v>
      </c>
      <c r="E9888" s="716">
        <v>3.45</v>
      </c>
      <c r="F9888" s="717">
        <v>0</v>
      </c>
      <c r="G9888">
        <f>VLOOKUP(B9888,'SINAPI-%MO'!B:E,4,0)</f>
        <v>1</v>
      </c>
      <c r="H9888" s="225">
        <f t="shared" si="154"/>
        <v>0</v>
      </c>
    </row>
    <row r="9889" spans="2:8" x14ac:dyDescent="0.3">
      <c r="B9889">
        <v>100244</v>
      </c>
      <c r="C9889" t="s">
        <v>14482</v>
      </c>
      <c r="D9889" t="s">
        <v>8118</v>
      </c>
      <c r="E9889" s="716">
        <v>5.18</v>
      </c>
      <c r="F9889" s="717">
        <v>0</v>
      </c>
      <c r="G9889">
        <f>VLOOKUP(B9889,'SINAPI-%MO'!B:E,4,0)</f>
        <v>1</v>
      </c>
      <c r="H9889" s="225">
        <f t="shared" si="154"/>
        <v>0</v>
      </c>
    </row>
    <row r="9890" spans="2:8" x14ac:dyDescent="0.3">
      <c r="B9890">
        <v>100245</v>
      </c>
      <c r="C9890" t="s">
        <v>14483</v>
      </c>
      <c r="D9890" t="s">
        <v>8118</v>
      </c>
      <c r="E9890" s="716">
        <v>10.36</v>
      </c>
      <c r="F9890" s="717">
        <v>0</v>
      </c>
      <c r="G9890">
        <f>VLOOKUP(B9890,'SINAPI-%MO'!B:E,4,0)</f>
        <v>1</v>
      </c>
      <c r="H9890" s="225">
        <f t="shared" si="154"/>
        <v>0</v>
      </c>
    </row>
    <row r="9891" spans="2:8" x14ac:dyDescent="0.3">
      <c r="B9891">
        <v>100243</v>
      </c>
      <c r="C9891" t="s">
        <v>14484</v>
      </c>
      <c r="D9891" t="s">
        <v>8118</v>
      </c>
      <c r="E9891" s="716">
        <v>4.1399999999999997</v>
      </c>
      <c r="F9891" s="717">
        <v>0</v>
      </c>
      <c r="G9891">
        <f>VLOOKUP(B9891,'SINAPI-%MO'!B:E,4,0)</f>
        <v>1</v>
      </c>
      <c r="H9891" s="225">
        <f t="shared" si="154"/>
        <v>0</v>
      </c>
    </row>
    <row r="9892" spans="2:8" x14ac:dyDescent="0.3">
      <c r="B9892">
        <v>100239</v>
      </c>
      <c r="C9892" t="s">
        <v>14485</v>
      </c>
      <c r="D9892" t="s">
        <v>8118</v>
      </c>
      <c r="E9892" s="716">
        <v>8.6300000000000008</v>
      </c>
      <c r="F9892" s="717">
        <v>0</v>
      </c>
      <c r="G9892">
        <f>VLOOKUP(B9892,'SINAPI-%MO'!B:E,4,0)</f>
        <v>1</v>
      </c>
      <c r="H9892" s="225">
        <f t="shared" si="154"/>
        <v>0</v>
      </c>
    </row>
    <row r="9893" spans="2:8" x14ac:dyDescent="0.3">
      <c r="B9893">
        <v>100238</v>
      </c>
      <c r="C9893" t="s">
        <v>14486</v>
      </c>
      <c r="D9893" t="s">
        <v>8118</v>
      </c>
      <c r="E9893" s="716">
        <v>6.91</v>
      </c>
      <c r="F9893" s="717">
        <v>0</v>
      </c>
      <c r="G9893">
        <f>VLOOKUP(B9893,'SINAPI-%MO'!B:E,4,0)</f>
        <v>1</v>
      </c>
      <c r="H9893" s="225">
        <f t="shared" si="154"/>
        <v>0</v>
      </c>
    </row>
    <row r="9894" spans="2:8" x14ac:dyDescent="0.3">
      <c r="B9894">
        <v>100241</v>
      </c>
      <c r="C9894" t="s">
        <v>14487</v>
      </c>
      <c r="D9894" t="s">
        <v>8118</v>
      </c>
      <c r="E9894" s="716">
        <v>8.6300000000000008</v>
      </c>
      <c r="F9894" s="717">
        <v>0</v>
      </c>
      <c r="G9894">
        <f>VLOOKUP(B9894,'SINAPI-%MO'!B:E,4,0)</f>
        <v>1</v>
      </c>
      <c r="H9894" s="225">
        <f t="shared" si="154"/>
        <v>0</v>
      </c>
    </row>
    <row r="9895" spans="2:8" x14ac:dyDescent="0.3">
      <c r="B9895">
        <v>100242</v>
      </c>
      <c r="C9895" t="s">
        <v>14488</v>
      </c>
      <c r="D9895" t="s">
        <v>8118</v>
      </c>
      <c r="E9895" s="716">
        <v>25.52</v>
      </c>
      <c r="F9895" s="717">
        <v>0</v>
      </c>
      <c r="G9895">
        <f>VLOOKUP(B9895,'SINAPI-%MO'!B:E,4,0)</f>
        <v>1</v>
      </c>
      <c r="H9895" s="225">
        <f t="shared" si="154"/>
        <v>0</v>
      </c>
    </row>
    <row r="9896" spans="2:8" x14ac:dyDescent="0.3">
      <c r="B9896">
        <v>100240</v>
      </c>
      <c r="C9896" t="s">
        <v>14489</v>
      </c>
      <c r="D9896" t="s">
        <v>8118</v>
      </c>
      <c r="E9896" s="716">
        <v>5.18</v>
      </c>
      <c r="F9896" s="717">
        <v>0</v>
      </c>
      <c r="G9896">
        <f>VLOOKUP(B9896,'SINAPI-%MO'!B:E,4,0)</f>
        <v>1</v>
      </c>
      <c r="H9896" s="225">
        <f t="shared" si="154"/>
        <v>0</v>
      </c>
    </row>
    <row r="9897" spans="2:8" x14ac:dyDescent="0.3">
      <c r="B9897">
        <v>100237</v>
      </c>
      <c r="C9897" t="s">
        <v>14490</v>
      </c>
      <c r="D9897" t="s">
        <v>8118</v>
      </c>
      <c r="E9897" s="716">
        <v>4.3099999999999996</v>
      </c>
      <c r="F9897" s="717">
        <v>0</v>
      </c>
      <c r="G9897">
        <f>VLOOKUP(B9897,'SINAPI-%MO'!B:E,4,0)</f>
        <v>1</v>
      </c>
      <c r="H9897" s="225">
        <f t="shared" si="154"/>
        <v>0</v>
      </c>
    </row>
    <row r="9898" spans="2:8" x14ac:dyDescent="0.3">
      <c r="B9898">
        <v>100236</v>
      </c>
      <c r="C9898" t="s">
        <v>14491</v>
      </c>
      <c r="D9898" t="s">
        <v>8118</v>
      </c>
      <c r="E9898" s="716">
        <v>3.45</v>
      </c>
      <c r="F9898" s="717">
        <v>0</v>
      </c>
      <c r="G9898">
        <f>VLOOKUP(B9898,'SINAPI-%MO'!B:E,4,0)</f>
        <v>1</v>
      </c>
      <c r="H9898" s="225">
        <f t="shared" si="154"/>
        <v>0</v>
      </c>
    </row>
    <row r="9899" spans="2:8" x14ac:dyDescent="0.3">
      <c r="B9899">
        <v>100248</v>
      </c>
      <c r="C9899" t="s">
        <v>14492</v>
      </c>
      <c r="D9899" t="s">
        <v>8118</v>
      </c>
      <c r="E9899" s="716">
        <v>17.010000000000002</v>
      </c>
      <c r="F9899" s="717">
        <v>0</v>
      </c>
      <c r="G9899">
        <f>VLOOKUP(B9899,'SINAPI-%MO'!B:E,4,0)</f>
        <v>1</v>
      </c>
      <c r="H9899" s="225">
        <f t="shared" si="154"/>
        <v>0</v>
      </c>
    </row>
    <row r="9900" spans="2:8" x14ac:dyDescent="0.3">
      <c r="B9900">
        <v>100247</v>
      </c>
      <c r="C9900" t="s">
        <v>14493</v>
      </c>
      <c r="D9900" t="s">
        <v>8118</v>
      </c>
      <c r="E9900" s="716">
        <v>4.3099999999999996</v>
      </c>
      <c r="F9900" s="717">
        <v>0</v>
      </c>
      <c r="G9900">
        <f>VLOOKUP(B9900,'SINAPI-%MO'!B:E,4,0)</f>
        <v>1</v>
      </c>
      <c r="H9900" s="225">
        <f t="shared" si="154"/>
        <v>0</v>
      </c>
    </row>
    <row r="9901" spans="2:8" x14ac:dyDescent="0.3">
      <c r="B9901">
        <v>100246</v>
      </c>
      <c r="C9901" t="s">
        <v>14494</v>
      </c>
      <c r="D9901" t="s">
        <v>8118</v>
      </c>
      <c r="E9901" s="716">
        <v>3.45</v>
      </c>
      <c r="F9901" s="717">
        <v>0</v>
      </c>
      <c r="G9901">
        <f>VLOOKUP(B9901,'SINAPI-%MO'!B:E,4,0)</f>
        <v>1</v>
      </c>
      <c r="H9901" s="225">
        <f t="shared" si="154"/>
        <v>0</v>
      </c>
    </row>
    <row r="9902" spans="2:8" x14ac:dyDescent="0.3">
      <c r="B9902">
        <v>100255</v>
      </c>
      <c r="C9902" t="s">
        <v>14495</v>
      </c>
      <c r="D9902" t="s">
        <v>8118</v>
      </c>
      <c r="E9902" s="716">
        <v>17.27</v>
      </c>
      <c r="F9902" s="717">
        <v>0</v>
      </c>
      <c r="G9902">
        <f>VLOOKUP(B9902,'SINAPI-%MO'!B:E,4,0)</f>
        <v>1</v>
      </c>
      <c r="H9902" s="225">
        <f t="shared" si="154"/>
        <v>0</v>
      </c>
    </row>
    <row r="9903" spans="2:8" x14ac:dyDescent="0.3">
      <c r="B9903">
        <v>100263</v>
      </c>
      <c r="C9903" t="s">
        <v>14496</v>
      </c>
      <c r="D9903" t="s">
        <v>8117</v>
      </c>
      <c r="E9903" s="716">
        <v>2.79</v>
      </c>
      <c r="F9903" s="717">
        <v>0</v>
      </c>
      <c r="G9903">
        <f>VLOOKUP(B9903,'SINAPI-%MO'!B:E,4,0)</f>
        <v>1</v>
      </c>
      <c r="H9903" s="225">
        <f t="shared" si="154"/>
        <v>0</v>
      </c>
    </row>
    <row r="9904" spans="2:8" x14ac:dyDescent="0.3">
      <c r="B9904">
        <v>100260</v>
      </c>
      <c r="C9904" t="s">
        <v>14497</v>
      </c>
      <c r="D9904" t="s">
        <v>8117</v>
      </c>
      <c r="E9904" s="716">
        <v>11.21</v>
      </c>
      <c r="F9904" s="717">
        <v>0</v>
      </c>
      <c r="G9904">
        <f>VLOOKUP(B9904,'SINAPI-%MO'!B:E,4,0)</f>
        <v>1</v>
      </c>
      <c r="H9904" s="225">
        <f t="shared" si="154"/>
        <v>0</v>
      </c>
    </row>
    <row r="9905" spans="2:8" x14ac:dyDescent="0.3">
      <c r="B9905">
        <v>100261</v>
      </c>
      <c r="C9905" t="s">
        <v>14498</v>
      </c>
      <c r="D9905" t="s">
        <v>8117</v>
      </c>
      <c r="E9905" s="716">
        <v>7.05</v>
      </c>
      <c r="F9905" s="717">
        <v>0</v>
      </c>
      <c r="G9905">
        <f>VLOOKUP(B9905,'SINAPI-%MO'!B:E,4,0)</f>
        <v>1</v>
      </c>
      <c r="H9905" s="225">
        <f t="shared" ref="H9905:H9968" si="155">IF(E9905&gt;0,TRUNC(E9905*(1-G9905),2),"")</f>
        <v>0</v>
      </c>
    </row>
    <row r="9906" spans="2:8" x14ac:dyDescent="0.3">
      <c r="B9906">
        <v>100262</v>
      </c>
      <c r="C9906" t="s">
        <v>14499</v>
      </c>
      <c r="D9906" t="s">
        <v>8117</v>
      </c>
      <c r="E9906" s="716">
        <v>4.37</v>
      </c>
      <c r="F9906" s="717">
        <v>0</v>
      </c>
      <c r="G9906">
        <f>VLOOKUP(B9906,'SINAPI-%MO'!B:E,4,0)</f>
        <v>1</v>
      </c>
      <c r="H9906" s="225">
        <f t="shared" si="155"/>
        <v>0</v>
      </c>
    </row>
    <row r="9907" spans="2:8" x14ac:dyDescent="0.3">
      <c r="B9907">
        <v>100271</v>
      </c>
      <c r="C9907" t="s">
        <v>14500</v>
      </c>
      <c r="D9907" t="s">
        <v>8116</v>
      </c>
      <c r="E9907" s="716">
        <v>81.209999999999994</v>
      </c>
      <c r="F9907" s="717">
        <v>0</v>
      </c>
      <c r="G9907">
        <f>VLOOKUP(B9907,'SINAPI-%MO'!B:E,4,0)</f>
        <v>1</v>
      </c>
      <c r="H9907" s="225">
        <f t="shared" si="155"/>
        <v>0</v>
      </c>
    </row>
    <row r="9908" spans="2:8" x14ac:dyDescent="0.3">
      <c r="B9908">
        <v>100258</v>
      </c>
      <c r="C9908" t="s">
        <v>14501</v>
      </c>
      <c r="D9908" t="s">
        <v>8118</v>
      </c>
      <c r="E9908" s="716">
        <v>17.27</v>
      </c>
      <c r="F9908" s="717">
        <v>0</v>
      </c>
      <c r="G9908">
        <f>VLOOKUP(B9908,'SINAPI-%MO'!B:E,4,0)</f>
        <v>1</v>
      </c>
      <c r="H9908" s="225">
        <f t="shared" si="155"/>
        <v>0</v>
      </c>
    </row>
    <row r="9909" spans="2:8" x14ac:dyDescent="0.3">
      <c r="B9909">
        <v>100259</v>
      </c>
      <c r="C9909" t="s">
        <v>14502</v>
      </c>
      <c r="D9909" t="s">
        <v>8118</v>
      </c>
      <c r="E9909" s="716">
        <v>34.549999999999997</v>
      </c>
      <c r="F9909" s="717">
        <v>0</v>
      </c>
      <c r="G9909">
        <f>VLOOKUP(B9909,'SINAPI-%MO'!B:E,4,0)</f>
        <v>1</v>
      </c>
      <c r="H9909" s="225">
        <f t="shared" si="155"/>
        <v>0</v>
      </c>
    </row>
    <row r="9910" spans="2:8" x14ac:dyDescent="0.3">
      <c r="B9910">
        <v>100279</v>
      </c>
      <c r="C9910" t="s">
        <v>14503</v>
      </c>
      <c r="D9910" t="s">
        <v>136</v>
      </c>
      <c r="E9910" s="716">
        <v>0.99</v>
      </c>
      <c r="F9910" s="717">
        <v>0</v>
      </c>
      <c r="G9910">
        <f>VLOOKUP(B9910,'SINAPI-%MO'!B:E,4,0)</f>
        <v>1</v>
      </c>
      <c r="H9910" s="225">
        <f t="shared" si="155"/>
        <v>0</v>
      </c>
    </row>
    <row r="9911" spans="2:8" x14ac:dyDescent="0.3">
      <c r="B9911">
        <v>100233</v>
      </c>
      <c r="C9911" t="s">
        <v>14504</v>
      </c>
      <c r="D9911" t="s">
        <v>136</v>
      </c>
      <c r="E9911" s="716">
        <v>0.23</v>
      </c>
      <c r="F9911" s="717">
        <v>0</v>
      </c>
      <c r="G9911">
        <f>VLOOKUP(B9911,'SINAPI-%MO'!B:E,4,0)</f>
        <v>1</v>
      </c>
      <c r="H9911" s="225">
        <f t="shared" si="155"/>
        <v>0</v>
      </c>
    </row>
    <row r="9912" spans="2:8" x14ac:dyDescent="0.3">
      <c r="B9912">
        <v>100232</v>
      </c>
      <c r="C9912" t="s">
        <v>14505</v>
      </c>
      <c r="D9912" t="s">
        <v>136</v>
      </c>
      <c r="E9912" s="716">
        <v>0.47</v>
      </c>
      <c r="F9912" s="717">
        <v>0</v>
      </c>
      <c r="G9912">
        <f>VLOOKUP(B9912,'SINAPI-%MO'!B:E,4,0)</f>
        <v>1</v>
      </c>
      <c r="H9912" s="225">
        <f t="shared" si="155"/>
        <v>0</v>
      </c>
    </row>
    <row r="9913" spans="2:8" x14ac:dyDescent="0.3">
      <c r="B9913">
        <v>100234</v>
      </c>
      <c r="C9913" t="s">
        <v>14506</v>
      </c>
      <c r="D9913" t="s">
        <v>168</v>
      </c>
      <c r="E9913" s="716">
        <v>0.71</v>
      </c>
      <c r="F9913" s="717">
        <v>0</v>
      </c>
      <c r="G9913">
        <f>VLOOKUP(B9913,'SINAPI-%MO'!B:E,4,0)</f>
        <v>1</v>
      </c>
      <c r="H9913" s="225">
        <f t="shared" si="155"/>
        <v>0</v>
      </c>
    </row>
    <row r="9914" spans="2:8" x14ac:dyDescent="0.3">
      <c r="B9914">
        <v>100265</v>
      </c>
      <c r="C9914" t="s">
        <v>14507</v>
      </c>
      <c r="D9914" t="s">
        <v>168</v>
      </c>
      <c r="E9914" s="716">
        <v>1.06</v>
      </c>
      <c r="F9914" s="717">
        <v>0</v>
      </c>
      <c r="G9914">
        <f>VLOOKUP(B9914,'SINAPI-%MO'!B:E,4,0)</f>
        <v>1</v>
      </c>
      <c r="H9914" s="225">
        <f t="shared" si="155"/>
        <v>0</v>
      </c>
    </row>
    <row r="9915" spans="2:8" x14ac:dyDescent="0.3">
      <c r="B9915">
        <v>100235</v>
      </c>
      <c r="C9915" t="s">
        <v>14508</v>
      </c>
      <c r="D9915" t="s">
        <v>8120</v>
      </c>
      <c r="E9915" s="716">
        <v>0.05</v>
      </c>
      <c r="F9915" s="717">
        <v>0</v>
      </c>
      <c r="G9915">
        <f>VLOOKUP(B9915,'SINAPI-%MO'!B:E,4,0)</f>
        <v>1</v>
      </c>
      <c r="H9915" s="225">
        <f t="shared" si="155"/>
        <v>0</v>
      </c>
    </row>
    <row r="9916" spans="2:8" x14ac:dyDescent="0.3">
      <c r="B9916">
        <v>100267</v>
      </c>
      <c r="C9916" t="s">
        <v>14509</v>
      </c>
      <c r="D9916" t="s">
        <v>136</v>
      </c>
      <c r="E9916" s="716">
        <v>2.13</v>
      </c>
      <c r="F9916" s="717">
        <v>0</v>
      </c>
      <c r="G9916">
        <f>VLOOKUP(B9916,'SINAPI-%MO'!B:E,4,0)</f>
        <v>1</v>
      </c>
      <c r="H9916" s="225">
        <f t="shared" si="155"/>
        <v>0</v>
      </c>
    </row>
    <row r="9917" spans="2:8" x14ac:dyDescent="0.3">
      <c r="B9917">
        <v>100231</v>
      </c>
      <c r="C9917" t="s">
        <v>14510</v>
      </c>
      <c r="D9917" t="s">
        <v>175</v>
      </c>
      <c r="E9917" s="716">
        <v>0.04</v>
      </c>
      <c r="F9917" s="717">
        <v>0</v>
      </c>
      <c r="G9917">
        <f>VLOOKUP(B9917,'SINAPI-%MO'!B:E,4,0)</f>
        <v>1</v>
      </c>
      <c r="H9917" s="225">
        <f t="shared" si="155"/>
        <v>0</v>
      </c>
    </row>
    <row r="9918" spans="2:8" x14ac:dyDescent="0.3">
      <c r="B9918">
        <v>100230</v>
      </c>
      <c r="C9918" t="s">
        <v>14511</v>
      </c>
      <c r="D9918" t="s">
        <v>175</v>
      </c>
      <c r="E9918" s="716">
        <v>0.03</v>
      </c>
      <c r="F9918" s="717">
        <v>0</v>
      </c>
      <c r="G9918">
        <f>VLOOKUP(B9918,'SINAPI-%MO'!B:E,4,0)</f>
        <v>1</v>
      </c>
      <c r="H9918" s="225">
        <f t="shared" si="155"/>
        <v>0</v>
      </c>
    </row>
    <row r="9919" spans="2:8" x14ac:dyDescent="0.3">
      <c r="B9919">
        <v>100229</v>
      </c>
      <c r="C9919" t="s">
        <v>14512</v>
      </c>
      <c r="D9919" t="s">
        <v>175</v>
      </c>
      <c r="E9919" s="716">
        <v>0.01</v>
      </c>
      <c r="F9919" s="717">
        <v>0</v>
      </c>
      <c r="G9919">
        <f>VLOOKUP(B9919,'SINAPI-%MO'!B:E,4,0)</f>
        <v>1</v>
      </c>
      <c r="H9919" s="225">
        <f t="shared" si="155"/>
        <v>0</v>
      </c>
    </row>
    <row r="9920" spans="2:8" x14ac:dyDescent="0.3">
      <c r="B9920">
        <v>100272</v>
      </c>
      <c r="C9920" t="s">
        <v>14513</v>
      </c>
      <c r="D9920" t="s">
        <v>168</v>
      </c>
      <c r="E9920" s="716">
        <v>1.6</v>
      </c>
      <c r="F9920" s="717">
        <v>0</v>
      </c>
      <c r="G9920">
        <f>VLOOKUP(B9920,'SINAPI-%MO'!B:E,4,0)</f>
        <v>1</v>
      </c>
      <c r="H9920" s="225">
        <f t="shared" si="155"/>
        <v>0</v>
      </c>
    </row>
    <row r="9921" spans="2:8" x14ac:dyDescent="0.3">
      <c r="B9921">
        <v>100269</v>
      </c>
      <c r="C9921" t="s">
        <v>14514</v>
      </c>
      <c r="D9921" t="s">
        <v>136</v>
      </c>
      <c r="E9921" s="716">
        <v>2.13</v>
      </c>
      <c r="F9921" s="717">
        <v>0</v>
      </c>
      <c r="G9921">
        <f>VLOOKUP(B9921,'SINAPI-%MO'!B:E,4,0)</f>
        <v>1</v>
      </c>
      <c r="H9921" s="225">
        <f t="shared" si="155"/>
        <v>0</v>
      </c>
    </row>
    <row r="9922" spans="2:8" x14ac:dyDescent="0.3">
      <c r="B9922">
        <v>100986</v>
      </c>
      <c r="C9922" t="s">
        <v>14515</v>
      </c>
      <c r="D9922" t="s">
        <v>170</v>
      </c>
      <c r="E9922" s="716">
        <v>10.08</v>
      </c>
      <c r="F9922" s="717">
        <v>0</v>
      </c>
      <c r="G9922">
        <f>VLOOKUP(B9922,'SINAPI-%MO'!B:E,4,0)</f>
        <v>0.13189999999999999</v>
      </c>
      <c r="H9922" s="225">
        <f t="shared" si="155"/>
        <v>8.75</v>
      </c>
    </row>
    <row r="9923" spans="2:8" x14ac:dyDescent="0.3">
      <c r="B9923">
        <v>101002</v>
      </c>
      <c r="C9923" t="s">
        <v>14516</v>
      </c>
      <c r="D9923" t="s">
        <v>180</v>
      </c>
      <c r="E9923" s="716">
        <v>6.72</v>
      </c>
      <c r="F9923" s="717">
        <v>0</v>
      </c>
      <c r="G9923">
        <f>VLOOKUP(B9923,'SINAPI-%MO'!B:E,4,0)</f>
        <v>0.13100000000000001</v>
      </c>
      <c r="H9923" s="225">
        <f t="shared" si="155"/>
        <v>5.83</v>
      </c>
    </row>
    <row r="9924" spans="2:8" x14ac:dyDescent="0.3">
      <c r="B9924">
        <v>100987</v>
      </c>
      <c r="C9924" t="s">
        <v>14517</v>
      </c>
      <c r="D9924" t="s">
        <v>170</v>
      </c>
      <c r="E9924" s="716">
        <v>11.53</v>
      </c>
      <c r="F9924" s="717">
        <v>0</v>
      </c>
      <c r="G9924">
        <f>VLOOKUP(B9924,'SINAPI-%MO'!B:E,4,0)</f>
        <v>0.10580000000000001</v>
      </c>
      <c r="H9924" s="225">
        <f t="shared" si="155"/>
        <v>10.31</v>
      </c>
    </row>
    <row r="9925" spans="2:8" x14ac:dyDescent="0.3">
      <c r="B9925">
        <v>101003</v>
      </c>
      <c r="C9925" t="s">
        <v>14518</v>
      </c>
      <c r="D9925" t="s">
        <v>180</v>
      </c>
      <c r="E9925" s="716">
        <v>7.68</v>
      </c>
      <c r="F9925" s="717">
        <v>0</v>
      </c>
      <c r="G9925">
        <f>VLOOKUP(B9925,'SINAPI-%MO'!B:E,4,0)</f>
        <v>0.1055</v>
      </c>
      <c r="H9925" s="225">
        <f t="shared" si="155"/>
        <v>6.86</v>
      </c>
    </row>
    <row r="9926" spans="2:8" x14ac:dyDescent="0.3">
      <c r="B9926">
        <v>100988</v>
      </c>
      <c r="C9926" t="s">
        <v>14519</v>
      </c>
      <c r="D9926" t="s">
        <v>170</v>
      </c>
      <c r="E9926" s="716">
        <v>12.23</v>
      </c>
      <c r="F9926" s="717">
        <v>0</v>
      </c>
      <c r="G9926">
        <f>VLOOKUP(B9926,'SINAPI-%MO'!B:E,4,0)</f>
        <v>9.5699999999999993E-2</v>
      </c>
      <c r="H9926" s="225">
        <f t="shared" si="155"/>
        <v>11.05</v>
      </c>
    </row>
    <row r="9927" spans="2:8" x14ac:dyDescent="0.3">
      <c r="B9927">
        <v>101004</v>
      </c>
      <c r="C9927" t="s">
        <v>14520</v>
      </c>
      <c r="D9927" t="s">
        <v>180</v>
      </c>
      <c r="E9927" s="716">
        <v>8.15</v>
      </c>
      <c r="F9927" s="717">
        <v>0</v>
      </c>
      <c r="G9927">
        <f>VLOOKUP(B9927,'SINAPI-%MO'!B:E,4,0)</f>
        <v>9.4500000000000001E-2</v>
      </c>
      <c r="H9927" s="225">
        <f t="shared" si="155"/>
        <v>7.37</v>
      </c>
    </row>
    <row r="9928" spans="2:8" x14ac:dyDescent="0.3">
      <c r="B9928">
        <v>100985</v>
      </c>
      <c r="C9928" t="s">
        <v>14521</v>
      </c>
      <c r="D9928" t="s">
        <v>170</v>
      </c>
      <c r="E9928" s="716">
        <v>8.33</v>
      </c>
      <c r="F9928" s="717">
        <v>0</v>
      </c>
      <c r="G9928">
        <f>VLOOKUP(B9928,'SINAPI-%MO'!B:E,4,0)</f>
        <v>0.1885</v>
      </c>
      <c r="H9928" s="225">
        <f t="shared" si="155"/>
        <v>6.75</v>
      </c>
    </row>
    <row r="9929" spans="2:8" x14ac:dyDescent="0.3">
      <c r="B9929">
        <v>101001</v>
      </c>
      <c r="C9929" t="s">
        <v>14522</v>
      </c>
      <c r="D9929" t="s">
        <v>180</v>
      </c>
      <c r="E9929" s="716">
        <v>5.55</v>
      </c>
      <c r="F9929" s="717">
        <v>0</v>
      </c>
      <c r="G9929">
        <f>VLOOKUP(B9929,'SINAPI-%MO'!B:E,4,0)</f>
        <v>0.18920000000000001</v>
      </c>
      <c r="H9929" s="225">
        <f t="shared" si="155"/>
        <v>4.49</v>
      </c>
    </row>
    <row r="9930" spans="2:8" x14ac:dyDescent="0.3">
      <c r="B9930">
        <v>101008</v>
      </c>
      <c r="C9930" t="s">
        <v>14523</v>
      </c>
      <c r="D9930" t="s">
        <v>170</v>
      </c>
      <c r="E9930" s="716">
        <v>10.14</v>
      </c>
      <c r="F9930" s="717">
        <v>4.0399999999999998E-2</v>
      </c>
      <c r="G9930">
        <f>VLOOKUP(B9930,'SINAPI-%MO'!B:E,4,0)</f>
        <v>0.1026</v>
      </c>
      <c r="H9930" s="225">
        <f t="shared" si="155"/>
        <v>9.09</v>
      </c>
    </row>
    <row r="9931" spans="2:8" x14ac:dyDescent="0.3">
      <c r="B9931">
        <v>106708</v>
      </c>
      <c r="C9931" t="s">
        <v>14524</v>
      </c>
      <c r="D9931" t="s">
        <v>170</v>
      </c>
      <c r="E9931" s="716">
        <v>7</v>
      </c>
      <c r="F9931" s="717">
        <v>5.57E-2</v>
      </c>
      <c r="G9931">
        <f>VLOOKUP(B9931,'SINAPI-%MO'!B:E,4,0)</f>
        <v>0.1143</v>
      </c>
      <c r="H9931" s="225">
        <f t="shared" si="155"/>
        <v>6.19</v>
      </c>
    </row>
    <row r="9932" spans="2:8" x14ac:dyDescent="0.3">
      <c r="B9932">
        <v>101007</v>
      </c>
      <c r="C9932" t="s">
        <v>14525</v>
      </c>
      <c r="D9932" t="s">
        <v>170</v>
      </c>
      <c r="E9932" s="716">
        <v>12.49</v>
      </c>
      <c r="F9932" s="717">
        <v>4.24E-2</v>
      </c>
      <c r="G9932">
        <f>VLOOKUP(B9932,'SINAPI-%MO'!B:E,4,0)</f>
        <v>0.1273</v>
      </c>
      <c r="H9932" s="225">
        <f t="shared" si="155"/>
        <v>10.9</v>
      </c>
    </row>
    <row r="9933" spans="2:8" x14ac:dyDescent="0.3">
      <c r="B9933">
        <v>106711</v>
      </c>
      <c r="C9933" t="s">
        <v>15315</v>
      </c>
      <c r="D9933" t="s">
        <v>170</v>
      </c>
      <c r="E9933" s="716">
        <v>0</v>
      </c>
      <c r="F9933" s="717"/>
      <c r="G9933" t="e">
        <f>VLOOKUP(B9933,'SINAPI-%MO'!B:E,4,0)</f>
        <v>#N/A</v>
      </c>
      <c r="H9933" s="225" t="str">
        <f t="shared" si="155"/>
        <v/>
      </c>
    </row>
    <row r="9934" spans="2:8" x14ac:dyDescent="0.3">
      <c r="B9934">
        <v>106709</v>
      </c>
      <c r="C9934" t="s">
        <v>15316</v>
      </c>
      <c r="D9934" t="s">
        <v>180</v>
      </c>
      <c r="E9934" s="716">
        <v>0</v>
      </c>
      <c r="F9934" s="717"/>
      <c r="G9934" t="e">
        <f>VLOOKUP(B9934,'SINAPI-%MO'!B:E,4,0)</f>
        <v>#N/A</v>
      </c>
      <c r="H9934" s="225" t="str">
        <f t="shared" si="155"/>
        <v/>
      </c>
    </row>
    <row r="9935" spans="2:8" x14ac:dyDescent="0.3">
      <c r="B9935">
        <v>106710</v>
      </c>
      <c r="C9935" t="s">
        <v>15317</v>
      </c>
      <c r="D9935" t="s">
        <v>180</v>
      </c>
      <c r="E9935" s="716">
        <v>0</v>
      </c>
      <c r="F9935" s="717"/>
      <c r="G9935" t="e">
        <f>VLOOKUP(B9935,'SINAPI-%MO'!B:E,4,0)</f>
        <v>#N/A</v>
      </c>
      <c r="H9935" s="225" t="str">
        <f t="shared" si="155"/>
        <v/>
      </c>
    </row>
    <row r="9936" spans="2:8" x14ac:dyDescent="0.3">
      <c r="B9936">
        <v>100982</v>
      </c>
      <c r="C9936" t="s">
        <v>14526</v>
      </c>
      <c r="D9936" t="s">
        <v>170</v>
      </c>
      <c r="E9936" s="716">
        <v>9.67</v>
      </c>
      <c r="F9936" s="717">
        <v>0</v>
      </c>
      <c r="G9936">
        <f>VLOOKUP(B9936,'SINAPI-%MO'!B:E,4,0)</f>
        <v>0.1613</v>
      </c>
      <c r="H9936" s="225">
        <f t="shared" si="155"/>
        <v>8.11</v>
      </c>
    </row>
    <row r="9937" spans="2:8" x14ac:dyDescent="0.3">
      <c r="B9937">
        <v>100998</v>
      </c>
      <c r="C9937" t="s">
        <v>14527</v>
      </c>
      <c r="D9937" t="s">
        <v>180</v>
      </c>
      <c r="E9937" s="716">
        <v>6.44</v>
      </c>
      <c r="F9937" s="717">
        <v>0</v>
      </c>
      <c r="G9937">
        <f>VLOOKUP(B9937,'SINAPI-%MO'!B:E,4,0)</f>
        <v>0.15840000000000001</v>
      </c>
      <c r="H9937" s="225">
        <f t="shared" si="155"/>
        <v>5.41</v>
      </c>
    </row>
    <row r="9938" spans="2:8" x14ac:dyDescent="0.3">
      <c r="B9938">
        <v>100983</v>
      </c>
      <c r="C9938" t="s">
        <v>14528</v>
      </c>
      <c r="D9938" t="s">
        <v>170</v>
      </c>
      <c r="E9938" s="716">
        <v>9.67</v>
      </c>
      <c r="F9938" s="717">
        <v>0</v>
      </c>
      <c r="G9938">
        <f>VLOOKUP(B9938,'SINAPI-%MO'!B:E,4,0)</f>
        <v>0.13750000000000001</v>
      </c>
      <c r="H9938" s="225">
        <f t="shared" si="155"/>
        <v>8.34</v>
      </c>
    </row>
    <row r="9939" spans="2:8" x14ac:dyDescent="0.3">
      <c r="B9939">
        <v>100999</v>
      </c>
      <c r="C9939" t="s">
        <v>14529</v>
      </c>
      <c r="D9939" t="s">
        <v>180</v>
      </c>
      <c r="E9939" s="716">
        <v>6.45</v>
      </c>
      <c r="F9939" s="717">
        <v>0</v>
      </c>
      <c r="G9939">
        <f>VLOOKUP(B9939,'SINAPI-%MO'!B:E,4,0)</f>
        <v>0.13639999999999999</v>
      </c>
      <c r="H9939" s="225">
        <f t="shared" si="155"/>
        <v>5.57</v>
      </c>
    </row>
    <row r="9940" spans="2:8" x14ac:dyDescent="0.3">
      <c r="B9940">
        <v>100984</v>
      </c>
      <c r="C9940" t="s">
        <v>14530</v>
      </c>
      <c r="D9940" t="s">
        <v>170</v>
      </c>
      <c r="E9940" s="716">
        <v>9.4700000000000006</v>
      </c>
      <c r="F9940" s="717">
        <v>0</v>
      </c>
      <c r="G9940">
        <f>VLOOKUP(B9940,'SINAPI-%MO'!B:E,4,0)</f>
        <v>0.12670000000000001</v>
      </c>
      <c r="H9940" s="225">
        <f t="shared" si="155"/>
        <v>8.27</v>
      </c>
    </row>
    <row r="9941" spans="2:8" x14ac:dyDescent="0.3">
      <c r="B9941">
        <v>101000</v>
      </c>
      <c r="C9941" t="s">
        <v>14531</v>
      </c>
      <c r="D9941" t="s">
        <v>180</v>
      </c>
      <c r="E9941" s="716">
        <v>6.32</v>
      </c>
      <c r="F9941" s="717">
        <v>0</v>
      </c>
      <c r="G9941">
        <f>VLOOKUP(B9941,'SINAPI-%MO'!B:E,4,0)</f>
        <v>0.1234</v>
      </c>
      <c r="H9941" s="225">
        <f t="shared" si="155"/>
        <v>5.54</v>
      </c>
    </row>
    <row r="9942" spans="2:8" x14ac:dyDescent="0.3">
      <c r="B9942">
        <v>100981</v>
      </c>
      <c r="C9942" t="s">
        <v>14532</v>
      </c>
      <c r="D9942" t="s">
        <v>170</v>
      </c>
      <c r="E9942" s="716">
        <v>10.02</v>
      </c>
      <c r="F9942" s="717">
        <v>0</v>
      </c>
      <c r="G9942">
        <f>VLOOKUP(B9942,'SINAPI-%MO'!B:E,4,0)</f>
        <v>0.20960000000000001</v>
      </c>
      <c r="H9942" s="225">
        <f t="shared" si="155"/>
        <v>7.91</v>
      </c>
    </row>
    <row r="9943" spans="2:8" x14ac:dyDescent="0.3">
      <c r="B9943">
        <v>100997</v>
      </c>
      <c r="C9943" t="s">
        <v>14533</v>
      </c>
      <c r="D9943" t="s">
        <v>180</v>
      </c>
      <c r="E9943" s="716">
        <v>6.67</v>
      </c>
      <c r="F9943" s="717">
        <v>0</v>
      </c>
      <c r="G9943">
        <f>VLOOKUP(B9943,'SINAPI-%MO'!B:E,4,0)</f>
        <v>0.2069</v>
      </c>
      <c r="H9943" s="225">
        <f t="shared" si="155"/>
        <v>5.28</v>
      </c>
    </row>
    <row r="9944" spans="2:8" x14ac:dyDescent="0.3">
      <c r="B9944">
        <v>101010</v>
      </c>
      <c r="C9944" t="s">
        <v>14534</v>
      </c>
      <c r="D9944" t="s">
        <v>180</v>
      </c>
      <c r="E9944" s="716">
        <v>29.41</v>
      </c>
      <c r="F9944" s="717">
        <v>0</v>
      </c>
      <c r="G9944">
        <f>VLOOKUP(B9944,'SINAPI-%MO'!B:E,4,0)</f>
        <v>0.13800000000000001</v>
      </c>
      <c r="H9944" s="225">
        <f t="shared" si="155"/>
        <v>25.35</v>
      </c>
    </row>
    <row r="9945" spans="2:8" x14ac:dyDescent="0.3">
      <c r="B9945">
        <v>106721</v>
      </c>
      <c r="C9945" t="s">
        <v>14535</v>
      </c>
      <c r="D9945" t="s">
        <v>180</v>
      </c>
      <c r="E9945" s="716">
        <v>33.159999999999997</v>
      </c>
      <c r="F9945" s="717">
        <v>0</v>
      </c>
      <c r="G9945">
        <f>VLOOKUP(B9945,'SINAPI-%MO'!B:E,4,0)</f>
        <v>0.11609999999999999</v>
      </c>
      <c r="H9945" s="225">
        <f t="shared" si="155"/>
        <v>29.31</v>
      </c>
    </row>
    <row r="9946" spans="2:8" x14ac:dyDescent="0.3">
      <c r="B9946">
        <v>101009</v>
      </c>
      <c r="C9946" t="s">
        <v>14536</v>
      </c>
      <c r="D9946" t="s">
        <v>180</v>
      </c>
      <c r="E9946" s="716">
        <v>46.56</v>
      </c>
      <c r="F9946" s="717">
        <v>0</v>
      </c>
      <c r="G9946">
        <f>VLOOKUP(B9946,'SINAPI-%MO'!B:E,4,0)</f>
        <v>0.1381</v>
      </c>
      <c r="H9946" s="225">
        <f t="shared" si="155"/>
        <v>40.130000000000003</v>
      </c>
    </row>
    <row r="9947" spans="2:8" x14ac:dyDescent="0.3">
      <c r="B9947">
        <v>106720</v>
      </c>
      <c r="C9947" t="s">
        <v>14537</v>
      </c>
      <c r="D9947" t="s">
        <v>180</v>
      </c>
      <c r="E9947" s="716">
        <v>53.35</v>
      </c>
      <c r="F9947" s="717">
        <v>0</v>
      </c>
      <c r="G9947">
        <f>VLOOKUP(B9947,'SINAPI-%MO'!B:E,4,0)</f>
        <v>0.1162</v>
      </c>
      <c r="H9947" s="225">
        <f t="shared" si="155"/>
        <v>47.15</v>
      </c>
    </row>
    <row r="9948" spans="2:8" x14ac:dyDescent="0.3">
      <c r="B9948">
        <v>100978</v>
      </c>
      <c r="C9948" t="s">
        <v>14538</v>
      </c>
      <c r="D9948" t="s">
        <v>170</v>
      </c>
      <c r="E9948" s="716">
        <v>7.42</v>
      </c>
      <c r="F9948" s="717">
        <v>0</v>
      </c>
      <c r="G9948">
        <f>VLOOKUP(B9948,'SINAPI-%MO'!B:E,4,0)</f>
        <v>0.159</v>
      </c>
      <c r="H9948" s="225">
        <f t="shared" si="155"/>
        <v>6.24</v>
      </c>
    </row>
    <row r="9949" spans="2:8" x14ac:dyDescent="0.3">
      <c r="B9949">
        <v>100994</v>
      </c>
      <c r="C9949" t="s">
        <v>14539</v>
      </c>
      <c r="D9949" t="s">
        <v>180</v>
      </c>
      <c r="E9949" s="716">
        <v>4.9400000000000004</v>
      </c>
      <c r="F9949" s="717">
        <v>0</v>
      </c>
      <c r="G9949">
        <f>VLOOKUP(B9949,'SINAPI-%MO'!B:E,4,0)</f>
        <v>0.15790000000000001</v>
      </c>
      <c r="H9949" s="225">
        <f t="shared" si="155"/>
        <v>4.1500000000000004</v>
      </c>
    </row>
    <row r="9950" spans="2:8" x14ac:dyDescent="0.3">
      <c r="B9950">
        <v>100974</v>
      </c>
      <c r="C9950" t="s">
        <v>14540</v>
      </c>
      <c r="D9950" t="s">
        <v>170</v>
      </c>
      <c r="E9950" s="716">
        <v>8.67</v>
      </c>
      <c r="F9950" s="717">
        <v>0</v>
      </c>
      <c r="G9950">
        <f>VLOOKUP(B9950,'SINAPI-%MO'!B:E,4,0)</f>
        <v>0.17299999999999999</v>
      </c>
      <c r="H9950" s="225">
        <f t="shared" si="155"/>
        <v>7.17</v>
      </c>
    </row>
    <row r="9951" spans="2:8" x14ac:dyDescent="0.3">
      <c r="B9951">
        <v>100990</v>
      </c>
      <c r="C9951" t="s">
        <v>14541</v>
      </c>
      <c r="D9951" t="s">
        <v>180</v>
      </c>
      <c r="E9951" s="716">
        <v>5.78</v>
      </c>
      <c r="F9951" s="717">
        <v>0</v>
      </c>
      <c r="G9951">
        <f>VLOOKUP(B9951,'SINAPI-%MO'!B:E,4,0)</f>
        <v>0.17130000000000001</v>
      </c>
      <c r="H9951" s="225">
        <f t="shared" si="155"/>
        <v>4.78</v>
      </c>
    </row>
    <row r="9952" spans="2:8" x14ac:dyDescent="0.3">
      <c r="B9952">
        <v>100979</v>
      </c>
      <c r="C9952" t="s">
        <v>14542</v>
      </c>
      <c r="D9952" t="s">
        <v>170</v>
      </c>
      <c r="E9952" s="716">
        <v>7.12</v>
      </c>
      <c r="F9952" s="717">
        <v>0</v>
      </c>
      <c r="G9952">
        <f>VLOOKUP(B9952,'SINAPI-%MO'!B:E,4,0)</f>
        <v>0.13339999999999999</v>
      </c>
      <c r="H9952" s="225">
        <f t="shared" si="155"/>
        <v>6.17</v>
      </c>
    </row>
    <row r="9953" spans="2:8" x14ac:dyDescent="0.3">
      <c r="B9953">
        <v>100995</v>
      </c>
      <c r="C9953" t="s">
        <v>14543</v>
      </c>
      <c r="D9953" t="s">
        <v>180</v>
      </c>
      <c r="E9953" s="716">
        <v>4.7300000000000004</v>
      </c>
      <c r="F9953" s="717">
        <v>0</v>
      </c>
      <c r="G9953">
        <f>VLOOKUP(B9953,'SINAPI-%MO'!B:E,4,0)</f>
        <v>0.13320000000000001</v>
      </c>
      <c r="H9953" s="225">
        <f t="shared" si="155"/>
        <v>4.09</v>
      </c>
    </row>
    <row r="9954" spans="2:8" x14ac:dyDescent="0.3">
      <c r="B9954">
        <v>100975</v>
      </c>
      <c r="C9954" t="s">
        <v>14544</v>
      </c>
      <c r="D9954" t="s">
        <v>170</v>
      </c>
      <c r="E9954" s="716">
        <v>8.61</v>
      </c>
      <c r="F9954" s="717">
        <v>0</v>
      </c>
      <c r="G9954">
        <f>VLOOKUP(B9954,'SINAPI-%MO'!B:E,4,0)</f>
        <v>0.14630000000000001</v>
      </c>
      <c r="H9954" s="225">
        <f t="shared" si="155"/>
        <v>7.35</v>
      </c>
    </row>
    <row r="9955" spans="2:8" x14ac:dyDescent="0.3">
      <c r="B9955">
        <v>100991</v>
      </c>
      <c r="C9955" t="s">
        <v>14545</v>
      </c>
      <c r="D9955" t="s">
        <v>180</v>
      </c>
      <c r="E9955" s="716">
        <v>5.73</v>
      </c>
      <c r="F9955" s="717">
        <v>0</v>
      </c>
      <c r="G9955">
        <f>VLOOKUP(B9955,'SINAPI-%MO'!B:E,4,0)</f>
        <v>0.1449</v>
      </c>
      <c r="H9955" s="225">
        <f t="shared" si="155"/>
        <v>4.8899999999999997</v>
      </c>
    </row>
    <row r="9956" spans="2:8" x14ac:dyDescent="0.3">
      <c r="B9956">
        <v>100980</v>
      </c>
      <c r="C9956" t="s">
        <v>14546</v>
      </c>
      <c r="D9956" t="s">
        <v>170</v>
      </c>
      <c r="E9956" s="716">
        <v>6.73</v>
      </c>
      <c r="F9956" s="717">
        <v>0</v>
      </c>
      <c r="G9956">
        <f>VLOOKUP(B9956,'SINAPI-%MO'!B:E,4,0)</f>
        <v>0.12330000000000001</v>
      </c>
      <c r="H9956" s="225">
        <f t="shared" si="155"/>
        <v>5.9</v>
      </c>
    </row>
    <row r="9957" spans="2:8" x14ac:dyDescent="0.3">
      <c r="B9957">
        <v>100996</v>
      </c>
      <c r="C9957" t="s">
        <v>14547</v>
      </c>
      <c r="D9957" t="s">
        <v>180</v>
      </c>
      <c r="E9957" s="716">
        <v>4.4800000000000004</v>
      </c>
      <c r="F9957" s="717">
        <v>0</v>
      </c>
      <c r="G9957">
        <f>VLOOKUP(B9957,'SINAPI-%MO'!B:E,4,0)</f>
        <v>0.12280000000000001</v>
      </c>
      <c r="H9957" s="225">
        <f t="shared" si="155"/>
        <v>3.92</v>
      </c>
    </row>
    <row r="9958" spans="2:8" x14ac:dyDescent="0.3">
      <c r="B9958">
        <v>100976</v>
      </c>
      <c r="C9958" t="s">
        <v>14548</v>
      </c>
      <c r="D9958" t="s">
        <v>170</v>
      </c>
      <c r="E9958" s="716">
        <v>8.3699999999999992</v>
      </c>
      <c r="F9958" s="717">
        <v>0</v>
      </c>
      <c r="G9958">
        <f>VLOOKUP(B9958,'SINAPI-%MO'!B:E,4,0)</f>
        <v>0.13619999999999999</v>
      </c>
      <c r="H9958" s="225">
        <f t="shared" si="155"/>
        <v>7.23</v>
      </c>
    </row>
    <row r="9959" spans="2:8" x14ac:dyDescent="0.3">
      <c r="B9959">
        <v>100992</v>
      </c>
      <c r="C9959" t="s">
        <v>14549</v>
      </c>
      <c r="D9959" t="s">
        <v>180</v>
      </c>
      <c r="E9959" s="716">
        <v>5.57</v>
      </c>
      <c r="F9959" s="717">
        <v>0</v>
      </c>
      <c r="G9959">
        <f>VLOOKUP(B9959,'SINAPI-%MO'!B:E,4,0)</f>
        <v>0.1346</v>
      </c>
      <c r="H9959" s="225">
        <f t="shared" si="155"/>
        <v>4.82</v>
      </c>
    </row>
    <row r="9960" spans="2:8" x14ac:dyDescent="0.3">
      <c r="B9960">
        <v>100977</v>
      </c>
      <c r="C9960" t="s">
        <v>14550</v>
      </c>
      <c r="D9960" t="s">
        <v>170</v>
      </c>
      <c r="E9960" s="716">
        <v>8.2200000000000006</v>
      </c>
      <c r="F9960" s="717">
        <v>0</v>
      </c>
      <c r="G9960">
        <f>VLOOKUP(B9960,'SINAPI-%MO'!B:E,4,0)</f>
        <v>0.2092</v>
      </c>
      <c r="H9960" s="225">
        <f t="shared" si="155"/>
        <v>6.5</v>
      </c>
    </row>
    <row r="9961" spans="2:8" x14ac:dyDescent="0.3">
      <c r="B9961">
        <v>100993</v>
      </c>
      <c r="C9961" t="s">
        <v>14551</v>
      </c>
      <c r="D9961" t="s">
        <v>180</v>
      </c>
      <c r="E9961" s="716">
        <v>5.47</v>
      </c>
      <c r="F9961" s="717">
        <v>0</v>
      </c>
      <c r="G9961">
        <f>VLOOKUP(B9961,'SINAPI-%MO'!B:E,4,0)</f>
        <v>0.2084</v>
      </c>
      <c r="H9961" s="225">
        <f t="shared" si="155"/>
        <v>4.33</v>
      </c>
    </row>
    <row r="9962" spans="2:8" x14ac:dyDescent="0.3">
      <c r="B9962">
        <v>100973</v>
      </c>
      <c r="C9962" t="s">
        <v>14552</v>
      </c>
      <c r="D9962" t="s">
        <v>170</v>
      </c>
      <c r="E9962" s="716">
        <v>9.1199999999999992</v>
      </c>
      <c r="F9962" s="717">
        <v>0</v>
      </c>
      <c r="G9962">
        <f>VLOOKUP(B9962,'SINAPI-%MO'!B:E,4,0)</f>
        <v>0.2248</v>
      </c>
      <c r="H9962" s="225">
        <f t="shared" si="155"/>
        <v>7.06</v>
      </c>
    </row>
    <row r="9963" spans="2:8" x14ac:dyDescent="0.3">
      <c r="B9963">
        <v>100989</v>
      </c>
      <c r="C9963" t="s">
        <v>14553</v>
      </c>
      <c r="D9963" t="s">
        <v>180</v>
      </c>
      <c r="E9963" s="716">
        <v>6.06</v>
      </c>
      <c r="F9963" s="717">
        <v>0</v>
      </c>
      <c r="G9963">
        <f>VLOOKUP(B9963,'SINAPI-%MO'!B:E,4,0)</f>
        <v>0.2228</v>
      </c>
      <c r="H9963" s="225">
        <f t="shared" si="155"/>
        <v>4.7</v>
      </c>
    </row>
    <row r="9964" spans="2:8" x14ac:dyDescent="0.3">
      <c r="B9964">
        <v>101467</v>
      </c>
      <c r="C9964" t="s">
        <v>14554</v>
      </c>
      <c r="D9964" t="s">
        <v>180</v>
      </c>
      <c r="E9964" s="716">
        <v>21.88</v>
      </c>
      <c r="F9964" s="717">
        <v>0</v>
      </c>
      <c r="G9964">
        <f>VLOOKUP(B9964,'SINAPI-%MO'!B:E,4,0)</f>
        <v>0.29020000000000001</v>
      </c>
      <c r="H9964" s="225">
        <f t="shared" si="155"/>
        <v>15.53</v>
      </c>
    </row>
    <row r="9965" spans="2:8" x14ac:dyDescent="0.3">
      <c r="B9965">
        <v>106729</v>
      </c>
      <c r="C9965" t="s">
        <v>14555</v>
      </c>
      <c r="D9965" t="s">
        <v>180</v>
      </c>
      <c r="E9965" s="716">
        <v>23.05</v>
      </c>
      <c r="F9965" s="717">
        <v>0</v>
      </c>
      <c r="G9965">
        <f>VLOOKUP(B9965,'SINAPI-%MO'!B:E,4,0)</f>
        <v>0.25119999999999998</v>
      </c>
      <c r="H9965" s="225">
        <f t="shared" si="155"/>
        <v>17.25</v>
      </c>
    </row>
    <row r="9966" spans="2:8" x14ac:dyDescent="0.3">
      <c r="B9966">
        <v>101468</v>
      </c>
      <c r="C9966" t="s">
        <v>14556</v>
      </c>
      <c r="D9966" t="s">
        <v>180</v>
      </c>
      <c r="E9966" s="716">
        <v>19.93</v>
      </c>
      <c r="F9966" s="717">
        <v>0</v>
      </c>
      <c r="G9966">
        <f>VLOOKUP(B9966,'SINAPI-%MO'!B:E,4,0)</f>
        <v>0.28949999999999998</v>
      </c>
      <c r="H9966" s="225">
        <f t="shared" si="155"/>
        <v>14.16</v>
      </c>
    </row>
    <row r="9967" spans="2:8" x14ac:dyDescent="0.3">
      <c r="B9967">
        <v>106730</v>
      </c>
      <c r="C9967" t="s">
        <v>14557</v>
      </c>
      <c r="D9967" t="s">
        <v>180</v>
      </c>
      <c r="E9967" s="716">
        <v>20.420000000000002</v>
      </c>
      <c r="F9967" s="717">
        <v>0</v>
      </c>
      <c r="G9967">
        <f>VLOOKUP(B9967,'SINAPI-%MO'!B:E,4,0)</f>
        <v>0.25069999999999998</v>
      </c>
      <c r="H9967" s="225">
        <f t="shared" si="155"/>
        <v>15.3</v>
      </c>
    </row>
    <row r="9968" spans="2:8" x14ac:dyDescent="0.3">
      <c r="B9968">
        <v>101014</v>
      </c>
      <c r="C9968" t="s">
        <v>14558</v>
      </c>
      <c r="D9968" t="s">
        <v>180</v>
      </c>
      <c r="E9968" s="716">
        <v>50.75</v>
      </c>
      <c r="F9968" s="717">
        <v>0</v>
      </c>
      <c r="G9968">
        <f>VLOOKUP(B9968,'SINAPI-%MO'!B:E,4,0)</f>
        <v>0.29020000000000001</v>
      </c>
      <c r="H9968" s="225">
        <f t="shared" si="155"/>
        <v>36.020000000000003</v>
      </c>
    </row>
    <row r="9969" spans="2:8" x14ac:dyDescent="0.3">
      <c r="B9969">
        <v>106723</v>
      </c>
      <c r="C9969" t="s">
        <v>14559</v>
      </c>
      <c r="D9969" t="s">
        <v>180</v>
      </c>
      <c r="E9969" s="716">
        <v>56.39</v>
      </c>
      <c r="F9969" s="717">
        <v>0</v>
      </c>
      <c r="G9969">
        <f>VLOOKUP(B9969,'SINAPI-%MO'!B:E,4,0)</f>
        <v>0.25109999999999999</v>
      </c>
      <c r="H9969" s="225">
        <f t="shared" ref="H9969:H10032" si="156">IF(E9969&gt;0,TRUNC(E9969*(1-G9969),2),"")</f>
        <v>42.23</v>
      </c>
    </row>
    <row r="9970" spans="2:8" x14ac:dyDescent="0.3">
      <c r="B9970">
        <v>101015</v>
      </c>
      <c r="C9970" t="s">
        <v>14560</v>
      </c>
      <c r="D9970" t="s">
        <v>180</v>
      </c>
      <c r="E9970" s="716">
        <v>41.6</v>
      </c>
      <c r="F9970" s="717">
        <v>0</v>
      </c>
      <c r="G9970">
        <f>VLOOKUP(B9970,'SINAPI-%MO'!B:E,4,0)</f>
        <v>0.29010000000000002</v>
      </c>
      <c r="H9970" s="225">
        <f t="shared" si="156"/>
        <v>29.53</v>
      </c>
    </row>
    <row r="9971" spans="2:8" x14ac:dyDescent="0.3">
      <c r="B9971">
        <v>106724</v>
      </c>
      <c r="C9971" t="s">
        <v>14561</v>
      </c>
      <c r="D9971" t="s">
        <v>180</v>
      </c>
      <c r="E9971" s="716">
        <v>45.91</v>
      </c>
      <c r="F9971" s="717">
        <v>0</v>
      </c>
      <c r="G9971">
        <f>VLOOKUP(B9971,'SINAPI-%MO'!B:E,4,0)</f>
        <v>0.25090000000000001</v>
      </c>
      <c r="H9971" s="225">
        <f t="shared" si="156"/>
        <v>34.39</v>
      </c>
    </row>
    <row r="9972" spans="2:8" x14ac:dyDescent="0.3">
      <c r="B9972">
        <v>101463</v>
      </c>
      <c r="C9972" t="s">
        <v>14562</v>
      </c>
      <c r="D9972" t="s">
        <v>180</v>
      </c>
      <c r="E9972" s="716">
        <v>55.61</v>
      </c>
      <c r="F9972" s="717">
        <v>0</v>
      </c>
      <c r="G9972">
        <f>VLOOKUP(B9972,'SINAPI-%MO'!B:E,4,0)</f>
        <v>0.29020000000000001</v>
      </c>
      <c r="H9972" s="225">
        <f t="shared" si="156"/>
        <v>39.47</v>
      </c>
    </row>
    <row r="9973" spans="2:8" x14ac:dyDescent="0.3">
      <c r="B9973">
        <v>106725</v>
      </c>
      <c r="C9973" t="s">
        <v>14563</v>
      </c>
      <c r="D9973" t="s">
        <v>180</v>
      </c>
      <c r="E9973" s="716">
        <v>61.92</v>
      </c>
      <c r="F9973" s="717">
        <v>0</v>
      </c>
      <c r="G9973">
        <f>VLOOKUP(B9973,'SINAPI-%MO'!B:E,4,0)</f>
        <v>0.25109999999999999</v>
      </c>
      <c r="H9973" s="225">
        <f t="shared" si="156"/>
        <v>46.37</v>
      </c>
    </row>
    <row r="9974" spans="2:8" x14ac:dyDescent="0.3">
      <c r="B9974">
        <v>101464</v>
      </c>
      <c r="C9974" t="s">
        <v>14564</v>
      </c>
      <c r="D9974" t="s">
        <v>180</v>
      </c>
      <c r="E9974" s="716">
        <v>42.6</v>
      </c>
      <c r="F9974" s="717">
        <v>0</v>
      </c>
      <c r="G9974">
        <f>VLOOKUP(B9974,'SINAPI-%MO'!B:E,4,0)</f>
        <v>0.29010000000000002</v>
      </c>
      <c r="H9974" s="225">
        <f t="shared" si="156"/>
        <v>30.24</v>
      </c>
    </row>
    <row r="9975" spans="2:8" x14ac:dyDescent="0.3">
      <c r="B9975">
        <v>106726</v>
      </c>
      <c r="C9975" t="s">
        <v>14565</v>
      </c>
      <c r="D9975" t="s">
        <v>180</v>
      </c>
      <c r="E9975" s="716">
        <v>47.13</v>
      </c>
      <c r="F9975" s="717">
        <v>0</v>
      </c>
      <c r="G9975">
        <f>VLOOKUP(B9975,'SINAPI-%MO'!B:E,4,0)</f>
        <v>0.251</v>
      </c>
      <c r="H9975" s="225">
        <f t="shared" si="156"/>
        <v>35.299999999999997</v>
      </c>
    </row>
    <row r="9976" spans="2:8" x14ac:dyDescent="0.3">
      <c r="B9976">
        <v>101465</v>
      </c>
      <c r="C9976" t="s">
        <v>14566</v>
      </c>
      <c r="D9976" t="s">
        <v>180</v>
      </c>
      <c r="E9976" s="716">
        <v>32.42</v>
      </c>
      <c r="F9976" s="717">
        <v>0</v>
      </c>
      <c r="G9976">
        <f>VLOOKUP(B9976,'SINAPI-%MO'!B:E,4,0)</f>
        <v>0.28989999999999999</v>
      </c>
      <c r="H9976" s="225">
        <f t="shared" si="156"/>
        <v>23.02</v>
      </c>
    </row>
    <row r="9977" spans="2:8" x14ac:dyDescent="0.3">
      <c r="B9977">
        <v>106727</v>
      </c>
      <c r="C9977" t="s">
        <v>14567</v>
      </c>
      <c r="D9977" t="s">
        <v>180</v>
      </c>
      <c r="E9977" s="716">
        <v>35.21</v>
      </c>
      <c r="F9977" s="717">
        <v>0</v>
      </c>
      <c r="G9977">
        <f>VLOOKUP(B9977,'SINAPI-%MO'!B:E,4,0)</f>
        <v>0.25109999999999999</v>
      </c>
      <c r="H9977" s="225">
        <f t="shared" si="156"/>
        <v>26.36</v>
      </c>
    </row>
    <row r="9978" spans="2:8" x14ac:dyDescent="0.3">
      <c r="B9978">
        <v>101466</v>
      </c>
      <c r="C9978" t="s">
        <v>14568</v>
      </c>
      <c r="D9978" t="s">
        <v>180</v>
      </c>
      <c r="E9978" s="716">
        <v>26.28</v>
      </c>
      <c r="F9978" s="717">
        <v>0</v>
      </c>
      <c r="G9978">
        <f>VLOOKUP(B9978,'SINAPI-%MO'!B:E,4,0)</f>
        <v>0.28999999999999998</v>
      </c>
      <c r="H9978" s="225">
        <f t="shared" si="156"/>
        <v>18.649999999999999</v>
      </c>
    </row>
    <row r="9979" spans="2:8" x14ac:dyDescent="0.3">
      <c r="B9979">
        <v>106728</v>
      </c>
      <c r="C9979" t="s">
        <v>14569</v>
      </c>
      <c r="D9979" t="s">
        <v>180</v>
      </c>
      <c r="E9979" s="716">
        <v>28.31</v>
      </c>
      <c r="F9979" s="717">
        <v>0</v>
      </c>
      <c r="G9979">
        <f>VLOOKUP(B9979,'SINAPI-%MO'!B:E,4,0)</f>
        <v>0.25080000000000002</v>
      </c>
      <c r="H9979" s="225">
        <f t="shared" si="156"/>
        <v>21.2</v>
      </c>
    </row>
    <row r="9980" spans="2:8" x14ac:dyDescent="0.3">
      <c r="B9980">
        <v>101013</v>
      </c>
      <c r="C9980" t="s">
        <v>14570</v>
      </c>
      <c r="D9980" t="s">
        <v>180</v>
      </c>
      <c r="E9980" s="716">
        <v>55.47</v>
      </c>
      <c r="F9980" s="717">
        <v>0</v>
      </c>
      <c r="G9980">
        <f>VLOOKUP(B9980,'SINAPI-%MO'!B:E,4,0)</f>
        <v>0.29020000000000001</v>
      </c>
      <c r="H9980" s="225">
        <f t="shared" si="156"/>
        <v>39.369999999999997</v>
      </c>
    </row>
    <row r="9981" spans="2:8" x14ac:dyDescent="0.3">
      <c r="B9981">
        <v>106722</v>
      </c>
      <c r="C9981" t="s">
        <v>14571</v>
      </c>
      <c r="D9981" t="s">
        <v>180</v>
      </c>
      <c r="E9981" s="716">
        <v>61.92</v>
      </c>
      <c r="F9981" s="717">
        <v>0</v>
      </c>
      <c r="G9981">
        <f>VLOOKUP(B9981,'SINAPI-%MO'!B:E,4,0)</f>
        <v>0.25109999999999999</v>
      </c>
      <c r="H9981" s="225">
        <f t="shared" si="156"/>
        <v>46.37</v>
      </c>
    </row>
    <row r="9982" spans="2:8" x14ac:dyDescent="0.3">
      <c r="B9982">
        <v>101477</v>
      </c>
      <c r="C9982" t="s">
        <v>14572</v>
      </c>
      <c r="D9982" t="s">
        <v>180</v>
      </c>
      <c r="E9982" s="716">
        <v>15.7</v>
      </c>
      <c r="F9982" s="717">
        <v>0</v>
      </c>
      <c r="G9982">
        <f>VLOOKUP(B9982,'SINAPI-%MO'!B:E,4,0)</f>
        <v>0.28920000000000001</v>
      </c>
      <c r="H9982" s="225">
        <f t="shared" si="156"/>
        <v>11.15</v>
      </c>
    </row>
    <row r="9983" spans="2:8" x14ac:dyDescent="0.3">
      <c r="B9983">
        <v>106742</v>
      </c>
      <c r="C9983" t="s">
        <v>14573</v>
      </c>
      <c r="D9983" t="s">
        <v>180</v>
      </c>
      <c r="E9983" s="716">
        <v>16.32</v>
      </c>
      <c r="F9983" s="717">
        <v>0</v>
      </c>
      <c r="G9983">
        <f>VLOOKUP(B9983,'SINAPI-%MO'!B:E,4,0)</f>
        <v>0.25059999999999999</v>
      </c>
      <c r="H9983" s="225">
        <f t="shared" si="156"/>
        <v>12.23</v>
      </c>
    </row>
    <row r="9984" spans="2:8" x14ac:dyDescent="0.3">
      <c r="B9984">
        <v>101478</v>
      </c>
      <c r="C9984" t="s">
        <v>14574</v>
      </c>
      <c r="D9984" t="s">
        <v>180</v>
      </c>
      <c r="E9984" s="716">
        <v>13.25</v>
      </c>
      <c r="F9984" s="717">
        <v>0</v>
      </c>
      <c r="G9984">
        <f>VLOOKUP(B9984,'SINAPI-%MO'!B:E,4,0)</f>
        <v>0.2898</v>
      </c>
      <c r="H9984" s="225">
        <f t="shared" si="156"/>
        <v>9.41</v>
      </c>
    </row>
    <row r="9985" spans="2:8" x14ac:dyDescent="0.3">
      <c r="B9985">
        <v>106743</v>
      </c>
      <c r="C9985" t="s">
        <v>14575</v>
      </c>
      <c r="D9985" t="s">
        <v>180</v>
      </c>
      <c r="E9985" s="716">
        <v>13.09</v>
      </c>
      <c r="F9985" s="717">
        <v>0</v>
      </c>
      <c r="G9985">
        <f>VLOOKUP(B9985,'SINAPI-%MO'!B:E,4,0)</f>
        <v>0.25059999999999999</v>
      </c>
      <c r="H9985" s="225">
        <f t="shared" si="156"/>
        <v>9.8000000000000007</v>
      </c>
    </row>
    <row r="9986" spans="2:8" x14ac:dyDescent="0.3">
      <c r="B9986">
        <v>101017</v>
      </c>
      <c r="C9986" t="s">
        <v>14576</v>
      </c>
      <c r="D9986" t="s">
        <v>180</v>
      </c>
      <c r="E9986" s="716">
        <v>36.46</v>
      </c>
      <c r="F9986" s="717">
        <v>0</v>
      </c>
      <c r="G9986">
        <f>VLOOKUP(B9986,'SINAPI-%MO'!B:E,4,0)</f>
        <v>0.29020000000000001</v>
      </c>
      <c r="H9986" s="225">
        <f t="shared" si="156"/>
        <v>25.87</v>
      </c>
    </row>
    <row r="9987" spans="2:8" x14ac:dyDescent="0.3">
      <c r="B9987">
        <v>106732</v>
      </c>
      <c r="C9987" t="s">
        <v>14577</v>
      </c>
      <c r="D9987" t="s">
        <v>180</v>
      </c>
      <c r="E9987" s="716">
        <v>40</v>
      </c>
      <c r="F9987" s="717">
        <v>0</v>
      </c>
      <c r="G9987">
        <f>VLOOKUP(B9987,'SINAPI-%MO'!B:E,4,0)</f>
        <v>0.251</v>
      </c>
      <c r="H9987" s="225">
        <f t="shared" si="156"/>
        <v>29.96</v>
      </c>
    </row>
    <row r="9988" spans="2:8" x14ac:dyDescent="0.3">
      <c r="B9988">
        <v>101018</v>
      </c>
      <c r="C9988" t="s">
        <v>14578</v>
      </c>
      <c r="D9988" t="s">
        <v>180</v>
      </c>
      <c r="E9988" s="716">
        <v>29.84</v>
      </c>
      <c r="F9988" s="717">
        <v>0</v>
      </c>
      <c r="G9988">
        <f>VLOOKUP(B9988,'SINAPI-%MO'!B:E,4,0)</f>
        <v>0.29020000000000001</v>
      </c>
      <c r="H9988" s="225">
        <f t="shared" si="156"/>
        <v>21.18</v>
      </c>
    </row>
    <row r="9989" spans="2:8" x14ac:dyDescent="0.3">
      <c r="B9989">
        <v>106733</v>
      </c>
      <c r="C9989" t="s">
        <v>14579</v>
      </c>
      <c r="D9989" t="s">
        <v>180</v>
      </c>
      <c r="E9989" s="716">
        <v>32.32</v>
      </c>
      <c r="F9989" s="717">
        <v>0</v>
      </c>
      <c r="G9989">
        <f>VLOOKUP(B9989,'SINAPI-%MO'!B:E,4,0)</f>
        <v>0.25119999999999998</v>
      </c>
      <c r="H9989" s="225">
        <f t="shared" si="156"/>
        <v>24.2</v>
      </c>
    </row>
    <row r="9990" spans="2:8" x14ac:dyDescent="0.3">
      <c r="B9990">
        <v>101469</v>
      </c>
      <c r="C9990" t="s">
        <v>14580</v>
      </c>
      <c r="D9990" t="s">
        <v>180</v>
      </c>
      <c r="E9990" s="716">
        <v>45.44</v>
      </c>
      <c r="F9990" s="717">
        <v>0</v>
      </c>
      <c r="G9990">
        <f>VLOOKUP(B9990,'SINAPI-%MO'!B:E,4,0)</f>
        <v>0.2903</v>
      </c>
      <c r="H9990" s="225">
        <f t="shared" si="156"/>
        <v>32.24</v>
      </c>
    </row>
    <row r="9991" spans="2:8" x14ac:dyDescent="0.3">
      <c r="B9991">
        <v>106734</v>
      </c>
      <c r="C9991" t="s">
        <v>14581</v>
      </c>
      <c r="D9991" t="s">
        <v>180</v>
      </c>
      <c r="E9991" s="716">
        <v>50.35</v>
      </c>
      <c r="F9991" s="717">
        <v>0</v>
      </c>
      <c r="G9991">
        <f>VLOOKUP(B9991,'SINAPI-%MO'!B:E,4,0)</f>
        <v>0.251</v>
      </c>
      <c r="H9991" s="225">
        <f t="shared" si="156"/>
        <v>37.71</v>
      </c>
    </row>
    <row r="9992" spans="2:8" x14ac:dyDescent="0.3">
      <c r="B9992">
        <v>101470</v>
      </c>
      <c r="C9992" t="s">
        <v>14582</v>
      </c>
      <c r="D9992" t="s">
        <v>180</v>
      </c>
      <c r="E9992" s="716">
        <v>35.94</v>
      </c>
      <c r="F9992" s="717">
        <v>0</v>
      </c>
      <c r="G9992">
        <f>VLOOKUP(B9992,'SINAPI-%MO'!B:E,4,0)</f>
        <v>0.28989999999999999</v>
      </c>
      <c r="H9992" s="225">
        <f t="shared" si="156"/>
        <v>25.52</v>
      </c>
    </row>
    <row r="9993" spans="2:8" x14ac:dyDescent="0.3">
      <c r="B9993">
        <v>106735</v>
      </c>
      <c r="C9993" t="s">
        <v>14583</v>
      </c>
      <c r="D9993" t="s">
        <v>180</v>
      </c>
      <c r="E9993" s="716">
        <v>39.409999999999997</v>
      </c>
      <c r="F9993" s="717">
        <v>0</v>
      </c>
      <c r="G9993">
        <f>VLOOKUP(B9993,'SINAPI-%MO'!B:E,4,0)</f>
        <v>0.25119999999999998</v>
      </c>
      <c r="H9993" s="225">
        <f t="shared" si="156"/>
        <v>29.51</v>
      </c>
    </row>
    <row r="9994" spans="2:8" x14ac:dyDescent="0.3">
      <c r="B9994">
        <v>101471</v>
      </c>
      <c r="C9994" t="s">
        <v>14584</v>
      </c>
      <c r="D9994" t="s">
        <v>180</v>
      </c>
      <c r="E9994" s="716">
        <v>30.75</v>
      </c>
      <c r="F9994" s="717">
        <v>0</v>
      </c>
      <c r="G9994">
        <f>VLOOKUP(B9994,'SINAPI-%MO'!B:E,4,0)</f>
        <v>0.29010000000000002</v>
      </c>
      <c r="H9994" s="225">
        <f t="shared" si="156"/>
        <v>21.82</v>
      </c>
    </row>
    <row r="9995" spans="2:8" x14ac:dyDescent="0.3">
      <c r="B9995">
        <v>106736</v>
      </c>
      <c r="C9995" t="s">
        <v>14585</v>
      </c>
      <c r="D9995" t="s">
        <v>180</v>
      </c>
      <c r="E9995" s="716">
        <v>33.340000000000003</v>
      </c>
      <c r="F9995" s="717">
        <v>0</v>
      </c>
      <c r="G9995">
        <f>VLOOKUP(B9995,'SINAPI-%MO'!B:E,4,0)</f>
        <v>0.25069999999999998</v>
      </c>
      <c r="H9995" s="225">
        <f t="shared" si="156"/>
        <v>24.98</v>
      </c>
    </row>
    <row r="9996" spans="2:8" x14ac:dyDescent="0.3">
      <c r="B9996">
        <v>101472</v>
      </c>
      <c r="C9996" t="s">
        <v>14586</v>
      </c>
      <c r="D9996" t="s">
        <v>180</v>
      </c>
      <c r="E9996" s="716">
        <v>23.8</v>
      </c>
      <c r="F9996" s="717">
        <v>0</v>
      </c>
      <c r="G9996">
        <f>VLOOKUP(B9996,'SINAPI-%MO'!B:E,4,0)</f>
        <v>0.2903</v>
      </c>
      <c r="H9996" s="225">
        <f t="shared" si="156"/>
        <v>16.89</v>
      </c>
    </row>
    <row r="9997" spans="2:8" x14ac:dyDescent="0.3">
      <c r="B9997">
        <v>106737</v>
      </c>
      <c r="C9997" t="s">
        <v>14587</v>
      </c>
      <c r="D9997" t="s">
        <v>180</v>
      </c>
      <c r="E9997" s="716">
        <v>25.4</v>
      </c>
      <c r="F9997" s="717">
        <v>0</v>
      </c>
      <c r="G9997">
        <f>VLOOKUP(B9997,'SINAPI-%MO'!B:E,4,0)</f>
        <v>0.25080000000000002</v>
      </c>
      <c r="H9997" s="225">
        <f t="shared" si="156"/>
        <v>19.02</v>
      </c>
    </row>
    <row r="9998" spans="2:8" x14ac:dyDescent="0.3">
      <c r="B9998">
        <v>101473</v>
      </c>
      <c r="C9998" t="s">
        <v>14588</v>
      </c>
      <c r="D9998" t="s">
        <v>180</v>
      </c>
      <c r="E9998" s="716">
        <v>34.49</v>
      </c>
      <c r="F9998" s="717">
        <v>0</v>
      </c>
      <c r="G9998">
        <f>VLOOKUP(B9998,'SINAPI-%MO'!B:E,4,0)</f>
        <v>0.29020000000000001</v>
      </c>
      <c r="H9998" s="225">
        <f t="shared" si="156"/>
        <v>24.48</v>
      </c>
    </row>
    <row r="9999" spans="2:8" x14ac:dyDescent="0.3">
      <c r="B9999">
        <v>106738</v>
      </c>
      <c r="C9999" t="s">
        <v>14589</v>
      </c>
      <c r="D9999" t="s">
        <v>180</v>
      </c>
      <c r="E9999" s="716">
        <v>37.270000000000003</v>
      </c>
      <c r="F9999" s="717">
        <v>0</v>
      </c>
      <c r="G9999">
        <f>VLOOKUP(B9999,'SINAPI-%MO'!B:E,4,0)</f>
        <v>0.25109999999999999</v>
      </c>
      <c r="H9999" s="225">
        <f t="shared" si="156"/>
        <v>27.91</v>
      </c>
    </row>
    <row r="10000" spans="2:8" x14ac:dyDescent="0.3">
      <c r="B10000">
        <v>101474</v>
      </c>
      <c r="C10000" t="s">
        <v>14590</v>
      </c>
      <c r="D10000" t="s">
        <v>180</v>
      </c>
      <c r="E10000" s="716">
        <v>24.53</v>
      </c>
      <c r="F10000" s="717">
        <v>0</v>
      </c>
      <c r="G10000">
        <f>VLOOKUP(B10000,'SINAPI-%MO'!B:E,4,0)</f>
        <v>0.2903</v>
      </c>
      <c r="H10000" s="225">
        <f t="shared" si="156"/>
        <v>17.399999999999999</v>
      </c>
    </row>
    <row r="10001" spans="2:8" x14ac:dyDescent="0.3">
      <c r="B10001">
        <v>106739</v>
      </c>
      <c r="C10001" t="s">
        <v>14591</v>
      </c>
      <c r="D10001" t="s">
        <v>180</v>
      </c>
      <c r="E10001" s="716">
        <v>26.03</v>
      </c>
      <c r="F10001" s="717">
        <v>0</v>
      </c>
      <c r="G10001">
        <f>VLOOKUP(B10001,'SINAPI-%MO'!B:E,4,0)</f>
        <v>0.25119999999999998</v>
      </c>
      <c r="H10001" s="225">
        <f t="shared" si="156"/>
        <v>19.489999999999998</v>
      </c>
    </row>
    <row r="10002" spans="2:8" x14ac:dyDescent="0.3">
      <c r="B10002">
        <v>101475</v>
      </c>
      <c r="C10002" t="s">
        <v>14592</v>
      </c>
      <c r="D10002" t="s">
        <v>180</v>
      </c>
      <c r="E10002" s="716">
        <v>21.58</v>
      </c>
      <c r="F10002" s="717">
        <v>0</v>
      </c>
      <c r="G10002">
        <f>VLOOKUP(B10002,'SINAPI-%MO'!B:E,4,0)</f>
        <v>0.29010000000000002</v>
      </c>
      <c r="H10002" s="225">
        <f t="shared" si="156"/>
        <v>15.31</v>
      </c>
    </row>
    <row r="10003" spans="2:8" x14ac:dyDescent="0.3">
      <c r="B10003">
        <v>106740</v>
      </c>
      <c r="C10003" t="s">
        <v>14593</v>
      </c>
      <c r="D10003" t="s">
        <v>180</v>
      </c>
      <c r="E10003" s="716">
        <v>22.12</v>
      </c>
      <c r="F10003" s="717">
        <v>0</v>
      </c>
      <c r="G10003">
        <f>VLOOKUP(B10003,'SINAPI-%MO'!B:E,4,0)</f>
        <v>0.25090000000000001</v>
      </c>
      <c r="H10003" s="225">
        <f t="shared" si="156"/>
        <v>16.57</v>
      </c>
    </row>
    <row r="10004" spans="2:8" x14ac:dyDescent="0.3">
      <c r="B10004">
        <v>101476</v>
      </c>
      <c r="C10004" t="s">
        <v>14594</v>
      </c>
      <c r="D10004" t="s">
        <v>180</v>
      </c>
      <c r="E10004" s="716">
        <v>19.14</v>
      </c>
      <c r="F10004" s="717">
        <v>0</v>
      </c>
      <c r="G10004">
        <f>VLOOKUP(B10004,'SINAPI-%MO'!B:E,4,0)</f>
        <v>0.28999999999999998</v>
      </c>
      <c r="H10004" s="225">
        <f t="shared" si="156"/>
        <v>13.58</v>
      </c>
    </row>
    <row r="10005" spans="2:8" x14ac:dyDescent="0.3">
      <c r="B10005">
        <v>106741</v>
      </c>
      <c r="C10005" t="s">
        <v>14595</v>
      </c>
      <c r="D10005" t="s">
        <v>180</v>
      </c>
      <c r="E10005" s="716">
        <v>18.809999999999999</v>
      </c>
      <c r="F10005" s="717">
        <v>0</v>
      </c>
      <c r="G10005">
        <f>VLOOKUP(B10005,'SINAPI-%MO'!B:E,4,0)</f>
        <v>0.25040000000000001</v>
      </c>
      <c r="H10005" s="225">
        <f t="shared" si="156"/>
        <v>14.09</v>
      </c>
    </row>
    <row r="10006" spans="2:8" x14ac:dyDescent="0.3">
      <c r="B10006">
        <v>101016</v>
      </c>
      <c r="C10006" t="s">
        <v>14596</v>
      </c>
      <c r="D10006" t="s">
        <v>180</v>
      </c>
      <c r="E10006" s="716">
        <v>48.25</v>
      </c>
      <c r="F10006" s="717">
        <v>0</v>
      </c>
      <c r="G10006">
        <f>VLOOKUP(B10006,'SINAPI-%MO'!B:E,4,0)</f>
        <v>0.29039999999999999</v>
      </c>
      <c r="H10006" s="225">
        <f t="shared" si="156"/>
        <v>34.229999999999997</v>
      </c>
    </row>
    <row r="10007" spans="2:8" x14ac:dyDescent="0.3">
      <c r="B10007">
        <v>106731</v>
      </c>
      <c r="C10007" t="s">
        <v>14597</v>
      </c>
      <c r="D10007" t="s">
        <v>180</v>
      </c>
      <c r="E10007" s="716">
        <v>53.59</v>
      </c>
      <c r="F10007" s="717">
        <v>0</v>
      </c>
      <c r="G10007">
        <f>VLOOKUP(B10007,'SINAPI-%MO'!B:E,4,0)</f>
        <v>0.25119999999999998</v>
      </c>
      <c r="H10007" s="225">
        <f t="shared" si="156"/>
        <v>40.119999999999997</v>
      </c>
    </row>
    <row r="10008" spans="2:8" x14ac:dyDescent="0.3">
      <c r="B10008">
        <v>101487</v>
      </c>
      <c r="C10008" t="s">
        <v>14598</v>
      </c>
      <c r="D10008" t="s">
        <v>180</v>
      </c>
      <c r="E10008" s="716">
        <v>118.33</v>
      </c>
      <c r="F10008" s="717">
        <v>0</v>
      </c>
      <c r="G10008">
        <f>VLOOKUP(B10008,'SINAPI-%MO'!B:E,4,0)</f>
        <v>0.2903</v>
      </c>
      <c r="H10008" s="225">
        <f t="shared" si="156"/>
        <v>83.97</v>
      </c>
    </row>
    <row r="10009" spans="2:8" x14ac:dyDescent="0.3">
      <c r="B10009">
        <v>106754</v>
      </c>
      <c r="C10009" t="s">
        <v>14599</v>
      </c>
      <c r="D10009" t="s">
        <v>180</v>
      </c>
      <c r="E10009" s="716">
        <v>120.73</v>
      </c>
      <c r="F10009" s="717">
        <v>0</v>
      </c>
      <c r="G10009">
        <f>VLOOKUP(B10009,'SINAPI-%MO'!B:E,4,0)</f>
        <v>0.25119999999999998</v>
      </c>
      <c r="H10009" s="225">
        <f t="shared" si="156"/>
        <v>90.4</v>
      </c>
    </row>
    <row r="10010" spans="2:8" x14ac:dyDescent="0.3">
      <c r="B10010">
        <v>101488</v>
      </c>
      <c r="C10010" t="s">
        <v>14600</v>
      </c>
      <c r="D10010" t="s">
        <v>180</v>
      </c>
      <c r="E10010" s="716">
        <v>101.8</v>
      </c>
      <c r="F10010" s="717">
        <v>0</v>
      </c>
      <c r="G10010">
        <f>VLOOKUP(B10010,'SINAPI-%MO'!B:E,4,0)</f>
        <v>0.2903</v>
      </c>
      <c r="H10010" s="225">
        <f t="shared" si="156"/>
        <v>72.239999999999995</v>
      </c>
    </row>
    <row r="10011" spans="2:8" x14ac:dyDescent="0.3">
      <c r="B10011">
        <v>106755</v>
      </c>
      <c r="C10011" t="s">
        <v>14601</v>
      </c>
      <c r="D10011" t="s">
        <v>180</v>
      </c>
      <c r="E10011" s="716">
        <v>99.43</v>
      </c>
      <c r="F10011" s="717">
        <v>0</v>
      </c>
      <c r="G10011">
        <f>VLOOKUP(B10011,'SINAPI-%MO'!B:E,4,0)</f>
        <v>0.25119999999999998</v>
      </c>
      <c r="H10011" s="225">
        <f t="shared" si="156"/>
        <v>74.45</v>
      </c>
    </row>
    <row r="10012" spans="2:8" x14ac:dyDescent="0.3">
      <c r="B10012">
        <v>101480</v>
      </c>
      <c r="C10012" t="s">
        <v>14602</v>
      </c>
      <c r="D10012" t="s">
        <v>180</v>
      </c>
      <c r="E10012" s="716">
        <v>81.709999999999994</v>
      </c>
      <c r="F10012" s="717">
        <v>0</v>
      </c>
      <c r="G10012">
        <f>VLOOKUP(B10012,'SINAPI-%MO'!B:E,4,0)</f>
        <v>0.29039999999999999</v>
      </c>
      <c r="H10012" s="225">
        <f t="shared" si="156"/>
        <v>57.98</v>
      </c>
    </row>
    <row r="10013" spans="2:8" x14ac:dyDescent="0.3">
      <c r="B10013">
        <v>106747</v>
      </c>
      <c r="C10013" t="s">
        <v>14603</v>
      </c>
      <c r="D10013" t="s">
        <v>180</v>
      </c>
      <c r="E10013" s="716">
        <v>92.25</v>
      </c>
      <c r="F10013" s="717">
        <v>0</v>
      </c>
      <c r="G10013">
        <f>VLOOKUP(B10013,'SINAPI-%MO'!B:E,4,0)</f>
        <v>0.25130000000000002</v>
      </c>
      <c r="H10013" s="225">
        <f t="shared" si="156"/>
        <v>69.06</v>
      </c>
    </row>
    <row r="10014" spans="2:8" x14ac:dyDescent="0.3">
      <c r="B10014">
        <v>101481</v>
      </c>
      <c r="C10014" t="s">
        <v>14604</v>
      </c>
      <c r="D10014" t="s">
        <v>180</v>
      </c>
      <c r="E10014" s="716">
        <v>58.86</v>
      </c>
      <c r="F10014" s="717">
        <v>0</v>
      </c>
      <c r="G10014">
        <f>VLOOKUP(B10014,'SINAPI-%MO'!B:E,4,0)</f>
        <v>0.2903</v>
      </c>
      <c r="H10014" s="225">
        <f t="shared" si="156"/>
        <v>41.77</v>
      </c>
    </row>
    <row r="10015" spans="2:8" x14ac:dyDescent="0.3">
      <c r="B10015">
        <v>106748</v>
      </c>
      <c r="C10015" t="s">
        <v>14605</v>
      </c>
      <c r="D10015" t="s">
        <v>180</v>
      </c>
      <c r="E10015" s="716">
        <v>65.88</v>
      </c>
      <c r="F10015" s="717">
        <v>0</v>
      </c>
      <c r="G10015">
        <f>VLOOKUP(B10015,'SINAPI-%MO'!B:E,4,0)</f>
        <v>0.25119999999999998</v>
      </c>
      <c r="H10015" s="225">
        <f t="shared" si="156"/>
        <v>49.33</v>
      </c>
    </row>
    <row r="10016" spans="2:8" x14ac:dyDescent="0.3">
      <c r="B10016">
        <v>101482</v>
      </c>
      <c r="C10016" t="s">
        <v>14606</v>
      </c>
      <c r="D10016" t="s">
        <v>180</v>
      </c>
      <c r="E10016" s="716">
        <v>43.84</v>
      </c>
      <c r="F10016" s="717">
        <v>0</v>
      </c>
      <c r="G10016">
        <f>VLOOKUP(B10016,'SINAPI-%MO'!B:E,4,0)</f>
        <v>0.29010000000000002</v>
      </c>
      <c r="H10016" s="225">
        <f t="shared" si="156"/>
        <v>31.12</v>
      </c>
    </row>
    <row r="10017" spans="2:8" x14ac:dyDescent="0.3">
      <c r="B10017">
        <v>106749</v>
      </c>
      <c r="C10017" t="s">
        <v>14607</v>
      </c>
      <c r="D10017" t="s">
        <v>180</v>
      </c>
      <c r="E10017" s="716">
        <v>48.45</v>
      </c>
      <c r="F10017" s="717">
        <v>0</v>
      </c>
      <c r="G10017">
        <f>VLOOKUP(B10017,'SINAPI-%MO'!B:E,4,0)</f>
        <v>0.25119999999999998</v>
      </c>
      <c r="H10017" s="225">
        <f t="shared" si="156"/>
        <v>36.270000000000003</v>
      </c>
    </row>
    <row r="10018" spans="2:8" x14ac:dyDescent="0.3">
      <c r="B10018">
        <v>101483</v>
      </c>
      <c r="C10018" t="s">
        <v>14608</v>
      </c>
      <c r="D10018" t="s">
        <v>180</v>
      </c>
      <c r="E10018" s="716">
        <v>45.51</v>
      </c>
      <c r="F10018" s="717">
        <v>0</v>
      </c>
      <c r="G10018">
        <f>VLOOKUP(B10018,'SINAPI-%MO'!B:E,4,0)</f>
        <v>0.28999999999999998</v>
      </c>
      <c r="H10018" s="225">
        <f t="shared" si="156"/>
        <v>32.31</v>
      </c>
    </row>
    <row r="10019" spans="2:8" x14ac:dyDescent="0.3">
      <c r="B10019">
        <v>106750</v>
      </c>
      <c r="C10019" t="s">
        <v>14609</v>
      </c>
      <c r="D10019" t="s">
        <v>180</v>
      </c>
      <c r="E10019" s="716">
        <v>50.44</v>
      </c>
      <c r="F10019" s="717">
        <v>0</v>
      </c>
      <c r="G10019">
        <f>VLOOKUP(B10019,'SINAPI-%MO'!B:E,4,0)</f>
        <v>0.25119999999999998</v>
      </c>
      <c r="H10019" s="225">
        <f t="shared" si="156"/>
        <v>37.76</v>
      </c>
    </row>
    <row r="10020" spans="2:8" x14ac:dyDescent="0.3">
      <c r="B10020">
        <v>101484</v>
      </c>
      <c r="C10020" t="s">
        <v>14610</v>
      </c>
      <c r="D10020" t="s">
        <v>180</v>
      </c>
      <c r="E10020" s="716">
        <v>237.2</v>
      </c>
      <c r="F10020" s="717">
        <v>0</v>
      </c>
      <c r="G10020">
        <f>VLOOKUP(B10020,'SINAPI-%MO'!B:E,4,0)</f>
        <v>0.2903</v>
      </c>
      <c r="H10020" s="225">
        <f t="shared" si="156"/>
        <v>168.34</v>
      </c>
    </row>
    <row r="10021" spans="2:8" x14ac:dyDescent="0.3">
      <c r="B10021">
        <v>106751</v>
      </c>
      <c r="C10021" t="s">
        <v>14611</v>
      </c>
      <c r="D10021" t="s">
        <v>180</v>
      </c>
      <c r="E10021" s="716">
        <v>263.83999999999997</v>
      </c>
      <c r="F10021" s="717">
        <v>0</v>
      </c>
      <c r="G10021">
        <f>VLOOKUP(B10021,'SINAPI-%MO'!B:E,4,0)</f>
        <v>0.25130000000000002</v>
      </c>
      <c r="H10021" s="225">
        <f t="shared" si="156"/>
        <v>197.53</v>
      </c>
    </row>
    <row r="10022" spans="2:8" x14ac:dyDescent="0.3">
      <c r="B10022">
        <v>101485</v>
      </c>
      <c r="C10022" t="s">
        <v>14612</v>
      </c>
      <c r="D10022" t="s">
        <v>180</v>
      </c>
      <c r="E10022" s="716">
        <v>181.06</v>
      </c>
      <c r="F10022" s="717">
        <v>0</v>
      </c>
      <c r="G10022">
        <f>VLOOKUP(B10022,'SINAPI-%MO'!B:E,4,0)</f>
        <v>0.2903</v>
      </c>
      <c r="H10022" s="225">
        <f t="shared" si="156"/>
        <v>128.49</v>
      </c>
    </row>
    <row r="10023" spans="2:8" x14ac:dyDescent="0.3">
      <c r="B10023">
        <v>106752</v>
      </c>
      <c r="C10023" t="s">
        <v>14613</v>
      </c>
      <c r="D10023" t="s">
        <v>180</v>
      </c>
      <c r="E10023" s="716">
        <v>194.52</v>
      </c>
      <c r="F10023" s="717">
        <v>0</v>
      </c>
      <c r="G10023">
        <f>VLOOKUP(B10023,'SINAPI-%MO'!B:E,4,0)</f>
        <v>0.25130000000000002</v>
      </c>
      <c r="H10023" s="225">
        <f t="shared" si="156"/>
        <v>145.63</v>
      </c>
    </row>
    <row r="10024" spans="2:8" x14ac:dyDescent="0.3">
      <c r="B10024">
        <v>101486</v>
      </c>
      <c r="C10024" t="s">
        <v>14614</v>
      </c>
      <c r="D10024" t="s">
        <v>180</v>
      </c>
      <c r="E10024" s="716">
        <v>161.63999999999999</v>
      </c>
      <c r="F10024" s="717">
        <v>0</v>
      </c>
      <c r="G10024">
        <f>VLOOKUP(B10024,'SINAPI-%MO'!B:E,4,0)</f>
        <v>0.2903</v>
      </c>
      <c r="H10024" s="225">
        <f t="shared" si="156"/>
        <v>114.71</v>
      </c>
    </row>
    <row r="10025" spans="2:8" x14ac:dyDescent="0.3">
      <c r="B10025">
        <v>106753</v>
      </c>
      <c r="C10025" t="s">
        <v>14615</v>
      </c>
      <c r="D10025" t="s">
        <v>180</v>
      </c>
      <c r="E10025" s="716">
        <v>164.06</v>
      </c>
      <c r="F10025" s="717">
        <v>0</v>
      </c>
      <c r="G10025">
        <f>VLOOKUP(B10025,'SINAPI-%MO'!B:E,4,0)</f>
        <v>0.25130000000000002</v>
      </c>
      <c r="H10025" s="225">
        <f t="shared" si="156"/>
        <v>122.83</v>
      </c>
    </row>
    <row r="10026" spans="2:8" x14ac:dyDescent="0.3">
      <c r="B10026">
        <v>101006</v>
      </c>
      <c r="C10026" t="s">
        <v>14616</v>
      </c>
      <c r="D10026" t="s">
        <v>170</v>
      </c>
      <c r="E10026" s="716">
        <v>25.77</v>
      </c>
      <c r="F10026" s="717">
        <v>4.1500000000000002E-2</v>
      </c>
      <c r="G10026">
        <f>VLOOKUP(B10026,'SINAPI-%MO'!B:E,4,0)</f>
        <v>0.1028</v>
      </c>
      <c r="H10026" s="225">
        <f t="shared" si="156"/>
        <v>23.12</v>
      </c>
    </row>
    <row r="10027" spans="2:8" x14ac:dyDescent="0.3">
      <c r="B10027">
        <v>106707</v>
      </c>
      <c r="C10027" t="s">
        <v>14617</v>
      </c>
      <c r="D10027" t="s">
        <v>170</v>
      </c>
      <c r="E10027" s="716">
        <v>20.5</v>
      </c>
      <c r="F10027" s="717">
        <v>5.7599999999999998E-2</v>
      </c>
      <c r="G10027">
        <f>VLOOKUP(B10027,'SINAPI-%MO'!B:E,4,0)</f>
        <v>0.11509999999999999</v>
      </c>
      <c r="H10027" s="225">
        <f t="shared" si="156"/>
        <v>18.14</v>
      </c>
    </row>
    <row r="10028" spans="2:8" x14ac:dyDescent="0.3">
      <c r="B10028">
        <v>101005</v>
      </c>
      <c r="C10028" t="s">
        <v>14618</v>
      </c>
      <c r="D10028" t="s">
        <v>170</v>
      </c>
      <c r="E10028" s="716">
        <v>26.04</v>
      </c>
      <c r="F10028" s="717">
        <v>4.2999999999999997E-2</v>
      </c>
      <c r="G10028">
        <f>VLOOKUP(B10028,'SINAPI-%MO'!B:E,4,0)</f>
        <v>0.1283</v>
      </c>
      <c r="H10028" s="225">
        <f t="shared" si="156"/>
        <v>22.69</v>
      </c>
    </row>
    <row r="10029" spans="2:8" x14ac:dyDescent="0.3">
      <c r="B10029">
        <v>106757</v>
      </c>
      <c r="C10029" t="s">
        <v>14619</v>
      </c>
      <c r="D10029" t="s">
        <v>180</v>
      </c>
      <c r="E10029" s="716">
        <v>106.97</v>
      </c>
      <c r="F10029" s="717">
        <v>0</v>
      </c>
      <c r="G10029">
        <f>VLOOKUP(B10029,'SINAPI-%MO'!B:E,4,0)</f>
        <v>0.25790000000000002</v>
      </c>
      <c r="H10029" s="225">
        <f t="shared" si="156"/>
        <v>79.38</v>
      </c>
    </row>
    <row r="10030" spans="2:8" x14ac:dyDescent="0.3">
      <c r="B10030">
        <v>106713</v>
      </c>
      <c r="C10030" t="s">
        <v>14620</v>
      </c>
      <c r="D10030" t="s">
        <v>180</v>
      </c>
      <c r="E10030" s="716">
        <v>85.2</v>
      </c>
      <c r="F10030" s="717">
        <v>0</v>
      </c>
      <c r="G10030">
        <f>VLOOKUP(B10030,'SINAPI-%MO'!B:E,4,0)</f>
        <v>0.32979999999999998</v>
      </c>
      <c r="H10030" s="225">
        <f t="shared" si="156"/>
        <v>57.1</v>
      </c>
    </row>
    <row r="10031" spans="2:8" x14ac:dyDescent="0.3">
      <c r="B10031">
        <v>106758</v>
      </c>
      <c r="C10031" t="s">
        <v>14621</v>
      </c>
      <c r="D10031" t="s">
        <v>180</v>
      </c>
      <c r="E10031" s="716">
        <v>77.23</v>
      </c>
      <c r="F10031" s="717">
        <v>0</v>
      </c>
      <c r="G10031">
        <f>VLOOKUP(B10031,'SINAPI-%MO'!B:E,4,0)</f>
        <v>0.25790000000000002</v>
      </c>
      <c r="H10031" s="225">
        <f t="shared" si="156"/>
        <v>57.31</v>
      </c>
    </row>
    <row r="10032" spans="2:8" x14ac:dyDescent="0.3">
      <c r="B10032">
        <v>106714</v>
      </c>
      <c r="C10032" t="s">
        <v>14622</v>
      </c>
      <c r="D10032" t="s">
        <v>180</v>
      </c>
      <c r="E10032" s="716">
        <v>61.94</v>
      </c>
      <c r="F10032" s="717">
        <v>0</v>
      </c>
      <c r="G10032">
        <f>VLOOKUP(B10032,'SINAPI-%MO'!B:E,4,0)</f>
        <v>0.32979999999999998</v>
      </c>
      <c r="H10032" s="225">
        <f t="shared" si="156"/>
        <v>41.51</v>
      </c>
    </row>
    <row r="10033" spans="2:8" x14ac:dyDescent="0.3">
      <c r="B10033">
        <v>106759</v>
      </c>
      <c r="C10033" t="s">
        <v>14623</v>
      </c>
      <c r="D10033" t="s">
        <v>180</v>
      </c>
      <c r="E10033" s="716">
        <v>44.54</v>
      </c>
      <c r="F10033" s="717">
        <v>0</v>
      </c>
      <c r="G10033">
        <f>VLOOKUP(B10033,'SINAPI-%MO'!B:E,4,0)</f>
        <v>0.25800000000000001</v>
      </c>
      <c r="H10033" s="225">
        <f t="shared" ref="H10033:H10096" si="157">IF(E10033&gt;0,TRUNC(E10033*(1-G10033),2),"")</f>
        <v>33.04</v>
      </c>
    </row>
    <row r="10034" spans="2:8" x14ac:dyDescent="0.3">
      <c r="B10034">
        <v>106715</v>
      </c>
      <c r="C10034" t="s">
        <v>14624</v>
      </c>
      <c r="D10034" t="s">
        <v>180</v>
      </c>
      <c r="E10034" s="716">
        <v>36.36</v>
      </c>
      <c r="F10034" s="717">
        <v>0</v>
      </c>
      <c r="G10034">
        <f>VLOOKUP(B10034,'SINAPI-%MO'!B:E,4,0)</f>
        <v>0.32950000000000002</v>
      </c>
      <c r="H10034" s="225">
        <f t="shared" si="157"/>
        <v>24.37</v>
      </c>
    </row>
    <row r="10035" spans="2:8" x14ac:dyDescent="0.3">
      <c r="B10035">
        <v>106762</v>
      </c>
      <c r="C10035" t="s">
        <v>14625</v>
      </c>
      <c r="D10035" t="s">
        <v>180</v>
      </c>
      <c r="E10035" s="716">
        <v>303.74</v>
      </c>
      <c r="F10035" s="717">
        <v>0</v>
      </c>
      <c r="G10035">
        <f>VLOOKUP(B10035,'SINAPI-%MO'!B:E,4,0)</f>
        <v>0.2581</v>
      </c>
      <c r="H10035" s="225">
        <f t="shared" si="157"/>
        <v>225.34</v>
      </c>
    </row>
    <row r="10036" spans="2:8" x14ac:dyDescent="0.3">
      <c r="B10036">
        <v>106718</v>
      </c>
      <c r="C10036" t="s">
        <v>14626</v>
      </c>
      <c r="D10036" t="s">
        <v>180</v>
      </c>
      <c r="E10036" s="716">
        <v>239.1</v>
      </c>
      <c r="F10036" s="717">
        <v>0</v>
      </c>
      <c r="G10036">
        <f>VLOOKUP(B10036,'SINAPI-%MO'!B:E,4,0)</f>
        <v>0.32990000000000003</v>
      </c>
      <c r="H10036" s="225">
        <f t="shared" si="157"/>
        <v>160.22</v>
      </c>
    </row>
    <row r="10037" spans="2:8" x14ac:dyDescent="0.3">
      <c r="B10037">
        <v>106761</v>
      </c>
      <c r="C10037" t="s">
        <v>14627</v>
      </c>
      <c r="D10037" t="s">
        <v>180</v>
      </c>
      <c r="E10037" s="716">
        <v>378.93</v>
      </c>
      <c r="F10037" s="717">
        <v>0</v>
      </c>
      <c r="G10037">
        <f>VLOOKUP(B10037,'SINAPI-%MO'!B:E,4,0)</f>
        <v>0.2581</v>
      </c>
      <c r="H10037" s="225">
        <f t="shared" si="157"/>
        <v>281.12</v>
      </c>
    </row>
    <row r="10038" spans="2:8" x14ac:dyDescent="0.3">
      <c r="B10038">
        <v>106717</v>
      </c>
      <c r="C10038" t="s">
        <v>14628</v>
      </c>
      <c r="D10038" t="s">
        <v>180</v>
      </c>
      <c r="E10038" s="716">
        <v>297.93</v>
      </c>
      <c r="F10038" s="717">
        <v>0</v>
      </c>
      <c r="G10038">
        <f>VLOOKUP(B10038,'SINAPI-%MO'!B:E,4,0)</f>
        <v>0.32990000000000003</v>
      </c>
      <c r="H10038" s="225">
        <f t="shared" si="157"/>
        <v>199.64</v>
      </c>
    </row>
    <row r="10039" spans="2:8" x14ac:dyDescent="0.3">
      <c r="B10039">
        <v>106760</v>
      </c>
      <c r="C10039" t="s">
        <v>14629</v>
      </c>
      <c r="D10039" t="s">
        <v>180</v>
      </c>
      <c r="E10039" s="716">
        <v>153.33000000000001</v>
      </c>
      <c r="F10039" s="717">
        <v>0</v>
      </c>
      <c r="G10039">
        <f>VLOOKUP(B10039,'SINAPI-%MO'!B:E,4,0)</f>
        <v>0.2581</v>
      </c>
      <c r="H10039" s="225">
        <f t="shared" si="157"/>
        <v>113.75</v>
      </c>
    </row>
    <row r="10040" spans="2:8" x14ac:dyDescent="0.3">
      <c r="B10040">
        <v>106716</v>
      </c>
      <c r="C10040" t="s">
        <v>14630</v>
      </c>
      <c r="D10040" t="s">
        <v>180</v>
      </c>
      <c r="E10040" s="716">
        <v>121.45</v>
      </c>
      <c r="F10040" s="717">
        <v>0</v>
      </c>
      <c r="G10040">
        <f>VLOOKUP(B10040,'SINAPI-%MO'!B:E,4,0)</f>
        <v>0.32990000000000003</v>
      </c>
      <c r="H10040" s="225">
        <f t="shared" si="157"/>
        <v>81.38</v>
      </c>
    </row>
    <row r="10041" spans="2:8" x14ac:dyDescent="0.3">
      <c r="B10041">
        <v>106756</v>
      </c>
      <c r="C10041" t="s">
        <v>14631</v>
      </c>
      <c r="D10041" t="s">
        <v>180</v>
      </c>
      <c r="E10041" s="716">
        <v>349.77</v>
      </c>
      <c r="F10041" s="717">
        <v>0</v>
      </c>
      <c r="G10041">
        <f>VLOOKUP(B10041,'SINAPI-%MO'!B:E,4,0)</f>
        <v>0.2581</v>
      </c>
      <c r="H10041" s="225">
        <f t="shared" si="157"/>
        <v>259.49</v>
      </c>
    </row>
    <row r="10042" spans="2:8" x14ac:dyDescent="0.3">
      <c r="B10042">
        <v>106712</v>
      </c>
      <c r="C10042" t="s">
        <v>14632</v>
      </c>
      <c r="D10042" t="s">
        <v>180</v>
      </c>
      <c r="E10042" s="716">
        <v>275.11</v>
      </c>
      <c r="F10042" s="717">
        <v>0</v>
      </c>
      <c r="G10042">
        <f>VLOOKUP(B10042,'SINAPI-%MO'!B:E,4,0)</f>
        <v>0.33</v>
      </c>
      <c r="H10042" s="225">
        <f t="shared" si="157"/>
        <v>184.32</v>
      </c>
    </row>
    <row r="10043" spans="2:8" x14ac:dyDescent="0.3">
      <c r="B10043">
        <v>106745</v>
      </c>
      <c r="C10043" t="s">
        <v>14633</v>
      </c>
      <c r="D10043" t="s">
        <v>180</v>
      </c>
      <c r="E10043" s="716">
        <v>498.43</v>
      </c>
      <c r="F10043" s="717">
        <v>0</v>
      </c>
      <c r="G10043">
        <f>VLOOKUP(B10043,'SINAPI-%MO'!B:E,4,0)</f>
        <v>0.31519999999999998</v>
      </c>
      <c r="H10043" s="225">
        <f t="shared" si="157"/>
        <v>341.32</v>
      </c>
    </row>
    <row r="10044" spans="2:8" x14ac:dyDescent="0.3">
      <c r="B10044">
        <v>102568</v>
      </c>
      <c r="C10044" t="s">
        <v>14634</v>
      </c>
      <c r="D10044" t="s">
        <v>180</v>
      </c>
      <c r="E10044" s="716">
        <v>399.93</v>
      </c>
      <c r="F10044" s="717">
        <v>0</v>
      </c>
      <c r="G10044">
        <f>VLOOKUP(B10044,'SINAPI-%MO'!B:E,4,0)</f>
        <v>0.39450000000000002</v>
      </c>
      <c r="H10044" s="225">
        <f t="shared" si="157"/>
        <v>242.15</v>
      </c>
    </row>
    <row r="10045" spans="2:8" x14ac:dyDescent="0.3">
      <c r="B10045">
        <v>106746</v>
      </c>
      <c r="C10045" t="s">
        <v>14635</v>
      </c>
      <c r="D10045" t="s">
        <v>180</v>
      </c>
      <c r="E10045" s="716">
        <v>291.12</v>
      </c>
      <c r="F10045" s="717">
        <v>0</v>
      </c>
      <c r="G10045">
        <f>VLOOKUP(B10045,'SINAPI-%MO'!B:E,4,0)</f>
        <v>0.31519999999999998</v>
      </c>
      <c r="H10045" s="225">
        <f t="shared" si="157"/>
        <v>199.35</v>
      </c>
    </row>
    <row r="10046" spans="2:8" x14ac:dyDescent="0.3">
      <c r="B10046">
        <v>101479</v>
      </c>
      <c r="C10046" t="s">
        <v>14636</v>
      </c>
      <c r="D10046" t="s">
        <v>180</v>
      </c>
      <c r="E10046" s="716">
        <v>234.29</v>
      </c>
      <c r="F10046" s="717">
        <v>0</v>
      </c>
      <c r="G10046">
        <f>VLOOKUP(B10046,'SINAPI-%MO'!B:E,4,0)</f>
        <v>0.39450000000000002</v>
      </c>
      <c r="H10046" s="225">
        <f t="shared" si="157"/>
        <v>141.86000000000001</v>
      </c>
    </row>
    <row r="10047" spans="2:8" x14ac:dyDescent="0.3">
      <c r="B10047">
        <v>106744</v>
      </c>
      <c r="C10047" t="s">
        <v>14637</v>
      </c>
      <c r="D10047" t="s">
        <v>180</v>
      </c>
      <c r="E10047" s="716">
        <v>1007.88</v>
      </c>
      <c r="F10047" s="717">
        <v>0</v>
      </c>
      <c r="G10047">
        <f>VLOOKUP(B10047,'SINAPI-%MO'!B:E,4,0)</f>
        <v>0.31519999999999998</v>
      </c>
      <c r="H10047" s="225">
        <f t="shared" si="157"/>
        <v>690.19</v>
      </c>
    </row>
    <row r="10048" spans="2:8" x14ac:dyDescent="0.3">
      <c r="B10048">
        <v>101019</v>
      </c>
      <c r="C10048" t="s">
        <v>14638</v>
      </c>
      <c r="D10048" t="s">
        <v>180</v>
      </c>
      <c r="E10048" s="716">
        <v>806.95</v>
      </c>
      <c r="F10048" s="717">
        <v>0</v>
      </c>
      <c r="G10048">
        <f>VLOOKUP(B10048,'SINAPI-%MO'!B:E,4,0)</f>
        <v>0.39450000000000002</v>
      </c>
      <c r="H10048" s="225">
        <f t="shared" si="157"/>
        <v>488.6</v>
      </c>
    </row>
    <row r="10049" spans="2:8" x14ac:dyDescent="0.3">
      <c r="B10049">
        <v>106763</v>
      </c>
      <c r="C10049" t="s">
        <v>14639</v>
      </c>
      <c r="D10049" t="s">
        <v>180</v>
      </c>
      <c r="E10049" s="716">
        <v>95.36</v>
      </c>
      <c r="F10049" s="717">
        <v>0</v>
      </c>
      <c r="G10049">
        <f>VLOOKUP(B10049,'SINAPI-%MO'!B:E,4,0)</f>
        <v>0.3125</v>
      </c>
      <c r="H10049" s="225">
        <f t="shared" si="157"/>
        <v>65.56</v>
      </c>
    </row>
    <row r="10050" spans="2:8" x14ac:dyDescent="0.3">
      <c r="B10050">
        <v>106719</v>
      </c>
      <c r="C10050" t="s">
        <v>14640</v>
      </c>
      <c r="D10050" t="s">
        <v>180</v>
      </c>
      <c r="E10050" s="716">
        <v>83.47</v>
      </c>
      <c r="F10050" s="717">
        <v>0</v>
      </c>
      <c r="G10050">
        <f>VLOOKUP(B10050,'SINAPI-%MO'!B:E,4,0)</f>
        <v>0.36859999999999998</v>
      </c>
      <c r="H10050" s="225">
        <f t="shared" si="157"/>
        <v>52.7</v>
      </c>
    </row>
    <row r="10051" spans="2:8" x14ac:dyDescent="0.3">
      <c r="B10051">
        <v>100938</v>
      </c>
      <c r="C10051" t="s">
        <v>14641</v>
      </c>
      <c r="D10051" t="s">
        <v>8114</v>
      </c>
      <c r="E10051" s="716">
        <v>8.16</v>
      </c>
      <c r="F10051" s="717">
        <v>0</v>
      </c>
      <c r="G10051">
        <f>VLOOKUP(B10051,'SINAPI-%MO'!B:E,4,0)</f>
        <v>0.12130000000000001</v>
      </c>
      <c r="H10051" s="225">
        <f t="shared" si="157"/>
        <v>7.17</v>
      </c>
    </row>
    <row r="10052" spans="2:8" x14ac:dyDescent="0.3">
      <c r="B10052">
        <v>100942</v>
      </c>
      <c r="C10052" t="s">
        <v>14642</v>
      </c>
      <c r="D10052" t="s">
        <v>8106</v>
      </c>
      <c r="E10052" s="716">
        <v>5.44</v>
      </c>
      <c r="F10052" s="717">
        <v>0</v>
      </c>
      <c r="G10052">
        <f>VLOOKUP(B10052,'SINAPI-%MO'!B:E,4,0)</f>
        <v>0.12130000000000001</v>
      </c>
      <c r="H10052" s="225">
        <f t="shared" si="157"/>
        <v>4.78</v>
      </c>
    </row>
    <row r="10053" spans="2:8" x14ac:dyDescent="0.3">
      <c r="B10053">
        <v>93588</v>
      </c>
      <c r="C10053" t="s">
        <v>14643</v>
      </c>
      <c r="D10053" t="s">
        <v>8114</v>
      </c>
      <c r="E10053" s="716">
        <v>4.08</v>
      </c>
      <c r="F10053" s="717">
        <v>0</v>
      </c>
      <c r="G10053">
        <f>VLOOKUP(B10053,'SINAPI-%MO'!B:E,4,0)</f>
        <v>0.1201</v>
      </c>
      <c r="H10053" s="225">
        <f t="shared" si="157"/>
        <v>3.58</v>
      </c>
    </row>
    <row r="10054" spans="2:8" x14ac:dyDescent="0.3">
      <c r="B10054">
        <v>93594</v>
      </c>
      <c r="C10054" t="s">
        <v>14644</v>
      </c>
      <c r="D10054" t="s">
        <v>8106</v>
      </c>
      <c r="E10054" s="716">
        <v>2.71</v>
      </c>
      <c r="F10054" s="717">
        <v>0</v>
      </c>
      <c r="G10054">
        <f>VLOOKUP(B10054,'SINAPI-%MO'!B:E,4,0)</f>
        <v>0.12180000000000001</v>
      </c>
      <c r="H10054" s="225">
        <f t="shared" si="157"/>
        <v>2.37</v>
      </c>
    </row>
    <row r="10055" spans="2:8" x14ac:dyDescent="0.3">
      <c r="B10055">
        <v>93589</v>
      </c>
      <c r="C10055" t="s">
        <v>14645</v>
      </c>
      <c r="D10055" t="s">
        <v>8114</v>
      </c>
      <c r="E10055" s="716">
        <v>3.11</v>
      </c>
      <c r="F10055" s="717">
        <v>0</v>
      </c>
      <c r="G10055">
        <f>VLOOKUP(B10055,'SINAPI-%MO'!B:E,4,0)</f>
        <v>0.11899999999999999</v>
      </c>
      <c r="H10055" s="225">
        <f t="shared" si="157"/>
        <v>2.73</v>
      </c>
    </row>
    <row r="10056" spans="2:8" x14ac:dyDescent="0.3">
      <c r="B10056">
        <v>93595</v>
      </c>
      <c r="C10056" t="s">
        <v>14646</v>
      </c>
      <c r="D10056" t="s">
        <v>8106</v>
      </c>
      <c r="E10056" s="716">
        <v>2.0699999999999998</v>
      </c>
      <c r="F10056" s="717">
        <v>0</v>
      </c>
      <c r="G10056">
        <f>VLOOKUP(B10056,'SINAPI-%MO'!B:E,4,0)</f>
        <v>0.1159</v>
      </c>
      <c r="H10056" s="225">
        <f t="shared" si="157"/>
        <v>1.83</v>
      </c>
    </row>
    <row r="10057" spans="2:8" x14ac:dyDescent="0.3">
      <c r="B10057">
        <v>93590</v>
      </c>
      <c r="C10057" t="s">
        <v>14647</v>
      </c>
      <c r="D10057" t="s">
        <v>8114</v>
      </c>
      <c r="E10057" s="716">
        <v>1.08</v>
      </c>
      <c r="F10057" s="717">
        <v>0</v>
      </c>
      <c r="G10057">
        <f>VLOOKUP(B10057,'SINAPI-%MO'!B:E,4,0)</f>
        <v>0.1111</v>
      </c>
      <c r="H10057" s="225">
        <f t="shared" si="157"/>
        <v>0.96</v>
      </c>
    </row>
    <row r="10058" spans="2:8" x14ac:dyDescent="0.3">
      <c r="B10058">
        <v>93596</v>
      </c>
      <c r="C10058" t="s">
        <v>14648</v>
      </c>
      <c r="D10058" t="s">
        <v>8106</v>
      </c>
      <c r="E10058" s="716">
        <v>0.71</v>
      </c>
      <c r="F10058" s="717">
        <v>0</v>
      </c>
      <c r="G10058">
        <f>VLOOKUP(B10058,'SINAPI-%MO'!B:E,4,0)</f>
        <v>0.11269999999999999</v>
      </c>
      <c r="H10058" s="225">
        <f t="shared" si="157"/>
        <v>0.62</v>
      </c>
    </row>
    <row r="10059" spans="2:8" x14ac:dyDescent="0.3">
      <c r="B10059">
        <v>95875</v>
      </c>
      <c r="C10059" t="s">
        <v>14649</v>
      </c>
      <c r="D10059" t="s">
        <v>8114</v>
      </c>
      <c r="E10059" s="716">
        <v>2.83</v>
      </c>
      <c r="F10059" s="717">
        <v>0</v>
      </c>
      <c r="G10059">
        <f>VLOOKUP(B10059,'SINAPI-%MO'!B:E,4,0)</f>
        <v>0.1201</v>
      </c>
      <c r="H10059" s="225">
        <f t="shared" si="157"/>
        <v>2.4900000000000002</v>
      </c>
    </row>
    <row r="10060" spans="2:8" x14ac:dyDescent="0.3">
      <c r="B10060">
        <v>95878</v>
      </c>
      <c r="C10060" t="s">
        <v>14650</v>
      </c>
      <c r="D10060" t="s">
        <v>8106</v>
      </c>
      <c r="E10060" s="716">
        <v>1.88</v>
      </c>
      <c r="F10060" s="717">
        <v>0</v>
      </c>
      <c r="G10060">
        <f>VLOOKUP(B10060,'SINAPI-%MO'!B:E,4,0)</f>
        <v>0.11700000000000001</v>
      </c>
      <c r="H10060" s="225">
        <f t="shared" si="157"/>
        <v>1.66</v>
      </c>
    </row>
    <row r="10061" spans="2:8" x14ac:dyDescent="0.3">
      <c r="B10061">
        <v>100943</v>
      </c>
      <c r="C10061" t="s">
        <v>14651</v>
      </c>
      <c r="D10061" t="s">
        <v>8106</v>
      </c>
      <c r="E10061" s="716">
        <v>4.74</v>
      </c>
      <c r="F10061" s="717">
        <v>0</v>
      </c>
      <c r="G10061">
        <f>VLOOKUP(B10061,'SINAPI-%MO'!B:E,4,0)</f>
        <v>9.9199999999999997E-2</v>
      </c>
      <c r="H10061" s="225">
        <f t="shared" si="157"/>
        <v>4.26</v>
      </c>
    </row>
    <row r="10062" spans="2:8" x14ac:dyDescent="0.3">
      <c r="B10062">
        <v>100939</v>
      </c>
      <c r="C10062" t="s">
        <v>14652</v>
      </c>
      <c r="D10062" t="s">
        <v>8114</v>
      </c>
      <c r="E10062" s="716">
        <v>7.11</v>
      </c>
      <c r="F10062" s="717">
        <v>0</v>
      </c>
      <c r="G10062">
        <f>VLOOKUP(B10062,'SINAPI-%MO'!B:E,4,0)</f>
        <v>9.9900000000000003E-2</v>
      </c>
      <c r="H10062" s="225">
        <f t="shared" si="157"/>
        <v>6.39</v>
      </c>
    </row>
    <row r="10063" spans="2:8" x14ac:dyDescent="0.3">
      <c r="B10063">
        <v>93591</v>
      </c>
      <c r="C10063" t="s">
        <v>14653</v>
      </c>
      <c r="D10063" t="s">
        <v>8114</v>
      </c>
      <c r="E10063" s="716">
        <v>3.55</v>
      </c>
      <c r="F10063" s="717">
        <v>0</v>
      </c>
      <c r="G10063">
        <f>VLOOKUP(B10063,'SINAPI-%MO'!B:E,4,0)</f>
        <v>9.8599999999999993E-2</v>
      </c>
      <c r="H10063" s="225">
        <f t="shared" si="157"/>
        <v>3.19</v>
      </c>
    </row>
    <row r="10064" spans="2:8" x14ac:dyDescent="0.3">
      <c r="B10064">
        <v>93597</v>
      </c>
      <c r="C10064" t="s">
        <v>14654</v>
      </c>
      <c r="D10064" t="s">
        <v>8106</v>
      </c>
      <c r="E10064" s="716">
        <v>2.36</v>
      </c>
      <c r="F10064" s="717">
        <v>0</v>
      </c>
      <c r="G10064">
        <f>VLOOKUP(B10064,'SINAPI-%MO'!B:E,4,0)</f>
        <v>9.7500000000000003E-2</v>
      </c>
      <c r="H10064" s="225">
        <f t="shared" si="157"/>
        <v>2.12</v>
      </c>
    </row>
    <row r="10065" spans="2:8" x14ac:dyDescent="0.3">
      <c r="B10065">
        <v>93592</v>
      </c>
      <c r="C10065" t="s">
        <v>14655</v>
      </c>
      <c r="D10065" t="s">
        <v>8114</v>
      </c>
      <c r="E10065" s="716">
        <v>2.7</v>
      </c>
      <c r="F10065" s="717">
        <v>0</v>
      </c>
      <c r="G10065">
        <f>VLOOKUP(B10065,'SINAPI-%MO'!B:E,4,0)</f>
        <v>9.6299999999999997E-2</v>
      </c>
      <c r="H10065" s="225">
        <f t="shared" si="157"/>
        <v>2.4300000000000002</v>
      </c>
    </row>
    <row r="10066" spans="2:8" x14ac:dyDescent="0.3">
      <c r="B10066">
        <v>93598</v>
      </c>
      <c r="C10066" t="s">
        <v>14656</v>
      </c>
      <c r="D10066" t="s">
        <v>8106</v>
      </c>
      <c r="E10066" s="716">
        <v>1.8</v>
      </c>
      <c r="F10066" s="717">
        <v>0</v>
      </c>
      <c r="G10066">
        <f>VLOOKUP(B10066,'SINAPI-%MO'!B:E,4,0)</f>
        <v>9.4399999999999998E-2</v>
      </c>
      <c r="H10066" s="225">
        <f t="shared" si="157"/>
        <v>1.63</v>
      </c>
    </row>
    <row r="10067" spans="2:8" x14ac:dyDescent="0.3">
      <c r="B10067">
        <v>93593</v>
      </c>
      <c r="C10067" t="s">
        <v>14657</v>
      </c>
      <c r="D10067" t="s">
        <v>8114</v>
      </c>
      <c r="E10067" s="716">
        <v>0.94</v>
      </c>
      <c r="F10067" s="717">
        <v>0</v>
      </c>
      <c r="G10067">
        <f>VLOOKUP(B10067,'SINAPI-%MO'!B:E,4,0)</f>
        <v>8.5099999999999995E-2</v>
      </c>
      <c r="H10067" s="225">
        <f t="shared" si="157"/>
        <v>0.86</v>
      </c>
    </row>
    <row r="10068" spans="2:8" x14ac:dyDescent="0.3">
      <c r="B10068">
        <v>93599</v>
      </c>
      <c r="C10068" t="s">
        <v>14658</v>
      </c>
      <c r="D10068" t="s">
        <v>8106</v>
      </c>
      <c r="E10068" s="716">
        <v>0.62</v>
      </c>
      <c r="F10068" s="717">
        <v>0</v>
      </c>
      <c r="G10068">
        <f>VLOOKUP(B10068,'SINAPI-%MO'!B:E,4,0)</f>
        <v>8.0600000000000005E-2</v>
      </c>
      <c r="H10068" s="225">
        <f t="shared" si="157"/>
        <v>0.56999999999999995</v>
      </c>
    </row>
    <row r="10069" spans="2:8" x14ac:dyDescent="0.3">
      <c r="B10069">
        <v>95876</v>
      </c>
      <c r="C10069" t="s">
        <v>14659</v>
      </c>
      <c r="D10069" t="s">
        <v>8114</v>
      </c>
      <c r="E10069" s="716">
        <v>2.4700000000000002</v>
      </c>
      <c r="F10069" s="717">
        <v>0</v>
      </c>
      <c r="G10069">
        <f>VLOOKUP(B10069,'SINAPI-%MO'!B:E,4,0)</f>
        <v>9.7199999999999995E-2</v>
      </c>
      <c r="H10069" s="225">
        <f t="shared" si="157"/>
        <v>2.2200000000000002</v>
      </c>
    </row>
    <row r="10070" spans="2:8" x14ac:dyDescent="0.3">
      <c r="B10070">
        <v>95879</v>
      </c>
      <c r="C10070" t="s">
        <v>14660</v>
      </c>
      <c r="D10070" t="s">
        <v>8106</v>
      </c>
      <c r="E10070" s="716">
        <v>1.64</v>
      </c>
      <c r="F10070" s="717">
        <v>0</v>
      </c>
      <c r="G10070">
        <f>VLOOKUP(B10070,'SINAPI-%MO'!B:E,4,0)</f>
        <v>9.7600000000000006E-2</v>
      </c>
      <c r="H10070" s="225">
        <f t="shared" si="157"/>
        <v>1.47</v>
      </c>
    </row>
    <row r="10071" spans="2:8" x14ac:dyDescent="0.3">
      <c r="B10071">
        <v>100940</v>
      </c>
      <c r="C10071" t="s">
        <v>14661</v>
      </c>
      <c r="D10071" t="s">
        <v>8114</v>
      </c>
      <c r="E10071" s="716">
        <v>6.1</v>
      </c>
      <c r="F10071" s="717">
        <v>0</v>
      </c>
      <c r="G10071">
        <f>VLOOKUP(B10071,'SINAPI-%MO'!B:E,4,0)</f>
        <v>9.0200000000000002E-2</v>
      </c>
      <c r="H10071" s="225">
        <f t="shared" si="157"/>
        <v>5.54</v>
      </c>
    </row>
    <row r="10072" spans="2:8" x14ac:dyDescent="0.3">
      <c r="B10072">
        <v>100944</v>
      </c>
      <c r="C10072" t="s">
        <v>14662</v>
      </c>
      <c r="D10072" t="s">
        <v>8106</v>
      </c>
      <c r="E10072" s="716">
        <v>4.07</v>
      </c>
      <c r="F10072" s="717">
        <v>0</v>
      </c>
      <c r="G10072">
        <f>VLOOKUP(B10072,'SINAPI-%MO'!B:E,4,0)</f>
        <v>8.8499999999999995E-2</v>
      </c>
      <c r="H10072" s="225">
        <f t="shared" si="157"/>
        <v>3.7</v>
      </c>
    </row>
    <row r="10073" spans="2:8" x14ac:dyDescent="0.3">
      <c r="B10073">
        <v>95425</v>
      </c>
      <c r="C10073" t="s">
        <v>14663</v>
      </c>
      <c r="D10073" t="s">
        <v>8114</v>
      </c>
      <c r="E10073" s="716">
        <v>3.05</v>
      </c>
      <c r="F10073" s="717">
        <v>0</v>
      </c>
      <c r="G10073">
        <f>VLOOKUP(B10073,'SINAPI-%MO'!B:E,4,0)</f>
        <v>8.8499999999999995E-2</v>
      </c>
      <c r="H10073" s="225">
        <f t="shared" si="157"/>
        <v>2.78</v>
      </c>
    </row>
    <row r="10074" spans="2:8" x14ac:dyDescent="0.3">
      <c r="B10074">
        <v>95428</v>
      </c>
      <c r="C10074" t="s">
        <v>14664</v>
      </c>
      <c r="D10074" t="s">
        <v>8106</v>
      </c>
      <c r="E10074" s="716">
        <v>2.0299999999999998</v>
      </c>
      <c r="F10074" s="717">
        <v>0</v>
      </c>
      <c r="G10074">
        <f>VLOOKUP(B10074,'SINAPI-%MO'!B:E,4,0)</f>
        <v>8.8700000000000001E-2</v>
      </c>
      <c r="H10074" s="225">
        <f t="shared" si="157"/>
        <v>1.84</v>
      </c>
    </row>
    <row r="10075" spans="2:8" x14ac:dyDescent="0.3">
      <c r="B10075">
        <v>95426</v>
      </c>
      <c r="C10075" t="s">
        <v>14665</v>
      </c>
      <c r="D10075" t="s">
        <v>8114</v>
      </c>
      <c r="E10075" s="716">
        <v>2.3199999999999998</v>
      </c>
      <c r="F10075" s="717">
        <v>0</v>
      </c>
      <c r="G10075">
        <f>VLOOKUP(B10075,'SINAPI-%MO'!B:E,4,0)</f>
        <v>8.6199999999999999E-2</v>
      </c>
      <c r="H10075" s="225">
        <f t="shared" si="157"/>
        <v>2.12</v>
      </c>
    </row>
    <row r="10076" spans="2:8" x14ac:dyDescent="0.3">
      <c r="B10076">
        <v>95429</v>
      </c>
      <c r="C10076" t="s">
        <v>14666</v>
      </c>
      <c r="D10076" t="s">
        <v>8106</v>
      </c>
      <c r="E10076" s="716">
        <v>1.54</v>
      </c>
      <c r="F10076" s="717">
        <v>0</v>
      </c>
      <c r="G10076">
        <f>VLOOKUP(B10076,'SINAPI-%MO'!B:E,4,0)</f>
        <v>8.4400000000000003E-2</v>
      </c>
      <c r="H10076" s="225">
        <f t="shared" si="157"/>
        <v>1.41</v>
      </c>
    </row>
    <row r="10077" spans="2:8" x14ac:dyDescent="0.3">
      <c r="B10077">
        <v>95427</v>
      </c>
      <c r="C10077" t="s">
        <v>14667</v>
      </c>
      <c r="D10077" t="s">
        <v>8114</v>
      </c>
      <c r="E10077" s="716">
        <v>0.81</v>
      </c>
      <c r="F10077" s="717">
        <v>0</v>
      </c>
      <c r="G10077">
        <f>VLOOKUP(B10077,'SINAPI-%MO'!B:E,4,0)</f>
        <v>8.6400000000000005E-2</v>
      </c>
      <c r="H10077" s="225">
        <f t="shared" si="157"/>
        <v>0.74</v>
      </c>
    </row>
    <row r="10078" spans="2:8" x14ac:dyDescent="0.3">
      <c r="B10078">
        <v>95430</v>
      </c>
      <c r="C10078" t="s">
        <v>14668</v>
      </c>
      <c r="D10078" t="s">
        <v>8106</v>
      </c>
      <c r="E10078" s="716">
        <v>0.53</v>
      </c>
      <c r="F10078" s="717">
        <v>0</v>
      </c>
      <c r="G10078">
        <f>VLOOKUP(B10078,'SINAPI-%MO'!B:E,4,0)</f>
        <v>7.5499999999999998E-2</v>
      </c>
      <c r="H10078" s="225">
        <f t="shared" si="157"/>
        <v>0.48</v>
      </c>
    </row>
    <row r="10079" spans="2:8" x14ac:dyDescent="0.3">
      <c r="B10079">
        <v>95877</v>
      </c>
      <c r="C10079" t="s">
        <v>14669</v>
      </c>
      <c r="D10079" t="s">
        <v>8114</v>
      </c>
      <c r="E10079" s="716">
        <v>2.12</v>
      </c>
      <c r="F10079" s="717">
        <v>0</v>
      </c>
      <c r="G10079">
        <f>VLOOKUP(B10079,'SINAPI-%MO'!B:E,4,0)</f>
        <v>8.9599999999999999E-2</v>
      </c>
      <c r="H10079" s="225">
        <f t="shared" si="157"/>
        <v>1.93</v>
      </c>
    </row>
    <row r="10080" spans="2:8" x14ac:dyDescent="0.3">
      <c r="B10080">
        <v>95880</v>
      </c>
      <c r="C10080" t="s">
        <v>14670</v>
      </c>
      <c r="D10080" t="s">
        <v>8106</v>
      </c>
      <c r="E10080" s="716">
        <v>1.41</v>
      </c>
      <c r="F10080" s="717">
        <v>0</v>
      </c>
      <c r="G10080">
        <f>VLOOKUP(B10080,'SINAPI-%MO'!B:E,4,0)</f>
        <v>8.5099999999999995E-2</v>
      </c>
      <c r="H10080" s="225">
        <f t="shared" si="157"/>
        <v>1.29</v>
      </c>
    </row>
    <row r="10081" spans="2:8" x14ac:dyDescent="0.3">
      <c r="B10081">
        <v>100937</v>
      </c>
      <c r="C10081" t="s">
        <v>14671</v>
      </c>
      <c r="D10081" t="s">
        <v>8114</v>
      </c>
      <c r="E10081" s="716">
        <v>9.7100000000000009</v>
      </c>
      <c r="F10081" s="717">
        <v>0</v>
      </c>
      <c r="G10081">
        <f>VLOOKUP(B10081,'SINAPI-%MO'!B:E,4,0)</f>
        <v>0.17100000000000001</v>
      </c>
      <c r="H10081" s="225">
        <f t="shared" si="157"/>
        <v>8.0399999999999991</v>
      </c>
    </row>
    <row r="10082" spans="2:8" x14ac:dyDescent="0.3">
      <c r="B10082">
        <v>100941</v>
      </c>
      <c r="C10082" t="s">
        <v>14672</v>
      </c>
      <c r="D10082" t="s">
        <v>8106</v>
      </c>
      <c r="E10082" s="716">
        <v>6.47</v>
      </c>
      <c r="F10082" s="717">
        <v>0</v>
      </c>
      <c r="G10082">
        <f>VLOOKUP(B10082,'SINAPI-%MO'!B:E,4,0)</f>
        <v>0.17</v>
      </c>
      <c r="H10082" s="225">
        <f t="shared" si="157"/>
        <v>5.37</v>
      </c>
    </row>
    <row r="10083" spans="2:8" x14ac:dyDescent="0.3">
      <c r="B10083">
        <v>97912</v>
      </c>
      <c r="C10083" t="s">
        <v>14673</v>
      </c>
      <c r="D10083" t="s">
        <v>8114</v>
      </c>
      <c r="E10083" s="716">
        <v>4.8499999999999996</v>
      </c>
      <c r="F10083" s="717">
        <v>0</v>
      </c>
      <c r="G10083">
        <f>VLOOKUP(B10083,'SINAPI-%MO'!B:E,4,0)</f>
        <v>0.1691</v>
      </c>
      <c r="H10083" s="225">
        <f t="shared" si="157"/>
        <v>4.0199999999999996</v>
      </c>
    </row>
    <row r="10084" spans="2:8" x14ac:dyDescent="0.3">
      <c r="B10084">
        <v>97916</v>
      </c>
      <c r="C10084" t="s">
        <v>14674</v>
      </c>
      <c r="D10084" t="s">
        <v>8106</v>
      </c>
      <c r="E10084" s="716">
        <v>3.23</v>
      </c>
      <c r="F10084" s="717">
        <v>0</v>
      </c>
      <c r="G10084">
        <f>VLOOKUP(B10084,'SINAPI-%MO'!B:E,4,0)</f>
        <v>0.17030000000000001</v>
      </c>
      <c r="H10084" s="225">
        <f t="shared" si="157"/>
        <v>2.67</v>
      </c>
    </row>
    <row r="10085" spans="2:8" x14ac:dyDescent="0.3">
      <c r="B10085">
        <v>97913</v>
      </c>
      <c r="C10085" t="s">
        <v>14675</v>
      </c>
      <c r="D10085" t="s">
        <v>8114</v>
      </c>
      <c r="E10085" s="716">
        <v>3.7</v>
      </c>
      <c r="F10085" s="717">
        <v>0</v>
      </c>
      <c r="G10085">
        <f>VLOOKUP(B10085,'SINAPI-%MO'!B:E,4,0)</f>
        <v>0.17030000000000001</v>
      </c>
      <c r="H10085" s="225">
        <f t="shared" si="157"/>
        <v>3.06</v>
      </c>
    </row>
    <row r="10086" spans="2:8" x14ac:dyDescent="0.3">
      <c r="B10086">
        <v>97917</v>
      </c>
      <c r="C10086" t="s">
        <v>14676</v>
      </c>
      <c r="D10086" t="s">
        <v>8106</v>
      </c>
      <c r="E10086" s="716">
        <v>2.46</v>
      </c>
      <c r="F10086" s="717">
        <v>0</v>
      </c>
      <c r="G10086">
        <f>VLOOKUP(B10086,'SINAPI-%MO'!B:E,4,0)</f>
        <v>0.16669999999999999</v>
      </c>
      <c r="H10086" s="225">
        <f t="shared" si="157"/>
        <v>2.04</v>
      </c>
    </row>
    <row r="10087" spans="2:8" x14ac:dyDescent="0.3">
      <c r="B10087">
        <v>97915</v>
      </c>
      <c r="C10087" t="s">
        <v>14677</v>
      </c>
      <c r="D10087" t="s">
        <v>8114</v>
      </c>
      <c r="E10087" s="716">
        <v>1.28</v>
      </c>
      <c r="F10087" s="717">
        <v>0</v>
      </c>
      <c r="G10087">
        <f>VLOOKUP(B10087,'SINAPI-%MO'!B:E,4,0)</f>
        <v>0.1719</v>
      </c>
      <c r="H10087" s="225">
        <f t="shared" si="157"/>
        <v>1.05</v>
      </c>
    </row>
    <row r="10088" spans="2:8" x14ac:dyDescent="0.3">
      <c r="B10088">
        <v>97919</v>
      </c>
      <c r="C10088" t="s">
        <v>14678</v>
      </c>
      <c r="D10088" t="s">
        <v>8106</v>
      </c>
      <c r="E10088" s="716">
        <v>0.85</v>
      </c>
      <c r="F10088" s="717">
        <v>0</v>
      </c>
      <c r="G10088">
        <f>VLOOKUP(B10088,'SINAPI-%MO'!B:E,4,0)</f>
        <v>0.16470000000000001</v>
      </c>
      <c r="H10088" s="225">
        <f t="shared" si="157"/>
        <v>0.71</v>
      </c>
    </row>
    <row r="10089" spans="2:8" x14ac:dyDescent="0.3">
      <c r="B10089">
        <v>97914</v>
      </c>
      <c r="C10089" t="s">
        <v>14679</v>
      </c>
      <c r="D10089" t="s">
        <v>8114</v>
      </c>
      <c r="E10089" s="716">
        <v>3.37</v>
      </c>
      <c r="F10089" s="717">
        <v>0</v>
      </c>
      <c r="G10089">
        <f>VLOOKUP(B10089,'SINAPI-%MO'!B:E,4,0)</f>
        <v>0.1691</v>
      </c>
      <c r="H10089" s="225">
        <f t="shared" si="157"/>
        <v>2.8</v>
      </c>
    </row>
    <row r="10090" spans="2:8" x14ac:dyDescent="0.3">
      <c r="B10090">
        <v>97918</v>
      </c>
      <c r="C10090" t="s">
        <v>14680</v>
      </c>
      <c r="D10090" t="s">
        <v>8106</v>
      </c>
      <c r="E10090" s="716">
        <v>2.2400000000000002</v>
      </c>
      <c r="F10090" s="717">
        <v>0</v>
      </c>
      <c r="G10090">
        <f>VLOOKUP(B10090,'SINAPI-%MO'!B:E,4,0)</f>
        <v>0.1696</v>
      </c>
      <c r="H10090" s="225">
        <f t="shared" si="157"/>
        <v>1.86</v>
      </c>
    </row>
    <row r="10091" spans="2:8" x14ac:dyDescent="0.3">
      <c r="B10091">
        <v>106686</v>
      </c>
      <c r="C10091" t="s">
        <v>14681</v>
      </c>
      <c r="D10091" t="s">
        <v>8106</v>
      </c>
      <c r="E10091" s="716">
        <v>5.9</v>
      </c>
      <c r="F10091" s="717">
        <v>0</v>
      </c>
      <c r="G10091">
        <f>VLOOKUP(B10091,'SINAPI-%MO'!B:E,4,0)</f>
        <v>0.1085</v>
      </c>
      <c r="H10091" s="225">
        <f t="shared" si="157"/>
        <v>5.25</v>
      </c>
    </row>
    <row r="10092" spans="2:8" x14ac:dyDescent="0.3">
      <c r="B10092">
        <v>106682</v>
      </c>
      <c r="C10092" t="s">
        <v>14682</v>
      </c>
      <c r="D10092" t="s">
        <v>8106</v>
      </c>
      <c r="E10092" s="716">
        <v>2.94</v>
      </c>
      <c r="F10092" s="717">
        <v>0</v>
      </c>
      <c r="G10092">
        <f>VLOOKUP(B10092,'SINAPI-%MO'!B:E,4,0)</f>
        <v>0.10539999999999999</v>
      </c>
      <c r="H10092" s="225">
        <f t="shared" si="157"/>
        <v>2.63</v>
      </c>
    </row>
    <row r="10093" spans="2:8" x14ac:dyDescent="0.3">
      <c r="B10093">
        <v>106683</v>
      </c>
      <c r="C10093" t="s">
        <v>14683</v>
      </c>
      <c r="D10093" t="s">
        <v>8106</v>
      </c>
      <c r="E10093" s="716">
        <v>2.2400000000000002</v>
      </c>
      <c r="F10093" s="717">
        <v>0</v>
      </c>
      <c r="G10093">
        <f>VLOOKUP(B10093,'SINAPI-%MO'!B:E,4,0)</f>
        <v>0.1027</v>
      </c>
      <c r="H10093" s="225">
        <f t="shared" si="157"/>
        <v>2</v>
      </c>
    </row>
    <row r="10094" spans="2:8" x14ac:dyDescent="0.3">
      <c r="B10094">
        <v>106685</v>
      </c>
      <c r="C10094" t="s">
        <v>14684</v>
      </c>
      <c r="D10094" t="s">
        <v>8106</v>
      </c>
      <c r="E10094" s="716">
        <v>0.78</v>
      </c>
      <c r="F10094" s="717">
        <v>0</v>
      </c>
      <c r="G10094">
        <f>VLOOKUP(B10094,'SINAPI-%MO'!B:E,4,0)</f>
        <v>0.1026</v>
      </c>
      <c r="H10094" s="225">
        <f t="shared" si="157"/>
        <v>0.69</v>
      </c>
    </row>
    <row r="10095" spans="2:8" x14ac:dyDescent="0.3">
      <c r="B10095">
        <v>106684</v>
      </c>
      <c r="C10095" t="s">
        <v>14685</v>
      </c>
      <c r="D10095" t="s">
        <v>8106</v>
      </c>
      <c r="E10095" s="716">
        <v>2.0499999999999998</v>
      </c>
      <c r="F10095" s="717">
        <v>0</v>
      </c>
      <c r="G10095">
        <f>VLOOKUP(B10095,'SINAPI-%MO'!B:E,4,0)</f>
        <v>0.10730000000000001</v>
      </c>
      <c r="H10095" s="225">
        <f t="shared" si="157"/>
        <v>1.83</v>
      </c>
    </row>
    <row r="10096" spans="2:8" x14ac:dyDescent="0.3">
      <c r="B10096">
        <v>100949</v>
      </c>
      <c r="C10096" t="s">
        <v>14686</v>
      </c>
      <c r="D10096" t="s">
        <v>8106</v>
      </c>
      <c r="E10096" s="716">
        <v>7.27</v>
      </c>
      <c r="F10096" s="717">
        <v>0</v>
      </c>
      <c r="G10096">
        <f>VLOOKUP(B10096,'SINAPI-%MO'!B:E,4,0)</f>
        <v>0.1472</v>
      </c>
      <c r="H10096" s="225">
        <f t="shared" si="157"/>
        <v>6.19</v>
      </c>
    </row>
    <row r="10097" spans="2:8" x14ac:dyDescent="0.3">
      <c r="B10097">
        <v>100945</v>
      </c>
      <c r="C10097" t="s">
        <v>14687</v>
      </c>
      <c r="D10097" t="s">
        <v>8106</v>
      </c>
      <c r="E10097" s="716">
        <v>3.63</v>
      </c>
      <c r="F10097" s="717">
        <v>0</v>
      </c>
      <c r="G10097">
        <f>VLOOKUP(B10097,'SINAPI-%MO'!B:E,4,0)</f>
        <v>0.14599999999999999</v>
      </c>
      <c r="H10097" s="225">
        <f t="shared" ref="H10097:H10160" si="158">IF(E10097&gt;0,TRUNC(E10097*(1-G10097),2),"")</f>
        <v>3.1</v>
      </c>
    </row>
    <row r="10098" spans="2:8" x14ac:dyDescent="0.3">
      <c r="B10098">
        <v>100946</v>
      </c>
      <c r="C10098" t="s">
        <v>14688</v>
      </c>
      <c r="D10098" t="s">
        <v>8106</v>
      </c>
      <c r="E10098" s="716">
        <v>2.76</v>
      </c>
      <c r="F10098" s="717">
        <v>0</v>
      </c>
      <c r="G10098">
        <f>VLOOKUP(B10098,'SINAPI-%MO'!B:E,4,0)</f>
        <v>0.1449</v>
      </c>
      <c r="H10098" s="225">
        <f t="shared" si="158"/>
        <v>2.36</v>
      </c>
    </row>
    <row r="10099" spans="2:8" x14ac:dyDescent="0.3">
      <c r="B10099">
        <v>100948</v>
      </c>
      <c r="C10099" t="s">
        <v>14689</v>
      </c>
      <c r="D10099" t="s">
        <v>8106</v>
      </c>
      <c r="E10099" s="716">
        <v>0.96</v>
      </c>
      <c r="F10099" s="717">
        <v>0</v>
      </c>
      <c r="G10099">
        <f>VLOOKUP(B10099,'SINAPI-%MO'!B:E,4,0)</f>
        <v>0.13539999999999999</v>
      </c>
      <c r="H10099" s="225">
        <f t="shared" si="158"/>
        <v>0.83</v>
      </c>
    </row>
    <row r="10100" spans="2:8" x14ac:dyDescent="0.3">
      <c r="B10100">
        <v>100947</v>
      </c>
      <c r="C10100" t="s">
        <v>14690</v>
      </c>
      <c r="D10100" t="s">
        <v>8106</v>
      </c>
      <c r="E10100" s="716">
        <v>2.52</v>
      </c>
      <c r="F10100" s="717">
        <v>0</v>
      </c>
      <c r="G10100">
        <f>VLOOKUP(B10100,'SINAPI-%MO'!B:E,4,0)</f>
        <v>0.14680000000000001</v>
      </c>
      <c r="H10100" s="225">
        <f t="shared" si="158"/>
        <v>2.15</v>
      </c>
    </row>
    <row r="10101" spans="2:8" x14ac:dyDescent="0.3">
      <c r="B10101">
        <v>100954</v>
      </c>
      <c r="C10101" t="s">
        <v>14691</v>
      </c>
      <c r="D10101" t="s">
        <v>8106</v>
      </c>
      <c r="E10101" s="716">
        <v>9.19</v>
      </c>
      <c r="F10101" s="717">
        <v>0</v>
      </c>
      <c r="G10101">
        <f>VLOOKUP(B10101,'SINAPI-%MO'!B:E,4,0)</f>
        <v>0.1371</v>
      </c>
      <c r="H10101" s="225">
        <f t="shared" si="158"/>
        <v>7.93</v>
      </c>
    </row>
    <row r="10102" spans="2:8" x14ac:dyDescent="0.3">
      <c r="B10102">
        <v>100950</v>
      </c>
      <c r="C10102" t="s">
        <v>14692</v>
      </c>
      <c r="D10102" t="s">
        <v>8106</v>
      </c>
      <c r="E10102" s="716">
        <v>4.59</v>
      </c>
      <c r="F10102" s="717">
        <v>0</v>
      </c>
      <c r="G10102">
        <f>VLOOKUP(B10102,'SINAPI-%MO'!B:E,4,0)</f>
        <v>0.13730000000000001</v>
      </c>
      <c r="H10102" s="225">
        <f t="shared" si="158"/>
        <v>3.95</v>
      </c>
    </row>
    <row r="10103" spans="2:8" x14ac:dyDescent="0.3">
      <c r="B10103">
        <v>100951</v>
      </c>
      <c r="C10103" t="s">
        <v>14693</v>
      </c>
      <c r="D10103" t="s">
        <v>8106</v>
      </c>
      <c r="E10103" s="716">
        <v>3.49</v>
      </c>
      <c r="F10103" s="717">
        <v>0</v>
      </c>
      <c r="G10103">
        <f>VLOOKUP(B10103,'SINAPI-%MO'!B:E,4,0)</f>
        <v>0.13750000000000001</v>
      </c>
      <c r="H10103" s="225">
        <f t="shared" si="158"/>
        <v>3.01</v>
      </c>
    </row>
    <row r="10104" spans="2:8" x14ac:dyDescent="0.3">
      <c r="B10104">
        <v>100953</v>
      </c>
      <c r="C10104" t="s">
        <v>14694</v>
      </c>
      <c r="D10104" t="s">
        <v>8106</v>
      </c>
      <c r="E10104" s="716">
        <v>1.22</v>
      </c>
      <c r="F10104" s="717">
        <v>0</v>
      </c>
      <c r="G10104">
        <f>VLOOKUP(B10104,'SINAPI-%MO'!B:E,4,0)</f>
        <v>0.13109999999999999</v>
      </c>
      <c r="H10104" s="225">
        <f t="shared" si="158"/>
        <v>1.06</v>
      </c>
    </row>
    <row r="10105" spans="2:8" x14ac:dyDescent="0.3">
      <c r="B10105">
        <v>100952</v>
      </c>
      <c r="C10105" t="s">
        <v>14695</v>
      </c>
      <c r="D10105" t="s">
        <v>8106</v>
      </c>
      <c r="E10105" s="716">
        <v>3.19</v>
      </c>
      <c r="F10105" s="717">
        <v>0</v>
      </c>
      <c r="G10105">
        <f>VLOOKUP(B10105,'SINAPI-%MO'!B:E,4,0)</f>
        <v>0.13789999999999999</v>
      </c>
      <c r="H10105" s="225">
        <f t="shared" si="158"/>
        <v>2.75</v>
      </c>
    </row>
    <row r="10106" spans="2:8" x14ac:dyDescent="0.3">
      <c r="B10106">
        <v>106691</v>
      </c>
      <c r="C10106" t="s">
        <v>14696</v>
      </c>
      <c r="D10106" t="s">
        <v>8106</v>
      </c>
      <c r="E10106" s="716">
        <v>6.55</v>
      </c>
      <c r="F10106" s="717">
        <v>0</v>
      </c>
      <c r="G10106">
        <f>VLOOKUP(B10106,'SINAPI-%MO'!B:E,4,0)</f>
        <v>0.1145</v>
      </c>
      <c r="H10106" s="225">
        <f t="shared" si="158"/>
        <v>5.8</v>
      </c>
    </row>
    <row r="10107" spans="2:8" x14ac:dyDescent="0.3">
      <c r="B10107">
        <v>106687</v>
      </c>
      <c r="C10107" t="s">
        <v>14697</v>
      </c>
      <c r="D10107" t="s">
        <v>8106</v>
      </c>
      <c r="E10107" s="716">
        <v>3.27</v>
      </c>
      <c r="F10107" s="717">
        <v>0</v>
      </c>
      <c r="G10107">
        <f>VLOOKUP(B10107,'SINAPI-%MO'!B:E,4,0)</f>
        <v>0.11310000000000001</v>
      </c>
      <c r="H10107" s="225">
        <f t="shared" si="158"/>
        <v>2.9</v>
      </c>
    </row>
    <row r="10108" spans="2:8" x14ac:dyDescent="0.3">
      <c r="B10108">
        <v>106688</v>
      </c>
      <c r="C10108" t="s">
        <v>14698</v>
      </c>
      <c r="D10108" t="s">
        <v>8106</v>
      </c>
      <c r="E10108" s="716">
        <v>2.4900000000000002</v>
      </c>
      <c r="F10108" s="717">
        <v>0</v>
      </c>
      <c r="G10108">
        <f>VLOOKUP(B10108,'SINAPI-%MO'!B:E,4,0)</f>
        <v>0.1124</v>
      </c>
      <c r="H10108" s="225">
        <f t="shared" si="158"/>
        <v>2.21</v>
      </c>
    </row>
    <row r="10109" spans="2:8" x14ac:dyDescent="0.3">
      <c r="B10109">
        <v>106690</v>
      </c>
      <c r="C10109" t="s">
        <v>14699</v>
      </c>
      <c r="D10109" t="s">
        <v>8106</v>
      </c>
      <c r="E10109" s="716">
        <v>0.86</v>
      </c>
      <c r="F10109" s="717">
        <v>0</v>
      </c>
      <c r="G10109">
        <f>VLOOKUP(B10109,'SINAPI-%MO'!B:E,4,0)</f>
        <v>0.1047</v>
      </c>
      <c r="H10109" s="225">
        <f t="shared" si="158"/>
        <v>0.76</v>
      </c>
    </row>
    <row r="10110" spans="2:8" x14ac:dyDescent="0.3">
      <c r="B10110">
        <v>106689</v>
      </c>
      <c r="C10110" t="s">
        <v>14700</v>
      </c>
      <c r="D10110" t="s">
        <v>8106</v>
      </c>
      <c r="E10110" s="716">
        <v>2.2799999999999998</v>
      </c>
      <c r="F10110" s="717">
        <v>0</v>
      </c>
      <c r="G10110">
        <f>VLOOKUP(B10110,'SINAPI-%MO'!B:E,4,0)</f>
        <v>0.114</v>
      </c>
      <c r="H10110" s="225">
        <f t="shared" si="158"/>
        <v>2.02</v>
      </c>
    </row>
    <row r="10111" spans="2:8" x14ac:dyDescent="0.3">
      <c r="B10111">
        <v>100964</v>
      </c>
      <c r="C10111" t="s">
        <v>14701</v>
      </c>
      <c r="D10111" t="s">
        <v>8114</v>
      </c>
      <c r="E10111" s="716">
        <v>9.39</v>
      </c>
      <c r="F10111" s="717">
        <v>4.1500000000000002E-2</v>
      </c>
      <c r="G10111">
        <f>VLOOKUP(B10111,'SINAPI-%MO'!B:E,4,0)</f>
        <v>0.1022</v>
      </c>
      <c r="H10111" s="225">
        <f t="shared" si="158"/>
        <v>8.43</v>
      </c>
    </row>
    <row r="10112" spans="2:8" x14ac:dyDescent="0.3">
      <c r="B10112">
        <v>100960</v>
      </c>
      <c r="C10112" t="s">
        <v>14702</v>
      </c>
      <c r="D10112" t="s">
        <v>8114</v>
      </c>
      <c r="E10112" s="716">
        <v>4.6900000000000004</v>
      </c>
      <c r="F10112" s="717">
        <v>4.0500000000000001E-2</v>
      </c>
      <c r="G10112">
        <f>VLOOKUP(B10112,'SINAPI-%MO'!B:E,4,0)</f>
        <v>0.1023</v>
      </c>
      <c r="H10112" s="225">
        <f t="shared" si="158"/>
        <v>4.21</v>
      </c>
    </row>
    <row r="10113" spans="2:8" x14ac:dyDescent="0.3">
      <c r="B10113">
        <v>100961</v>
      </c>
      <c r="C10113" t="s">
        <v>14703</v>
      </c>
      <c r="D10113" t="s">
        <v>8114</v>
      </c>
      <c r="E10113" s="716">
        <v>3.57</v>
      </c>
      <c r="F10113" s="717">
        <v>3.9199999999999999E-2</v>
      </c>
      <c r="G10113">
        <f>VLOOKUP(B10113,'SINAPI-%MO'!B:E,4,0)</f>
        <v>0.1008</v>
      </c>
      <c r="H10113" s="225">
        <f t="shared" si="158"/>
        <v>3.21</v>
      </c>
    </row>
    <row r="10114" spans="2:8" x14ac:dyDescent="0.3">
      <c r="B10114">
        <v>100963</v>
      </c>
      <c r="C10114" t="s">
        <v>14704</v>
      </c>
      <c r="D10114" t="s">
        <v>8114</v>
      </c>
      <c r="E10114" s="716">
        <v>1.24</v>
      </c>
      <c r="F10114" s="717">
        <v>3.2300000000000002E-2</v>
      </c>
      <c r="G10114">
        <f>VLOOKUP(B10114,'SINAPI-%MO'!B:E,4,0)</f>
        <v>9.6799999999999997E-2</v>
      </c>
      <c r="H10114" s="225">
        <f t="shared" si="158"/>
        <v>1.1100000000000001</v>
      </c>
    </row>
    <row r="10115" spans="2:8" x14ac:dyDescent="0.3">
      <c r="B10115">
        <v>100962</v>
      </c>
      <c r="C10115" t="s">
        <v>14705</v>
      </c>
      <c r="D10115" t="s">
        <v>8114</v>
      </c>
      <c r="E10115" s="716">
        <v>3.27</v>
      </c>
      <c r="F10115" s="717">
        <v>3.9800000000000002E-2</v>
      </c>
      <c r="G10115">
        <f>VLOOKUP(B10115,'SINAPI-%MO'!B:E,4,0)</f>
        <v>0.1009</v>
      </c>
      <c r="H10115" s="225">
        <f t="shared" si="158"/>
        <v>2.94</v>
      </c>
    </row>
    <row r="10116" spans="2:8" x14ac:dyDescent="0.3">
      <c r="B10116">
        <v>106696</v>
      </c>
      <c r="C10116" t="s">
        <v>14706</v>
      </c>
      <c r="D10116" t="s">
        <v>8114</v>
      </c>
      <c r="E10116" s="716">
        <v>6.01</v>
      </c>
      <c r="F10116" s="717">
        <v>5.6599999999999998E-2</v>
      </c>
      <c r="G10116">
        <f>VLOOKUP(B10116,'SINAPI-%MO'!B:E,4,0)</f>
        <v>0.11310000000000001</v>
      </c>
      <c r="H10116" s="225">
        <f t="shared" si="158"/>
        <v>5.33</v>
      </c>
    </row>
    <row r="10117" spans="2:8" x14ac:dyDescent="0.3">
      <c r="B10117">
        <v>106692</v>
      </c>
      <c r="C10117" t="s">
        <v>14707</v>
      </c>
      <c r="D10117" t="s">
        <v>8114</v>
      </c>
      <c r="E10117" s="716">
        <v>3</v>
      </c>
      <c r="F10117" s="717">
        <v>5.33E-2</v>
      </c>
      <c r="G10117">
        <f>VLOOKUP(B10117,'SINAPI-%MO'!B:E,4,0)</f>
        <v>0.1133</v>
      </c>
      <c r="H10117" s="225">
        <f t="shared" si="158"/>
        <v>2.66</v>
      </c>
    </row>
    <row r="10118" spans="2:8" x14ac:dyDescent="0.3">
      <c r="B10118">
        <v>106693</v>
      </c>
      <c r="C10118" t="s">
        <v>14708</v>
      </c>
      <c r="D10118" t="s">
        <v>8114</v>
      </c>
      <c r="E10118" s="716">
        <v>2.2799999999999998</v>
      </c>
      <c r="F10118" s="717">
        <v>5.7000000000000002E-2</v>
      </c>
      <c r="G10118">
        <f>VLOOKUP(B10118,'SINAPI-%MO'!B:E,4,0)</f>
        <v>0.114</v>
      </c>
      <c r="H10118" s="225">
        <f t="shared" si="158"/>
        <v>2.02</v>
      </c>
    </row>
    <row r="10119" spans="2:8" x14ac:dyDescent="0.3">
      <c r="B10119">
        <v>106695</v>
      </c>
      <c r="C10119" t="s">
        <v>14709</v>
      </c>
      <c r="D10119" t="s">
        <v>8114</v>
      </c>
      <c r="E10119" s="716">
        <v>0.8</v>
      </c>
      <c r="F10119" s="717">
        <v>3.7499999999999999E-2</v>
      </c>
      <c r="G10119">
        <f>VLOOKUP(B10119,'SINAPI-%MO'!B:E,4,0)</f>
        <v>0.1</v>
      </c>
      <c r="H10119" s="225">
        <f t="shared" si="158"/>
        <v>0.72</v>
      </c>
    </row>
    <row r="10120" spans="2:8" x14ac:dyDescent="0.3">
      <c r="B10120">
        <v>106694</v>
      </c>
      <c r="C10120" t="s">
        <v>14710</v>
      </c>
      <c r="D10120" t="s">
        <v>8114</v>
      </c>
      <c r="E10120" s="716">
        <v>2.08</v>
      </c>
      <c r="F10120" s="717">
        <v>5.2900000000000003E-2</v>
      </c>
      <c r="G10120">
        <f>VLOOKUP(B10120,'SINAPI-%MO'!B:E,4,0)</f>
        <v>0.1106</v>
      </c>
      <c r="H10120" s="225">
        <f t="shared" si="158"/>
        <v>1.84</v>
      </c>
    </row>
    <row r="10121" spans="2:8" x14ac:dyDescent="0.3">
      <c r="B10121">
        <v>100959</v>
      </c>
      <c r="C10121" t="s">
        <v>14711</v>
      </c>
      <c r="D10121" t="s">
        <v>8114</v>
      </c>
      <c r="E10121" s="716">
        <v>12.58</v>
      </c>
      <c r="F10121" s="717">
        <v>4.2900000000000001E-2</v>
      </c>
      <c r="G10121">
        <f>VLOOKUP(B10121,'SINAPI-%MO'!B:E,4,0)</f>
        <v>0.128</v>
      </c>
      <c r="H10121" s="225">
        <f t="shared" si="158"/>
        <v>10.96</v>
      </c>
    </row>
    <row r="10122" spans="2:8" x14ac:dyDescent="0.3">
      <c r="B10122">
        <v>100955</v>
      </c>
      <c r="C10122" t="s">
        <v>14712</v>
      </c>
      <c r="D10122" t="s">
        <v>8114</v>
      </c>
      <c r="E10122" s="716">
        <v>6.28</v>
      </c>
      <c r="F10122" s="717">
        <v>4.1399999999999999E-2</v>
      </c>
      <c r="G10122">
        <f>VLOOKUP(B10122,'SINAPI-%MO'!B:E,4,0)</f>
        <v>0.12740000000000001</v>
      </c>
      <c r="H10122" s="225">
        <f t="shared" si="158"/>
        <v>5.47</v>
      </c>
    </row>
    <row r="10123" spans="2:8" x14ac:dyDescent="0.3">
      <c r="B10123">
        <v>100956</v>
      </c>
      <c r="C10123" t="s">
        <v>14713</v>
      </c>
      <c r="D10123" t="s">
        <v>8114</v>
      </c>
      <c r="E10123" s="716">
        <v>4.79</v>
      </c>
      <c r="F10123" s="717">
        <v>4.1799999999999997E-2</v>
      </c>
      <c r="G10123">
        <f>VLOOKUP(B10123,'SINAPI-%MO'!B:E,4,0)</f>
        <v>0.12529999999999999</v>
      </c>
      <c r="H10123" s="225">
        <f t="shared" si="158"/>
        <v>4.18</v>
      </c>
    </row>
    <row r="10124" spans="2:8" x14ac:dyDescent="0.3">
      <c r="B10124">
        <v>100958</v>
      </c>
      <c r="C10124" t="s">
        <v>14714</v>
      </c>
      <c r="D10124" t="s">
        <v>8114</v>
      </c>
      <c r="E10124" s="716">
        <v>1.67</v>
      </c>
      <c r="F10124" s="717">
        <v>4.19E-2</v>
      </c>
      <c r="G10124">
        <f>VLOOKUP(B10124,'SINAPI-%MO'!B:E,4,0)</f>
        <v>0.1198</v>
      </c>
      <c r="H10124" s="225">
        <f t="shared" si="158"/>
        <v>1.46</v>
      </c>
    </row>
    <row r="10125" spans="2:8" x14ac:dyDescent="0.3">
      <c r="B10125">
        <v>100957</v>
      </c>
      <c r="C10125" t="s">
        <v>14715</v>
      </c>
      <c r="D10125" t="s">
        <v>8114</v>
      </c>
      <c r="E10125" s="716">
        <v>4.37</v>
      </c>
      <c r="F10125" s="717">
        <v>4.1200000000000001E-2</v>
      </c>
      <c r="G10125">
        <f>VLOOKUP(B10125,'SINAPI-%MO'!B:E,4,0)</f>
        <v>0.12590000000000001</v>
      </c>
      <c r="H10125" s="225">
        <f t="shared" si="158"/>
        <v>3.81</v>
      </c>
    </row>
    <row r="10126" spans="2:8" x14ac:dyDescent="0.3">
      <c r="B10126">
        <v>106706</v>
      </c>
      <c r="C10126" t="s">
        <v>15318</v>
      </c>
      <c r="D10126" t="s">
        <v>8114</v>
      </c>
      <c r="E10126" s="716">
        <v>0</v>
      </c>
      <c r="F10126" s="717"/>
      <c r="G10126" t="e">
        <f>VLOOKUP(B10126,'SINAPI-%MO'!B:E,4,0)</f>
        <v>#N/A</v>
      </c>
      <c r="H10126" s="225" t="str">
        <f t="shared" si="158"/>
        <v/>
      </c>
    </row>
    <row r="10127" spans="2:8" x14ac:dyDescent="0.3">
      <c r="B10127">
        <v>106702</v>
      </c>
      <c r="C10127" t="s">
        <v>15319</v>
      </c>
      <c r="D10127" t="s">
        <v>8114</v>
      </c>
      <c r="E10127" s="716">
        <v>0</v>
      </c>
      <c r="F10127" s="717"/>
      <c r="G10127" t="e">
        <f>VLOOKUP(B10127,'SINAPI-%MO'!B:E,4,0)</f>
        <v>#N/A</v>
      </c>
      <c r="H10127" s="225" t="str">
        <f t="shared" si="158"/>
        <v/>
      </c>
    </row>
    <row r="10128" spans="2:8" x14ac:dyDescent="0.3">
      <c r="B10128">
        <v>106703</v>
      </c>
      <c r="C10128" t="s">
        <v>15320</v>
      </c>
      <c r="D10128" t="s">
        <v>8114</v>
      </c>
      <c r="E10128" s="716">
        <v>0</v>
      </c>
      <c r="F10128" s="717"/>
      <c r="G10128" t="e">
        <f>VLOOKUP(B10128,'SINAPI-%MO'!B:E,4,0)</f>
        <v>#N/A</v>
      </c>
      <c r="H10128" s="225" t="str">
        <f t="shared" si="158"/>
        <v/>
      </c>
    </row>
    <row r="10129" spans="2:8" x14ac:dyDescent="0.3">
      <c r="B10129">
        <v>106705</v>
      </c>
      <c r="C10129" t="s">
        <v>15321</v>
      </c>
      <c r="D10129" t="s">
        <v>8114</v>
      </c>
      <c r="E10129" s="716">
        <v>0</v>
      </c>
      <c r="F10129" s="717"/>
      <c r="G10129" t="e">
        <f>VLOOKUP(B10129,'SINAPI-%MO'!B:E,4,0)</f>
        <v>#N/A</v>
      </c>
      <c r="H10129" s="225" t="str">
        <f t="shared" si="158"/>
        <v/>
      </c>
    </row>
    <row r="10130" spans="2:8" x14ac:dyDescent="0.3">
      <c r="B10130">
        <v>106704</v>
      </c>
      <c r="C10130" t="s">
        <v>15322</v>
      </c>
      <c r="D10130" t="s">
        <v>8114</v>
      </c>
      <c r="E10130" s="716">
        <v>0</v>
      </c>
      <c r="F10130" s="717"/>
      <c r="G10130" t="e">
        <f>VLOOKUP(B10130,'SINAPI-%MO'!B:E,4,0)</f>
        <v>#N/A</v>
      </c>
      <c r="H10130" s="225" t="str">
        <f t="shared" si="158"/>
        <v/>
      </c>
    </row>
    <row r="10131" spans="2:8" x14ac:dyDescent="0.3">
      <c r="B10131">
        <v>100969</v>
      </c>
      <c r="C10131" t="s">
        <v>14716</v>
      </c>
      <c r="D10131" t="s">
        <v>8106</v>
      </c>
      <c r="E10131" s="716">
        <v>2.93</v>
      </c>
      <c r="F10131" s="717">
        <v>2.3900000000000001E-2</v>
      </c>
      <c r="G10131">
        <f>VLOOKUP(B10131,'SINAPI-%MO'!B:E,4,0)</f>
        <v>9.5600000000000004E-2</v>
      </c>
      <c r="H10131" s="225">
        <f t="shared" si="158"/>
        <v>2.64</v>
      </c>
    </row>
    <row r="10132" spans="2:8" x14ac:dyDescent="0.3">
      <c r="B10132">
        <v>100970</v>
      </c>
      <c r="C10132" t="s">
        <v>14717</v>
      </c>
      <c r="D10132" t="s">
        <v>8106</v>
      </c>
      <c r="E10132" s="716">
        <v>2.2200000000000002</v>
      </c>
      <c r="F10132" s="717">
        <v>2.7E-2</v>
      </c>
      <c r="G10132">
        <f>VLOOKUP(B10132,'SINAPI-%MO'!B:E,4,0)</f>
        <v>9.9099999999999994E-2</v>
      </c>
      <c r="H10132" s="225">
        <f t="shared" si="158"/>
        <v>1.99</v>
      </c>
    </row>
    <row r="10133" spans="2:8" x14ac:dyDescent="0.3">
      <c r="B10133">
        <v>102333</v>
      </c>
      <c r="C10133" t="s">
        <v>14718</v>
      </c>
      <c r="D10133" t="s">
        <v>8106</v>
      </c>
      <c r="E10133" s="716">
        <v>0.78</v>
      </c>
      <c r="F10133" s="717">
        <v>1.2800000000000001E-2</v>
      </c>
      <c r="G10133">
        <f>VLOOKUP(B10133,'SINAPI-%MO'!B:E,4,0)</f>
        <v>8.9700000000000002E-2</v>
      </c>
      <c r="H10133" s="225">
        <f t="shared" si="158"/>
        <v>0.71</v>
      </c>
    </row>
    <row r="10134" spans="2:8" x14ac:dyDescent="0.3">
      <c r="B10134">
        <v>102332</v>
      </c>
      <c r="C10134" t="s">
        <v>14719</v>
      </c>
      <c r="D10134" t="s">
        <v>8106</v>
      </c>
      <c r="E10134" s="716">
        <v>2.0299999999999998</v>
      </c>
      <c r="F10134" s="717">
        <v>1.9699999999999999E-2</v>
      </c>
      <c r="G10134">
        <f>VLOOKUP(B10134,'SINAPI-%MO'!B:E,4,0)</f>
        <v>9.3600000000000003E-2</v>
      </c>
      <c r="H10134" s="225">
        <f t="shared" si="158"/>
        <v>1.83</v>
      </c>
    </row>
    <row r="10135" spans="2:8" x14ac:dyDescent="0.3">
      <c r="B10135">
        <v>100965</v>
      </c>
      <c r="C10135" t="s">
        <v>14720</v>
      </c>
      <c r="D10135" t="s">
        <v>8106</v>
      </c>
      <c r="E10135" s="716">
        <v>2.2599999999999998</v>
      </c>
      <c r="F10135" s="717">
        <v>2.6499999999999999E-2</v>
      </c>
      <c r="G10135">
        <f>VLOOKUP(B10135,'SINAPI-%MO'!B:E,4,0)</f>
        <v>8.4099999999999994E-2</v>
      </c>
      <c r="H10135" s="225">
        <f t="shared" si="158"/>
        <v>2.06</v>
      </c>
    </row>
    <row r="10136" spans="2:8" x14ac:dyDescent="0.3">
      <c r="B10136">
        <v>100966</v>
      </c>
      <c r="C10136" t="s">
        <v>14721</v>
      </c>
      <c r="D10136" t="s">
        <v>8106</v>
      </c>
      <c r="E10136" s="716">
        <v>1.72</v>
      </c>
      <c r="F10136" s="717">
        <v>2.3300000000000001E-2</v>
      </c>
      <c r="G10136">
        <f>VLOOKUP(B10136,'SINAPI-%MO'!B:E,4,0)</f>
        <v>8.14E-2</v>
      </c>
      <c r="H10136" s="225">
        <f t="shared" si="158"/>
        <v>1.57</v>
      </c>
    </row>
    <row r="10137" spans="2:8" x14ac:dyDescent="0.3">
      <c r="B10137">
        <v>102331</v>
      </c>
      <c r="C10137" t="s">
        <v>14722</v>
      </c>
      <c r="D10137" t="s">
        <v>8106</v>
      </c>
      <c r="E10137" s="716">
        <v>0.6</v>
      </c>
      <c r="F10137" s="717">
        <v>1.67E-2</v>
      </c>
      <c r="G10137">
        <f>VLOOKUP(B10137,'SINAPI-%MO'!B:E,4,0)</f>
        <v>6.6699999999999995E-2</v>
      </c>
      <c r="H10137" s="225">
        <f t="shared" si="158"/>
        <v>0.55000000000000004</v>
      </c>
    </row>
    <row r="10138" spans="2:8" x14ac:dyDescent="0.3">
      <c r="B10138">
        <v>102330</v>
      </c>
      <c r="C10138" t="s">
        <v>14723</v>
      </c>
      <c r="D10138" t="s">
        <v>8106</v>
      </c>
      <c r="E10138" s="716">
        <v>1.57</v>
      </c>
      <c r="F10138" s="717">
        <v>1.9099999999999999E-2</v>
      </c>
      <c r="G10138">
        <f>VLOOKUP(B10138,'SINAPI-%MO'!B:E,4,0)</f>
        <v>7.6399999999999996E-2</v>
      </c>
      <c r="H10138" s="225">
        <f t="shared" si="158"/>
        <v>1.45</v>
      </c>
    </row>
    <row r="10139" spans="2:8" x14ac:dyDescent="0.3">
      <c r="B10139">
        <v>106701</v>
      </c>
      <c r="C10139" t="s">
        <v>15323</v>
      </c>
      <c r="D10139" t="s">
        <v>8106</v>
      </c>
      <c r="E10139" s="716">
        <v>0</v>
      </c>
      <c r="F10139" s="717"/>
      <c r="G10139" t="e">
        <f>VLOOKUP(B10139,'SINAPI-%MO'!B:E,4,0)</f>
        <v>#N/A</v>
      </c>
      <c r="H10139" s="225" t="str">
        <f t="shared" si="158"/>
        <v/>
      </c>
    </row>
    <row r="10140" spans="2:8" x14ac:dyDescent="0.3">
      <c r="B10140">
        <v>106697</v>
      </c>
      <c r="C10140" t="s">
        <v>15324</v>
      </c>
      <c r="D10140" t="s">
        <v>8106</v>
      </c>
      <c r="E10140" s="716">
        <v>0</v>
      </c>
      <c r="F10140" s="717"/>
      <c r="G10140" t="e">
        <f>VLOOKUP(B10140,'SINAPI-%MO'!B:E,4,0)</f>
        <v>#N/A</v>
      </c>
      <c r="H10140" s="225" t="str">
        <f t="shared" si="158"/>
        <v/>
      </c>
    </row>
    <row r="10141" spans="2:8" x14ac:dyDescent="0.3">
      <c r="B10141">
        <v>106698</v>
      </c>
      <c r="C10141" t="s">
        <v>15325</v>
      </c>
      <c r="D10141" t="s">
        <v>8106</v>
      </c>
      <c r="E10141" s="716">
        <v>0</v>
      </c>
      <c r="F10141" s="717"/>
      <c r="G10141" t="e">
        <f>VLOOKUP(B10141,'SINAPI-%MO'!B:E,4,0)</f>
        <v>#N/A</v>
      </c>
      <c r="H10141" s="225" t="str">
        <f t="shared" si="158"/>
        <v/>
      </c>
    </row>
    <row r="10142" spans="2:8" x14ac:dyDescent="0.3">
      <c r="B10142">
        <v>106700</v>
      </c>
      <c r="C10142" t="s">
        <v>15326</v>
      </c>
      <c r="D10142" t="s">
        <v>8106</v>
      </c>
      <c r="E10142" s="716">
        <v>0</v>
      </c>
      <c r="F10142" s="717"/>
      <c r="G10142" t="e">
        <f>VLOOKUP(B10142,'SINAPI-%MO'!B:E,4,0)</f>
        <v>#N/A</v>
      </c>
      <c r="H10142" s="225" t="str">
        <f t="shared" si="158"/>
        <v/>
      </c>
    </row>
    <row r="10143" spans="2:8" x14ac:dyDescent="0.3">
      <c r="B10143">
        <v>106699</v>
      </c>
      <c r="C10143" t="s">
        <v>15327</v>
      </c>
      <c r="D10143" t="s">
        <v>8106</v>
      </c>
      <c r="E10143" s="716">
        <v>0</v>
      </c>
      <c r="F10143" s="717"/>
      <c r="G10143" t="e">
        <f>VLOOKUP(B10143,'SINAPI-%MO'!B:E,4,0)</f>
        <v>#N/A</v>
      </c>
      <c r="H10143" s="225" t="str">
        <f t="shared" si="158"/>
        <v/>
      </c>
    </row>
    <row r="10144" spans="2:8" x14ac:dyDescent="0.3">
      <c r="B10144">
        <v>97804</v>
      </c>
      <c r="C10144" t="s">
        <v>15328</v>
      </c>
      <c r="D10144" t="s">
        <v>168</v>
      </c>
      <c r="E10144" s="716">
        <v>0</v>
      </c>
      <c r="F10144" s="717"/>
      <c r="G10144" t="e">
        <f>VLOOKUP(B10144,'SINAPI-%MO'!B:E,4,0)</f>
        <v>#N/A</v>
      </c>
      <c r="H10144" s="225" t="str">
        <f t="shared" si="158"/>
        <v/>
      </c>
    </row>
    <row r="10145" spans="2:8" x14ac:dyDescent="0.3">
      <c r="B10145">
        <v>106306</v>
      </c>
      <c r="C10145" t="s">
        <v>15329</v>
      </c>
      <c r="D10145" t="s">
        <v>168</v>
      </c>
      <c r="E10145" s="716">
        <v>0</v>
      </c>
      <c r="F10145" s="717"/>
      <c r="G10145" t="e">
        <f>VLOOKUP(B10145,'SINAPI-%MO'!B:E,4,0)</f>
        <v>#N/A</v>
      </c>
      <c r="H10145" s="225" t="str">
        <f t="shared" si="158"/>
        <v/>
      </c>
    </row>
    <row r="10146" spans="2:8" x14ac:dyDescent="0.3">
      <c r="B10146">
        <v>104389</v>
      </c>
      <c r="C10146" t="s">
        <v>15330</v>
      </c>
      <c r="D10146" t="s">
        <v>168</v>
      </c>
      <c r="E10146" s="716">
        <v>0</v>
      </c>
      <c r="F10146" s="717"/>
      <c r="G10146" t="e">
        <f>VLOOKUP(B10146,'SINAPI-%MO'!B:E,4,0)</f>
        <v>#N/A</v>
      </c>
      <c r="H10146" s="225" t="str">
        <f t="shared" si="158"/>
        <v/>
      </c>
    </row>
    <row r="10147" spans="2:8" x14ac:dyDescent="0.3">
      <c r="B10147">
        <v>106307</v>
      </c>
      <c r="C10147" t="s">
        <v>15331</v>
      </c>
      <c r="D10147" t="s">
        <v>168</v>
      </c>
      <c r="E10147" s="716">
        <v>0</v>
      </c>
      <c r="F10147" s="717"/>
      <c r="G10147" t="e">
        <f>VLOOKUP(B10147,'SINAPI-%MO'!B:E,4,0)</f>
        <v>#N/A</v>
      </c>
      <c r="H10147" s="225" t="str">
        <f t="shared" si="158"/>
        <v/>
      </c>
    </row>
    <row r="10148" spans="2:8" x14ac:dyDescent="0.3">
      <c r="B10148">
        <v>104378</v>
      </c>
      <c r="C10148" t="s">
        <v>15332</v>
      </c>
      <c r="D10148" t="s">
        <v>168</v>
      </c>
      <c r="E10148" s="716">
        <v>0</v>
      </c>
      <c r="F10148" s="717"/>
      <c r="G10148" t="e">
        <f>VLOOKUP(B10148,'SINAPI-%MO'!B:E,4,0)</f>
        <v>#N/A</v>
      </c>
      <c r="H10148" s="225" t="str">
        <f t="shared" si="158"/>
        <v/>
      </c>
    </row>
    <row r="10149" spans="2:8" x14ac:dyDescent="0.3">
      <c r="B10149">
        <v>106308</v>
      </c>
      <c r="C10149" t="s">
        <v>15333</v>
      </c>
      <c r="D10149" t="s">
        <v>168</v>
      </c>
      <c r="E10149" s="716">
        <v>0</v>
      </c>
      <c r="F10149" s="717"/>
      <c r="G10149" t="e">
        <f>VLOOKUP(B10149,'SINAPI-%MO'!B:E,4,0)</f>
        <v>#N/A</v>
      </c>
      <c r="H10149" s="225" t="str">
        <f t="shared" si="158"/>
        <v/>
      </c>
    </row>
    <row r="10150" spans="2:8" x14ac:dyDescent="0.3">
      <c r="B10150">
        <v>104379</v>
      </c>
      <c r="C10150" t="s">
        <v>15334</v>
      </c>
      <c r="D10150" t="s">
        <v>168</v>
      </c>
      <c r="E10150" s="716">
        <v>0</v>
      </c>
      <c r="F10150" s="717"/>
      <c r="G10150" t="e">
        <f>VLOOKUP(B10150,'SINAPI-%MO'!B:E,4,0)</f>
        <v>#N/A</v>
      </c>
      <c r="H10150" s="225" t="str">
        <f t="shared" si="158"/>
        <v/>
      </c>
    </row>
    <row r="10151" spans="2:8" x14ac:dyDescent="0.3">
      <c r="B10151">
        <v>106309</v>
      </c>
      <c r="C10151" t="s">
        <v>15335</v>
      </c>
      <c r="D10151" t="s">
        <v>168</v>
      </c>
      <c r="E10151" s="716">
        <v>0</v>
      </c>
      <c r="F10151" s="717"/>
      <c r="G10151" t="e">
        <f>VLOOKUP(B10151,'SINAPI-%MO'!B:E,4,0)</f>
        <v>#N/A</v>
      </c>
      <c r="H10151" s="225" t="str">
        <f t="shared" si="158"/>
        <v/>
      </c>
    </row>
    <row r="10152" spans="2:8" x14ac:dyDescent="0.3">
      <c r="B10152">
        <v>97801</v>
      </c>
      <c r="C10152" t="s">
        <v>15336</v>
      </c>
      <c r="D10152" t="s">
        <v>168</v>
      </c>
      <c r="E10152">
        <v>0</v>
      </c>
      <c r="G10152" t="e">
        <f>VLOOKUP(B10152,'SINAPI-%MO'!B:E,4,0)</f>
        <v>#N/A</v>
      </c>
      <c r="H10152" s="225" t="str">
        <f t="shared" si="158"/>
        <v/>
      </c>
    </row>
    <row r="10153" spans="2:8" x14ac:dyDescent="0.3">
      <c r="B10153">
        <v>106303</v>
      </c>
      <c r="C10153" t="s">
        <v>15337</v>
      </c>
      <c r="D10153" t="s">
        <v>168</v>
      </c>
      <c r="E10153">
        <v>0</v>
      </c>
      <c r="G10153" t="e">
        <f>VLOOKUP(B10153,'SINAPI-%MO'!B:E,4,0)</f>
        <v>#N/A</v>
      </c>
      <c r="H10153" s="225" t="str">
        <f t="shared" si="158"/>
        <v/>
      </c>
    </row>
    <row r="10154" spans="2:8" x14ac:dyDescent="0.3">
      <c r="B10154">
        <v>104376</v>
      </c>
      <c r="C10154" t="s">
        <v>15338</v>
      </c>
      <c r="D10154" t="s">
        <v>168</v>
      </c>
      <c r="E10154">
        <v>0</v>
      </c>
      <c r="G10154" t="e">
        <f>VLOOKUP(B10154,'SINAPI-%MO'!B:E,4,0)</f>
        <v>#N/A</v>
      </c>
      <c r="H10154" s="225" t="str">
        <f t="shared" si="158"/>
        <v/>
      </c>
    </row>
    <row r="10155" spans="2:8" x14ac:dyDescent="0.3">
      <c r="B10155">
        <v>106304</v>
      </c>
      <c r="C10155" t="s">
        <v>15339</v>
      </c>
      <c r="D10155" t="s">
        <v>168</v>
      </c>
      <c r="E10155">
        <v>0</v>
      </c>
      <c r="G10155" t="e">
        <f>VLOOKUP(B10155,'SINAPI-%MO'!B:E,4,0)</f>
        <v>#N/A</v>
      </c>
      <c r="H10155" s="225" t="str">
        <f t="shared" si="158"/>
        <v/>
      </c>
    </row>
    <row r="10156" spans="2:8" x14ac:dyDescent="0.3">
      <c r="B10156">
        <v>104377</v>
      </c>
      <c r="C10156" t="s">
        <v>15340</v>
      </c>
      <c r="D10156" t="s">
        <v>168</v>
      </c>
      <c r="E10156">
        <v>0</v>
      </c>
      <c r="G10156" t="e">
        <f>VLOOKUP(B10156,'SINAPI-%MO'!B:E,4,0)</f>
        <v>#N/A</v>
      </c>
      <c r="H10156" s="225" t="str">
        <f t="shared" si="158"/>
        <v/>
      </c>
    </row>
    <row r="10157" spans="2:8" x14ac:dyDescent="0.3">
      <c r="B10157">
        <v>106305</v>
      </c>
      <c r="C10157" t="s">
        <v>15341</v>
      </c>
      <c r="D10157" t="s">
        <v>168</v>
      </c>
      <c r="E10157">
        <v>0</v>
      </c>
      <c r="G10157" t="e">
        <f>VLOOKUP(B10157,'SINAPI-%MO'!B:E,4,0)</f>
        <v>#N/A</v>
      </c>
      <c r="H10157" s="225" t="str">
        <f t="shared" si="158"/>
        <v/>
      </c>
    </row>
    <row r="10158" spans="2:8" x14ac:dyDescent="0.3">
      <c r="B10158">
        <v>97808</v>
      </c>
      <c r="C10158" t="s">
        <v>15342</v>
      </c>
      <c r="D10158" t="s">
        <v>168</v>
      </c>
      <c r="E10158">
        <v>0</v>
      </c>
      <c r="G10158" t="e">
        <f>VLOOKUP(B10158,'SINAPI-%MO'!B:E,4,0)</f>
        <v>#N/A</v>
      </c>
      <c r="H10158" s="225" t="str">
        <f t="shared" si="158"/>
        <v/>
      </c>
    </row>
    <row r="10159" spans="2:8" x14ac:dyDescent="0.3">
      <c r="B10159">
        <v>106310</v>
      </c>
      <c r="C10159" t="s">
        <v>15343</v>
      </c>
      <c r="D10159" t="s">
        <v>168</v>
      </c>
      <c r="E10159">
        <v>0</v>
      </c>
      <c r="G10159" t="e">
        <f>VLOOKUP(B10159,'SINAPI-%MO'!B:E,4,0)</f>
        <v>#N/A</v>
      </c>
      <c r="H10159" s="225" t="str">
        <f t="shared" si="158"/>
        <v/>
      </c>
    </row>
    <row r="10160" spans="2:8" x14ac:dyDescent="0.3">
      <c r="B10160">
        <v>104380</v>
      </c>
      <c r="C10160" t="s">
        <v>15344</v>
      </c>
      <c r="D10160" t="s">
        <v>168</v>
      </c>
      <c r="E10160">
        <v>0</v>
      </c>
      <c r="G10160" t="e">
        <f>VLOOKUP(B10160,'SINAPI-%MO'!B:E,4,0)</f>
        <v>#N/A</v>
      </c>
      <c r="H10160" s="225" t="str">
        <f t="shared" si="158"/>
        <v/>
      </c>
    </row>
    <row r="10161" spans="2:8" x14ac:dyDescent="0.3">
      <c r="B10161">
        <v>106311</v>
      </c>
      <c r="C10161" t="s">
        <v>15345</v>
      </c>
      <c r="D10161" t="s">
        <v>168</v>
      </c>
      <c r="E10161">
        <v>0</v>
      </c>
      <c r="G10161" t="e">
        <f>VLOOKUP(B10161,'SINAPI-%MO'!B:E,4,0)</f>
        <v>#N/A</v>
      </c>
      <c r="H10161" s="225" t="str">
        <f t="shared" ref="H10161:H10224" si="159">IF(E10161&gt;0,TRUNC(E10161*(1-G10161),2),"")</f>
        <v/>
      </c>
    </row>
    <row r="10162" spans="2:8" x14ac:dyDescent="0.3">
      <c r="B10162">
        <v>104381</v>
      </c>
      <c r="C10162" t="s">
        <v>15346</v>
      </c>
      <c r="D10162" t="s">
        <v>168</v>
      </c>
      <c r="E10162">
        <v>0</v>
      </c>
      <c r="G10162" t="e">
        <f>VLOOKUP(B10162,'SINAPI-%MO'!B:E,4,0)</f>
        <v>#N/A</v>
      </c>
      <c r="H10162" s="225" t="str">
        <f t="shared" si="159"/>
        <v/>
      </c>
    </row>
    <row r="10163" spans="2:8" x14ac:dyDescent="0.3">
      <c r="B10163">
        <v>106312</v>
      </c>
      <c r="C10163" t="s">
        <v>15347</v>
      </c>
      <c r="D10163" t="s">
        <v>168</v>
      </c>
      <c r="E10163">
        <v>0</v>
      </c>
      <c r="G10163" t="e">
        <f>VLOOKUP(B10163,'SINAPI-%MO'!B:E,4,0)</f>
        <v>#N/A</v>
      </c>
      <c r="H10163" s="225" t="str">
        <f t="shared" si="159"/>
        <v/>
      </c>
    </row>
    <row r="10164" spans="2:8" x14ac:dyDescent="0.3">
      <c r="B10164">
        <v>104382</v>
      </c>
      <c r="C10164" t="s">
        <v>15348</v>
      </c>
      <c r="D10164" t="s">
        <v>168</v>
      </c>
      <c r="E10164">
        <v>0</v>
      </c>
      <c r="G10164" t="e">
        <f>VLOOKUP(B10164,'SINAPI-%MO'!B:E,4,0)</f>
        <v>#N/A</v>
      </c>
      <c r="H10164" s="225" t="str">
        <f t="shared" si="159"/>
        <v/>
      </c>
    </row>
    <row r="10165" spans="2:8" x14ac:dyDescent="0.3">
      <c r="B10165">
        <v>106313</v>
      </c>
      <c r="C10165" t="s">
        <v>15349</v>
      </c>
      <c r="D10165" t="s">
        <v>168</v>
      </c>
      <c r="E10165">
        <v>0</v>
      </c>
      <c r="G10165" t="e">
        <f>VLOOKUP(B10165,'SINAPI-%MO'!B:E,4,0)</f>
        <v>#N/A</v>
      </c>
      <c r="H10165" s="225" t="str">
        <f t="shared" si="159"/>
        <v/>
      </c>
    </row>
    <row r="10166" spans="2:8" x14ac:dyDescent="0.3">
      <c r="B10166">
        <v>103138</v>
      </c>
      <c r="C10166" t="s">
        <v>8121</v>
      </c>
      <c r="D10166" t="s">
        <v>136</v>
      </c>
      <c r="E10166">
        <v>42.09</v>
      </c>
      <c r="F10166">
        <v>0</v>
      </c>
      <c r="G10166">
        <f>VLOOKUP(B10166,'SINAPI-%MO'!B:E,4,0)</f>
        <v>0.378</v>
      </c>
      <c r="H10166" s="225">
        <f t="shared" si="159"/>
        <v>26.17</v>
      </c>
    </row>
    <row r="10167" spans="2:8" x14ac:dyDescent="0.3">
      <c r="B10167">
        <v>103151</v>
      </c>
      <c r="C10167" t="s">
        <v>8122</v>
      </c>
      <c r="D10167" t="s">
        <v>136</v>
      </c>
      <c r="E10167">
        <v>400.92</v>
      </c>
      <c r="F10167">
        <v>0</v>
      </c>
      <c r="G10167">
        <f>VLOOKUP(B10167,'SINAPI-%MO'!B:E,4,0)</f>
        <v>0.50790000000000002</v>
      </c>
      <c r="H10167" s="225">
        <f t="shared" si="159"/>
        <v>197.29</v>
      </c>
    </row>
    <row r="10168" spans="2:8" x14ac:dyDescent="0.3">
      <c r="B10168">
        <v>103152</v>
      </c>
      <c r="C10168" t="s">
        <v>8123</v>
      </c>
      <c r="D10168" t="s">
        <v>136</v>
      </c>
      <c r="E10168">
        <v>477.92</v>
      </c>
      <c r="F10168">
        <v>0</v>
      </c>
      <c r="G10168">
        <f>VLOOKUP(B10168,'SINAPI-%MO'!B:E,4,0)</f>
        <v>0.51039999999999996</v>
      </c>
      <c r="H10168" s="225">
        <f t="shared" si="159"/>
        <v>233.98</v>
      </c>
    </row>
    <row r="10169" spans="2:8" x14ac:dyDescent="0.3">
      <c r="B10169">
        <v>103139</v>
      </c>
      <c r="C10169" t="s">
        <v>8124</v>
      </c>
      <c r="D10169" t="s">
        <v>136</v>
      </c>
      <c r="E10169">
        <v>55.2</v>
      </c>
      <c r="F10169">
        <v>0</v>
      </c>
      <c r="G10169">
        <f>VLOOKUP(B10169,'SINAPI-%MO'!B:E,4,0)</f>
        <v>0.41249999999999998</v>
      </c>
      <c r="H10169" s="225">
        <f t="shared" si="159"/>
        <v>32.43</v>
      </c>
    </row>
    <row r="10170" spans="2:8" x14ac:dyDescent="0.3">
      <c r="B10170">
        <v>103140</v>
      </c>
      <c r="C10170" t="s">
        <v>8125</v>
      </c>
      <c r="D10170" t="s">
        <v>136</v>
      </c>
      <c r="E10170">
        <v>68.290000000000006</v>
      </c>
      <c r="F10170">
        <v>0</v>
      </c>
      <c r="G10170">
        <f>VLOOKUP(B10170,'SINAPI-%MO'!B:E,4,0)</f>
        <v>0.43369999999999997</v>
      </c>
      <c r="H10170" s="225">
        <f t="shared" si="159"/>
        <v>38.67</v>
      </c>
    </row>
    <row r="10171" spans="2:8" x14ac:dyDescent="0.3">
      <c r="B10171">
        <v>103141</v>
      </c>
      <c r="C10171" t="s">
        <v>8126</v>
      </c>
      <c r="D10171" t="s">
        <v>136</v>
      </c>
      <c r="E10171">
        <v>106.02</v>
      </c>
      <c r="F10171">
        <v>0</v>
      </c>
      <c r="G10171">
        <f>VLOOKUP(B10171,'SINAPI-%MO'!B:E,4,0)</f>
        <v>0.46550000000000002</v>
      </c>
      <c r="H10171" s="225">
        <f t="shared" si="159"/>
        <v>56.66</v>
      </c>
    </row>
    <row r="10172" spans="2:8" x14ac:dyDescent="0.3">
      <c r="B10172">
        <v>103142</v>
      </c>
      <c r="C10172" t="s">
        <v>8127</v>
      </c>
      <c r="D10172" t="s">
        <v>136</v>
      </c>
      <c r="E10172">
        <v>119.09</v>
      </c>
      <c r="F10172">
        <v>0</v>
      </c>
      <c r="G10172">
        <f>VLOOKUP(B10172,'SINAPI-%MO'!B:E,4,0)</f>
        <v>0.47189999999999999</v>
      </c>
      <c r="H10172" s="225">
        <f t="shared" si="159"/>
        <v>62.89</v>
      </c>
    </row>
    <row r="10173" spans="2:8" x14ac:dyDescent="0.3">
      <c r="B10173">
        <v>103143</v>
      </c>
      <c r="C10173" t="s">
        <v>8128</v>
      </c>
      <c r="D10173" t="s">
        <v>136</v>
      </c>
      <c r="E10173">
        <v>156.82</v>
      </c>
      <c r="F10173">
        <v>0</v>
      </c>
      <c r="G10173">
        <f>VLOOKUP(B10173,'SINAPI-%MO'!B:E,4,0)</f>
        <v>0.48420000000000002</v>
      </c>
      <c r="H10173" s="225">
        <f t="shared" si="159"/>
        <v>80.88</v>
      </c>
    </row>
    <row r="10174" spans="2:8" x14ac:dyDescent="0.3">
      <c r="B10174">
        <v>103144</v>
      </c>
      <c r="C10174" t="s">
        <v>8129</v>
      </c>
      <c r="D10174" t="s">
        <v>136</v>
      </c>
      <c r="E10174">
        <v>169.91</v>
      </c>
      <c r="F10174">
        <v>0</v>
      </c>
      <c r="G10174">
        <f>VLOOKUP(B10174,'SINAPI-%MO'!B:E,4,0)</f>
        <v>0.48720000000000002</v>
      </c>
      <c r="H10174" s="225">
        <f t="shared" si="159"/>
        <v>87.12</v>
      </c>
    </row>
    <row r="10175" spans="2:8" x14ac:dyDescent="0.3">
      <c r="B10175">
        <v>103145</v>
      </c>
      <c r="C10175" t="s">
        <v>8130</v>
      </c>
      <c r="D10175" t="s">
        <v>136</v>
      </c>
      <c r="E10175">
        <v>207.63</v>
      </c>
      <c r="F10175">
        <v>0</v>
      </c>
      <c r="G10175">
        <f>VLOOKUP(B10175,'SINAPI-%MO'!B:E,4,0)</f>
        <v>0.49370000000000003</v>
      </c>
      <c r="H10175" s="225">
        <f t="shared" si="159"/>
        <v>105.12</v>
      </c>
    </row>
    <row r="10176" spans="2:8" x14ac:dyDescent="0.3">
      <c r="B10176">
        <v>103146</v>
      </c>
      <c r="C10176" t="s">
        <v>8131</v>
      </c>
      <c r="D10176" t="s">
        <v>136</v>
      </c>
      <c r="E10176">
        <v>220.71</v>
      </c>
      <c r="F10176">
        <v>0</v>
      </c>
      <c r="G10176">
        <f>VLOOKUP(B10176,'SINAPI-%MO'!B:E,4,0)</f>
        <v>0.4955</v>
      </c>
      <c r="H10176" s="225">
        <f t="shared" si="159"/>
        <v>111.34</v>
      </c>
    </row>
    <row r="10177" spans="2:8" x14ac:dyDescent="0.3">
      <c r="B10177">
        <v>103147</v>
      </c>
      <c r="C10177" t="s">
        <v>8132</v>
      </c>
      <c r="D10177" t="s">
        <v>136</v>
      </c>
      <c r="E10177">
        <v>246.91</v>
      </c>
      <c r="F10177">
        <v>0</v>
      </c>
      <c r="G10177">
        <f>VLOOKUP(B10177,'SINAPI-%MO'!B:E,4,0)</f>
        <v>0.49840000000000001</v>
      </c>
      <c r="H10177" s="225">
        <f t="shared" si="159"/>
        <v>123.85</v>
      </c>
    </row>
    <row r="10178" spans="2:8" x14ac:dyDescent="0.3">
      <c r="B10178">
        <v>103148</v>
      </c>
      <c r="C10178" t="s">
        <v>8133</v>
      </c>
      <c r="D10178" t="s">
        <v>136</v>
      </c>
      <c r="E10178">
        <v>297.70999999999998</v>
      </c>
      <c r="F10178">
        <v>0</v>
      </c>
      <c r="G10178">
        <f>VLOOKUP(B10178,'SINAPI-%MO'!B:E,4,0)</f>
        <v>0.50260000000000005</v>
      </c>
      <c r="H10178" s="225">
        <f t="shared" si="159"/>
        <v>148.08000000000001</v>
      </c>
    </row>
    <row r="10179" spans="2:8" x14ac:dyDescent="0.3">
      <c r="B10179">
        <v>103137</v>
      </c>
      <c r="C10179" t="s">
        <v>8134</v>
      </c>
      <c r="D10179" t="s">
        <v>136</v>
      </c>
      <c r="E10179">
        <v>36.86</v>
      </c>
      <c r="F10179">
        <v>0</v>
      </c>
      <c r="G10179">
        <f>VLOOKUP(B10179,'SINAPI-%MO'!B:E,4,0)</f>
        <v>0.35730000000000001</v>
      </c>
      <c r="H10179" s="225">
        <f t="shared" si="159"/>
        <v>23.68</v>
      </c>
    </row>
    <row r="10180" spans="2:8" x14ac:dyDescent="0.3">
      <c r="B10180">
        <v>103149</v>
      </c>
      <c r="C10180" t="s">
        <v>8135</v>
      </c>
      <c r="D10180" t="s">
        <v>136</v>
      </c>
      <c r="E10180">
        <v>323.91000000000003</v>
      </c>
      <c r="F10180">
        <v>0</v>
      </c>
      <c r="G10180">
        <f>VLOOKUP(B10180,'SINAPI-%MO'!B:E,4,0)</f>
        <v>0.50429999999999997</v>
      </c>
      <c r="H10180" s="225">
        <f t="shared" si="159"/>
        <v>160.56</v>
      </c>
    </row>
    <row r="10181" spans="2:8" x14ac:dyDescent="0.3">
      <c r="B10181">
        <v>103150</v>
      </c>
      <c r="C10181" t="s">
        <v>8136</v>
      </c>
      <c r="D10181" t="s">
        <v>136</v>
      </c>
      <c r="E10181">
        <v>374.67</v>
      </c>
      <c r="F10181">
        <v>0</v>
      </c>
      <c r="G10181">
        <f>VLOOKUP(B10181,'SINAPI-%MO'!B:E,4,0)</f>
        <v>0.50700000000000001</v>
      </c>
      <c r="H10181" s="225">
        <f t="shared" si="159"/>
        <v>184.71</v>
      </c>
    </row>
    <row r="10182" spans="2:8" x14ac:dyDescent="0.3">
      <c r="B10182">
        <v>103106</v>
      </c>
      <c r="C10182" t="s">
        <v>8137</v>
      </c>
      <c r="D10182" t="s">
        <v>136</v>
      </c>
      <c r="E10182">
        <v>64.28</v>
      </c>
      <c r="F10182">
        <v>0</v>
      </c>
      <c r="G10182">
        <f>VLOOKUP(B10182,'SINAPI-%MO'!B:E,4,0)</f>
        <v>0.42809999999999998</v>
      </c>
      <c r="H10182" s="225">
        <f t="shared" si="159"/>
        <v>36.76</v>
      </c>
    </row>
    <row r="10183" spans="2:8" x14ac:dyDescent="0.3">
      <c r="B10183">
        <v>103119</v>
      </c>
      <c r="C10183" t="s">
        <v>8138</v>
      </c>
      <c r="D10183" t="s">
        <v>136</v>
      </c>
      <c r="E10183">
        <v>781.94</v>
      </c>
      <c r="F10183">
        <v>0</v>
      </c>
      <c r="G10183">
        <f>VLOOKUP(B10183,'SINAPI-%MO'!B:E,4,0)</f>
        <v>0.51529999999999998</v>
      </c>
      <c r="H10183" s="225">
        <f t="shared" si="159"/>
        <v>379</v>
      </c>
    </row>
    <row r="10184" spans="2:8" x14ac:dyDescent="0.3">
      <c r="B10184">
        <v>103120</v>
      </c>
      <c r="C10184" t="s">
        <v>8139</v>
      </c>
      <c r="D10184" t="s">
        <v>136</v>
      </c>
      <c r="E10184">
        <v>935.96</v>
      </c>
      <c r="F10184">
        <v>0</v>
      </c>
      <c r="G10184">
        <f>VLOOKUP(B10184,'SINAPI-%MO'!B:E,4,0)</f>
        <v>0.51659999999999995</v>
      </c>
      <c r="H10184" s="225">
        <f t="shared" si="159"/>
        <v>452.44</v>
      </c>
    </row>
    <row r="10185" spans="2:8" x14ac:dyDescent="0.3">
      <c r="B10185">
        <v>103107</v>
      </c>
      <c r="C10185" t="s">
        <v>8140</v>
      </c>
      <c r="D10185" t="s">
        <v>136</v>
      </c>
      <c r="E10185">
        <v>90.49</v>
      </c>
      <c r="F10185">
        <v>0</v>
      </c>
      <c r="G10185">
        <f>VLOOKUP(B10185,'SINAPI-%MO'!B:E,4,0)</f>
        <v>0.45569999999999999</v>
      </c>
      <c r="H10185" s="225">
        <f t="shared" si="159"/>
        <v>49.25</v>
      </c>
    </row>
    <row r="10186" spans="2:8" x14ac:dyDescent="0.3">
      <c r="B10186">
        <v>103108</v>
      </c>
      <c r="C10186" t="s">
        <v>8141</v>
      </c>
      <c r="D10186" t="s">
        <v>136</v>
      </c>
      <c r="E10186">
        <v>116.69</v>
      </c>
      <c r="F10186">
        <v>0</v>
      </c>
      <c r="G10186">
        <f>VLOOKUP(B10186,'SINAPI-%MO'!B:E,4,0)</f>
        <v>0.4708</v>
      </c>
      <c r="H10186" s="225">
        <f t="shared" si="159"/>
        <v>61.75</v>
      </c>
    </row>
    <row r="10187" spans="2:8" x14ac:dyDescent="0.3">
      <c r="B10187">
        <v>103109</v>
      </c>
      <c r="C10187" t="s">
        <v>8142</v>
      </c>
      <c r="D10187" t="s">
        <v>136</v>
      </c>
      <c r="E10187">
        <v>192.1</v>
      </c>
      <c r="F10187">
        <v>0</v>
      </c>
      <c r="G10187">
        <f>VLOOKUP(B10187,'SINAPI-%MO'!B:E,4,0)</f>
        <v>0.4914</v>
      </c>
      <c r="H10187" s="225">
        <f t="shared" si="159"/>
        <v>97.7</v>
      </c>
    </row>
    <row r="10188" spans="2:8" x14ac:dyDescent="0.3">
      <c r="B10188">
        <v>103110</v>
      </c>
      <c r="C10188" t="s">
        <v>8143</v>
      </c>
      <c r="D10188" t="s">
        <v>136</v>
      </c>
      <c r="E10188">
        <v>218.3</v>
      </c>
      <c r="F10188">
        <v>0</v>
      </c>
      <c r="G10188">
        <f>VLOOKUP(B10188,'SINAPI-%MO'!B:E,4,0)</f>
        <v>0.49519999999999997</v>
      </c>
      <c r="H10188" s="225">
        <f t="shared" si="159"/>
        <v>110.19</v>
      </c>
    </row>
    <row r="10189" spans="2:8" x14ac:dyDescent="0.3">
      <c r="B10189">
        <v>103111</v>
      </c>
      <c r="C10189" t="s">
        <v>8144</v>
      </c>
      <c r="D10189" t="s">
        <v>136</v>
      </c>
      <c r="E10189">
        <v>293.72000000000003</v>
      </c>
      <c r="F10189">
        <v>0</v>
      </c>
      <c r="G10189">
        <f>VLOOKUP(B10189,'SINAPI-%MO'!B:E,4,0)</f>
        <v>0.50239999999999996</v>
      </c>
      <c r="H10189" s="225">
        <f t="shared" si="159"/>
        <v>146.15</v>
      </c>
    </row>
    <row r="10190" spans="2:8" x14ac:dyDescent="0.3">
      <c r="B10190">
        <v>103112</v>
      </c>
      <c r="C10190" t="s">
        <v>8145</v>
      </c>
      <c r="D10190" t="s">
        <v>136</v>
      </c>
      <c r="E10190">
        <v>319.91000000000003</v>
      </c>
      <c r="F10190">
        <v>0</v>
      </c>
      <c r="G10190">
        <f>VLOOKUP(B10190,'SINAPI-%MO'!B:E,4,0)</f>
        <v>0.504</v>
      </c>
      <c r="H10190" s="225">
        <f t="shared" si="159"/>
        <v>158.66999999999999</v>
      </c>
    </row>
    <row r="10191" spans="2:8" x14ac:dyDescent="0.3">
      <c r="B10191">
        <v>103113</v>
      </c>
      <c r="C10191" t="s">
        <v>8146</v>
      </c>
      <c r="D10191" t="s">
        <v>136</v>
      </c>
      <c r="E10191">
        <v>395.34</v>
      </c>
      <c r="F10191">
        <v>0</v>
      </c>
      <c r="G10191">
        <f>VLOOKUP(B10191,'SINAPI-%MO'!B:E,4,0)</f>
        <v>0.50770000000000004</v>
      </c>
      <c r="H10191" s="225">
        <f t="shared" si="159"/>
        <v>194.62</v>
      </c>
    </row>
    <row r="10192" spans="2:8" x14ac:dyDescent="0.3">
      <c r="B10192">
        <v>103114</v>
      </c>
      <c r="C10192" t="s">
        <v>8147</v>
      </c>
      <c r="D10192" t="s">
        <v>136</v>
      </c>
      <c r="E10192">
        <v>421.53</v>
      </c>
      <c r="F10192">
        <v>0</v>
      </c>
      <c r="G10192">
        <f>VLOOKUP(B10192,'SINAPI-%MO'!B:E,4,0)</f>
        <v>0.50860000000000005</v>
      </c>
      <c r="H10192" s="225">
        <f t="shared" si="159"/>
        <v>207.13</v>
      </c>
    </row>
    <row r="10193" spans="2:8" x14ac:dyDescent="0.3">
      <c r="B10193">
        <v>103115</v>
      </c>
      <c r="C10193" t="s">
        <v>8148</v>
      </c>
      <c r="D10193" t="s">
        <v>136</v>
      </c>
      <c r="E10193">
        <v>473.91</v>
      </c>
      <c r="F10193">
        <v>0</v>
      </c>
      <c r="G10193">
        <f>VLOOKUP(B10193,'SINAPI-%MO'!B:E,4,0)</f>
        <v>0.51029999999999998</v>
      </c>
      <c r="H10193" s="225">
        <f t="shared" si="159"/>
        <v>232.07</v>
      </c>
    </row>
    <row r="10194" spans="2:8" x14ac:dyDescent="0.3">
      <c r="B10194">
        <v>103116</v>
      </c>
      <c r="C10194" t="s">
        <v>8149</v>
      </c>
      <c r="D10194" t="s">
        <v>136</v>
      </c>
      <c r="E10194">
        <v>575.54</v>
      </c>
      <c r="F10194">
        <v>0</v>
      </c>
      <c r="G10194">
        <f>VLOOKUP(B10194,'SINAPI-%MO'!B:E,4,0)</f>
        <v>0.51249999999999996</v>
      </c>
      <c r="H10194" s="225">
        <f t="shared" si="159"/>
        <v>280.57</v>
      </c>
    </row>
    <row r="10195" spans="2:8" x14ac:dyDescent="0.3">
      <c r="B10195">
        <v>103105</v>
      </c>
      <c r="C10195" t="s">
        <v>8150</v>
      </c>
      <c r="D10195" t="s">
        <v>136</v>
      </c>
      <c r="E10195">
        <v>53.8</v>
      </c>
      <c r="F10195">
        <v>0</v>
      </c>
      <c r="G10195">
        <f>VLOOKUP(B10195,'SINAPI-%MO'!B:E,4,0)</f>
        <v>0.40989999999999999</v>
      </c>
      <c r="H10195" s="225">
        <f t="shared" si="159"/>
        <v>31.74</v>
      </c>
    </row>
    <row r="10196" spans="2:8" x14ac:dyDescent="0.3">
      <c r="B10196">
        <v>103117</v>
      </c>
      <c r="C10196" t="s">
        <v>8151</v>
      </c>
      <c r="D10196" t="s">
        <v>136</v>
      </c>
      <c r="E10196">
        <v>627.92999999999995</v>
      </c>
      <c r="F10196">
        <v>0</v>
      </c>
      <c r="G10196">
        <f>VLOOKUP(B10196,'SINAPI-%MO'!B:E,4,0)</f>
        <v>0.51339999999999997</v>
      </c>
      <c r="H10196" s="225">
        <f t="shared" si="159"/>
        <v>305.55</v>
      </c>
    </row>
    <row r="10197" spans="2:8" x14ac:dyDescent="0.3">
      <c r="B10197">
        <v>103118</v>
      </c>
      <c r="C10197" t="s">
        <v>8152</v>
      </c>
      <c r="D10197" t="s">
        <v>136</v>
      </c>
      <c r="E10197">
        <v>729.55</v>
      </c>
      <c r="F10197">
        <v>0</v>
      </c>
      <c r="G10197">
        <f>VLOOKUP(B10197,'SINAPI-%MO'!B:E,4,0)</f>
        <v>0.51480000000000004</v>
      </c>
      <c r="H10197" s="225">
        <f t="shared" si="159"/>
        <v>353.97</v>
      </c>
    </row>
    <row r="10198" spans="2:8" x14ac:dyDescent="0.3">
      <c r="B10198">
        <v>103122</v>
      </c>
      <c r="C10198" t="s">
        <v>8153</v>
      </c>
      <c r="D10198" t="s">
        <v>136</v>
      </c>
      <c r="E10198">
        <v>86.48</v>
      </c>
      <c r="F10198">
        <v>0</v>
      </c>
      <c r="G10198">
        <f>VLOOKUP(B10198,'SINAPI-%MO'!B:E,4,0)</f>
        <v>0.4526</v>
      </c>
      <c r="H10198" s="225">
        <f t="shared" si="159"/>
        <v>47.33</v>
      </c>
    </row>
    <row r="10199" spans="2:8" x14ac:dyDescent="0.3">
      <c r="B10199">
        <v>103135</v>
      </c>
      <c r="C10199" t="s">
        <v>8154</v>
      </c>
      <c r="D10199" t="s">
        <v>136</v>
      </c>
      <c r="E10199">
        <v>1162.97</v>
      </c>
      <c r="F10199">
        <v>0</v>
      </c>
      <c r="G10199">
        <f>VLOOKUP(B10199,'SINAPI-%MO'!B:E,4,0)</f>
        <v>0.51790000000000003</v>
      </c>
      <c r="H10199" s="225">
        <f t="shared" si="159"/>
        <v>560.66</v>
      </c>
    </row>
    <row r="10200" spans="2:8" x14ac:dyDescent="0.3">
      <c r="B10200">
        <v>103136</v>
      </c>
      <c r="C10200" t="s">
        <v>8155</v>
      </c>
      <c r="D10200" t="s">
        <v>136</v>
      </c>
      <c r="E10200">
        <v>1393.98</v>
      </c>
      <c r="F10200">
        <v>0</v>
      </c>
      <c r="G10200">
        <f>VLOOKUP(B10200,'SINAPI-%MO'!B:E,4,0)</f>
        <v>0.51880000000000004</v>
      </c>
      <c r="H10200" s="225">
        <f t="shared" si="159"/>
        <v>670.78</v>
      </c>
    </row>
    <row r="10201" spans="2:8" x14ac:dyDescent="0.3">
      <c r="B10201">
        <v>103123</v>
      </c>
      <c r="C10201" t="s">
        <v>8156</v>
      </c>
      <c r="D10201" t="s">
        <v>136</v>
      </c>
      <c r="E10201">
        <v>125.79</v>
      </c>
      <c r="F10201">
        <v>0</v>
      </c>
      <c r="G10201">
        <f>VLOOKUP(B10201,'SINAPI-%MO'!B:E,4,0)</f>
        <v>0.47460000000000002</v>
      </c>
      <c r="H10201" s="225">
        <f t="shared" si="159"/>
        <v>66.09</v>
      </c>
    </row>
    <row r="10202" spans="2:8" x14ac:dyDescent="0.3">
      <c r="B10202">
        <v>103124</v>
      </c>
      <c r="C10202" t="s">
        <v>8157</v>
      </c>
      <c r="D10202" t="s">
        <v>136</v>
      </c>
      <c r="E10202">
        <v>165.06</v>
      </c>
      <c r="F10202">
        <v>0</v>
      </c>
      <c r="G10202">
        <f>VLOOKUP(B10202,'SINAPI-%MO'!B:E,4,0)</f>
        <v>0.48620000000000002</v>
      </c>
      <c r="H10202" s="225">
        <f t="shared" si="159"/>
        <v>84.8</v>
      </c>
    </row>
    <row r="10203" spans="2:8" x14ac:dyDescent="0.3">
      <c r="B10203">
        <v>103125</v>
      </c>
      <c r="C10203" t="s">
        <v>8158</v>
      </c>
      <c r="D10203" t="s">
        <v>136</v>
      </c>
      <c r="E10203">
        <v>278.22000000000003</v>
      </c>
      <c r="F10203">
        <v>0</v>
      </c>
      <c r="G10203">
        <f>VLOOKUP(B10203,'SINAPI-%MO'!B:E,4,0)</f>
        <v>0.50119999999999998</v>
      </c>
      <c r="H10203" s="225">
        <f t="shared" si="159"/>
        <v>138.77000000000001</v>
      </c>
    </row>
    <row r="10204" spans="2:8" x14ac:dyDescent="0.3">
      <c r="B10204">
        <v>103126</v>
      </c>
      <c r="C10204" t="s">
        <v>8159</v>
      </c>
      <c r="D10204" t="s">
        <v>136</v>
      </c>
      <c r="E10204">
        <v>317.49</v>
      </c>
      <c r="F10204">
        <v>0</v>
      </c>
      <c r="G10204">
        <f>VLOOKUP(B10204,'SINAPI-%MO'!B:E,4,0)</f>
        <v>0.504</v>
      </c>
      <c r="H10204" s="225">
        <f t="shared" si="159"/>
        <v>157.47</v>
      </c>
    </row>
    <row r="10205" spans="2:8" x14ac:dyDescent="0.3">
      <c r="B10205">
        <v>103127</v>
      </c>
      <c r="C10205" t="s">
        <v>8160</v>
      </c>
      <c r="D10205" t="s">
        <v>136</v>
      </c>
      <c r="E10205">
        <v>430.63</v>
      </c>
      <c r="F10205">
        <v>0</v>
      </c>
      <c r="G10205">
        <f>VLOOKUP(B10205,'SINAPI-%MO'!B:E,4,0)</f>
        <v>0.50900000000000001</v>
      </c>
      <c r="H10205" s="225">
        <f t="shared" si="159"/>
        <v>211.43</v>
      </c>
    </row>
    <row r="10206" spans="2:8" x14ac:dyDescent="0.3">
      <c r="B10206">
        <v>103128</v>
      </c>
      <c r="C10206" t="s">
        <v>8161</v>
      </c>
      <c r="D10206" t="s">
        <v>136</v>
      </c>
      <c r="E10206">
        <v>469.92</v>
      </c>
      <c r="F10206">
        <v>0</v>
      </c>
      <c r="G10206">
        <f>VLOOKUP(B10206,'SINAPI-%MO'!B:E,4,0)</f>
        <v>0.5101</v>
      </c>
      <c r="H10206" s="225">
        <f t="shared" si="159"/>
        <v>230.21</v>
      </c>
    </row>
    <row r="10207" spans="2:8" x14ac:dyDescent="0.3">
      <c r="B10207">
        <v>103129</v>
      </c>
      <c r="C10207" t="s">
        <v>8162</v>
      </c>
      <c r="D10207" t="s">
        <v>136</v>
      </c>
      <c r="E10207">
        <v>583.07000000000005</v>
      </c>
      <c r="F10207">
        <v>0</v>
      </c>
      <c r="G10207">
        <f>VLOOKUP(B10207,'SINAPI-%MO'!B:E,4,0)</f>
        <v>0.51270000000000004</v>
      </c>
      <c r="H10207" s="225">
        <f t="shared" si="159"/>
        <v>284.13</v>
      </c>
    </row>
    <row r="10208" spans="2:8" x14ac:dyDescent="0.3">
      <c r="B10208">
        <v>103130</v>
      </c>
      <c r="C10208" t="s">
        <v>8163</v>
      </c>
      <c r="D10208" t="s">
        <v>136</v>
      </c>
      <c r="E10208">
        <v>622.35</v>
      </c>
      <c r="F10208">
        <v>0</v>
      </c>
      <c r="G10208">
        <f>VLOOKUP(B10208,'SINAPI-%MO'!B:E,4,0)</f>
        <v>0.51329999999999998</v>
      </c>
      <c r="H10208" s="225">
        <f t="shared" si="159"/>
        <v>302.89</v>
      </c>
    </row>
    <row r="10209" spans="2:8" x14ac:dyDescent="0.3">
      <c r="B10209">
        <v>103131</v>
      </c>
      <c r="C10209" t="s">
        <v>8164</v>
      </c>
      <c r="D10209" t="s">
        <v>136</v>
      </c>
      <c r="E10209">
        <v>700.94</v>
      </c>
      <c r="F10209">
        <v>0</v>
      </c>
      <c r="G10209">
        <f>VLOOKUP(B10209,'SINAPI-%MO'!B:E,4,0)</f>
        <v>0.51439999999999997</v>
      </c>
      <c r="H10209" s="225">
        <f t="shared" si="159"/>
        <v>340.37</v>
      </c>
    </row>
    <row r="10210" spans="2:8" x14ac:dyDescent="0.3">
      <c r="B10210">
        <v>103132</v>
      </c>
      <c r="C10210" t="s">
        <v>8165</v>
      </c>
      <c r="D10210" t="s">
        <v>136</v>
      </c>
      <c r="E10210">
        <v>853.36</v>
      </c>
      <c r="F10210">
        <v>0</v>
      </c>
      <c r="G10210">
        <f>VLOOKUP(B10210,'SINAPI-%MO'!B:E,4,0)</f>
        <v>0.51600000000000001</v>
      </c>
      <c r="H10210" s="225">
        <f t="shared" si="159"/>
        <v>413.02</v>
      </c>
    </row>
    <row r="10211" spans="2:8" x14ac:dyDescent="0.3">
      <c r="B10211">
        <v>103121</v>
      </c>
      <c r="C10211" t="s">
        <v>8166</v>
      </c>
      <c r="D10211" t="s">
        <v>136</v>
      </c>
      <c r="E10211">
        <v>70.760000000000005</v>
      </c>
      <c r="F10211">
        <v>0</v>
      </c>
      <c r="G10211">
        <f>VLOOKUP(B10211,'SINAPI-%MO'!B:E,4,0)</f>
        <v>0.43680000000000002</v>
      </c>
      <c r="H10211" s="225">
        <f t="shared" si="159"/>
        <v>39.85</v>
      </c>
    </row>
    <row r="10212" spans="2:8" x14ac:dyDescent="0.3">
      <c r="B10212">
        <v>103133</v>
      </c>
      <c r="C10212" t="s">
        <v>8167</v>
      </c>
      <c r="D10212" t="s">
        <v>136</v>
      </c>
      <c r="E10212">
        <v>931.96</v>
      </c>
      <c r="F10212">
        <v>0</v>
      </c>
      <c r="G10212">
        <f>VLOOKUP(B10212,'SINAPI-%MO'!B:E,4,0)</f>
        <v>0.51659999999999995</v>
      </c>
      <c r="H10212" s="225">
        <f t="shared" si="159"/>
        <v>450.5</v>
      </c>
    </row>
    <row r="10213" spans="2:8" x14ac:dyDescent="0.3">
      <c r="B10213">
        <v>103134</v>
      </c>
      <c r="C10213" t="s">
        <v>8168</v>
      </c>
      <c r="D10213" t="s">
        <v>136</v>
      </c>
      <c r="E10213">
        <v>1084.3800000000001</v>
      </c>
      <c r="F10213">
        <v>0</v>
      </c>
      <c r="G10213">
        <f>VLOOKUP(B10213,'SINAPI-%MO'!B:E,4,0)</f>
        <v>0.51749999999999996</v>
      </c>
      <c r="H10213" s="225">
        <f t="shared" si="159"/>
        <v>523.21</v>
      </c>
    </row>
    <row r="10214" spans="2:8" x14ac:dyDescent="0.3">
      <c r="B10214">
        <v>103090</v>
      </c>
      <c r="C10214" t="s">
        <v>8169</v>
      </c>
      <c r="D10214" t="s">
        <v>159</v>
      </c>
      <c r="E10214">
        <v>15.37</v>
      </c>
      <c r="F10214">
        <v>0</v>
      </c>
      <c r="G10214">
        <f>VLOOKUP(B10214,'SINAPI-%MO'!B:E,4,0)</f>
        <v>0.51329999999999998</v>
      </c>
      <c r="H10214" s="225">
        <f t="shared" si="159"/>
        <v>7.48</v>
      </c>
    </row>
    <row r="10215" spans="2:8" x14ac:dyDescent="0.3">
      <c r="B10215">
        <v>103103</v>
      </c>
      <c r="C10215" t="s">
        <v>8170</v>
      </c>
      <c r="D10215" t="s">
        <v>159</v>
      </c>
      <c r="E10215">
        <v>151.44</v>
      </c>
      <c r="F10215">
        <v>0</v>
      </c>
      <c r="G10215">
        <f>VLOOKUP(B10215,'SINAPI-%MO'!B:E,4,0)</f>
        <v>0.54690000000000005</v>
      </c>
      <c r="H10215" s="225">
        <f t="shared" si="159"/>
        <v>68.61</v>
      </c>
    </row>
    <row r="10216" spans="2:8" x14ac:dyDescent="0.3">
      <c r="B10216">
        <v>103104</v>
      </c>
      <c r="C10216" t="s">
        <v>8171</v>
      </c>
      <c r="D10216" t="s">
        <v>159</v>
      </c>
      <c r="E10216">
        <v>181.14</v>
      </c>
      <c r="F10216">
        <v>0</v>
      </c>
      <c r="G10216">
        <f>VLOOKUP(B10216,'SINAPI-%MO'!B:E,4,0)</f>
        <v>0.54759999999999998</v>
      </c>
      <c r="H10216" s="225">
        <f t="shared" si="159"/>
        <v>81.94</v>
      </c>
    </row>
    <row r="10217" spans="2:8" x14ac:dyDescent="0.3">
      <c r="B10217">
        <v>103091</v>
      </c>
      <c r="C10217" t="s">
        <v>8172</v>
      </c>
      <c r="D10217" t="s">
        <v>159</v>
      </c>
      <c r="E10217">
        <v>21.65</v>
      </c>
      <c r="F10217">
        <v>0</v>
      </c>
      <c r="G10217">
        <f>VLOOKUP(B10217,'SINAPI-%MO'!B:E,4,0)</f>
        <v>0.52559999999999996</v>
      </c>
      <c r="H10217" s="225">
        <f t="shared" si="159"/>
        <v>10.27</v>
      </c>
    </row>
    <row r="10218" spans="2:8" x14ac:dyDescent="0.3">
      <c r="B10218">
        <v>103092</v>
      </c>
      <c r="C10218" t="s">
        <v>8173</v>
      </c>
      <c r="D10218" t="s">
        <v>159</v>
      </c>
      <c r="E10218">
        <v>27.91</v>
      </c>
      <c r="F10218">
        <v>0</v>
      </c>
      <c r="G10218">
        <f>VLOOKUP(B10218,'SINAPI-%MO'!B:E,4,0)</f>
        <v>0.53280000000000005</v>
      </c>
      <c r="H10218" s="225">
        <f t="shared" si="159"/>
        <v>13.03</v>
      </c>
    </row>
    <row r="10219" spans="2:8" x14ac:dyDescent="0.3">
      <c r="B10219">
        <v>103093</v>
      </c>
      <c r="C10219" t="s">
        <v>8174</v>
      </c>
      <c r="D10219" t="s">
        <v>159</v>
      </c>
      <c r="E10219">
        <v>42.66</v>
      </c>
      <c r="F10219">
        <v>0</v>
      </c>
      <c r="G10219">
        <f>VLOOKUP(B10219,'SINAPI-%MO'!B:E,4,0)</f>
        <v>0.53420000000000001</v>
      </c>
      <c r="H10219" s="225">
        <f t="shared" si="159"/>
        <v>19.87</v>
      </c>
    </row>
    <row r="10220" spans="2:8" x14ac:dyDescent="0.3">
      <c r="B10220">
        <v>103094</v>
      </c>
      <c r="C10220" t="s">
        <v>8175</v>
      </c>
      <c r="D10220" t="s">
        <v>159</v>
      </c>
      <c r="E10220">
        <v>48.97</v>
      </c>
      <c r="F10220">
        <v>0</v>
      </c>
      <c r="G10220">
        <f>VLOOKUP(B10220,'SINAPI-%MO'!B:E,4,0)</f>
        <v>0.53690000000000004</v>
      </c>
      <c r="H10220" s="225">
        <f t="shared" si="159"/>
        <v>22.67</v>
      </c>
    </row>
    <row r="10221" spans="2:8" x14ac:dyDescent="0.3">
      <c r="B10221">
        <v>103095</v>
      </c>
      <c r="C10221" t="s">
        <v>8176</v>
      </c>
      <c r="D10221" t="s">
        <v>159</v>
      </c>
      <c r="E10221">
        <v>63.7</v>
      </c>
      <c r="F10221">
        <v>0</v>
      </c>
      <c r="G10221">
        <f>VLOOKUP(B10221,'SINAPI-%MO'!B:E,4,0)</f>
        <v>0.53720000000000001</v>
      </c>
      <c r="H10221" s="225">
        <f t="shared" si="159"/>
        <v>29.48</v>
      </c>
    </row>
    <row r="10222" spans="2:8" x14ac:dyDescent="0.3">
      <c r="B10222">
        <v>103096</v>
      </c>
      <c r="C10222" t="s">
        <v>8177</v>
      </c>
      <c r="D10222" t="s">
        <v>159</v>
      </c>
      <c r="E10222">
        <v>70.010000000000005</v>
      </c>
      <c r="F10222">
        <v>0</v>
      </c>
      <c r="G10222">
        <f>VLOOKUP(B10222,'SINAPI-%MO'!B:E,4,0)</f>
        <v>0.53879999999999995</v>
      </c>
      <c r="H10222" s="225">
        <f t="shared" si="159"/>
        <v>32.28</v>
      </c>
    </row>
    <row r="10223" spans="2:8" x14ac:dyDescent="0.3">
      <c r="B10223">
        <v>103097</v>
      </c>
      <c r="C10223" t="s">
        <v>8178</v>
      </c>
      <c r="D10223" t="s">
        <v>159</v>
      </c>
      <c r="E10223">
        <v>84.75</v>
      </c>
      <c r="F10223">
        <v>0</v>
      </c>
      <c r="G10223">
        <f>VLOOKUP(B10223,'SINAPI-%MO'!B:E,4,0)</f>
        <v>0.53859999999999997</v>
      </c>
      <c r="H10223" s="225">
        <f t="shared" si="159"/>
        <v>39.1</v>
      </c>
    </row>
    <row r="10224" spans="2:8" x14ac:dyDescent="0.3">
      <c r="B10224">
        <v>103098</v>
      </c>
      <c r="C10224" t="s">
        <v>8179</v>
      </c>
      <c r="D10224" t="s">
        <v>159</v>
      </c>
      <c r="E10224">
        <v>91.04</v>
      </c>
      <c r="F10224">
        <v>0</v>
      </c>
      <c r="G10224">
        <f>VLOOKUP(B10224,'SINAPI-%MO'!B:E,4,0)</f>
        <v>0.53979999999999995</v>
      </c>
      <c r="H10224" s="225">
        <f t="shared" si="159"/>
        <v>41.89</v>
      </c>
    </row>
    <row r="10225" spans="2:8" x14ac:dyDescent="0.3">
      <c r="B10225">
        <v>103099</v>
      </c>
      <c r="C10225" t="s">
        <v>8180</v>
      </c>
      <c r="D10225" t="s">
        <v>159</v>
      </c>
      <c r="E10225">
        <v>103.59</v>
      </c>
      <c r="F10225">
        <v>0</v>
      </c>
      <c r="G10225">
        <f>VLOOKUP(B10225,'SINAPI-%MO'!B:E,4,0)</f>
        <v>0.54179999999999995</v>
      </c>
      <c r="H10225" s="225">
        <f t="shared" ref="H10225:H10288" si="160">IF(E10225&gt;0,TRUNC(E10225*(1-G10225),2),"")</f>
        <v>47.46</v>
      </c>
    </row>
    <row r="10226" spans="2:8" x14ac:dyDescent="0.3">
      <c r="B10226">
        <v>103100</v>
      </c>
      <c r="C10226" t="s">
        <v>8181</v>
      </c>
      <c r="D10226" t="s">
        <v>159</v>
      </c>
      <c r="E10226">
        <v>110.54</v>
      </c>
      <c r="F10226">
        <v>0</v>
      </c>
      <c r="G10226">
        <f>VLOOKUP(B10226,'SINAPI-%MO'!B:E,4,0)</f>
        <v>0.5444</v>
      </c>
      <c r="H10226" s="225">
        <f t="shared" si="160"/>
        <v>50.36</v>
      </c>
    </row>
    <row r="10227" spans="2:8" x14ac:dyDescent="0.3">
      <c r="B10227">
        <v>103089</v>
      </c>
      <c r="C10227" t="s">
        <v>8182</v>
      </c>
      <c r="D10227" t="s">
        <v>159</v>
      </c>
      <c r="E10227">
        <v>12.87</v>
      </c>
      <c r="F10227">
        <v>0</v>
      </c>
      <c r="G10227">
        <f>VLOOKUP(B10227,'SINAPI-%MO'!B:E,4,0)</f>
        <v>0.50429999999999997</v>
      </c>
      <c r="H10227" s="225">
        <f t="shared" si="160"/>
        <v>6.37</v>
      </c>
    </row>
    <row r="10228" spans="2:8" x14ac:dyDescent="0.3">
      <c r="B10228">
        <v>103101</v>
      </c>
      <c r="C10228" t="s">
        <v>8183</v>
      </c>
      <c r="D10228" t="s">
        <v>159</v>
      </c>
      <c r="E10228">
        <v>121.76</v>
      </c>
      <c r="F10228">
        <v>0</v>
      </c>
      <c r="G10228">
        <f>VLOOKUP(B10228,'SINAPI-%MO'!B:E,4,0)</f>
        <v>0.54590000000000005</v>
      </c>
      <c r="H10228" s="225">
        <f t="shared" si="160"/>
        <v>55.29</v>
      </c>
    </row>
    <row r="10229" spans="2:8" x14ac:dyDescent="0.3">
      <c r="B10229">
        <v>103102</v>
      </c>
      <c r="C10229" t="s">
        <v>8184</v>
      </c>
      <c r="D10229" t="s">
        <v>159</v>
      </c>
      <c r="E10229">
        <v>140.22</v>
      </c>
      <c r="F10229">
        <v>0</v>
      </c>
      <c r="G10229">
        <f>VLOOKUP(B10229,'SINAPI-%MO'!B:E,4,0)</f>
        <v>0.54590000000000005</v>
      </c>
      <c r="H10229" s="225">
        <f t="shared" si="160"/>
        <v>63.67</v>
      </c>
    </row>
    <row r="10230" spans="2:8" x14ac:dyDescent="0.3">
      <c r="B10230">
        <v>101112</v>
      </c>
      <c r="C10230" t="s">
        <v>8185</v>
      </c>
      <c r="D10230" t="s">
        <v>170</v>
      </c>
      <c r="E10230">
        <v>1113.2</v>
      </c>
      <c r="F10230">
        <v>0</v>
      </c>
      <c r="G10230">
        <f>VLOOKUP(B10230,'SINAPI-%MO'!B:E,4,0)</f>
        <v>0.45079999999999998</v>
      </c>
      <c r="H10230" s="225">
        <f t="shared" si="160"/>
        <v>611.36</v>
      </c>
    </row>
    <row r="10231" spans="2:8" x14ac:dyDescent="0.3">
      <c r="B10231">
        <v>101113</v>
      </c>
      <c r="C10231" t="s">
        <v>8186</v>
      </c>
      <c r="D10231" t="s">
        <v>170</v>
      </c>
      <c r="E10231">
        <v>1201.67</v>
      </c>
      <c r="F10231">
        <v>0</v>
      </c>
      <c r="G10231">
        <f>VLOOKUP(B10231,'SINAPI-%MO'!B:E,4,0)</f>
        <v>0.29759999999999998</v>
      </c>
      <c r="H10231" s="225">
        <f t="shared" si="160"/>
        <v>844.05</v>
      </c>
    </row>
    <row r="10232" spans="2:8" x14ac:dyDescent="0.3">
      <c r="B10232">
        <v>101098</v>
      </c>
      <c r="C10232" t="s">
        <v>8187</v>
      </c>
      <c r="D10232" t="s">
        <v>170</v>
      </c>
      <c r="E10232">
        <v>1324.05</v>
      </c>
      <c r="F10232">
        <v>0</v>
      </c>
      <c r="G10232">
        <f>VLOOKUP(B10232,'SINAPI-%MO'!B:E,4,0)</f>
        <v>0.46639999999999998</v>
      </c>
      <c r="H10232" s="225">
        <f t="shared" si="160"/>
        <v>706.51</v>
      </c>
    </row>
    <row r="10233" spans="2:8" x14ac:dyDescent="0.3">
      <c r="B10233">
        <v>101106</v>
      </c>
      <c r="C10233" t="s">
        <v>8188</v>
      </c>
      <c r="D10233" t="s">
        <v>170</v>
      </c>
      <c r="E10233">
        <v>1403.66</v>
      </c>
      <c r="F10233">
        <v>0</v>
      </c>
      <c r="G10233">
        <f>VLOOKUP(B10233,'SINAPI-%MO'!B:E,4,0)</f>
        <v>0.3402</v>
      </c>
      <c r="H10233" s="225">
        <f t="shared" si="160"/>
        <v>926.13</v>
      </c>
    </row>
    <row r="10234" spans="2:8" x14ac:dyDescent="0.3">
      <c r="B10234">
        <v>101102</v>
      </c>
      <c r="C10234" t="s">
        <v>8189</v>
      </c>
      <c r="D10234" t="s">
        <v>170</v>
      </c>
      <c r="E10234">
        <v>1003.44</v>
      </c>
      <c r="F10234">
        <v>0</v>
      </c>
      <c r="G10234">
        <f>VLOOKUP(B10234,'SINAPI-%MO'!B:E,4,0)</f>
        <v>0.22359999999999999</v>
      </c>
      <c r="H10234" s="225">
        <f t="shared" si="160"/>
        <v>779.07</v>
      </c>
    </row>
    <row r="10235" spans="2:8" x14ac:dyDescent="0.3">
      <c r="B10235">
        <v>101110</v>
      </c>
      <c r="C10235" t="s">
        <v>8190</v>
      </c>
      <c r="D10235" t="s">
        <v>170</v>
      </c>
      <c r="E10235">
        <v>1075.1400000000001</v>
      </c>
      <c r="F10235">
        <v>0</v>
      </c>
      <c r="G10235">
        <f>VLOOKUP(B10235,'SINAPI-%MO'!B:E,4,0)</f>
        <v>7.1099999999999997E-2</v>
      </c>
      <c r="H10235" s="225">
        <f t="shared" si="160"/>
        <v>998.69</v>
      </c>
    </row>
    <row r="10236" spans="2:8" x14ac:dyDescent="0.3">
      <c r="B10236">
        <v>101099</v>
      </c>
      <c r="C10236" t="s">
        <v>8191</v>
      </c>
      <c r="D10236" t="s">
        <v>170</v>
      </c>
      <c r="E10236">
        <v>1210.5999999999999</v>
      </c>
      <c r="F10236">
        <v>0</v>
      </c>
      <c r="G10236">
        <f>VLOOKUP(B10236,'SINAPI-%MO'!B:E,4,0)</f>
        <v>0.44479999999999997</v>
      </c>
      <c r="H10236" s="225">
        <f t="shared" si="160"/>
        <v>672.12</v>
      </c>
    </row>
    <row r="10237" spans="2:8" x14ac:dyDescent="0.3">
      <c r="B10237">
        <v>101107</v>
      </c>
      <c r="C10237" t="s">
        <v>8192</v>
      </c>
      <c r="D10237" t="s">
        <v>170</v>
      </c>
      <c r="E10237">
        <v>1288.01</v>
      </c>
      <c r="F10237">
        <v>0</v>
      </c>
      <c r="G10237">
        <f>VLOOKUP(B10237,'SINAPI-%MO'!B:E,4,0)</f>
        <v>0.3135</v>
      </c>
      <c r="H10237" s="225">
        <f t="shared" si="160"/>
        <v>884.21</v>
      </c>
    </row>
    <row r="10238" spans="2:8" x14ac:dyDescent="0.3">
      <c r="B10238">
        <v>101103</v>
      </c>
      <c r="C10238" t="s">
        <v>8193</v>
      </c>
      <c r="D10238" t="s">
        <v>170</v>
      </c>
      <c r="E10238">
        <v>947.73</v>
      </c>
      <c r="F10238">
        <v>0</v>
      </c>
      <c r="G10238">
        <f>VLOOKUP(B10238,'SINAPI-%MO'!B:E,4,0)</f>
        <v>0.221</v>
      </c>
      <c r="H10238" s="225">
        <f t="shared" si="160"/>
        <v>738.28</v>
      </c>
    </row>
    <row r="10239" spans="2:8" x14ac:dyDescent="0.3">
      <c r="B10239">
        <v>101111</v>
      </c>
      <c r="C10239" t="s">
        <v>8194</v>
      </c>
      <c r="D10239" t="s">
        <v>170</v>
      </c>
      <c r="E10239">
        <v>1018.28</v>
      </c>
      <c r="F10239">
        <v>0</v>
      </c>
      <c r="G10239">
        <f>VLOOKUP(B10239,'SINAPI-%MO'!B:E,4,0)</f>
        <v>6.6699999999999995E-2</v>
      </c>
      <c r="H10239" s="225">
        <f t="shared" si="160"/>
        <v>950.36</v>
      </c>
    </row>
    <row r="10240" spans="2:8" x14ac:dyDescent="0.3">
      <c r="B10240">
        <v>101096</v>
      </c>
      <c r="C10240" t="s">
        <v>8195</v>
      </c>
      <c r="D10240" t="s">
        <v>170</v>
      </c>
      <c r="E10240">
        <v>1537.28</v>
      </c>
      <c r="F10240">
        <v>0</v>
      </c>
      <c r="G10240">
        <f>VLOOKUP(B10240,'SINAPI-%MO'!B:E,4,0)</f>
        <v>0.53510000000000002</v>
      </c>
      <c r="H10240" s="225">
        <f t="shared" si="160"/>
        <v>714.68</v>
      </c>
    </row>
    <row r="10241" spans="2:8" x14ac:dyDescent="0.3">
      <c r="B10241">
        <v>101104</v>
      </c>
      <c r="C10241" t="s">
        <v>8196</v>
      </c>
      <c r="D10241" t="s">
        <v>170</v>
      </c>
      <c r="E10241">
        <v>1619.05</v>
      </c>
      <c r="F10241">
        <v>0</v>
      </c>
      <c r="G10241">
        <f>VLOOKUP(B10241,'SINAPI-%MO'!B:E,4,0)</f>
        <v>0.41720000000000002</v>
      </c>
      <c r="H10241" s="225">
        <f t="shared" si="160"/>
        <v>943.58</v>
      </c>
    </row>
    <row r="10242" spans="2:8" x14ac:dyDescent="0.3">
      <c r="B10242">
        <v>101100</v>
      </c>
      <c r="C10242" t="s">
        <v>8197</v>
      </c>
      <c r="D10242" t="s">
        <v>170</v>
      </c>
      <c r="E10242">
        <v>1063.18</v>
      </c>
      <c r="F10242">
        <v>0</v>
      </c>
      <c r="G10242">
        <f>VLOOKUP(B10242,'SINAPI-%MO'!B:E,4,0)</f>
        <v>0.24260000000000001</v>
      </c>
      <c r="H10242" s="225">
        <f t="shared" si="160"/>
        <v>805.25</v>
      </c>
    </row>
    <row r="10243" spans="2:8" x14ac:dyDescent="0.3">
      <c r="B10243">
        <v>101108</v>
      </c>
      <c r="C10243" t="s">
        <v>8198</v>
      </c>
      <c r="D10243" t="s">
        <v>170</v>
      </c>
      <c r="E10243">
        <v>1135.44</v>
      </c>
      <c r="F10243">
        <v>0</v>
      </c>
      <c r="G10243">
        <f>VLOOKUP(B10243,'SINAPI-%MO'!B:E,4,0)</f>
        <v>8.9099999999999999E-2</v>
      </c>
      <c r="H10243" s="225">
        <f t="shared" si="160"/>
        <v>1034.27</v>
      </c>
    </row>
    <row r="10244" spans="2:8" x14ac:dyDescent="0.3">
      <c r="B10244">
        <v>101097</v>
      </c>
      <c r="C10244" t="s">
        <v>8199</v>
      </c>
      <c r="D10244" t="s">
        <v>170</v>
      </c>
      <c r="E10244">
        <v>1445.19</v>
      </c>
      <c r="F10244">
        <v>0</v>
      </c>
      <c r="G10244">
        <f>VLOOKUP(B10244,'SINAPI-%MO'!B:E,4,0)</f>
        <v>0.50980000000000003</v>
      </c>
      <c r="H10244" s="225">
        <f t="shared" si="160"/>
        <v>708.43</v>
      </c>
    </row>
    <row r="10245" spans="2:8" x14ac:dyDescent="0.3">
      <c r="B10245">
        <v>101105</v>
      </c>
      <c r="C10245" t="s">
        <v>8200</v>
      </c>
      <c r="D10245" t="s">
        <v>170</v>
      </c>
      <c r="E10245">
        <v>1525.88</v>
      </c>
      <c r="F10245">
        <v>0</v>
      </c>
      <c r="G10245">
        <f>VLOOKUP(B10245,'SINAPI-%MO'!B:E,4,0)</f>
        <v>0.3881</v>
      </c>
      <c r="H10245" s="225">
        <f t="shared" si="160"/>
        <v>933.68</v>
      </c>
    </row>
    <row r="10246" spans="2:8" x14ac:dyDescent="0.3">
      <c r="B10246">
        <v>101101</v>
      </c>
      <c r="C10246" t="s">
        <v>8201</v>
      </c>
      <c r="D10246" t="s">
        <v>170</v>
      </c>
      <c r="E10246">
        <v>1035.69</v>
      </c>
      <c r="F10246">
        <v>0</v>
      </c>
      <c r="G10246">
        <f>VLOOKUP(B10246,'SINAPI-%MO'!B:E,4,0)</f>
        <v>0.2361</v>
      </c>
      <c r="H10246" s="225">
        <f t="shared" si="160"/>
        <v>791.16</v>
      </c>
    </row>
    <row r="10247" spans="2:8" x14ac:dyDescent="0.3">
      <c r="B10247">
        <v>101109</v>
      </c>
      <c r="C10247" t="s">
        <v>8202</v>
      </c>
      <c r="D10247" t="s">
        <v>170</v>
      </c>
      <c r="E10247">
        <v>1107.4100000000001</v>
      </c>
      <c r="F10247">
        <v>0</v>
      </c>
      <c r="G10247">
        <f>VLOOKUP(B10247,'SINAPI-%MO'!B:E,4,0)</f>
        <v>8.2199999999999995E-2</v>
      </c>
      <c r="H10247" s="225">
        <f t="shared" si="160"/>
        <v>1016.38</v>
      </c>
    </row>
    <row r="10248" spans="2:8" x14ac:dyDescent="0.3">
      <c r="B10248">
        <v>106209</v>
      </c>
      <c r="C10248" t="s">
        <v>15350</v>
      </c>
      <c r="D10248" t="s">
        <v>136</v>
      </c>
      <c r="E10248">
        <v>0</v>
      </c>
      <c r="G10248" t="e">
        <f>VLOOKUP(B10248,'SINAPI-%MO'!B:E,4,0)</f>
        <v>#N/A</v>
      </c>
      <c r="H10248" s="225" t="str">
        <f t="shared" si="160"/>
        <v/>
      </c>
    </row>
    <row r="10249" spans="2:8" x14ac:dyDescent="0.3">
      <c r="B10249">
        <v>106172</v>
      </c>
      <c r="C10249" t="s">
        <v>15351</v>
      </c>
      <c r="D10249" t="s">
        <v>159</v>
      </c>
      <c r="E10249">
        <v>0</v>
      </c>
      <c r="G10249" t="e">
        <f>VLOOKUP(B10249,'SINAPI-%MO'!B:E,4,0)</f>
        <v>#N/A</v>
      </c>
      <c r="H10249" s="225" t="str">
        <f t="shared" si="160"/>
        <v/>
      </c>
    </row>
    <row r="10250" spans="2:8" x14ac:dyDescent="0.3">
      <c r="B10250">
        <v>106173</v>
      </c>
      <c r="C10250" t="s">
        <v>15352</v>
      </c>
      <c r="D10250" t="s">
        <v>159</v>
      </c>
      <c r="E10250">
        <v>0</v>
      </c>
      <c r="G10250" t="e">
        <f>VLOOKUP(B10250,'SINAPI-%MO'!B:E,4,0)</f>
        <v>#N/A</v>
      </c>
      <c r="H10250" s="225" t="str">
        <f t="shared" si="160"/>
        <v/>
      </c>
    </row>
    <row r="10251" spans="2:8" x14ac:dyDescent="0.3">
      <c r="B10251">
        <v>106174</v>
      </c>
      <c r="C10251" t="s">
        <v>15353</v>
      </c>
      <c r="D10251" t="s">
        <v>159</v>
      </c>
      <c r="E10251">
        <v>0</v>
      </c>
      <c r="G10251" t="e">
        <f>VLOOKUP(B10251,'SINAPI-%MO'!B:E,4,0)</f>
        <v>#N/A</v>
      </c>
      <c r="H10251" s="225" t="str">
        <f t="shared" si="160"/>
        <v/>
      </c>
    </row>
    <row r="10252" spans="2:8" x14ac:dyDescent="0.3">
      <c r="B10252">
        <v>106175</v>
      </c>
      <c r="C10252" t="s">
        <v>15354</v>
      </c>
      <c r="D10252" t="s">
        <v>159</v>
      </c>
      <c r="E10252">
        <v>0</v>
      </c>
      <c r="G10252" t="e">
        <f>VLOOKUP(B10252,'SINAPI-%MO'!B:E,4,0)</f>
        <v>#N/A</v>
      </c>
      <c r="H10252" s="225" t="str">
        <f t="shared" si="160"/>
        <v/>
      </c>
    </row>
    <row r="10253" spans="2:8" x14ac:dyDescent="0.3">
      <c r="B10253">
        <v>106176</v>
      </c>
      <c r="C10253" t="s">
        <v>15355</v>
      </c>
      <c r="D10253" t="s">
        <v>159</v>
      </c>
      <c r="E10253">
        <v>0</v>
      </c>
      <c r="G10253" t="e">
        <f>VLOOKUP(B10253,'SINAPI-%MO'!B:E,4,0)</f>
        <v>#N/A</v>
      </c>
      <c r="H10253" s="225" t="str">
        <f t="shared" si="160"/>
        <v/>
      </c>
    </row>
    <row r="10254" spans="2:8" x14ac:dyDescent="0.3">
      <c r="B10254">
        <v>106177</v>
      </c>
      <c r="C10254" t="s">
        <v>15356</v>
      </c>
      <c r="D10254" t="s">
        <v>159</v>
      </c>
      <c r="E10254">
        <v>0</v>
      </c>
      <c r="G10254" t="e">
        <f>VLOOKUP(B10254,'SINAPI-%MO'!B:E,4,0)</f>
        <v>#N/A</v>
      </c>
      <c r="H10254" s="225" t="str">
        <f t="shared" si="160"/>
        <v/>
      </c>
    </row>
    <row r="10255" spans="2:8" x14ac:dyDescent="0.3">
      <c r="B10255">
        <v>106178</v>
      </c>
      <c r="C10255" t="s">
        <v>15357</v>
      </c>
      <c r="D10255" t="s">
        <v>159</v>
      </c>
      <c r="E10255">
        <v>0</v>
      </c>
      <c r="G10255" t="e">
        <f>VLOOKUP(B10255,'SINAPI-%MO'!B:E,4,0)</f>
        <v>#N/A</v>
      </c>
      <c r="H10255" s="225" t="str">
        <f t="shared" si="160"/>
        <v/>
      </c>
    </row>
    <row r="10256" spans="2:8" x14ac:dyDescent="0.3">
      <c r="B10256">
        <v>106179</v>
      </c>
      <c r="C10256" t="s">
        <v>15358</v>
      </c>
      <c r="D10256" t="s">
        <v>159</v>
      </c>
      <c r="E10256">
        <v>0</v>
      </c>
      <c r="G10256" t="e">
        <f>VLOOKUP(B10256,'SINAPI-%MO'!B:E,4,0)</f>
        <v>#N/A</v>
      </c>
      <c r="H10256" s="225" t="str">
        <f t="shared" si="160"/>
        <v/>
      </c>
    </row>
    <row r="10257" spans="2:8" x14ac:dyDescent="0.3">
      <c r="B10257">
        <v>106180</v>
      </c>
      <c r="C10257" t="s">
        <v>15359</v>
      </c>
      <c r="D10257" t="s">
        <v>159</v>
      </c>
      <c r="E10257">
        <v>0</v>
      </c>
      <c r="G10257" t="e">
        <f>VLOOKUP(B10257,'SINAPI-%MO'!B:E,4,0)</f>
        <v>#N/A</v>
      </c>
      <c r="H10257" s="225" t="str">
        <f t="shared" si="160"/>
        <v/>
      </c>
    </row>
    <row r="10258" spans="2:8" x14ac:dyDescent="0.3">
      <c r="B10258">
        <v>106181</v>
      </c>
      <c r="C10258" t="s">
        <v>15360</v>
      </c>
      <c r="D10258" t="s">
        <v>159</v>
      </c>
      <c r="E10258">
        <v>0</v>
      </c>
      <c r="G10258" t="e">
        <f>VLOOKUP(B10258,'SINAPI-%MO'!B:E,4,0)</f>
        <v>#N/A</v>
      </c>
      <c r="H10258" s="225" t="str">
        <f t="shared" si="160"/>
        <v/>
      </c>
    </row>
    <row r="10259" spans="2:8" x14ac:dyDescent="0.3">
      <c r="B10259">
        <v>106182</v>
      </c>
      <c r="C10259" t="s">
        <v>15361</v>
      </c>
      <c r="D10259" t="s">
        <v>159</v>
      </c>
      <c r="E10259">
        <v>0</v>
      </c>
      <c r="G10259" t="e">
        <f>VLOOKUP(B10259,'SINAPI-%MO'!B:E,4,0)</f>
        <v>#N/A</v>
      </c>
      <c r="H10259" s="225" t="str">
        <f t="shared" si="160"/>
        <v/>
      </c>
    </row>
    <row r="10260" spans="2:8" x14ac:dyDescent="0.3">
      <c r="B10260">
        <v>106183</v>
      </c>
      <c r="C10260" t="s">
        <v>15362</v>
      </c>
      <c r="D10260" t="s">
        <v>159</v>
      </c>
      <c r="E10260">
        <v>0</v>
      </c>
      <c r="G10260" t="e">
        <f>VLOOKUP(B10260,'SINAPI-%MO'!B:E,4,0)</f>
        <v>#N/A</v>
      </c>
      <c r="H10260" s="225" t="str">
        <f t="shared" si="160"/>
        <v/>
      </c>
    </row>
    <row r="10261" spans="2:8" x14ac:dyDescent="0.3">
      <c r="B10261">
        <v>106184</v>
      </c>
      <c r="C10261" t="s">
        <v>15363</v>
      </c>
      <c r="D10261" t="s">
        <v>159</v>
      </c>
      <c r="E10261">
        <v>0</v>
      </c>
      <c r="G10261" t="e">
        <f>VLOOKUP(B10261,'SINAPI-%MO'!B:E,4,0)</f>
        <v>#N/A</v>
      </c>
      <c r="H10261" s="225" t="str">
        <f t="shared" si="160"/>
        <v/>
      </c>
    </row>
    <row r="10262" spans="2:8" x14ac:dyDescent="0.3">
      <c r="B10262">
        <v>106185</v>
      </c>
      <c r="C10262" t="s">
        <v>15364</v>
      </c>
      <c r="D10262" t="s">
        <v>159</v>
      </c>
      <c r="E10262">
        <v>0</v>
      </c>
      <c r="G10262" t="e">
        <f>VLOOKUP(B10262,'SINAPI-%MO'!B:E,4,0)</f>
        <v>#N/A</v>
      </c>
      <c r="H10262" s="225" t="str">
        <f t="shared" si="160"/>
        <v/>
      </c>
    </row>
    <row r="10263" spans="2:8" x14ac:dyDescent="0.3">
      <c r="B10263">
        <v>106186</v>
      </c>
      <c r="C10263" t="s">
        <v>15365</v>
      </c>
      <c r="D10263" t="s">
        <v>159</v>
      </c>
      <c r="E10263">
        <v>0</v>
      </c>
      <c r="G10263" t="e">
        <f>VLOOKUP(B10263,'SINAPI-%MO'!B:E,4,0)</f>
        <v>#N/A</v>
      </c>
      <c r="H10263" s="225" t="str">
        <f t="shared" si="160"/>
        <v/>
      </c>
    </row>
    <row r="10264" spans="2:8" x14ac:dyDescent="0.3">
      <c r="B10264">
        <v>106187</v>
      </c>
      <c r="C10264" t="s">
        <v>15366</v>
      </c>
      <c r="D10264" t="s">
        <v>159</v>
      </c>
      <c r="E10264">
        <v>0</v>
      </c>
      <c r="G10264" t="e">
        <f>VLOOKUP(B10264,'SINAPI-%MO'!B:E,4,0)</f>
        <v>#N/A</v>
      </c>
      <c r="H10264" s="225" t="str">
        <f t="shared" si="160"/>
        <v/>
      </c>
    </row>
    <row r="10265" spans="2:8" x14ac:dyDescent="0.3">
      <c r="B10265">
        <v>106188</v>
      </c>
      <c r="C10265" t="s">
        <v>15367</v>
      </c>
      <c r="D10265" t="s">
        <v>159</v>
      </c>
      <c r="E10265">
        <v>0</v>
      </c>
      <c r="G10265" t="e">
        <f>VLOOKUP(B10265,'SINAPI-%MO'!B:E,4,0)</f>
        <v>#N/A</v>
      </c>
      <c r="H10265" s="225" t="str">
        <f t="shared" si="160"/>
        <v/>
      </c>
    </row>
    <row r="10266" spans="2:8" x14ac:dyDescent="0.3">
      <c r="B10266">
        <v>106189</v>
      </c>
      <c r="C10266" t="s">
        <v>15368</v>
      </c>
      <c r="D10266" t="s">
        <v>159</v>
      </c>
      <c r="E10266">
        <v>0</v>
      </c>
      <c r="G10266" t="e">
        <f>VLOOKUP(B10266,'SINAPI-%MO'!B:E,4,0)</f>
        <v>#N/A</v>
      </c>
      <c r="H10266" s="225" t="str">
        <f t="shared" si="160"/>
        <v/>
      </c>
    </row>
    <row r="10267" spans="2:8" x14ac:dyDescent="0.3">
      <c r="B10267">
        <v>106190</v>
      </c>
      <c r="C10267" t="s">
        <v>15369</v>
      </c>
      <c r="D10267" t="s">
        <v>159</v>
      </c>
      <c r="E10267">
        <v>0</v>
      </c>
      <c r="G10267" t="e">
        <f>VLOOKUP(B10267,'SINAPI-%MO'!B:E,4,0)</f>
        <v>#N/A</v>
      </c>
      <c r="H10267" s="225" t="str">
        <f t="shared" si="160"/>
        <v/>
      </c>
    </row>
    <row r="10268" spans="2:8" x14ac:dyDescent="0.3">
      <c r="B10268">
        <v>106191</v>
      </c>
      <c r="C10268" t="s">
        <v>15370</v>
      </c>
      <c r="D10268" t="s">
        <v>159</v>
      </c>
      <c r="E10268">
        <v>0</v>
      </c>
      <c r="G10268" t="e">
        <f>VLOOKUP(B10268,'SINAPI-%MO'!B:E,4,0)</f>
        <v>#N/A</v>
      </c>
      <c r="H10268" s="225" t="str">
        <f t="shared" si="160"/>
        <v/>
      </c>
    </row>
    <row r="10269" spans="2:8" x14ac:dyDescent="0.3">
      <c r="B10269">
        <v>106192</v>
      </c>
      <c r="C10269" t="s">
        <v>15371</v>
      </c>
      <c r="D10269" t="s">
        <v>159</v>
      </c>
      <c r="E10269">
        <v>0</v>
      </c>
      <c r="G10269" t="e">
        <f>VLOOKUP(B10269,'SINAPI-%MO'!B:E,4,0)</f>
        <v>#N/A</v>
      </c>
      <c r="H10269" s="225" t="str">
        <f t="shared" si="160"/>
        <v/>
      </c>
    </row>
    <row r="10270" spans="2:8" x14ac:dyDescent="0.3">
      <c r="B10270">
        <v>106193</v>
      </c>
      <c r="C10270" t="s">
        <v>15372</v>
      </c>
      <c r="D10270" t="s">
        <v>159</v>
      </c>
      <c r="E10270">
        <v>0</v>
      </c>
      <c r="G10270" t="e">
        <f>VLOOKUP(B10270,'SINAPI-%MO'!B:E,4,0)</f>
        <v>#N/A</v>
      </c>
      <c r="H10270" s="225" t="str">
        <f t="shared" si="160"/>
        <v/>
      </c>
    </row>
    <row r="10271" spans="2:8" x14ac:dyDescent="0.3">
      <c r="B10271">
        <v>106194</v>
      </c>
      <c r="C10271" t="s">
        <v>15373</v>
      </c>
      <c r="D10271" t="s">
        <v>159</v>
      </c>
      <c r="E10271">
        <v>0</v>
      </c>
      <c r="G10271" t="e">
        <f>VLOOKUP(B10271,'SINAPI-%MO'!B:E,4,0)</f>
        <v>#N/A</v>
      </c>
      <c r="H10271" s="225" t="str">
        <f t="shared" si="160"/>
        <v/>
      </c>
    </row>
    <row r="10272" spans="2:8" x14ac:dyDescent="0.3">
      <c r="B10272">
        <v>106195</v>
      </c>
      <c r="C10272" t="s">
        <v>15374</v>
      </c>
      <c r="D10272" t="s">
        <v>159</v>
      </c>
      <c r="E10272">
        <v>0</v>
      </c>
      <c r="G10272" t="e">
        <f>VLOOKUP(B10272,'SINAPI-%MO'!B:E,4,0)</f>
        <v>#N/A</v>
      </c>
      <c r="H10272" s="225" t="str">
        <f t="shared" si="160"/>
        <v/>
      </c>
    </row>
    <row r="10273" spans="2:8" x14ac:dyDescent="0.3">
      <c r="B10273">
        <v>106196</v>
      </c>
      <c r="C10273" t="s">
        <v>15375</v>
      </c>
      <c r="D10273" t="s">
        <v>159</v>
      </c>
      <c r="E10273">
        <v>0</v>
      </c>
      <c r="G10273" t="e">
        <f>VLOOKUP(B10273,'SINAPI-%MO'!B:E,4,0)</f>
        <v>#N/A</v>
      </c>
      <c r="H10273" s="225" t="str">
        <f t="shared" si="160"/>
        <v/>
      </c>
    </row>
    <row r="10274" spans="2:8" x14ac:dyDescent="0.3">
      <c r="B10274">
        <v>106197</v>
      </c>
      <c r="C10274" t="s">
        <v>15376</v>
      </c>
      <c r="D10274" t="s">
        <v>159</v>
      </c>
      <c r="E10274">
        <v>0</v>
      </c>
      <c r="G10274" t="e">
        <f>VLOOKUP(B10274,'SINAPI-%MO'!B:E,4,0)</f>
        <v>#N/A</v>
      </c>
      <c r="H10274" s="225" t="str">
        <f t="shared" si="160"/>
        <v/>
      </c>
    </row>
    <row r="10275" spans="2:8" x14ac:dyDescent="0.3">
      <c r="B10275">
        <v>106200</v>
      </c>
      <c r="C10275" t="s">
        <v>15377</v>
      </c>
      <c r="D10275" t="s">
        <v>159</v>
      </c>
      <c r="E10275">
        <v>0</v>
      </c>
      <c r="G10275" t="e">
        <f>VLOOKUP(B10275,'SINAPI-%MO'!B:E,4,0)</f>
        <v>#N/A</v>
      </c>
      <c r="H10275" s="225" t="str">
        <f t="shared" si="160"/>
        <v/>
      </c>
    </row>
    <row r="10276" spans="2:8" x14ac:dyDescent="0.3">
      <c r="B10276">
        <v>106198</v>
      </c>
      <c r="C10276" t="s">
        <v>15378</v>
      </c>
      <c r="D10276" t="s">
        <v>159</v>
      </c>
      <c r="E10276">
        <v>0</v>
      </c>
      <c r="G10276" t="e">
        <f>VLOOKUP(B10276,'SINAPI-%MO'!B:E,4,0)</f>
        <v>#N/A</v>
      </c>
      <c r="H10276" s="225" t="str">
        <f t="shared" si="160"/>
        <v/>
      </c>
    </row>
    <row r="10277" spans="2:8" x14ac:dyDescent="0.3">
      <c r="B10277">
        <v>106199</v>
      </c>
      <c r="C10277" t="s">
        <v>15379</v>
      </c>
      <c r="D10277" t="s">
        <v>159</v>
      </c>
      <c r="E10277">
        <v>0</v>
      </c>
      <c r="G10277" t="e">
        <f>VLOOKUP(B10277,'SINAPI-%MO'!B:E,4,0)</f>
        <v>#N/A</v>
      </c>
      <c r="H10277" s="225" t="str">
        <f t="shared" si="160"/>
        <v/>
      </c>
    </row>
    <row r="10278" spans="2:8" x14ac:dyDescent="0.3">
      <c r="B10278">
        <v>106201</v>
      </c>
      <c r="C10278" t="s">
        <v>15380</v>
      </c>
      <c r="D10278" t="s">
        <v>159</v>
      </c>
      <c r="E10278">
        <v>0</v>
      </c>
      <c r="G10278" t="e">
        <f>VLOOKUP(B10278,'SINAPI-%MO'!B:E,4,0)</f>
        <v>#N/A</v>
      </c>
      <c r="H10278" s="225" t="str">
        <f t="shared" si="160"/>
        <v/>
      </c>
    </row>
    <row r="10279" spans="2:8" x14ac:dyDescent="0.3">
      <c r="B10279">
        <v>106202</v>
      </c>
      <c r="C10279" t="s">
        <v>15381</v>
      </c>
      <c r="D10279" t="s">
        <v>159</v>
      </c>
      <c r="E10279">
        <v>0</v>
      </c>
      <c r="G10279" t="e">
        <f>VLOOKUP(B10279,'SINAPI-%MO'!B:E,4,0)</f>
        <v>#N/A</v>
      </c>
      <c r="H10279" s="225" t="str">
        <f t="shared" si="160"/>
        <v/>
      </c>
    </row>
    <row r="10280" spans="2:8" x14ac:dyDescent="0.3">
      <c r="B10280">
        <v>106203</v>
      </c>
      <c r="C10280" t="s">
        <v>15382</v>
      </c>
      <c r="D10280" t="s">
        <v>159</v>
      </c>
      <c r="E10280">
        <v>0</v>
      </c>
      <c r="G10280" t="e">
        <f>VLOOKUP(B10280,'SINAPI-%MO'!B:E,4,0)</f>
        <v>#N/A</v>
      </c>
      <c r="H10280" s="225" t="str">
        <f t="shared" si="160"/>
        <v/>
      </c>
    </row>
    <row r="10281" spans="2:8" x14ac:dyDescent="0.3">
      <c r="B10281">
        <v>106204</v>
      </c>
      <c r="C10281" t="s">
        <v>15383</v>
      </c>
      <c r="D10281" t="s">
        <v>159</v>
      </c>
      <c r="E10281">
        <v>0</v>
      </c>
      <c r="G10281" t="e">
        <f>VLOOKUP(B10281,'SINAPI-%MO'!B:E,4,0)</f>
        <v>#N/A</v>
      </c>
      <c r="H10281" s="225" t="str">
        <f t="shared" si="160"/>
        <v/>
      </c>
    </row>
    <row r="10282" spans="2:8" x14ac:dyDescent="0.3">
      <c r="B10282">
        <v>106205</v>
      </c>
      <c r="C10282" t="s">
        <v>14724</v>
      </c>
      <c r="D10282" t="s">
        <v>170</v>
      </c>
      <c r="E10282">
        <v>119.75</v>
      </c>
      <c r="F10282">
        <v>0</v>
      </c>
      <c r="G10282">
        <f>VLOOKUP(B10282,'SINAPI-%MO'!B:E,4,0)</f>
        <v>1</v>
      </c>
      <c r="H10282" s="225">
        <f t="shared" si="160"/>
        <v>0</v>
      </c>
    </row>
    <row r="10283" spans="2:8" x14ac:dyDescent="0.3">
      <c r="B10283">
        <v>106206</v>
      </c>
      <c r="C10283" t="s">
        <v>14725</v>
      </c>
      <c r="D10283" t="s">
        <v>170</v>
      </c>
      <c r="E10283">
        <v>136.94</v>
      </c>
      <c r="F10283">
        <v>0</v>
      </c>
      <c r="G10283">
        <f>VLOOKUP(B10283,'SINAPI-%MO'!B:E,4,0)</f>
        <v>1</v>
      </c>
      <c r="H10283" s="225">
        <f t="shared" si="160"/>
        <v>0</v>
      </c>
    </row>
    <row r="10284" spans="2:8" x14ac:dyDescent="0.3">
      <c r="B10284">
        <v>106207</v>
      </c>
      <c r="C10284" t="s">
        <v>15384</v>
      </c>
      <c r="D10284" t="s">
        <v>170</v>
      </c>
      <c r="E10284">
        <v>0</v>
      </c>
      <c r="G10284" t="e">
        <f>VLOOKUP(B10284,'SINAPI-%MO'!B:E,4,0)</f>
        <v>#N/A</v>
      </c>
      <c r="H10284" s="225" t="str">
        <f t="shared" si="160"/>
        <v/>
      </c>
    </row>
    <row r="10285" spans="2:8" x14ac:dyDescent="0.3">
      <c r="B10285">
        <v>106208</v>
      </c>
      <c r="C10285" t="s">
        <v>15385</v>
      </c>
      <c r="D10285" t="s">
        <v>159</v>
      </c>
      <c r="E10285">
        <v>0</v>
      </c>
      <c r="G10285" t="e">
        <f>VLOOKUP(B10285,'SINAPI-%MO'!B:E,4,0)</f>
        <v>#N/A</v>
      </c>
      <c r="H10285" s="225" t="str">
        <f t="shared" si="160"/>
        <v/>
      </c>
    </row>
    <row r="10286" spans="2:8" x14ac:dyDescent="0.3">
      <c r="B10286">
        <v>96393</v>
      </c>
      <c r="C10286" t="s">
        <v>8203</v>
      </c>
      <c r="D10286" t="s">
        <v>170</v>
      </c>
      <c r="E10286">
        <v>165.64</v>
      </c>
      <c r="F10286">
        <v>1.12E-2</v>
      </c>
      <c r="G10286">
        <f>VLOOKUP(B10286,'SINAPI-%MO'!B:E,4,0)</f>
        <v>2.5999999999999999E-2</v>
      </c>
      <c r="H10286" s="225">
        <f t="shared" si="160"/>
        <v>161.33000000000001</v>
      </c>
    </row>
    <row r="10287" spans="2:8" x14ac:dyDescent="0.3">
      <c r="B10287">
        <v>96394</v>
      </c>
      <c r="C10287" t="s">
        <v>8204</v>
      </c>
      <c r="D10287" t="s">
        <v>170</v>
      </c>
      <c r="E10287">
        <v>245.94</v>
      </c>
      <c r="F10287">
        <v>7.6E-3</v>
      </c>
      <c r="G10287">
        <f>VLOOKUP(B10287,'SINAPI-%MO'!B:E,4,0)</f>
        <v>1.7500000000000002E-2</v>
      </c>
      <c r="H10287" s="225">
        <f t="shared" si="160"/>
        <v>241.63</v>
      </c>
    </row>
    <row r="10288" spans="2:8" x14ac:dyDescent="0.3">
      <c r="B10288">
        <v>104363</v>
      </c>
      <c r="C10288" t="s">
        <v>8205</v>
      </c>
      <c r="D10288" t="s">
        <v>180</v>
      </c>
      <c r="E10288">
        <v>0</v>
      </c>
      <c r="G10288" t="e">
        <f>VLOOKUP(B10288,'SINAPI-%MO'!B:E,4,0)</f>
        <v>#N/A</v>
      </c>
      <c r="H10288" s="225" t="str">
        <f t="shared" si="160"/>
        <v/>
      </c>
    </row>
    <row r="10289" spans="2:8" x14ac:dyDescent="0.3">
      <c r="B10289">
        <v>104360</v>
      </c>
      <c r="C10289" t="s">
        <v>8206</v>
      </c>
      <c r="D10289" t="s">
        <v>180</v>
      </c>
      <c r="E10289">
        <v>0</v>
      </c>
      <c r="G10289" t="e">
        <f>VLOOKUP(B10289,'SINAPI-%MO'!B:E,4,0)</f>
        <v>#N/A</v>
      </c>
      <c r="H10289" s="225" t="str">
        <f t="shared" ref="H10289:H10352" si="161">IF(E10289&gt;0,TRUNC(E10289*(1-G10289),2),"")</f>
        <v/>
      </c>
    </row>
    <row r="10290" spans="2:8" x14ac:dyDescent="0.3">
      <c r="B10290">
        <v>104358</v>
      </c>
      <c r="C10290" t="s">
        <v>8207</v>
      </c>
      <c r="D10290" t="s">
        <v>180</v>
      </c>
      <c r="E10290">
        <v>0</v>
      </c>
      <c r="G10290" t="e">
        <f>VLOOKUP(B10290,'SINAPI-%MO'!B:E,4,0)</f>
        <v>#N/A</v>
      </c>
      <c r="H10290" s="225" t="str">
        <f t="shared" si="161"/>
        <v/>
      </c>
    </row>
    <row r="10291" spans="2:8" x14ac:dyDescent="0.3">
      <c r="B10291">
        <v>104362</v>
      </c>
      <c r="C10291" t="s">
        <v>8208</v>
      </c>
      <c r="D10291" t="s">
        <v>180</v>
      </c>
      <c r="E10291">
        <v>0</v>
      </c>
      <c r="G10291" t="e">
        <f>VLOOKUP(B10291,'SINAPI-%MO'!B:E,4,0)</f>
        <v>#N/A</v>
      </c>
      <c r="H10291" s="225" t="str">
        <f t="shared" si="161"/>
        <v/>
      </c>
    </row>
    <row r="10292" spans="2:8" x14ac:dyDescent="0.3">
      <c r="B10292">
        <v>104361</v>
      </c>
      <c r="C10292" t="s">
        <v>8209</v>
      </c>
      <c r="D10292" t="s">
        <v>180</v>
      </c>
      <c r="E10292">
        <v>0</v>
      </c>
      <c r="G10292" t="e">
        <f>VLOOKUP(B10292,'SINAPI-%MO'!B:E,4,0)</f>
        <v>#N/A</v>
      </c>
      <c r="H10292" s="225" t="str">
        <f t="shared" si="161"/>
        <v/>
      </c>
    </row>
    <row r="10293" spans="2:8" x14ac:dyDescent="0.3">
      <c r="B10293">
        <v>104359</v>
      </c>
      <c r="C10293" t="s">
        <v>8210</v>
      </c>
      <c r="D10293" t="s">
        <v>180</v>
      </c>
      <c r="E10293">
        <v>0</v>
      </c>
      <c r="G10293" t="e">
        <f>VLOOKUP(B10293,'SINAPI-%MO'!B:E,4,0)</f>
        <v>#N/A</v>
      </c>
      <c r="H10293" s="225" t="str">
        <f t="shared" si="161"/>
        <v/>
      </c>
    </row>
    <row r="10294" spans="2:8" x14ac:dyDescent="0.3">
      <c r="B10294">
        <v>96395</v>
      </c>
      <c r="C10294" t="s">
        <v>8211</v>
      </c>
      <c r="D10294" t="s">
        <v>170</v>
      </c>
      <c r="E10294">
        <v>356.63</v>
      </c>
      <c r="F10294">
        <v>4.0000000000000001E-3</v>
      </c>
      <c r="G10294">
        <f>VLOOKUP(B10294,'SINAPI-%MO'!B:E,4,0)</f>
        <v>2.01E-2</v>
      </c>
      <c r="H10294" s="225">
        <f t="shared" si="161"/>
        <v>349.46</v>
      </c>
    </row>
    <row r="10295" spans="2:8" x14ac:dyDescent="0.3">
      <c r="B10295">
        <v>106102</v>
      </c>
      <c r="C10295" t="s">
        <v>8212</v>
      </c>
      <c r="D10295" t="s">
        <v>180</v>
      </c>
      <c r="E10295">
        <v>0</v>
      </c>
      <c r="G10295" t="e">
        <f>VLOOKUP(B10295,'SINAPI-%MO'!B:E,4,0)</f>
        <v>#N/A</v>
      </c>
      <c r="H10295" s="225" t="str">
        <f t="shared" si="161"/>
        <v/>
      </c>
    </row>
    <row r="10296" spans="2:8" x14ac:dyDescent="0.3">
      <c r="B10296">
        <v>106103</v>
      </c>
      <c r="C10296" t="s">
        <v>8213</v>
      </c>
      <c r="D10296" t="s">
        <v>180</v>
      </c>
      <c r="E10296">
        <v>0</v>
      </c>
      <c r="G10296" t="e">
        <f>VLOOKUP(B10296,'SINAPI-%MO'!B:E,4,0)</f>
        <v>#N/A</v>
      </c>
      <c r="H10296" s="225" t="str">
        <f t="shared" si="161"/>
        <v/>
      </c>
    </row>
    <row r="10297" spans="2:8" x14ac:dyDescent="0.3">
      <c r="B10297">
        <v>104373</v>
      </c>
      <c r="C10297" t="s">
        <v>8214</v>
      </c>
      <c r="D10297" t="s">
        <v>180</v>
      </c>
      <c r="E10297">
        <v>0</v>
      </c>
      <c r="G10297" t="e">
        <f>VLOOKUP(B10297,'SINAPI-%MO'!B:E,4,0)</f>
        <v>#N/A</v>
      </c>
      <c r="H10297" s="225" t="str">
        <f t="shared" si="161"/>
        <v/>
      </c>
    </row>
    <row r="10298" spans="2:8" x14ac:dyDescent="0.3">
      <c r="B10298">
        <v>104374</v>
      </c>
      <c r="C10298" t="s">
        <v>8215</v>
      </c>
      <c r="D10298" t="s">
        <v>180</v>
      </c>
      <c r="E10298">
        <v>0</v>
      </c>
      <c r="G10298" t="e">
        <f>VLOOKUP(B10298,'SINAPI-%MO'!B:E,4,0)</f>
        <v>#N/A</v>
      </c>
      <c r="H10298" s="225" t="str">
        <f t="shared" si="161"/>
        <v/>
      </c>
    </row>
    <row r="10299" spans="2:8" x14ac:dyDescent="0.3">
      <c r="B10299">
        <v>105529</v>
      </c>
      <c r="C10299" t="s">
        <v>8216</v>
      </c>
      <c r="D10299" t="s">
        <v>170</v>
      </c>
      <c r="E10299">
        <v>213.03</v>
      </c>
      <c r="F10299">
        <v>8.6999999999999994E-3</v>
      </c>
      <c r="G10299">
        <f>VLOOKUP(B10299,'SINAPI-%MO'!B:E,4,0)</f>
        <v>2.0299999999999999E-2</v>
      </c>
      <c r="H10299" s="225">
        <f t="shared" si="161"/>
        <v>208.7</v>
      </c>
    </row>
    <row r="10300" spans="2:8" x14ac:dyDescent="0.3">
      <c r="B10300">
        <v>105530</v>
      </c>
      <c r="C10300" t="s">
        <v>8217</v>
      </c>
      <c r="D10300" t="s">
        <v>170</v>
      </c>
      <c r="E10300">
        <v>250.35</v>
      </c>
      <c r="F10300">
        <v>7.4000000000000003E-3</v>
      </c>
      <c r="G10300">
        <f>VLOOKUP(B10300,'SINAPI-%MO'!B:E,4,0)</f>
        <v>1.7299999999999999E-2</v>
      </c>
      <c r="H10300" s="225">
        <f t="shared" si="161"/>
        <v>246.01</v>
      </c>
    </row>
    <row r="10301" spans="2:8" x14ac:dyDescent="0.3">
      <c r="B10301">
        <v>105531</v>
      </c>
      <c r="C10301" t="s">
        <v>8218</v>
      </c>
      <c r="D10301" t="s">
        <v>170</v>
      </c>
      <c r="E10301">
        <v>287.66000000000003</v>
      </c>
      <c r="F10301">
        <v>6.4999999999999997E-3</v>
      </c>
      <c r="G10301">
        <f>VLOOKUP(B10301,'SINAPI-%MO'!B:E,4,0)</f>
        <v>1.4999999999999999E-2</v>
      </c>
      <c r="H10301" s="225">
        <f t="shared" si="161"/>
        <v>283.33999999999997</v>
      </c>
    </row>
    <row r="10302" spans="2:8" x14ac:dyDescent="0.3">
      <c r="B10302">
        <v>105527</v>
      </c>
      <c r="C10302" t="s">
        <v>8219</v>
      </c>
      <c r="D10302" t="s">
        <v>170</v>
      </c>
      <c r="E10302">
        <v>138.41</v>
      </c>
      <c r="F10302">
        <v>1.34E-2</v>
      </c>
      <c r="G10302">
        <f>VLOOKUP(B10302,'SINAPI-%MO'!B:E,4,0)</f>
        <v>3.1099999999999999E-2</v>
      </c>
      <c r="H10302" s="225">
        <f t="shared" si="161"/>
        <v>134.1</v>
      </c>
    </row>
    <row r="10303" spans="2:8" x14ac:dyDescent="0.3">
      <c r="B10303">
        <v>105532</v>
      </c>
      <c r="C10303" t="s">
        <v>8220</v>
      </c>
      <c r="D10303" t="s">
        <v>170</v>
      </c>
      <c r="E10303">
        <v>192.51</v>
      </c>
      <c r="F10303">
        <v>9.7000000000000003E-3</v>
      </c>
      <c r="G10303">
        <f>VLOOKUP(B10303,'SINAPI-%MO'!B:E,4,0)</f>
        <v>2.24E-2</v>
      </c>
      <c r="H10303" s="225">
        <f t="shared" si="161"/>
        <v>188.19</v>
      </c>
    </row>
    <row r="10304" spans="2:8" x14ac:dyDescent="0.3">
      <c r="B10304">
        <v>105533</v>
      </c>
      <c r="C10304" t="s">
        <v>8221</v>
      </c>
      <c r="D10304" t="s">
        <v>170</v>
      </c>
      <c r="E10304">
        <v>230.26</v>
      </c>
      <c r="F10304">
        <v>8.0999999999999996E-3</v>
      </c>
      <c r="G10304">
        <f>VLOOKUP(B10304,'SINAPI-%MO'!B:E,4,0)</f>
        <v>1.8800000000000001E-2</v>
      </c>
      <c r="H10304" s="225">
        <f t="shared" si="161"/>
        <v>225.93</v>
      </c>
    </row>
    <row r="10305" spans="2:8" x14ac:dyDescent="0.3">
      <c r="B10305">
        <v>105534</v>
      </c>
      <c r="C10305" t="s">
        <v>8222</v>
      </c>
      <c r="D10305" t="s">
        <v>170</v>
      </c>
      <c r="E10305">
        <v>268.01</v>
      </c>
      <c r="F10305">
        <v>6.8999999999999999E-3</v>
      </c>
      <c r="G10305">
        <f>VLOOKUP(B10305,'SINAPI-%MO'!B:E,4,0)</f>
        <v>1.61E-2</v>
      </c>
      <c r="H10305" s="225">
        <f t="shared" si="161"/>
        <v>263.69</v>
      </c>
    </row>
    <row r="10306" spans="2:8" x14ac:dyDescent="0.3">
      <c r="B10306">
        <v>105528</v>
      </c>
      <c r="C10306" t="s">
        <v>8223</v>
      </c>
      <c r="D10306" t="s">
        <v>170</v>
      </c>
      <c r="E10306">
        <v>117.04</v>
      </c>
      <c r="F10306">
        <v>1.5900000000000001E-2</v>
      </c>
      <c r="G10306">
        <f>VLOOKUP(B10306,'SINAPI-%MO'!B:E,4,0)</f>
        <v>3.6799999999999999E-2</v>
      </c>
      <c r="H10306" s="225">
        <f t="shared" si="161"/>
        <v>112.73</v>
      </c>
    </row>
    <row r="10307" spans="2:8" x14ac:dyDescent="0.3">
      <c r="B10307">
        <v>105523</v>
      </c>
      <c r="C10307" t="s">
        <v>8224</v>
      </c>
      <c r="D10307" t="s">
        <v>170</v>
      </c>
      <c r="E10307">
        <v>50.1</v>
      </c>
      <c r="F10307">
        <v>3.7100000000000001E-2</v>
      </c>
      <c r="G10307">
        <f>VLOOKUP(B10307,'SINAPI-%MO'!B:E,4,0)</f>
        <v>8.6199999999999999E-2</v>
      </c>
      <c r="H10307" s="225">
        <f t="shared" si="161"/>
        <v>45.78</v>
      </c>
    </row>
    <row r="10308" spans="2:8" x14ac:dyDescent="0.3">
      <c r="B10308">
        <v>105759</v>
      </c>
      <c r="C10308" t="s">
        <v>8225</v>
      </c>
      <c r="D10308" t="s">
        <v>170</v>
      </c>
      <c r="E10308">
        <v>70.03</v>
      </c>
      <c r="F10308">
        <v>2.6599999999999999E-2</v>
      </c>
      <c r="G10308">
        <f>VLOOKUP(B10308,'SINAPI-%MO'!B:E,4,0)</f>
        <v>6.1499999999999999E-2</v>
      </c>
      <c r="H10308" s="225">
        <f t="shared" si="161"/>
        <v>65.72</v>
      </c>
    </row>
    <row r="10309" spans="2:8" x14ac:dyDescent="0.3">
      <c r="B10309">
        <v>105524</v>
      </c>
      <c r="C10309" t="s">
        <v>8226</v>
      </c>
      <c r="D10309" t="s">
        <v>170</v>
      </c>
      <c r="E10309">
        <v>89.97</v>
      </c>
      <c r="F10309">
        <v>2.07E-2</v>
      </c>
      <c r="G10309">
        <f>VLOOKUP(B10309,'SINAPI-%MO'!B:E,4,0)</f>
        <v>4.8000000000000001E-2</v>
      </c>
      <c r="H10309" s="225">
        <f t="shared" si="161"/>
        <v>85.65</v>
      </c>
    </row>
    <row r="10310" spans="2:8" x14ac:dyDescent="0.3">
      <c r="B10310">
        <v>105525</v>
      </c>
      <c r="C10310" t="s">
        <v>8227</v>
      </c>
      <c r="D10310" t="s">
        <v>170</v>
      </c>
      <c r="E10310">
        <v>129.85</v>
      </c>
      <c r="F10310">
        <v>1.43E-2</v>
      </c>
      <c r="G10310">
        <f>VLOOKUP(B10310,'SINAPI-%MO'!B:E,4,0)</f>
        <v>3.3300000000000003E-2</v>
      </c>
      <c r="H10310" s="225">
        <f t="shared" si="161"/>
        <v>125.52</v>
      </c>
    </row>
    <row r="10311" spans="2:8" x14ac:dyDescent="0.3">
      <c r="B10311">
        <v>105526</v>
      </c>
      <c r="C10311" t="s">
        <v>8228</v>
      </c>
      <c r="D10311" t="s">
        <v>170</v>
      </c>
      <c r="E10311">
        <v>169.73</v>
      </c>
      <c r="F10311">
        <v>1.0999999999999999E-2</v>
      </c>
      <c r="G10311">
        <f>VLOOKUP(B10311,'SINAPI-%MO'!B:E,4,0)</f>
        <v>2.5499999999999998E-2</v>
      </c>
      <c r="H10311" s="225">
        <f t="shared" si="161"/>
        <v>165.4</v>
      </c>
    </row>
    <row r="10312" spans="2:8" x14ac:dyDescent="0.3">
      <c r="B10312">
        <v>105034</v>
      </c>
      <c r="C10312" t="s">
        <v>8229</v>
      </c>
      <c r="D10312" t="s">
        <v>159</v>
      </c>
      <c r="E10312">
        <v>53.76</v>
      </c>
      <c r="F10312">
        <v>0</v>
      </c>
      <c r="G10312">
        <f>VLOOKUP(B10312,'SINAPI-%MO'!B:E,4,0)</f>
        <v>0.4219</v>
      </c>
      <c r="H10312" s="225">
        <f t="shared" si="161"/>
        <v>31.07</v>
      </c>
    </row>
    <row r="10313" spans="2:8" x14ac:dyDescent="0.3">
      <c r="B10313">
        <v>105033</v>
      </c>
      <c r="C10313" t="s">
        <v>8230</v>
      </c>
      <c r="D10313" t="s">
        <v>159</v>
      </c>
      <c r="E10313">
        <v>79.33</v>
      </c>
      <c r="F10313">
        <v>0</v>
      </c>
      <c r="G10313">
        <f>VLOOKUP(B10313,'SINAPI-%MO'!B:E,4,0)</f>
        <v>0.44159999999999999</v>
      </c>
      <c r="H10313" s="225">
        <f t="shared" si="161"/>
        <v>44.29</v>
      </c>
    </row>
    <row r="10314" spans="2:8" x14ac:dyDescent="0.3">
      <c r="B10314">
        <v>93205</v>
      </c>
      <c r="C10314" t="s">
        <v>8231</v>
      </c>
      <c r="D10314" t="s">
        <v>159</v>
      </c>
      <c r="E10314">
        <v>97.58</v>
      </c>
      <c r="F10314">
        <v>0</v>
      </c>
      <c r="G10314">
        <f>VLOOKUP(B10314,'SINAPI-%MO'!B:E,4,0)</f>
        <v>0.4556</v>
      </c>
      <c r="H10314" s="225">
        <f t="shared" si="161"/>
        <v>53.12</v>
      </c>
    </row>
    <row r="10315" spans="2:8" x14ac:dyDescent="0.3">
      <c r="B10315">
        <v>105032</v>
      </c>
      <c r="C10315" t="s">
        <v>8232</v>
      </c>
      <c r="D10315" t="s">
        <v>159</v>
      </c>
      <c r="E10315">
        <v>43.43</v>
      </c>
      <c r="F10315">
        <v>0</v>
      </c>
      <c r="G10315">
        <f>VLOOKUP(B10315,'SINAPI-%MO'!B:E,4,0)</f>
        <v>0.3569</v>
      </c>
      <c r="H10315" s="225">
        <f t="shared" si="161"/>
        <v>27.92</v>
      </c>
    </row>
    <row r="10316" spans="2:8" x14ac:dyDescent="0.3">
      <c r="B10316">
        <v>105031</v>
      </c>
      <c r="C10316" t="s">
        <v>8233</v>
      </c>
      <c r="D10316" t="s">
        <v>159</v>
      </c>
      <c r="E10316">
        <v>67.709999999999994</v>
      </c>
      <c r="F10316">
        <v>0</v>
      </c>
      <c r="G10316">
        <f>VLOOKUP(B10316,'SINAPI-%MO'!B:E,4,0)</f>
        <v>0.39229999999999998</v>
      </c>
      <c r="H10316" s="225">
        <f t="shared" si="161"/>
        <v>41.14</v>
      </c>
    </row>
    <row r="10317" spans="2:8" x14ac:dyDescent="0.3">
      <c r="B10317">
        <v>93199</v>
      </c>
      <c r="C10317" t="s">
        <v>8234</v>
      </c>
      <c r="D10317" t="s">
        <v>159</v>
      </c>
      <c r="E10317">
        <v>74.430000000000007</v>
      </c>
      <c r="F10317">
        <v>0</v>
      </c>
      <c r="G10317">
        <f>VLOOKUP(B10317,'SINAPI-%MO'!B:E,4,0)</f>
        <v>0.46629999999999999</v>
      </c>
      <c r="H10317" s="225">
        <f t="shared" si="161"/>
        <v>39.72</v>
      </c>
    </row>
    <row r="10318" spans="2:8" x14ac:dyDescent="0.3">
      <c r="B10318">
        <v>105030</v>
      </c>
      <c r="C10318" t="s">
        <v>8235</v>
      </c>
      <c r="D10318" t="s">
        <v>159</v>
      </c>
      <c r="E10318">
        <v>42.55</v>
      </c>
      <c r="F10318">
        <v>0</v>
      </c>
      <c r="G10318">
        <f>VLOOKUP(B10318,'SINAPI-%MO'!B:E,4,0)</f>
        <v>0.35720000000000002</v>
      </c>
      <c r="H10318" s="225">
        <f t="shared" si="161"/>
        <v>27.35</v>
      </c>
    </row>
    <row r="10319" spans="2:8" x14ac:dyDescent="0.3">
      <c r="B10319">
        <v>105029</v>
      </c>
      <c r="C10319" t="s">
        <v>8236</v>
      </c>
      <c r="D10319" t="s">
        <v>159</v>
      </c>
      <c r="E10319">
        <v>51.39</v>
      </c>
      <c r="F10319">
        <v>0</v>
      </c>
      <c r="G10319">
        <f>VLOOKUP(B10319,'SINAPI-%MO'!B:E,4,0)</f>
        <v>0.37240000000000001</v>
      </c>
      <c r="H10319" s="225">
        <f t="shared" si="161"/>
        <v>32.25</v>
      </c>
    </row>
    <row r="10320" spans="2:8" x14ac:dyDescent="0.3">
      <c r="B10320">
        <v>93197</v>
      </c>
      <c r="C10320" t="s">
        <v>8237</v>
      </c>
      <c r="D10320" t="s">
        <v>159</v>
      </c>
      <c r="E10320">
        <v>60.25</v>
      </c>
      <c r="F10320">
        <v>0</v>
      </c>
      <c r="G10320">
        <f>VLOOKUP(B10320,'SINAPI-%MO'!B:E,4,0)</f>
        <v>0.3836</v>
      </c>
      <c r="H10320" s="225">
        <f t="shared" si="161"/>
        <v>37.130000000000003</v>
      </c>
    </row>
    <row r="10321" spans="2:8" x14ac:dyDescent="0.3">
      <c r="B10321">
        <v>105040</v>
      </c>
      <c r="C10321" t="s">
        <v>8238</v>
      </c>
      <c r="D10321" t="s">
        <v>159</v>
      </c>
      <c r="E10321">
        <v>35.6</v>
      </c>
      <c r="F10321">
        <v>0</v>
      </c>
      <c r="G10321">
        <f>VLOOKUP(B10321,'SINAPI-%MO'!B:E,4,0)</f>
        <v>0.70979999999999999</v>
      </c>
      <c r="H10321" s="225">
        <f t="shared" si="161"/>
        <v>10.33</v>
      </c>
    </row>
    <row r="10322" spans="2:8" x14ac:dyDescent="0.3">
      <c r="B10322">
        <v>105039</v>
      </c>
      <c r="C10322" t="s">
        <v>8239</v>
      </c>
      <c r="D10322" t="s">
        <v>159</v>
      </c>
      <c r="E10322">
        <v>52.56</v>
      </c>
      <c r="F10322">
        <v>0</v>
      </c>
      <c r="G10322">
        <f>VLOOKUP(B10322,'SINAPI-%MO'!B:E,4,0)</f>
        <v>0.70909999999999995</v>
      </c>
      <c r="H10322" s="225">
        <f t="shared" si="161"/>
        <v>15.28</v>
      </c>
    </row>
    <row r="10323" spans="2:8" x14ac:dyDescent="0.3">
      <c r="B10323">
        <v>105038</v>
      </c>
      <c r="C10323" t="s">
        <v>8240</v>
      </c>
      <c r="D10323" t="s">
        <v>159</v>
      </c>
      <c r="E10323">
        <v>73.02</v>
      </c>
      <c r="F10323">
        <v>0</v>
      </c>
      <c r="G10323">
        <f>VLOOKUP(B10323,'SINAPI-%MO'!B:E,4,0)</f>
        <v>0.70799999999999996</v>
      </c>
      <c r="H10323" s="225">
        <f t="shared" si="161"/>
        <v>21.32</v>
      </c>
    </row>
    <row r="10324" spans="2:8" x14ac:dyDescent="0.3">
      <c r="B10324">
        <v>105028</v>
      </c>
      <c r="C10324" t="s">
        <v>8241</v>
      </c>
      <c r="D10324" t="s">
        <v>159</v>
      </c>
      <c r="E10324">
        <v>21.7</v>
      </c>
      <c r="F10324">
        <v>0</v>
      </c>
      <c r="G10324">
        <f>VLOOKUP(B10324,'SINAPI-%MO'!B:E,4,0)</f>
        <v>0.30409999999999998</v>
      </c>
      <c r="H10324" s="225">
        <f t="shared" si="161"/>
        <v>15.1</v>
      </c>
    </row>
    <row r="10325" spans="2:8" x14ac:dyDescent="0.3">
      <c r="B10325">
        <v>105027</v>
      </c>
      <c r="C10325" t="s">
        <v>8242</v>
      </c>
      <c r="D10325" t="s">
        <v>159</v>
      </c>
      <c r="E10325">
        <v>25.14</v>
      </c>
      <c r="F10325">
        <v>0</v>
      </c>
      <c r="G10325">
        <f>VLOOKUP(B10325,'SINAPI-%MO'!B:E,4,0)</f>
        <v>0.30149999999999999</v>
      </c>
      <c r="H10325" s="225">
        <f t="shared" si="161"/>
        <v>17.559999999999999</v>
      </c>
    </row>
    <row r="10326" spans="2:8" x14ac:dyDescent="0.3">
      <c r="B10326">
        <v>93194</v>
      </c>
      <c r="C10326" t="s">
        <v>8243</v>
      </c>
      <c r="D10326" t="s">
        <v>159</v>
      </c>
      <c r="E10326">
        <v>29.07</v>
      </c>
      <c r="F10326">
        <v>0</v>
      </c>
      <c r="G10326">
        <f>VLOOKUP(B10326,'SINAPI-%MO'!B:E,4,0)</f>
        <v>0.29759999999999998</v>
      </c>
      <c r="H10326" s="225">
        <f t="shared" si="161"/>
        <v>20.41</v>
      </c>
    </row>
    <row r="10327" spans="2:8" x14ac:dyDescent="0.3">
      <c r="B10327">
        <v>93200</v>
      </c>
      <c r="C10327" t="s">
        <v>8244</v>
      </c>
      <c r="D10327" t="s">
        <v>159</v>
      </c>
      <c r="E10327">
        <v>13.15</v>
      </c>
      <c r="F10327">
        <v>0</v>
      </c>
      <c r="G10327">
        <f>VLOOKUP(B10327,'SINAPI-%MO'!B:E,4,0)</f>
        <v>0.86160000000000003</v>
      </c>
      <c r="H10327" s="225">
        <f t="shared" si="161"/>
        <v>1.81</v>
      </c>
    </row>
    <row r="10328" spans="2:8" x14ac:dyDescent="0.3">
      <c r="B10328">
        <v>93203</v>
      </c>
      <c r="C10328" t="s">
        <v>8245</v>
      </c>
      <c r="D10328" t="s">
        <v>159</v>
      </c>
      <c r="E10328">
        <v>13.07</v>
      </c>
      <c r="F10328">
        <v>0</v>
      </c>
      <c r="G10328">
        <f>VLOOKUP(B10328,'SINAPI-%MO'!B:E,4,0)</f>
        <v>0.13769999999999999</v>
      </c>
      <c r="H10328" s="225">
        <f t="shared" si="161"/>
        <v>11.27</v>
      </c>
    </row>
    <row r="10329" spans="2:8" x14ac:dyDescent="0.3">
      <c r="B10329">
        <v>93202</v>
      </c>
      <c r="C10329" t="s">
        <v>8246</v>
      </c>
      <c r="D10329" t="s">
        <v>159</v>
      </c>
      <c r="E10329">
        <v>30.97</v>
      </c>
      <c r="F10329">
        <v>0</v>
      </c>
      <c r="G10329">
        <f>VLOOKUP(B10329,'SINAPI-%MO'!B:E,4,0)</f>
        <v>0.6865</v>
      </c>
      <c r="H10329" s="225">
        <f t="shared" si="161"/>
        <v>9.6999999999999993</v>
      </c>
    </row>
    <row r="10330" spans="2:8" x14ac:dyDescent="0.3">
      <c r="B10330">
        <v>105026</v>
      </c>
      <c r="C10330" t="s">
        <v>8247</v>
      </c>
      <c r="D10330" t="s">
        <v>159</v>
      </c>
      <c r="E10330">
        <v>45.87</v>
      </c>
      <c r="F10330">
        <v>0</v>
      </c>
      <c r="G10330">
        <f>VLOOKUP(B10330,'SINAPI-%MO'!B:E,4,0)</f>
        <v>0.28860000000000002</v>
      </c>
      <c r="H10330" s="225">
        <f t="shared" si="161"/>
        <v>32.630000000000003</v>
      </c>
    </row>
    <row r="10331" spans="2:8" x14ac:dyDescent="0.3">
      <c r="B10331">
        <v>105025</v>
      </c>
      <c r="C10331" t="s">
        <v>8248</v>
      </c>
      <c r="D10331" t="s">
        <v>159</v>
      </c>
      <c r="E10331">
        <v>66.209999999999994</v>
      </c>
      <c r="F10331">
        <v>0</v>
      </c>
      <c r="G10331">
        <f>VLOOKUP(B10331,'SINAPI-%MO'!B:E,4,0)</f>
        <v>0.30740000000000001</v>
      </c>
      <c r="H10331" s="225">
        <f t="shared" si="161"/>
        <v>45.85</v>
      </c>
    </row>
    <row r="10332" spans="2:8" x14ac:dyDescent="0.3">
      <c r="B10332">
        <v>93191</v>
      </c>
      <c r="C10332" t="s">
        <v>8249</v>
      </c>
      <c r="D10332" t="s">
        <v>159</v>
      </c>
      <c r="E10332">
        <v>80.64</v>
      </c>
      <c r="F10332">
        <v>0</v>
      </c>
      <c r="G10332">
        <f>VLOOKUP(B10332,'SINAPI-%MO'!B:E,4,0)</f>
        <v>0.32190000000000002</v>
      </c>
      <c r="H10332" s="225">
        <f t="shared" si="161"/>
        <v>54.68</v>
      </c>
    </row>
    <row r="10333" spans="2:8" x14ac:dyDescent="0.3">
      <c r="B10333">
        <v>105024</v>
      </c>
      <c r="C10333" t="s">
        <v>8250</v>
      </c>
      <c r="D10333" t="s">
        <v>159</v>
      </c>
      <c r="E10333">
        <v>54.95</v>
      </c>
      <c r="F10333">
        <v>0</v>
      </c>
      <c r="G10333">
        <f>VLOOKUP(B10333,'SINAPI-%MO'!B:E,4,0)</f>
        <v>0.43090000000000001</v>
      </c>
      <c r="H10333" s="225">
        <f t="shared" si="161"/>
        <v>31.27</v>
      </c>
    </row>
    <row r="10334" spans="2:8" x14ac:dyDescent="0.3">
      <c r="B10334">
        <v>105023</v>
      </c>
      <c r="C10334" t="s">
        <v>8251</v>
      </c>
      <c r="D10334" t="s">
        <v>159</v>
      </c>
      <c r="E10334">
        <v>67.78</v>
      </c>
      <c r="F10334">
        <v>0</v>
      </c>
      <c r="G10334">
        <f>VLOOKUP(B10334,'SINAPI-%MO'!B:E,4,0)</f>
        <v>0.44600000000000001</v>
      </c>
      <c r="H10334" s="225">
        <f t="shared" si="161"/>
        <v>37.549999999999997</v>
      </c>
    </row>
    <row r="10335" spans="2:8" x14ac:dyDescent="0.3">
      <c r="B10335">
        <v>93187</v>
      </c>
      <c r="C10335" t="s">
        <v>8252</v>
      </c>
      <c r="D10335" t="s">
        <v>159</v>
      </c>
      <c r="E10335">
        <v>80.58</v>
      </c>
      <c r="F10335">
        <v>0</v>
      </c>
      <c r="G10335">
        <f>VLOOKUP(B10335,'SINAPI-%MO'!B:E,4,0)</f>
        <v>0.45619999999999999</v>
      </c>
      <c r="H10335" s="225">
        <f t="shared" si="161"/>
        <v>43.81</v>
      </c>
    </row>
    <row r="10336" spans="2:8" x14ac:dyDescent="0.3">
      <c r="B10336">
        <v>105037</v>
      </c>
      <c r="C10336" t="s">
        <v>8253</v>
      </c>
      <c r="D10336" t="s">
        <v>159</v>
      </c>
      <c r="E10336">
        <v>35.770000000000003</v>
      </c>
      <c r="F10336">
        <v>0</v>
      </c>
      <c r="G10336">
        <f>VLOOKUP(B10336,'SINAPI-%MO'!B:E,4,0)</f>
        <v>0.71120000000000005</v>
      </c>
      <c r="H10336" s="225">
        <f t="shared" si="161"/>
        <v>10.33</v>
      </c>
    </row>
    <row r="10337" spans="2:8" x14ac:dyDescent="0.3">
      <c r="B10337">
        <v>105036</v>
      </c>
      <c r="C10337" t="s">
        <v>8254</v>
      </c>
      <c r="D10337" t="s">
        <v>159</v>
      </c>
      <c r="E10337">
        <v>52.8</v>
      </c>
      <c r="F10337">
        <v>0</v>
      </c>
      <c r="G10337">
        <f>VLOOKUP(B10337,'SINAPI-%MO'!B:E,4,0)</f>
        <v>0.71040000000000003</v>
      </c>
      <c r="H10337" s="225">
        <f t="shared" si="161"/>
        <v>15.29</v>
      </c>
    </row>
    <row r="10338" spans="2:8" x14ac:dyDescent="0.3">
      <c r="B10338">
        <v>105035</v>
      </c>
      <c r="C10338" t="s">
        <v>8255</v>
      </c>
      <c r="D10338" t="s">
        <v>159</v>
      </c>
      <c r="E10338">
        <v>73.23</v>
      </c>
      <c r="F10338">
        <v>0</v>
      </c>
      <c r="G10338">
        <f>VLOOKUP(B10338,'SINAPI-%MO'!B:E,4,0)</f>
        <v>0.70889999999999997</v>
      </c>
      <c r="H10338" s="225">
        <f t="shared" si="161"/>
        <v>21.31</v>
      </c>
    </row>
    <row r="10339" spans="2:8" x14ac:dyDescent="0.3">
      <c r="B10339">
        <v>105022</v>
      </c>
      <c r="C10339" t="s">
        <v>8256</v>
      </c>
      <c r="D10339" t="s">
        <v>159</v>
      </c>
      <c r="E10339">
        <v>22.06</v>
      </c>
      <c r="F10339">
        <v>0</v>
      </c>
      <c r="G10339">
        <f>VLOOKUP(B10339,'SINAPI-%MO'!B:E,4,0)</f>
        <v>0.30919999999999997</v>
      </c>
      <c r="H10339" s="225">
        <f t="shared" si="161"/>
        <v>15.23</v>
      </c>
    </row>
    <row r="10340" spans="2:8" x14ac:dyDescent="0.3">
      <c r="B10340">
        <v>105021</v>
      </c>
      <c r="C10340" t="s">
        <v>8257</v>
      </c>
      <c r="D10340" t="s">
        <v>159</v>
      </c>
      <c r="E10340">
        <v>25.53</v>
      </c>
      <c r="F10340">
        <v>0</v>
      </c>
      <c r="G10340">
        <f>VLOOKUP(B10340,'SINAPI-%MO'!B:E,4,0)</f>
        <v>0.30669999999999997</v>
      </c>
      <c r="H10340" s="225">
        <f t="shared" si="161"/>
        <v>17.690000000000001</v>
      </c>
    </row>
    <row r="10341" spans="2:8" x14ac:dyDescent="0.3">
      <c r="B10341">
        <v>93184</v>
      </c>
      <c r="C10341" t="s">
        <v>8258</v>
      </c>
      <c r="D10341" t="s">
        <v>159</v>
      </c>
      <c r="E10341">
        <v>29.84</v>
      </c>
      <c r="F10341">
        <v>0</v>
      </c>
      <c r="G10341">
        <f>VLOOKUP(B10341,'SINAPI-%MO'!B:E,4,0)</f>
        <v>0.3019</v>
      </c>
      <c r="H10341" s="225">
        <f t="shared" si="161"/>
        <v>20.83</v>
      </c>
    </row>
    <row r="10342" spans="2:8" x14ac:dyDescent="0.3">
      <c r="B10342">
        <v>106317</v>
      </c>
      <c r="C10342" t="s">
        <v>15386</v>
      </c>
      <c r="D10342" t="s">
        <v>168</v>
      </c>
      <c r="E10342">
        <v>0</v>
      </c>
      <c r="G10342" t="e">
        <f>VLOOKUP(B10342,'SINAPI-%MO'!B:E,4,0)</f>
        <v>#N/A</v>
      </c>
      <c r="H10342" s="225" t="str">
        <f t="shared" si="161"/>
        <v/>
      </c>
    </row>
    <row r="10343" spans="2:8" x14ac:dyDescent="0.3">
      <c r="B10343">
        <v>102237</v>
      </c>
      <c r="C10343" t="s">
        <v>15387</v>
      </c>
      <c r="D10343" t="s">
        <v>168</v>
      </c>
      <c r="E10343">
        <v>0</v>
      </c>
      <c r="G10343" t="e">
        <f>VLOOKUP(B10343,'SINAPI-%MO'!B:E,4,0)</f>
        <v>#N/A</v>
      </c>
      <c r="H10343" s="225" t="str">
        <f t="shared" si="161"/>
        <v/>
      </c>
    </row>
    <row r="10344" spans="2:8" x14ac:dyDescent="0.3">
      <c r="B10344">
        <v>102149</v>
      </c>
      <c r="C10344" t="s">
        <v>15388</v>
      </c>
      <c r="D10344" t="s">
        <v>168</v>
      </c>
      <c r="E10344">
        <v>0</v>
      </c>
      <c r="G10344" t="e">
        <f>VLOOKUP(B10344,'SINAPI-%MO'!B:E,4,0)</f>
        <v>#N/A</v>
      </c>
      <c r="H10344" s="225" t="str">
        <f t="shared" si="161"/>
        <v/>
      </c>
    </row>
    <row r="10345" spans="2:8" x14ac:dyDescent="0.3">
      <c r="B10345">
        <v>102144</v>
      </c>
      <c r="C10345" t="s">
        <v>15389</v>
      </c>
      <c r="D10345" t="s">
        <v>168</v>
      </c>
      <c r="E10345">
        <v>0</v>
      </c>
      <c r="G10345" t="e">
        <f>VLOOKUP(B10345,'SINAPI-%MO'!B:E,4,0)</f>
        <v>#N/A</v>
      </c>
      <c r="H10345" s="225" t="str">
        <f t="shared" si="161"/>
        <v/>
      </c>
    </row>
    <row r="10346" spans="2:8" x14ac:dyDescent="0.3">
      <c r="B10346">
        <v>102150</v>
      </c>
      <c r="C10346" t="s">
        <v>15390</v>
      </c>
      <c r="D10346" t="s">
        <v>168</v>
      </c>
      <c r="E10346">
        <v>0</v>
      </c>
      <c r="G10346" t="e">
        <f>VLOOKUP(B10346,'SINAPI-%MO'!B:E,4,0)</f>
        <v>#N/A</v>
      </c>
      <c r="H10346" s="225" t="str">
        <f t="shared" si="161"/>
        <v/>
      </c>
    </row>
    <row r="10347" spans="2:8" x14ac:dyDescent="0.3">
      <c r="B10347">
        <v>102145</v>
      </c>
      <c r="C10347" t="s">
        <v>15391</v>
      </c>
      <c r="D10347" t="s">
        <v>168</v>
      </c>
      <c r="E10347">
        <v>0</v>
      </c>
      <c r="G10347" t="e">
        <f>VLOOKUP(B10347,'SINAPI-%MO'!B:E,4,0)</f>
        <v>#N/A</v>
      </c>
      <c r="H10347" s="225" t="str">
        <f t="shared" si="161"/>
        <v/>
      </c>
    </row>
    <row r="10348" spans="2:8" x14ac:dyDescent="0.3">
      <c r="B10348">
        <v>102146</v>
      </c>
      <c r="C10348" t="s">
        <v>15392</v>
      </c>
      <c r="D10348" t="s">
        <v>168</v>
      </c>
      <c r="E10348">
        <v>0</v>
      </c>
      <c r="G10348" t="e">
        <f>VLOOKUP(B10348,'SINAPI-%MO'!B:E,4,0)</f>
        <v>#N/A</v>
      </c>
      <c r="H10348" s="225" t="str">
        <f t="shared" si="161"/>
        <v/>
      </c>
    </row>
    <row r="10349" spans="2:8" x14ac:dyDescent="0.3">
      <c r="B10349">
        <v>102147</v>
      </c>
      <c r="C10349" t="s">
        <v>15393</v>
      </c>
      <c r="D10349" t="s">
        <v>168</v>
      </c>
      <c r="E10349">
        <v>0</v>
      </c>
      <c r="G10349" t="e">
        <f>VLOOKUP(B10349,'SINAPI-%MO'!B:E,4,0)</f>
        <v>#N/A</v>
      </c>
      <c r="H10349" s="225" t="str">
        <f t="shared" si="161"/>
        <v/>
      </c>
    </row>
    <row r="10350" spans="2:8" x14ac:dyDescent="0.3">
      <c r="B10350">
        <v>102148</v>
      </c>
      <c r="C10350" t="s">
        <v>15394</v>
      </c>
      <c r="D10350" t="s">
        <v>168</v>
      </c>
      <c r="E10350">
        <v>0</v>
      </c>
      <c r="G10350" t="e">
        <f>VLOOKUP(B10350,'SINAPI-%MO'!B:E,4,0)</f>
        <v>#N/A</v>
      </c>
      <c r="H10350" s="225" t="str">
        <f t="shared" si="161"/>
        <v/>
      </c>
    </row>
    <row r="10351" spans="2:8" x14ac:dyDescent="0.3">
      <c r="B10351">
        <v>102171</v>
      </c>
      <c r="C10351" t="s">
        <v>14726</v>
      </c>
      <c r="D10351" t="s">
        <v>168</v>
      </c>
      <c r="E10351">
        <v>429.25</v>
      </c>
      <c r="F10351">
        <v>0.19409999999999999</v>
      </c>
      <c r="G10351">
        <f>VLOOKUP(B10351,'SINAPI-%MO'!B:E,4,0)</f>
        <v>6.3899999999999998E-2</v>
      </c>
      <c r="H10351" s="225">
        <f t="shared" si="161"/>
        <v>401.82</v>
      </c>
    </row>
    <row r="10352" spans="2:8" x14ac:dyDescent="0.3">
      <c r="B10352">
        <v>102172</v>
      </c>
      <c r="C10352" t="s">
        <v>14727</v>
      </c>
      <c r="D10352" t="s">
        <v>168</v>
      </c>
      <c r="E10352">
        <v>409.86</v>
      </c>
      <c r="F10352">
        <v>0.15740000000000001</v>
      </c>
      <c r="G10352">
        <f>VLOOKUP(B10352,'SINAPI-%MO'!B:E,4,0)</f>
        <v>5.1400000000000001E-2</v>
      </c>
      <c r="H10352" s="225">
        <f t="shared" si="161"/>
        <v>388.79</v>
      </c>
    </row>
    <row r="10353" spans="2:8" x14ac:dyDescent="0.3">
      <c r="B10353">
        <v>102170</v>
      </c>
      <c r="C10353" t="s">
        <v>14728</v>
      </c>
      <c r="D10353" t="s">
        <v>168</v>
      </c>
      <c r="E10353">
        <v>258.99</v>
      </c>
      <c r="F10353">
        <v>0.39389999999999997</v>
      </c>
      <c r="G10353">
        <f>VLOOKUP(B10353,'SINAPI-%MO'!B:E,4,0)</f>
        <v>0.13109999999999999</v>
      </c>
      <c r="H10353" s="225">
        <f t="shared" ref="H10353:H10386" si="162">IF(E10353&gt;0,TRUNC(E10353*(1-G10353),2),"")</f>
        <v>225.03</v>
      </c>
    </row>
    <row r="10354" spans="2:8" x14ac:dyDescent="0.3">
      <c r="B10354">
        <v>102160</v>
      </c>
      <c r="C10354" t="s">
        <v>14729</v>
      </c>
      <c r="D10354" t="s">
        <v>168</v>
      </c>
      <c r="E10354">
        <v>145.61000000000001</v>
      </c>
      <c r="F10354">
        <v>0</v>
      </c>
      <c r="G10354">
        <f>VLOOKUP(B10354,'SINAPI-%MO'!B:E,4,0)</f>
        <v>0.2175</v>
      </c>
      <c r="H10354" s="225">
        <f t="shared" si="162"/>
        <v>113.93</v>
      </c>
    </row>
    <row r="10355" spans="2:8" x14ac:dyDescent="0.3">
      <c r="B10355">
        <v>106315</v>
      </c>
      <c r="C10355" t="s">
        <v>15395</v>
      </c>
      <c r="D10355" t="s">
        <v>168</v>
      </c>
      <c r="E10355">
        <v>0</v>
      </c>
      <c r="G10355" t="e">
        <f>VLOOKUP(B10355,'SINAPI-%MO'!B:E,4,0)</f>
        <v>#N/A</v>
      </c>
      <c r="H10355" s="225" t="str">
        <f t="shared" si="162"/>
        <v/>
      </c>
    </row>
    <row r="10356" spans="2:8" x14ac:dyDescent="0.3">
      <c r="B10356">
        <v>102174</v>
      </c>
      <c r="C10356" t="s">
        <v>15396</v>
      </c>
      <c r="D10356" t="s">
        <v>168</v>
      </c>
      <c r="E10356">
        <v>0</v>
      </c>
      <c r="G10356" t="e">
        <f>VLOOKUP(B10356,'SINAPI-%MO'!B:E,4,0)</f>
        <v>#N/A</v>
      </c>
      <c r="H10356" s="225" t="str">
        <f t="shared" si="162"/>
        <v/>
      </c>
    </row>
    <row r="10357" spans="2:8" x14ac:dyDescent="0.3">
      <c r="B10357">
        <v>106316</v>
      </c>
      <c r="C10357" t="s">
        <v>15397</v>
      </c>
      <c r="D10357" t="s">
        <v>168</v>
      </c>
      <c r="E10357">
        <v>0</v>
      </c>
      <c r="G10357" t="e">
        <f>VLOOKUP(B10357,'SINAPI-%MO'!B:E,4,0)</f>
        <v>#N/A</v>
      </c>
      <c r="H10357" s="225" t="str">
        <f t="shared" si="162"/>
        <v/>
      </c>
    </row>
    <row r="10358" spans="2:8" x14ac:dyDescent="0.3">
      <c r="B10358">
        <v>102175</v>
      </c>
      <c r="C10358" t="s">
        <v>15398</v>
      </c>
      <c r="D10358" t="s">
        <v>168</v>
      </c>
      <c r="E10358">
        <v>0</v>
      </c>
      <c r="G10358" t="e">
        <f>VLOOKUP(B10358,'SINAPI-%MO'!B:E,4,0)</f>
        <v>#N/A</v>
      </c>
      <c r="H10358" s="225" t="str">
        <f t="shared" si="162"/>
        <v/>
      </c>
    </row>
    <row r="10359" spans="2:8" x14ac:dyDescent="0.3">
      <c r="B10359">
        <v>106314</v>
      </c>
      <c r="C10359" t="s">
        <v>15399</v>
      </c>
      <c r="D10359" t="s">
        <v>168</v>
      </c>
      <c r="E10359">
        <v>0</v>
      </c>
      <c r="G10359" t="e">
        <f>VLOOKUP(B10359,'SINAPI-%MO'!B:E,4,0)</f>
        <v>#N/A</v>
      </c>
      <c r="H10359" s="225" t="str">
        <f t="shared" si="162"/>
        <v/>
      </c>
    </row>
    <row r="10360" spans="2:8" x14ac:dyDescent="0.3">
      <c r="B10360">
        <v>102173</v>
      </c>
      <c r="C10360" t="s">
        <v>15400</v>
      </c>
      <c r="D10360" t="s">
        <v>168</v>
      </c>
      <c r="E10360">
        <v>0</v>
      </c>
      <c r="G10360" t="e">
        <f>VLOOKUP(B10360,'SINAPI-%MO'!B:E,4,0)</f>
        <v>#N/A</v>
      </c>
      <c r="H10360" s="225" t="str">
        <f t="shared" si="162"/>
        <v/>
      </c>
    </row>
    <row r="10361" spans="2:8" x14ac:dyDescent="0.3">
      <c r="B10361">
        <v>102163</v>
      </c>
      <c r="C10361" t="s">
        <v>14730</v>
      </c>
      <c r="D10361" t="s">
        <v>168</v>
      </c>
      <c r="E10361">
        <v>318.91000000000003</v>
      </c>
      <c r="F10361">
        <v>0.31990000000000002</v>
      </c>
      <c r="G10361">
        <f>VLOOKUP(B10361,'SINAPI-%MO'!B:E,4,0)</f>
        <v>0.1065</v>
      </c>
      <c r="H10361" s="225">
        <f t="shared" si="162"/>
        <v>284.94</v>
      </c>
    </row>
    <row r="10362" spans="2:8" x14ac:dyDescent="0.3">
      <c r="B10362">
        <v>102153</v>
      </c>
      <c r="C10362" t="s">
        <v>14731</v>
      </c>
      <c r="D10362" t="s">
        <v>168</v>
      </c>
      <c r="E10362">
        <v>205.53</v>
      </c>
      <c r="F10362">
        <v>0</v>
      </c>
      <c r="G10362">
        <f>VLOOKUP(B10362,'SINAPI-%MO'!B:E,4,0)</f>
        <v>0.15409999999999999</v>
      </c>
      <c r="H10362" s="225">
        <f t="shared" si="162"/>
        <v>173.85</v>
      </c>
    </row>
    <row r="10363" spans="2:8" x14ac:dyDescent="0.3">
      <c r="B10363">
        <v>102165</v>
      </c>
      <c r="C10363" t="s">
        <v>14732</v>
      </c>
      <c r="D10363" t="s">
        <v>168</v>
      </c>
      <c r="E10363">
        <v>302.13</v>
      </c>
      <c r="F10363">
        <v>0.2757</v>
      </c>
      <c r="G10363">
        <f>VLOOKUP(B10363,'SINAPI-%MO'!B:E,4,0)</f>
        <v>9.0800000000000006E-2</v>
      </c>
      <c r="H10363" s="225">
        <f t="shared" si="162"/>
        <v>274.69</v>
      </c>
    </row>
    <row r="10364" spans="2:8" x14ac:dyDescent="0.3">
      <c r="B10364">
        <v>102155</v>
      </c>
      <c r="C10364" t="s">
        <v>14733</v>
      </c>
      <c r="D10364" t="s">
        <v>168</v>
      </c>
      <c r="E10364">
        <v>209.3</v>
      </c>
      <c r="F10364">
        <v>0</v>
      </c>
      <c r="G10364">
        <f>VLOOKUP(B10364,'SINAPI-%MO'!B:E,4,0)</f>
        <v>0.121</v>
      </c>
      <c r="H10364" s="225">
        <f t="shared" si="162"/>
        <v>183.97</v>
      </c>
    </row>
    <row r="10365" spans="2:8" x14ac:dyDescent="0.3">
      <c r="B10365">
        <v>102167</v>
      </c>
      <c r="C10365" t="s">
        <v>14734</v>
      </c>
      <c r="D10365" t="s">
        <v>168</v>
      </c>
      <c r="E10365">
        <v>339.95</v>
      </c>
      <c r="F10365">
        <v>0.1898</v>
      </c>
      <c r="G10365">
        <f>VLOOKUP(B10365,'SINAPI-%MO'!B:E,4,0)</f>
        <v>6.2E-2</v>
      </c>
      <c r="H10365" s="225">
        <f t="shared" si="162"/>
        <v>318.87</v>
      </c>
    </row>
    <row r="10366" spans="2:8" x14ac:dyDescent="0.3">
      <c r="B10366">
        <v>102157</v>
      </c>
      <c r="C10366" t="s">
        <v>14735</v>
      </c>
      <c r="D10366" t="s">
        <v>168</v>
      </c>
      <c r="E10366">
        <v>267.93</v>
      </c>
      <c r="F10366">
        <v>0</v>
      </c>
      <c r="G10366">
        <f>VLOOKUP(B10366,'SINAPI-%MO'!B:E,4,0)</f>
        <v>7.22E-2</v>
      </c>
      <c r="H10366" s="225">
        <f t="shared" si="162"/>
        <v>248.58</v>
      </c>
    </row>
    <row r="10367" spans="2:8" x14ac:dyDescent="0.3">
      <c r="B10367">
        <v>102169</v>
      </c>
      <c r="C10367" t="s">
        <v>14736</v>
      </c>
      <c r="D10367" t="s">
        <v>168</v>
      </c>
      <c r="E10367">
        <v>364.38</v>
      </c>
      <c r="F10367">
        <v>0.1143</v>
      </c>
      <c r="G10367">
        <f>VLOOKUP(B10367,'SINAPI-%MO'!B:E,4,0)</f>
        <v>3.7499999999999999E-2</v>
      </c>
      <c r="H10367" s="225">
        <f t="shared" si="162"/>
        <v>350.71</v>
      </c>
    </row>
    <row r="10368" spans="2:8" x14ac:dyDescent="0.3">
      <c r="B10368">
        <v>102159</v>
      </c>
      <c r="C10368" t="s">
        <v>14737</v>
      </c>
      <c r="D10368" t="s">
        <v>168</v>
      </c>
      <c r="E10368">
        <v>317.95</v>
      </c>
      <c r="F10368">
        <v>0</v>
      </c>
      <c r="G10368">
        <f>VLOOKUP(B10368,'SINAPI-%MO'!B:E,4,0)</f>
        <v>3.9600000000000003E-2</v>
      </c>
      <c r="H10368" s="225">
        <f t="shared" si="162"/>
        <v>305.35000000000002</v>
      </c>
    </row>
    <row r="10369" spans="2:8" x14ac:dyDescent="0.3">
      <c r="B10369">
        <v>102161</v>
      </c>
      <c r="C10369" t="s">
        <v>14738</v>
      </c>
      <c r="D10369" t="s">
        <v>168</v>
      </c>
      <c r="E10369">
        <v>263.98</v>
      </c>
      <c r="F10369">
        <v>0.38640000000000002</v>
      </c>
      <c r="G10369">
        <f>VLOOKUP(B10369,'SINAPI-%MO'!B:E,4,0)</f>
        <v>0.12859999999999999</v>
      </c>
      <c r="H10369" s="225">
        <f t="shared" si="162"/>
        <v>230.03</v>
      </c>
    </row>
    <row r="10370" spans="2:8" x14ac:dyDescent="0.3">
      <c r="B10370">
        <v>102151</v>
      </c>
      <c r="C10370" t="s">
        <v>14739</v>
      </c>
      <c r="D10370" t="s">
        <v>168</v>
      </c>
      <c r="E10370">
        <v>150.6</v>
      </c>
      <c r="F10370">
        <v>0</v>
      </c>
      <c r="G10370">
        <f>VLOOKUP(B10370,'SINAPI-%MO'!B:E,4,0)</f>
        <v>0.21029999999999999</v>
      </c>
      <c r="H10370" s="225">
        <f t="shared" si="162"/>
        <v>118.92</v>
      </c>
    </row>
    <row r="10371" spans="2:8" x14ac:dyDescent="0.3">
      <c r="B10371">
        <v>102162</v>
      </c>
      <c r="C10371" t="s">
        <v>14740</v>
      </c>
      <c r="D10371" t="s">
        <v>168</v>
      </c>
      <c r="E10371">
        <v>278.97000000000003</v>
      </c>
      <c r="F10371">
        <v>0.36570000000000003</v>
      </c>
      <c r="G10371">
        <f>VLOOKUP(B10371,'SINAPI-%MO'!B:E,4,0)</f>
        <v>0.1217</v>
      </c>
      <c r="H10371" s="225">
        <f t="shared" si="162"/>
        <v>245.01</v>
      </c>
    </row>
    <row r="10372" spans="2:8" x14ac:dyDescent="0.3">
      <c r="B10372">
        <v>102152</v>
      </c>
      <c r="C10372" t="s">
        <v>14741</v>
      </c>
      <c r="D10372" t="s">
        <v>168</v>
      </c>
      <c r="E10372">
        <v>165.59</v>
      </c>
      <c r="F10372">
        <v>0</v>
      </c>
      <c r="G10372">
        <f>VLOOKUP(B10372,'SINAPI-%MO'!B:E,4,0)</f>
        <v>0.1913</v>
      </c>
      <c r="H10372" s="225">
        <f t="shared" si="162"/>
        <v>133.91</v>
      </c>
    </row>
    <row r="10373" spans="2:8" x14ac:dyDescent="0.3">
      <c r="B10373">
        <v>102164</v>
      </c>
      <c r="C10373" t="s">
        <v>14742</v>
      </c>
      <c r="D10373" t="s">
        <v>168</v>
      </c>
      <c r="E10373">
        <v>269.45</v>
      </c>
      <c r="F10373">
        <v>0.30909999999999999</v>
      </c>
      <c r="G10373">
        <f>VLOOKUP(B10373,'SINAPI-%MO'!B:E,4,0)</f>
        <v>0.1018</v>
      </c>
      <c r="H10373" s="225">
        <f t="shared" si="162"/>
        <v>242.01</v>
      </c>
    </row>
    <row r="10374" spans="2:8" x14ac:dyDescent="0.3">
      <c r="B10374">
        <v>102154</v>
      </c>
      <c r="C10374" t="s">
        <v>14743</v>
      </c>
      <c r="D10374" t="s">
        <v>168</v>
      </c>
      <c r="E10374">
        <v>176.62</v>
      </c>
      <c r="F10374">
        <v>0</v>
      </c>
      <c r="G10374">
        <f>VLOOKUP(B10374,'SINAPI-%MO'!B:E,4,0)</f>
        <v>0.1434</v>
      </c>
      <c r="H10374" s="225">
        <f t="shared" si="162"/>
        <v>151.29</v>
      </c>
    </row>
    <row r="10375" spans="2:8" x14ac:dyDescent="0.3">
      <c r="B10375">
        <v>102166</v>
      </c>
      <c r="C10375" t="s">
        <v>14744</v>
      </c>
      <c r="D10375" t="s">
        <v>168</v>
      </c>
      <c r="E10375">
        <v>270.02999999999997</v>
      </c>
      <c r="F10375">
        <v>0.2389</v>
      </c>
      <c r="G10375">
        <f>VLOOKUP(B10375,'SINAPI-%MO'!B:E,4,0)</f>
        <v>7.8100000000000003E-2</v>
      </c>
      <c r="H10375" s="225">
        <f t="shared" si="162"/>
        <v>248.94</v>
      </c>
    </row>
    <row r="10376" spans="2:8" x14ac:dyDescent="0.3">
      <c r="B10376">
        <v>102156</v>
      </c>
      <c r="C10376" t="s">
        <v>14745</v>
      </c>
      <c r="D10376" t="s">
        <v>168</v>
      </c>
      <c r="E10376">
        <v>198.01</v>
      </c>
      <c r="F10376">
        <v>0</v>
      </c>
      <c r="G10376">
        <f>VLOOKUP(B10376,'SINAPI-%MO'!B:E,4,0)</f>
        <v>9.7699999999999995E-2</v>
      </c>
      <c r="H10376" s="225">
        <f t="shared" si="162"/>
        <v>178.66</v>
      </c>
    </row>
    <row r="10377" spans="2:8" x14ac:dyDescent="0.3">
      <c r="B10377">
        <v>102168</v>
      </c>
      <c r="C10377" t="s">
        <v>14746</v>
      </c>
      <c r="D10377" t="s">
        <v>168</v>
      </c>
      <c r="E10377">
        <v>322.01</v>
      </c>
      <c r="F10377">
        <v>0.14849999999999999</v>
      </c>
      <c r="G10377">
        <f>VLOOKUP(B10377,'SINAPI-%MO'!B:E,4,0)</f>
        <v>4.8599999999999997E-2</v>
      </c>
      <c r="H10377" s="225">
        <f t="shared" si="162"/>
        <v>306.36</v>
      </c>
    </row>
    <row r="10378" spans="2:8" x14ac:dyDescent="0.3">
      <c r="B10378">
        <v>102158</v>
      </c>
      <c r="C10378" t="s">
        <v>14747</v>
      </c>
      <c r="D10378" t="s">
        <v>168</v>
      </c>
      <c r="E10378">
        <v>268.62</v>
      </c>
      <c r="F10378">
        <v>0</v>
      </c>
      <c r="G10378">
        <f>VLOOKUP(B10378,'SINAPI-%MO'!B:E,4,0)</f>
        <v>5.3400000000000003E-2</v>
      </c>
      <c r="H10378" s="225">
        <f t="shared" si="162"/>
        <v>254.27</v>
      </c>
    </row>
    <row r="10379" spans="2:8" x14ac:dyDescent="0.3">
      <c r="B10379">
        <v>102181</v>
      </c>
      <c r="C10379" t="s">
        <v>14748</v>
      </c>
      <c r="D10379" t="s">
        <v>168</v>
      </c>
      <c r="E10379">
        <v>435.12</v>
      </c>
      <c r="F10379">
        <v>0</v>
      </c>
      <c r="G10379">
        <f>VLOOKUP(B10379,'SINAPI-%MO'!B:E,4,0)</f>
        <v>0.1336</v>
      </c>
      <c r="H10379" s="225">
        <f t="shared" si="162"/>
        <v>376.98</v>
      </c>
    </row>
    <row r="10380" spans="2:8" x14ac:dyDescent="0.3">
      <c r="B10380">
        <v>102179</v>
      </c>
      <c r="C10380" t="s">
        <v>14749</v>
      </c>
      <c r="D10380" t="s">
        <v>168</v>
      </c>
      <c r="E10380">
        <v>323.61</v>
      </c>
      <c r="F10380">
        <v>0</v>
      </c>
      <c r="G10380">
        <f>VLOOKUP(B10380,'SINAPI-%MO'!B:E,4,0)</f>
        <v>0.1973</v>
      </c>
      <c r="H10380" s="225">
        <f t="shared" si="162"/>
        <v>259.76</v>
      </c>
    </row>
    <row r="10381" spans="2:8" x14ac:dyDescent="0.3">
      <c r="B10381">
        <v>102180</v>
      </c>
      <c r="C10381" t="s">
        <v>14750</v>
      </c>
      <c r="D10381" t="s">
        <v>168</v>
      </c>
      <c r="E10381">
        <v>370.6</v>
      </c>
      <c r="F10381">
        <v>0</v>
      </c>
      <c r="G10381">
        <f>VLOOKUP(B10381,'SINAPI-%MO'!B:E,4,0)</f>
        <v>0.1658</v>
      </c>
      <c r="H10381" s="225">
        <f t="shared" si="162"/>
        <v>309.14999999999998</v>
      </c>
    </row>
    <row r="10382" spans="2:8" x14ac:dyDescent="0.3">
      <c r="B10382">
        <v>102189</v>
      </c>
      <c r="C10382" t="s">
        <v>14751</v>
      </c>
      <c r="D10382" t="s">
        <v>136</v>
      </c>
      <c r="E10382">
        <v>301.95999999999998</v>
      </c>
      <c r="F10382">
        <v>0</v>
      </c>
      <c r="G10382">
        <f>VLOOKUP(B10382,'SINAPI-%MO'!B:E,4,0)</f>
        <v>0.3049</v>
      </c>
      <c r="H10382" s="225">
        <f t="shared" si="162"/>
        <v>209.89</v>
      </c>
    </row>
    <row r="10383" spans="2:8" x14ac:dyDescent="0.3">
      <c r="B10383">
        <v>102188</v>
      </c>
      <c r="C10383" t="s">
        <v>14752</v>
      </c>
      <c r="D10383" t="s">
        <v>136</v>
      </c>
      <c r="E10383">
        <v>1220.3900000000001</v>
      </c>
      <c r="F10383">
        <v>0</v>
      </c>
      <c r="G10383">
        <f>VLOOKUP(B10383,'SINAPI-%MO'!B:E,4,0)</f>
        <v>7.3099999999999998E-2</v>
      </c>
      <c r="H10383" s="225">
        <f t="shared" si="162"/>
        <v>1131.17</v>
      </c>
    </row>
    <row r="10384" spans="2:8" x14ac:dyDescent="0.3">
      <c r="B10384">
        <v>106320</v>
      </c>
      <c r="C10384" t="s">
        <v>14753</v>
      </c>
      <c r="D10384" t="s">
        <v>136</v>
      </c>
      <c r="E10384">
        <v>2397.36</v>
      </c>
      <c r="F10384">
        <v>0</v>
      </c>
      <c r="G10384">
        <f>VLOOKUP(B10384,'SINAPI-%MO'!B:E,4,0)</f>
        <v>7.2700000000000001E-2</v>
      </c>
      <c r="H10384" s="225">
        <f t="shared" si="162"/>
        <v>2223.0700000000002</v>
      </c>
    </row>
    <row r="10385" spans="2:8" x14ac:dyDescent="0.3">
      <c r="B10385">
        <v>102185</v>
      </c>
      <c r="C10385" t="s">
        <v>14754</v>
      </c>
      <c r="D10385" t="s">
        <v>136</v>
      </c>
      <c r="E10385">
        <v>4337.62</v>
      </c>
      <c r="F10385">
        <v>0</v>
      </c>
      <c r="G10385">
        <f>VLOOKUP(B10385,'SINAPI-%MO'!B:E,4,0)</f>
        <v>7.6600000000000001E-2</v>
      </c>
      <c r="H10385" s="225">
        <f t="shared" si="162"/>
        <v>4005.35</v>
      </c>
    </row>
    <row r="10386" spans="2:8" x14ac:dyDescent="0.3">
      <c r="B10386">
        <v>106318</v>
      </c>
      <c r="C10386" t="s">
        <v>14755</v>
      </c>
      <c r="D10386" t="s">
        <v>136</v>
      </c>
      <c r="E10386">
        <v>2005.81</v>
      </c>
      <c r="F10386">
        <v>0</v>
      </c>
      <c r="G10386">
        <f>VLOOKUP(B10386,'SINAPI-%MO'!B:E,4,0)</f>
        <v>7.4899999999999994E-2</v>
      </c>
      <c r="H10386" s="225">
        <f t="shared" si="162"/>
        <v>1855.57</v>
      </c>
    </row>
    <row r="10387" spans="2:8" x14ac:dyDescent="0.3">
      <c r="B10387">
        <v>106319</v>
      </c>
      <c r="C10387" t="s">
        <v>14756</v>
      </c>
      <c r="D10387" t="s">
        <v>136</v>
      </c>
      <c r="E10387">
        <v>2084.12</v>
      </c>
      <c r="F10387">
        <v>0</v>
      </c>
      <c r="G10387">
        <f>VLOOKUP(B10387,'SINAPI-%MO'!B:E,4,0)</f>
        <v>7.4399999999999994E-2</v>
      </c>
      <c r="H10387" s="225">
        <f t="shared" ref="H10387:H10450" si="163">IF(E10387&gt;0,TRUNC(E10387*(1-G10387),2),"")</f>
        <v>1929.06</v>
      </c>
    </row>
    <row r="10388" spans="2:8" x14ac:dyDescent="0.3">
      <c r="B10388">
        <v>102184</v>
      </c>
      <c r="C10388" t="s">
        <v>14757</v>
      </c>
      <c r="D10388" t="s">
        <v>136</v>
      </c>
      <c r="E10388">
        <v>2162.4299999999998</v>
      </c>
      <c r="F10388">
        <v>0</v>
      </c>
      <c r="G10388">
        <f>VLOOKUP(B10388,'SINAPI-%MO'!B:E,4,0)</f>
        <v>7.3899999999999993E-2</v>
      </c>
      <c r="H10388" s="225">
        <f t="shared" si="163"/>
        <v>2002.62</v>
      </c>
    </row>
    <row r="10389" spans="2:8" x14ac:dyDescent="0.3">
      <c r="B10389">
        <v>102187</v>
      </c>
      <c r="C10389" t="s">
        <v>15401</v>
      </c>
      <c r="D10389" t="s">
        <v>136</v>
      </c>
      <c r="E10389">
        <v>0</v>
      </c>
      <c r="G10389" t="e">
        <f>VLOOKUP(B10389,'SINAPI-%MO'!B:E,4,0)</f>
        <v>#N/A</v>
      </c>
      <c r="H10389" s="225" t="str">
        <f t="shared" si="163"/>
        <v/>
      </c>
    </row>
    <row r="10390" spans="2:8" x14ac:dyDescent="0.3">
      <c r="B10390">
        <v>102186</v>
      </c>
      <c r="C10390" t="s">
        <v>15402</v>
      </c>
      <c r="D10390" t="s">
        <v>136</v>
      </c>
      <c r="E10390">
        <v>0</v>
      </c>
      <c r="G10390" t="e">
        <f>VLOOKUP(B10390,'SINAPI-%MO'!B:E,4,0)</f>
        <v>#N/A</v>
      </c>
      <c r="H10390" s="225" t="str">
        <f t="shared" si="163"/>
        <v/>
      </c>
    </row>
    <row r="10391" spans="2:8" x14ac:dyDescent="0.3">
      <c r="B10391">
        <v>102183</v>
      </c>
      <c r="C10391" t="s">
        <v>14758</v>
      </c>
      <c r="D10391" t="s">
        <v>136</v>
      </c>
      <c r="E10391">
        <v>1734.57</v>
      </c>
      <c r="F10391">
        <v>0</v>
      </c>
      <c r="G10391">
        <f>VLOOKUP(B10391,'SINAPI-%MO'!B:E,4,0)</f>
        <v>0.1163</v>
      </c>
      <c r="H10391" s="225">
        <f t="shared" si="163"/>
        <v>1532.83</v>
      </c>
    </row>
    <row r="10392" spans="2:8" x14ac:dyDescent="0.3">
      <c r="B10392">
        <v>102182</v>
      </c>
      <c r="C10392" t="s">
        <v>14759</v>
      </c>
      <c r="D10392" t="s">
        <v>136</v>
      </c>
      <c r="E10392">
        <v>965.86</v>
      </c>
      <c r="F10392">
        <v>0</v>
      </c>
      <c r="G10392">
        <f>VLOOKUP(B10392,'SINAPI-%MO'!B:E,4,0)</f>
        <v>9.7799999999999998E-2</v>
      </c>
      <c r="H10392" s="225">
        <f t="shared" si="163"/>
        <v>871.39</v>
      </c>
    </row>
    <row r="10393" spans="2:8" x14ac:dyDescent="0.3">
      <c r="B10393">
        <v>102191</v>
      </c>
      <c r="C10393" t="s">
        <v>14760</v>
      </c>
      <c r="D10393" t="s">
        <v>168</v>
      </c>
      <c r="E10393">
        <v>21.33</v>
      </c>
      <c r="F10393">
        <v>0</v>
      </c>
      <c r="G10393">
        <f>VLOOKUP(B10393,'SINAPI-%MO'!B:E,4,0)</f>
        <v>1</v>
      </c>
      <c r="H10393" s="225">
        <f t="shared" si="163"/>
        <v>0</v>
      </c>
    </row>
    <row r="10394" spans="2:8" x14ac:dyDescent="0.3">
      <c r="B10394">
        <v>102190</v>
      </c>
      <c r="C10394" t="s">
        <v>14761</v>
      </c>
      <c r="D10394" t="s">
        <v>168</v>
      </c>
      <c r="E10394">
        <v>19.690000000000001</v>
      </c>
      <c r="F10394">
        <v>0</v>
      </c>
      <c r="G10394">
        <f>VLOOKUP(B10394,'SINAPI-%MO'!B:E,4,0)</f>
        <v>1</v>
      </c>
      <c r="H10394" s="225">
        <f t="shared" si="163"/>
        <v>0</v>
      </c>
    </row>
    <row r="10395" spans="2:8" x14ac:dyDescent="0.3">
      <c r="B10395">
        <v>102192</v>
      </c>
      <c r="C10395" t="s">
        <v>14762</v>
      </c>
      <c r="D10395" t="s">
        <v>168</v>
      </c>
      <c r="E10395">
        <v>18.829999999999998</v>
      </c>
      <c r="F10395">
        <v>0</v>
      </c>
      <c r="G10395">
        <f>VLOOKUP(B10395,'SINAPI-%MO'!B:E,4,0)</f>
        <v>1</v>
      </c>
      <c r="H10395" s="225">
        <f t="shared" si="163"/>
        <v>0</v>
      </c>
    </row>
    <row r="10396" spans="2:8" x14ac:dyDescent="0.3">
      <c r="B10396">
        <v>89354</v>
      </c>
      <c r="C10396" t="s">
        <v>8259</v>
      </c>
      <c r="D10396" t="s">
        <v>136</v>
      </c>
      <c r="E10396">
        <v>1019.21</v>
      </c>
      <c r="F10396">
        <v>0</v>
      </c>
      <c r="G10396">
        <f>VLOOKUP(B10396,'SINAPI-%MO'!B:E,4,0)</f>
        <v>3.49E-2</v>
      </c>
      <c r="H10396" s="225">
        <f t="shared" si="163"/>
        <v>983.63</v>
      </c>
    </row>
    <row r="10397" spans="2:8" x14ac:dyDescent="0.3">
      <c r="B10397">
        <v>103041</v>
      </c>
      <c r="C10397" t="s">
        <v>8260</v>
      </c>
      <c r="D10397" t="s">
        <v>136</v>
      </c>
      <c r="E10397">
        <v>26.3</v>
      </c>
      <c r="F10397">
        <v>0</v>
      </c>
      <c r="G10397">
        <f>VLOOKUP(B10397,'SINAPI-%MO'!B:E,4,0)</f>
        <v>0.15670000000000001</v>
      </c>
      <c r="H10397" s="225">
        <f t="shared" si="163"/>
        <v>22.17</v>
      </c>
    </row>
    <row r="10398" spans="2:8" x14ac:dyDescent="0.3">
      <c r="B10398">
        <v>103042</v>
      </c>
      <c r="C10398" t="s">
        <v>8261</v>
      </c>
      <c r="D10398" t="s">
        <v>136</v>
      </c>
      <c r="E10398">
        <v>32.4</v>
      </c>
      <c r="F10398">
        <v>0</v>
      </c>
      <c r="G10398">
        <f>VLOOKUP(B10398,'SINAPI-%MO'!B:E,4,0)</f>
        <v>0.1951</v>
      </c>
      <c r="H10398" s="225">
        <f t="shared" si="163"/>
        <v>26.07</v>
      </c>
    </row>
    <row r="10399" spans="2:8" x14ac:dyDescent="0.3">
      <c r="B10399">
        <v>103043</v>
      </c>
      <c r="C10399" t="s">
        <v>8262</v>
      </c>
      <c r="D10399" t="s">
        <v>136</v>
      </c>
      <c r="E10399">
        <v>30.43</v>
      </c>
      <c r="F10399">
        <v>0</v>
      </c>
      <c r="G10399">
        <f>VLOOKUP(B10399,'SINAPI-%MO'!B:E,4,0)</f>
        <v>0.13539999999999999</v>
      </c>
      <c r="H10399" s="225">
        <f t="shared" si="163"/>
        <v>26.3</v>
      </c>
    </row>
    <row r="10400" spans="2:8" x14ac:dyDescent="0.3">
      <c r="B10400">
        <v>103044</v>
      </c>
      <c r="C10400" t="s">
        <v>8263</v>
      </c>
      <c r="D10400" t="s">
        <v>136</v>
      </c>
      <c r="E10400">
        <v>41</v>
      </c>
      <c r="F10400">
        <v>0</v>
      </c>
      <c r="G10400">
        <f>VLOOKUP(B10400,'SINAPI-%MO'!B:E,4,0)</f>
        <v>0.15409999999999999</v>
      </c>
      <c r="H10400" s="225">
        <f t="shared" si="163"/>
        <v>34.68</v>
      </c>
    </row>
    <row r="10401" spans="2:8" x14ac:dyDescent="0.3">
      <c r="B10401">
        <v>103039</v>
      </c>
      <c r="C10401" t="s">
        <v>8264</v>
      </c>
      <c r="D10401" t="s">
        <v>136</v>
      </c>
      <c r="E10401">
        <v>90.5</v>
      </c>
      <c r="F10401">
        <v>0</v>
      </c>
      <c r="G10401">
        <f>VLOOKUP(B10401,'SINAPI-%MO'!B:E,4,0)</f>
        <v>0.16719999999999999</v>
      </c>
      <c r="H10401" s="225">
        <f t="shared" si="163"/>
        <v>75.36</v>
      </c>
    </row>
    <row r="10402" spans="2:8" x14ac:dyDescent="0.3">
      <c r="B10402">
        <v>103038</v>
      </c>
      <c r="C10402" t="s">
        <v>8265</v>
      </c>
      <c r="D10402" t="s">
        <v>136</v>
      </c>
      <c r="E10402">
        <v>83.36</v>
      </c>
      <c r="F10402">
        <v>0</v>
      </c>
      <c r="G10402">
        <f>VLOOKUP(B10402,'SINAPI-%MO'!B:E,4,0)</f>
        <v>0.13930000000000001</v>
      </c>
      <c r="H10402" s="225">
        <f t="shared" si="163"/>
        <v>71.739999999999995</v>
      </c>
    </row>
    <row r="10403" spans="2:8" x14ac:dyDescent="0.3">
      <c r="B10403">
        <v>103037</v>
      </c>
      <c r="C10403" t="s">
        <v>8266</v>
      </c>
      <c r="D10403" t="s">
        <v>136</v>
      </c>
      <c r="E10403">
        <v>62.28</v>
      </c>
      <c r="F10403">
        <v>0</v>
      </c>
      <c r="G10403">
        <f>VLOOKUP(B10403,'SINAPI-%MO'!B:E,4,0)</f>
        <v>0.13700000000000001</v>
      </c>
      <c r="H10403" s="225">
        <f t="shared" si="163"/>
        <v>53.74</v>
      </c>
    </row>
    <row r="10404" spans="2:8" x14ac:dyDescent="0.3">
      <c r="B10404">
        <v>103036</v>
      </c>
      <c r="C10404" t="s">
        <v>8267</v>
      </c>
      <c r="D10404" t="s">
        <v>136</v>
      </c>
      <c r="E10404">
        <v>31.64</v>
      </c>
      <c r="F10404">
        <v>0</v>
      </c>
      <c r="G10404">
        <f>VLOOKUP(B10404,'SINAPI-%MO'!B:E,4,0)</f>
        <v>0.13020000000000001</v>
      </c>
      <c r="H10404" s="225">
        <f t="shared" si="163"/>
        <v>27.52</v>
      </c>
    </row>
    <row r="10405" spans="2:8" x14ac:dyDescent="0.3">
      <c r="B10405">
        <v>103040</v>
      </c>
      <c r="C10405" t="s">
        <v>8268</v>
      </c>
      <c r="D10405" t="s">
        <v>136</v>
      </c>
      <c r="E10405">
        <v>134.80000000000001</v>
      </c>
      <c r="F10405">
        <v>0</v>
      </c>
      <c r="G10405">
        <f>VLOOKUP(B10405,'SINAPI-%MO'!B:E,4,0)</f>
        <v>0.1449</v>
      </c>
      <c r="H10405" s="225">
        <f t="shared" si="163"/>
        <v>115.26</v>
      </c>
    </row>
    <row r="10406" spans="2:8" x14ac:dyDescent="0.3">
      <c r="B10406">
        <v>90371</v>
      </c>
      <c r="C10406" t="s">
        <v>8269</v>
      </c>
      <c r="D10406" t="s">
        <v>136</v>
      </c>
      <c r="E10406">
        <v>39.299999999999997</v>
      </c>
      <c r="F10406">
        <v>0</v>
      </c>
      <c r="G10406">
        <f>VLOOKUP(B10406,'SINAPI-%MO'!B:E,4,0)</f>
        <v>0.1608</v>
      </c>
      <c r="H10406" s="225">
        <f t="shared" si="163"/>
        <v>32.979999999999997</v>
      </c>
    </row>
    <row r="10407" spans="2:8" x14ac:dyDescent="0.3">
      <c r="B10407">
        <v>103047</v>
      </c>
      <c r="C10407" t="s">
        <v>8270</v>
      </c>
      <c r="D10407" t="s">
        <v>136</v>
      </c>
      <c r="E10407">
        <v>32.28</v>
      </c>
      <c r="F10407">
        <v>0</v>
      </c>
      <c r="G10407">
        <f>VLOOKUP(B10407,'SINAPI-%MO'!B:E,4,0)</f>
        <v>0.153</v>
      </c>
      <c r="H10407" s="225">
        <f t="shared" si="163"/>
        <v>27.34</v>
      </c>
    </row>
    <row r="10408" spans="2:8" x14ac:dyDescent="0.3">
      <c r="B10408">
        <v>94489</v>
      </c>
      <c r="C10408" t="s">
        <v>8271</v>
      </c>
      <c r="D10408" t="s">
        <v>136</v>
      </c>
      <c r="E10408">
        <v>39.93</v>
      </c>
      <c r="F10408">
        <v>0</v>
      </c>
      <c r="G10408">
        <f>VLOOKUP(B10408,'SINAPI-%MO'!B:E,4,0)</f>
        <v>0.1142</v>
      </c>
      <c r="H10408" s="225">
        <f t="shared" si="163"/>
        <v>35.36</v>
      </c>
    </row>
    <row r="10409" spans="2:8" x14ac:dyDescent="0.3">
      <c r="B10409">
        <v>94490</v>
      </c>
      <c r="C10409" t="s">
        <v>8272</v>
      </c>
      <c r="D10409" t="s">
        <v>136</v>
      </c>
      <c r="E10409">
        <v>59.48</v>
      </c>
      <c r="F10409">
        <v>0</v>
      </c>
      <c r="G10409">
        <f>VLOOKUP(B10409,'SINAPI-%MO'!B:E,4,0)</f>
        <v>7.6700000000000004E-2</v>
      </c>
      <c r="H10409" s="225">
        <f t="shared" si="163"/>
        <v>54.91</v>
      </c>
    </row>
    <row r="10410" spans="2:8" x14ac:dyDescent="0.3">
      <c r="B10410">
        <v>94491</v>
      </c>
      <c r="C10410" t="s">
        <v>8273</v>
      </c>
      <c r="D10410" t="s">
        <v>136</v>
      </c>
      <c r="E10410">
        <v>81.010000000000005</v>
      </c>
      <c r="F10410">
        <v>0</v>
      </c>
      <c r="G10410">
        <f>VLOOKUP(B10410,'SINAPI-%MO'!B:E,4,0)</f>
        <v>8.0399999999999999E-2</v>
      </c>
      <c r="H10410" s="225">
        <f t="shared" si="163"/>
        <v>74.489999999999995</v>
      </c>
    </row>
    <row r="10411" spans="2:8" x14ac:dyDescent="0.3">
      <c r="B10411">
        <v>94492</v>
      </c>
      <c r="C10411" t="s">
        <v>8274</v>
      </c>
      <c r="D10411" t="s">
        <v>136</v>
      </c>
      <c r="E10411">
        <v>83.32</v>
      </c>
      <c r="F10411">
        <v>0</v>
      </c>
      <c r="G10411">
        <f>VLOOKUP(B10411,'SINAPI-%MO'!B:E,4,0)</f>
        <v>7.8100000000000003E-2</v>
      </c>
      <c r="H10411" s="225">
        <f t="shared" si="163"/>
        <v>76.81</v>
      </c>
    </row>
    <row r="10412" spans="2:8" x14ac:dyDescent="0.3">
      <c r="B10412">
        <v>94493</v>
      </c>
      <c r="C10412" t="s">
        <v>8275</v>
      </c>
      <c r="D10412" t="s">
        <v>136</v>
      </c>
      <c r="E10412">
        <v>152.69999999999999</v>
      </c>
      <c r="F10412">
        <v>0</v>
      </c>
      <c r="G10412">
        <f>VLOOKUP(B10412,'SINAPI-%MO'!B:E,4,0)</f>
        <v>6.9099999999999995E-2</v>
      </c>
      <c r="H10412" s="225">
        <f t="shared" si="163"/>
        <v>142.13999999999999</v>
      </c>
    </row>
    <row r="10413" spans="2:8" x14ac:dyDescent="0.3">
      <c r="B10413">
        <v>94497</v>
      </c>
      <c r="C10413" t="s">
        <v>8276</v>
      </c>
      <c r="D10413" t="s">
        <v>136</v>
      </c>
      <c r="E10413">
        <v>154.47999999999999</v>
      </c>
      <c r="F10413">
        <v>0</v>
      </c>
      <c r="G10413">
        <f>VLOOKUP(B10413,'SINAPI-%MO'!B:E,4,0)</f>
        <v>9.7900000000000001E-2</v>
      </c>
      <c r="H10413" s="225">
        <f t="shared" si="163"/>
        <v>139.35</v>
      </c>
    </row>
    <row r="10414" spans="2:8" x14ac:dyDescent="0.3">
      <c r="B10414">
        <v>94794</v>
      </c>
      <c r="C10414" t="s">
        <v>8277</v>
      </c>
      <c r="D10414" t="s">
        <v>136</v>
      </c>
      <c r="E10414">
        <v>244.15</v>
      </c>
      <c r="F10414">
        <v>0</v>
      </c>
      <c r="G10414">
        <f>VLOOKUP(B10414,'SINAPI-%MO'!B:E,4,0)</f>
        <v>8.8099999999999998E-2</v>
      </c>
      <c r="H10414" s="225">
        <f t="shared" si="163"/>
        <v>222.64</v>
      </c>
    </row>
    <row r="10415" spans="2:8" x14ac:dyDescent="0.3">
      <c r="B10415">
        <v>94496</v>
      </c>
      <c r="C10415" t="s">
        <v>8278</v>
      </c>
      <c r="D10415" t="s">
        <v>136</v>
      </c>
      <c r="E10415">
        <v>122.01</v>
      </c>
      <c r="F10415">
        <v>0</v>
      </c>
      <c r="G10415">
        <f>VLOOKUP(B10415,'SINAPI-%MO'!B:E,4,0)</f>
        <v>9.5200000000000007E-2</v>
      </c>
      <c r="H10415" s="225">
        <f t="shared" si="163"/>
        <v>110.39</v>
      </c>
    </row>
    <row r="10416" spans="2:8" x14ac:dyDescent="0.3">
      <c r="B10416">
        <v>94793</v>
      </c>
      <c r="C10416" t="s">
        <v>8279</v>
      </c>
      <c r="D10416" t="s">
        <v>136</v>
      </c>
      <c r="E10416">
        <v>230.83</v>
      </c>
      <c r="F10416">
        <v>0</v>
      </c>
      <c r="G10416">
        <f>VLOOKUP(B10416,'SINAPI-%MO'!B:E,4,0)</f>
        <v>7.7899999999999997E-2</v>
      </c>
      <c r="H10416" s="225">
        <f t="shared" si="163"/>
        <v>212.84</v>
      </c>
    </row>
    <row r="10417" spans="2:8" x14ac:dyDescent="0.3">
      <c r="B10417">
        <v>94495</v>
      </c>
      <c r="C10417" t="s">
        <v>8280</v>
      </c>
      <c r="D10417" t="s">
        <v>136</v>
      </c>
      <c r="E10417">
        <v>89.55</v>
      </c>
      <c r="F10417">
        <v>0</v>
      </c>
      <c r="G10417">
        <f>VLOOKUP(B10417,'SINAPI-%MO'!B:E,4,0)</f>
        <v>9.5299999999999996E-2</v>
      </c>
      <c r="H10417" s="225">
        <f t="shared" si="163"/>
        <v>81.010000000000005</v>
      </c>
    </row>
    <row r="10418" spans="2:8" x14ac:dyDescent="0.3">
      <c r="B10418">
        <v>94792</v>
      </c>
      <c r="C10418" t="s">
        <v>8281</v>
      </c>
      <c r="D10418" t="s">
        <v>136</v>
      </c>
      <c r="E10418">
        <v>168.01</v>
      </c>
      <c r="F10418">
        <v>0</v>
      </c>
      <c r="G10418">
        <f>VLOOKUP(B10418,'SINAPI-%MO'!B:E,4,0)</f>
        <v>8.8700000000000001E-2</v>
      </c>
      <c r="H10418" s="225">
        <f t="shared" si="163"/>
        <v>153.1</v>
      </c>
    </row>
    <row r="10419" spans="2:8" x14ac:dyDescent="0.3">
      <c r="B10419">
        <v>89352</v>
      </c>
      <c r="C10419" t="s">
        <v>8282</v>
      </c>
      <c r="D10419" t="s">
        <v>136</v>
      </c>
      <c r="E10419">
        <v>52.79</v>
      </c>
      <c r="F10419">
        <v>0</v>
      </c>
      <c r="G10419">
        <f>VLOOKUP(B10419,'SINAPI-%MO'!B:E,4,0)</f>
        <v>7.8E-2</v>
      </c>
      <c r="H10419" s="225">
        <f t="shared" si="163"/>
        <v>48.67</v>
      </c>
    </row>
    <row r="10420" spans="2:8" x14ac:dyDescent="0.3">
      <c r="B10420">
        <v>89986</v>
      </c>
      <c r="C10420" t="s">
        <v>8283</v>
      </c>
      <c r="D10420" t="s">
        <v>136</v>
      </c>
      <c r="E10420">
        <v>121.36</v>
      </c>
      <c r="F10420">
        <v>0</v>
      </c>
      <c r="G10420">
        <f>VLOOKUP(B10420,'SINAPI-%MO'!B:E,4,0)</f>
        <v>8.6599999999999996E-2</v>
      </c>
      <c r="H10420" s="225">
        <f t="shared" si="163"/>
        <v>110.85</v>
      </c>
    </row>
    <row r="10421" spans="2:8" x14ac:dyDescent="0.3">
      <c r="B10421">
        <v>94499</v>
      </c>
      <c r="C10421" t="s">
        <v>8284</v>
      </c>
      <c r="D10421" t="s">
        <v>136</v>
      </c>
      <c r="E10421">
        <v>428.26</v>
      </c>
      <c r="F10421">
        <v>0</v>
      </c>
      <c r="G10421">
        <f>VLOOKUP(B10421,'SINAPI-%MO'!B:E,4,0)</f>
        <v>6.0999999999999999E-2</v>
      </c>
      <c r="H10421" s="225">
        <f t="shared" si="163"/>
        <v>402.13</v>
      </c>
    </row>
    <row r="10422" spans="2:8" x14ac:dyDescent="0.3">
      <c r="B10422">
        <v>94498</v>
      </c>
      <c r="C10422" t="s">
        <v>8285</v>
      </c>
      <c r="D10422" t="s">
        <v>136</v>
      </c>
      <c r="E10422">
        <v>213.58</v>
      </c>
      <c r="F10422">
        <v>0</v>
      </c>
      <c r="G10422">
        <f>VLOOKUP(B10422,'SINAPI-%MO'!B:E,4,0)</f>
        <v>9.1399999999999995E-2</v>
      </c>
      <c r="H10422" s="225">
        <f t="shared" si="163"/>
        <v>194.05</v>
      </c>
    </row>
    <row r="10423" spans="2:8" x14ac:dyDescent="0.3">
      <c r="B10423">
        <v>94500</v>
      </c>
      <c r="C10423" t="s">
        <v>8286</v>
      </c>
      <c r="D10423" t="s">
        <v>136</v>
      </c>
      <c r="E10423">
        <v>519.57000000000005</v>
      </c>
      <c r="F10423">
        <v>0</v>
      </c>
      <c r="G10423">
        <f>VLOOKUP(B10423,'SINAPI-%MO'!B:E,4,0)</f>
        <v>6.3E-2</v>
      </c>
      <c r="H10423" s="225">
        <f t="shared" si="163"/>
        <v>486.83</v>
      </c>
    </row>
    <row r="10424" spans="2:8" x14ac:dyDescent="0.3">
      <c r="B10424">
        <v>89353</v>
      </c>
      <c r="C10424" t="s">
        <v>8287</v>
      </c>
      <c r="D10424" t="s">
        <v>136</v>
      </c>
      <c r="E10424">
        <v>57.69</v>
      </c>
      <c r="F10424">
        <v>0</v>
      </c>
      <c r="G10424">
        <f>VLOOKUP(B10424,'SINAPI-%MO'!B:E,4,0)</f>
        <v>0.1096</v>
      </c>
      <c r="H10424" s="225">
        <f t="shared" si="163"/>
        <v>51.36</v>
      </c>
    </row>
    <row r="10425" spans="2:8" x14ac:dyDescent="0.3">
      <c r="B10425">
        <v>89987</v>
      </c>
      <c r="C10425" t="s">
        <v>8288</v>
      </c>
      <c r="D10425" t="s">
        <v>136</v>
      </c>
      <c r="E10425">
        <v>137.77000000000001</v>
      </c>
      <c r="F10425">
        <v>0</v>
      </c>
      <c r="G10425">
        <f>VLOOKUP(B10425,'SINAPI-%MO'!B:E,4,0)</f>
        <v>9.2200000000000004E-2</v>
      </c>
      <c r="H10425" s="225">
        <f t="shared" si="163"/>
        <v>125.06</v>
      </c>
    </row>
    <row r="10426" spans="2:8" x14ac:dyDescent="0.3">
      <c r="B10426">
        <v>94501</v>
      </c>
      <c r="C10426" t="s">
        <v>8289</v>
      </c>
      <c r="D10426" t="s">
        <v>136</v>
      </c>
      <c r="E10426">
        <v>1055.49</v>
      </c>
      <c r="F10426">
        <v>0</v>
      </c>
      <c r="G10426">
        <f>VLOOKUP(B10426,'SINAPI-%MO'!B:E,4,0)</f>
        <v>3.9300000000000002E-2</v>
      </c>
      <c r="H10426" s="225">
        <f t="shared" si="163"/>
        <v>1014</v>
      </c>
    </row>
    <row r="10427" spans="2:8" x14ac:dyDescent="0.3">
      <c r="B10427">
        <v>89349</v>
      </c>
      <c r="C10427" t="s">
        <v>8290</v>
      </c>
      <c r="D10427" t="s">
        <v>136</v>
      </c>
      <c r="E10427">
        <v>38.65</v>
      </c>
      <c r="F10427">
        <v>0</v>
      </c>
      <c r="G10427">
        <f>VLOOKUP(B10427,'SINAPI-%MO'!B:E,4,0)</f>
        <v>0.1066</v>
      </c>
      <c r="H10427" s="225">
        <f t="shared" si="163"/>
        <v>34.520000000000003</v>
      </c>
    </row>
    <row r="10428" spans="2:8" x14ac:dyDescent="0.3">
      <c r="B10428">
        <v>89984</v>
      </c>
      <c r="C10428" t="s">
        <v>8291</v>
      </c>
      <c r="D10428" t="s">
        <v>136</v>
      </c>
      <c r="E10428">
        <v>124.6</v>
      </c>
      <c r="F10428">
        <v>0</v>
      </c>
      <c r="G10428">
        <f>VLOOKUP(B10428,'SINAPI-%MO'!B:E,4,0)</f>
        <v>8.43E-2</v>
      </c>
      <c r="H10428" s="225">
        <f t="shared" si="163"/>
        <v>114.09</v>
      </c>
    </row>
    <row r="10429" spans="2:8" x14ac:dyDescent="0.3">
      <c r="B10429">
        <v>89985</v>
      </c>
      <c r="C10429" t="s">
        <v>8292</v>
      </c>
      <c r="D10429" t="s">
        <v>136</v>
      </c>
      <c r="E10429">
        <v>130.66999999999999</v>
      </c>
      <c r="F10429">
        <v>0</v>
      </c>
      <c r="G10429">
        <f>VLOOKUP(B10429,'SINAPI-%MO'!B:E,4,0)</f>
        <v>9.7199999999999995E-2</v>
      </c>
      <c r="H10429" s="225">
        <f t="shared" si="163"/>
        <v>117.96</v>
      </c>
    </row>
    <row r="10430" spans="2:8" x14ac:dyDescent="0.3">
      <c r="B10430">
        <v>89351</v>
      </c>
      <c r="C10430" t="s">
        <v>8293</v>
      </c>
      <c r="D10430" t="s">
        <v>136</v>
      </c>
      <c r="E10430">
        <v>47.56</v>
      </c>
      <c r="F10430">
        <v>0</v>
      </c>
      <c r="G10430">
        <f>VLOOKUP(B10430,'SINAPI-%MO'!B:E,4,0)</f>
        <v>0.13289999999999999</v>
      </c>
      <c r="H10430" s="225">
        <f t="shared" si="163"/>
        <v>41.23</v>
      </c>
    </row>
    <row r="10431" spans="2:8" x14ac:dyDescent="0.3">
      <c r="B10431">
        <v>103045</v>
      </c>
      <c r="C10431" t="s">
        <v>8294</v>
      </c>
      <c r="D10431" t="s">
        <v>136</v>
      </c>
      <c r="E10431">
        <v>12.73</v>
      </c>
      <c r="F10431">
        <v>0</v>
      </c>
      <c r="G10431">
        <f>VLOOKUP(B10431,'SINAPI-%MO'!B:E,4,0)</f>
        <v>0.3236</v>
      </c>
      <c r="H10431" s="225">
        <f t="shared" si="163"/>
        <v>8.61</v>
      </c>
    </row>
    <row r="10432" spans="2:8" x14ac:dyDescent="0.3">
      <c r="B10432">
        <v>103046</v>
      </c>
      <c r="C10432" t="s">
        <v>8295</v>
      </c>
      <c r="D10432" t="s">
        <v>136</v>
      </c>
      <c r="E10432">
        <v>30.67</v>
      </c>
      <c r="F10432">
        <v>0</v>
      </c>
      <c r="G10432">
        <f>VLOOKUP(B10432,'SINAPI-%MO'!B:E,4,0)</f>
        <v>0.20610000000000001</v>
      </c>
      <c r="H10432" s="225">
        <f t="shared" si="163"/>
        <v>24.34</v>
      </c>
    </row>
    <row r="10433" spans="2:8" x14ac:dyDescent="0.3">
      <c r="B10433">
        <v>103048</v>
      </c>
      <c r="C10433" t="s">
        <v>8296</v>
      </c>
      <c r="D10433" t="s">
        <v>136</v>
      </c>
      <c r="E10433">
        <v>24.08</v>
      </c>
      <c r="F10433">
        <v>0</v>
      </c>
      <c r="G10433">
        <f>VLOOKUP(B10433,'SINAPI-%MO'!B:E,4,0)</f>
        <v>0.2051</v>
      </c>
      <c r="H10433" s="225">
        <f t="shared" si="163"/>
        <v>19.14</v>
      </c>
    </row>
    <row r="10434" spans="2:8" x14ac:dyDescent="0.3">
      <c r="B10434">
        <v>103049</v>
      </c>
      <c r="C10434" t="s">
        <v>8297</v>
      </c>
      <c r="D10434" t="s">
        <v>136</v>
      </c>
      <c r="E10434">
        <v>26.26</v>
      </c>
      <c r="F10434">
        <v>0</v>
      </c>
      <c r="G10434">
        <f>VLOOKUP(B10434,'SINAPI-%MO'!B:E,4,0)</f>
        <v>0.1736</v>
      </c>
      <c r="H10434" s="225">
        <f t="shared" si="163"/>
        <v>21.7</v>
      </c>
    </row>
    <row r="10435" spans="2:8" x14ac:dyDescent="0.3">
      <c r="B10435">
        <v>103029</v>
      </c>
      <c r="C10435" t="s">
        <v>8298</v>
      </c>
      <c r="D10435" t="s">
        <v>136</v>
      </c>
      <c r="E10435">
        <v>66.14</v>
      </c>
      <c r="F10435">
        <v>0</v>
      </c>
      <c r="G10435">
        <f>VLOOKUP(B10435,'SINAPI-%MO'!B:E,4,0)</f>
        <v>9.5600000000000004E-2</v>
      </c>
      <c r="H10435" s="225">
        <f t="shared" si="163"/>
        <v>59.81</v>
      </c>
    </row>
    <row r="10436" spans="2:8" x14ac:dyDescent="0.3">
      <c r="B10436">
        <v>103019</v>
      </c>
      <c r="C10436" t="s">
        <v>8299</v>
      </c>
      <c r="D10436" t="s">
        <v>136</v>
      </c>
      <c r="E10436">
        <v>191.6</v>
      </c>
      <c r="F10436">
        <v>0</v>
      </c>
      <c r="G10436">
        <f>VLOOKUP(B10436,'SINAPI-%MO'!B:E,4,0)</f>
        <v>0.1363</v>
      </c>
      <c r="H10436" s="225">
        <f t="shared" si="163"/>
        <v>165.48</v>
      </c>
    </row>
    <row r="10437" spans="2:8" x14ac:dyDescent="0.3">
      <c r="B10437">
        <v>103050</v>
      </c>
      <c r="C10437" t="s">
        <v>8300</v>
      </c>
      <c r="D10437" t="s">
        <v>136</v>
      </c>
      <c r="E10437">
        <v>29.24</v>
      </c>
      <c r="F10437">
        <v>0</v>
      </c>
      <c r="G10437">
        <f>VLOOKUP(B10437,'SINAPI-%MO'!B:E,4,0)</f>
        <v>0.76780000000000004</v>
      </c>
      <c r="H10437" s="225">
        <f t="shared" si="163"/>
        <v>6.78</v>
      </c>
    </row>
    <row r="10438" spans="2:8" x14ac:dyDescent="0.3">
      <c r="B10438">
        <v>103051</v>
      </c>
      <c r="C10438" t="s">
        <v>8301</v>
      </c>
      <c r="D10438" t="s">
        <v>136</v>
      </c>
      <c r="E10438">
        <v>35.369999999999997</v>
      </c>
      <c r="F10438">
        <v>0</v>
      </c>
      <c r="G10438">
        <f>VLOOKUP(B10438,'SINAPI-%MO'!B:E,4,0)</f>
        <v>0.77380000000000004</v>
      </c>
      <c r="H10438" s="225">
        <f t="shared" si="163"/>
        <v>8</v>
      </c>
    </row>
    <row r="10439" spans="2:8" x14ac:dyDescent="0.3">
      <c r="B10439">
        <v>103052</v>
      </c>
      <c r="C10439" t="s">
        <v>8302</v>
      </c>
      <c r="D10439" t="s">
        <v>136</v>
      </c>
      <c r="E10439">
        <v>47.69</v>
      </c>
      <c r="F10439">
        <v>0</v>
      </c>
      <c r="G10439">
        <f>VLOOKUP(B10439,'SINAPI-%MO'!B:E,4,0)</f>
        <v>0.71109999999999995</v>
      </c>
      <c r="H10439" s="225">
        <f t="shared" si="163"/>
        <v>13.77</v>
      </c>
    </row>
    <row r="10440" spans="2:8" x14ac:dyDescent="0.3">
      <c r="B10440">
        <v>94799</v>
      </c>
      <c r="C10440" t="s">
        <v>8303</v>
      </c>
      <c r="D10440" t="s">
        <v>136</v>
      </c>
      <c r="E10440">
        <v>309.97000000000003</v>
      </c>
      <c r="F10440">
        <v>0</v>
      </c>
      <c r="G10440">
        <f>VLOOKUP(B10440,'SINAPI-%MO'!B:E,4,0)</f>
        <v>8.43E-2</v>
      </c>
      <c r="H10440" s="225">
        <f t="shared" si="163"/>
        <v>283.83</v>
      </c>
    </row>
    <row r="10441" spans="2:8" x14ac:dyDescent="0.3">
      <c r="B10441">
        <v>94798</v>
      </c>
      <c r="C10441" t="s">
        <v>8304</v>
      </c>
      <c r="D10441" t="s">
        <v>136</v>
      </c>
      <c r="E10441">
        <v>252.92</v>
      </c>
      <c r="F10441">
        <v>0</v>
      </c>
      <c r="G10441">
        <f>VLOOKUP(B10441,'SINAPI-%MO'!B:E,4,0)</f>
        <v>7.9299999999999995E-2</v>
      </c>
      <c r="H10441" s="225">
        <f t="shared" si="163"/>
        <v>232.86</v>
      </c>
    </row>
    <row r="10442" spans="2:8" x14ac:dyDescent="0.3">
      <c r="B10442">
        <v>94797</v>
      </c>
      <c r="C10442" t="s">
        <v>8305</v>
      </c>
      <c r="D10442" t="s">
        <v>136</v>
      </c>
      <c r="E10442">
        <v>151.5</v>
      </c>
      <c r="F10442">
        <v>0</v>
      </c>
      <c r="G10442">
        <f>VLOOKUP(B10442,'SINAPI-%MO'!B:E,4,0)</f>
        <v>9.7299999999999998E-2</v>
      </c>
      <c r="H10442" s="225">
        <f t="shared" si="163"/>
        <v>136.75</v>
      </c>
    </row>
    <row r="10443" spans="2:8" x14ac:dyDescent="0.3">
      <c r="B10443">
        <v>94795</v>
      </c>
      <c r="C10443" t="s">
        <v>8306</v>
      </c>
      <c r="D10443" t="s">
        <v>136</v>
      </c>
      <c r="E10443">
        <v>63.44</v>
      </c>
      <c r="F10443">
        <v>0</v>
      </c>
      <c r="G10443">
        <f>VLOOKUP(B10443,'SINAPI-%MO'!B:E,4,0)</f>
        <v>0.1124</v>
      </c>
      <c r="H10443" s="225">
        <f t="shared" si="163"/>
        <v>56.3</v>
      </c>
    </row>
    <row r="10444" spans="2:8" x14ac:dyDescent="0.3">
      <c r="B10444">
        <v>94800</v>
      </c>
      <c r="C10444" t="s">
        <v>8307</v>
      </c>
      <c r="D10444" t="s">
        <v>136</v>
      </c>
      <c r="E10444">
        <v>397.89</v>
      </c>
      <c r="F10444">
        <v>0</v>
      </c>
      <c r="G10444">
        <f>VLOOKUP(B10444,'SINAPI-%MO'!B:E,4,0)</f>
        <v>8.48E-2</v>
      </c>
      <c r="H10444" s="225">
        <f t="shared" si="163"/>
        <v>364.14</v>
      </c>
    </row>
    <row r="10445" spans="2:8" x14ac:dyDescent="0.3">
      <c r="B10445">
        <v>94796</v>
      </c>
      <c r="C10445" t="s">
        <v>8308</v>
      </c>
      <c r="D10445" t="s">
        <v>136</v>
      </c>
      <c r="E10445">
        <v>71.760000000000005</v>
      </c>
      <c r="F10445">
        <v>0</v>
      </c>
      <c r="G10445">
        <f>VLOOKUP(B10445,'SINAPI-%MO'!B:E,4,0)</f>
        <v>0.1525</v>
      </c>
      <c r="H10445" s="225">
        <f t="shared" si="163"/>
        <v>60.81</v>
      </c>
    </row>
    <row r="10446" spans="2:8" x14ac:dyDescent="0.3">
      <c r="B10446">
        <v>99635</v>
      </c>
      <c r="C10446" t="s">
        <v>8309</v>
      </c>
      <c r="D10446" t="s">
        <v>136</v>
      </c>
      <c r="E10446">
        <v>514.12</v>
      </c>
      <c r="F10446">
        <v>0</v>
      </c>
      <c r="G10446">
        <f>VLOOKUP(B10446,'SINAPI-%MO'!B:E,4,0)</f>
        <v>0.10340000000000001</v>
      </c>
      <c r="H10446" s="225">
        <f t="shared" si="163"/>
        <v>460.95</v>
      </c>
    </row>
    <row r="10447" spans="2:8" x14ac:dyDescent="0.3">
      <c r="B10447">
        <v>103018</v>
      </c>
      <c r="C10447" t="s">
        <v>8310</v>
      </c>
      <c r="D10447" t="s">
        <v>136</v>
      </c>
      <c r="E10447">
        <v>419.56</v>
      </c>
      <c r="F10447">
        <v>0</v>
      </c>
      <c r="G10447">
        <f>VLOOKUP(B10447,'SINAPI-%MO'!B:E,4,0)</f>
        <v>0.1099</v>
      </c>
      <c r="H10447" s="225">
        <f t="shared" si="163"/>
        <v>373.45</v>
      </c>
    </row>
    <row r="10448" spans="2:8" x14ac:dyDescent="0.3">
      <c r="B10448">
        <v>95252</v>
      </c>
      <c r="C10448" t="s">
        <v>8311</v>
      </c>
      <c r="D10448" t="s">
        <v>136</v>
      </c>
      <c r="E10448">
        <v>219.06</v>
      </c>
      <c r="F10448">
        <v>0</v>
      </c>
      <c r="G10448">
        <f>VLOOKUP(B10448,'SINAPI-%MO'!B:E,4,0)</f>
        <v>6.9099999999999995E-2</v>
      </c>
      <c r="H10448" s="225">
        <f t="shared" si="163"/>
        <v>203.92</v>
      </c>
    </row>
    <row r="10449" spans="2:8" x14ac:dyDescent="0.3">
      <c r="B10449">
        <v>95251</v>
      </c>
      <c r="C10449" t="s">
        <v>8312</v>
      </c>
      <c r="D10449" t="s">
        <v>136</v>
      </c>
      <c r="E10449">
        <v>180.86</v>
      </c>
      <c r="F10449">
        <v>0</v>
      </c>
      <c r="G10449">
        <f>VLOOKUP(B10449,'SINAPI-%MO'!B:E,4,0)</f>
        <v>6.4199999999999993E-2</v>
      </c>
      <c r="H10449" s="225">
        <f t="shared" si="163"/>
        <v>169.24</v>
      </c>
    </row>
    <row r="10450" spans="2:8" x14ac:dyDescent="0.3">
      <c r="B10450">
        <v>95250</v>
      </c>
      <c r="C10450" t="s">
        <v>8313</v>
      </c>
      <c r="D10450" t="s">
        <v>136</v>
      </c>
      <c r="E10450">
        <v>122.12</v>
      </c>
      <c r="F10450">
        <v>0</v>
      </c>
      <c r="G10450">
        <f>VLOOKUP(B10450,'SINAPI-%MO'!B:E,4,0)</f>
        <v>6.9800000000000001E-2</v>
      </c>
      <c r="H10450" s="225">
        <f t="shared" si="163"/>
        <v>113.59</v>
      </c>
    </row>
    <row r="10451" spans="2:8" x14ac:dyDescent="0.3">
      <c r="B10451">
        <v>95248</v>
      </c>
      <c r="C10451" t="s">
        <v>8314</v>
      </c>
      <c r="D10451" t="s">
        <v>136</v>
      </c>
      <c r="E10451">
        <v>77.010000000000005</v>
      </c>
      <c r="F10451">
        <v>0</v>
      </c>
      <c r="G10451">
        <f>VLOOKUP(B10451,'SINAPI-%MO'!B:E,4,0)</f>
        <v>5.3499999999999999E-2</v>
      </c>
      <c r="H10451" s="225">
        <f t="shared" ref="H10451:H10464" si="164">IF(E10451&gt;0,TRUNC(E10451*(1-G10451),2),"")</f>
        <v>72.88</v>
      </c>
    </row>
    <row r="10452" spans="2:8" x14ac:dyDescent="0.3">
      <c r="B10452">
        <v>95253</v>
      </c>
      <c r="C10452" t="s">
        <v>8315</v>
      </c>
      <c r="D10452" t="s">
        <v>136</v>
      </c>
      <c r="E10452">
        <v>333.92</v>
      </c>
      <c r="F10452">
        <v>0</v>
      </c>
      <c r="G10452">
        <f>VLOOKUP(B10452,'SINAPI-%MO'!B:E,4,0)</f>
        <v>5.8500000000000003E-2</v>
      </c>
      <c r="H10452" s="225">
        <f t="shared" si="164"/>
        <v>314.38</v>
      </c>
    </row>
    <row r="10453" spans="2:8" x14ac:dyDescent="0.3">
      <c r="B10453">
        <v>95249</v>
      </c>
      <c r="C10453" t="s">
        <v>8316</v>
      </c>
      <c r="D10453" t="s">
        <v>136</v>
      </c>
      <c r="E10453">
        <v>90.47</v>
      </c>
      <c r="F10453">
        <v>0</v>
      </c>
      <c r="G10453">
        <f>VLOOKUP(B10453,'SINAPI-%MO'!B:E,4,0)</f>
        <v>6.9900000000000004E-2</v>
      </c>
      <c r="H10453" s="225">
        <f t="shared" si="164"/>
        <v>84.14</v>
      </c>
    </row>
    <row r="10454" spans="2:8" x14ac:dyDescent="0.3">
      <c r="B10454">
        <v>99622</v>
      </c>
      <c r="C10454" t="s">
        <v>8317</v>
      </c>
      <c r="D10454" t="s">
        <v>136</v>
      </c>
      <c r="E10454">
        <v>313.45</v>
      </c>
      <c r="F10454">
        <v>0</v>
      </c>
      <c r="G10454">
        <f>VLOOKUP(B10454,'SINAPI-%MO'!B:E,4,0)</f>
        <v>4.8300000000000003E-2</v>
      </c>
      <c r="H10454" s="225">
        <f t="shared" si="164"/>
        <v>298.31</v>
      </c>
    </row>
    <row r="10455" spans="2:8" x14ac:dyDescent="0.3">
      <c r="B10455">
        <v>99621</v>
      </c>
      <c r="C10455" t="s">
        <v>8318</v>
      </c>
      <c r="D10455" t="s">
        <v>136</v>
      </c>
      <c r="E10455">
        <v>278.54000000000002</v>
      </c>
      <c r="F10455">
        <v>0</v>
      </c>
      <c r="G10455">
        <f>VLOOKUP(B10455,'SINAPI-%MO'!B:E,4,0)</f>
        <v>4.1700000000000001E-2</v>
      </c>
      <c r="H10455" s="225">
        <f t="shared" si="164"/>
        <v>266.92</v>
      </c>
    </row>
    <row r="10456" spans="2:8" x14ac:dyDescent="0.3">
      <c r="B10456">
        <v>99620</v>
      </c>
      <c r="C10456" t="s">
        <v>8319</v>
      </c>
      <c r="D10456" t="s">
        <v>136</v>
      </c>
      <c r="E10456">
        <v>186.87</v>
      </c>
      <c r="F10456">
        <v>0</v>
      </c>
      <c r="G10456">
        <f>VLOOKUP(B10456,'SINAPI-%MO'!B:E,4,0)</f>
        <v>4.5600000000000002E-2</v>
      </c>
      <c r="H10456" s="225">
        <f t="shared" si="164"/>
        <v>178.34</v>
      </c>
    </row>
    <row r="10457" spans="2:8" x14ac:dyDescent="0.3">
      <c r="B10457">
        <v>103008</v>
      </c>
      <c r="C10457" t="s">
        <v>8320</v>
      </c>
      <c r="D10457" t="s">
        <v>136</v>
      </c>
      <c r="E10457">
        <v>112.4</v>
      </c>
      <c r="F10457">
        <v>0</v>
      </c>
      <c r="G10457">
        <f>VLOOKUP(B10457,'SINAPI-%MO'!B:E,4,0)</f>
        <v>3.6700000000000003E-2</v>
      </c>
      <c r="H10457" s="225">
        <f t="shared" si="164"/>
        <v>108.27</v>
      </c>
    </row>
    <row r="10458" spans="2:8" x14ac:dyDescent="0.3">
      <c r="B10458">
        <v>99624</v>
      </c>
      <c r="C10458" t="s">
        <v>8321</v>
      </c>
      <c r="D10458" t="s">
        <v>136</v>
      </c>
      <c r="E10458">
        <v>623.69000000000005</v>
      </c>
      <c r="F10458">
        <v>0</v>
      </c>
      <c r="G10458">
        <f>VLOOKUP(B10458,'SINAPI-%MO'!B:E,4,0)</f>
        <v>4.19E-2</v>
      </c>
      <c r="H10458" s="225">
        <f t="shared" si="164"/>
        <v>597.54999999999995</v>
      </c>
    </row>
    <row r="10459" spans="2:8" x14ac:dyDescent="0.3">
      <c r="B10459">
        <v>99623</v>
      </c>
      <c r="C10459" t="s">
        <v>8322</v>
      </c>
      <c r="D10459" t="s">
        <v>136</v>
      </c>
      <c r="E10459">
        <v>437.44</v>
      </c>
      <c r="F10459">
        <v>0</v>
      </c>
      <c r="G10459">
        <f>VLOOKUP(B10459,'SINAPI-%MO'!B:E,4,0)</f>
        <v>4.4600000000000001E-2</v>
      </c>
      <c r="H10459" s="225">
        <f t="shared" si="164"/>
        <v>417.93</v>
      </c>
    </row>
    <row r="10460" spans="2:8" x14ac:dyDescent="0.3">
      <c r="B10460">
        <v>99625</v>
      </c>
      <c r="C10460" t="s">
        <v>8323</v>
      </c>
      <c r="D10460" t="s">
        <v>136</v>
      </c>
      <c r="E10460">
        <v>857.99</v>
      </c>
      <c r="F10460">
        <v>0</v>
      </c>
      <c r="G10460">
        <f>VLOOKUP(B10460,'SINAPI-%MO'!B:E,4,0)</f>
        <v>3.8100000000000002E-2</v>
      </c>
      <c r="H10460" s="225">
        <f t="shared" si="164"/>
        <v>825.3</v>
      </c>
    </row>
    <row r="10461" spans="2:8" x14ac:dyDescent="0.3">
      <c r="B10461">
        <v>99619</v>
      </c>
      <c r="C10461" t="s">
        <v>8324</v>
      </c>
      <c r="D10461" t="s">
        <v>136</v>
      </c>
      <c r="E10461">
        <v>137.55000000000001</v>
      </c>
      <c r="F10461">
        <v>0</v>
      </c>
      <c r="G10461">
        <f>VLOOKUP(B10461,'SINAPI-%MO'!B:E,4,0)</f>
        <v>4.5900000000000003E-2</v>
      </c>
      <c r="H10461" s="225">
        <f t="shared" si="164"/>
        <v>131.22999999999999</v>
      </c>
    </row>
    <row r="10462" spans="2:8" x14ac:dyDescent="0.3">
      <c r="B10462">
        <v>99626</v>
      </c>
      <c r="C10462" t="s">
        <v>8325</v>
      </c>
      <c r="D10462" t="s">
        <v>136</v>
      </c>
      <c r="E10462">
        <v>1321.36</v>
      </c>
      <c r="F10462">
        <v>0</v>
      </c>
      <c r="G10462">
        <f>VLOOKUP(B10462,'SINAPI-%MO'!B:E,4,0)</f>
        <v>3.1399999999999997E-2</v>
      </c>
      <c r="H10462" s="225">
        <f t="shared" si="164"/>
        <v>1279.8599999999999</v>
      </c>
    </row>
    <row r="10463" spans="2:8" x14ac:dyDescent="0.3">
      <c r="B10463">
        <v>99631</v>
      </c>
      <c r="C10463" t="s">
        <v>8326</v>
      </c>
      <c r="D10463" t="s">
        <v>136</v>
      </c>
      <c r="E10463">
        <v>174.09</v>
      </c>
      <c r="F10463">
        <v>0</v>
      </c>
      <c r="G10463">
        <f>VLOOKUP(B10463,'SINAPI-%MO'!B:E,4,0)</f>
        <v>8.6900000000000005E-2</v>
      </c>
      <c r="H10463" s="225">
        <f t="shared" si="164"/>
        <v>158.96</v>
      </c>
    </row>
    <row r="10464" spans="2:8" x14ac:dyDescent="0.3">
      <c r="B10464">
        <v>99630</v>
      </c>
      <c r="C10464" t="s">
        <v>8327</v>
      </c>
      <c r="D10464" t="s">
        <v>136</v>
      </c>
      <c r="E10464">
        <v>149.59</v>
      </c>
      <c r="F10464">
        <v>0</v>
      </c>
      <c r="G10464">
        <f>VLOOKUP(B10464,'SINAPI-%MO'!B:E,4,0)</f>
        <v>7.7600000000000002E-2</v>
      </c>
      <c r="H10464" s="225">
        <f t="shared" si="164"/>
        <v>137.97999999999999</v>
      </c>
    </row>
    <row r="10465" spans="2:8" x14ac:dyDescent="0.3">
      <c r="B10465">
        <v>99629</v>
      </c>
      <c r="C10465" t="s">
        <v>8328</v>
      </c>
      <c r="D10465" t="s">
        <v>136</v>
      </c>
      <c r="E10465">
        <v>100.54</v>
      </c>
      <c r="F10465">
        <v>0</v>
      </c>
      <c r="G10465">
        <f>VLOOKUP(B10465,'SINAPI-%MO'!B:E,4,0)</f>
        <v>8.48E-2</v>
      </c>
      <c r="H10465" s="225">
        <f t="shared" ref="H10465:H10479" si="165">IF(E10465&gt;0,TRUNC(E10465*(1-G10465),2),"")</f>
        <v>92.01</v>
      </c>
    </row>
    <row r="10466" spans="2:8" x14ac:dyDescent="0.3">
      <c r="B10466">
        <v>99627</v>
      </c>
      <c r="C10466" t="s">
        <v>8329</v>
      </c>
      <c r="D10466" t="s">
        <v>136</v>
      </c>
      <c r="E10466">
        <v>82.98</v>
      </c>
      <c r="F10466">
        <v>0</v>
      </c>
      <c r="G10466">
        <f>VLOOKUP(B10466,'SINAPI-%MO'!B:E,4,0)</f>
        <v>4.9700000000000001E-2</v>
      </c>
      <c r="H10466" s="225">
        <f t="shared" si="165"/>
        <v>78.849999999999994</v>
      </c>
    </row>
    <row r="10467" spans="2:8" x14ac:dyDescent="0.3">
      <c r="B10467">
        <v>103009</v>
      </c>
      <c r="C10467" t="s">
        <v>8330</v>
      </c>
      <c r="D10467" t="s">
        <v>136</v>
      </c>
      <c r="E10467">
        <v>397.04</v>
      </c>
      <c r="F10467">
        <v>0</v>
      </c>
      <c r="G10467">
        <f>VLOOKUP(B10467,'SINAPI-%MO'!B:E,4,0)</f>
        <v>6.5799999999999997E-2</v>
      </c>
      <c r="H10467" s="225">
        <f t="shared" si="165"/>
        <v>370.91</v>
      </c>
    </row>
    <row r="10468" spans="2:8" x14ac:dyDescent="0.3">
      <c r="B10468">
        <v>99632</v>
      </c>
      <c r="C10468" t="s">
        <v>8331</v>
      </c>
      <c r="D10468" t="s">
        <v>136</v>
      </c>
      <c r="E10468">
        <v>251.08</v>
      </c>
      <c r="F10468">
        <v>0</v>
      </c>
      <c r="G10468">
        <f>VLOOKUP(B10468,'SINAPI-%MO'!B:E,4,0)</f>
        <v>7.7799999999999994E-2</v>
      </c>
      <c r="H10468" s="225">
        <f t="shared" si="165"/>
        <v>231.54</v>
      </c>
    </row>
    <row r="10469" spans="2:8" x14ac:dyDescent="0.3">
      <c r="B10469">
        <v>99633</v>
      </c>
      <c r="C10469" t="s">
        <v>8332</v>
      </c>
      <c r="D10469" t="s">
        <v>136</v>
      </c>
      <c r="E10469">
        <v>539.15</v>
      </c>
      <c r="F10469">
        <v>0</v>
      </c>
      <c r="G10469">
        <f>VLOOKUP(B10469,'SINAPI-%MO'!B:E,4,0)</f>
        <v>6.0699999999999997E-2</v>
      </c>
      <c r="H10469" s="225">
        <f t="shared" si="165"/>
        <v>506.42</v>
      </c>
    </row>
    <row r="10470" spans="2:8" x14ac:dyDescent="0.3">
      <c r="B10470">
        <v>99628</v>
      </c>
      <c r="C10470" t="s">
        <v>8333</v>
      </c>
      <c r="D10470" t="s">
        <v>136</v>
      </c>
      <c r="E10470">
        <v>90.51</v>
      </c>
      <c r="F10470">
        <v>0</v>
      </c>
      <c r="G10470">
        <f>VLOOKUP(B10470,'SINAPI-%MO'!B:E,4,0)</f>
        <v>6.9800000000000001E-2</v>
      </c>
      <c r="H10470" s="225">
        <f t="shared" si="165"/>
        <v>84.19</v>
      </c>
    </row>
    <row r="10471" spans="2:8" x14ac:dyDescent="0.3">
      <c r="B10471">
        <v>99634</v>
      </c>
      <c r="C10471" t="s">
        <v>8334</v>
      </c>
      <c r="D10471" t="s">
        <v>136</v>
      </c>
      <c r="E10471">
        <v>920.19</v>
      </c>
      <c r="F10471">
        <v>0</v>
      </c>
      <c r="G10471">
        <f>VLOOKUP(B10471,'SINAPI-%MO'!B:E,4,0)</f>
        <v>4.5100000000000001E-2</v>
      </c>
      <c r="H10471" s="225">
        <f t="shared" si="165"/>
        <v>878.68</v>
      </c>
    </row>
    <row r="10472" spans="2:8" x14ac:dyDescent="0.3">
      <c r="B10472">
        <v>103013</v>
      </c>
      <c r="C10472" t="s">
        <v>8335</v>
      </c>
      <c r="D10472" t="s">
        <v>136</v>
      </c>
      <c r="E10472">
        <v>161.31</v>
      </c>
      <c r="F10472">
        <v>0</v>
      </c>
      <c r="G10472">
        <f>VLOOKUP(B10472,'SINAPI-%MO'!B:E,4,0)</f>
        <v>4.6899999999999997E-2</v>
      </c>
      <c r="H10472" s="225">
        <f t="shared" si="165"/>
        <v>153.74</v>
      </c>
    </row>
    <row r="10473" spans="2:8" x14ac:dyDescent="0.3">
      <c r="B10473">
        <v>103012</v>
      </c>
      <c r="C10473" t="s">
        <v>8336</v>
      </c>
      <c r="D10473" t="s">
        <v>136</v>
      </c>
      <c r="E10473">
        <v>149.87</v>
      </c>
      <c r="F10473">
        <v>0</v>
      </c>
      <c r="G10473">
        <f>VLOOKUP(B10473,'SINAPI-%MO'!B:E,4,0)</f>
        <v>3.8699999999999998E-2</v>
      </c>
      <c r="H10473" s="225">
        <f t="shared" si="165"/>
        <v>144.07</v>
      </c>
    </row>
    <row r="10474" spans="2:8" x14ac:dyDescent="0.3">
      <c r="B10474">
        <v>103011</v>
      </c>
      <c r="C10474" t="s">
        <v>8337</v>
      </c>
      <c r="D10474" t="s">
        <v>136</v>
      </c>
      <c r="E10474">
        <v>95.03</v>
      </c>
      <c r="F10474">
        <v>0</v>
      </c>
      <c r="G10474">
        <f>VLOOKUP(B10474,'SINAPI-%MO'!B:E,4,0)</f>
        <v>4.48E-2</v>
      </c>
      <c r="H10474" s="225">
        <f t="shared" si="165"/>
        <v>90.77</v>
      </c>
    </row>
    <row r="10475" spans="2:8" x14ac:dyDescent="0.3">
      <c r="B10475">
        <v>103015</v>
      </c>
      <c r="C10475" t="s">
        <v>8338</v>
      </c>
      <c r="D10475" t="s">
        <v>136</v>
      </c>
      <c r="E10475">
        <v>429.09</v>
      </c>
      <c r="F10475">
        <v>0</v>
      </c>
      <c r="G10475">
        <f>VLOOKUP(B10475,'SINAPI-%MO'!B:E,4,0)</f>
        <v>3.04E-2</v>
      </c>
      <c r="H10475" s="225">
        <f t="shared" si="165"/>
        <v>416.04</v>
      </c>
    </row>
    <row r="10476" spans="2:8" x14ac:dyDescent="0.3">
      <c r="B10476">
        <v>103014</v>
      </c>
      <c r="C10476" t="s">
        <v>8339</v>
      </c>
      <c r="D10476" t="s">
        <v>136</v>
      </c>
      <c r="E10476">
        <v>242.62</v>
      </c>
      <c r="F10476">
        <v>0</v>
      </c>
      <c r="G10476">
        <f>VLOOKUP(B10476,'SINAPI-%MO'!B:E,4,0)</f>
        <v>4.02E-2</v>
      </c>
      <c r="H10476" s="225">
        <f t="shared" si="165"/>
        <v>232.86</v>
      </c>
    </row>
    <row r="10477" spans="2:8" x14ac:dyDescent="0.3">
      <c r="B10477">
        <v>103016</v>
      </c>
      <c r="C10477" t="s">
        <v>8340</v>
      </c>
      <c r="D10477" t="s">
        <v>136</v>
      </c>
      <c r="E10477">
        <v>586.63</v>
      </c>
      <c r="F10477">
        <v>0</v>
      </c>
      <c r="G10477">
        <f>VLOOKUP(B10477,'SINAPI-%MO'!B:E,4,0)</f>
        <v>2.7900000000000001E-2</v>
      </c>
      <c r="H10477" s="225">
        <f t="shared" si="165"/>
        <v>570.26</v>
      </c>
    </row>
    <row r="10478" spans="2:8" x14ac:dyDescent="0.3">
      <c r="B10478">
        <v>103010</v>
      </c>
      <c r="C10478" t="s">
        <v>8341</v>
      </c>
      <c r="D10478" t="s">
        <v>136</v>
      </c>
      <c r="E10478">
        <v>85.24</v>
      </c>
      <c r="F10478">
        <v>0</v>
      </c>
      <c r="G10478">
        <f>VLOOKUP(B10478,'SINAPI-%MO'!B:E,4,0)</f>
        <v>3.7100000000000001E-2</v>
      </c>
      <c r="H10478" s="225">
        <f t="shared" si="165"/>
        <v>82.07</v>
      </c>
    </row>
    <row r="10479" spans="2:8" x14ac:dyDescent="0.3">
      <c r="B10479">
        <v>103017</v>
      </c>
      <c r="C10479" t="s">
        <v>8342</v>
      </c>
      <c r="D10479" t="s">
        <v>136</v>
      </c>
      <c r="E10479">
        <v>1024.26</v>
      </c>
      <c r="F10479">
        <v>0</v>
      </c>
      <c r="G10479">
        <f>VLOOKUP(B10479,'SINAPI-%MO'!B:E,4,0)</f>
        <v>2.0299999999999999E-2</v>
      </c>
      <c r="H10479" s="225">
        <f t="shared" si="165"/>
        <v>1003.46</v>
      </c>
    </row>
    <row r="10480" spans="2:8" x14ac:dyDescent="0.3">
      <c r="B10480">
        <v>103033</v>
      </c>
      <c r="C10480" t="s">
        <v>8343</v>
      </c>
      <c r="D10480" t="s">
        <v>136</v>
      </c>
      <c r="E10480">
        <v>0</v>
      </c>
      <c r="F10480">
        <v>0</v>
      </c>
      <c r="G10480" t="e">
        <f>VLOOKUP(B10480,'SINAPI-%MO'!B:E,4,0)</f>
        <v>#N/A</v>
      </c>
      <c r="H10480" s="225" t="str">
        <f t="shared" ref="H10480:H10543" si="166">IF(E10480&gt;0,TRUNC(E10480*(1-G10480),2),"")</f>
        <v/>
      </c>
    </row>
    <row r="10481" spans="2:8" x14ac:dyDescent="0.3">
      <c r="B10481">
        <v>103032</v>
      </c>
      <c r="C10481" t="s">
        <v>8344</v>
      </c>
      <c r="D10481" t="s">
        <v>136</v>
      </c>
      <c r="E10481">
        <v>0</v>
      </c>
      <c r="F10481">
        <v>0</v>
      </c>
      <c r="G10481" t="e">
        <f>VLOOKUP(B10481,'SINAPI-%MO'!B:E,4,0)</f>
        <v>#N/A</v>
      </c>
      <c r="H10481" s="225" t="str">
        <f t="shared" si="166"/>
        <v/>
      </c>
    </row>
    <row r="10482" spans="2:8" x14ac:dyDescent="0.3">
      <c r="B10482">
        <v>103030</v>
      </c>
      <c r="C10482" t="s">
        <v>8345</v>
      </c>
      <c r="D10482" t="s">
        <v>136</v>
      </c>
      <c r="E10482">
        <v>0</v>
      </c>
      <c r="F10482">
        <v>0</v>
      </c>
      <c r="G10482" t="e">
        <f>VLOOKUP(B10482,'SINAPI-%MO'!B:E,4,0)</f>
        <v>#N/A</v>
      </c>
      <c r="H10482" s="225" t="str">
        <f t="shared" si="166"/>
        <v/>
      </c>
    </row>
    <row r="10483" spans="2:8" x14ac:dyDescent="0.3">
      <c r="B10483">
        <v>103031</v>
      </c>
      <c r="C10483" t="s">
        <v>8346</v>
      </c>
      <c r="D10483" t="s">
        <v>136</v>
      </c>
      <c r="E10483">
        <v>0</v>
      </c>
      <c r="F10483">
        <v>0</v>
      </c>
      <c r="G10483" t="e">
        <f>VLOOKUP(B10483,'SINAPI-%MO'!B:E,4,0)</f>
        <v>#N/A</v>
      </c>
      <c r="H10483" s="225" t="str">
        <f t="shared" si="166"/>
        <v/>
      </c>
    </row>
    <row r="10484" spans="2:8" x14ac:dyDescent="0.3">
      <c r="B10484">
        <v>103035</v>
      </c>
      <c r="C10484" t="s">
        <v>8347</v>
      </c>
      <c r="D10484" t="s">
        <v>136</v>
      </c>
      <c r="E10484">
        <v>0</v>
      </c>
      <c r="F10484">
        <v>0</v>
      </c>
      <c r="G10484" t="e">
        <f>VLOOKUP(B10484,'SINAPI-%MO'!B:E,4,0)</f>
        <v>#N/A</v>
      </c>
      <c r="H10484" s="225" t="str">
        <f t="shared" si="166"/>
        <v/>
      </c>
    </row>
    <row r="10485" spans="2:8" x14ac:dyDescent="0.3">
      <c r="B10485">
        <v>103034</v>
      </c>
      <c r="C10485" t="s">
        <v>8348</v>
      </c>
      <c r="D10485" t="s">
        <v>136</v>
      </c>
      <c r="E10485">
        <v>0</v>
      </c>
      <c r="F10485">
        <v>0</v>
      </c>
      <c r="G10485" t="e">
        <f>VLOOKUP(B10485,'SINAPI-%MO'!B:E,4,0)</f>
        <v>#N/A</v>
      </c>
      <c r="H10485" s="225" t="str">
        <f t="shared" si="166"/>
        <v/>
      </c>
    </row>
    <row r="10486" spans="2:8" x14ac:dyDescent="0.3">
      <c r="B10486">
        <v>103024</v>
      </c>
      <c r="C10486" t="s">
        <v>8349</v>
      </c>
      <c r="D10486" t="s">
        <v>136</v>
      </c>
      <c r="E10486">
        <v>0</v>
      </c>
      <c r="F10486">
        <v>0</v>
      </c>
      <c r="G10486" t="e">
        <f>VLOOKUP(B10486,'SINAPI-%MO'!B:E,4,0)</f>
        <v>#N/A</v>
      </c>
      <c r="H10486" s="225" t="str">
        <f t="shared" si="166"/>
        <v/>
      </c>
    </row>
    <row r="10487" spans="2:8" x14ac:dyDescent="0.3">
      <c r="B10487">
        <v>103023</v>
      </c>
      <c r="C10487" t="s">
        <v>8350</v>
      </c>
      <c r="D10487" t="s">
        <v>136</v>
      </c>
      <c r="E10487">
        <v>0</v>
      </c>
      <c r="F10487">
        <v>0</v>
      </c>
      <c r="G10487" t="e">
        <f>VLOOKUP(B10487,'SINAPI-%MO'!B:E,4,0)</f>
        <v>#N/A</v>
      </c>
      <c r="H10487" s="225" t="str">
        <f t="shared" si="166"/>
        <v/>
      </c>
    </row>
    <row r="10488" spans="2:8" x14ac:dyDescent="0.3">
      <c r="B10488">
        <v>103022</v>
      </c>
      <c r="C10488" t="s">
        <v>8351</v>
      </c>
      <c r="D10488" t="s">
        <v>136</v>
      </c>
      <c r="E10488">
        <v>0</v>
      </c>
      <c r="F10488">
        <v>0</v>
      </c>
      <c r="G10488" t="e">
        <f>VLOOKUP(B10488,'SINAPI-%MO'!B:E,4,0)</f>
        <v>#N/A</v>
      </c>
      <c r="H10488" s="225" t="str">
        <f t="shared" si="166"/>
        <v/>
      </c>
    </row>
    <row r="10489" spans="2:8" x14ac:dyDescent="0.3">
      <c r="B10489">
        <v>103020</v>
      </c>
      <c r="C10489" t="s">
        <v>8352</v>
      </c>
      <c r="D10489" t="s">
        <v>136</v>
      </c>
      <c r="E10489">
        <v>0</v>
      </c>
      <c r="F10489">
        <v>0</v>
      </c>
      <c r="G10489" t="e">
        <f>VLOOKUP(B10489,'SINAPI-%MO'!B:E,4,0)</f>
        <v>#N/A</v>
      </c>
      <c r="H10489" s="225" t="str">
        <f t="shared" si="166"/>
        <v/>
      </c>
    </row>
    <row r="10490" spans="2:8" x14ac:dyDescent="0.3">
      <c r="B10490">
        <v>103026</v>
      </c>
      <c r="C10490" t="s">
        <v>8353</v>
      </c>
      <c r="D10490" t="s">
        <v>136</v>
      </c>
      <c r="E10490">
        <v>0</v>
      </c>
      <c r="F10490">
        <v>0</v>
      </c>
      <c r="G10490" t="e">
        <f>VLOOKUP(B10490,'SINAPI-%MO'!B:E,4,0)</f>
        <v>#N/A</v>
      </c>
      <c r="H10490" s="225" t="str">
        <f t="shared" si="166"/>
        <v/>
      </c>
    </row>
    <row r="10491" spans="2:8" x14ac:dyDescent="0.3">
      <c r="B10491">
        <v>103025</v>
      </c>
      <c r="C10491" t="s">
        <v>8354</v>
      </c>
      <c r="D10491" t="s">
        <v>136</v>
      </c>
      <c r="E10491">
        <v>0</v>
      </c>
      <c r="F10491">
        <v>0</v>
      </c>
      <c r="G10491" t="e">
        <f>VLOOKUP(B10491,'SINAPI-%MO'!B:E,4,0)</f>
        <v>#N/A</v>
      </c>
      <c r="H10491" s="225" t="str">
        <f t="shared" si="166"/>
        <v/>
      </c>
    </row>
    <row r="10492" spans="2:8" x14ac:dyDescent="0.3">
      <c r="B10492">
        <v>103021</v>
      </c>
      <c r="C10492" t="s">
        <v>8355</v>
      </c>
      <c r="D10492" t="s">
        <v>136</v>
      </c>
      <c r="E10492">
        <v>0</v>
      </c>
      <c r="F10492">
        <v>0</v>
      </c>
      <c r="G10492" t="e">
        <f>VLOOKUP(B10492,'SINAPI-%MO'!B:E,4,0)</f>
        <v>#N/A</v>
      </c>
      <c r="H10492" s="225" t="str">
        <f t="shared" si="166"/>
        <v/>
      </c>
    </row>
    <row r="10493" spans="2:8" x14ac:dyDescent="0.3">
      <c r="B10493">
        <v>103027</v>
      </c>
      <c r="C10493" t="s">
        <v>8356</v>
      </c>
      <c r="D10493" t="s">
        <v>136</v>
      </c>
      <c r="E10493">
        <v>0</v>
      </c>
      <c r="F10493">
        <v>0</v>
      </c>
      <c r="G10493" t="e">
        <f>VLOOKUP(B10493,'SINAPI-%MO'!B:E,4,0)</f>
        <v>#N/A</v>
      </c>
      <c r="H10493" s="225" t="str">
        <f t="shared" si="166"/>
        <v/>
      </c>
    </row>
    <row r="10494" spans="2:8" x14ac:dyDescent="0.3">
      <c r="B10494">
        <v>103028</v>
      </c>
      <c r="C10494" t="s">
        <v>8357</v>
      </c>
      <c r="D10494" t="s">
        <v>136</v>
      </c>
      <c r="E10494">
        <v>0</v>
      </c>
      <c r="F10494">
        <v>0</v>
      </c>
      <c r="G10494" t="e">
        <f>VLOOKUP(B10494,'SINAPI-%MO'!B:E,4,0)</f>
        <v>#N/A</v>
      </c>
      <c r="H10494" s="225" t="str">
        <f t="shared" si="166"/>
        <v/>
      </c>
    </row>
    <row r="10495" spans="2:8" x14ac:dyDescent="0.3">
      <c r="B10495">
        <v>103563</v>
      </c>
      <c r="C10495" t="s">
        <v>8358</v>
      </c>
      <c r="D10495" t="s">
        <v>136</v>
      </c>
      <c r="E10495">
        <v>0</v>
      </c>
      <c r="F10495">
        <v>0</v>
      </c>
      <c r="G10495" t="e">
        <f>VLOOKUP(B10495,'SINAPI-%MO'!B:E,4,0)</f>
        <v>#N/A</v>
      </c>
      <c r="H10495" s="225" t="str">
        <f t="shared" si="166"/>
        <v/>
      </c>
    </row>
    <row r="10496" spans="2:8" x14ac:dyDescent="0.3">
      <c r="B10496">
        <v>103564</v>
      </c>
      <c r="C10496" t="s">
        <v>8359</v>
      </c>
      <c r="D10496" t="s">
        <v>136</v>
      </c>
      <c r="E10496">
        <v>0</v>
      </c>
      <c r="F10496">
        <v>0</v>
      </c>
      <c r="G10496" t="e">
        <f>VLOOKUP(B10496,'SINAPI-%MO'!B:E,4,0)</f>
        <v>#N/A</v>
      </c>
      <c r="H10496" s="225" t="str">
        <f t="shared" si="166"/>
        <v/>
      </c>
    </row>
    <row r="10497" spans="2:8" x14ac:dyDescent="0.3">
      <c r="B10497">
        <v>103565</v>
      </c>
      <c r="C10497" t="s">
        <v>8360</v>
      </c>
      <c r="D10497" t="s">
        <v>136</v>
      </c>
      <c r="E10497">
        <v>0</v>
      </c>
      <c r="F10497">
        <v>0</v>
      </c>
      <c r="G10497" t="e">
        <f>VLOOKUP(B10497,'SINAPI-%MO'!B:E,4,0)</f>
        <v>#N/A</v>
      </c>
      <c r="H10497" s="225" t="str">
        <f t="shared" si="166"/>
        <v/>
      </c>
    </row>
    <row r="10498" spans="2:8" x14ac:dyDescent="0.3">
      <c r="B10498">
        <v>103566</v>
      </c>
      <c r="C10498" t="s">
        <v>8361</v>
      </c>
      <c r="D10498" t="s">
        <v>136</v>
      </c>
      <c r="E10498">
        <v>0</v>
      </c>
      <c r="F10498">
        <v>0</v>
      </c>
      <c r="G10498" t="e">
        <f>VLOOKUP(B10498,'SINAPI-%MO'!B:E,4,0)</f>
        <v>#N/A</v>
      </c>
      <c r="H10498" s="225" t="str">
        <f t="shared" si="166"/>
        <v/>
      </c>
    </row>
    <row r="10499" spans="2:8" x14ac:dyDescent="0.3">
      <c r="B10499">
        <v>103567</v>
      </c>
      <c r="C10499" t="s">
        <v>8362</v>
      </c>
      <c r="D10499" t="s">
        <v>136</v>
      </c>
      <c r="E10499">
        <v>0</v>
      </c>
      <c r="F10499">
        <v>0</v>
      </c>
      <c r="G10499" t="e">
        <f>VLOOKUP(B10499,'SINAPI-%MO'!B:E,4,0)</f>
        <v>#N/A</v>
      </c>
      <c r="H10499" s="225" t="str">
        <f t="shared" si="166"/>
        <v/>
      </c>
    </row>
    <row r="10500" spans="2:8" x14ac:dyDescent="0.3">
      <c r="B10500">
        <v>103568</v>
      </c>
      <c r="C10500" t="s">
        <v>8363</v>
      </c>
      <c r="D10500" t="s">
        <v>136</v>
      </c>
      <c r="E10500">
        <v>0</v>
      </c>
      <c r="F10500">
        <v>0</v>
      </c>
      <c r="G10500" t="e">
        <f>VLOOKUP(B10500,'SINAPI-%MO'!B:E,4,0)</f>
        <v>#N/A</v>
      </c>
      <c r="H10500" s="225" t="str">
        <f t="shared" si="166"/>
        <v/>
      </c>
    </row>
    <row r="10501" spans="2:8" x14ac:dyDescent="0.3">
      <c r="B10501">
        <v>103569</v>
      </c>
      <c r="C10501" t="s">
        <v>8364</v>
      </c>
      <c r="D10501" t="s">
        <v>136</v>
      </c>
      <c r="E10501">
        <v>0</v>
      </c>
      <c r="F10501">
        <v>0</v>
      </c>
      <c r="G10501" t="e">
        <f>VLOOKUP(B10501,'SINAPI-%MO'!B:E,4,0)</f>
        <v>#N/A</v>
      </c>
      <c r="H10501" s="225" t="str">
        <f t="shared" si="166"/>
        <v/>
      </c>
    </row>
    <row r="10502" spans="2:8" x14ac:dyDescent="0.3">
      <c r="B10502">
        <v>103570</v>
      </c>
      <c r="C10502" t="s">
        <v>8365</v>
      </c>
      <c r="D10502" t="s">
        <v>136</v>
      </c>
      <c r="E10502">
        <v>0</v>
      </c>
      <c r="F10502">
        <v>0</v>
      </c>
      <c r="G10502" t="e">
        <f>VLOOKUP(B10502,'SINAPI-%MO'!B:E,4,0)</f>
        <v>#N/A</v>
      </c>
      <c r="H10502" s="225" t="str">
        <f t="shared" si="166"/>
        <v/>
      </c>
    </row>
    <row r="10503" spans="2:8" x14ac:dyDescent="0.3">
      <c r="B10503">
        <v>103571</v>
      </c>
      <c r="C10503" t="s">
        <v>8366</v>
      </c>
      <c r="D10503" t="s">
        <v>136</v>
      </c>
      <c r="E10503">
        <v>0</v>
      </c>
      <c r="F10503">
        <v>0</v>
      </c>
      <c r="G10503" t="e">
        <f>VLOOKUP(B10503,'SINAPI-%MO'!B:E,4,0)</f>
        <v>#N/A</v>
      </c>
      <c r="H10503" s="225" t="str">
        <f t="shared" si="166"/>
        <v/>
      </c>
    </row>
    <row r="10504" spans="2:8" x14ac:dyDescent="0.3">
      <c r="B10504">
        <v>103562</v>
      </c>
      <c r="C10504" t="s">
        <v>8367</v>
      </c>
      <c r="D10504" t="s">
        <v>136</v>
      </c>
      <c r="E10504">
        <v>0</v>
      </c>
      <c r="F10504">
        <v>0</v>
      </c>
      <c r="G10504" t="e">
        <f>VLOOKUP(B10504,'SINAPI-%MO'!B:E,4,0)</f>
        <v>#N/A</v>
      </c>
      <c r="H10504" s="225" t="str">
        <f t="shared" si="166"/>
        <v/>
      </c>
    </row>
    <row r="10505" spans="2:8" x14ac:dyDescent="0.3">
      <c r="B10505">
        <v>103573</v>
      </c>
      <c r="C10505" t="s">
        <v>8368</v>
      </c>
      <c r="D10505" t="s">
        <v>136</v>
      </c>
      <c r="E10505">
        <v>0</v>
      </c>
      <c r="F10505">
        <v>0</v>
      </c>
      <c r="G10505" t="e">
        <f>VLOOKUP(B10505,'SINAPI-%MO'!B:E,4,0)</f>
        <v>#N/A</v>
      </c>
      <c r="H10505" s="225" t="str">
        <f t="shared" si="166"/>
        <v/>
      </c>
    </row>
    <row r="10506" spans="2:8" x14ac:dyDescent="0.3">
      <c r="B10506">
        <v>103585</v>
      </c>
      <c r="C10506" t="s">
        <v>8369</v>
      </c>
      <c r="D10506" t="s">
        <v>136</v>
      </c>
      <c r="E10506">
        <v>0</v>
      </c>
      <c r="F10506">
        <v>0</v>
      </c>
      <c r="G10506" t="e">
        <f>VLOOKUP(B10506,'SINAPI-%MO'!B:E,4,0)</f>
        <v>#N/A</v>
      </c>
      <c r="H10506" s="225" t="str">
        <f t="shared" si="166"/>
        <v/>
      </c>
    </row>
    <row r="10507" spans="2:8" x14ac:dyDescent="0.3">
      <c r="B10507">
        <v>103586</v>
      </c>
      <c r="C10507" t="s">
        <v>8370</v>
      </c>
      <c r="D10507" t="s">
        <v>136</v>
      </c>
      <c r="E10507">
        <v>0</v>
      </c>
      <c r="F10507">
        <v>0</v>
      </c>
      <c r="G10507" t="e">
        <f>VLOOKUP(B10507,'SINAPI-%MO'!B:E,4,0)</f>
        <v>#N/A</v>
      </c>
      <c r="H10507" s="225" t="str">
        <f t="shared" si="166"/>
        <v/>
      </c>
    </row>
    <row r="10508" spans="2:8" x14ac:dyDescent="0.3">
      <c r="B10508">
        <v>103574</v>
      </c>
      <c r="C10508" t="s">
        <v>8371</v>
      </c>
      <c r="D10508" t="s">
        <v>136</v>
      </c>
      <c r="E10508">
        <v>0</v>
      </c>
      <c r="F10508">
        <v>0</v>
      </c>
      <c r="G10508" t="e">
        <f>VLOOKUP(B10508,'SINAPI-%MO'!B:E,4,0)</f>
        <v>#N/A</v>
      </c>
      <c r="H10508" s="225" t="str">
        <f t="shared" si="166"/>
        <v/>
      </c>
    </row>
    <row r="10509" spans="2:8" x14ac:dyDescent="0.3">
      <c r="B10509">
        <v>103575</v>
      </c>
      <c r="C10509" t="s">
        <v>8372</v>
      </c>
      <c r="D10509" t="s">
        <v>136</v>
      </c>
      <c r="E10509">
        <v>0</v>
      </c>
      <c r="F10509">
        <v>0</v>
      </c>
      <c r="G10509" t="e">
        <f>VLOOKUP(B10509,'SINAPI-%MO'!B:E,4,0)</f>
        <v>#N/A</v>
      </c>
      <c r="H10509" s="225" t="str">
        <f t="shared" si="166"/>
        <v/>
      </c>
    </row>
    <row r="10510" spans="2:8" x14ac:dyDescent="0.3">
      <c r="B10510">
        <v>103576</v>
      </c>
      <c r="C10510" t="s">
        <v>8373</v>
      </c>
      <c r="D10510" t="s">
        <v>136</v>
      </c>
      <c r="E10510">
        <v>0</v>
      </c>
      <c r="F10510">
        <v>0</v>
      </c>
      <c r="G10510" t="e">
        <f>VLOOKUP(B10510,'SINAPI-%MO'!B:E,4,0)</f>
        <v>#N/A</v>
      </c>
      <c r="H10510" s="225" t="str">
        <f t="shared" si="166"/>
        <v/>
      </c>
    </row>
    <row r="10511" spans="2:8" x14ac:dyDescent="0.3">
      <c r="B10511">
        <v>103577</v>
      </c>
      <c r="C10511" t="s">
        <v>8374</v>
      </c>
      <c r="D10511" t="s">
        <v>136</v>
      </c>
      <c r="E10511">
        <v>0</v>
      </c>
      <c r="F10511">
        <v>0</v>
      </c>
      <c r="G10511" t="e">
        <f>VLOOKUP(B10511,'SINAPI-%MO'!B:E,4,0)</f>
        <v>#N/A</v>
      </c>
      <c r="H10511" s="225" t="str">
        <f t="shared" si="166"/>
        <v/>
      </c>
    </row>
    <row r="10512" spans="2:8" x14ac:dyDescent="0.3">
      <c r="B10512">
        <v>103578</v>
      </c>
      <c r="C10512" t="s">
        <v>8375</v>
      </c>
      <c r="D10512" t="s">
        <v>136</v>
      </c>
      <c r="E10512">
        <v>0</v>
      </c>
      <c r="F10512">
        <v>0</v>
      </c>
      <c r="G10512" t="e">
        <f>VLOOKUP(B10512,'SINAPI-%MO'!B:E,4,0)</f>
        <v>#N/A</v>
      </c>
      <c r="H10512" s="225" t="str">
        <f t="shared" si="166"/>
        <v/>
      </c>
    </row>
    <row r="10513" spans="2:8" x14ac:dyDescent="0.3">
      <c r="B10513">
        <v>103579</v>
      </c>
      <c r="C10513" t="s">
        <v>8376</v>
      </c>
      <c r="D10513" t="s">
        <v>136</v>
      </c>
      <c r="E10513">
        <v>0</v>
      </c>
      <c r="F10513">
        <v>0</v>
      </c>
      <c r="G10513" t="e">
        <f>VLOOKUP(B10513,'SINAPI-%MO'!B:E,4,0)</f>
        <v>#N/A</v>
      </c>
      <c r="H10513" s="225" t="str">
        <f t="shared" si="166"/>
        <v/>
      </c>
    </row>
    <row r="10514" spans="2:8" x14ac:dyDescent="0.3">
      <c r="B10514">
        <v>103580</v>
      </c>
      <c r="C10514" t="s">
        <v>8377</v>
      </c>
      <c r="D10514" t="s">
        <v>136</v>
      </c>
      <c r="E10514">
        <v>0</v>
      </c>
      <c r="F10514">
        <v>0</v>
      </c>
      <c r="G10514" t="e">
        <f>VLOOKUP(B10514,'SINAPI-%MO'!B:E,4,0)</f>
        <v>#N/A</v>
      </c>
      <c r="H10514" s="225" t="str">
        <f t="shared" si="166"/>
        <v/>
      </c>
    </row>
    <row r="10515" spans="2:8" x14ac:dyDescent="0.3">
      <c r="B10515">
        <v>103581</v>
      </c>
      <c r="C10515" t="s">
        <v>8378</v>
      </c>
      <c r="D10515" t="s">
        <v>136</v>
      </c>
      <c r="E10515">
        <v>0</v>
      </c>
      <c r="F10515">
        <v>0</v>
      </c>
      <c r="G10515" t="e">
        <f>VLOOKUP(B10515,'SINAPI-%MO'!B:E,4,0)</f>
        <v>#N/A</v>
      </c>
      <c r="H10515" s="225" t="str">
        <f t="shared" si="166"/>
        <v/>
      </c>
    </row>
    <row r="10516" spans="2:8" x14ac:dyDescent="0.3">
      <c r="B10516">
        <v>103582</v>
      </c>
      <c r="C10516" t="s">
        <v>8379</v>
      </c>
      <c r="D10516" t="s">
        <v>136</v>
      </c>
      <c r="E10516">
        <v>0</v>
      </c>
      <c r="F10516">
        <v>0</v>
      </c>
      <c r="G10516" t="e">
        <f>VLOOKUP(B10516,'SINAPI-%MO'!B:E,4,0)</f>
        <v>#N/A</v>
      </c>
      <c r="H10516" s="225" t="str">
        <f t="shared" si="166"/>
        <v/>
      </c>
    </row>
    <row r="10517" spans="2:8" x14ac:dyDescent="0.3">
      <c r="B10517">
        <v>103572</v>
      </c>
      <c r="C10517" t="s">
        <v>8380</v>
      </c>
      <c r="D10517" t="s">
        <v>136</v>
      </c>
      <c r="E10517">
        <v>0</v>
      </c>
      <c r="F10517">
        <v>0</v>
      </c>
      <c r="G10517" t="e">
        <f>VLOOKUP(B10517,'SINAPI-%MO'!B:E,4,0)</f>
        <v>#N/A</v>
      </c>
      <c r="H10517" s="225" t="str">
        <f t="shared" si="166"/>
        <v/>
      </c>
    </row>
    <row r="10518" spans="2:8" x14ac:dyDescent="0.3">
      <c r="B10518">
        <v>103583</v>
      </c>
      <c r="C10518" t="s">
        <v>8381</v>
      </c>
      <c r="D10518" t="s">
        <v>136</v>
      </c>
      <c r="E10518">
        <v>0</v>
      </c>
      <c r="F10518">
        <v>0</v>
      </c>
      <c r="G10518" t="e">
        <f>VLOOKUP(B10518,'SINAPI-%MO'!B:E,4,0)</f>
        <v>#N/A</v>
      </c>
      <c r="H10518" s="225" t="str">
        <f t="shared" si="166"/>
        <v/>
      </c>
    </row>
    <row r="10519" spans="2:8" x14ac:dyDescent="0.3">
      <c r="B10519">
        <v>103584</v>
      </c>
      <c r="C10519" t="s">
        <v>8382</v>
      </c>
      <c r="D10519" t="s">
        <v>136</v>
      </c>
      <c r="E10519">
        <v>0</v>
      </c>
      <c r="F10519">
        <v>0</v>
      </c>
      <c r="G10519" t="e">
        <f>VLOOKUP(B10519,'SINAPI-%MO'!B:E,4,0)</f>
        <v>#N/A</v>
      </c>
      <c r="H10519" s="225" t="str">
        <f t="shared" si="166"/>
        <v/>
      </c>
    </row>
    <row r="10520" spans="2:8" x14ac:dyDescent="0.3">
      <c r="B10520">
        <v>103557</v>
      </c>
      <c r="C10520" t="s">
        <v>8383</v>
      </c>
      <c r="D10520" t="s">
        <v>136</v>
      </c>
      <c r="E10520">
        <v>0</v>
      </c>
      <c r="F10520">
        <v>0</v>
      </c>
      <c r="G10520" t="e">
        <f>VLOOKUP(B10520,'SINAPI-%MO'!B:E,4,0)</f>
        <v>#N/A</v>
      </c>
      <c r="H10520" s="225" t="str">
        <f t="shared" si="166"/>
        <v/>
      </c>
    </row>
    <row r="10521" spans="2:8" x14ac:dyDescent="0.3">
      <c r="B10521">
        <v>103558</v>
      </c>
      <c r="C10521" t="s">
        <v>8384</v>
      </c>
      <c r="D10521" t="s">
        <v>136</v>
      </c>
      <c r="E10521">
        <v>0</v>
      </c>
      <c r="F10521">
        <v>0</v>
      </c>
      <c r="G10521" t="e">
        <f>VLOOKUP(B10521,'SINAPI-%MO'!B:E,4,0)</f>
        <v>#N/A</v>
      </c>
      <c r="H10521" s="225" t="str">
        <f t="shared" si="166"/>
        <v/>
      </c>
    </row>
    <row r="10522" spans="2:8" x14ac:dyDescent="0.3">
      <c r="B10522">
        <v>103559</v>
      </c>
      <c r="C10522" t="s">
        <v>8385</v>
      </c>
      <c r="D10522" t="s">
        <v>136</v>
      </c>
      <c r="E10522">
        <v>0</v>
      </c>
      <c r="F10522">
        <v>0</v>
      </c>
      <c r="G10522" t="e">
        <f>VLOOKUP(B10522,'SINAPI-%MO'!B:E,4,0)</f>
        <v>#N/A</v>
      </c>
      <c r="H10522" s="225" t="str">
        <f t="shared" si="166"/>
        <v/>
      </c>
    </row>
    <row r="10523" spans="2:8" x14ac:dyDescent="0.3">
      <c r="B10523">
        <v>103560</v>
      </c>
      <c r="C10523" t="s">
        <v>8386</v>
      </c>
      <c r="D10523" t="s">
        <v>136</v>
      </c>
      <c r="E10523">
        <v>0</v>
      </c>
      <c r="F10523">
        <v>0</v>
      </c>
      <c r="G10523" t="e">
        <f>VLOOKUP(B10523,'SINAPI-%MO'!B:E,4,0)</f>
        <v>#N/A</v>
      </c>
      <c r="H10523" s="225" t="str">
        <f t="shared" si="166"/>
        <v/>
      </c>
    </row>
    <row r="10524" spans="2:8" x14ac:dyDescent="0.3">
      <c r="B10524">
        <v>103561</v>
      </c>
      <c r="C10524" t="s">
        <v>8387</v>
      </c>
      <c r="D10524" t="s">
        <v>136</v>
      </c>
      <c r="E10524">
        <v>0</v>
      </c>
      <c r="F10524">
        <v>0</v>
      </c>
      <c r="G10524" t="e">
        <f>VLOOKUP(B10524,'SINAPI-%MO'!B:E,4,0)</f>
        <v>#N/A</v>
      </c>
      <c r="H10524" s="225" t="str">
        <f t="shared" si="166"/>
        <v/>
      </c>
    </row>
    <row r="10525" spans="2:8" x14ac:dyDescent="0.3">
      <c r="B10525">
        <v>103529</v>
      </c>
      <c r="C10525" t="s">
        <v>8388</v>
      </c>
      <c r="D10525" t="s">
        <v>136</v>
      </c>
      <c r="E10525">
        <v>0</v>
      </c>
      <c r="F10525">
        <v>0</v>
      </c>
      <c r="G10525" t="e">
        <f>VLOOKUP(B10525,'SINAPI-%MO'!B:E,4,0)</f>
        <v>#N/A</v>
      </c>
      <c r="H10525" s="225" t="str">
        <f t="shared" si="166"/>
        <v/>
      </c>
    </row>
    <row r="10526" spans="2:8" x14ac:dyDescent="0.3">
      <c r="B10526">
        <v>103530</v>
      </c>
      <c r="C10526" t="s">
        <v>8389</v>
      </c>
      <c r="D10526" t="s">
        <v>136</v>
      </c>
      <c r="E10526">
        <v>0</v>
      </c>
      <c r="F10526">
        <v>0</v>
      </c>
      <c r="G10526" t="e">
        <f>VLOOKUP(B10526,'SINAPI-%MO'!B:E,4,0)</f>
        <v>#N/A</v>
      </c>
      <c r="H10526" s="225" t="str">
        <f t="shared" si="166"/>
        <v/>
      </c>
    </row>
    <row r="10527" spans="2:8" x14ac:dyDescent="0.3">
      <c r="B10527">
        <v>103531</v>
      </c>
      <c r="C10527" t="s">
        <v>8390</v>
      </c>
      <c r="D10527" t="s">
        <v>136</v>
      </c>
      <c r="E10527">
        <v>0</v>
      </c>
      <c r="F10527">
        <v>0</v>
      </c>
      <c r="G10527" t="e">
        <f>VLOOKUP(B10527,'SINAPI-%MO'!B:E,4,0)</f>
        <v>#N/A</v>
      </c>
      <c r="H10527" s="225" t="str">
        <f t="shared" si="166"/>
        <v/>
      </c>
    </row>
    <row r="10528" spans="2:8" x14ac:dyDescent="0.3">
      <c r="B10528">
        <v>103532</v>
      </c>
      <c r="C10528" t="s">
        <v>8391</v>
      </c>
      <c r="D10528" t="s">
        <v>136</v>
      </c>
      <c r="E10528">
        <v>0</v>
      </c>
      <c r="F10528">
        <v>0</v>
      </c>
      <c r="G10528" t="e">
        <f>VLOOKUP(B10528,'SINAPI-%MO'!B:E,4,0)</f>
        <v>#N/A</v>
      </c>
      <c r="H10528" s="225" t="str">
        <f t="shared" si="166"/>
        <v/>
      </c>
    </row>
    <row r="10529" spans="2:8" x14ac:dyDescent="0.3">
      <c r="B10529">
        <v>103533</v>
      </c>
      <c r="C10529" t="s">
        <v>8392</v>
      </c>
      <c r="D10529" t="s">
        <v>136</v>
      </c>
      <c r="E10529">
        <v>0</v>
      </c>
      <c r="F10529">
        <v>0</v>
      </c>
      <c r="G10529" t="e">
        <f>VLOOKUP(B10529,'SINAPI-%MO'!B:E,4,0)</f>
        <v>#N/A</v>
      </c>
      <c r="H10529" s="225" t="str">
        <f t="shared" si="166"/>
        <v/>
      </c>
    </row>
    <row r="10530" spans="2:8" x14ac:dyDescent="0.3">
      <c r="B10530">
        <v>103534</v>
      </c>
      <c r="C10530" t="s">
        <v>8393</v>
      </c>
      <c r="D10530" t="s">
        <v>136</v>
      </c>
      <c r="E10530">
        <v>0</v>
      </c>
      <c r="F10530">
        <v>0</v>
      </c>
      <c r="G10530" t="e">
        <f>VLOOKUP(B10530,'SINAPI-%MO'!B:E,4,0)</f>
        <v>#N/A</v>
      </c>
      <c r="H10530" s="225" t="str">
        <f t="shared" si="166"/>
        <v/>
      </c>
    </row>
    <row r="10531" spans="2:8" x14ac:dyDescent="0.3">
      <c r="B10531">
        <v>103535</v>
      </c>
      <c r="C10531" t="s">
        <v>8394</v>
      </c>
      <c r="D10531" t="s">
        <v>136</v>
      </c>
      <c r="E10531">
        <v>0</v>
      </c>
      <c r="F10531">
        <v>0</v>
      </c>
      <c r="G10531" t="e">
        <f>VLOOKUP(B10531,'SINAPI-%MO'!B:E,4,0)</f>
        <v>#N/A</v>
      </c>
      <c r="H10531" s="225" t="str">
        <f t="shared" si="166"/>
        <v/>
      </c>
    </row>
    <row r="10532" spans="2:8" x14ac:dyDescent="0.3">
      <c r="B10532">
        <v>103527</v>
      </c>
      <c r="C10532" t="s">
        <v>8395</v>
      </c>
      <c r="D10532" t="s">
        <v>136</v>
      </c>
      <c r="E10532">
        <v>0</v>
      </c>
      <c r="F10532">
        <v>0</v>
      </c>
      <c r="G10532" t="e">
        <f>VLOOKUP(B10532,'SINAPI-%MO'!B:E,4,0)</f>
        <v>#N/A</v>
      </c>
      <c r="H10532" s="225" t="str">
        <f t="shared" si="166"/>
        <v/>
      </c>
    </row>
    <row r="10533" spans="2:8" x14ac:dyDescent="0.3">
      <c r="B10533">
        <v>103536</v>
      </c>
      <c r="C10533" t="s">
        <v>8396</v>
      </c>
      <c r="D10533" t="s">
        <v>136</v>
      </c>
      <c r="E10533">
        <v>0</v>
      </c>
      <c r="F10533">
        <v>0</v>
      </c>
      <c r="G10533" t="e">
        <f>VLOOKUP(B10533,'SINAPI-%MO'!B:E,4,0)</f>
        <v>#N/A</v>
      </c>
      <c r="H10533" s="225" t="str">
        <f t="shared" si="166"/>
        <v/>
      </c>
    </row>
    <row r="10534" spans="2:8" x14ac:dyDescent="0.3">
      <c r="B10534">
        <v>103528</v>
      </c>
      <c r="C10534" t="s">
        <v>8397</v>
      </c>
      <c r="D10534" t="s">
        <v>136</v>
      </c>
      <c r="E10534">
        <v>0</v>
      </c>
      <c r="F10534">
        <v>0</v>
      </c>
      <c r="G10534" t="e">
        <f>VLOOKUP(B10534,'SINAPI-%MO'!B:E,4,0)</f>
        <v>#N/A</v>
      </c>
      <c r="H10534" s="225" t="str">
        <f t="shared" si="166"/>
        <v/>
      </c>
    </row>
    <row r="10535" spans="2:8" x14ac:dyDescent="0.3">
      <c r="B10535">
        <v>103541</v>
      </c>
      <c r="C10535" t="s">
        <v>8398</v>
      </c>
      <c r="D10535" t="s">
        <v>136</v>
      </c>
      <c r="E10535">
        <v>0</v>
      </c>
      <c r="F10535">
        <v>0</v>
      </c>
      <c r="G10535" t="e">
        <f>VLOOKUP(B10535,'SINAPI-%MO'!B:E,4,0)</f>
        <v>#N/A</v>
      </c>
      <c r="H10535" s="225" t="str">
        <f t="shared" si="166"/>
        <v/>
      </c>
    </row>
    <row r="10536" spans="2:8" x14ac:dyDescent="0.3">
      <c r="B10536">
        <v>103539</v>
      </c>
      <c r="C10536" t="s">
        <v>8399</v>
      </c>
      <c r="D10536" t="s">
        <v>136</v>
      </c>
      <c r="E10536">
        <v>0</v>
      </c>
      <c r="F10536">
        <v>0</v>
      </c>
      <c r="G10536" t="e">
        <f>VLOOKUP(B10536,'SINAPI-%MO'!B:E,4,0)</f>
        <v>#N/A</v>
      </c>
      <c r="H10536" s="225" t="str">
        <f t="shared" si="166"/>
        <v/>
      </c>
    </row>
    <row r="10537" spans="2:8" x14ac:dyDescent="0.3">
      <c r="B10537">
        <v>103540</v>
      </c>
      <c r="C10537" t="s">
        <v>8400</v>
      </c>
      <c r="D10537" t="s">
        <v>136</v>
      </c>
      <c r="E10537">
        <v>0</v>
      </c>
      <c r="F10537">
        <v>0</v>
      </c>
      <c r="G10537" t="e">
        <f>VLOOKUP(B10537,'SINAPI-%MO'!B:E,4,0)</f>
        <v>#N/A</v>
      </c>
      <c r="H10537" s="225" t="str">
        <f t="shared" si="166"/>
        <v/>
      </c>
    </row>
    <row r="10538" spans="2:8" x14ac:dyDescent="0.3">
      <c r="B10538">
        <v>103542</v>
      </c>
      <c r="C10538" t="s">
        <v>8401</v>
      </c>
      <c r="D10538" t="s">
        <v>136</v>
      </c>
      <c r="E10538">
        <v>0</v>
      </c>
      <c r="F10538">
        <v>0</v>
      </c>
      <c r="G10538" t="e">
        <f>VLOOKUP(B10538,'SINAPI-%MO'!B:E,4,0)</f>
        <v>#N/A</v>
      </c>
      <c r="H10538" s="225" t="str">
        <f t="shared" si="166"/>
        <v/>
      </c>
    </row>
    <row r="10539" spans="2:8" x14ac:dyDescent="0.3">
      <c r="B10539">
        <v>103543</v>
      </c>
      <c r="C10539" t="s">
        <v>8402</v>
      </c>
      <c r="D10539" t="s">
        <v>136</v>
      </c>
      <c r="E10539">
        <v>0</v>
      </c>
      <c r="F10539">
        <v>0</v>
      </c>
      <c r="G10539" t="e">
        <f>VLOOKUP(B10539,'SINAPI-%MO'!B:E,4,0)</f>
        <v>#N/A</v>
      </c>
      <c r="H10539" s="225" t="str">
        <f t="shared" si="166"/>
        <v/>
      </c>
    </row>
    <row r="10540" spans="2:8" x14ac:dyDescent="0.3">
      <c r="B10540">
        <v>103544</v>
      </c>
      <c r="C10540" t="s">
        <v>8403</v>
      </c>
      <c r="D10540" t="s">
        <v>136</v>
      </c>
      <c r="E10540">
        <v>0</v>
      </c>
      <c r="F10540">
        <v>0</v>
      </c>
      <c r="G10540" t="e">
        <f>VLOOKUP(B10540,'SINAPI-%MO'!B:E,4,0)</f>
        <v>#N/A</v>
      </c>
      <c r="H10540" s="225" t="str">
        <f t="shared" si="166"/>
        <v/>
      </c>
    </row>
    <row r="10541" spans="2:8" x14ac:dyDescent="0.3">
      <c r="B10541">
        <v>103545</v>
      </c>
      <c r="C10541" t="s">
        <v>8404</v>
      </c>
      <c r="D10541" t="s">
        <v>136</v>
      </c>
      <c r="E10541">
        <v>0</v>
      </c>
      <c r="F10541">
        <v>0</v>
      </c>
      <c r="G10541" t="e">
        <f>VLOOKUP(B10541,'SINAPI-%MO'!B:E,4,0)</f>
        <v>#N/A</v>
      </c>
      <c r="H10541" s="225" t="str">
        <f t="shared" si="166"/>
        <v/>
      </c>
    </row>
    <row r="10542" spans="2:8" x14ac:dyDescent="0.3">
      <c r="B10542">
        <v>103537</v>
      </c>
      <c r="C10542" t="s">
        <v>8405</v>
      </c>
      <c r="D10542" t="s">
        <v>136</v>
      </c>
      <c r="E10542">
        <v>0</v>
      </c>
      <c r="F10542">
        <v>0</v>
      </c>
      <c r="G10542" t="e">
        <f>VLOOKUP(B10542,'SINAPI-%MO'!B:E,4,0)</f>
        <v>#N/A</v>
      </c>
      <c r="H10542" s="225" t="str">
        <f t="shared" si="166"/>
        <v/>
      </c>
    </row>
    <row r="10543" spans="2:8" x14ac:dyDescent="0.3">
      <c r="B10543">
        <v>103546</v>
      </c>
      <c r="C10543" t="s">
        <v>8406</v>
      </c>
      <c r="D10543" t="s">
        <v>136</v>
      </c>
      <c r="E10543">
        <v>0</v>
      </c>
      <c r="F10543">
        <v>0</v>
      </c>
      <c r="G10543" t="e">
        <f>VLOOKUP(B10543,'SINAPI-%MO'!B:E,4,0)</f>
        <v>#N/A</v>
      </c>
      <c r="H10543" s="225" t="str">
        <f t="shared" si="166"/>
        <v/>
      </c>
    </row>
    <row r="10544" spans="2:8" x14ac:dyDescent="0.3">
      <c r="B10544">
        <v>103538</v>
      </c>
      <c r="C10544" t="s">
        <v>8407</v>
      </c>
      <c r="D10544" t="s">
        <v>136</v>
      </c>
      <c r="E10544">
        <v>0</v>
      </c>
      <c r="F10544">
        <v>0</v>
      </c>
      <c r="G10544" t="e">
        <f>VLOOKUP(B10544,'SINAPI-%MO'!B:E,4,0)</f>
        <v>#N/A</v>
      </c>
      <c r="H10544" s="225" t="str">
        <f t="shared" ref="H10544:H10554" si="167">IF(E10544&gt;0,TRUNC(E10544*(1-G10544),2),"")</f>
        <v/>
      </c>
    </row>
    <row r="10545" spans="2:8" x14ac:dyDescent="0.3">
      <c r="B10545">
        <v>103549</v>
      </c>
      <c r="C10545" t="s">
        <v>8408</v>
      </c>
      <c r="D10545" t="s">
        <v>136</v>
      </c>
      <c r="E10545">
        <v>0</v>
      </c>
      <c r="F10545">
        <v>0</v>
      </c>
      <c r="G10545" t="e">
        <f>VLOOKUP(B10545,'SINAPI-%MO'!B:E,4,0)</f>
        <v>#N/A</v>
      </c>
      <c r="H10545" s="225" t="str">
        <f t="shared" si="167"/>
        <v/>
      </c>
    </row>
    <row r="10546" spans="2:8" x14ac:dyDescent="0.3">
      <c r="B10546">
        <v>103550</v>
      </c>
      <c r="C10546" t="s">
        <v>8409</v>
      </c>
      <c r="D10546" t="s">
        <v>136</v>
      </c>
      <c r="E10546">
        <v>0</v>
      </c>
      <c r="F10546">
        <v>0</v>
      </c>
      <c r="G10546" t="e">
        <f>VLOOKUP(B10546,'SINAPI-%MO'!B:E,4,0)</f>
        <v>#N/A</v>
      </c>
      <c r="H10546" s="225" t="str">
        <f t="shared" si="167"/>
        <v/>
      </c>
    </row>
    <row r="10547" spans="2:8" x14ac:dyDescent="0.3">
      <c r="B10547">
        <v>103551</v>
      </c>
      <c r="C10547" t="s">
        <v>8410</v>
      </c>
      <c r="D10547" t="s">
        <v>136</v>
      </c>
      <c r="E10547">
        <v>0</v>
      </c>
      <c r="F10547">
        <v>0</v>
      </c>
      <c r="G10547" t="e">
        <f>VLOOKUP(B10547,'SINAPI-%MO'!B:E,4,0)</f>
        <v>#N/A</v>
      </c>
      <c r="H10547" s="225" t="str">
        <f t="shared" si="167"/>
        <v/>
      </c>
    </row>
    <row r="10548" spans="2:8" x14ac:dyDescent="0.3">
      <c r="B10548">
        <v>103552</v>
      </c>
      <c r="C10548" t="s">
        <v>8411</v>
      </c>
      <c r="D10548" t="s">
        <v>136</v>
      </c>
      <c r="E10548">
        <v>0</v>
      </c>
      <c r="F10548">
        <v>0</v>
      </c>
      <c r="G10548" t="e">
        <f>VLOOKUP(B10548,'SINAPI-%MO'!B:E,4,0)</f>
        <v>#N/A</v>
      </c>
      <c r="H10548" s="225" t="str">
        <f t="shared" si="167"/>
        <v/>
      </c>
    </row>
    <row r="10549" spans="2:8" x14ac:dyDescent="0.3">
      <c r="B10549">
        <v>103553</v>
      </c>
      <c r="C10549" t="s">
        <v>8412</v>
      </c>
      <c r="D10549" t="s">
        <v>136</v>
      </c>
      <c r="E10549">
        <v>0</v>
      </c>
      <c r="F10549">
        <v>0</v>
      </c>
      <c r="G10549" t="e">
        <f>VLOOKUP(B10549,'SINAPI-%MO'!B:E,4,0)</f>
        <v>#N/A</v>
      </c>
      <c r="H10549" s="225" t="str">
        <f t="shared" si="167"/>
        <v/>
      </c>
    </row>
    <row r="10550" spans="2:8" x14ac:dyDescent="0.3">
      <c r="B10550">
        <v>103554</v>
      </c>
      <c r="C10550" t="s">
        <v>8413</v>
      </c>
      <c r="D10550" t="s">
        <v>136</v>
      </c>
      <c r="E10550">
        <v>0</v>
      </c>
      <c r="F10550">
        <v>0</v>
      </c>
      <c r="G10550" t="e">
        <f>VLOOKUP(B10550,'SINAPI-%MO'!B:E,4,0)</f>
        <v>#N/A</v>
      </c>
      <c r="H10550" s="225" t="str">
        <f t="shared" si="167"/>
        <v/>
      </c>
    </row>
    <row r="10551" spans="2:8" x14ac:dyDescent="0.3">
      <c r="B10551">
        <v>103555</v>
      </c>
      <c r="C10551" t="s">
        <v>8414</v>
      </c>
      <c r="D10551" t="s">
        <v>136</v>
      </c>
      <c r="E10551">
        <v>0</v>
      </c>
      <c r="F10551">
        <v>0</v>
      </c>
      <c r="G10551" t="e">
        <f>VLOOKUP(B10551,'SINAPI-%MO'!B:E,4,0)</f>
        <v>#N/A</v>
      </c>
      <c r="H10551" s="225" t="str">
        <f t="shared" si="167"/>
        <v/>
      </c>
    </row>
    <row r="10552" spans="2:8" x14ac:dyDescent="0.3">
      <c r="B10552">
        <v>103547</v>
      </c>
      <c r="C10552" t="s">
        <v>8415</v>
      </c>
      <c r="D10552" t="s">
        <v>136</v>
      </c>
      <c r="E10552">
        <v>0</v>
      </c>
      <c r="F10552">
        <v>0</v>
      </c>
      <c r="G10552" t="e">
        <f>VLOOKUP(B10552,'SINAPI-%MO'!B:E,4,0)</f>
        <v>#N/A</v>
      </c>
      <c r="H10552" s="225" t="str">
        <f t="shared" si="167"/>
        <v/>
      </c>
    </row>
    <row r="10553" spans="2:8" x14ac:dyDescent="0.3">
      <c r="B10553">
        <v>103556</v>
      </c>
      <c r="C10553" t="s">
        <v>8416</v>
      </c>
      <c r="D10553" t="s">
        <v>136</v>
      </c>
      <c r="E10553">
        <v>0</v>
      </c>
      <c r="F10553">
        <v>0</v>
      </c>
      <c r="G10553" t="e">
        <f>VLOOKUP(B10553,'SINAPI-%MO'!B:E,4,0)</f>
        <v>#N/A</v>
      </c>
      <c r="H10553" s="225" t="str">
        <f t="shared" si="167"/>
        <v/>
      </c>
    </row>
    <row r="10554" spans="2:8" x14ac:dyDescent="0.3">
      <c r="B10554">
        <v>103548</v>
      </c>
      <c r="C10554" t="s">
        <v>8417</v>
      </c>
      <c r="D10554" t="s">
        <v>136</v>
      </c>
      <c r="E10554">
        <v>0</v>
      </c>
      <c r="F10554">
        <v>0</v>
      </c>
      <c r="G10554" t="e">
        <f>VLOOKUP(B10554,'SINAPI-%MO'!B:E,4,0)</f>
        <v>#N/A</v>
      </c>
      <c r="H10554" s="225" t="str">
        <f t="shared" si="167"/>
        <v/>
      </c>
    </row>
    <row r="10564" spans="7:7" x14ac:dyDescent="0.3">
      <c r="G10564" s="403"/>
    </row>
    <row r="10566" spans="7:7" x14ac:dyDescent="0.3">
      <c r="G10566" s="403"/>
    </row>
    <row r="10568" spans="7:7" x14ac:dyDescent="0.3">
      <c r="G10568" s="403"/>
    </row>
    <row r="10572" spans="7:7" x14ac:dyDescent="0.3">
      <c r="G10572" s="403"/>
    </row>
    <row r="10573" spans="7:7" x14ac:dyDescent="0.3">
      <c r="G10573" s="403"/>
    </row>
    <row r="10584" spans="7:7" x14ac:dyDescent="0.3">
      <c r="G10584" s="403"/>
    </row>
    <row r="10585" spans="7:7" x14ac:dyDescent="0.3">
      <c r="G10585" s="403"/>
    </row>
    <row r="10586" spans="7:7" x14ac:dyDescent="0.3">
      <c r="G10586" s="403"/>
    </row>
    <row r="10587" spans="7:7" x14ac:dyDescent="0.3">
      <c r="G10587" s="403"/>
    </row>
    <row r="10588" spans="7:7" x14ac:dyDescent="0.3">
      <c r="G10588" s="403"/>
    </row>
    <row r="10590" spans="7:7" x14ac:dyDescent="0.3">
      <c r="G10590" s="403"/>
    </row>
    <row r="10591" spans="7:7" x14ac:dyDescent="0.3">
      <c r="G10591" s="403"/>
    </row>
    <row r="10592" spans="7:7" x14ac:dyDescent="0.3">
      <c r="G10592" s="403"/>
    </row>
    <row r="10593" spans="7:7" x14ac:dyDescent="0.3">
      <c r="G10593" s="403"/>
    </row>
    <row r="10596" spans="7:7" x14ac:dyDescent="0.3">
      <c r="G10596" s="403"/>
    </row>
    <row r="10605" spans="7:7" x14ac:dyDescent="0.3">
      <c r="G10605" s="403"/>
    </row>
    <row r="10606" spans="7:7" x14ac:dyDescent="0.3">
      <c r="G10606" s="403"/>
    </row>
    <row r="10609" spans="7:7" x14ac:dyDescent="0.3">
      <c r="G10609" s="403"/>
    </row>
    <row r="10610" spans="7:7" x14ac:dyDescent="0.3">
      <c r="G10610" s="403"/>
    </row>
    <row r="10611" spans="7:7" x14ac:dyDescent="0.3">
      <c r="G10611" s="403"/>
    </row>
    <row r="10612" spans="7:7" x14ac:dyDescent="0.3">
      <c r="G10612" s="403"/>
    </row>
    <row r="10613" spans="7:7" x14ac:dyDescent="0.3">
      <c r="G10613" s="403"/>
    </row>
    <row r="10614" spans="7:7" x14ac:dyDescent="0.3">
      <c r="G10614" s="403"/>
    </row>
    <row r="10615" spans="7:7" x14ac:dyDescent="0.3">
      <c r="G10615" s="403"/>
    </row>
    <row r="10616" spans="7:7" x14ac:dyDescent="0.3">
      <c r="G10616" s="403"/>
    </row>
    <row r="10617" spans="7:7" x14ac:dyDescent="0.3">
      <c r="G10617" s="403"/>
    </row>
    <row r="10618" spans="7:7" x14ac:dyDescent="0.3">
      <c r="G10618" s="403"/>
    </row>
    <row r="10619" spans="7:7" x14ac:dyDescent="0.3">
      <c r="G10619" s="403"/>
    </row>
    <row r="10620" spans="7:7" x14ac:dyDescent="0.3">
      <c r="G10620" s="403"/>
    </row>
    <row r="10621" spans="7:7" x14ac:dyDescent="0.3">
      <c r="G10621" s="403"/>
    </row>
    <row r="10623" spans="7:7" x14ac:dyDescent="0.3">
      <c r="G10623" s="403"/>
    </row>
    <row r="10626" spans="7:7" x14ac:dyDescent="0.3">
      <c r="G10626" s="403"/>
    </row>
    <row r="10628" spans="7:7" x14ac:dyDescent="0.3">
      <c r="G10628" s="403"/>
    </row>
    <row r="10630" spans="7:7" x14ac:dyDescent="0.3">
      <c r="G10630" s="403"/>
    </row>
    <row r="10632" spans="7:7" x14ac:dyDescent="0.3">
      <c r="G10632" s="403"/>
    </row>
    <row r="10648" spans="7:7" x14ac:dyDescent="0.3">
      <c r="G10648" s="403"/>
    </row>
    <row r="10684" spans="7:7" x14ac:dyDescent="0.3">
      <c r="G10684" s="403"/>
    </row>
    <row r="10685" spans="7:7" x14ac:dyDescent="0.3">
      <c r="G10685" s="403"/>
    </row>
    <row r="10686" spans="7:7" x14ac:dyDescent="0.3">
      <c r="G10686" s="403"/>
    </row>
    <row r="10687" spans="7:7" x14ac:dyDescent="0.3">
      <c r="G10687" s="403"/>
    </row>
    <row r="10688" spans="7:7" x14ac:dyDescent="0.3">
      <c r="G10688" s="403"/>
    </row>
    <row r="10689" spans="7:7" x14ac:dyDescent="0.3">
      <c r="G10689" s="403"/>
    </row>
  </sheetData>
  <pageMargins left="0.51180555555555596" right="0.51180555555555596" top="0.78749999999999998" bottom="0.78749999999999998" header="0.511811023622047" footer="0.511811023622047"/>
  <pageSetup paperSize="9" orientation="portrait" horizontalDpi="300" verticalDpi="30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H4886"/>
  <sheetViews>
    <sheetView zoomScale="85" zoomScaleNormal="85" workbookViewId="0">
      <selection activeCell="N6" sqref="N6"/>
    </sheetView>
  </sheetViews>
  <sheetFormatPr defaultColWidth="8.5546875" defaultRowHeight="14.4" x14ac:dyDescent="0.3"/>
  <cols>
    <col min="1" max="1" width="17.6640625" customWidth="1"/>
    <col min="2" max="2" width="14.6640625" customWidth="1"/>
    <col min="3" max="3" width="60.6640625" customWidth="1"/>
    <col min="4" max="4" width="10.6640625" customWidth="1"/>
    <col min="5" max="5" width="11.6640625" customWidth="1"/>
    <col min="6" max="7" width="16.6640625" customWidth="1"/>
    <col min="8" max="8" width="16.5546875" style="225" customWidth="1"/>
  </cols>
  <sheetData>
    <row r="1" spans="1:8" x14ac:dyDescent="0.3">
      <c r="A1" s="395" t="s">
        <v>505</v>
      </c>
    </row>
    <row r="2" spans="1:8" x14ac:dyDescent="0.3">
      <c r="A2" s="397" t="s">
        <v>8418</v>
      </c>
    </row>
    <row r="3" spans="1:8" x14ac:dyDescent="0.3">
      <c r="A3" s="397" t="s">
        <v>507</v>
      </c>
      <c r="B3" s="708" t="s">
        <v>16033</v>
      </c>
      <c r="E3" s="712" t="s">
        <v>14763</v>
      </c>
    </row>
    <row r="4" spans="1:8" x14ac:dyDescent="0.3">
      <c r="A4" s="397" t="s">
        <v>508</v>
      </c>
      <c r="B4" s="708" t="s">
        <v>16034</v>
      </c>
      <c r="E4" s="713" t="s">
        <v>14764</v>
      </c>
      <c r="F4" s="477" t="s">
        <v>509</v>
      </c>
      <c r="G4" s="477" t="s">
        <v>8419</v>
      </c>
    </row>
    <row r="5" spans="1:8" x14ac:dyDescent="0.3">
      <c r="E5" s="477" t="s">
        <v>510</v>
      </c>
      <c r="F5" s="714" t="s">
        <v>511</v>
      </c>
      <c r="G5" s="714" t="s">
        <v>8420</v>
      </c>
    </row>
    <row r="6" spans="1:8" x14ac:dyDescent="0.3">
      <c r="A6" s="395" t="s">
        <v>8421</v>
      </c>
      <c r="B6" s="710" t="s">
        <v>8422</v>
      </c>
      <c r="C6" s="710" t="s">
        <v>8423</v>
      </c>
      <c r="E6" s="477" t="s">
        <v>314</v>
      </c>
      <c r="F6" s="715">
        <v>1.1194999999999999</v>
      </c>
      <c r="G6" s="715">
        <v>1.1500999999999999</v>
      </c>
    </row>
    <row r="7" spans="1:8" x14ac:dyDescent="0.3">
      <c r="A7" s="404" t="s">
        <v>8424</v>
      </c>
      <c r="E7" s="477" t="s">
        <v>315</v>
      </c>
      <c r="F7" s="715">
        <v>0.69289999999999996</v>
      </c>
      <c r="G7" s="715">
        <v>0.71179999999999999</v>
      </c>
    </row>
    <row r="9" spans="1:8" x14ac:dyDescent="0.3">
      <c r="A9" s="400"/>
      <c r="E9" s="713" t="s">
        <v>8425</v>
      </c>
    </row>
    <row r="10" spans="1:8" ht="26.4" x14ac:dyDescent="0.3">
      <c r="A10" s="398" t="s">
        <v>8426</v>
      </c>
      <c r="B10" s="477" t="s">
        <v>8427</v>
      </c>
      <c r="C10" s="477" t="s">
        <v>8428</v>
      </c>
      <c r="D10" s="477" t="s">
        <v>417</v>
      </c>
      <c r="E10" s="477" t="s">
        <v>8429</v>
      </c>
      <c r="F10" s="477" t="s">
        <v>509</v>
      </c>
      <c r="G10" s="477" t="s">
        <v>8419</v>
      </c>
      <c r="H10" s="405" t="s">
        <v>8430</v>
      </c>
    </row>
    <row r="11" spans="1:8" x14ac:dyDescent="0.3">
      <c r="A11" s="401"/>
      <c r="B11" s="709">
        <v>45333</v>
      </c>
      <c r="C11" s="710" t="s">
        <v>8431</v>
      </c>
      <c r="D11" s="709" t="s">
        <v>136</v>
      </c>
      <c r="E11" s="709" t="s">
        <v>8432</v>
      </c>
      <c r="F11" s="716">
        <v>217.5</v>
      </c>
      <c r="G11" s="716">
        <v>201.57</v>
      </c>
      <c r="H11" s="225">
        <f t="shared" ref="H11:H74" si="0">IF(F11&gt;0,F11,G11)</f>
        <v>217.5</v>
      </c>
    </row>
    <row r="12" spans="1:8" x14ac:dyDescent="0.3">
      <c r="A12" s="401"/>
      <c r="B12" s="709">
        <v>11270</v>
      </c>
      <c r="C12" s="710" t="s">
        <v>8433</v>
      </c>
      <c r="D12" s="709" t="s">
        <v>136</v>
      </c>
      <c r="E12" s="709" t="s">
        <v>8432</v>
      </c>
      <c r="F12" s="716"/>
      <c r="G12" s="716">
        <v>2.4</v>
      </c>
      <c r="H12" s="225">
        <f t="shared" si="0"/>
        <v>2.4</v>
      </c>
    </row>
    <row r="13" spans="1:8" x14ac:dyDescent="0.3">
      <c r="A13" s="401"/>
      <c r="B13" s="709">
        <v>412</v>
      </c>
      <c r="C13" s="710" t="s">
        <v>8434</v>
      </c>
      <c r="D13" s="709" t="s">
        <v>136</v>
      </c>
      <c r="E13" s="709" t="s">
        <v>8432</v>
      </c>
      <c r="F13" s="716">
        <v>0.97</v>
      </c>
      <c r="G13" s="716">
        <v>1.18</v>
      </c>
      <c r="H13" s="225">
        <f t="shared" si="0"/>
        <v>0.97</v>
      </c>
    </row>
    <row r="14" spans="1:8" x14ac:dyDescent="0.3">
      <c r="A14" s="401"/>
      <c r="B14" s="709">
        <v>414</v>
      </c>
      <c r="C14" s="710" t="s">
        <v>8435</v>
      </c>
      <c r="D14" s="709" t="s">
        <v>136</v>
      </c>
      <c r="E14" s="709" t="s">
        <v>8432</v>
      </c>
      <c r="F14" s="716">
        <v>0.06</v>
      </c>
      <c r="G14" s="716">
        <v>7.0000000000000007E-2</v>
      </c>
      <c r="H14" s="225">
        <f t="shared" si="0"/>
        <v>0.06</v>
      </c>
    </row>
    <row r="15" spans="1:8" x14ac:dyDescent="0.3">
      <c r="A15" s="401"/>
      <c r="B15" s="709">
        <v>410</v>
      </c>
      <c r="C15" s="710" t="s">
        <v>8436</v>
      </c>
      <c r="D15" s="709" t="s">
        <v>136</v>
      </c>
      <c r="E15" s="709" t="s">
        <v>8432</v>
      </c>
      <c r="F15" s="716">
        <v>0.15</v>
      </c>
      <c r="G15" s="716">
        <v>0.18</v>
      </c>
      <c r="H15" s="225">
        <f t="shared" si="0"/>
        <v>0.15</v>
      </c>
    </row>
    <row r="16" spans="1:8" x14ac:dyDescent="0.3">
      <c r="A16" s="401"/>
      <c r="B16" s="709">
        <v>411</v>
      </c>
      <c r="C16" s="710" t="s">
        <v>8437</v>
      </c>
      <c r="D16" s="709" t="s">
        <v>136</v>
      </c>
      <c r="E16" s="709" t="s">
        <v>8438</v>
      </c>
      <c r="F16" s="716">
        <v>0.19</v>
      </c>
      <c r="G16" s="716">
        <v>0.23</v>
      </c>
      <c r="H16" s="225">
        <f t="shared" si="0"/>
        <v>0.19</v>
      </c>
    </row>
    <row r="17" spans="1:8" x14ac:dyDescent="0.3">
      <c r="A17" s="401"/>
      <c r="B17" s="709">
        <v>408</v>
      </c>
      <c r="C17" s="710" t="s">
        <v>8439</v>
      </c>
      <c r="D17" s="709" t="s">
        <v>136</v>
      </c>
      <c r="E17" s="709" t="s">
        <v>8432</v>
      </c>
      <c r="F17" s="716">
        <v>0.94</v>
      </c>
      <c r="G17" s="716">
        <v>1.1399999999999999</v>
      </c>
      <c r="H17" s="225">
        <f t="shared" si="0"/>
        <v>0.94</v>
      </c>
    </row>
    <row r="18" spans="1:8" x14ac:dyDescent="0.3">
      <c r="A18" s="401"/>
      <c r="B18" s="709">
        <v>39131</v>
      </c>
      <c r="C18" s="710" t="s">
        <v>8440</v>
      </c>
      <c r="D18" s="709" t="s">
        <v>136</v>
      </c>
      <c r="E18" s="709" t="s">
        <v>8432</v>
      </c>
      <c r="F18" s="716">
        <v>3.5</v>
      </c>
      <c r="G18" s="716">
        <v>3.16</v>
      </c>
      <c r="H18" s="225">
        <f t="shared" si="0"/>
        <v>3.5</v>
      </c>
    </row>
    <row r="19" spans="1:8" x14ac:dyDescent="0.3">
      <c r="A19" s="401"/>
      <c r="B19" s="709">
        <v>394</v>
      </c>
      <c r="C19" s="710" t="s">
        <v>8441</v>
      </c>
      <c r="D19" s="709" t="s">
        <v>136</v>
      </c>
      <c r="E19" s="709" t="s">
        <v>8432</v>
      </c>
      <c r="F19" s="716">
        <v>3.55</v>
      </c>
      <c r="G19" s="716">
        <v>3.2</v>
      </c>
      <c r="H19" s="225">
        <f t="shared" si="0"/>
        <v>3.55</v>
      </c>
    </row>
    <row r="20" spans="1:8" x14ac:dyDescent="0.3">
      <c r="A20" s="401"/>
      <c r="B20" s="709">
        <v>39130</v>
      </c>
      <c r="C20" s="710" t="s">
        <v>8442</v>
      </c>
      <c r="D20" s="709" t="s">
        <v>136</v>
      </c>
      <c r="E20" s="709" t="s">
        <v>8432</v>
      </c>
      <c r="F20" s="716">
        <v>3.19</v>
      </c>
      <c r="G20" s="716">
        <v>2.88</v>
      </c>
      <c r="H20" s="225">
        <f t="shared" si="0"/>
        <v>3.19</v>
      </c>
    </row>
    <row r="21" spans="1:8" x14ac:dyDescent="0.3">
      <c r="A21" s="401"/>
      <c r="B21" s="709">
        <v>395</v>
      </c>
      <c r="C21" s="710" t="s">
        <v>8443</v>
      </c>
      <c r="D21" s="709" t="s">
        <v>136</v>
      </c>
      <c r="E21" s="709" t="s">
        <v>8432</v>
      </c>
      <c r="F21" s="716">
        <v>3.41</v>
      </c>
      <c r="G21" s="716">
        <v>3.08</v>
      </c>
      <c r="H21" s="225">
        <f t="shared" si="0"/>
        <v>3.41</v>
      </c>
    </row>
    <row r="22" spans="1:8" x14ac:dyDescent="0.3">
      <c r="A22" s="401"/>
      <c r="B22" s="709">
        <v>39129</v>
      </c>
      <c r="C22" s="710" t="s">
        <v>8444</v>
      </c>
      <c r="D22" s="709" t="s">
        <v>136</v>
      </c>
      <c r="E22" s="709" t="s">
        <v>8432</v>
      </c>
      <c r="F22" s="716">
        <v>1.97</v>
      </c>
      <c r="G22" s="716">
        <v>1.78</v>
      </c>
      <c r="H22" s="225">
        <f t="shared" si="0"/>
        <v>1.97</v>
      </c>
    </row>
    <row r="23" spans="1:8" x14ac:dyDescent="0.3">
      <c r="A23" s="401"/>
      <c r="B23" s="709">
        <v>393</v>
      </c>
      <c r="C23" s="710" t="s">
        <v>8445</v>
      </c>
      <c r="D23" s="709" t="s">
        <v>136</v>
      </c>
      <c r="E23" s="709" t="s">
        <v>8438</v>
      </c>
      <c r="F23" s="716">
        <v>2.06</v>
      </c>
      <c r="G23" s="716">
        <v>1.86</v>
      </c>
      <c r="H23" s="225">
        <f t="shared" si="0"/>
        <v>2.06</v>
      </c>
    </row>
    <row r="24" spans="1:8" x14ac:dyDescent="0.3">
      <c r="A24" s="401"/>
      <c r="B24" s="709">
        <v>39127</v>
      </c>
      <c r="C24" s="710" t="s">
        <v>8446</v>
      </c>
      <c r="D24" s="709" t="s">
        <v>136</v>
      </c>
      <c r="E24" s="709" t="s">
        <v>8432</v>
      </c>
      <c r="F24" s="716">
        <v>1.68</v>
      </c>
      <c r="G24" s="716">
        <v>1.52</v>
      </c>
      <c r="H24" s="225">
        <f t="shared" si="0"/>
        <v>1.68</v>
      </c>
    </row>
    <row r="25" spans="1:8" x14ac:dyDescent="0.3">
      <c r="A25" s="401"/>
      <c r="B25" s="709">
        <v>392</v>
      </c>
      <c r="C25" s="710" t="s">
        <v>8447</v>
      </c>
      <c r="D25" s="709" t="s">
        <v>136</v>
      </c>
      <c r="E25" s="709" t="s">
        <v>8432</v>
      </c>
      <c r="F25" s="716">
        <v>1.73</v>
      </c>
      <c r="G25" s="716">
        <v>1.56</v>
      </c>
      <c r="H25" s="225">
        <f t="shared" si="0"/>
        <v>1.73</v>
      </c>
    </row>
    <row r="26" spans="1:8" x14ac:dyDescent="0.3">
      <c r="A26" s="401"/>
      <c r="B26" s="709">
        <v>39133</v>
      </c>
      <c r="C26" s="710" t="s">
        <v>8448</v>
      </c>
      <c r="D26" s="709" t="s">
        <v>136</v>
      </c>
      <c r="E26" s="709" t="s">
        <v>8432</v>
      </c>
      <c r="F26" s="716">
        <v>4.5999999999999996</v>
      </c>
      <c r="G26" s="716">
        <v>4.1500000000000004</v>
      </c>
      <c r="H26" s="225">
        <f t="shared" si="0"/>
        <v>4.5999999999999996</v>
      </c>
    </row>
    <row r="27" spans="1:8" x14ac:dyDescent="0.3">
      <c r="A27" s="401"/>
      <c r="B27" s="709">
        <v>397</v>
      </c>
      <c r="C27" s="710" t="s">
        <v>8449</v>
      </c>
      <c r="D27" s="709" t="s">
        <v>136</v>
      </c>
      <c r="E27" s="709" t="s">
        <v>8432</v>
      </c>
      <c r="F27" s="716">
        <v>5.08</v>
      </c>
      <c r="G27" s="716">
        <v>4.59</v>
      </c>
      <c r="H27" s="225">
        <f t="shared" si="0"/>
        <v>5.08</v>
      </c>
    </row>
    <row r="28" spans="1:8" x14ac:dyDescent="0.3">
      <c r="A28" s="401"/>
      <c r="B28" s="709">
        <v>39132</v>
      </c>
      <c r="C28" s="710" t="s">
        <v>8450</v>
      </c>
      <c r="D28" s="709" t="s">
        <v>136</v>
      </c>
      <c r="E28" s="709" t="s">
        <v>8432</v>
      </c>
      <c r="F28" s="716">
        <v>3.68</v>
      </c>
      <c r="G28" s="716">
        <v>3.32</v>
      </c>
      <c r="H28" s="225">
        <f t="shared" si="0"/>
        <v>3.68</v>
      </c>
    </row>
    <row r="29" spans="1:8" x14ac:dyDescent="0.3">
      <c r="A29" s="401"/>
      <c r="B29" s="709">
        <v>396</v>
      </c>
      <c r="C29" s="710" t="s">
        <v>8451</v>
      </c>
      <c r="D29" s="709" t="s">
        <v>136</v>
      </c>
      <c r="E29" s="709" t="s">
        <v>8432</v>
      </c>
      <c r="F29" s="716">
        <v>3.94</v>
      </c>
      <c r="G29" s="716">
        <v>3.56</v>
      </c>
      <c r="H29" s="225">
        <f t="shared" si="0"/>
        <v>3.94</v>
      </c>
    </row>
    <row r="30" spans="1:8" x14ac:dyDescent="0.3">
      <c r="A30" s="401"/>
      <c r="B30" s="709">
        <v>39135</v>
      </c>
      <c r="C30" s="710" t="s">
        <v>8452</v>
      </c>
      <c r="D30" s="709" t="s">
        <v>136</v>
      </c>
      <c r="E30" s="709" t="s">
        <v>8432</v>
      </c>
      <c r="F30" s="716">
        <v>7.36</v>
      </c>
      <c r="G30" s="716">
        <v>6.64</v>
      </c>
      <c r="H30" s="225">
        <f t="shared" si="0"/>
        <v>7.36</v>
      </c>
    </row>
    <row r="31" spans="1:8" x14ac:dyDescent="0.3">
      <c r="A31" s="401"/>
      <c r="B31" s="709">
        <v>39134</v>
      </c>
      <c r="C31" s="710" t="s">
        <v>8453</v>
      </c>
      <c r="D31" s="709" t="s">
        <v>136</v>
      </c>
      <c r="E31" s="709" t="s">
        <v>8432</v>
      </c>
      <c r="F31" s="716">
        <v>6.13</v>
      </c>
      <c r="G31" s="716">
        <v>5.54</v>
      </c>
      <c r="H31" s="225">
        <f t="shared" si="0"/>
        <v>6.13</v>
      </c>
    </row>
    <row r="32" spans="1:8" x14ac:dyDescent="0.3">
      <c r="A32" s="401"/>
      <c r="B32" s="709">
        <v>398</v>
      </c>
      <c r="C32" s="710" t="s">
        <v>8454</v>
      </c>
      <c r="D32" s="709" t="s">
        <v>136</v>
      </c>
      <c r="E32" s="709" t="s">
        <v>8432</v>
      </c>
      <c r="F32" s="716">
        <v>5.65</v>
      </c>
      <c r="G32" s="716">
        <v>5.0999999999999996</v>
      </c>
      <c r="H32" s="225">
        <f t="shared" si="0"/>
        <v>5.65</v>
      </c>
    </row>
    <row r="33" spans="1:8" x14ac:dyDescent="0.3">
      <c r="A33" s="401"/>
      <c r="B33" s="709">
        <v>39128</v>
      </c>
      <c r="C33" s="710" t="s">
        <v>8455</v>
      </c>
      <c r="D33" s="709" t="s">
        <v>136</v>
      </c>
      <c r="E33" s="709" t="s">
        <v>8432</v>
      </c>
      <c r="F33" s="716">
        <v>1.84</v>
      </c>
      <c r="G33" s="716">
        <v>1.66</v>
      </c>
      <c r="H33" s="225">
        <f t="shared" si="0"/>
        <v>1.84</v>
      </c>
    </row>
    <row r="34" spans="1:8" x14ac:dyDescent="0.3">
      <c r="A34" s="401"/>
      <c r="B34" s="709">
        <v>400</v>
      </c>
      <c r="C34" s="710" t="s">
        <v>8456</v>
      </c>
      <c r="D34" s="709" t="s">
        <v>136</v>
      </c>
      <c r="E34" s="709" t="s">
        <v>8432</v>
      </c>
      <c r="F34" s="716">
        <v>1.79</v>
      </c>
      <c r="G34" s="716">
        <v>1.62</v>
      </c>
      <c r="H34" s="225">
        <f t="shared" si="0"/>
        <v>1.79</v>
      </c>
    </row>
    <row r="35" spans="1:8" x14ac:dyDescent="0.3">
      <c r="A35" s="401"/>
      <c r="B35" s="709">
        <v>39125</v>
      </c>
      <c r="C35" s="710" t="s">
        <v>8457</v>
      </c>
      <c r="D35" s="709" t="s">
        <v>136</v>
      </c>
      <c r="E35" s="709" t="s">
        <v>8432</v>
      </c>
      <c r="F35" s="716">
        <v>1.84</v>
      </c>
      <c r="G35" s="716">
        <v>1.66</v>
      </c>
      <c r="H35" s="225">
        <f t="shared" si="0"/>
        <v>1.84</v>
      </c>
    </row>
    <row r="36" spans="1:8" x14ac:dyDescent="0.3">
      <c r="A36" s="401"/>
      <c r="B36" s="709">
        <v>39126</v>
      </c>
      <c r="C36" s="710" t="s">
        <v>8458</v>
      </c>
      <c r="D36" s="709" t="s">
        <v>136</v>
      </c>
      <c r="E36" s="709" t="s">
        <v>8432</v>
      </c>
      <c r="F36" s="716">
        <v>8.2799999999999994</v>
      </c>
      <c r="G36" s="716">
        <v>7.47</v>
      </c>
      <c r="H36" s="225">
        <f t="shared" si="0"/>
        <v>8.2799999999999994</v>
      </c>
    </row>
    <row r="37" spans="1:8" x14ac:dyDescent="0.3">
      <c r="A37" s="401"/>
      <c r="B37" s="709">
        <v>399</v>
      </c>
      <c r="C37" s="710" t="s">
        <v>8459</v>
      </c>
      <c r="D37" s="709" t="s">
        <v>136</v>
      </c>
      <c r="E37" s="709" t="s">
        <v>8432</v>
      </c>
      <c r="F37" s="716">
        <v>7.29</v>
      </c>
      <c r="G37" s="716">
        <v>6.58</v>
      </c>
      <c r="H37" s="225">
        <f t="shared" si="0"/>
        <v>7.29</v>
      </c>
    </row>
    <row r="38" spans="1:8" x14ac:dyDescent="0.3">
      <c r="A38" s="401"/>
      <c r="B38" s="709">
        <v>39158</v>
      </c>
      <c r="C38" s="710" t="s">
        <v>8460</v>
      </c>
      <c r="D38" s="709" t="s">
        <v>136</v>
      </c>
      <c r="E38" s="709" t="s">
        <v>8432</v>
      </c>
      <c r="F38" s="716">
        <v>19.59</v>
      </c>
      <c r="G38" s="716">
        <v>17.68</v>
      </c>
      <c r="H38" s="225">
        <f t="shared" si="0"/>
        <v>19.59</v>
      </c>
    </row>
    <row r="39" spans="1:8" x14ac:dyDescent="0.3">
      <c r="A39" s="401"/>
      <c r="B39" s="709">
        <v>39141</v>
      </c>
      <c r="C39" s="710" t="s">
        <v>8461</v>
      </c>
      <c r="D39" s="709" t="s">
        <v>136</v>
      </c>
      <c r="E39" s="709" t="s">
        <v>8432</v>
      </c>
      <c r="F39" s="716">
        <v>1.42</v>
      </c>
      <c r="G39" s="716">
        <v>1.28</v>
      </c>
      <c r="H39" s="225">
        <f t="shared" si="0"/>
        <v>1.42</v>
      </c>
    </row>
    <row r="40" spans="1:8" x14ac:dyDescent="0.3">
      <c r="A40" s="401"/>
      <c r="B40" s="709">
        <v>39140</v>
      </c>
      <c r="C40" s="710" t="s">
        <v>8462</v>
      </c>
      <c r="D40" s="709" t="s">
        <v>136</v>
      </c>
      <c r="E40" s="709" t="s">
        <v>8432</v>
      </c>
      <c r="F40" s="716">
        <v>1.29</v>
      </c>
      <c r="G40" s="716">
        <v>1.1599999999999999</v>
      </c>
      <c r="H40" s="225">
        <f t="shared" si="0"/>
        <v>1.29</v>
      </c>
    </row>
    <row r="41" spans="1:8" x14ac:dyDescent="0.3">
      <c r="A41" s="401"/>
      <c r="B41" s="709">
        <v>39139</v>
      </c>
      <c r="C41" s="710" t="s">
        <v>8463</v>
      </c>
      <c r="D41" s="709" t="s">
        <v>136</v>
      </c>
      <c r="E41" s="709" t="s">
        <v>8432</v>
      </c>
      <c r="F41" s="716">
        <v>1.07</v>
      </c>
      <c r="G41" s="716">
        <v>0.96</v>
      </c>
      <c r="H41" s="225">
        <f t="shared" si="0"/>
        <v>1.07</v>
      </c>
    </row>
    <row r="42" spans="1:8" x14ac:dyDescent="0.3">
      <c r="A42" s="401"/>
      <c r="B42" s="709">
        <v>39137</v>
      </c>
      <c r="C42" s="710" t="s">
        <v>8464</v>
      </c>
      <c r="D42" s="709" t="s">
        <v>136</v>
      </c>
      <c r="E42" s="709" t="s">
        <v>8432</v>
      </c>
      <c r="F42" s="716">
        <v>0.74</v>
      </c>
      <c r="G42" s="716">
        <v>0.67</v>
      </c>
      <c r="H42" s="225">
        <f t="shared" si="0"/>
        <v>0.74</v>
      </c>
    </row>
    <row r="43" spans="1:8" x14ac:dyDescent="0.3">
      <c r="A43" s="401"/>
      <c r="B43" s="709">
        <v>39143</v>
      </c>
      <c r="C43" s="710" t="s">
        <v>8465</v>
      </c>
      <c r="D43" s="709" t="s">
        <v>136</v>
      </c>
      <c r="E43" s="709" t="s">
        <v>8432</v>
      </c>
      <c r="F43" s="716">
        <v>2.93</v>
      </c>
      <c r="G43" s="716">
        <v>2.65</v>
      </c>
      <c r="H43" s="225">
        <f t="shared" si="0"/>
        <v>2.93</v>
      </c>
    </row>
    <row r="44" spans="1:8" x14ac:dyDescent="0.3">
      <c r="A44" s="401"/>
      <c r="B44" s="709">
        <v>39142</v>
      </c>
      <c r="C44" s="710" t="s">
        <v>8466</v>
      </c>
      <c r="D44" s="709" t="s">
        <v>136</v>
      </c>
      <c r="E44" s="709" t="s">
        <v>8432</v>
      </c>
      <c r="F44" s="716">
        <v>2.1</v>
      </c>
      <c r="G44" s="716">
        <v>1.89</v>
      </c>
      <c r="H44" s="225">
        <f t="shared" si="0"/>
        <v>2.1</v>
      </c>
    </row>
    <row r="45" spans="1:8" x14ac:dyDescent="0.3">
      <c r="A45" s="401"/>
      <c r="B45" s="709">
        <v>39144</v>
      </c>
      <c r="C45" s="710" t="s">
        <v>8467</v>
      </c>
      <c r="D45" s="709" t="s">
        <v>136</v>
      </c>
      <c r="E45" s="709" t="s">
        <v>8432</v>
      </c>
      <c r="F45" s="716">
        <v>3.41</v>
      </c>
      <c r="G45" s="716">
        <v>3.08</v>
      </c>
      <c r="H45" s="225">
        <f t="shared" si="0"/>
        <v>3.41</v>
      </c>
    </row>
    <row r="46" spans="1:8" x14ac:dyDescent="0.3">
      <c r="A46" s="401"/>
      <c r="B46" s="709">
        <v>39138</v>
      </c>
      <c r="C46" s="710" t="s">
        <v>8468</v>
      </c>
      <c r="D46" s="709" t="s">
        <v>136</v>
      </c>
      <c r="E46" s="709" t="s">
        <v>8432</v>
      </c>
      <c r="F46" s="716">
        <v>0.78</v>
      </c>
      <c r="G46" s="716">
        <v>0.71</v>
      </c>
      <c r="H46" s="225">
        <f t="shared" si="0"/>
        <v>0.78</v>
      </c>
    </row>
    <row r="47" spans="1:8" x14ac:dyDescent="0.3">
      <c r="A47" s="401"/>
      <c r="B47" s="709">
        <v>39136</v>
      </c>
      <c r="C47" s="710" t="s">
        <v>8469</v>
      </c>
      <c r="D47" s="709" t="s">
        <v>136</v>
      </c>
      <c r="E47" s="709" t="s">
        <v>8432</v>
      </c>
      <c r="F47" s="716">
        <v>0.52</v>
      </c>
      <c r="G47" s="716">
        <v>0.47</v>
      </c>
      <c r="H47" s="225">
        <f t="shared" si="0"/>
        <v>0.52</v>
      </c>
    </row>
    <row r="48" spans="1:8" x14ac:dyDescent="0.3">
      <c r="A48" s="401"/>
      <c r="B48" s="709">
        <v>39145</v>
      </c>
      <c r="C48" s="710" t="s">
        <v>8470</v>
      </c>
      <c r="D48" s="709" t="s">
        <v>136</v>
      </c>
      <c r="E48" s="709" t="s">
        <v>8432</v>
      </c>
      <c r="F48" s="716">
        <v>5.63</v>
      </c>
      <c r="G48" s="716">
        <v>5.08</v>
      </c>
      <c r="H48" s="225">
        <f t="shared" si="0"/>
        <v>5.63</v>
      </c>
    </row>
    <row r="49" spans="1:8" x14ac:dyDescent="0.3">
      <c r="A49" s="401"/>
      <c r="B49" s="709">
        <v>12615</v>
      </c>
      <c r="C49" s="710" t="s">
        <v>8471</v>
      </c>
      <c r="D49" s="709" t="s">
        <v>136</v>
      </c>
      <c r="E49" s="709" t="s">
        <v>8432</v>
      </c>
      <c r="F49" s="716">
        <v>16.48</v>
      </c>
      <c r="G49" s="716">
        <v>16.64</v>
      </c>
      <c r="H49" s="225">
        <f t="shared" si="0"/>
        <v>16.48</v>
      </c>
    </row>
    <row r="50" spans="1:8" x14ac:dyDescent="0.3">
      <c r="A50" s="401"/>
      <c r="B50" s="709">
        <v>11927</v>
      </c>
      <c r="C50" s="710" t="s">
        <v>8472</v>
      </c>
      <c r="D50" s="709" t="s">
        <v>136</v>
      </c>
      <c r="E50" s="709" t="s">
        <v>8432</v>
      </c>
      <c r="F50" s="716"/>
      <c r="G50" s="716">
        <v>7.16</v>
      </c>
      <c r="H50" s="225">
        <f t="shared" si="0"/>
        <v>7.16</v>
      </c>
    </row>
    <row r="51" spans="1:8" x14ac:dyDescent="0.3">
      <c r="A51" s="401"/>
      <c r="B51" s="709">
        <v>11928</v>
      </c>
      <c r="C51" s="710" t="s">
        <v>8473</v>
      </c>
      <c r="D51" s="709" t="s">
        <v>136</v>
      </c>
      <c r="E51" s="709" t="s">
        <v>8432</v>
      </c>
      <c r="F51" s="716"/>
      <c r="G51" s="716">
        <v>8.1999999999999993</v>
      </c>
      <c r="H51" s="225">
        <f t="shared" si="0"/>
        <v>8.1999999999999993</v>
      </c>
    </row>
    <row r="52" spans="1:8" x14ac:dyDescent="0.3">
      <c r="A52" s="401"/>
      <c r="B52" s="709">
        <v>11929</v>
      </c>
      <c r="C52" s="710" t="s">
        <v>8474</v>
      </c>
      <c r="D52" s="709" t="s">
        <v>136</v>
      </c>
      <c r="E52" s="709" t="s">
        <v>8432</v>
      </c>
      <c r="F52" s="716"/>
      <c r="G52" s="716">
        <v>12.69</v>
      </c>
      <c r="H52" s="225">
        <f t="shared" si="0"/>
        <v>12.69</v>
      </c>
    </row>
    <row r="53" spans="1:8" x14ac:dyDescent="0.3">
      <c r="A53" s="401"/>
      <c r="B53" s="709">
        <v>44908</v>
      </c>
      <c r="C53" s="710" t="s">
        <v>14765</v>
      </c>
      <c r="D53" s="709" t="s">
        <v>136</v>
      </c>
      <c r="E53" s="709" t="s">
        <v>8432</v>
      </c>
      <c r="F53" s="716"/>
      <c r="G53" s="716">
        <v>1.54</v>
      </c>
      <c r="H53" s="225">
        <f t="shared" si="0"/>
        <v>1.54</v>
      </c>
    </row>
    <row r="54" spans="1:8" x14ac:dyDescent="0.3">
      <c r="A54" s="401"/>
      <c r="B54" s="709">
        <v>36801</v>
      </c>
      <c r="C54" s="710" t="s">
        <v>8475</v>
      </c>
      <c r="D54" s="709" t="s">
        <v>136</v>
      </c>
      <c r="E54" s="709" t="s">
        <v>8432</v>
      </c>
      <c r="F54" s="716">
        <v>66.7</v>
      </c>
      <c r="G54" s="716">
        <v>34.07</v>
      </c>
      <c r="H54" s="225">
        <f t="shared" si="0"/>
        <v>66.7</v>
      </c>
    </row>
    <row r="55" spans="1:8" x14ac:dyDescent="0.3">
      <c r="A55" s="401"/>
      <c r="B55" s="709">
        <v>36246</v>
      </c>
      <c r="C55" s="710" t="s">
        <v>8476</v>
      </c>
      <c r="D55" s="709" t="s">
        <v>159</v>
      </c>
      <c r="E55" s="709" t="s">
        <v>8432</v>
      </c>
      <c r="F55" s="716">
        <v>5.75</v>
      </c>
      <c r="G55" s="716">
        <v>5.2</v>
      </c>
      <c r="H55" s="225">
        <f t="shared" si="0"/>
        <v>5.75</v>
      </c>
    </row>
    <row r="56" spans="1:8" x14ac:dyDescent="0.3">
      <c r="A56" s="401"/>
      <c r="B56" s="709">
        <v>37600</v>
      </c>
      <c r="C56" s="710" t="s">
        <v>8477</v>
      </c>
      <c r="D56" s="709" t="s">
        <v>136</v>
      </c>
      <c r="E56" s="709" t="s">
        <v>8432</v>
      </c>
      <c r="F56" s="716"/>
      <c r="G56" s="716">
        <v>123.17</v>
      </c>
      <c r="H56" s="225">
        <f t="shared" si="0"/>
        <v>123.17</v>
      </c>
    </row>
    <row r="57" spans="1:8" x14ac:dyDescent="0.3">
      <c r="A57" s="401"/>
      <c r="B57" s="709">
        <v>37599</v>
      </c>
      <c r="C57" s="710" t="s">
        <v>8478</v>
      </c>
      <c r="D57" s="709" t="s">
        <v>136</v>
      </c>
      <c r="E57" s="709" t="s">
        <v>8432</v>
      </c>
      <c r="F57" s="716"/>
      <c r="G57" s="716">
        <v>114.64</v>
      </c>
      <c r="H57" s="225">
        <f t="shared" si="0"/>
        <v>114.64</v>
      </c>
    </row>
    <row r="58" spans="1:8" x14ac:dyDescent="0.3">
      <c r="A58" s="401"/>
      <c r="B58" s="709">
        <v>1</v>
      </c>
      <c r="C58" s="710" t="s">
        <v>8479</v>
      </c>
      <c r="D58" s="709" t="s">
        <v>175</v>
      </c>
      <c r="E58" s="709" t="s">
        <v>8438</v>
      </c>
      <c r="F58" s="716">
        <v>121.5</v>
      </c>
      <c r="G58" s="716">
        <v>110</v>
      </c>
      <c r="H58" s="225">
        <f t="shared" si="0"/>
        <v>121.5</v>
      </c>
    </row>
    <row r="59" spans="1:8" x14ac:dyDescent="0.3">
      <c r="A59" s="401"/>
      <c r="B59" s="709">
        <v>3</v>
      </c>
      <c r="C59" s="710" t="s">
        <v>8480</v>
      </c>
      <c r="D59" s="709" t="s">
        <v>8120</v>
      </c>
      <c r="E59" s="709" t="s">
        <v>8432</v>
      </c>
      <c r="F59" s="716">
        <v>17.54</v>
      </c>
      <c r="G59" s="716">
        <v>20.69</v>
      </c>
      <c r="H59" s="225">
        <f t="shared" si="0"/>
        <v>17.54</v>
      </c>
    </row>
    <row r="60" spans="1:8" x14ac:dyDescent="0.3">
      <c r="A60" s="401"/>
      <c r="B60" s="709">
        <v>43054</v>
      </c>
      <c r="C60" s="710" t="s">
        <v>8481</v>
      </c>
      <c r="D60" s="709" t="s">
        <v>175</v>
      </c>
      <c r="E60" s="709" t="s">
        <v>8432</v>
      </c>
      <c r="F60" s="716">
        <v>7.69</v>
      </c>
      <c r="G60" s="716">
        <v>7.18</v>
      </c>
      <c r="H60" s="225">
        <f t="shared" si="0"/>
        <v>7.69</v>
      </c>
    </row>
    <row r="61" spans="1:8" x14ac:dyDescent="0.3">
      <c r="A61" s="401"/>
      <c r="B61" s="709">
        <v>42402</v>
      </c>
      <c r="C61" s="710" t="s">
        <v>8482</v>
      </c>
      <c r="D61" s="709" t="s">
        <v>175</v>
      </c>
      <c r="E61" s="709" t="s">
        <v>8432</v>
      </c>
      <c r="F61" s="716">
        <v>7.35</v>
      </c>
      <c r="G61" s="716">
        <v>6.86</v>
      </c>
      <c r="H61" s="225">
        <f t="shared" si="0"/>
        <v>7.35</v>
      </c>
    </row>
    <row r="62" spans="1:8" x14ac:dyDescent="0.3">
      <c r="A62" s="401"/>
      <c r="B62" s="709">
        <v>42403</v>
      </c>
      <c r="C62" s="710" t="s">
        <v>8483</v>
      </c>
      <c r="D62" s="709" t="s">
        <v>175</v>
      </c>
      <c r="E62" s="709" t="s">
        <v>8432</v>
      </c>
      <c r="F62" s="716">
        <v>9.43</v>
      </c>
      <c r="G62" s="716">
        <v>8.8000000000000007</v>
      </c>
      <c r="H62" s="225">
        <f t="shared" si="0"/>
        <v>9.43</v>
      </c>
    </row>
    <row r="63" spans="1:8" x14ac:dyDescent="0.3">
      <c r="A63" s="401"/>
      <c r="B63" s="709">
        <v>42404</v>
      </c>
      <c r="C63" s="710" t="s">
        <v>8484</v>
      </c>
      <c r="D63" s="709" t="s">
        <v>175</v>
      </c>
      <c r="E63" s="709" t="s">
        <v>8432</v>
      </c>
      <c r="F63" s="716">
        <v>9.3699999999999992</v>
      </c>
      <c r="G63" s="716">
        <v>8.75</v>
      </c>
      <c r="H63" s="225">
        <f t="shared" si="0"/>
        <v>9.3699999999999992</v>
      </c>
    </row>
    <row r="64" spans="1:8" x14ac:dyDescent="0.3">
      <c r="A64" s="401"/>
      <c r="B64" s="709">
        <v>42405</v>
      </c>
      <c r="C64" s="710" t="s">
        <v>8485</v>
      </c>
      <c r="D64" s="709" t="s">
        <v>175</v>
      </c>
      <c r="E64" s="709" t="s">
        <v>8432</v>
      </c>
      <c r="F64" s="716">
        <v>9.98</v>
      </c>
      <c r="G64" s="716">
        <v>9.32</v>
      </c>
      <c r="H64" s="225">
        <f t="shared" si="0"/>
        <v>9.98</v>
      </c>
    </row>
    <row r="65" spans="1:8" x14ac:dyDescent="0.3">
      <c r="A65" s="401"/>
      <c r="B65" s="709">
        <v>34341</v>
      </c>
      <c r="C65" s="710" t="s">
        <v>8486</v>
      </c>
      <c r="D65" s="709" t="s">
        <v>175</v>
      </c>
      <c r="E65" s="709" t="s">
        <v>8432</v>
      </c>
      <c r="F65" s="716">
        <v>8.67</v>
      </c>
      <c r="G65" s="716">
        <v>8.09</v>
      </c>
      <c r="H65" s="225">
        <f t="shared" si="0"/>
        <v>8.67</v>
      </c>
    </row>
    <row r="66" spans="1:8" x14ac:dyDescent="0.3">
      <c r="A66" s="401"/>
      <c r="B66" s="709">
        <v>43053</v>
      </c>
      <c r="C66" s="710" t="s">
        <v>8487</v>
      </c>
      <c r="D66" s="709" t="s">
        <v>175</v>
      </c>
      <c r="E66" s="709" t="s">
        <v>8432</v>
      </c>
      <c r="F66" s="716">
        <v>6.87</v>
      </c>
      <c r="G66" s="716">
        <v>6.41</v>
      </c>
      <c r="H66" s="225">
        <f t="shared" si="0"/>
        <v>6.87</v>
      </c>
    </row>
    <row r="67" spans="1:8" x14ac:dyDescent="0.3">
      <c r="A67" s="401"/>
      <c r="B67" s="709">
        <v>43058</v>
      </c>
      <c r="C67" s="710" t="s">
        <v>8488</v>
      </c>
      <c r="D67" s="709" t="s">
        <v>175</v>
      </c>
      <c r="E67" s="709" t="s">
        <v>8432</v>
      </c>
      <c r="F67" s="716">
        <v>7.12</v>
      </c>
      <c r="G67" s="716">
        <v>6.65</v>
      </c>
      <c r="H67" s="225">
        <f t="shared" si="0"/>
        <v>7.12</v>
      </c>
    </row>
    <row r="68" spans="1:8" x14ac:dyDescent="0.3">
      <c r="A68" s="401"/>
      <c r="B68" s="709">
        <v>34</v>
      </c>
      <c r="C68" s="710" t="s">
        <v>8489</v>
      </c>
      <c r="D68" s="709" t="s">
        <v>175</v>
      </c>
      <c r="E68" s="709" t="s">
        <v>8432</v>
      </c>
      <c r="F68" s="716">
        <v>7.16</v>
      </c>
      <c r="G68" s="716">
        <v>6.68</v>
      </c>
      <c r="H68" s="225">
        <f t="shared" si="0"/>
        <v>7.16</v>
      </c>
    </row>
    <row r="69" spans="1:8" x14ac:dyDescent="0.3">
      <c r="A69" s="401"/>
      <c r="B69" s="709">
        <v>43055</v>
      </c>
      <c r="C69" s="710" t="s">
        <v>8490</v>
      </c>
      <c r="D69" s="709" t="s">
        <v>175</v>
      </c>
      <c r="E69" s="709" t="s">
        <v>8438</v>
      </c>
      <c r="F69" s="716">
        <v>6.2</v>
      </c>
      <c r="G69" s="716">
        <v>5.79</v>
      </c>
      <c r="H69" s="225">
        <f t="shared" si="0"/>
        <v>6.2</v>
      </c>
    </row>
    <row r="70" spans="1:8" x14ac:dyDescent="0.3">
      <c r="A70" s="401"/>
      <c r="B70" s="709">
        <v>43056</v>
      </c>
      <c r="C70" s="710" t="s">
        <v>8491</v>
      </c>
      <c r="D70" s="709" t="s">
        <v>175</v>
      </c>
      <c r="E70" s="709" t="s">
        <v>8432</v>
      </c>
      <c r="F70" s="716">
        <v>7.15</v>
      </c>
      <c r="G70" s="716">
        <v>6.67</v>
      </c>
      <c r="H70" s="225">
        <f t="shared" si="0"/>
        <v>7.15</v>
      </c>
    </row>
    <row r="71" spans="1:8" x14ac:dyDescent="0.3">
      <c r="A71" s="401"/>
      <c r="B71" s="709">
        <v>43057</v>
      </c>
      <c r="C71" s="710" t="s">
        <v>8492</v>
      </c>
      <c r="D71" s="709" t="s">
        <v>175</v>
      </c>
      <c r="E71" s="709" t="s">
        <v>8432</v>
      </c>
      <c r="F71" s="716">
        <v>7.85</v>
      </c>
      <c r="G71" s="716">
        <v>7.33</v>
      </c>
      <c r="H71" s="225">
        <f t="shared" si="0"/>
        <v>7.85</v>
      </c>
    </row>
    <row r="72" spans="1:8" x14ac:dyDescent="0.3">
      <c r="A72" s="401"/>
      <c r="B72" s="709">
        <v>34449</v>
      </c>
      <c r="C72" s="710" t="s">
        <v>8493</v>
      </c>
      <c r="D72" s="709" t="s">
        <v>175</v>
      </c>
      <c r="E72" s="709" t="s">
        <v>8432</v>
      </c>
      <c r="F72" s="716">
        <v>8.4</v>
      </c>
      <c r="G72" s="716">
        <v>7.84</v>
      </c>
      <c r="H72" s="225">
        <f t="shared" si="0"/>
        <v>8.4</v>
      </c>
    </row>
    <row r="73" spans="1:8" x14ac:dyDescent="0.3">
      <c r="A73" s="401"/>
      <c r="B73" s="709">
        <v>32</v>
      </c>
      <c r="C73" s="710" t="s">
        <v>8494</v>
      </c>
      <c r="D73" s="709" t="s">
        <v>175</v>
      </c>
      <c r="E73" s="709" t="s">
        <v>8432</v>
      </c>
      <c r="F73" s="716">
        <v>7.55</v>
      </c>
      <c r="G73" s="716">
        <v>7.05</v>
      </c>
      <c r="H73" s="225">
        <f t="shared" si="0"/>
        <v>7.55</v>
      </c>
    </row>
    <row r="74" spans="1:8" x14ac:dyDescent="0.3">
      <c r="A74" s="401"/>
      <c r="B74" s="709">
        <v>33</v>
      </c>
      <c r="C74" s="710" t="s">
        <v>8495</v>
      </c>
      <c r="D74" s="709" t="s">
        <v>175</v>
      </c>
      <c r="E74" s="709" t="s">
        <v>8432</v>
      </c>
      <c r="F74" s="716">
        <v>7.59</v>
      </c>
      <c r="G74" s="716">
        <v>7.09</v>
      </c>
      <c r="H74" s="225">
        <f t="shared" si="0"/>
        <v>7.59</v>
      </c>
    </row>
    <row r="75" spans="1:8" x14ac:dyDescent="0.3">
      <c r="A75" s="401"/>
      <c r="B75" s="709">
        <v>43061</v>
      </c>
      <c r="C75" s="710" t="s">
        <v>8496</v>
      </c>
      <c r="D75" s="709" t="s">
        <v>175</v>
      </c>
      <c r="E75" s="709" t="s">
        <v>8432</v>
      </c>
      <c r="F75" s="716">
        <v>7.09</v>
      </c>
      <c r="G75" s="716">
        <v>6.62</v>
      </c>
      <c r="H75" s="225">
        <f t="shared" ref="H75:H138" si="1">IF(F75&gt;0,F75,G75)</f>
        <v>7.09</v>
      </c>
    </row>
    <row r="76" spans="1:8" x14ac:dyDescent="0.3">
      <c r="A76" s="401"/>
      <c r="B76" s="709">
        <v>43059</v>
      </c>
      <c r="C76" s="710" t="s">
        <v>8497</v>
      </c>
      <c r="D76" s="709" t="s">
        <v>175</v>
      </c>
      <c r="E76" s="709" t="s">
        <v>8432</v>
      </c>
      <c r="F76" s="716">
        <v>6.77</v>
      </c>
      <c r="G76" s="716">
        <v>6.32</v>
      </c>
      <c r="H76" s="225">
        <f t="shared" si="1"/>
        <v>6.77</v>
      </c>
    </row>
    <row r="77" spans="1:8" x14ac:dyDescent="0.3">
      <c r="A77" s="401"/>
      <c r="B77" s="709">
        <v>43062</v>
      </c>
      <c r="C77" s="710" t="s">
        <v>8498</v>
      </c>
      <c r="D77" s="709" t="s">
        <v>175</v>
      </c>
      <c r="E77" s="709" t="s">
        <v>8432</v>
      </c>
      <c r="F77" s="716">
        <v>7.5</v>
      </c>
      <c r="G77" s="716">
        <v>7.01</v>
      </c>
      <c r="H77" s="225">
        <f t="shared" si="1"/>
        <v>7.5</v>
      </c>
    </row>
    <row r="78" spans="1:8" x14ac:dyDescent="0.3">
      <c r="A78" s="401"/>
      <c r="B78" s="709">
        <v>43060</v>
      </c>
      <c r="C78" s="710" t="s">
        <v>8499</v>
      </c>
      <c r="D78" s="709" t="s">
        <v>175</v>
      </c>
      <c r="E78" s="709" t="s">
        <v>8432</v>
      </c>
      <c r="F78" s="716">
        <v>5.9</v>
      </c>
      <c r="G78" s="716">
        <v>5.51</v>
      </c>
      <c r="H78" s="225">
        <f t="shared" si="1"/>
        <v>5.9</v>
      </c>
    </row>
    <row r="79" spans="1:8" x14ac:dyDescent="0.3">
      <c r="A79" s="401"/>
      <c r="B79" s="709">
        <v>40410</v>
      </c>
      <c r="C79" s="710" t="s">
        <v>8500</v>
      </c>
      <c r="D79" s="709" t="s">
        <v>136</v>
      </c>
      <c r="E79" s="709" t="s">
        <v>8438</v>
      </c>
      <c r="F79" s="716"/>
      <c r="G79" s="716">
        <v>22.86</v>
      </c>
      <c r="H79" s="225">
        <f t="shared" si="1"/>
        <v>22.86</v>
      </c>
    </row>
    <row r="80" spans="1:8" x14ac:dyDescent="0.3">
      <c r="A80" s="401"/>
      <c r="B80" s="709">
        <v>40411</v>
      </c>
      <c r="C80" s="710" t="s">
        <v>8501</v>
      </c>
      <c r="D80" s="709" t="s">
        <v>136</v>
      </c>
      <c r="E80" s="709" t="s">
        <v>8432</v>
      </c>
      <c r="F80" s="716"/>
      <c r="G80" s="716">
        <v>24.81</v>
      </c>
      <c r="H80" s="225">
        <f t="shared" si="1"/>
        <v>24.81</v>
      </c>
    </row>
    <row r="81" spans="1:8" x14ac:dyDescent="0.3">
      <c r="A81" s="401"/>
      <c r="B81" s="709">
        <v>40412</v>
      </c>
      <c r="C81" s="710" t="s">
        <v>8502</v>
      </c>
      <c r="D81" s="709" t="s">
        <v>136</v>
      </c>
      <c r="E81" s="709" t="s">
        <v>8432</v>
      </c>
      <c r="F81" s="716"/>
      <c r="G81" s="716">
        <v>27.84</v>
      </c>
      <c r="H81" s="225">
        <f t="shared" si="1"/>
        <v>27.84</v>
      </c>
    </row>
    <row r="82" spans="1:8" x14ac:dyDescent="0.3">
      <c r="A82" s="401"/>
      <c r="B82" s="709">
        <v>44254</v>
      </c>
      <c r="C82" s="710" t="s">
        <v>8503</v>
      </c>
      <c r="D82" s="709" t="s">
        <v>136</v>
      </c>
      <c r="E82" s="709" t="s">
        <v>8432</v>
      </c>
      <c r="F82" s="716">
        <v>41.01</v>
      </c>
      <c r="G82" s="716">
        <v>29.99</v>
      </c>
      <c r="H82" s="225">
        <f t="shared" si="1"/>
        <v>41.01</v>
      </c>
    </row>
    <row r="83" spans="1:8" x14ac:dyDescent="0.3">
      <c r="A83" s="401"/>
      <c r="B83" s="709">
        <v>44255</v>
      </c>
      <c r="C83" s="710" t="s">
        <v>8504</v>
      </c>
      <c r="D83" s="709" t="s">
        <v>136</v>
      </c>
      <c r="E83" s="709" t="s">
        <v>8432</v>
      </c>
      <c r="F83" s="716">
        <v>45.46</v>
      </c>
      <c r="G83" s="716">
        <v>33.24</v>
      </c>
      <c r="H83" s="225">
        <f t="shared" si="1"/>
        <v>45.46</v>
      </c>
    </row>
    <row r="84" spans="1:8" x14ac:dyDescent="0.3">
      <c r="A84" s="401"/>
      <c r="B84" s="709">
        <v>44256</v>
      </c>
      <c r="C84" s="710" t="s">
        <v>8505</v>
      </c>
      <c r="D84" s="709" t="s">
        <v>136</v>
      </c>
      <c r="E84" s="709" t="s">
        <v>8432</v>
      </c>
      <c r="F84" s="716">
        <v>51.34</v>
      </c>
      <c r="G84" s="716">
        <v>37.54</v>
      </c>
      <c r="H84" s="225">
        <f t="shared" si="1"/>
        <v>51.34</v>
      </c>
    </row>
    <row r="85" spans="1:8" x14ac:dyDescent="0.3">
      <c r="A85" s="401"/>
      <c r="B85" s="709">
        <v>44257</v>
      </c>
      <c r="C85" s="710" t="s">
        <v>8506</v>
      </c>
      <c r="D85" s="709" t="s">
        <v>136</v>
      </c>
      <c r="E85" s="709" t="s">
        <v>8432</v>
      </c>
      <c r="F85" s="716">
        <v>81.22</v>
      </c>
      <c r="G85" s="716">
        <v>59.4</v>
      </c>
      <c r="H85" s="225">
        <f t="shared" si="1"/>
        <v>81.22</v>
      </c>
    </row>
    <row r="86" spans="1:8" x14ac:dyDescent="0.3">
      <c r="A86" s="401"/>
      <c r="B86" s="709">
        <v>44258</v>
      </c>
      <c r="C86" s="710" t="s">
        <v>8507</v>
      </c>
      <c r="D86" s="709" t="s">
        <v>136</v>
      </c>
      <c r="E86" s="709" t="s">
        <v>8432</v>
      </c>
      <c r="F86" s="716">
        <v>92.83</v>
      </c>
      <c r="G86" s="716">
        <v>67.88</v>
      </c>
      <c r="H86" s="225">
        <f t="shared" si="1"/>
        <v>92.83</v>
      </c>
    </row>
    <row r="87" spans="1:8" x14ac:dyDescent="0.3">
      <c r="A87" s="401"/>
      <c r="B87" s="709">
        <v>44259</v>
      </c>
      <c r="C87" s="710" t="s">
        <v>8508</v>
      </c>
      <c r="D87" s="709" t="s">
        <v>136</v>
      </c>
      <c r="E87" s="709" t="s">
        <v>8432</v>
      </c>
      <c r="F87" s="716">
        <v>127.41</v>
      </c>
      <c r="G87" s="716">
        <v>93.17</v>
      </c>
      <c r="H87" s="225">
        <f t="shared" si="1"/>
        <v>127.41</v>
      </c>
    </row>
    <row r="88" spans="1:8" x14ac:dyDescent="0.3">
      <c r="A88" s="401"/>
      <c r="B88" s="709">
        <v>37997</v>
      </c>
      <c r="C88" s="710" t="s">
        <v>8509</v>
      </c>
      <c r="D88" s="709" t="s">
        <v>136</v>
      </c>
      <c r="E88" s="709" t="s">
        <v>8432</v>
      </c>
      <c r="F88" s="716">
        <v>24.44</v>
      </c>
      <c r="G88" s="716">
        <v>17.87</v>
      </c>
      <c r="H88" s="225">
        <f t="shared" si="1"/>
        <v>24.44</v>
      </c>
    </row>
    <row r="89" spans="1:8" x14ac:dyDescent="0.3">
      <c r="A89" s="401"/>
      <c r="B89" s="709">
        <v>37998</v>
      </c>
      <c r="C89" s="710" t="s">
        <v>8510</v>
      </c>
      <c r="D89" s="709" t="s">
        <v>136</v>
      </c>
      <c r="E89" s="709" t="s">
        <v>8432</v>
      </c>
      <c r="F89" s="716">
        <v>32.71</v>
      </c>
      <c r="G89" s="716">
        <v>23.92</v>
      </c>
      <c r="H89" s="225">
        <f t="shared" si="1"/>
        <v>32.71</v>
      </c>
    </row>
    <row r="90" spans="1:8" x14ac:dyDescent="0.3">
      <c r="A90" s="401"/>
      <c r="B90" s="709">
        <v>55</v>
      </c>
      <c r="C90" s="710" t="s">
        <v>8511</v>
      </c>
      <c r="D90" s="709" t="s">
        <v>136</v>
      </c>
      <c r="E90" s="709" t="s">
        <v>8438</v>
      </c>
      <c r="F90" s="716">
        <v>7.1</v>
      </c>
      <c r="G90" s="716">
        <v>4.8600000000000003</v>
      </c>
      <c r="H90" s="225">
        <f t="shared" si="1"/>
        <v>7.1</v>
      </c>
    </row>
    <row r="91" spans="1:8" x14ac:dyDescent="0.3">
      <c r="A91" s="401"/>
      <c r="B91" s="709">
        <v>61</v>
      </c>
      <c r="C91" s="710" t="s">
        <v>8512</v>
      </c>
      <c r="D91" s="709" t="s">
        <v>136</v>
      </c>
      <c r="E91" s="709" t="s">
        <v>8432</v>
      </c>
      <c r="F91" s="716">
        <v>6.71</v>
      </c>
      <c r="G91" s="716">
        <v>4.59</v>
      </c>
      <c r="H91" s="225">
        <f t="shared" si="1"/>
        <v>6.71</v>
      </c>
    </row>
    <row r="92" spans="1:8" x14ac:dyDescent="0.3">
      <c r="A92" s="401"/>
      <c r="B92" s="709">
        <v>62</v>
      </c>
      <c r="C92" s="710" t="s">
        <v>8513</v>
      </c>
      <c r="D92" s="709" t="s">
        <v>136</v>
      </c>
      <c r="E92" s="709" t="s">
        <v>8432</v>
      </c>
      <c r="F92" s="716">
        <v>13.92</v>
      </c>
      <c r="G92" s="716">
        <v>9.52</v>
      </c>
      <c r="H92" s="225">
        <f t="shared" si="1"/>
        <v>13.92</v>
      </c>
    </row>
    <row r="93" spans="1:8" x14ac:dyDescent="0.3">
      <c r="A93" s="401"/>
      <c r="B93" s="709">
        <v>10899</v>
      </c>
      <c r="C93" s="710" t="s">
        <v>8514</v>
      </c>
      <c r="D93" s="709" t="s">
        <v>136</v>
      </c>
      <c r="E93" s="709" t="s">
        <v>8432</v>
      </c>
      <c r="F93" s="716">
        <v>72.28</v>
      </c>
      <c r="G93" s="716">
        <v>161.21</v>
      </c>
      <c r="H93" s="225">
        <f t="shared" si="1"/>
        <v>72.28</v>
      </c>
    </row>
    <row r="94" spans="1:8" x14ac:dyDescent="0.3">
      <c r="A94" s="401"/>
      <c r="B94" s="709">
        <v>10900</v>
      </c>
      <c r="C94" s="710" t="s">
        <v>8515</v>
      </c>
      <c r="D94" s="709" t="s">
        <v>136</v>
      </c>
      <c r="E94" s="709" t="s">
        <v>8432</v>
      </c>
      <c r="F94" s="716">
        <v>56.57</v>
      </c>
      <c r="G94" s="716">
        <v>126.17</v>
      </c>
      <c r="H94" s="225">
        <f t="shared" si="1"/>
        <v>56.57</v>
      </c>
    </row>
    <row r="95" spans="1:8" x14ac:dyDescent="0.3">
      <c r="A95" s="401"/>
      <c r="B95" s="709">
        <v>47</v>
      </c>
      <c r="C95" s="710" t="s">
        <v>8516</v>
      </c>
      <c r="D95" s="709" t="s">
        <v>136</v>
      </c>
      <c r="E95" s="709" t="s">
        <v>8432</v>
      </c>
      <c r="F95" s="716"/>
      <c r="G95" s="716">
        <v>86.69</v>
      </c>
      <c r="H95" s="225">
        <f t="shared" si="1"/>
        <v>86.69</v>
      </c>
    </row>
    <row r="96" spans="1:8" x14ac:dyDescent="0.3">
      <c r="A96" s="401"/>
      <c r="B96" s="709">
        <v>48</v>
      </c>
      <c r="C96" s="710" t="s">
        <v>8517</v>
      </c>
      <c r="D96" s="709" t="s">
        <v>136</v>
      </c>
      <c r="E96" s="709" t="s">
        <v>8432</v>
      </c>
      <c r="F96" s="716"/>
      <c r="G96" s="716">
        <v>22.61</v>
      </c>
      <c r="H96" s="225">
        <f t="shared" si="1"/>
        <v>22.61</v>
      </c>
    </row>
    <row r="97" spans="1:8" x14ac:dyDescent="0.3">
      <c r="A97" s="401"/>
      <c r="B97" s="709">
        <v>46</v>
      </c>
      <c r="C97" s="710" t="s">
        <v>8518</v>
      </c>
      <c r="D97" s="709" t="s">
        <v>136</v>
      </c>
      <c r="E97" s="709" t="s">
        <v>8432</v>
      </c>
      <c r="F97" s="716"/>
      <c r="G97" s="716">
        <v>50.7</v>
      </c>
      <c r="H97" s="225">
        <f t="shared" si="1"/>
        <v>50.7</v>
      </c>
    </row>
    <row r="98" spans="1:8" x14ac:dyDescent="0.3">
      <c r="A98" s="401"/>
      <c r="B98" s="709">
        <v>52</v>
      </c>
      <c r="C98" s="710" t="s">
        <v>8519</v>
      </c>
      <c r="D98" s="709" t="s">
        <v>136</v>
      </c>
      <c r="E98" s="709" t="s">
        <v>8432</v>
      </c>
      <c r="F98" s="716"/>
      <c r="G98" s="716">
        <v>17.18</v>
      </c>
      <c r="H98" s="225">
        <f t="shared" si="1"/>
        <v>17.18</v>
      </c>
    </row>
    <row r="99" spans="1:8" x14ac:dyDescent="0.3">
      <c r="A99" s="401"/>
      <c r="B99" s="709">
        <v>43</v>
      </c>
      <c r="C99" s="710" t="s">
        <v>8520</v>
      </c>
      <c r="D99" s="709" t="s">
        <v>136</v>
      </c>
      <c r="E99" s="709" t="s">
        <v>8432</v>
      </c>
      <c r="F99" s="716"/>
      <c r="G99" s="716">
        <v>57.98</v>
      </c>
      <c r="H99" s="225">
        <f t="shared" si="1"/>
        <v>57.98</v>
      </c>
    </row>
    <row r="100" spans="1:8" x14ac:dyDescent="0.3">
      <c r="A100" s="401"/>
      <c r="B100" s="709">
        <v>103</v>
      </c>
      <c r="C100" s="710" t="s">
        <v>8521</v>
      </c>
      <c r="D100" s="709" t="s">
        <v>136</v>
      </c>
      <c r="E100" s="709" t="s">
        <v>8432</v>
      </c>
      <c r="F100" s="716">
        <v>53.33</v>
      </c>
      <c r="G100" s="716">
        <v>54.37</v>
      </c>
      <c r="H100" s="225">
        <f t="shared" si="1"/>
        <v>53.33</v>
      </c>
    </row>
    <row r="101" spans="1:8" x14ac:dyDescent="0.3">
      <c r="A101" s="401"/>
      <c r="B101" s="709">
        <v>107</v>
      </c>
      <c r="C101" s="710" t="s">
        <v>8522</v>
      </c>
      <c r="D101" s="709" t="s">
        <v>136</v>
      </c>
      <c r="E101" s="709" t="s">
        <v>8432</v>
      </c>
      <c r="F101" s="716">
        <v>1</v>
      </c>
      <c r="G101" s="716">
        <v>1.02</v>
      </c>
      <c r="H101" s="225">
        <f t="shared" si="1"/>
        <v>1</v>
      </c>
    </row>
    <row r="102" spans="1:8" x14ac:dyDescent="0.3">
      <c r="A102" s="401"/>
      <c r="B102" s="709">
        <v>65</v>
      </c>
      <c r="C102" s="710" t="s">
        <v>8523</v>
      </c>
      <c r="D102" s="709" t="s">
        <v>136</v>
      </c>
      <c r="E102" s="709" t="s">
        <v>8432</v>
      </c>
      <c r="F102" s="716">
        <v>1.1000000000000001</v>
      </c>
      <c r="G102" s="716">
        <v>1.1200000000000001</v>
      </c>
      <c r="H102" s="225">
        <f t="shared" si="1"/>
        <v>1.1000000000000001</v>
      </c>
    </row>
    <row r="103" spans="1:8" x14ac:dyDescent="0.3">
      <c r="A103" s="401"/>
      <c r="B103" s="709">
        <v>108</v>
      </c>
      <c r="C103" s="710" t="s">
        <v>8524</v>
      </c>
      <c r="D103" s="709" t="s">
        <v>136</v>
      </c>
      <c r="E103" s="709" t="s">
        <v>8432</v>
      </c>
      <c r="F103" s="716">
        <v>2.21</v>
      </c>
      <c r="G103" s="716">
        <v>2.25</v>
      </c>
      <c r="H103" s="225">
        <f t="shared" si="1"/>
        <v>2.21</v>
      </c>
    </row>
    <row r="104" spans="1:8" x14ac:dyDescent="0.3">
      <c r="A104" s="401"/>
      <c r="B104" s="709">
        <v>110</v>
      </c>
      <c r="C104" s="710" t="s">
        <v>8525</v>
      </c>
      <c r="D104" s="709" t="s">
        <v>136</v>
      </c>
      <c r="E104" s="709" t="s">
        <v>8432</v>
      </c>
      <c r="F104" s="716">
        <v>7.67</v>
      </c>
      <c r="G104" s="716">
        <v>7.82</v>
      </c>
      <c r="H104" s="225">
        <f t="shared" si="1"/>
        <v>7.67</v>
      </c>
    </row>
    <row r="105" spans="1:8" x14ac:dyDescent="0.3">
      <c r="A105" s="401"/>
      <c r="B105" s="709">
        <v>109</v>
      </c>
      <c r="C105" s="710" t="s">
        <v>8526</v>
      </c>
      <c r="D105" s="709" t="s">
        <v>136</v>
      </c>
      <c r="E105" s="709" t="s">
        <v>8432</v>
      </c>
      <c r="F105" s="716">
        <v>4.57</v>
      </c>
      <c r="G105" s="716">
        <v>4.66</v>
      </c>
      <c r="H105" s="225">
        <f t="shared" si="1"/>
        <v>4.57</v>
      </c>
    </row>
    <row r="106" spans="1:8" x14ac:dyDescent="0.3">
      <c r="A106" s="401"/>
      <c r="B106" s="709">
        <v>111</v>
      </c>
      <c r="C106" s="710" t="s">
        <v>8527</v>
      </c>
      <c r="D106" s="709" t="s">
        <v>136</v>
      </c>
      <c r="E106" s="709" t="s">
        <v>8432</v>
      </c>
      <c r="F106" s="716">
        <v>10.38</v>
      </c>
      <c r="G106" s="716">
        <v>10.58</v>
      </c>
      <c r="H106" s="225">
        <f t="shared" si="1"/>
        <v>10.38</v>
      </c>
    </row>
    <row r="107" spans="1:8" x14ac:dyDescent="0.3">
      <c r="A107" s="401"/>
      <c r="B107" s="709">
        <v>112</v>
      </c>
      <c r="C107" s="710" t="s">
        <v>8528</v>
      </c>
      <c r="D107" s="709" t="s">
        <v>136</v>
      </c>
      <c r="E107" s="709" t="s">
        <v>8432</v>
      </c>
      <c r="F107" s="716">
        <v>5.5</v>
      </c>
      <c r="G107" s="716">
        <v>5.61</v>
      </c>
      <c r="H107" s="225">
        <f t="shared" si="1"/>
        <v>5.5</v>
      </c>
    </row>
    <row r="108" spans="1:8" x14ac:dyDescent="0.3">
      <c r="A108" s="401"/>
      <c r="B108" s="709">
        <v>113</v>
      </c>
      <c r="C108" s="710" t="s">
        <v>8529</v>
      </c>
      <c r="D108" s="709" t="s">
        <v>136</v>
      </c>
      <c r="E108" s="709" t="s">
        <v>8432</v>
      </c>
      <c r="F108" s="716">
        <v>13.77</v>
      </c>
      <c r="G108" s="716">
        <v>14.04</v>
      </c>
      <c r="H108" s="225">
        <f t="shared" si="1"/>
        <v>13.77</v>
      </c>
    </row>
    <row r="109" spans="1:8" x14ac:dyDescent="0.3">
      <c r="A109" s="401"/>
      <c r="B109" s="709">
        <v>104</v>
      </c>
      <c r="C109" s="710" t="s">
        <v>8530</v>
      </c>
      <c r="D109" s="709" t="s">
        <v>136</v>
      </c>
      <c r="E109" s="709" t="s">
        <v>8432</v>
      </c>
      <c r="F109" s="716">
        <v>23.97</v>
      </c>
      <c r="G109" s="716">
        <v>24.44</v>
      </c>
      <c r="H109" s="225">
        <f t="shared" si="1"/>
        <v>23.97</v>
      </c>
    </row>
    <row r="110" spans="1:8" x14ac:dyDescent="0.3">
      <c r="A110" s="401"/>
      <c r="B110" s="709">
        <v>102</v>
      </c>
      <c r="C110" s="710" t="s">
        <v>8531</v>
      </c>
      <c r="D110" s="709" t="s">
        <v>136</v>
      </c>
      <c r="E110" s="709" t="s">
        <v>8432</v>
      </c>
      <c r="F110" s="716">
        <v>33.04</v>
      </c>
      <c r="G110" s="716">
        <v>33.69</v>
      </c>
      <c r="H110" s="225">
        <f t="shared" si="1"/>
        <v>33.04</v>
      </c>
    </row>
    <row r="111" spans="1:8" x14ac:dyDescent="0.3">
      <c r="A111" s="401"/>
      <c r="B111" s="709">
        <v>95</v>
      </c>
      <c r="C111" s="710" t="s">
        <v>8532</v>
      </c>
      <c r="D111" s="709" t="s">
        <v>136</v>
      </c>
      <c r="E111" s="709" t="s">
        <v>8432</v>
      </c>
      <c r="F111" s="716">
        <v>13.96</v>
      </c>
      <c r="G111" s="716">
        <v>14.24</v>
      </c>
      <c r="H111" s="225">
        <f t="shared" si="1"/>
        <v>13.96</v>
      </c>
    </row>
    <row r="112" spans="1:8" x14ac:dyDescent="0.3">
      <c r="A112" s="401"/>
      <c r="B112" s="709">
        <v>96</v>
      </c>
      <c r="C112" s="710" t="s">
        <v>8533</v>
      </c>
      <c r="D112" s="709" t="s">
        <v>136</v>
      </c>
      <c r="E112" s="709" t="s">
        <v>8432</v>
      </c>
      <c r="F112" s="716">
        <v>15.19</v>
      </c>
      <c r="G112" s="716">
        <v>15.49</v>
      </c>
      <c r="H112" s="225">
        <f t="shared" si="1"/>
        <v>15.19</v>
      </c>
    </row>
    <row r="113" spans="1:8" x14ac:dyDescent="0.3">
      <c r="A113" s="401"/>
      <c r="B113" s="709">
        <v>97</v>
      </c>
      <c r="C113" s="710" t="s">
        <v>8534</v>
      </c>
      <c r="D113" s="709" t="s">
        <v>136</v>
      </c>
      <c r="E113" s="709" t="s">
        <v>8432</v>
      </c>
      <c r="F113" s="716">
        <v>22.85</v>
      </c>
      <c r="G113" s="716">
        <v>23.3</v>
      </c>
      <c r="H113" s="225">
        <f t="shared" si="1"/>
        <v>22.85</v>
      </c>
    </row>
    <row r="114" spans="1:8" x14ac:dyDescent="0.3">
      <c r="A114" s="401"/>
      <c r="B114" s="709">
        <v>98</v>
      </c>
      <c r="C114" s="710" t="s">
        <v>8535</v>
      </c>
      <c r="D114" s="709" t="s">
        <v>136</v>
      </c>
      <c r="E114" s="709" t="s">
        <v>8432</v>
      </c>
      <c r="F114" s="716">
        <v>34.21</v>
      </c>
      <c r="G114" s="716">
        <v>34.880000000000003</v>
      </c>
      <c r="H114" s="225">
        <f t="shared" si="1"/>
        <v>34.21</v>
      </c>
    </row>
    <row r="115" spans="1:8" x14ac:dyDescent="0.3">
      <c r="A115" s="401"/>
      <c r="B115" s="709">
        <v>99</v>
      </c>
      <c r="C115" s="710" t="s">
        <v>8536</v>
      </c>
      <c r="D115" s="709" t="s">
        <v>136</v>
      </c>
      <c r="E115" s="709" t="s">
        <v>8432</v>
      </c>
      <c r="F115" s="716">
        <v>32.33</v>
      </c>
      <c r="G115" s="716">
        <v>32.96</v>
      </c>
      <c r="H115" s="225">
        <f t="shared" si="1"/>
        <v>32.33</v>
      </c>
    </row>
    <row r="116" spans="1:8" x14ac:dyDescent="0.3">
      <c r="A116" s="401"/>
      <c r="B116" s="709">
        <v>60</v>
      </c>
      <c r="C116" s="710" t="s">
        <v>8537</v>
      </c>
      <c r="D116" s="709" t="s">
        <v>136</v>
      </c>
      <c r="E116" s="709" t="s">
        <v>8432</v>
      </c>
      <c r="F116" s="716">
        <v>9.2100000000000009</v>
      </c>
      <c r="G116" s="716">
        <v>6.3</v>
      </c>
      <c r="H116" s="225">
        <f t="shared" si="1"/>
        <v>9.2100000000000009</v>
      </c>
    </row>
    <row r="117" spans="1:8" x14ac:dyDescent="0.3">
      <c r="A117" s="401"/>
      <c r="B117" s="709">
        <v>72</v>
      </c>
      <c r="C117" s="710" t="s">
        <v>8538</v>
      </c>
      <c r="D117" s="709" t="s">
        <v>136</v>
      </c>
      <c r="E117" s="709" t="s">
        <v>8432</v>
      </c>
      <c r="F117" s="716">
        <v>62</v>
      </c>
      <c r="G117" s="716">
        <v>63.21</v>
      </c>
      <c r="H117" s="225">
        <f t="shared" si="1"/>
        <v>62</v>
      </c>
    </row>
    <row r="118" spans="1:8" x14ac:dyDescent="0.3">
      <c r="A118" s="401"/>
      <c r="B118" s="709">
        <v>71</v>
      </c>
      <c r="C118" s="710" t="s">
        <v>8539</v>
      </c>
      <c r="D118" s="709" t="s">
        <v>136</v>
      </c>
      <c r="E118" s="709" t="s">
        <v>8432</v>
      </c>
      <c r="F118" s="716">
        <v>38.29</v>
      </c>
      <c r="G118" s="716">
        <v>39.04</v>
      </c>
      <c r="H118" s="225">
        <f t="shared" si="1"/>
        <v>38.29</v>
      </c>
    </row>
    <row r="119" spans="1:8" x14ac:dyDescent="0.3">
      <c r="A119" s="401"/>
      <c r="B119" s="709">
        <v>67</v>
      </c>
      <c r="C119" s="710" t="s">
        <v>8540</v>
      </c>
      <c r="D119" s="709" t="s">
        <v>136</v>
      </c>
      <c r="E119" s="709" t="s">
        <v>8432</v>
      </c>
      <c r="F119" s="716">
        <v>20.05</v>
      </c>
      <c r="G119" s="716">
        <v>20.440000000000001</v>
      </c>
      <c r="H119" s="225">
        <f t="shared" si="1"/>
        <v>20.05</v>
      </c>
    </row>
    <row r="120" spans="1:8" x14ac:dyDescent="0.3">
      <c r="A120" s="401"/>
      <c r="B120" s="709">
        <v>73</v>
      </c>
      <c r="C120" s="710" t="s">
        <v>8541</v>
      </c>
      <c r="D120" s="709" t="s">
        <v>136</v>
      </c>
      <c r="E120" s="709" t="s">
        <v>8432</v>
      </c>
      <c r="F120" s="716">
        <v>19.18</v>
      </c>
      <c r="G120" s="716">
        <v>19.559999999999999</v>
      </c>
      <c r="H120" s="225">
        <f t="shared" si="1"/>
        <v>19.18</v>
      </c>
    </row>
    <row r="121" spans="1:8" x14ac:dyDescent="0.3">
      <c r="A121" s="401"/>
      <c r="B121" s="709">
        <v>100</v>
      </c>
      <c r="C121" s="710" t="s">
        <v>8542</v>
      </c>
      <c r="D121" s="709" t="s">
        <v>136</v>
      </c>
      <c r="E121" s="709" t="s">
        <v>8432</v>
      </c>
      <c r="F121" s="716">
        <v>56.49</v>
      </c>
      <c r="G121" s="716">
        <v>57.59</v>
      </c>
      <c r="H121" s="225">
        <f t="shared" si="1"/>
        <v>56.49</v>
      </c>
    </row>
    <row r="122" spans="1:8" x14ac:dyDescent="0.3">
      <c r="A122" s="401"/>
      <c r="B122" s="709">
        <v>75</v>
      </c>
      <c r="C122" s="710" t="s">
        <v>8543</v>
      </c>
      <c r="D122" s="709" t="s">
        <v>136</v>
      </c>
      <c r="E122" s="709" t="s">
        <v>8432</v>
      </c>
      <c r="F122" s="716">
        <v>329.32</v>
      </c>
      <c r="G122" s="716">
        <v>335.75</v>
      </c>
      <c r="H122" s="225">
        <f t="shared" si="1"/>
        <v>329.32</v>
      </c>
    </row>
    <row r="123" spans="1:8" x14ac:dyDescent="0.3">
      <c r="A123" s="401"/>
      <c r="B123" s="709">
        <v>83</v>
      </c>
      <c r="C123" s="710" t="s">
        <v>8544</v>
      </c>
      <c r="D123" s="709" t="s">
        <v>136</v>
      </c>
      <c r="E123" s="709" t="s">
        <v>8432</v>
      </c>
      <c r="F123" s="716">
        <v>263.27999999999997</v>
      </c>
      <c r="G123" s="716">
        <v>268.42</v>
      </c>
      <c r="H123" s="225">
        <f t="shared" si="1"/>
        <v>263.27999999999997</v>
      </c>
    </row>
    <row r="124" spans="1:8" x14ac:dyDescent="0.3">
      <c r="A124" s="401"/>
      <c r="B124" s="709">
        <v>74</v>
      </c>
      <c r="C124" s="710" t="s">
        <v>8545</v>
      </c>
      <c r="D124" s="709" t="s">
        <v>136</v>
      </c>
      <c r="E124" s="709" t="s">
        <v>8432</v>
      </c>
      <c r="F124" s="716">
        <v>376.42</v>
      </c>
      <c r="G124" s="716">
        <v>383.77</v>
      </c>
      <c r="H124" s="225">
        <f t="shared" si="1"/>
        <v>376.42</v>
      </c>
    </row>
    <row r="125" spans="1:8" x14ac:dyDescent="0.3">
      <c r="A125" s="401"/>
      <c r="B125" s="709">
        <v>106</v>
      </c>
      <c r="C125" s="710" t="s">
        <v>8546</v>
      </c>
      <c r="D125" s="709" t="s">
        <v>136</v>
      </c>
      <c r="E125" s="709" t="s">
        <v>8432</v>
      </c>
      <c r="F125" s="716">
        <v>476</v>
      </c>
      <c r="G125" s="716">
        <v>485.29</v>
      </c>
      <c r="H125" s="225">
        <f t="shared" si="1"/>
        <v>476</v>
      </c>
    </row>
    <row r="126" spans="1:8" x14ac:dyDescent="0.3">
      <c r="A126" s="401"/>
      <c r="B126" s="709">
        <v>88</v>
      </c>
      <c r="C126" s="710" t="s">
        <v>8547</v>
      </c>
      <c r="D126" s="709" t="s">
        <v>136</v>
      </c>
      <c r="E126" s="709" t="s">
        <v>8432</v>
      </c>
      <c r="F126" s="716">
        <v>13.38</v>
      </c>
      <c r="G126" s="716">
        <v>13.64</v>
      </c>
      <c r="H126" s="225">
        <f t="shared" si="1"/>
        <v>13.38</v>
      </c>
    </row>
    <row r="127" spans="1:8" x14ac:dyDescent="0.3">
      <c r="A127" s="401"/>
      <c r="B127" s="709">
        <v>82</v>
      </c>
      <c r="C127" s="710" t="s">
        <v>8548</v>
      </c>
      <c r="D127" s="709" t="s">
        <v>136</v>
      </c>
      <c r="E127" s="709" t="s">
        <v>8432</v>
      </c>
      <c r="F127" s="716">
        <v>250.49</v>
      </c>
      <c r="G127" s="716">
        <v>255.38</v>
      </c>
      <c r="H127" s="225">
        <f t="shared" si="1"/>
        <v>250.49</v>
      </c>
    </row>
    <row r="128" spans="1:8" x14ac:dyDescent="0.3">
      <c r="A128" s="401"/>
      <c r="B128" s="709">
        <v>105</v>
      </c>
      <c r="C128" s="710" t="s">
        <v>8549</v>
      </c>
      <c r="D128" s="709" t="s">
        <v>136</v>
      </c>
      <c r="E128" s="709" t="s">
        <v>8432</v>
      </c>
      <c r="F128" s="716">
        <v>354.94</v>
      </c>
      <c r="G128" s="716">
        <v>361.87</v>
      </c>
      <c r="H128" s="225">
        <f t="shared" si="1"/>
        <v>354.94</v>
      </c>
    </row>
    <row r="129" spans="1:8" x14ac:dyDescent="0.3">
      <c r="A129" s="401"/>
      <c r="B129" s="709">
        <v>39719</v>
      </c>
      <c r="C129" s="710" t="s">
        <v>8550</v>
      </c>
      <c r="D129" s="709" t="s">
        <v>8120</v>
      </c>
      <c r="E129" s="709" t="s">
        <v>8432</v>
      </c>
      <c r="F129" s="716">
        <v>227.78</v>
      </c>
      <c r="G129" s="716">
        <v>172.13</v>
      </c>
      <c r="H129" s="225">
        <f t="shared" si="1"/>
        <v>227.78</v>
      </c>
    </row>
    <row r="130" spans="1:8" x14ac:dyDescent="0.3">
      <c r="A130" s="401"/>
      <c r="B130" s="709">
        <v>3410</v>
      </c>
      <c r="C130" s="710" t="s">
        <v>8551</v>
      </c>
      <c r="D130" s="709" t="s">
        <v>175</v>
      </c>
      <c r="E130" s="709" t="s">
        <v>8432</v>
      </c>
      <c r="F130" s="716">
        <v>51.24</v>
      </c>
      <c r="G130" s="716">
        <v>38.72</v>
      </c>
      <c r="H130" s="225">
        <f t="shared" si="1"/>
        <v>51.24</v>
      </c>
    </row>
    <row r="131" spans="1:8" x14ac:dyDescent="0.3">
      <c r="A131" s="401"/>
      <c r="B131" s="709">
        <v>4791</v>
      </c>
      <c r="C131" s="710" t="s">
        <v>8552</v>
      </c>
      <c r="D131" s="709" t="s">
        <v>175</v>
      </c>
      <c r="E131" s="709" t="s">
        <v>8432</v>
      </c>
      <c r="F131" s="716">
        <v>38.08</v>
      </c>
      <c r="G131" s="716">
        <v>48.85</v>
      </c>
      <c r="H131" s="225">
        <f t="shared" si="1"/>
        <v>38.08</v>
      </c>
    </row>
    <row r="132" spans="1:8" x14ac:dyDescent="0.3">
      <c r="A132" s="401"/>
      <c r="B132" s="709">
        <v>157</v>
      </c>
      <c r="C132" s="710" t="s">
        <v>8553</v>
      </c>
      <c r="D132" s="709" t="s">
        <v>175</v>
      </c>
      <c r="E132" s="709" t="s">
        <v>8432</v>
      </c>
      <c r="F132" s="716">
        <v>157.36000000000001</v>
      </c>
      <c r="G132" s="716">
        <v>144.25</v>
      </c>
      <c r="H132" s="225">
        <f t="shared" si="1"/>
        <v>157.36000000000001</v>
      </c>
    </row>
    <row r="133" spans="1:8" x14ac:dyDescent="0.3">
      <c r="A133" s="401"/>
      <c r="B133" s="709">
        <v>156</v>
      </c>
      <c r="C133" s="710" t="s">
        <v>8554</v>
      </c>
      <c r="D133" s="709" t="s">
        <v>175</v>
      </c>
      <c r="E133" s="709" t="s">
        <v>8432</v>
      </c>
      <c r="F133" s="716">
        <v>56.03</v>
      </c>
      <c r="G133" s="716">
        <v>51.36</v>
      </c>
      <c r="H133" s="225">
        <f t="shared" si="1"/>
        <v>56.03</v>
      </c>
    </row>
    <row r="134" spans="1:8" x14ac:dyDescent="0.3">
      <c r="A134" s="401"/>
      <c r="B134" s="709">
        <v>131</v>
      </c>
      <c r="C134" s="710" t="s">
        <v>8555</v>
      </c>
      <c r="D134" s="709" t="s">
        <v>175</v>
      </c>
      <c r="E134" s="709" t="s">
        <v>8432</v>
      </c>
      <c r="F134" s="716">
        <v>47.92</v>
      </c>
      <c r="G134" s="716">
        <v>43.92</v>
      </c>
      <c r="H134" s="225">
        <f t="shared" si="1"/>
        <v>47.92</v>
      </c>
    </row>
    <row r="135" spans="1:8" x14ac:dyDescent="0.3">
      <c r="A135" s="401"/>
      <c r="B135" s="709">
        <v>21114</v>
      </c>
      <c r="C135" s="710" t="s">
        <v>8556</v>
      </c>
      <c r="D135" s="709" t="s">
        <v>136</v>
      </c>
      <c r="E135" s="709" t="s">
        <v>8432</v>
      </c>
      <c r="F135" s="716">
        <v>44.9</v>
      </c>
      <c r="G135" s="716">
        <v>33.93</v>
      </c>
      <c r="H135" s="225">
        <f t="shared" si="1"/>
        <v>44.9</v>
      </c>
    </row>
    <row r="136" spans="1:8" x14ac:dyDescent="0.3">
      <c r="A136" s="401"/>
      <c r="B136" s="709">
        <v>119</v>
      </c>
      <c r="C136" s="710" t="s">
        <v>8557</v>
      </c>
      <c r="D136" s="709" t="s">
        <v>136</v>
      </c>
      <c r="E136" s="709" t="s">
        <v>8438</v>
      </c>
      <c r="F136" s="716">
        <v>11.38</v>
      </c>
      <c r="G136" s="716">
        <v>8.6</v>
      </c>
      <c r="H136" s="225">
        <f t="shared" si="1"/>
        <v>11.38</v>
      </c>
    </row>
    <row r="137" spans="1:8" x14ac:dyDescent="0.3">
      <c r="A137" s="401"/>
      <c r="B137" s="709">
        <v>122</v>
      </c>
      <c r="C137" s="710" t="s">
        <v>8558</v>
      </c>
      <c r="D137" s="709" t="s">
        <v>136</v>
      </c>
      <c r="E137" s="709" t="s">
        <v>8432</v>
      </c>
      <c r="F137" s="716">
        <v>87.56</v>
      </c>
      <c r="G137" s="716">
        <v>66.17</v>
      </c>
      <c r="H137" s="225">
        <f t="shared" si="1"/>
        <v>87.56</v>
      </c>
    </row>
    <row r="138" spans="1:8" x14ac:dyDescent="0.3">
      <c r="A138" s="401"/>
      <c r="B138" s="709">
        <v>20080</v>
      </c>
      <c r="C138" s="710" t="s">
        <v>8559</v>
      </c>
      <c r="D138" s="709" t="s">
        <v>136</v>
      </c>
      <c r="E138" s="709" t="s">
        <v>8432</v>
      </c>
      <c r="F138" s="716">
        <v>28.58</v>
      </c>
      <c r="G138" s="716">
        <v>21.59</v>
      </c>
      <c r="H138" s="225">
        <f t="shared" si="1"/>
        <v>28.58</v>
      </c>
    </row>
    <row r="139" spans="1:8" x14ac:dyDescent="0.3">
      <c r="A139" s="401"/>
      <c r="B139" s="709">
        <v>124</v>
      </c>
      <c r="C139" s="710" t="s">
        <v>8560</v>
      </c>
      <c r="D139" s="709" t="s">
        <v>8120</v>
      </c>
      <c r="E139" s="709" t="s">
        <v>8432</v>
      </c>
      <c r="F139" s="716">
        <v>18.48</v>
      </c>
      <c r="G139" s="716">
        <v>16.940000000000001</v>
      </c>
      <c r="H139" s="225">
        <f t="shared" ref="H139:H202" si="2">IF(F139&gt;0,F139,G139)</f>
        <v>18.48</v>
      </c>
    </row>
    <row r="140" spans="1:8" x14ac:dyDescent="0.3">
      <c r="A140" s="401"/>
      <c r="B140" s="709">
        <v>7334</v>
      </c>
      <c r="C140" s="710" t="s">
        <v>8561</v>
      </c>
      <c r="D140" s="709" t="s">
        <v>8120</v>
      </c>
      <c r="E140" s="709" t="s">
        <v>8432</v>
      </c>
      <c r="F140" s="716">
        <v>16.55</v>
      </c>
      <c r="G140" s="716">
        <v>15.52</v>
      </c>
      <c r="H140" s="225">
        <f t="shared" si="2"/>
        <v>16.55</v>
      </c>
    </row>
    <row r="141" spans="1:8" x14ac:dyDescent="0.3">
      <c r="A141" s="401"/>
      <c r="B141" s="709">
        <v>45146</v>
      </c>
      <c r="C141" s="710" t="s">
        <v>8562</v>
      </c>
      <c r="D141" s="709" t="s">
        <v>175</v>
      </c>
      <c r="E141" s="709" t="s">
        <v>8432</v>
      </c>
      <c r="F141" s="716">
        <v>35.43</v>
      </c>
      <c r="G141" s="716">
        <v>32.479999999999997</v>
      </c>
      <c r="H141" s="225">
        <f t="shared" si="2"/>
        <v>35.43</v>
      </c>
    </row>
    <row r="142" spans="1:8" x14ac:dyDescent="0.3">
      <c r="A142" s="401"/>
      <c r="B142" s="709">
        <v>123</v>
      </c>
      <c r="C142" s="710" t="s">
        <v>8563</v>
      </c>
      <c r="D142" s="709" t="s">
        <v>8120</v>
      </c>
      <c r="E142" s="709" t="s">
        <v>8438</v>
      </c>
      <c r="F142" s="716">
        <v>7.56</v>
      </c>
      <c r="G142" s="716">
        <v>6.93</v>
      </c>
      <c r="H142" s="225">
        <f t="shared" si="2"/>
        <v>7.56</v>
      </c>
    </row>
    <row r="143" spans="1:8" x14ac:dyDescent="0.3">
      <c r="A143" s="401"/>
      <c r="B143" s="709">
        <v>127</v>
      </c>
      <c r="C143" s="710" t="s">
        <v>8564</v>
      </c>
      <c r="D143" s="709" t="s">
        <v>8120</v>
      </c>
      <c r="E143" s="709" t="s">
        <v>8432</v>
      </c>
      <c r="F143" s="716">
        <v>18.05</v>
      </c>
      <c r="G143" s="716">
        <v>16.54</v>
      </c>
      <c r="H143" s="225">
        <f t="shared" si="2"/>
        <v>18.05</v>
      </c>
    </row>
    <row r="144" spans="1:8" x14ac:dyDescent="0.3">
      <c r="A144" s="401"/>
      <c r="B144" s="709">
        <v>133</v>
      </c>
      <c r="C144" s="710" t="s">
        <v>8565</v>
      </c>
      <c r="D144" s="709" t="s">
        <v>8120</v>
      </c>
      <c r="E144" s="709" t="s">
        <v>8432</v>
      </c>
      <c r="F144" s="716">
        <v>7.49</v>
      </c>
      <c r="G144" s="716">
        <v>6.87</v>
      </c>
      <c r="H144" s="225">
        <f t="shared" si="2"/>
        <v>7.49</v>
      </c>
    </row>
    <row r="145" spans="1:8" x14ac:dyDescent="0.3">
      <c r="A145" s="401"/>
      <c r="B145" s="709">
        <v>43617</v>
      </c>
      <c r="C145" s="710" t="s">
        <v>8566</v>
      </c>
      <c r="D145" s="709" t="s">
        <v>8120</v>
      </c>
      <c r="E145" s="709" t="s">
        <v>8432</v>
      </c>
      <c r="F145" s="716">
        <v>8.3699999999999992</v>
      </c>
      <c r="G145" s="716">
        <v>7.67</v>
      </c>
      <c r="H145" s="225">
        <f t="shared" si="2"/>
        <v>8.3699999999999992</v>
      </c>
    </row>
    <row r="146" spans="1:8" x14ac:dyDescent="0.3">
      <c r="A146" s="401"/>
      <c r="B146" s="709">
        <v>132</v>
      </c>
      <c r="C146" s="710" t="s">
        <v>8567</v>
      </c>
      <c r="D146" s="709" t="s">
        <v>8120</v>
      </c>
      <c r="E146" s="709" t="s">
        <v>8432</v>
      </c>
      <c r="F146" s="716">
        <v>7.77</v>
      </c>
      <c r="G146" s="716">
        <v>7.12</v>
      </c>
      <c r="H146" s="225">
        <f t="shared" si="2"/>
        <v>7.77</v>
      </c>
    </row>
    <row r="147" spans="1:8" x14ac:dyDescent="0.3">
      <c r="A147" s="401"/>
      <c r="B147" s="709">
        <v>43618</v>
      </c>
      <c r="C147" s="710" t="s">
        <v>8568</v>
      </c>
      <c r="D147" s="709" t="s">
        <v>175</v>
      </c>
      <c r="E147" s="709" t="s">
        <v>8432</v>
      </c>
      <c r="F147" s="716">
        <v>19.559999999999999</v>
      </c>
      <c r="G147" s="716">
        <v>17.93</v>
      </c>
      <c r="H147" s="225">
        <f t="shared" si="2"/>
        <v>19.559999999999999</v>
      </c>
    </row>
    <row r="148" spans="1:8" x14ac:dyDescent="0.3">
      <c r="A148" s="401"/>
      <c r="B148" s="709">
        <v>37476</v>
      </c>
      <c r="C148" s="710" t="s">
        <v>8569</v>
      </c>
      <c r="D148" s="709" t="s">
        <v>136</v>
      </c>
      <c r="E148" s="709" t="s">
        <v>8432</v>
      </c>
      <c r="F148" s="716">
        <v>4617.22</v>
      </c>
      <c r="G148" s="716">
        <v>4475.79</v>
      </c>
      <c r="H148" s="225">
        <f t="shared" si="2"/>
        <v>4617.22</v>
      </c>
    </row>
    <row r="149" spans="1:8" x14ac:dyDescent="0.3">
      <c r="A149" s="401"/>
      <c r="B149" s="709">
        <v>37478</v>
      </c>
      <c r="C149" s="710" t="s">
        <v>8570</v>
      </c>
      <c r="D149" s="709" t="s">
        <v>136</v>
      </c>
      <c r="E149" s="709" t="s">
        <v>8432</v>
      </c>
      <c r="F149" s="716">
        <v>5783.19</v>
      </c>
      <c r="G149" s="716">
        <v>5606.05</v>
      </c>
      <c r="H149" s="225">
        <f t="shared" si="2"/>
        <v>5783.19</v>
      </c>
    </row>
    <row r="150" spans="1:8" x14ac:dyDescent="0.3">
      <c r="A150" s="401"/>
      <c r="B150" s="709">
        <v>37477</v>
      </c>
      <c r="C150" s="710" t="s">
        <v>8571</v>
      </c>
      <c r="D150" s="709" t="s">
        <v>136</v>
      </c>
      <c r="E150" s="709" t="s">
        <v>8432</v>
      </c>
      <c r="F150" s="716">
        <v>7835.29</v>
      </c>
      <c r="G150" s="716">
        <v>7595.29</v>
      </c>
      <c r="H150" s="225">
        <f t="shared" si="2"/>
        <v>7835.29</v>
      </c>
    </row>
    <row r="151" spans="1:8" x14ac:dyDescent="0.3">
      <c r="A151" s="401"/>
      <c r="B151" s="709">
        <v>37479</v>
      </c>
      <c r="C151" s="710" t="s">
        <v>8572</v>
      </c>
      <c r="D151" s="709" t="s">
        <v>136</v>
      </c>
      <c r="E151" s="709" t="s">
        <v>8432</v>
      </c>
      <c r="F151" s="716">
        <v>9292.75</v>
      </c>
      <c r="G151" s="716">
        <v>9008.1</v>
      </c>
      <c r="H151" s="225">
        <f t="shared" si="2"/>
        <v>9292.75</v>
      </c>
    </row>
    <row r="152" spans="1:8" x14ac:dyDescent="0.3">
      <c r="A152" s="401"/>
      <c r="B152" s="709">
        <v>4319</v>
      </c>
      <c r="C152" s="710" t="s">
        <v>8573</v>
      </c>
      <c r="D152" s="709" t="s">
        <v>136</v>
      </c>
      <c r="E152" s="709" t="s">
        <v>8432</v>
      </c>
      <c r="F152" s="716">
        <v>1.49</v>
      </c>
      <c r="G152" s="716">
        <v>1.67</v>
      </c>
      <c r="H152" s="225">
        <f t="shared" si="2"/>
        <v>1.49</v>
      </c>
    </row>
    <row r="153" spans="1:8" x14ac:dyDescent="0.3">
      <c r="A153" s="401"/>
      <c r="B153" s="709">
        <v>42409</v>
      </c>
      <c r="C153" s="710" t="s">
        <v>8574</v>
      </c>
      <c r="D153" s="709" t="s">
        <v>175</v>
      </c>
      <c r="E153" s="709" t="s">
        <v>8432</v>
      </c>
      <c r="F153" s="716">
        <v>12.32</v>
      </c>
      <c r="G153" s="716">
        <v>11.29</v>
      </c>
      <c r="H153" s="225">
        <f t="shared" si="2"/>
        <v>12.32</v>
      </c>
    </row>
    <row r="154" spans="1:8" x14ac:dyDescent="0.3">
      <c r="A154" s="401"/>
      <c r="B154" s="709">
        <v>40553</v>
      </c>
      <c r="C154" s="710" t="s">
        <v>8575</v>
      </c>
      <c r="D154" s="709" t="s">
        <v>170</v>
      </c>
      <c r="E154" s="709" t="s">
        <v>8438</v>
      </c>
      <c r="F154" s="716"/>
      <c r="G154" s="716">
        <v>75</v>
      </c>
      <c r="H154" s="225">
        <f t="shared" si="2"/>
        <v>75</v>
      </c>
    </row>
    <row r="155" spans="1:8" x14ac:dyDescent="0.3">
      <c r="A155" s="401"/>
      <c r="B155" s="709">
        <v>6114</v>
      </c>
      <c r="C155" s="710" t="s">
        <v>8576</v>
      </c>
      <c r="D155" s="709" t="s">
        <v>234</v>
      </c>
      <c r="E155" s="709" t="s">
        <v>8432</v>
      </c>
      <c r="F155" s="716">
        <v>20.260000000000002</v>
      </c>
      <c r="G155" s="716">
        <v>25.07</v>
      </c>
      <c r="H155" s="225">
        <f t="shared" si="2"/>
        <v>20.260000000000002</v>
      </c>
    </row>
    <row r="156" spans="1:8" x14ac:dyDescent="0.3">
      <c r="A156" s="401"/>
      <c r="B156" s="709">
        <v>40912</v>
      </c>
      <c r="C156" s="710" t="s">
        <v>8577</v>
      </c>
      <c r="D156" s="709" t="s">
        <v>208</v>
      </c>
      <c r="E156" s="709" t="s">
        <v>8432</v>
      </c>
      <c r="F156" s="716">
        <v>3562.26</v>
      </c>
      <c r="G156" s="716">
        <v>4391.6499999999996</v>
      </c>
      <c r="H156" s="225">
        <f t="shared" si="2"/>
        <v>3562.26</v>
      </c>
    </row>
    <row r="157" spans="1:8" x14ac:dyDescent="0.3">
      <c r="A157" s="401"/>
      <c r="B157" s="709">
        <v>247</v>
      </c>
      <c r="C157" s="710" t="s">
        <v>8578</v>
      </c>
      <c r="D157" s="709" t="s">
        <v>234</v>
      </c>
      <c r="E157" s="709" t="s">
        <v>8432</v>
      </c>
      <c r="F157" s="716">
        <v>20.260000000000002</v>
      </c>
      <c r="G157" s="716">
        <v>25.07</v>
      </c>
      <c r="H157" s="225">
        <f t="shared" si="2"/>
        <v>20.260000000000002</v>
      </c>
    </row>
    <row r="158" spans="1:8" x14ac:dyDescent="0.3">
      <c r="A158" s="401"/>
      <c r="B158" s="709">
        <v>40919</v>
      </c>
      <c r="C158" s="710" t="s">
        <v>8579</v>
      </c>
      <c r="D158" s="709" t="s">
        <v>208</v>
      </c>
      <c r="E158" s="709" t="s">
        <v>8432</v>
      </c>
      <c r="F158" s="716">
        <v>3562.26</v>
      </c>
      <c r="G158" s="716">
        <v>4391.6499999999996</v>
      </c>
      <c r="H158" s="225">
        <f t="shared" si="2"/>
        <v>3562.26</v>
      </c>
    </row>
    <row r="159" spans="1:8" x14ac:dyDescent="0.3">
      <c r="A159" s="401"/>
      <c r="B159" s="709">
        <v>44499</v>
      </c>
      <c r="C159" s="710" t="s">
        <v>8580</v>
      </c>
      <c r="D159" s="709" t="s">
        <v>234</v>
      </c>
      <c r="E159" s="709" t="s">
        <v>8432</v>
      </c>
      <c r="F159" s="716">
        <v>20.260000000000002</v>
      </c>
      <c r="G159" s="716">
        <v>25.07</v>
      </c>
      <c r="H159" s="225">
        <f t="shared" si="2"/>
        <v>20.260000000000002</v>
      </c>
    </row>
    <row r="160" spans="1:8" x14ac:dyDescent="0.3">
      <c r="A160" s="401"/>
      <c r="B160" s="709">
        <v>40984</v>
      </c>
      <c r="C160" s="710" t="s">
        <v>8581</v>
      </c>
      <c r="D160" s="709" t="s">
        <v>208</v>
      </c>
      <c r="E160" s="709" t="s">
        <v>8432</v>
      </c>
      <c r="F160" s="716">
        <v>3562.26</v>
      </c>
      <c r="G160" s="716">
        <v>4391.6499999999996</v>
      </c>
      <c r="H160" s="225">
        <f t="shared" si="2"/>
        <v>3562.26</v>
      </c>
    </row>
    <row r="161" spans="1:8" x14ac:dyDescent="0.3">
      <c r="A161" s="401"/>
      <c r="B161" s="709">
        <v>248</v>
      </c>
      <c r="C161" s="710" t="s">
        <v>8582</v>
      </c>
      <c r="D161" s="709" t="s">
        <v>234</v>
      </c>
      <c r="E161" s="709" t="s">
        <v>8432</v>
      </c>
      <c r="F161" s="716">
        <v>20.149999999999999</v>
      </c>
      <c r="G161" s="716">
        <v>22.51</v>
      </c>
      <c r="H161" s="225">
        <f t="shared" si="2"/>
        <v>20.149999999999999</v>
      </c>
    </row>
    <row r="162" spans="1:8" x14ac:dyDescent="0.3">
      <c r="A162" s="401"/>
      <c r="B162" s="709">
        <v>41086</v>
      </c>
      <c r="C162" s="710" t="s">
        <v>8583</v>
      </c>
      <c r="D162" s="709" t="s">
        <v>208</v>
      </c>
      <c r="E162" s="709" t="s">
        <v>8432</v>
      </c>
      <c r="F162" s="716">
        <v>3545.05</v>
      </c>
      <c r="G162" s="716">
        <v>3945.09</v>
      </c>
      <c r="H162" s="225">
        <f t="shared" si="2"/>
        <v>3545.05</v>
      </c>
    </row>
    <row r="163" spans="1:8" x14ac:dyDescent="0.3">
      <c r="A163" s="401"/>
      <c r="B163" s="709">
        <v>34466</v>
      </c>
      <c r="C163" s="710" t="s">
        <v>8584</v>
      </c>
      <c r="D163" s="709" t="s">
        <v>234</v>
      </c>
      <c r="E163" s="709" t="s">
        <v>8432</v>
      </c>
      <c r="F163" s="716">
        <v>20.260000000000002</v>
      </c>
      <c r="G163" s="716">
        <v>25.07</v>
      </c>
      <c r="H163" s="225">
        <f t="shared" si="2"/>
        <v>20.260000000000002</v>
      </c>
    </row>
    <row r="164" spans="1:8" x14ac:dyDescent="0.3">
      <c r="A164" s="401"/>
      <c r="B164" s="709">
        <v>41083</v>
      </c>
      <c r="C164" s="710" t="s">
        <v>8585</v>
      </c>
      <c r="D164" s="709" t="s">
        <v>208</v>
      </c>
      <c r="E164" s="709" t="s">
        <v>8432</v>
      </c>
      <c r="F164" s="716">
        <v>3562.26</v>
      </c>
      <c r="G164" s="716">
        <v>4391.6499999999996</v>
      </c>
      <c r="H164" s="225">
        <f t="shared" si="2"/>
        <v>3562.26</v>
      </c>
    </row>
    <row r="165" spans="1:8" x14ac:dyDescent="0.3">
      <c r="A165" s="401"/>
      <c r="B165" s="709">
        <v>252</v>
      </c>
      <c r="C165" s="710" t="s">
        <v>8586</v>
      </c>
      <c r="D165" s="709" t="s">
        <v>234</v>
      </c>
      <c r="E165" s="709" t="s">
        <v>8432</v>
      </c>
      <c r="F165" s="716">
        <v>20.260000000000002</v>
      </c>
      <c r="G165" s="716">
        <v>25.07</v>
      </c>
      <c r="H165" s="225">
        <f t="shared" si="2"/>
        <v>20.260000000000002</v>
      </c>
    </row>
    <row r="166" spans="1:8" x14ac:dyDescent="0.3">
      <c r="A166" s="401"/>
      <c r="B166" s="709">
        <v>40909</v>
      </c>
      <c r="C166" s="710" t="s">
        <v>8587</v>
      </c>
      <c r="D166" s="709" t="s">
        <v>208</v>
      </c>
      <c r="E166" s="709" t="s">
        <v>8432</v>
      </c>
      <c r="F166" s="716">
        <v>3562.26</v>
      </c>
      <c r="G166" s="716">
        <v>4391.6499999999996</v>
      </c>
      <c r="H166" s="225">
        <f t="shared" si="2"/>
        <v>3562.26</v>
      </c>
    </row>
    <row r="167" spans="1:8" x14ac:dyDescent="0.3">
      <c r="A167" s="401"/>
      <c r="B167" s="709">
        <v>242</v>
      </c>
      <c r="C167" s="710" t="s">
        <v>8588</v>
      </c>
      <c r="D167" s="709" t="s">
        <v>234</v>
      </c>
      <c r="E167" s="709" t="s">
        <v>8432</v>
      </c>
      <c r="F167" s="716">
        <v>20.149999999999999</v>
      </c>
      <c r="G167" s="716">
        <v>24.1</v>
      </c>
      <c r="H167" s="225">
        <f t="shared" si="2"/>
        <v>20.149999999999999</v>
      </c>
    </row>
    <row r="168" spans="1:8" x14ac:dyDescent="0.3">
      <c r="A168" s="401"/>
      <c r="B168" s="709">
        <v>41085</v>
      </c>
      <c r="C168" s="710" t="s">
        <v>8589</v>
      </c>
      <c r="D168" s="709" t="s">
        <v>208</v>
      </c>
      <c r="E168" s="709" t="s">
        <v>8432</v>
      </c>
      <c r="F168" s="716">
        <v>3545.05</v>
      </c>
      <c r="G168" s="716">
        <v>4221.72</v>
      </c>
      <c r="H168" s="225">
        <f t="shared" si="2"/>
        <v>3545.05</v>
      </c>
    </row>
    <row r="169" spans="1:8" x14ac:dyDescent="0.3">
      <c r="A169" s="401"/>
      <c r="B169" s="709">
        <v>427</v>
      </c>
      <c r="C169" s="710" t="s">
        <v>8590</v>
      </c>
      <c r="D169" s="709" t="s">
        <v>136</v>
      </c>
      <c r="E169" s="709" t="s">
        <v>8432</v>
      </c>
      <c r="F169" s="716"/>
      <c r="G169" s="716">
        <v>6.55</v>
      </c>
      <c r="H169" s="225">
        <f t="shared" si="2"/>
        <v>6.55</v>
      </c>
    </row>
    <row r="170" spans="1:8" x14ac:dyDescent="0.3">
      <c r="A170" s="401"/>
      <c r="B170" s="709">
        <v>417</v>
      </c>
      <c r="C170" s="710" t="s">
        <v>8591</v>
      </c>
      <c r="D170" s="709" t="s">
        <v>136</v>
      </c>
      <c r="E170" s="709" t="s">
        <v>8432</v>
      </c>
      <c r="F170" s="716"/>
      <c r="G170" s="716">
        <v>3.08</v>
      </c>
      <c r="H170" s="225">
        <f t="shared" si="2"/>
        <v>3.08</v>
      </c>
    </row>
    <row r="171" spans="1:8" x14ac:dyDescent="0.3">
      <c r="A171" s="401"/>
      <c r="B171" s="709">
        <v>11273</v>
      </c>
      <c r="C171" s="710" t="s">
        <v>8592</v>
      </c>
      <c r="D171" s="709" t="s">
        <v>136</v>
      </c>
      <c r="E171" s="709" t="s">
        <v>8432</v>
      </c>
      <c r="F171" s="716"/>
      <c r="G171" s="716">
        <v>9.58</v>
      </c>
      <c r="H171" s="225">
        <f t="shared" si="2"/>
        <v>9.58</v>
      </c>
    </row>
    <row r="172" spans="1:8" x14ac:dyDescent="0.3">
      <c r="A172" s="401"/>
      <c r="B172" s="709">
        <v>11272</v>
      </c>
      <c r="C172" s="710" t="s">
        <v>8593</v>
      </c>
      <c r="D172" s="709" t="s">
        <v>136</v>
      </c>
      <c r="E172" s="709" t="s">
        <v>8432</v>
      </c>
      <c r="F172" s="716"/>
      <c r="G172" s="716">
        <v>5.78</v>
      </c>
      <c r="H172" s="225">
        <f t="shared" si="2"/>
        <v>5.78</v>
      </c>
    </row>
    <row r="173" spans="1:8" x14ac:dyDescent="0.3">
      <c r="A173" s="401"/>
      <c r="B173" s="709">
        <v>11275</v>
      </c>
      <c r="C173" s="710" t="s">
        <v>8594</v>
      </c>
      <c r="D173" s="709" t="s">
        <v>136</v>
      </c>
      <c r="E173" s="709" t="s">
        <v>8432</v>
      </c>
      <c r="F173" s="716"/>
      <c r="G173" s="716">
        <v>2.3199999999999998</v>
      </c>
      <c r="H173" s="225">
        <f t="shared" si="2"/>
        <v>2.3199999999999998</v>
      </c>
    </row>
    <row r="174" spans="1:8" x14ac:dyDescent="0.3">
      <c r="A174" s="401"/>
      <c r="B174" s="709">
        <v>11274</v>
      </c>
      <c r="C174" s="710" t="s">
        <v>8595</v>
      </c>
      <c r="D174" s="709" t="s">
        <v>136</v>
      </c>
      <c r="E174" s="709" t="s">
        <v>8432</v>
      </c>
      <c r="F174" s="716"/>
      <c r="G174" s="716">
        <v>1.77</v>
      </c>
      <c r="H174" s="225">
        <f t="shared" si="2"/>
        <v>1.77</v>
      </c>
    </row>
    <row r="175" spans="1:8" x14ac:dyDescent="0.3">
      <c r="A175" s="401"/>
      <c r="B175" s="709">
        <v>45208</v>
      </c>
      <c r="C175" s="710" t="s">
        <v>8596</v>
      </c>
      <c r="D175" s="709" t="s">
        <v>136</v>
      </c>
      <c r="E175" s="709" t="s">
        <v>8432</v>
      </c>
      <c r="F175" s="716">
        <v>270.18</v>
      </c>
      <c r="G175" s="716">
        <v>228.66</v>
      </c>
      <c r="H175" s="225">
        <f t="shared" si="2"/>
        <v>270.18</v>
      </c>
    </row>
    <row r="176" spans="1:8" x14ac:dyDescent="0.3">
      <c r="A176" s="401"/>
      <c r="B176" s="709">
        <v>45250</v>
      </c>
      <c r="C176" s="710" t="s">
        <v>8597</v>
      </c>
      <c r="D176" s="709" t="s">
        <v>136</v>
      </c>
      <c r="E176" s="709" t="s">
        <v>8432</v>
      </c>
      <c r="F176" s="716">
        <v>37.54</v>
      </c>
      <c r="G176" s="716">
        <v>36.92</v>
      </c>
      <c r="H176" s="225">
        <f t="shared" si="2"/>
        <v>37.54</v>
      </c>
    </row>
    <row r="177" spans="1:8" x14ac:dyDescent="0.3">
      <c r="A177" s="401"/>
      <c r="B177" s="709">
        <v>38470</v>
      </c>
      <c r="C177" s="710" t="s">
        <v>8598</v>
      </c>
      <c r="D177" s="709" t="s">
        <v>136</v>
      </c>
      <c r="E177" s="709" t="s">
        <v>8432</v>
      </c>
      <c r="F177" s="716">
        <v>38.44</v>
      </c>
      <c r="G177" s="716">
        <v>37.799999999999997</v>
      </c>
      <c r="H177" s="225">
        <f t="shared" si="2"/>
        <v>38.44</v>
      </c>
    </row>
    <row r="178" spans="1:8" x14ac:dyDescent="0.3">
      <c r="A178" s="401"/>
      <c r="B178" s="709">
        <v>38547</v>
      </c>
      <c r="C178" s="710" t="s">
        <v>8599</v>
      </c>
      <c r="D178" s="709" t="s">
        <v>136</v>
      </c>
      <c r="E178" s="709" t="s">
        <v>8432</v>
      </c>
      <c r="F178" s="716">
        <v>255.16</v>
      </c>
      <c r="G178" s="716">
        <v>250.93</v>
      </c>
      <c r="H178" s="225">
        <f t="shared" si="2"/>
        <v>255.16</v>
      </c>
    </row>
    <row r="179" spans="1:8" x14ac:dyDescent="0.3">
      <c r="A179" s="401"/>
      <c r="B179" s="709">
        <v>38467</v>
      </c>
      <c r="C179" s="710" t="s">
        <v>8600</v>
      </c>
      <c r="D179" s="709" t="s">
        <v>136</v>
      </c>
      <c r="E179" s="709" t="s">
        <v>8432</v>
      </c>
      <c r="F179" s="716">
        <v>168.19</v>
      </c>
      <c r="G179" s="716">
        <v>152.08000000000001</v>
      </c>
      <c r="H179" s="225">
        <f t="shared" si="2"/>
        <v>168.19</v>
      </c>
    </row>
    <row r="180" spans="1:8" x14ac:dyDescent="0.3">
      <c r="A180" s="401"/>
      <c r="B180" s="709">
        <v>38468</v>
      </c>
      <c r="C180" s="710" t="s">
        <v>8601</v>
      </c>
      <c r="D180" s="709" t="s">
        <v>136</v>
      </c>
      <c r="E180" s="709" t="s">
        <v>8432</v>
      </c>
      <c r="F180" s="716">
        <v>209.94</v>
      </c>
      <c r="G180" s="716">
        <v>189.84</v>
      </c>
      <c r="H180" s="225">
        <f t="shared" si="2"/>
        <v>209.94</v>
      </c>
    </row>
    <row r="181" spans="1:8" x14ac:dyDescent="0.3">
      <c r="A181" s="401"/>
      <c r="B181" s="709">
        <v>38469</v>
      </c>
      <c r="C181" s="710" t="s">
        <v>8602</v>
      </c>
      <c r="D181" s="709" t="s">
        <v>136</v>
      </c>
      <c r="E181" s="709" t="s">
        <v>8432</v>
      </c>
      <c r="F181" s="716">
        <v>243.63</v>
      </c>
      <c r="G181" s="716">
        <v>239.6</v>
      </c>
      <c r="H181" s="225">
        <f t="shared" si="2"/>
        <v>243.63</v>
      </c>
    </row>
    <row r="182" spans="1:8" x14ac:dyDescent="0.3">
      <c r="A182" s="401"/>
      <c r="B182" s="709">
        <v>45197</v>
      </c>
      <c r="C182" s="710" t="s">
        <v>8603</v>
      </c>
      <c r="D182" s="709" t="s">
        <v>136</v>
      </c>
      <c r="E182" s="709" t="s">
        <v>8432</v>
      </c>
      <c r="F182" s="716">
        <v>194.3</v>
      </c>
      <c r="G182" s="716">
        <v>191.09</v>
      </c>
      <c r="H182" s="225">
        <f t="shared" si="2"/>
        <v>194.3</v>
      </c>
    </row>
    <row r="183" spans="1:8" x14ac:dyDescent="0.3">
      <c r="A183" s="401"/>
      <c r="B183" s="709">
        <v>38471</v>
      </c>
      <c r="C183" s="710" t="s">
        <v>8604</v>
      </c>
      <c r="D183" s="709" t="s">
        <v>136</v>
      </c>
      <c r="E183" s="709" t="s">
        <v>8432</v>
      </c>
      <c r="F183" s="716">
        <v>260.57</v>
      </c>
      <c r="G183" s="716">
        <v>256.26</v>
      </c>
      <c r="H183" s="225">
        <f t="shared" si="2"/>
        <v>260.57</v>
      </c>
    </row>
    <row r="184" spans="1:8" x14ac:dyDescent="0.3">
      <c r="A184" s="401"/>
      <c r="B184" s="709">
        <v>45206</v>
      </c>
      <c r="C184" s="710" t="s">
        <v>8605</v>
      </c>
      <c r="D184" s="709" t="s">
        <v>136</v>
      </c>
      <c r="E184" s="709" t="s">
        <v>8432</v>
      </c>
      <c r="F184" s="716">
        <v>51.48</v>
      </c>
      <c r="G184" s="716">
        <v>50.63</v>
      </c>
      <c r="H184" s="225">
        <f t="shared" si="2"/>
        <v>51.48</v>
      </c>
    </row>
    <row r="185" spans="1:8" x14ac:dyDescent="0.3">
      <c r="A185" s="401"/>
      <c r="B185" s="709">
        <v>37370</v>
      </c>
      <c r="C185" s="710" t="s">
        <v>8606</v>
      </c>
      <c r="D185" s="709" t="s">
        <v>234</v>
      </c>
      <c r="E185" s="709" t="s">
        <v>8438</v>
      </c>
      <c r="F185" s="716">
        <v>1.82</v>
      </c>
      <c r="G185" s="716">
        <v>4.4800000000000004</v>
      </c>
      <c r="H185" s="225">
        <f t="shared" si="2"/>
        <v>1.82</v>
      </c>
    </row>
    <row r="186" spans="1:8" x14ac:dyDescent="0.3">
      <c r="A186" s="401"/>
      <c r="B186" s="709">
        <v>40862</v>
      </c>
      <c r="C186" s="710" t="s">
        <v>8607</v>
      </c>
      <c r="D186" s="709" t="s">
        <v>208</v>
      </c>
      <c r="E186" s="709" t="s">
        <v>8438</v>
      </c>
      <c r="F186" s="716">
        <v>304</v>
      </c>
      <c r="G186" s="716">
        <v>743.12</v>
      </c>
      <c r="H186" s="225">
        <f t="shared" si="2"/>
        <v>304</v>
      </c>
    </row>
    <row r="187" spans="1:8" x14ac:dyDescent="0.3">
      <c r="A187" s="401"/>
      <c r="B187" s="709">
        <v>10658</v>
      </c>
      <c r="C187" s="710" t="s">
        <v>8608</v>
      </c>
      <c r="D187" s="709" t="s">
        <v>136</v>
      </c>
      <c r="E187" s="709" t="s">
        <v>8438</v>
      </c>
      <c r="F187" s="716"/>
      <c r="G187" s="716">
        <v>9199.5</v>
      </c>
      <c r="H187" s="225">
        <f t="shared" si="2"/>
        <v>9199.5</v>
      </c>
    </row>
    <row r="188" spans="1:8" x14ac:dyDescent="0.3">
      <c r="A188" s="401"/>
      <c r="B188" s="709">
        <v>253</v>
      </c>
      <c r="C188" s="710" t="s">
        <v>8609</v>
      </c>
      <c r="D188" s="709" t="s">
        <v>234</v>
      </c>
      <c r="E188" s="709" t="s">
        <v>8438</v>
      </c>
      <c r="F188" s="716">
        <v>26.26</v>
      </c>
      <c r="G188" s="716">
        <v>38.57</v>
      </c>
      <c r="H188" s="225">
        <f t="shared" si="2"/>
        <v>26.26</v>
      </c>
    </row>
    <row r="189" spans="1:8" x14ac:dyDescent="0.3">
      <c r="A189" s="401"/>
      <c r="B189" s="709">
        <v>40809</v>
      </c>
      <c r="C189" s="710" t="s">
        <v>8610</v>
      </c>
      <c r="D189" s="709" t="s">
        <v>208</v>
      </c>
      <c r="E189" s="709" t="s">
        <v>8432</v>
      </c>
      <c r="F189" s="716">
        <v>4614.5</v>
      </c>
      <c r="G189" s="716">
        <v>6756.13</v>
      </c>
      <c r="H189" s="225">
        <f t="shared" si="2"/>
        <v>4614.5</v>
      </c>
    </row>
    <row r="190" spans="1:8" x14ac:dyDescent="0.3">
      <c r="A190" s="401"/>
      <c r="B190" s="709">
        <v>42428</v>
      </c>
      <c r="C190" s="710" t="s">
        <v>8611</v>
      </c>
      <c r="D190" s="709" t="s">
        <v>136</v>
      </c>
      <c r="E190" s="709" t="s">
        <v>8438</v>
      </c>
      <c r="F190" s="716"/>
      <c r="G190" s="716">
        <v>2271</v>
      </c>
      <c r="H190" s="225">
        <f t="shared" si="2"/>
        <v>2271</v>
      </c>
    </row>
    <row r="191" spans="1:8" x14ac:dyDescent="0.3">
      <c r="A191" s="401"/>
      <c r="B191" s="709">
        <v>301</v>
      </c>
      <c r="C191" s="710" t="s">
        <v>8612</v>
      </c>
      <c r="D191" s="709" t="s">
        <v>136</v>
      </c>
      <c r="E191" s="709" t="s">
        <v>8438</v>
      </c>
      <c r="F191" s="716">
        <v>2.8</v>
      </c>
      <c r="G191" s="716">
        <v>2.98</v>
      </c>
      <c r="H191" s="225">
        <f t="shared" si="2"/>
        <v>2.8</v>
      </c>
    </row>
    <row r="192" spans="1:8" x14ac:dyDescent="0.3">
      <c r="A192" s="401"/>
      <c r="B192" s="709">
        <v>296</v>
      </c>
      <c r="C192" s="710" t="s">
        <v>8613</v>
      </c>
      <c r="D192" s="709" t="s">
        <v>136</v>
      </c>
      <c r="E192" s="709" t="s">
        <v>8432</v>
      </c>
      <c r="F192" s="716">
        <v>1.58</v>
      </c>
      <c r="G192" s="716">
        <v>1.68</v>
      </c>
      <c r="H192" s="225">
        <f t="shared" si="2"/>
        <v>1.58</v>
      </c>
    </row>
    <row r="193" spans="1:8" x14ac:dyDescent="0.3">
      <c r="A193" s="401"/>
      <c r="B193" s="709">
        <v>297</v>
      </c>
      <c r="C193" s="710" t="s">
        <v>8614</v>
      </c>
      <c r="D193" s="709" t="s">
        <v>136</v>
      </c>
      <c r="E193" s="709" t="s">
        <v>8432</v>
      </c>
      <c r="F193" s="716">
        <v>2.3199999999999998</v>
      </c>
      <c r="G193" s="716">
        <v>2.4700000000000002</v>
      </c>
      <c r="H193" s="225">
        <f t="shared" si="2"/>
        <v>2.3199999999999998</v>
      </c>
    </row>
    <row r="194" spans="1:8" x14ac:dyDescent="0.3">
      <c r="A194" s="401"/>
      <c r="B194" s="709">
        <v>299</v>
      </c>
      <c r="C194" s="710" t="s">
        <v>8615</v>
      </c>
      <c r="D194" s="709" t="s">
        <v>136</v>
      </c>
      <c r="E194" s="709" t="s">
        <v>8432</v>
      </c>
      <c r="F194" s="716">
        <v>3.28</v>
      </c>
      <c r="G194" s="716">
        <v>3.49</v>
      </c>
      <c r="H194" s="225">
        <f t="shared" si="2"/>
        <v>3.28</v>
      </c>
    </row>
    <row r="195" spans="1:8" x14ac:dyDescent="0.3">
      <c r="A195" s="401"/>
      <c r="B195" s="709">
        <v>300</v>
      </c>
      <c r="C195" s="710" t="s">
        <v>8616</v>
      </c>
      <c r="D195" s="709" t="s">
        <v>136</v>
      </c>
      <c r="E195" s="709" t="s">
        <v>8432</v>
      </c>
      <c r="F195" s="716">
        <v>11.36</v>
      </c>
      <c r="G195" s="716">
        <v>12.09</v>
      </c>
      <c r="H195" s="225">
        <f t="shared" si="2"/>
        <v>11.36</v>
      </c>
    </row>
    <row r="196" spans="1:8" x14ac:dyDescent="0.3">
      <c r="A196" s="401"/>
      <c r="B196" s="709">
        <v>20085</v>
      </c>
      <c r="C196" s="710" t="s">
        <v>8617</v>
      </c>
      <c r="D196" s="709" t="s">
        <v>136</v>
      </c>
      <c r="E196" s="709" t="s">
        <v>8432</v>
      </c>
      <c r="F196" s="716">
        <v>2.0699999999999998</v>
      </c>
      <c r="G196" s="716">
        <v>2.21</v>
      </c>
      <c r="H196" s="225">
        <f t="shared" si="2"/>
        <v>2.0699999999999998</v>
      </c>
    </row>
    <row r="197" spans="1:8" x14ac:dyDescent="0.3">
      <c r="A197" s="401"/>
      <c r="B197" s="709">
        <v>298</v>
      </c>
      <c r="C197" s="710" t="s">
        <v>8618</v>
      </c>
      <c r="D197" s="709" t="s">
        <v>136</v>
      </c>
      <c r="E197" s="709" t="s">
        <v>8432</v>
      </c>
      <c r="F197" s="716">
        <v>2.52</v>
      </c>
      <c r="G197" s="716">
        <v>2.69</v>
      </c>
      <c r="H197" s="225">
        <f t="shared" si="2"/>
        <v>2.52</v>
      </c>
    </row>
    <row r="198" spans="1:8" x14ac:dyDescent="0.3">
      <c r="A198" s="401"/>
      <c r="B198" s="709">
        <v>311</v>
      </c>
      <c r="C198" s="710" t="s">
        <v>8619</v>
      </c>
      <c r="D198" s="709" t="s">
        <v>136</v>
      </c>
      <c r="E198" s="709" t="s">
        <v>8432</v>
      </c>
      <c r="F198" s="716">
        <v>9.3699999999999992</v>
      </c>
      <c r="G198" s="716">
        <v>9.9700000000000006</v>
      </c>
      <c r="H198" s="225">
        <f t="shared" si="2"/>
        <v>9.3699999999999992</v>
      </c>
    </row>
    <row r="199" spans="1:8" x14ac:dyDescent="0.3">
      <c r="A199" s="401"/>
      <c r="B199" s="709">
        <v>318</v>
      </c>
      <c r="C199" s="710" t="s">
        <v>8620</v>
      </c>
      <c r="D199" s="709" t="s">
        <v>136</v>
      </c>
      <c r="E199" s="709" t="s">
        <v>8432</v>
      </c>
      <c r="F199" s="716">
        <v>18.87</v>
      </c>
      <c r="G199" s="716">
        <v>20.09</v>
      </c>
      <c r="H199" s="225">
        <f t="shared" si="2"/>
        <v>18.87</v>
      </c>
    </row>
    <row r="200" spans="1:8" x14ac:dyDescent="0.3">
      <c r="A200" s="401"/>
      <c r="B200" s="709">
        <v>319</v>
      </c>
      <c r="C200" s="710" t="s">
        <v>8621</v>
      </c>
      <c r="D200" s="709" t="s">
        <v>136</v>
      </c>
      <c r="E200" s="709" t="s">
        <v>8432</v>
      </c>
      <c r="F200" s="716">
        <v>29.6</v>
      </c>
      <c r="G200" s="716">
        <v>31.5</v>
      </c>
      <c r="H200" s="225">
        <f t="shared" si="2"/>
        <v>29.6</v>
      </c>
    </row>
    <row r="201" spans="1:8" x14ac:dyDescent="0.3">
      <c r="A201" s="401"/>
      <c r="B201" s="709">
        <v>303</v>
      </c>
      <c r="C201" s="710" t="s">
        <v>8622</v>
      </c>
      <c r="D201" s="709" t="s">
        <v>136</v>
      </c>
      <c r="E201" s="709" t="s">
        <v>8432</v>
      </c>
      <c r="F201" s="716">
        <v>3.1</v>
      </c>
      <c r="G201" s="716">
        <v>3.3</v>
      </c>
      <c r="H201" s="225">
        <f t="shared" si="2"/>
        <v>3.1</v>
      </c>
    </row>
    <row r="202" spans="1:8" x14ac:dyDescent="0.3">
      <c r="A202" s="401"/>
      <c r="B202" s="709">
        <v>305</v>
      </c>
      <c r="C202" s="710" t="s">
        <v>8623</v>
      </c>
      <c r="D202" s="709" t="s">
        <v>136</v>
      </c>
      <c r="E202" s="709" t="s">
        <v>8432</v>
      </c>
      <c r="F202" s="716">
        <v>9.76</v>
      </c>
      <c r="G202" s="716">
        <v>10.38</v>
      </c>
      <c r="H202" s="225">
        <f t="shared" si="2"/>
        <v>9.76</v>
      </c>
    </row>
    <row r="203" spans="1:8" x14ac:dyDescent="0.3">
      <c r="A203" s="401"/>
      <c r="B203" s="709">
        <v>306</v>
      </c>
      <c r="C203" s="710" t="s">
        <v>8624</v>
      </c>
      <c r="D203" s="709" t="s">
        <v>136</v>
      </c>
      <c r="E203" s="709" t="s">
        <v>8432</v>
      </c>
      <c r="F203" s="716">
        <v>14.8</v>
      </c>
      <c r="G203" s="716">
        <v>15.75</v>
      </c>
      <c r="H203" s="225">
        <f t="shared" ref="H203:H266" si="3">IF(F203&gt;0,F203,G203)</f>
        <v>14.8</v>
      </c>
    </row>
    <row r="204" spans="1:8" x14ac:dyDescent="0.3">
      <c r="A204" s="401"/>
      <c r="B204" s="709">
        <v>307</v>
      </c>
      <c r="C204" s="710" t="s">
        <v>8625</v>
      </c>
      <c r="D204" s="709" t="s">
        <v>136</v>
      </c>
      <c r="E204" s="709" t="s">
        <v>8432</v>
      </c>
      <c r="F204" s="716">
        <v>37.39</v>
      </c>
      <c r="G204" s="716">
        <v>39.79</v>
      </c>
      <c r="H204" s="225">
        <f t="shared" si="3"/>
        <v>37.39</v>
      </c>
    </row>
    <row r="205" spans="1:8" x14ac:dyDescent="0.3">
      <c r="A205" s="401"/>
      <c r="B205" s="709">
        <v>309</v>
      </c>
      <c r="C205" s="710" t="s">
        <v>8626</v>
      </c>
      <c r="D205" s="709" t="s">
        <v>136</v>
      </c>
      <c r="E205" s="709" t="s">
        <v>8432</v>
      </c>
      <c r="F205" s="716">
        <v>61.24</v>
      </c>
      <c r="G205" s="716">
        <v>65.180000000000007</v>
      </c>
      <c r="H205" s="225">
        <f t="shared" si="3"/>
        <v>61.24</v>
      </c>
    </row>
    <row r="206" spans="1:8" x14ac:dyDescent="0.3">
      <c r="A206" s="401"/>
      <c r="B206" s="709">
        <v>310</v>
      </c>
      <c r="C206" s="710" t="s">
        <v>8627</v>
      </c>
      <c r="D206" s="709" t="s">
        <v>136</v>
      </c>
      <c r="E206" s="709" t="s">
        <v>8432</v>
      </c>
      <c r="F206" s="716">
        <v>84.88</v>
      </c>
      <c r="G206" s="716">
        <v>90.34</v>
      </c>
      <c r="H206" s="225">
        <f t="shared" si="3"/>
        <v>84.88</v>
      </c>
    </row>
    <row r="207" spans="1:8" x14ac:dyDescent="0.3">
      <c r="A207" s="401"/>
      <c r="B207" s="709">
        <v>308</v>
      </c>
      <c r="C207" s="710" t="s">
        <v>8628</v>
      </c>
      <c r="D207" s="709" t="s">
        <v>136</v>
      </c>
      <c r="E207" s="709" t="s">
        <v>8432</v>
      </c>
      <c r="F207" s="716">
        <v>83.44</v>
      </c>
      <c r="G207" s="716">
        <v>88.81</v>
      </c>
      <c r="H207" s="225">
        <f t="shared" si="3"/>
        <v>83.44</v>
      </c>
    </row>
    <row r="208" spans="1:8" x14ac:dyDescent="0.3">
      <c r="A208" s="401"/>
      <c r="B208" s="709">
        <v>328</v>
      </c>
      <c r="C208" s="710" t="s">
        <v>8629</v>
      </c>
      <c r="D208" s="709" t="s">
        <v>136</v>
      </c>
      <c r="E208" s="709" t="s">
        <v>8432</v>
      </c>
      <c r="F208" s="716">
        <v>7.42</v>
      </c>
      <c r="G208" s="716">
        <v>7.9</v>
      </c>
      <c r="H208" s="225">
        <f t="shared" si="3"/>
        <v>7.42</v>
      </c>
    </row>
    <row r="209" spans="1:8" x14ac:dyDescent="0.3">
      <c r="A209" s="401"/>
      <c r="B209" s="709">
        <v>325</v>
      </c>
      <c r="C209" s="710" t="s">
        <v>8630</v>
      </c>
      <c r="D209" s="709" t="s">
        <v>136</v>
      </c>
      <c r="E209" s="709" t="s">
        <v>8432</v>
      </c>
      <c r="F209" s="716">
        <v>2.19</v>
      </c>
      <c r="G209" s="716">
        <v>2.33</v>
      </c>
      <c r="H209" s="225">
        <f t="shared" si="3"/>
        <v>2.19</v>
      </c>
    </row>
    <row r="210" spans="1:8" x14ac:dyDescent="0.3">
      <c r="A210" s="401"/>
      <c r="B210" s="709">
        <v>20326</v>
      </c>
      <c r="C210" s="710" t="s">
        <v>8631</v>
      </c>
      <c r="D210" s="709" t="s">
        <v>136</v>
      </c>
      <c r="E210" s="709" t="s">
        <v>8432</v>
      </c>
      <c r="F210" s="716">
        <v>4</v>
      </c>
      <c r="G210" s="716">
        <v>4.26</v>
      </c>
      <c r="H210" s="225">
        <f t="shared" si="3"/>
        <v>4</v>
      </c>
    </row>
    <row r="211" spans="1:8" x14ac:dyDescent="0.3">
      <c r="A211" s="401"/>
      <c r="B211" s="709">
        <v>329</v>
      </c>
      <c r="C211" s="710" t="s">
        <v>8632</v>
      </c>
      <c r="D211" s="709" t="s">
        <v>136</v>
      </c>
      <c r="E211" s="709" t="s">
        <v>8432</v>
      </c>
      <c r="F211" s="716">
        <v>6.2</v>
      </c>
      <c r="G211" s="716">
        <v>6.6</v>
      </c>
      <c r="H211" s="225">
        <f t="shared" si="3"/>
        <v>6.2</v>
      </c>
    </row>
    <row r="212" spans="1:8" x14ac:dyDescent="0.3">
      <c r="A212" s="401"/>
      <c r="B212" s="709">
        <v>39642</v>
      </c>
      <c r="C212" s="710" t="s">
        <v>8633</v>
      </c>
      <c r="D212" s="709" t="s">
        <v>136</v>
      </c>
      <c r="E212" s="709" t="s">
        <v>8432</v>
      </c>
      <c r="F212" s="716">
        <v>2.75</v>
      </c>
      <c r="G212" s="716">
        <v>2.92</v>
      </c>
      <c r="H212" s="225">
        <f t="shared" si="3"/>
        <v>2.75</v>
      </c>
    </row>
    <row r="213" spans="1:8" x14ac:dyDescent="0.3">
      <c r="A213" s="401"/>
      <c r="B213" s="709">
        <v>39641</v>
      </c>
      <c r="C213" s="710" t="s">
        <v>8634</v>
      </c>
      <c r="D213" s="709" t="s">
        <v>136</v>
      </c>
      <c r="E213" s="709" t="s">
        <v>8432</v>
      </c>
      <c r="F213" s="716">
        <v>2.41</v>
      </c>
      <c r="G213" s="716">
        <v>2.57</v>
      </c>
      <c r="H213" s="225">
        <f t="shared" si="3"/>
        <v>2.41</v>
      </c>
    </row>
    <row r="214" spans="1:8" x14ac:dyDescent="0.3">
      <c r="A214" s="401"/>
      <c r="B214" s="709">
        <v>39643</v>
      </c>
      <c r="C214" s="710" t="s">
        <v>8635</v>
      </c>
      <c r="D214" s="709" t="s">
        <v>136</v>
      </c>
      <c r="E214" s="709" t="s">
        <v>8432</v>
      </c>
      <c r="F214" s="716">
        <v>3.23</v>
      </c>
      <c r="G214" s="716">
        <v>3.43</v>
      </c>
      <c r="H214" s="225">
        <f t="shared" si="3"/>
        <v>3.23</v>
      </c>
    </row>
    <row r="215" spans="1:8" x14ac:dyDescent="0.3">
      <c r="A215" s="401"/>
      <c r="B215" s="709">
        <v>39644</v>
      </c>
      <c r="C215" s="710" t="s">
        <v>8636</v>
      </c>
      <c r="D215" s="709" t="s">
        <v>136</v>
      </c>
      <c r="E215" s="709" t="s">
        <v>8432</v>
      </c>
      <c r="F215" s="716">
        <v>5</v>
      </c>
      <c r="G215" s="716">
        <v>5.32</v>
      </c>
      <c r="H215" s="225">
        <f t="shared" si="3"/>
        <v>5</v>
      </c>
    </row>
    <row r="216" spans="1:8" x14ac:dyDescent="0.3">
      <c r="A216" s="401"/>
      <c r="B216" s="709">
        <v>39645</v>
      </c>
      <c r="C216" s="710" t="s">
        <v>8637</v>
      </c>
      <c r="D216" s="709" t="s">
        <v>136</v>
      </c>
      <c r="E216" s="709" t="s">
        <v>8432</v>
      </c>
      <c r="F216" s="716">
        <v>5.48</v>
      </c>
      <c r="G216" s="716">
        <v>5.84</v>
      </c>
      <c r="H216" s="225">
        <f t="shared" si="3"/>
        <v>5.48</v>
      </c>
    </row>
    <row r="217" spans="1:8" x14ac:dyDescent="0.3">
      <c r="A217" s="401"/>
      <c r="B217" s="709">
        <v>41610</v>
      </c>
      <c r="C217" s="710" t="s">
        <v>8638</v>
      </c>
      <c r="D217" s="709" t="s">
        <v>136</v>
      </c>
      <c r="E217" s="709" t="s">
        <v>8432</v>
      </c>
      <c r="F217" s="716">
        <v>856.61</v>
      </c>
      <c r="G217" s="716">
        <v>830.37</v>
      </c>
      <c r="H217" s="225">
        <f t="shared" si="3"/>
        <v>856.61</v>
      </c>
    </row>
    <row r="218" spans="1:8" x14ac:dyDescent="0.3">
      <c r="A218" s="401"/>
      <c r="B218" s="709">
        <v>41611</v>
      </c>
      <c r="C218" s="710" t="s">
        <v>8639</v>
      </c>
      <c r="D218" s="709" t="s">
        <v>136</v>
      </c>
      <c r="E218" s="709" t="s">
        <v>8432</v>
      </c>
      <c r="F218" s="716">
        <v>1350.18</v>
      </c>
      <c r="G218" s="716">
        <v>1308.83</v>
      </c>
      <c r="H218" s="225">
        <f t="shared" si="3"/>
        <v>1350.18</v>
      </c>
    </row>
    <row r="219" spans="1:8" x14ac:dyDescent="0.3">
      <c r="A219" s="401"/>
      <c r="B219" s="709">
        <v>41612</v>
      </c>
      <c r="C219" s="710" t="s">
        <v>8640</v>
      </c>
      <c r="D219" s="709" t="s">
        <v>136</v>
      </c>
      <c r="E219" s="709" t="s">
        <v>8432</v>
      </c>
      <c r="F219" s="716">
        <v>1895.86</v>
      </c>
      <c r="G219" s="716">
        <v>1837.78</v>
      </c>
      <c r="H219" s="225">
        <f t="shared" si="3"/>
        <v>1895.86</v>
      </c>
    </row>
    <row r="220" spans="1:8" x14ac:dyDescent="0.3">
      <c r="A220" s="401"/>
      <c r="B220" s="709">
        <v>41637</v>
      </c>
      <c r="C220" s="710" t="s">
        <v>8641</v>
      </c>
      <c r="D220" s="709" t="s">
        <v>136</v>
      </c>
      <c r="E220" s="709" t="s">
        <v>8432</v>
      </c>
      <c r="F220" s="716">
        <v>177.22</v>
      </c>
      <c r="G220" s="716">
        <v>171.79</v>
      </c>
      <c r="H220" s="225">
        <f t="shared" si="3"/>
        <v>177.22</v>
      </c>
    </row>
    <row r="221" spans="1:8" x14ac:dyDescent="0.3">
      <c r="A221" s="401"/>
      <c r="B221" s="709">
        <v>41638</v>
      </c>
      <c r="C221" s="710" t="s">
        <v>8642</v>
      </c>
      <c r="D221" s="709" t="s">
        <v>136</v>
      </c>
      <c r="E221" s="709" t="s">
        <v>8432</v>
      </c>
      <c r="F221" s="716">
        <v>230.86</v>
      </c>
      <c r="G221" s="716">
        <v>223.78</v>
      </c>
      <c r="H221" s="225">
        <f t="shared" si="3"/>
        <v>230.86</v>
      </c>
    </row>
    <row r="222" spans="1:8" x14ac:dyDescent="0.3">
      <c r="A222" s="401"/>
      <c r="B222" s="709">
        <v>41639</v>
      </c>
      <c r="C222" s="710" t="s">
        <v>8643</v>
      </c>
      <c r="D222" s="709" t="s">
        <v>136</v>
      </c>
      <c r="E222" s="709" t="s">
        <v>8432</v>
      </c>
      <c r="F222" s="716">
        <v>558.49</v>
      </c>
      <c r="G222" s="716">
        <v>541.39</v>
      </c>
      <c r="H222" s="225">
        <f t="shared" si="3"/>
        <v>558.49</v>
      </c>
    </row>
    <row r="223" spans="1:8" x14ac:dyDescent="0.3">
      <c r="A223" s="401"/>
      <c r="B223" s="709">
        <v>11789</v>
      </c>
      <c r="C223" s="710" t="s">
        <v>8644</v>
      </c>
      <c r="D223" s="709" t="s">
        <v>136</v>
      </c>
      <c r="E223" s="709" t="s">
        <v>8432</v>
      </c>
      <c r="F223" s="716"/>
      <c r="G223" s="716">
        <v>0.87</v>
      </c>
      <c r="H223" s="225">
        <f t="shared" si="3"/>
        <v>0.87</v>
      </c>
    </row>
    <row r="224" spans="1:8" x14ac:dyDescent="0.3">
      <c r="A224" s="401"/>
      <c r="B224" s="709">
        <v>20975</v>
      </c>
      <c r="C224" s="710" t="s">
        <v>8645</v>
      </c>
      <c r="D224" s="709" t="s">
        <v>136</v>
      </c>
      <c r="E224" s="709" t="s">
        <v>8432</v>
      </c>
      <c r="F224" s="716">
        <v>11.33</v>
      </c>
      <c r="G224" s="716">
        <v>25.28</v>
      </c>
      <c r="H224" s="225">
        <f t="shared" si="3"/>
        <v>11.33</v>
      </c>
    </row>
    <row r="225" spans="1:8" x14ac:dyDescent="0.3">
      <c r="A225" s="401"/>
      <c r="B225" s="709">
        <v>20976</v>
      </c>
      <c r="C225" s="710" t="s">
        <v>8646</v>
      </c>
      <c r="D225" s="709" t="s">
        <v>136</v>
      </c>
      <c r="E225" s="709" t="s">
        <v>8432</v>
      </c>
      <c r="F225" s="716">
        <v>17.12</v>
      </c>
      <c r="G225" s="716">
        <v>38.200000000000003</v>
      </c>
      <c r="H225" s="225">
        <f t="shared" si="3"/>
        <v>17.12</v>
      </c>
    </row>
    <row r="226" spans="1:8" x14ac:dyDescent="0.3">
      <c r="A226" s="401"/>
      <c r="B226" s="709">
        <v>6138</v>
      </c>
      <c r="C226" s="710" t="s">
        <v>8647</v>
      </c>
      <c r="D226" s="709" t="s">
        <v>136</v>
      </c>
      <c r="E226" s="709" t="s">
        <v>8432</v>
      </c>
      <c r="F226" s="716">
        <v>16.7</v>
      </c>
      <c r="G226" s="716">
        <v>13.45</v>
      </c>
      <c r="H226" s="225">
        <f t="shared" si="3"/>
        <v>16.7</v>
      </c>
    </row>
    <row r="227" spans="1:8" x14ac:dyDescent="0.3">
      <c r="A227" s="401"/>
      <c r="B227" s="709">
        <v>40340</v>
      </c>
      <c r="C227" s="710" t="s">
        <v>8648</v>
      </c>
      <c r="D227" s="709" t="s">
        <v>136</v>
      </c>
      <c r="E227" s="709" t="s">
        <v>8432</v>
      </c>
      <c r="F227" s="716">
        <v>20.6</v>
      </c>
      <c r="G227" s="716">
        <v>21.92</v>
      </c>
      <c r="H227" s="225">
        <f t="shared" si="3"/>
        <v>20.6</v>
      </c>
    </row>
    <row r="228" spans="1:8" x14ac:dyDescent="0.3">
      <c r="A228" s="401"/>
      <c r="B228" s="709">
        <v>40341</v>
      </c>
      <c r="C228" s="710" t="s">
        <v>8649</v>
      </c>
      <c r="D228" s="709" t="s">
        <v>136</v>
      </c>
      <c r="E228" s="709" t="s">
        <v>8432</v>
      </c>
      <c r="F228" s="716">
        <v>24.58</v>
      </c>
      <c r="G228" s="716">
        <v>26.16</v>
      </c>
      <c r="H228" s="225">
        <f t="shared" si="3"/>
        <v>24.58</v>
      </c>
    </row>
    <row r="229" spans="1:8" x14ac:dyDescent="0.3">
      <c r="A229" s="401"/>
      <c r="B229" s="709">
        <v>40342</v>
      </c>
      <c r="C229" s="710" t="s">
        <v>8650</v>
      </c>
      <c r="D229" s="709" t="s">
        <v>136</v>
      </c>
      <c r="E229" s="709" t="s">
        <v>8432</v>
      </c>
      <c r="F229" s="716">
        <v>29.32</v>
      </c>
      <c r="G229" s="716">
        <v>31.2</v>
      </c>
      <c r="H229" s="225">
        <f t="shared" si="3"/>
        <v>29.32</v>
      </c>
    </row>
    <row r="230" spans="1:8" x14ac:dyDescent="0.3">
      <c r="A230" s="401"/>
      <c r="B230" s="709">
        <v>40343</v>
      </c>
      <c r="C230" s="710" t="s">
        <v>8651</v>
      </c>
      <c r="D230" s="709" t="s">
        <v>136</v>
      </c>
      <c r="E230" s="709" t="s">
        <v>8432</v>
      </c>
      <c r="F230" s="716">
        <v>34.770000000000003</v>
      </c>
      <c r="G230" s="716">
        <v>37.01</v>
      </c>
      <c r="H230" s="225">
        <f t="shared" si="3"/>
        <v>34.770000000000003</v>
      </c>
    </row>
    <row r="231" spans="1:8" x14ac:dyDescent="0.3">
      <c r="A231" s="401"/>
      <c r="B231" s="709">
        <v>40344</v>
      </c>
      <c r="C231" s="710" t="s">
        <v>8652</v>
      </c>
      <c r="D231" s="709" t="s">
        <v>136</v>
      </c>
      <c r="E231" s="709" t="s">
        <v>8432</v>
      </c>
      <c r="F231" s="716">
        <v>47.4</v>
      </c>
      <c r="G231" s="716">
        <v>50.45</v>
      </c>
      <c r="H231" s="225">
        <f t="shared" si="3"/>
        <v>47.4</v>
      </c>
    </row>
    <row r="232" spans="1:8" x14ac:dyDescent="0.3">
      <c r="A232" s="401"/>
      <c r="B232" s="709">
        <v>40345</v>
      </c>
      <c r="C232" s="710" t="s">
        <v>8653</v>
      </c>
      <c r="D232" s="709" t="s">
        <v>136</v>
      </c>
      <c r="E232" s="709" t="s">
        <v>8432</v>
      </c>
      <c r="F232" s="716">
        <v>58.41</v>
      </c>
      <c r="G232" s="716">
        <v>62.17</v>
      </c>
      <c r="H232" s="225">
        <f t="shared" si="3"/>
        <v>58.41</v>
      </c>
    </row>
    <row r="233" spans="1:8" x14ac:dyDescent="0.3">
      <c r="A233" s="401"/>
      <c r="B233" s="709">
        <v>40346</v>
      </c>
      <c r="C233" s="710" t="s">
        <v>8654</v>
      </c>
      <c r="D233" s="709" t="s">
        <v>136</v>
      </c>
      <c r="E233" s="709" t="s">
        <v>8432</v>
      </c>
      <c r="F233" s="716">
        <v>67.760000000000005</v>
      </c>
      <c r="G233" s="716">
        <v>72.11</v>
      </c>
      <c r="H233" s="225">
        <f t="shared" si="3"/>
        <v>67.760000000000005</v>
      </c>
    </row>
    <row r="234" spans="1:8" x14ac:dyDescent="0.3">
      <c r="A234" s="401"/>
      <c r="B234" s="709">
        <v>40347</v>
      </c>
      <c r="C234" s="710" t="s">
        <v>8655</v>
      </c>
      <c r="D234" s="709" t="s">
        <v>136</v>
      </c>
      <c r="E234" s="709" t="s">
        <v>8432</v>
      </c>
      <c r="F234" s="716">
        <v>85.13</v>
      </c>
      <c r="G234" s="716">
        <v>90.6</v>
      </c>
      <c r="H234" s="225">
        <f t="shared" si="3"/>
        <v>85.13</v>
      </c>
    </row>
    <row r="235" spans="1:8" x14ac:dyDescent="0.3">
      <c r="A235" s="401"/>
      <c r="B235" s="709">
        <v>43424</v>
      </c>
      <c r="C235" s="710" t="s">
        <v>8656</v>
      </c>
      <c r="D235" s="709" t="s">
        <v>136</v>
      </c>
      <c r="E235" s="709" t="s">
        <v>8432</v>
      </c>
      <c r="F235" s="716">
        <v>717.69</v>
      </c>
      <c r="G235" s="716">
        <v>695.71</v>
      </c>
      <c r="H235" s="225">
        <f t="shared" si="3"/>
        <v>717.69</v>
      </c>
    </row>
    <row r="236" spans="1:8" x14ac:dyDescent="0.3">
      <c r="A236" s="401"/>
      <c r="B236" s="709">
        <v>43426</v>
      </c>
      <c r="C236" s="710" t="s">
        <v>8657</v>
      </c>
      <c r="D236" s="709" t="s">
        <v>136</v>
      </c>
      <c r="E236" s="709" t="s">
        <v>8432</v>
      </c>
      <c r="F236" s="716">
        <v>2475.34</v>
      </c>
      <c r="G236" s="716">
        <v>2399.52</v>
      </c>
      <c r="H236" s="225">
        <f t="shared" si="3"/>
        <v>2475.34</v>
      </c>
    </row>
    <row r="237" spans="1:8" x14ac:dyDescent="0.3">
      <c r="A237" s="401"/>
      <c r="B237" s="709">
        <v>12565</v>
      </c>
      <c r="C237" s="710" t="s">
        <v>8658</v>
      </c>
      <c r="D237" s="709" t="s">
        <v>136</v>
      </c>
      <c r="E237" s="709" t="s">
        <v>8432</v>
      </c>
      <c r="F237" s="716">
        <v>868.07</v>
      </c>
      <c r="G237" s="716">
        <v>841.48</v>
      </c>
      <c r="H237" s="225">
        <f t="shared" si="3"/>
        <v>868.07</v>
      </c>
    </row>
    <row r="238" spans="1:8" x14ac:dyDescent="0.3">
      <c r="A238" s="401"/>
      <c r="B238" s="709">
        <v>12567</v>
      </c>
      <c r="C238" s="710" t="s">
        <v>8659</v>
      </c>
      <c r="D238" s="709" t="s">
        <v>136</v>
      </c>
      <c r="E238" s="709" t="s">
        <v>8432</v>
      </c>
      <c r="F238" s="716">
        <v>1165.96</v>
      </c>
      <c r="G238" s="716">
        <v>1130.25</v>
      </c>
      <c r="H238" s="225">
        <f t="shared" si="3"/>
        <v>1165.96</v>
      </c>
    </row>
    <row r="239" spans="1:8" x14ac:dyDescent="0.3">
      <c r="A239" s="401"/>
      <c r="B239" s="709">
        <v>12568</v>
      </c>
      <c r="C239" s="710" t="s">
        <v>8660</v>
      </c>
      <c r="D239" s="709" t="s">
        <v>136</v>
      </c>
      <c r="E239" s="709" t="s">
        <v>8432</v>
      </c>
      <c r="F239" s="716">
        <v>1632.35</v>
      </c>
      <c r="G239" s="716">
        <v>1582.35</v>
      </c>
      <c r="H239" s="225">
        <f t="shared" si="3"/>
        <v>1632.35</v>
      </c>
    </row>
    <row r="240" spans="1:8" x14ac:dyDescent="0.3">
      <c r="A240" s="401"/>
      <c r="B240" s="709">
        <v>43441</v>
      </c>
      <c r="C240" s="710" t="s">
        <v>8661</v>
      </c>
      <c r="D240" s="709" t="s">
        <v>136</v>
      </c>
      <c r="E240" s="709" t="s">
        <v>8432</v>
      </c>
      <c r="F240" s="716">
        <v>209.87</v>
      </c>
      <c r="G240" s="716">
        <v>203.44</v>
      </c>
      <c r="H240" s="225">
        <f t="shared" si="3"/>
        <v>209.87</v>
      </c>
    </row>
    <row r="241" spans="1:8" x14ac:dyDescent="0.3">
      <c r="A241" s="401"/>
      <c r="B241" s="709">
        <v>43423</v>
      </c>
      <c r="C241" s="710" t="s">
        <v>8662</v>
      </c>
      <c r="D241" s="709" t="s">
        <v>136</v>
      </c>
      <c r="E241" s="709" t="s">
        <v>8432</v>
      </c>
      <c r="F241" s="716">
        <v>97.94</v>
      </c>
      <c r="G241" s="716">
        <v>94.94</v>
      </c>
      <c r="H241" s="225">
        <f t="shared" si="3"/>
        <v>97.94</v>
      </c>
    </row>
    <row r="242" spans="1:8" x14ac:dyDescent="0.3">
      <c r="A242" s="401"/>
      <c r="B242" s="709">
        <v>12532</v>
      </c>
      <c r="C242" s="710" t="s">
        <v>8663</v>
      </c>
      <c r="D242" s="709" t="s">
        <v>136</v>
      </c>
      <c r="E242" s="709" t="s">
        <v>8432</v>
      </c>
      <c r="F242" s="716">
        <v>151.05000000000001</v>
      </c>
      <c r="G242" s="716">
        <v>146.41999999999999</v>
      </c>
      <c r="H242" s="225">
        <f t="shared" si="3"/>
        <v>151.05000000000001</v>
      </c>
    </row>
    <row r="243" spans="1:8" x14ac:dyDescent="0.3">
      <c r="A243" s="401"/>
      <c r="B243" s="709">
        <v>43444</v>
      </c>
      <c r="C243" s="710" t="s">
        <v>8664</v>
      </c>
      <c r="D243" s="709" t="s">
        <v>136</v>
      </c>
      <c r="E243" s="709" t="s">
        <v>8432</v>
      </c>
      <c r="F243" s="716">
        <v>507.19</v>
      </c>
      <c r="G243" s="716">
        <v>491.65</v>
      </c>
      <c r="H243" s="225">
        <f t="shared" si="3"/>
        <v>507.19</v>
      </c>
    </row>
    <row r="244" spans="1:8" x14ac:dyDescent="0.3">
      <c r="A244" s="401"/>
      <c r="B244" s="709">
        <v>12551</v>
      </c>
      <c r="C244" s="710" t="s">
        <v>8665</v>
      </c>
      <c r="D244" s="709" t="s">
        <v>136</v>
      </c>
      <c r="E244" s="709" t="s">
        <v>8432</v>
      </c>
      <c r="F244" s="716">
        <v>361.86</v>
      </c>
      <c r="G244" s="716">
        <v>350.78</v>
      </c>
      <c r="H244" s="225">
        <f t="shared" si="3"/>
        <v>361.86</v>
      </c>
    </row>
    <row r="245" spans="1:8" x14ac:dyDescent="0.3">
      <c r="A245" s="401"/>
      <c r="B245" s="709">
        <v>43442</v>
      </c>
      <c r="C245" s="710" t="s">
        <v>8666</v>
      </c>
      <c r="D245" s="709" t="s">
        <v>136</v>
      </c>
      <c r="E245" s="709" t="s">
        <v>8432</v>
      </c>
      <c r="F245" s="716">
        <v>279.83</v>
      </c>
      <c r="G245" s="716">
        <v>271.26</v>
      </c>
      <c r="H245" s="225">
        <f t="shared" si="3"/>
        <v>279.83</v>
      </c>
    </row>
    <row r="246" spans="1:8" x14ac:dyDescent="0.3">
      <c r="A246" s="401"/>
      <c r="B246" s="709">
        <v>43443</v>
      </c>
      <c r="C246" s="710" t="s">
        <v>8667</v>
      </c>
      <c r="D246" s="709" t="s">
        <v>136</v>
      </c>
      <c r="E246" s="709" t="s">
        <v>8432</v>
      </c>
      <c r="F246" s="716">
        <v>367.27</v>
      </c>
      <c r="G246" s="716">
        <v>356.02</v>
      </c>
      <c r="H246" s="225">
        <f t="shared" si="3"/>
        <v>367.27</v>
      </c>
    </row>
    <row r="247" spans="1:8" x14ac:dyDescent="0.3">
      <c r="A247" s="401"/>
      <c r="B247" s="709">
        <v>12544</v>
      </c>
      <c r="C247" s="710" t="s">
        <v>8668</v>
      </c>
      <c r="D247" s="709" t="s">
        <v>136</v>
      </c>
      <c r="E247" s="709" t="s">
        <v>8432</v>
      </c>
      <c r="F247" s="716">
        <v>198.21</v>
      </c>
      <c r="G247" s="716">
        <v>192.14</v>
      </c>
      <c r="H247" s="225">
        <f t="shared" si="3"/>
        <v>198.21</v>
      </c>
    </row>
    <row r="248" spans="1:8" x14ac:dyDescent="0.3">
      <c r="A248" s="401"/>
      <c r="B248" s="709">
        <v>12547</v>
      </c>
      <c r="C248" s="710" t="s">
        <v>8669</v>
      </c>
      <c r="D248" s="709" t="s">
        <v>136</v>
      </c>
      <c r="E248" s="709" t="s">
        <v>8432</v>
      </c>
      <c r="F248" s="716">
        <v>266.58</v>
      </c>
      <c r="G248" s="716">
        <v>258.42</v>
      </c>
      <c r="H248" s="225">
        <f t="shared" si="3"/>
        <v>266.58</v>
      </c>
    </row>
    <row r="249" spans="1:8" x14ac:dyDescent="0.3">
      <c r="A249" s="401"/>
      <c r="B249" s="709">
        <v>43445</v>
      </c>
      <c r="C249" s="710" t="s">
        <v>8670</v>
      </c>
      <c r="D249" s="709" t="s">
        <v>136</v>
      </c>
      <c r="E249" s="709" t="s">
        <v>8432</v>
      </c>
      <c r="F249" s="716">
        <v>699.57</v>
      </c>
      <c r="G249" s="716">
        <v>678.15</v>
      </c>
      <c r="H249" s="225">
        <f t="shared" si="3"/>
        <v>699.57</v>
      </c>
    </row>
    <row r="250" spans="1:8" x14ac:dyDescent="0.3">
      <c r="A250" s="401"/>
      <c r="B250" s="709">
        <v>12563</v>
      </c>
      <c r="C250" s="710" t="s">
        <v>8671</v>
      </c>
      <c r="D250" s="709" t="s">
        <v>136</v>
      </c>
      <c r="E250" s="709" t="s">
        <v>8432</v>
      </c>
      <c r="F250" s="716">
        <v>500.52</v>
      </c>
      <c r="G250" s="716">
        <v>485.19</v>
      </c>
      <c r="H250" s="225">
        <f t="shared" si="3"/>
        <v>500.52</v>
      </c>
    </row>
    <row r="251" spans="1:8" x14ac:dyDescent="0.3">
      <c r="A251" s="401"/>
      <c r="B251" s="709">
        <v>43425</v>
      </c>
      <c r="C251" s="710" t="s">
        <v>8672</v>
      </c>
      <c r="D251" s="709" t="s">
        <v>136</v>
      </c>
      <c r="E251" s="709" t="s">
        <v>8432</v>
      </c>
      <c r="F251" s="716">
        <v>314.81</v>
      </c>
      <c r="G251" s="716">
        <v>305.16000000000003</v>
      </c>
      <c r="H251" s="225">
        <f t="shared" si="3"/>
        <v>314.81</v>
      </c>
    </row>
    <row r="252" spans="1:8" x14ac:dyDescent="0.3">
      <c r="A252" s="401"/>
      <c r="B252" s="709">
        <v>43446</v>
      </c>
      <c r="C252" s="710" t="s">
        <v>8673</v>
      </c>
      <c r="D252" s="709" t="s">
        <v>136</v>
      </c>
      <c r="E252" s="709" t="s">
        <v>8432</v>
      </c>
      <c r="F252" s="716">
        <v>664.6</v>
      </c>
      <c r="G252" s="716">
        <v>644.24</v>
      </c>
      <c r="H252" s="225">
        <f t="shared" si="3"/>
        <v>664.6</v>
      </c>
    </row>
    <row r="253" spans="1:8" x14ac:dyDescent="0.3">
      <c r="A253" s="401"/>
      <c r="B253" s="709">
        <v>43447</v>
      </c>
      <c r="C253" s="710" t="s">
        <v>8674</v>
      </c>
      <c r="D253" s="709" t="s">
        <v>136</v>
      </c>
      <c r="E253" s="709" t="s">
        <v>8432</v>
      </c>
      <c r="F253" s="716">
        <v>816.17</v>
      </c>
      <c r="G253" s="716">
        <v>791.17</v>
      </c>
      <c r="H253" s="225">
        <f t="shared" si="3"/>
        <v>816.17</v>
      </c>
    </row>
    <row r="254" spans="1:8" x14ac:dyDescent="0.3">
      <c r="A254" s="401"/>
      <c r="B254" s="709">
        <v>43448</v>
      </c>
      <c r="C254" s="710" t="s">
        <v>8675</v>
      </c>
      <c r="D254" s="709" t="s">
        <v>136</v>
      </c>
      <c r="E254" s="709" t="s">
        <v>8432</v>
      </c>
      <c r="F254" s="716">
        <v>1142.6400000000001</v>
      </c>
      <c r="G254" s="716">
        <v>1107.6400000000001</v>
      </c>
      <c r="H254" s="225">
        <f t="shared" si="3"/>
        <v>1142.6400000000001</v>
      </c>
    </row>
    <row r="255" spans="1:8" x14ac:dyDescent="0.3">
      <c r="A255" s="401"/>
      <c r="B255" s="709">
        <v>13761</v>
      </c>
      <c r="C255" s="710" t="s">
        <v>8676</v>
      </c>
      <c r="D255" s="709" t="s">
        <v>136</v>
      </c>
      <c r="E255" s="709" t="s">
        <v>8432</v>
      </c>
      <c r="F255" s="716">
        <v>4238.67</v>
      </c>
      <c r="G255" s="716">
        <v>3832.88</v>
      </c>
      <c r="H255" s="225">
        <f t="shared" si="3"/>
        <v>4238.67</v>
      </c>
    </row>
    <row r="256" spans="1:8" x14ac:dyDescent="0.3">
      <c r="A256" s="401"/>
      <c r="B256" s="709">
        <v>4814</v>
      </c>
      <c r="C256" s="710" t="s">
        <v>8677</v>
      </c>
      <c r="D256" s="709" t="s">
        <v>136</v>
      </c>
      <c r="E256" s="709" t="s">
        <v>8432</v>
      </c>
      <c r="F256" s="716">
        <v>47.42</v>
      </c>
      <c r="G256" s="716">
        <v>44.11</v>
      </c>
      <c r="H256" s="225">
        <f t="shared" si="3"/>
        <v>47.42</v>
      </c>
    </row>
    <row r="257" spans="1:8" x14ac:dyDescent="0.3">
      <c r="A257" s="401"/>
      <c r="B257" s="709">
        <v>44473</v>
      </c>
      <c r="C257" s="710" t="s">
        <v>8678</v>
      </c>
      <c r="D257" s="709" t="s">
        <v>136</v>
      </c>
      <c r="E257" s="709" t="s">
        <v>8432</v>
      </c>
      <c r="F257" s="716"/>
      <c r="G257" s="716">
        <v>2492.12</v>
      </c>
      <c r="H257" s="225">
        <f t="shared" si="3"/>
        <v>2492.12</v>
      </c>
    </row>
    <row r="258" spans="1:8" x14ac:dyDescent="0.3">
      <c r="A258" s="401"/>
      <c r="B258" s="709">
        <v>6122</v>
      </c>
      <c r="C258" s="710" t="s">
        <v>8679</v>
      </c>
      <c r="D258" s="709" t="s">
        <v>234</v>
      </c>
      <c r="E258" s="709" t="s">
        <v>8432</v>
      </c>
      <c r="F258" s="716">
        <v>25.9</v>
      </c>
      <c r="G258" s="716">
        <v>39.97</v>
      </c>
      <c r="H258" s="225">
        <f t="shared" si="3"/>
        <v>25.9</v>
      </c>
    </row>
    <row r="259" spans="1:8" x14ac:dyDescent="0.3">
      <c r="A259" s="401"/>
      <c r="B259" s="709">
        <v>40810</v>
      </c>
      <c r="C259" s="710" t="s">
        <v>8680</v>
      </c>
      <c r="D259" s="709" t="s">
        <v>208</v>
      </c>
      <c r="E259" s="709" t="s">
        <v>8432</v>
      </c>
      <c r="F259" s="716">
        <v>4554.22</v>
      </c>
      <c r="G259" s="716">
        <v>7004.01</v>
      </c>
      <c r="H259" s="225">
        <f t="shared" si="3"/>
        <v>4554.22</v>
      </c>
    </row>
    <row r="260" spans="1:8" x14ac:dyDescent="0.3">
      <c r="A260" s="401"/>
      <c r="B260" s="709">
        <v>34469</v>
      </c>
      <c r="C260" s="710" t="s">
        <v>8681</v>
      </c>
      <c r="D260" s="709" t="s">
        <v>136</v>
      </c>
      <c r="E260" s="709" t="s">
        <v>8432</v>
      </c>
      <c r="F260" s="716">
        <v>17070.310000000001</v>
      </c>
      <c r="G260" s="716">
        <v>10530.81</v>
      </c>
      <c r="H260" s="225">
        <f t="shared" si="3"/>
        <v>17070.310000000001</v>
      </c>
    </row>
    <row r="261" spans="1:8" x14ac:dyDescent="0.3">
      <c r="A261" s="401"/>
      <c r="B261" s="709">
        <v>34476</v>
      </c>
      <c r="C261" s="710" t="s">
        <v>8682</v>
      </c>
      <c r="D261" s="709" t="s">
        <v>136</v>
      </c>
      <c r="E261" s="709" t="s">
        <v>8432</v>
      </c>
      <c r="F261" s="716">
        <v>8902.8799999999992</v>
      </c>
      <c r="G261" s="716">
        <v>5492.26</v>
      </c>
      <c r="H261" s="225">
        <f t="shared" si="3"/>
        <v>8902.8799999999992</v>
      </c>
    </row>
    <row r="262" spans="1:8" x14ac:dyDescent="0.3">
      <c r="A262" s="401"/>
      <c r="B262" s="709">
        <v>34477</v>
      </c>
      <c r="C262" s="710" t="s">
        <v>8683</v>
      </c>
      <c r="D262" s="709" t="s">
        <v>136</v>
      </c>
      <c r="E262" s="709" t="s">
        <v>8432</v>
      </c>
      <c r="F262" s="716">
        <v>11815.85</v>
      </c>
      <c r="G262" s="716">
        <v>7289.29</v>
      </c>
      <c r="H262" s="225">
        <f t="shared" si="3"/>
        <v>11815.85</v>
      </c>
    </row>
    <row r="263" spans="1:8" x14ac:dyDescent="0.3">
      <c r="A263" s="401"/>
      <c r="B263" s="709">
        <v>34482</v>
      </c>
      <c r="C263" s="710" t="s">
        <v>8684</v>
      </c>
      <c r="D263" s="709" t="s">
        <v>136</v>
      </c>
      <c r="E263" s="709" t="s">
        <v>8432</v>
      </c>
      <c r="F263" s="716">
        <v>11035.35</v>
      </c>
      <c r="G263" s="716">
        <v>6807.79</v>
      </c>
      <c r="H263" s="225">
        <f t="shared" si="3"/>
        <v>11035.35</v>
      </c>
    </row>
    <row r="264" spans="1:8" x14ac:dyDescent="0.3">
      <c r="A264" s="401"/>
      <c r="B264" s="709">
        <v>34472</v>
      </c>
      <c r="C264" s="710" t="s">
        <v>8685</v>
      </c>
      <c r="D264" s="709" t="s">
        <v>136</v>
      </c>
      <c r="E264" s="709" t="s">
        <v>8438</v>
      </c>
      <c r="F264" s="716">
        <v>5252</v>
      </c>
      <c r="G264" s="716">
        <v>3240</v>
      </c>
      <c r="H264" s="225">
        <f t="shared" si="3"/>
        <v>5252</v>
      </c>
    </row>
    <row r="265" spans="1:8" x14ac:dyDescent="0.3">
      <c r="A265" s="401"/>
      <c r="B265" s="709">
        <v>39577</v>
      </c>
      <c r="C265" s="710" t="s">
        <v>8686</v>
      </c>
      <c r="D265" s="709" t="s">
        <v>136</v>
      </c>
      <c r="E265" s="709" t="s">
        <v>8432</v>
      </c>
      <c r="F265" s="716">
        <v>26093.74</v>
      </c>
      <c r="G265" s="716">
        <v>22905.16</v>
      </c>
      <c r="H265" s="225">
        <f t="shared" si="3"/>
        <v>26093.74</v>
      </c>
    </row>
    <row r="266" spans="1:8" x14ac:dyDescent="0.3">
      <c r="A266" s="401"/>
      <c r="B266" s="709">
        <v>39578</v>
      </c>
      <c r="C266" s="710" t="s">
        <v>8687</v>
      </c>
      <c r="D266" s="709" t="s">
        <v>136</v>
      </c>
      <c r="E266" s="709" t="s">
        <v>8432</v>
      </c>
      <c r="F266" s="716">
        <v>33674.49</v>
      </c>
      <c r="G266" s="716">
        <v>29559.56</v>
      </c>
      <c r="H266" s="225">
        <f t="shared" si="3"/>
        <v>33674.49</v>
      </c>
    </row>
    <row r="267" spans="1:8" x14ac:dyDescent="0.3">
      <c r="A267" s="401"/>
      <c r="B267" s="709">
        <v>39579</v>
      </c>
      <c r="C267" s="710" t="s">
        <v>8688</v>
      </c>
      <c r="D267" s="709" t="s">
        <v>136</v>
      </c>
      <c r="E267" s="709" t="s">
        <v>8432</v>
      </c>
      <c r="F267" s="716">
        <v>48993.74</v>
      </c>
      <c r="G267" s="716">
        <v>43006.84</v>
      </c>
      <c r="H267" s="225">
        <f t="shared" ref="H267:H330" si="4">IF(F267&gt;0,F267,G267)</f>
        <v>48993.74</v>
      </c>
    </row>
    <row r="268" spans="1:8" x14ac:dyDescent="0.3">
      <c r="A268" s="401"/>
      <c r="B268" s="709">
        <v>42425</v>
      </c>
      <c r="C268" s="710" t="s">
        <v>14766</v>
      </c>
      <c r="D268" s="709" t="s">
        <v>136</v>
      </c>
      <c r="E268" s="709" t="s">
        <v>8432</v>
      </c>
      <c r="F268" s="716">
        <v>2577.64</v>
      </c>
      <c r="G268" s="716">
        <v>2262.66</v>
      </c>
      <c r="H268" s="225">
        <f t="shared" si="4"/>
        <v>2577.64</v>
      </c>
    </row>
    <row r="269" spans="1:8" x14ac:dyDescent="0.3">
      <c r="A269" s="401"/>
      <c r="B269" s="709">
        <v>42422</v>
      </c>
      <c r="C269" s="710" t="s">
        <v>14767</v>
      </c>
      <c r="D269" s="709" t="s">
        <v>136</v>
      </c>
      <c r="E269" s="709" t="s">
        <v>8438</v>
      </c>
      <c r="F269" s="716">
        <v>3826.6</v>
      </c>
      <c r="G269" s="716">
        <v>3359</v>
      </c>
      <c r="H269" s="225">
        <f t="shared" si="4"/>
        <v>3826.6</v>
      </c>
    </row>
    <row r="270" spans="1:8" x14ac:dyDescent="0.3">
      <c r="A270" s="401"/>
      <c r="B270" s="709">
        <v>43184</v>
      </c>
      <c r="C270" s="710" t="s">
        <v>14768</v>
      </c>
      <c r="D270" s="709" t="s">
        <v>136</v>
      </c>
      <c r="E270" s="709" t="s">
        <v>8432</v>
      </c>
      <c r="F270" s="716">
        <v>5288.73</v>
      </c>
      <c r="G270" s="716">
        <v>4642.46</v>
      </c>
      <c r="H270" s="225">
        <f t="shared" si="4"/>
        <v>5288.73</v>
      </c>
    </row>
    <row r="271" spans="1:8" x14ac:dyDescent="0.3">
      <c r="A271" s="401"/>
      <c r="B271" s="709">
        <v>42424</v>
      </c>
      <c r="C271" s="710" t="s">
        <v>14769</v>
      </c>
      <c r="D271" s="709" t="s">
        <v>136</v>
      </c>
      <c r="E271" s="709" t="s">
        <v>8432</v>
      </c>
      <c r="F271" s="716">
        <v>2302.06</v>
      </c>
      <c r="G271" s="716">
        <v>2020.75</v>
      </c>
      <c r="H271" s="225">
        <f t="shared" si="4"/>
        <v>2302.06</v>
      </c>
    </row>
    <row r="272" spans="1:8" x14ac:dyDescent="0.3">
      <c r="A272" s="401"/>
      <c r="B272" s="709">
        <v>42416</v>
      </c>
      <c r="C272" s="710" t="s">
        <v>14770</v>
      </c>
      <c r="D272" s="709" t="s">
        <v>136</v>
      </c>
      <c r="E272" s="709" t="s">
        <v>8432</v>
      </c>
      <c r="F272" s="716">
        <v>9923.92</v>
      </c>
      <c r="G272" s="716">
        <v>8711.24</v>
      </c>
      <c r="H272" s="225">
        <f t="shared" si="4"/>
        <v>9923.92</v>
      </c>
    </row>
    <row r="273" spans="1:8" x14ac:dyDescent="0.3">
      <c r="A273" s="401"/>
      <c r="B273" s="709">
        <v>42417</v>
      </c>
      <c r="C273" s="710" t="s">
        <v>14771</v>
      </c>
      <c r="D273" s="709" t="s">
        <v>136</v>
      </c>
      <c r="E273" s="709" t="s">
        <v>8432</v>
      </c>
      <c r="F273" s="716">
        <v>11125.53</v>
      </c>
      <c r="G273" s="716">
        <v>9766.02</v>
      </c>
      <c r="H273" s="225">
        <f t="shared" si="4"/>
        <v>11125.53</v>
      </c>
    </row>
    <row r="274" spans="1:8" x14ac:dyDescent="0.3">
      <c r="A274" s="401"/>
      <c r="B274" s="709">
        <v>39826</v>
      </c>
      <c r="C274" s="710" t="s">
        <v>8689</v>
      </c>
      <c r="D274" s="709" t="s">
        <v>136</v>
      </c>
      <c r="E274" s="709" t="s">
        <v>8432</v>
      </c>
      <c r="F274" s="716">
        <v>6017.32</v>
      </c>
      <c r="G274" s="716">
        <v>5282.02</v>
      </c>
      <c r="H274" s="225">
        <f t="shared" si="4"/>
        <v>6017.32</v>
      </c>
    </row>
    <row r="275" spans="1:8" x14ac:dyDescent="0.3">
      <c r="A275" s="401"/>
      <c r="B275" s="709">
        <v>42419</v>
      </c>
      <c r="C275" s="710" t="s">
        <v>14772</v>
      </c>
      <c r="D275" s="709" t="s">
        <v>136</v>
      </c>
      <c r="E275" s="709" t="s">
        <v>8432</v>
      </c>
      <c r="F275" s="716">
        <v>12569.48</v>
      </c>
      <c r="G275" s="716">
        <v>11033.53</v>
      </c>
      <c r="H275" s="225">
        <f t="shared" si="4"/>
        <v>12569.48</v>
      </c>
    </row>
    <row r="276" spans="1:8" x14ac:dyDescent="0.3">
      <c r="A276" s="401"/>
      <c r="B276" s="709">
        <v>42420</v>
      </c>
      <c r="C276" s="710" t="s">
        <v>14773</v>
      </c>
      <c r="D276" s="709" t="s">
        <v>136</v>
      </c>
      <c r="E276" s="709" t="s">
        <v>8432</v>
      </c>
      <c r="F276" s="716">
        <v>17275.830000000002</v>
      </c>
      <c r="G276" s="716">
        <v>15164.77</v>
      </c>
      <c r="H276" s="225">
        <f t="shared" si="4"/>
        <v>17275.830000000002</v>
      </c>
    </row>
    <row r="277" spans="1:8" x14ac:dyDescent="0.3">
      <c r="A277" s="401"/>
      <c r="B277" s="709">
        <v>42421</v>
      </c>
      <c r="C277" s="710" t="s">
        <v>14774</v>
      </c>
      <c r="D277" s="709" t="s">
        <v>136</v>
      </c>
      <c r="E277" s="709" t="s">
        <v>8432</v>
      </c>
      <c r="F277" s="716">
        <v>20960.009999999998</v>
      </c>
      <c r="G277" s="716">
        <v>18398.759999999998</v>
      </c>
      <c r="H277" s="225">
        <f t="shared" si="4"/>
        <v>20960.009999999998</v>
      </c>
    </row>
    <row r="278" spans="1:8" x14ac:dyDescent="0.3">
      <c r="A278" s="401"/>
      <c r="B278" s="709">
        <v>39556</v>
      </c>
      <c r="C278" s="710" t="s">
        <v>14775</v>
      </c>
      <c r="D278" s="709" t="s">
        <v>136</v>
      </c>
      <c r="E278" s="709" t="s">
        <v>8432</v>
      </c>
      <c r="F278" s="716">
        <v>7278.94</v>
      </c>
      <c r="G278" s="716">
        <v>6389.48</v>
      </c>
      <c r="H278" s="225">
        <f t="shared" si="4"/>
        <v>7278.94</v>
      </c>
    </row>
    <row r="279" spans="1:8" x14ac:dyDescent="0.3">
      <c r="A279" s="401"/>
      <c r="B279" s="709">
        <v>39557</v>
      </c>
      <c r="C279" s="710" t="s">
        <v>14776</v>
      </c>
      <c r="D279" s="709" t="s">
        <v>136</v>
      </c>
      <c r="E279" s="709" t="s">
        <v>8432</v>
      </c>
      <c r="F279" s="716">
        <v>7837.83</v>
      </c>
      <c r="G279" s="716">
        <v>6880.07</v>
      </c>
      <c r="H279" s="225">
        <f t="shared" si="4"/>
        <v>7837.83</v>
      </c>
    </row>
    <row r="280" spans="1:8" x14ac:dyDescent="0.3">
      <c r="A280" s="401"/>
      <c r="B280" s="709">
        <v>39559</v>
      </c>
      <c r="C280" s="710" t="s">
        <v>14777</v>
      </c>
      <c r="D280" s="709" t="s">
        <v>136</v>
      </c>
      <c r="E280" s="709" t="s">
        <v>8432</v>
      </c>
      <c r="F280" s="716">
        <v>11582.81</v>
      </c>
      <c r="G280" s="716">
        <v>10167.42</v>
      </c>
      <c r="H280" s="225">
        <f t="shared" si="4"/>
        <v>11582.81</v>
      </c>
    </row>
    <row r="281" spans="1:8" x14ac:dyDescent="0.3">
      <c r="A281" s="401"/>
      <c r="B281" s="709">
        <v>39560</v>
      </c>
      <c r="C281" s="710" t="s">
        <v>14778</v>
      </c>
      <c r="D281" s="709" t="s">
        <v>136</v>
      </c>
      <c r="E281" s="709" t="s">
        <v>8432</v>
      </c>
      <c r="F281" s="716">
        <v>13400.18</v>
      </c>
      <c r="G281" s="716">
        <v>11762.71</v>
      </c>
      <c r="H281" s="225">
        <f t="shared" si="4"/>
        <v>13400.18</v>
      </c>
    </row>
    <row r="282" spans="1:8" x14ac:dyDescent="0.3">
      <c r="A282" s="401"/>
      <c r="B282" s="709">
        <v>39561</v>
      </c>
      <c r="C282" s="710" t="s">
        <v>14779</v>
      </c>
      <c r="D282" s="709" t="s">
        <v>136</v>
      </c>
      <c r="E282" s="709" t="s">
        <v>8432</v>
      </c>
      <c r="F282" s="716">
        <v>14018.3</v>
      </c>
      <c r="G282" s="716">
        <v>12305.3</v>
      </c>
      <c r="H282" s="225">
        <f t="shared" si="4"/>
        <v>14018.3</v>
      </c>
    </row>
    <row r="283" spans="1:8" x14ac:dyDescent="0.3">
      <c r="A283" s="401"/>
      <c r="B283" s="709">
        <v>43195</v>
      </c>
      <c r="C283" s="710" t="s">
        <v>14780</v>
      </c>
      <c r="D283" s="709" t="s">
        <v>136</v>
      </c>
      <c r="E283" s="709" t="s">
        <v>8432</v>
      </c>
      <c r="F283" s="716">
        <v>6083.06</v>
      </c>
      <c r="G283" s="716">
        <v>5339.73</v>
      </c>
      <c r="H283" s="225">
        <f t="shared" si="4"/>
        <v>6083.06</v>
      </c>
    </row>
    <row r="284" spans="1:8" x14ac:dyDescent="0.3">
      <c r="A284" s="401"/>
      <c r="B284" s="709">
        <v>43196</v>
      </c>
      <c r="C284" s="710" t="s">
        <v>14781</v>
      </c>
      <c r="D284" s="709" t="s">
        <v>136</v>
      </c>
      <c r="E284" s="709" t="s">
        <v>8432</v>
      </c>
      <c r="F284" s="716">
        <v>7539.08</v>
      </c>
      <c r="G284" s="716">
        <v>6617.83</v>
      </c>
      <c r="H284" s="225">
        <f t="shared" si="4"/>
        <v>7539.08</v>
      </c>
    </row>
    <row r="285" spans="1:8" x14ac:dyDescent="0.3">
      <c r="A285" s="401"/>
      <c r="B285" s="709">
        <v>43198</v>
      </c>
      <c r="C285" s="710" t="s">
        <v>14782</v>
      </c>
      <c r="D285" s="709" t="s">
        <v>136</v>
      </c>
      <c r="E285" s="709" t="s">
        <v>8432</v>
      </c>
      <c r="F285" s="716">
        <v>11202.9</v>
      </c>
      <c r="G285" s="716">
        <v>9833.93</v>
      </c>
      <c r="H285" s="225">
        <f t="shared" si="4"/>
        <v>11202.9</v>
      </c>
    </row>
    <row r="286" spans="1:8" x14ac:dyDescent="0.3">
      <c r="A286" s="401"/>
      <c r="B286" s="709">
        <v>43199</v>
      </c>
      <c r="C286" s="710" t="s">
        <v>14783</v>
      </c>
      <c r="D286" s="709" t="s">
        <v>136</v>
      </c>
      <c r="E286" s="709" t="s">
        <v>8432</v>
      </c>
      <c r="F286" s="716">
        <v>11613.41</v>
      </c>
      <c r="G286" s="716">
        <v>10194.280000000001</v>
      </c>
      <c r="H286" s="225">
        <f t="shared" si="4"/>
        <v>11613.41</v>
      </c>
    </row>
    <row r="287" spans="1:8" x14ac:dyDescent="0.3">
      <c r="A287" s="401"/>
      <c r="B287" s="709">
        <v>43200</v>
      </c>
      <c r="C287" s="710" t="s">
        <v>14784</v>
      </c>
      <c r="D287" s="709" t="s">
        <v>136</v>
      </c>
      <c r="E287" s="709" t="s">
        <v>8432</v>
      </c>
      <c r="F287" s="716">
        <v>13327.23</v>
      </c>
      <c r="G287" s="716">
        <v>11698.68</v>
      </c>
      <c r="H287" s="225">
        <f t="shared" si="4"/>
        <v>13327.23</v>
      </c>
    </row>
    <row r="288" spans="1:8" x14ac:dyDescent="0.3">
      <c r="A288" s="401"/>
      <c r="B288" s="709">
        <v>43190</v>
      </c>
      <c r="C288" s="710" t="s">
        <v>14785</v>
      </c>
      <c r="D288" s="709" t="s">
        <v>136</v>
      </c>
      <c r="E288" s="709" t="s">
        <v>8432</v>
      </c>
      <c r="F288" s="716">
        <v>2068.73</v>
      </c>
      <c r="G288" s="716">
        <v>1815.93</v>
      </c>
      <c r="H288" s="225">
        <f t="shared" si="4"/>
        <v>2068.73</v>
      </c>
    </row>
    <row r="289" spans="1:8" x14ac:dyDescent="0.3">
      <c r="A289" s="401"/>
      <c r="B289" s="709">
        <v>39555</v>
      </c>
      <c r="C289" s="710" t="s">
        <v>14786</v>
      </c>
      <c r="D289" s="709" t="s">
        <v>136</v>
      </c>
      <c r="E289" s="709" t="s">
        <v>8432</v>
      </c>
      <c r="F289" s="716">
        <v>2237.83</v>
      </c>
      <c r="G289" s="716">
        <v>1964.37</v>
      </c>
      <c r="H289" s="225">
        <f t="shared" si="4"/>
        <v>2237.83</v>
      </c>
    </row>
    <row r="290" spans="1:8" x14ac:dyDescent="0.3">
      <c r="A290" s="401"/>
      <c r="B290" s="709">
        <v>43191</v>
      </c>
      <c r="C290" s="710" t="s">
        <v>14787</v>
      </c>
      <c r="D290" s="709" t="s">
        <v>136</v>
      </c>
      <c r="E290" s="709" t="s">
        <v>8432</v>
      </c>
      <c r="F290" s="716">
        <v>2976.62</v>
      </c>
      <c r="G290" s="716">
        <v>2612.89</v>
      </c>
      <c r="H290" s="225">
        <f t="shared" si="4"/>
        <v>2976.62</v>
      </c>
    </row>
    <row r="291" spans="1:8" x14ac:dyDescent="0.3">
      <c r="A291" s="401"/>
      <c r="B291" s="709">
        <v>39548</v>
      </c>
      <c r="C291" s="710" t="s">
        <v>14788</v>
      </c>
      <c r="D291" s="709" t="s">
        <v>136</v>
      </c>
      <c r="E291" s="709" t="s">
        <v>8432</v>
      </c>
      <c r="F291" s="716">
        <v>3319.4</v>
      </c>
      <c r="G291" s="716">
        <v>2913.78</v>
      </c>
      <c r="H291" s="225">
        <f t="shared" si="4"/>
        <v>3319.4</v>
      </c>
    </row>
    <row r="292" spans="1:8" x14ac:dyDescent="0.3">
      <c r="A292" s="401"/>
      <c r="B292" s="709">
        <v>43192</v>
      </c>
      <c r="C292" s="710" t="s">
        <v>14789</v>
      </c>
      <c r="D292" s="709" t="s">
        <v>136</v>
      </c>
      <c r="E292" s="709" t="s">
        <v>8432</v>
      </c>
      <c r="F292" s="716">
        <v>3899.11</v>
      </c>
      <c r="G292" s="716">
        <v>3422.65</v>
      </c>
      <c r="H292" s="225">
        <f t="shared" si="4"/>
        <v>3899.11</v>
      </c>
    </row>
    <row r="293" spans="1:8" x14ac:dyDescent="0.3">
      <c r="A293" s="401"/>
      <c r="B293" s="709">
        <v>39554</v>
      </c>
      <c r="C293" s="710" t="s">
        <v>14790</v>
      </c>
      <c r="D293" s="709" t="s">
        <v>136</v>
      </c>
      <c r="E293" s="709" t="s">
        <v>8432</v>
      </c>
      <c r="F293" s="716">
        <v>4389.3999999999996</v>
      </c>
      <c r="G293" s="716">
        <v>3853.03</v>
      </c>
      <c r="H293" s="225">
        <f t="shared" si="4"/>
        <v>4389.3999999999996</v>
      </c>
    </row>
    <row r="294" spans="1:8" x14ac:dyDescent="0.3">
      <c r="A294" s="401"/>
      <c r="B294" s="709">
        <v>43194</v>
      </c>
      <c r="C294" s="710" t="s">
        <v>14791</v>
      </c>
      <c r="D294" s="709" t="s">
        <v>136</v>
      </c>
      <c r="E294" s="709" t="s">
        <v>8432</v>
      </c>
      <c r="F294" s="716">
        <v>1772.22</v>
      </c>
      <c r="G294" s="716">
        <v>1555.66</v>
      </c>
      <c r="H294" s="225">
        <f t="shared" si="4"/>
        <v>1772.22</v>
      </c>
    </row>
    <row r="295" spans="1:8" x14ac:dyDescent="0.3">
      <c r="A295" s="401"/>
      <c r="B295" s="709">
        <v>39551</v>
      </c>
      <c r="C295" s="710" t="s">
        <v>14792</v>
      </c>
      <c r="D295" s="709" t="s">
        <v>136</v>
      </c>
      <c r="E295" s="709" t="s">
        <v>8432</v>
      </c>
      <c r="F295" s="716">
        <v>1951.4</v>
      </c>
      <c r="G295" s="716">
        <v>1712.95</v>
      </c>
      <c r="H295" s="225">
        <f t="shared" si="4"/>
        <v>1951.4</v>
      </c>
    </row>
    <row r="296" spans="1:8" x14ac:dyDescent="0.3">
      <c r="A296" s="401"/>
      <c r="B296" s="709">
        <v>43185</v>
      </c>
      <c r="C296" s="710" t="s">
        <v>14793</v>
      </c>
      <c r="D296" s="709" t="s">
        <v>136</v>
      </c>
      <c r="E296" s="709" t="s">
        <v>8432</v>
      </c>
      <c r="F296" s="716">
        <v>5545.54</v>
      </c>
      <c r="G296" s="716">
        <v>4867.8900000000003</v>
      </c>
      <c r="H296" s="225">
        <f t="shared" si="4"/>
        <v>5545.54</v>
      </c>
    </row>
    <row r="297" spans="1:8" x14ac:dyDescent="0.3">
      <c r="A297" s="401"/>
      <c r="B297" s="709">
        <v>43186</v>
      </c>
      <c r="C297" s="710" t="s">
        <v>14794</v>
      </c>
      <c r="D297" s="709" t="s">
        <v>136</v>
      </c>
      <c r="E297" s="709" t="s">
        <v>8432</v>
      </c>
      <c r="F297" s="716">
        <v>5849.42</v>
      </c>
      <c r="G297" s="716">
        <v>5134.6400000000003</v>
      </c>
      <c r="H297" s="225">
        <f t="shared" si="4"/>
        <v>5849.42</v>
      </c>
    </row>
    <row r="298" spans="1:8" x14ac:dyDescent="0.3">
      <c r="A298" s="401"/>
      <c r="B298" s="709">
        <v>43187</v>
      </c>
      <c r="C298" s="710" t="s">
        <v>14795</v>
      </c>
      <c r="D298" s="709" t="s">
        <v>136</v>
      </c>
      <c r="E298" s="709" t="s">
        <v>8432</v>
      </c>
      <c r="F298" s="716">
        <v>7762.24</v>
      </c>
      <c r="G298" s="716">
        <v>6813.71</v>
      </c>
      <c r="H298" s="225">
        <f t="shared" si="4"/>
        <v>7762.24</v>
      </c>
    </row>
    <row r="299" spans="1:8" x14ac:dyDescent="0.3">
      <c r="A299" s="401"/>
      <c r="B299" s="709">
        <v>43188</v>
      </c>
      <c r="C299" s="710" t="s">
        <v>14796</v>
      </c>
      <c r="D299" s="709" t="s">
        <v>136</v>
      </c>
      <c r="E299" s="709" t="s">
        <v>8432</v>
      </c>
      <c r="F299" s="716">
        <v>9404.98</v>
      </c>
      <c r="G299" s="716">
        <v>8255.7199999999993</v>
      </c>
      <c r="H299" s="225">
        <f t="shared" si="4"/>
        <v>9404.98</v>
      </c>
    </row>
    <row r="300" spans="1:8" x14ac:dyDescent="0.3">
      <c r="A300" s="401"/>
      <c r="B300" s="709">
        <v>43189</v>
      </c>
      <c r="C300" s="710" t="s">
        <v>14797</v>
      </c>
      <c r="D300" s="709" t="s">
        <v>136</v>
      </c>
      <c r="E300" s="709" t="s">
        <v>8432</v>
      </c>
      <c r="F300" s="716">
        <v>10579.04</v>
      </c>
      <c r="G300" s="716">
        <v>9286.31</v>
      </c>
      <c r="H300" s="225">
        <f t="shared" si="4"/>
        <v>10579.04</v>
      </c>
    </row>
    <row r="301" spans="1:8" x14ac:dyDescent="0.3">
      <c r="A301" s="401"/>
      <c r="B301" s="709">
        <v>346</v>
      </c>
      <c r="C301" s="710" t="s">
        <v>8690</v>
      </c>
      <c r="D301" s="709" t="s">
        <v>175</v>
      </c>
      <c r="E301" s="709" t="s">
        <v>8432</v>
      </c>
      <c r="F301" s="716">
        <v>24.86</v>
      </c>
      <c r="G301" s="716">
        <v>25.66</v>
      </c>
      <c r="H301" s="225">
        <f t="shared" si="4"/>
        <v>24.86</v>
      </c>
    </row>
    <row r="302" spans="1:8" x14ac:dyDescent="0.3">
      <c r="A302" s="401"/>
      <c r="B302" s="709">
        <v>3312</v>
      </c>
      <c r="C302" s="710" t="s">
        <v>8691</v>
      </c>
      <c r="D302" s="709" t="s">
        <v>175</v>
      </c>
      <c r="E302" s="709" t="s">
        <v>8432</v>
      </c>
      <c r="F302" s="716">
        <v>22.02</v>
      </c>
      <c r="G302" s="716">
        <v>22.72</v>
      </c>
      <c r="H302" s="225">
        <f t="shared" si="4"/>
        <v>22.02</v>
      </c>
    </row>
    <row r="303" spans="1:8" x14ac:dyDescent="0.3">
      <c r="A303" s="401"/>
      <c r="B303" s="709">
        <v>339</v>
      </c>
      <c r="C303" s="710" t="s">
        <v>8692</v>
      </c>
      <c r="D303" s="709" t="s">
        <v>159</v>
      </c>
      <c r="E303" s="709" t="s">
        <v>8432</v>
      </c>
      <c r="F303" s="716">
        <v>1.28</v>
      </c>
      <c r="G303" s="716">
        <v>1.32</v>
      </c>
      <c r="H303" s="225">
        <f t="shared" si="4"/>
        <v>1.28</v>
      </c>
    </row>
    <row r="304" spans="1:8" x14ac:dyDescent="0.3">
      <c r="A304" s="401"/>
      <c r="B304" s="709">
        <v>340</v>
      </c>
      <c r="C304" s="710" t="s">
        <v>8693</v>
      </c>
      <c r="D304" s="709" t="s">
        <v>159</v>
      </c>
      <c r="E304" s="709" t="s">
        <v>8432</v>
      </c>
      <c r="F304" s="716">
        <v>1.1499999999999999</v>
      </c>
      <c r="G304" s="716">
        <v>1.19</v>
      </c>
      <c r="H304" s="225">
        <f t="shared" si="4"/>
        <v>1.1499999999999999</v>
      </c>
    </row>
    <row r="305" spans="1:8" x14ac:dyDescent="0.3">
      <c r="A305" s="401"/>
      <c r="B305" s="709">
        <v>43130</v>
      </c>
      <c r="C305" s="710" t="s">
        <v>8694</v>
      </c>
      <c r="D305" s="709" t="s">
        <v>175</v>
      </c>
      <c r="E305" s="709" t="s">
        <v>8438</v>
      </c>
      <c r="F305" s="716">
        <v>20.99</v>
      </c>
      <c r="G305" s="716">
        <v>21.66</v>
      </c>
      <c r="H305" s="225">
        <f t="shared" si="4"/>
        <v>20.99</v>
      </c>
    </row>
    <row r="306" spans="1:8" x14ac:dyDescent="0.3">
      <c r="A306" s="401"/>
      <c r="B306" s="709">
        <v>344</v>
      </c>
      <c r="C306" s="710" t="s">
        <v>8695</v>
      </c>
      <c r="D306" s="709" t="s">
        <v>175</v>
      </c>
      <c r="E306" s="709" t="s">
        <v>8432</v>
      </c>
      <c r="F306" s="716">
        <v>27.59</v>
      </c>
      <c r="G306" s="716">
        <v>28.47</v>
      </c>
      <c r="H306" s="225">
        <f t="shared" si="4"/>
        <v>27.59</v>
      </c>
    </row>
    <row r="307" spans="1:8" x14ac:dyDescent="0.3">
      <c r="A307" s="401"/>
      <c r="B307" s="709">
        <v>345</v>
      </c>
      <c r="C307" s="710" t="s">
        <v>8696</v>
      </c>
      <c r="D307" s="709" t="s">
        <v>175</v>
      </c>
      <c r="E307" s="709" t="s">
        <v>8432</v>
      </c>
      <c r="F307" s="716">
        <v>29.94</v>
      </c>
      <c r="G307" s="716">
        <v>30.89</v>
      </c>
      <c r="H307" s="225">
        <f t="shared" si="4"/>
        <v>29.94</v>
      </c>
    </row>
    <row r="308" spans="1:8" x14ac:dyDescent="0.3">
      <c r="A308" s="401"/>
      <c r="B308" s="709">
        <v>43131</v>
      </c>
      <c r="C308" s="710" t="s">
        <v>8697</v>
      </c>
      <c r="D308" s="709" t="s">
        <v>175</v>
      </c>
      <c r="E308" s="709" t="s">
        <v>8432</v>
      </c>
      <c r="F308" s="716">
        <v>24.38</v>
      </c>
      <c r="G308" s="716">
        <v>25.16</v>
      </c>
      <c r="H308" s="225">
        <f t="shared" si="4"/>
        <v>24.38</v>
      </c>
    </row>
    <row r="309" spans="1:8" x14ac:dyDescent="0.3">
      <c r="A309" s="401"/>
      <c r="B309" s="709">
        <v>3313</v>
      </c>
      <c r="C309" s="710" t="s">
        <v>8698</v>
      </c>
      <c r="D309" s="709" t="s">
        <v>175</v>
      </c>
      <c r="E309" s="709" t="s">
        <v>8432</v>
      </c>
      <c r="F309" s="716">
        <v>28.34</v>
      </c>
      <c r="G309" s="716">
        <v>29.24</v>
      </c>
      <c r="H309" s="225">
        <f t="shared" si="4"/>
        <v>28.34</v>
      </c>
    </row>
    <row r="310" spans="1:8" x14ac:dyDescent="0.3">
      <c r="A310" s="401"/>
      <c r="B310" s="709">
        <v>43132</v>
      </c>
      <c r="C310" s="710" t="s">
        <v>8699</v>
      </c>
      <c r="D310" s="709" t="s">
        <v>175</v>
      </c>
      <c r="E310" s="709" t="s">
        <v>8432</v>
      </c>
      <c r="F310" s="716">
        <v>20.99</v>
      </c>
      <c r="G310" s="716">
        <v>21.66</v>
      </c>
      <c r="H310" s="225">
        <f t="shared" si="4"/>
        <v>20.99</v>
      </c>
    </row>
    <row r="311" spans="1:8" x14ac:dyDescent="0.3">
      <c r="A311" s="401"/>
      <c r="B311" s="709">
        <v>45245</v>
      </c>
      <c r="C311" s="710" t="s">
        <v>8700</v>
      </c>
      <c r="D311" s="709" t="s">
        <v>136</v>
      </c>
      <c r="E311" s="709" t="s">
        <v>8432</v>
      </c>
      <c r="F311" s="716">
        <v>41.28</v>
      </c>
      <c r="G311" s="716">
        <v>40.6</v>
      </c>
      <c r="H311" s="225">
        <f t="shared" si="4"/>
        <v>41.28</v>
      </c>
    </row>
    <row r="312" spans="1:8" x14ac:dyDescent="0.3">
      <c r="A312" s="401"/>
      <c r="B312" s="709">
        <v>366</v>
      </c>
      <c r="C312" s="710" t="s">
        <v>8701</v>
      </c>
      <c r="D312" s="709" t="s">
        <v>170</v>
      </c>
      <c r="E312" s="709" t="s">
        <v>8438</v>
      </c>
      <c r="F312" s="716">
        <v>100</v>
      </c>
      <c r="G312" s="716">
        <v>92</v>
      </c>
      <c r="H312" s="225">
        <f t="shared" si="4"/>
        <v>100</v>
      </c>
    </row>
    <row r="313" spans="1:8" x14ac:dyDescent="0.3">
      <c r="A313" s="401"/>
      <c r="B313" s="709">
        <v>367</v>
      </c>
      <c r="C313" s="710" t="s">
        <v>8702</v>
      </c>
      <c r="D313" s="709" t="s">
        <v>170</v>
      </c>
      <c r="E313" s="709" t="s">
        <v>8432</v>
      </c>
      <c r="F313" s="716">
        <v>101.3</v>
      </c>
      <c r="G313" s="716">
        <v>93.2</v>
      </c>
      <c r="H313" s="225">
        <f t="shared" si="4"/>
        <v>101.3</v>
      </c>
    </row>
    <row r="314" spans="1:8" x14ac:dyDescent="0.3">
      <c r="A314" s="401"/>
      <c r="B314" s="709">
        <v>370</v>
      </c>
      <c r="C314" s="710" t="s">
        <v>8703</v>
      </c>
      <c r="D314" s="709" t="s">
        <v>170</v>
      </c>
      <c r="E314" s="709" t="s">
        <v>8432</v>
      </c>
      <c r="F314" s="716">
        <v>100</v>
      </c>
      <c r="G314" s="716">
        <v>92</v>
      </c>
      <c r="H314" s="225">
        <f t="shared" si="4"/>
        <v>100</v>
      </c>
    </row>
    <row r="315" spans="1:8" x14ac:dyDescent="0.3">
      <c r="A315" s="401"/>
      <c r="B315" s="709">
        <v>368</v>
      </c>
      <c r="C315" s="710" t="s">
        <v>8704</v>
      </c>
      <c r="D315" s="709" t="s">
        <v>170</v>
      </c>
      <c r="E315" s="709" t="s">
        <v>8432</v>
      </c>
      <c r="F315" s="716">
        <v>50</v>
      </c>
      <c r="G315" s="716">
        <v>46</v>
      </c>
      <c r="H315" s="225">
        <f t="shared" si="4"/>
        <v>50</v>
      </c>
    </row>
    <row r="316" spans="1:8" x14ac:dyDescent="0.3">
      <c r="A316" s="401"/>
      <c r="B316" s="709">
        <v>11075</v>
      </c>
      <c r="C316" s="710" t="s">
        <v>8705</v>
      </c>
      <c r="D316" s="709" t="s">
        <v>170</v>
      </c>
      <c r="E316" s="709" t="s">
        <v>8432</v>
      </c>
      <c r="F316" s="716">
        <v>1147.69</v>
      </c>
      <c r="G316" s="716">
        <v>1055.8699999999999</v>
      </c>
      <c r="H316" s="225">
        <f t="shared" si="4"/>
        <v>1147.69</v>
      </c>
    </row>
    <row r="317" spans="1:8" x14ac:dyDescent="0.3">
      <c r="A317" s="401"/>
      <c r="B317" s="709">
        <v>1381</v>
      </c>
      <c r="C317" s="710" t="s">
        <v>8706</v>
      </c>
      <c r="D317" s="709" t="s">
        <v>175</v>
      </c>
      <c r="E317" s="709" t="s">
        <v>8438</v>
      </c>
      <c r="F317" s="716">
        <v>0.8</v>
      </c>
      <c r="G317" s="716">
        <v>0.72</v>
      </c>
      <c r="H317" s="225">
        <f t="shared" si="4"/>
        <v>0.8</v>
      </c>
    </row>
    <row r="318" spans="1:8" x14ac:dyDescent="0.3">
      <c r="A318" s="401"/>
      <c r="B318" s="709">
        <v>34353</v>
      </c>
      <c r="C318" s="710" t="s">
        <v>8707</v>
      </c>
      <c r="D318" s="709" t="s">
        <v>175</v>
      </c>
      <c r="E318" s="709" t="s">
        <v>8432</v>
      </c>
      <c r="F318" s="716">
        <v>1.49</v>
      </c>
      <c r="G318" s="716">
        <v>1.34</v>
      </c>
      <c r="H318" s="225">
        <f t="shared" si="4"/>
        <v>1.49</v>
      </c>
    </row>
    <row r="319" spans="1:8" x14ac:dyDescent="0.3">
      <c r="A319" s="401"/>
      <c r="B319" s="709">
        <v>37595</v>
      </c>
      <c r="C319" s="710" t="s">
        <v>8708</v>
      </c>
      <c r="D319" s="709" t="s">
        <v>175</v>
      </c>
      <c r="E319" s="709" t="s">
        <v>8432</v>
      </c>
      <c r="F319" s="716">
        <v>2.46</v>
      </c>
      <c r="G319" s="716">
        <v>2.21</v>
      </c>
      <c r="H319" s="225">
        <f t="shared" si="4"/>
        <v>2.46</v>
      </c>
    </row>
    <row r="320" spans="1:8" x14ac:dyDescent="0.3">
      <c r="A320" s="401"/>
      <c r="B320" s="709">
        <v>37596</v>
      </c>
      <c r="C320" s="710" t="s">
        <v>8709</v>
      </c>
      <c r="D320" s="709" t="s">
        <v>175</v>
      </c>
      <c r="E320" s="709" t="s">
        <v>8432</v>
      </c>
      <c r="F320" s="716">
        <v>2.82</v>
      </c>
      <c r="G320" s="716">
        <v>2.54</v>
      </c>
      <c r="H320" s="225">
        <f t="shared" si="4"/>
        <v>2.82</v>
      </c>
    </row>
    <row r="321" spans="1:8" x14ac:dyDescent="0.3">
      <c r="A321" s="401"/>
      <c r="B321" s="709">
        <v>371</v>
      </c>
      <c r="C321" s="710" t="s">
        <v>8710</v>
      </c>
      <c r="D321" s="709" t="s">
        <v>175</v>
      </c>
      <c r="E321" s="709" t="s">
        <v>8432</v>
      </c>
      <c r="F321" s="716">
        <v>0.87</v>
      </c>
      <c r="G321" s="716">
        <v>0.78</v>
      </c>
      <c r="H321" s="225">
        <f t="shared" si="4"/>
        <v>0.87</v>
      </c>
    </row>
    <row r="322" spans="1:8" x14ac:dyDescent="0.3">
      <c r="A322" s="401"/>
      <c r="B322" s="709">
        <v>37553</v>
      </c>
      <c r="C322" s="710" t="s">
        <v>8711</v>
      </c>
      <c r="D322" s="709" t="s">
        <v>175</v>
      </c>
      <c r="E322" s="709" t="s">
        <v>8432</v>
      </c>
      <c r="F322" s="716">
        <v>1.63</v>
      </c>
      <c r="G322" s="716">
        <v>1.47</v>
      </c>
      <c r="H322" s="225">
        <f t="shared" si="4"/>
        <v>1.63</v>
      </c>
    </row>
    <row r="323" spans="1:8" x14ac:dyDescent="0.3">
      <c r="A323" s="401"/>
      <c r="B323" s="709">
        <v>37552</v>
      </c>
      <c r="C323" s="710" t="s">
        <v>8712</v>
      </c>
      <c r="D323" s="709" t="s">
        <v>175</v>
      </c>
      <c r="E323" s="709" t="s">
        <v>8432</v>
      </c>
      <c r="F323" s="716">
        <v>2.63</v>
      </c>
      <c r="G323" s="716">
        <v>2.36</v>
      </c>
      <c r="H323" s="225">
        <f t="shared" si="4"/>
        <v>2.63</v>
      </c>
    </row>
    <row r="324" spans="1:8" x14ac:dyDescent="0.3">
      <c r="A324" s="401"/>
      <c r="B324" s="709">
        <v>36880</v>
      </c>
      <c r="C324" s="710" t="s">
        <v>8713</v>
      </c>
      <c r="D324" s="709" t="s">
        <v>175</v>
      </c>
      <c r="E324" s="709" t="s">
        <v>8432</v>
      </c>
      <c r="F324" s="716">
        <v>2.67</v>
      </c>
      <c r="G324" s="716">
        <v>2.4</v>
      </c>
      <c r="H324" s="225">
        <f t="shared" si="4"/>
        <v>2.67</v>
      </c>
    </row>
    <row r="325" spans="1:8" x14ac:dyDescent="0.3">
      <c r="A325" s="401"/>
      <c r="B325" s="709">
        <v>34355</v>
      </c>
      <c r="C325" s="710" t="s">
        <v>8714</v>
      </c>
      <c r="D325" s="709" t="s">
        <v>175</v>
      </c>
      <c r="E325" s="709" t="s">
        <v>8432</v>
      </c>
      <c r="F325" s="716">
        <v>2.2999999999999998</v>
      </c>
      <c r="G325" s="716">
        <v>2.0699999999999998</v>
      </c>
      <c r="H325" s="225">
        <f t="shared" si="4"/>
        <v>2.2999999999999998</v>
      </c>
    </row>
    <row r="326" spans="1:8" x14ac:dyDescent="0.3">
      <c r="A326" s="401"/>
      <c r="B326" s="709">
        <v>130</v>
      </c>
      <c r="C326" s="710" t="s">
        <v>8715</v>
      </c>
      <c r="D326" s="709" t="s">
        <v>175</v>
      </c>
      <c r="E326" s="709" t="s">
        <v>8432</v>
      </c>
      <c r="F326" s="716">
        <v>4.3099999999999996</v>
      </c>
      <c r="G326" s="716">
        <v>3.95</v>
      </c>
      <c r="H326" s="225">
        <f t="shared" si="4"/>
        <v>4.3099999999999996</v>
      </c>
    </row>
    <row r="327" spans="1:8" x14ac:dyDescent="0.3">
      <c r="A327" s="401"/>
      <c r="B327" s="709">
        <v>135</v>
      </c>
      <c r="C327" s="710" t="s">
        <v>8716</v>
      </c>
      <c r="D327" s="709" t="s">
        <v>175</v>
      </c>
      <c r="E327" s="709" t="s">
        <v>8432</v>
      </c>
      <c r="F327" s="716">
        <v>3.46</v>
      </c>
      <c r="G327" s="716">
        <v>3.18</v>
      </c>
      <c r="H327" s="225">
        <f t="shared" si="4"/>
        <v>3.46</v>
      </c>
    </row>
    <row r="328" spans="1:8" x14ac:dyDescent="0.3">
      <c r="A328" s="401"/>
      <c r="B328" s="709">
        <v>36886</v>
      </c>
      <c r="C328" s="710" t="s">
        <v>8717</v>
      </c>
      <c r="D328" s="709" t="s">
        <v>175</v>
      </c>
      <c r="E328" s="709" t="s">
        <v>8432</v>
      </c>
      <c r="F328" s="716">
        <v>0.83</v>
      </c>
      <c r="G328" s="716">
        <v>0.74</v>
      </c>
      <c r="H328" s="225">
        <f t="shared" si="4"/>
        <v>0.83</v>
      </c>
    </row>
    <row r="329" spans="1:8" x14ac:dyDescent="0.3">
      <c r="A329" s="401"/>
      <c r="B329" s="709">
        <v>38546</v>
      </c>
      <c r="C329" s="710" t="s">
        <v>8718</v>
      </c>
      <c r="D329" s="709" t="s">
        <v>170</v>
      </c>
      <c r="E329" s="709" t="s">
        <v>8432</v>
      </c>
      <c r="F329" s="716">
        <v>687.42</v>
      </c>
      <c r="G329" s="716">
        <v>526.48</v>
      </c>
      <c r="H329" s="225">
        <f t="shared" si="4"/>
        <v>687.42</v>
      </c>
    </row>
    <row r="330" spans="1:8" x14ac:dyDescent="0.3">
      <c r="A330" s="401"/>
      <c r="B330" s="709">
        <v>34549</v>
      </c>
      <c r="C330" s="710" t="s">
        <v>8719</v>
      </c>
      <c r="D330" s="709" t="s">
        <v>170</v>
      </c>
      <c r="E330" s="709" t="s">
        <v>8432</v>
      </c>
      <c r="F330" s="716"/>
      <c r="G330" s="716">
        <v>797.75</v>
      </c>
      <c r="H330" s="225">
        <f t="shared" si="4"/>
        <v>797.75</v>
      </c>
    </row>
    <row r="331" spans="1:8" x14ac:dyDescent="0.3">
      <c r="A331" s="401"/>
      <c r="B331" s="709">
        <v>6081</v>
      </c>
      <c r="C331" s="710" t="s">
        <v>8720</v>
      </c>
      <c r="D331" s="709" t="s">
        <v>170</v>
      </c>
      <c r="E331" s="709" t="s">
        <v>8432</v>
      </c>
      <c r="F331" s="716"/>
      <c r="G331" s="716">
        <v>55.84</v>
      </c>
      <c r="H331" s="225">
        <f t="shared" ref="H331:H394" si="5">IF(F331&gt;0,F331,G331)</f>
        <v>55.84</v>
      </c>
    </row>
    <row r="332" spans="1:8" x14ac:dyDescent="0.3">
      <c r="A332" s="401"/>
      <c r="B332" s="709">
        <v>6077</v>
      </c>
      <c r="C332" s="710" t="s">
        <v>8721</v>
      </c>
      <c r="D332" s="709" t="s">
        <v>170</v>
      </c>
      <c r="E332" s="709" t="s">
        <v>8432</v>
      </c>
      <c r="F332" s="716"/>
      <c r="G332" s="716">
        <v>39.880000000000003</v>
      </c>
      <c r="H332" s="225">
        <f t="shared" si="5"/>
        <v>39.880000000000003</v>
      </c>
    </row>
    <row r="333" spans="1:8" x14ac:dyDescent="0.3">
      <c r="A333" s="401"/>
      <c r="B333" s="709">
        <v>6079</v>
      </c>
      <c r="C333" s="710" t="s">
        <v>8722</v>
      </c>
      <c r="D333" s="709" t="s">
        <v>170</v>
      </c>
      <c r="E333" s="709" t="s">
        <v>8432</v>
      </c>
      <c r="F333" s="716"/>
      <c r="G333" s="716">
        <v>39.880000000000003</v>
      </c>
      <c r="H333" s="225">
        <f t="shared" si="5"/>
        <v>39.880000000000003</v>
      </c>
    </row>
    <row r="334" spans="1:8" x14ac:dyDescent="0.3">
      <c r="A334" s="401"/>
      <c r="B334" s="709">
        <v>1091</v>
      </c>
      <c r="C334" s="710" t="s">
        <v>8723</v>
      </c>
      <c r="D334" s="709" t="s">
        <v>136</v>
      </c>
      <c r="E334" s="709" t="s">
        <v>8432</v>
      </c>
      <c r="F334" s="716"/>
      <c r="G334" s="716">
        <v>26.08</v>
      </c>
      <c r="H334" s="225">
        <f t="shared" si="5"/>
        <v>26.08</v>
      </c>
    </row>
    <row r="335" spans="1:8" x14ac:dyDescent="0.3">
      <c r="A335" s="401"/>
      <c r="B335" s="709">
        <v>1094</v>
      </c>
      <c r="C335" s="710" t="s">
        <v>8724</v>
      </c>
      <c r="D335" s="709" t="s">
        <v>136</v>
      </c>
      <c r="E335" s="709" t="s">
        <v>8432</v>
      </c>
      <c r="F335" s="716"/>
      <c r="G335" s="716">
        <v>18.239999999999998</v>
      </c>
      <c r="H335" s="225">
        <f t="shared" si="5"/>
        <v>18.239999999999998</v>
      </c>
    </row>
    <row r="336" spans="1:8" x14ac:dyDescent="0.3">
      <c r="A336" s="401"/>
      <c r="B336" s="709">
        <v>1095</v>
      </c>
      <c r="C336" s="710" t="s">
        <v>8725</v>
      </c>
      <c r="D336" s="709" t="s">
        <v>136</v>
      </c>
      <c r="E336" s="709" t="s">
        <v>8432</v>
      </c>
      <c r="F336" s="716"/>
      <c r="G336" s="716">
        <v>38.770000000000003</v>
      </c>
      <c r="H336" s="225">
        <f t="shared" si="5"/>
        <v>38.770000000000003</v>
      </c>
    </row>
    <row r="337" spans="1:8" x14ac:dyDescent="0.3">
      <c r="A337" s="401"/>
      <c r="B337" s="709">
        <v>1092</v>
      </c>
      <c r="C337" s="710" t="s">
        <v>8726</v>
      </c>
      <c r="D337" s="709" t="s">
        <v>136</v>
      </c>
      <c r="E337" s="709" t="s">
        <v>8438</v>
      </c>
      <c r="F337" s="716"/>
      <c r="G337" s="716">
        <v>30</v>
      </c>
      <c r="H337" s="225">
        <f t="shared" si="5"/>
        <v>30</v>
      </c>
    </row>
    <row r="338" spans="1:8" x14ac:dyDescent="0.3">
      <c r="A338" s="401"/>
      <c r="B338" s="709">
        <v>1093</v>
      </c>
      <c r="C338" s="710" t="s">
        <v>8727</v>
      </c>
      <c r="D338" s="709" t="s">
        <v>136</v>
      </c>
      <c r="E338" s="709" t="s">
        <v>8432</v>
      </c>
      <c r="F338" s="716"/>
      <c r="G338" s="716">
        <v>70.06</v>
      </c>
      <c r="H338" s="225">
        <f t="shared" si="5"/>
        <v>70.06</v>
      </c>
    </row>
    <row r="339" spans="1:8" x14ac:dyDescent="0.3">
      <c r="A339" s="401"/>
      <c r="B339" s="709">
        <v>1090</v>
      </c>
      <c r="C339" s="710" t="s">
        <v>8728</v>
      </c>
      <c r="D339" s="709" t="s">
        <v>136</v>
      </c>
      <c r="E339" s="709" t="s">
        <v>8432</v>
      </c>
      <c r="F339" s="716"/>
      <c r="G339" s="716">
        <v>50.16</v>
      </c>
      <c r="H339" s="225">
        <f t="shared" si="5"/>
        <v>50.16</v>
      </c>
    </row>
    <row r="340" spans="1:8" x14ac:dyDescent="0.3">
      <c r="A340" s="401"/>
      <c r="B340" s="709">
        <v>1096</v>
      </c>
      <c r="C340" s="710" t="s">
        <v>8729</v>
      </c>
      <c r="D340" s="709" t="s">
        <v>136</v>
      </c>
      <c r="E340" s="709" t="s">
        <v>8432</v>
      </c>
      <c r="F340" s="716"/>
      <c r="G340" s="716">
        <v>90.27</v>
      </c>
      <c r="H340" s="225">
        <f t="shared" si="5"/>
        <v>90.27</v>
      </c>
    </row>
    <row r="341" spans="1:8" x14ac:dyDescent="0.3">
      <c r="A341" s="401"/>
      <c r="B341" s="709">
        <v>1097</v>
      </c>
      <c r="C341" s="710" t="s">
        <v>8730</v>
      </c>
      <c r="D341" s="709" t="s">
        <v>136</v>
      </c>
      <c r="E341" s="709" t="s">
        <v>8432</v>
      </c>
      <c r="F341" s="716"/>
      <c r="G341" s="716">
        <v>76.63</v>
      </c>
      <c r="H341" s="225">
        <f t="shared" si="5"/>
        <v>76.63</v>
      </c>
    </row>
    <row r="342" spans="1:8" x14ac:dyDescent="0.3">
      <c r="A342" s="401"/>
      <c r="B342" s="709">
        <v>378</v>
      </c>
      <c r="C342" s="710" t="s">
        <v>8731</v>
      </c>
      <c r="D342" s="709" t="s">
        <v>234</v>
      </c>
      <c r="E342" s="709" t="s">
        <v>8432</v>
      </c>
      <c r="F342" s="716">
        <v>23.97</v>
      </c>
      <c r="G342" s="716">
        <v>27.39</v>
      </c>
      <c r="H342" s="225">
        <f t="shared" si="5"/>
        <v>23.97</v>
      </c>
    </row>
    <row r="343" spans="1:8" x14ac:dyDescent="0.3">
      <c r="A343" s="401"/>
      <c r="B343" s="709">
        <v>40911</v>
      </c>
      <c r="C343" s="710" t="s">
        <v>8732</v>
      </c>
      <c r="D343" s="709" t="s">
        <v>208</v>
      </c>
      <c r="E343" s="709" t="s">
        <v>8432</v>
      </c>
      <c r="F343" s="716">
        <v>4212.2700000000004</v>
      </c>
      <c r="G343" s="716">
        <v>4797.83</v>
      </c>
      <c r="H343" s="225">
        <f t="shared" si="5"/>
        <v>4212.2700000000004</v>
      </c>
    </row>
    <row r="344" spans="1:8" x14ac:dyDescent="0.3">
      <c r="A344" s="401"/>
      <c r="B344" s="709">
        <v>33939</v>
      </c>
      <c r="C344" s="710" t="s">
        <v>8733</v>
      </c>
      <c r="D344" s="709" t="s">
        <v>234</v>
      </c>
      <c r="E344" s="709" t="s">
        <v>8432</v>
      </c>
      <c r="F344" s="716">
        <v>130.28</v>
      </c>
      <c r="G344" s="716">
        <v>130.44</v>
      </c>
      <c r="H344" s="225">
        <f t="shared" si="5"/>
        <v>130.28</v>
      </c>
    </row>
    <row r="345" spans="1:8" x14ac:dyDescent="0.3">
      <c r="A345" s="401"/>
      <c r="B345" s="709">
        <v>40815</v>
      </c>
      <c r="C345" s="710" t="s">
        <v>8734</v>
      </c>
      <c r="D345" s="709" t="s">
        <v>208</v>
      </c>
      <c r="E345" s="709" t="s">
        <v>8432</v>
      </c>
      <c r="F345" s="716">
        <v>22894.67</v>
      </c>
      <c r="G345" s="716">
        <v>22850.080000000002</v>
      </c>
      <c r="H345" s="225">
        <f t="shared" si="5"/>
        <v>22894.67</v>
      </c>
    </row>
    <row r="346" spans="1:8" x14ac:dyDescent="0.3">
      <c r="A346" s="401"/>
      <c r="B346" s="709">
        <v>33952</v>
      </c>
      <c r="C346" s="710" t="s">
        <v>8735</v>
      </c>
      <c r="D346" s="709" t="s">
        <v>234</v>
      </c>
      <c r="E346" s="709" t="s">
        <v>8432</v>
      </c>
      <c r="F346" s="716">
        <v>138.02000000000001</v>
      </c>
      <c r="G346" s="716">
        <v>137.62</v>
      </c>
      <c r="H346" s="225">
        <f t="shared" si="5"/>
        <v>138.02000000000001</v>
      </c>
    </row>
    <row r="347" spans="1:8" x14ac:dyDescent="0.3">
      <c r="A347" s="401"/>
      <c r="B347" s="709">
        <v>40816</v>
      </c>
      <c r="C347" s="710" t="s">
        <v>8736</v>
      </c>
      <c r="D347" s="709" t="s">
        <v>208</v>
      </c>
      <c r="E347" s="709" t="s">
        <v>8432</v>
      </c>
      <c r="F347" s="716">
        <v>24254.7</v>
      </c>
      <c r="G347" s="716">
        <v>24107.599999999999</v>
      </c>
      <c r="H347" s="225">
        <f t="shared" si="5"/>
        <v>24254.7</v>
      </c>
    </row>
    <row r="348" spans="1:8" x14ac:dyDescent="0.3">
      <c r="A348" s="401"/>
      <c r="B348" s="709">
        <v>33953</v>
      </c>
      <c r="C348" s="710" t="s">
        <v>8737</v>
      </c>
      <c r="D348" s="709" t="s">
        <v>234</v>
      </c>
      <c r="E348" s="709" t="s">
        <v>8432</v>
      </c>
      <c r="F348" s="716">
        <v>144.65</v>
      </c>
      <c r="G348" s="716">
        <v>147.13</v>
      </c>
      <c r="H348" s="225">
        <f t="shared" si="5"/>
        <v>144.65</v>
      </c>
    </row>
    <row r="349" spans="1:8" x14ac:dyDescent="0.3">
      <c r="A349" s="401"/>
      <c r="B349" s="709">
        <v>40817</v>
      </c>
      <c r="C349" s="710" t="s">
        <v>8738</v>
      </c>
      <c r="D349" s="709" t="s">
        <v>208</v>
      </c>
      <c r="E349" s="709" t="s">
        <v>8432</v>
      </c>
      <c r="F349" s="716">
        <v>25419.72</v>
      </c>
      <c r="G349" s="716">
        <v>25772.89</v>
      </c>
      <c r="H349" s="225">
        <f t="shared" si="5"/>
        <v>25419.72</v>
      </c>
    </row>
    <row r="350" spans="1:8" x14ac:dyDescent="0.3">
      <c r="A350" s="401"/>
      <c r="B350" s="709">
        <v>13348</v>
      </c>
      <c r="C350" s="710" t="s">
        <v>14798</v>
      </c>
      <c r="D350" s="709" t="s">
        <v>136</v>
      </c>
      <c r="E350" s="709" t="s">
        <v>8432</v>
      </c>
      <c r="F350" s="716"/>
      <c r="G350" s="716">
        <v>1.35</v>
      </c>
      <c r="H350" s="225">
        <f t="shared" si="5"/>
        <v>1.35</v>
      </c>
    </row>
    <row r="351" spans="1:8" x14ac:dyDescent="0.3">
      <c r="A351" s="401"/>
      <c r="B351" s="709">
        <v>39212</v>
      </c>
      <c r="C351" s="710" t="s">
        <v>8739</v>
      </c>
      <c r="D351" s="709" t="s">
        <v>136</v>
      </c>
      <c r="E351" s="709" t="s">
        <v>8432</v>
      </c>
      <c r="F351" s="716">
        <v>2.71</v>
      </c>
      <c r="G351" s="716">
        <v>2.46</v>
      </c>
      <c r="H351" s="225">
        <f t="shared" si="5"/>
        <v>2.71</v>
      </c>
    </row>
    <row r="352" spans="1:8" x14ac:dyDescent="0.3">
      <c r="A352" s="401"/>
      <c r="B352" s="709">
        <v>39211</v>
      </c>
      <c r="C352" s="710" t="s">
        <v>8740</v>
      </c>
      <c r="D352" s="709" t="s">
        <v>136</v>
      </c>
      <c r="E352" s="709" t="s">
        <v>8432</v>
      </c>
      <c r="F352" s="716">
        <v>2.4300000000000002</v>
      </c>
      <c r="G352" s="716">
        <v>2.21</v>
      </c>
      <c r="H352" s="225">
        <f t="shared" si="5"/>
        <v>2.4300000000000002</v>
      </c>
    </row>
    <row r="353" spans="1:8" x14ac:dyDescent="0.3">
      <c r="A353" s="401"/>
      <c r="B353" s="709">
        <v>39210</v>
      </c>
      <c r="C353" s="710" t="s">
        <v>8741</v>
      </c>
      <c r="D353" s="709" t="s">
        <v>136</v>
      </c>
      <c r="E353" s="709" t="s">
        <v>8432</v>
      </c>
      <c r="F353" s="716">
        <v>1.36</v>
      </c>
      <c r="G353" s="716">
        <v>1.24</v>
      </c>
      <c r="H353" s="225">
        <f t="shared" si="5"/>
        <v>1.36</v>
      </c>
    </row>
    <row r="354" spans="1:8" x14ac:dyDescent="0.3">
      <c r="A354" s="401"/>
      <c r="B354" s="709">
        <v>39208</v>
      </c>
      <c r="C354" s="710" t="s">
        <v>8742</v>
      </c>
      <c r="D354" s="709" t="s">
        <v>136</v>
      </c>
      <c r="E354" s="709" t="s">
        <v>8432</v>
      </c>
      <c r="F354" s="716">
        <v>0.74</v>
      </c>
      <c r="G354" s="716">
        <v>0.67</v>
      </c>
      <c r="H354" s="225">
        <f t="shared" si="5"/>
        <v>0.74</v>
      </c>
    </row>
    <row r="355" spans="1:8" x14ac:dyDescent="0.3">
      <c r="A355" s="401"/>
      <c r="B355" s="709">
        <v>39214</v>
      </c>
      <c r="C355" s="710" t="s">
        <v>8743</v>
      </c>
      <c r="D355" s="709" t="s">
        <v>136</v>
      </c>
      <c r="E355" s="709" t="s">
        <v>8432</v>
      </c>
      <c r="F355" s="716">
        <v>5.0199999999999996</v>
      </c>
      <c r="G355" s="716">
        <v>4.5599999999999996</v>
      </c>
      <c r="H355" s="225">
        <f t="shared" si="5"/>
        <v>5.0199999999999996</v>
      </c>
    </row>
    <row r="356" spans="1:8" x14ac:dyDescent="0.3">
      <c r="A356" s="401"/>
      <c r="B356" s="709">
        <v>39213</v>
      </c>
      <c r="C356" s="710" t="s">
        <v>8744</v>
      </c>
      <c r="D356" s="709" t="s">
        <v>136</v>
      </c>
      <c r="E356" s="709" t="s">
        <v>8432</v>
      </c>
      <c r="F356" s="716">
        <v>3.55</v>
      </c>
      <c r="G356" s="716">
        <v>3.22</v>
      </c>
      <c r="H356" s="225">
        <f t="shared" si="5"/>
        <v>3.55</v>
      </c>
    </row>
    <row r="357" spans="1:8" x14ac:dyDescent="0.3">
      <c r="A357" s="401"/>
      <c r="B357" s="709">
        <v>39215</v>
      </c>
      <c r="C357" s="710" t="s">
        <v>8745</v>
      </c>
      <c r="D357" s="709" t="s">
        <v>136</v>
      </c>
      <c r="E357" s="709" t="s">
        <v>8432</v>
      </c>
      <c r="F357" s="716">
        <v>9.15</v>
      </c>
      <c r="G357" s="716">
        <v>8.31</v>
      </c>
      <c r="H357" s="225">
        <f t="shared" si="5"/>
        <v>9.15</v>
      </c>
    </row>
    <row r="358" spans="1:8" x14ac:dyDescent="0.3">
      <c r="A358" s="401"/>
      <c r="B358" s="709">
        <v>39209</v>
      </c>
      <c r="C358" s="710" t="s">
        <v>8746</v>
      </c>
      <c r="D358" s="709" t="s">
        <v>136</v>
      </c>
      <c r="E358" s="709" t="s">
        <v>8432</v>
      </c>
      <c r="F358" s="716">
        <v>0.88</v>
      </c>
      <c r="G358" s="716">
        <v>0.8</v>
      </c>
      <c r="H358" s="225">
        <f t="shared" si="5"/>
        <v>0.88</v>
      </c>
    </row>
    <row r="359" spans="1:8" x14ac:dyDescent="0.3">
      <c r="A359" s="401"/>
      <c r="B359" s="709">
        <v>39207</v>
      </c>
      <c r="C359" s="710" t="s">
        <v>8747</v>
      </c>
      <c r="D359" s="709" t="s">
        <v>136</v>
      </c>
      <c r="E359" s="709" t="s">
        <v>8432</v>
      </c>
      <c r="F359" s="716">
        <v>1.36</v>
      </c>
      <c r="G359" s="716">
        <v>1.24</v>
      </c>
      <c r="H359" s="225">
        <f t="shared" si="5"/>
        <v>1.36</v>
      </c>
    </row>
    <row r="360" spans="1:8" x14ac:dyDescent="0.3">
      <c r="A360" s="401"/>
      <c r="B360" s="709">
        <v>39216</v>
      </c>
      <c r="C360" s="710" t="s">
        <v>8748</v>
      </c>
      <c r="D360" s="709" t="s">
        <v>136</v>
      </c>
      <c r="E360" s="709" t="s">
        <v>8432</v>
      </c>
      <c r="F360" s="716">
        <v>12.77</v>
      </c>
      <c r="G360" s="716">
        <v>11.6</v>
      </c>
      <c r="H360" s="225">
        <f t="shared" si="5"/>
        <v>12.77</v>
      </c>
    </row>
    <row r="361" spans="1:8" x14ac:dyDescent="0.3">
      <c r="A361" s="401"/>
      <c r="B361" s="709">
        <v>45693</v>
      </c>
      <c r="C361" s="710" t="s">
        <v>14799</v>
      </c>
      <c r="D361" s="709" t="s">
        <v>136</v>
      </c>
      <c r="E361" s="709" t="s">
        <v>8432</v>
      </c>
      <c r="F361" s="716"/>
      <c r="G361" s="716">
        <v>0.08</v>
      </c>
      <c r="H361" s="225">
        <f t="shared" si="5"/>
        <v>0.08</v>
      </c>
    </row>
    <row r="362" spans="1:8" x14ac:dyDescent="0.3">
      <c r="A362" s="401"/>
      <c r="B362" s="709">
        <v>11267</v>
      </c>
      <c r="C362" s="710" t="s">
        <v>8749</v>
      </c>
      <c r="D362" s="709" t="s">
        <v>136</v>
      </c>
      <c r="E362" s="709" t="s">
        <v>8432</v>
      </c>
      <c r="F362" s="716"/>
      <c r="G362" s="716">
        <v>1.18</v>
      </c>
      <c r="H362" s="225">
        <f t="shared" si="5"/>
        <v>1.18</v>
      </c>
    </row>
    <row r="363" spans="1:8" x14ac:dyDescent="0.3">
      <c r="A363" s="401"/>
      <c r="B363" s="709">
        <v>379</v>
      </c>
      <c r="C363" s="710" t="s">
        <v>14800</v>
      </c>
      <c r="D363" s="709" t="s">
        <v>136</v>
      </c>
      <c r="E363" s="709" t="s">
        <v>8432</v>
      </c>
      <c r="F363" s="716"/>
      <c r="G363" s="716">
        <v>1.19</v>
      </c>
      <c r="H363" s="225">
        <f t="shared" si="5"/>
        <v>1.19</v>
      </c>
    </row>
    <row r="364" spans="1:8" x14ac:dyDescent="0.3">
      <c r="A364" s="401"/>
      <c r="B364" s="709">
        <v>510</v>
      </c>
      <c r="C364" s="710" t="s">
        <v>8750</v>
      </c>
      <c r="D364" s="709" t="s">
        <v>175</v>
      </c>
      <c r="E364" s="709" t="s">
        <v>8432</v>
      </c>
      <c r="F364" s="716">
        <v>14.75</v>
      </c>
      <c r="G364" s="716">
        <v>12.64</v>
      </c>
      <c r="H364" s="225">
        <f t="shared" si="5"/>
        <v>14.75</v>
      </c>
    </row>
    <row r="365" spans="1:8" x14ac:dyDescent="0.3">
      <c r="A365" s="401"/>
      <c r="B365" s="709">
        <v>516</v>
      </c>
      <c r="C365" s="710" t="s">
        <v>8751</v>
      </c>
      <c r="D365" s="709" t="s">
        <v>175</v>
      </c>
      <c r="E365" s="709" t="s">
        <v>8432</v>
      </c>
      <c r="F365" s="716">
        <v>17.48</v>
      </c>
      <c r="G365" s="716">
        <v>14.97</v>
      </c>
      <c r="H365" s="225">
        <f t="shared" si="5"/>
        <v>17.48</v>
      </c>
    </row>
    <row r="366" spans="1:8" x14ac:dyDescent="0.3">
      <c r="A366" s="401"/>
      <c r="B366" s="709">
        <v>509</v>
      </c>
      <c r="C366" s="710" t="s">
        <v>8752</v>
      </c>
      <c r="D366" s="709" t="s">
        <v>175</v>
      </c>
      <c r="E366" s="709" t="s">
        <v>8432</v>
      </c>
      <c r="F366" s="716">
        <v>19.62</v>
      </c>
      <c r="G366" s="716">
        <v>16.8</v>
      </c>
      <c r="H366" s="225">
        <f t="shared" si="5"/>
        <v>19.62</v>
      </c>
    </row>
    <row r="367" spans="1:8" x14ac:dyDescent="0.3">
      <c r="A367" s="401"/>
      <c r="B367" s="709">
        <v>40331</v>
      </c>
      <c r="C367" s="710" t="s">
        <v>8753</v>
      </c>
      <c r="D367" s="709" t="s">
        <v>234</v>
      </c>
      <c r="E367" s="709" t="s">
        <v>8432</v>
      </c>
      <c r="F367" s="716">
        <v>14.11</v>
      </c>
      <c r="G367" s="716">
        <v>24.44</v>
      </c>
      <c r="H367" s="225">
        <f t="shared" si="5"/>
        <v>14.11</v>
      </c>
    </row>
    <row r="368" spans="1:8" x14ac:dyDescent="0.3">
      <c r="A368" s="401"/>
      <c r="B368" s="709">
        <v>40930</v>
      </c>
      <c r="C368" s="710" t="s">
        <v>8754</v>
      </c>
      <c r="D368" s="709" t="s">
        <v>208</v>
      </c>
      <c r="E368" s="709" t="s">
        <v>8432</v>
      </c>
      <c r="F368" s="716">
        <v>2483.38</v>
      </c>
      <c r="G368" s="716">
        <v>4283.1400000000003</v>
      </c>
      <c r="H368" s="225">
        <f t="shared" si="5"/>
        <v>2483.38</v>
      </c>
    </row>
    <row r="369" spans="1:8" x14ac:dyDescent="0.3">
      <c r="A369" s="401"/>
      <c r="B369" s="709">
        <v>377</v>
      </c>
      <c r="C369" s="710" t="s">
        <v>8755</v>
      </c>
      <c r="D369" s="709" t="s">
        <v>136</v>
      </c>
      <c r="E369" s="709" t="s">
        <v>8438</v>
      </c>
      <c r="F369" s="716">
        <v>34.83</v>
      </c>
      <c r="G369" s="716">
        <v>43.5</v>
      </c>
      <c r="H369" s="225">
        <f t="shared" si="5"/>
        <v>34.83</v>
      </c>
    </row>
    <row r="370" spans="1:8" x14ac:dyDescent="0.3">
      <c r="A370" s="401"/>
      <c r="B370" s="709">
        <v>11761</v>
      </c>
      <c r="C370" s="710" t="s">
        <v>8756</v>
      </c>
      <c r="D370" s="709" t="s">
        <v>136</v>
      </c>
      <c r="E370" s="709" t="s">
        <v>8432</v>
      </c>
      <c r="F370" s="716">
        <v>74.12</v>
      </c>
      <c r="G370" s="716">
        <v>92.57</v>
      </c>
      <c r="H370" s="225">
        <f t="shared" si="5"/>
        <v>74.12</v>
      </c>
    </row>
    <row r="371" spans="1:8" x14ac:dyDescent="0.3">
      <c r="A371" s="401"/>
      <c r="B371" s="709">
        <v>7588</v>
      </c>
      <c r="C371" s="710" t="s">
        <v>8757</v>
      </c>
      <c r="D371" s="709" t="s">
        <v>136</v>
      </c>
      <c r="E371" s="709" t="s">
        <v>8438</v>
      </c>
      <c r="F371" s="716">
        <v>47.18</v>
      </c>
      <c r="G371" s="716">
        <v>44.74</v>
      </c>
      <c r="H371" s="225">
        <f t="shared" si="5"/>
        <v>47.18</v>
      </c>
    </row>
    <row r="372" spans="1:8" x14ac:dyDescent="0.3">
      <c r="A372" s="401"/>
      <c r="B372" s="709">
        <v>34551</v>
      </c>
      <c r="C372" s="710" t="s">
        <v>8758</v>
      </c>
      <c r="D372" s="709" t="s">
        <v>234</v>
      </c>
      <c r="E372" s="709" t="s">
        <v>8432</v>
      </c>
      <c r="F372" s="716">
        <v>18.84</v>
      </c>
      <c r="G372" s="716">
        <v>22.51</v>
      </c>
      <c r="H372" s="225">
        <f t="shared" si="5"/>
        <v>18.84</v>
      </c>
    </row>
    <row r="373" spans="1:8" x14ac:dyDescent="0.3">
      <c r="A373" s="401"/>
      <c r="B373" s="709">
        <v>41078</v>
      </c>
      <c r="C373" s="710" t="s">
        <v>8759</v>
      </c>
      <c r="D373" s="709" t="s">
        <v>208</v>
      </c>
      <c r="E373" s="709" t="s">
        <v>8432</v>
      </c>
      <c r="F373" s="716">
        <v>3313.64</v>
      </c>
      <c r="G373" s="716">
        <v>3943.98</v>
      </c>
      <c r="H373" s="225">
        <f t="shared" si="5"/>
        <v>3313.64</v>
      </c>
    </row>
    <row r="374" spans="1:8" x14ac:dyDescent="0.3">
      <c r="A374" s="401"/>
      <c r="B374" s="709">
        <v>246</v>
      </c>
      <c r="C374" s="710" t="s">
        <v>8760</v>
      </c>
      <c r="D374" s="709" t="s">
        <v>234</v>
      </c>
      <c r="E374" s="709" t="s">
        <v>8432</v>
      </c>
      <c r="F374" s="716">
        <v>20.260000000000002</v>
      </c>
      <c r="G374" s="716">
        <v>25.07</v>
      </c>
      <c r="H374" s="225">
        <f t="shared" si="5"/>
        <v>20.260000000000002</v>
      </c>
    </row>
    <row r="375" spans="1:8" x14ac:dyDescent="0.3">
      <c r="A375" s="401"/>
      <c r="B375" s="709">
        <v>40927</v>
      </c>
      <c r="C375" s="710" t="s">
        <v>8761</v>
      </c>
      <c r="D375" s="709" t="s">
        <v>208</v>
      </c>
      <c r="E375" s="709" t="s">
        <v>8432</v>
      </c>
      <c r="F375" s="716">
        <v>3562.26</v>
      </c>
      <c r="G375" s="716">
        <v>4391.6499999999996</v>
      </c>
      <c r="H375" s="225">
        <f t="shared" si="5"/>
        <v>3562.26</v>
      </c>
    </row>
    <row r="376" spans="1:8" x14ac:dyDescent="0.3">
      <c r="A376" s="401"/>
      <c r="B376" s="709">
        <v>2350</v>
      </c>
      <c r="C376" s="710" t="s">
        <v>8762</v>
      </c>
      <c r="D376" s="709" t="s">
        <v>234</v>
      </c>
      <c r="E376" s="709" t="s">
        <v>8432</v>
      </c>
      <c r="F376" s="716">
        <v>22.27</v>
      </c>
      <c r="G376" s="716">
        <v>33.090000000000003</v>
      </c>
      <c r="H376" s="225">
        <f t="shared" si="5"/>
        <v>22.27</v>
      </c>
    </row>
    <row r="377" spans="1:8" x14ac:dyDescent="0.3">
      <c r="A377" s="401"/>
      <c r="B377" s="709">
        <v>40812</v>
      </c>
      <c r="C377" s="710" t="s">
        <v>8763</v>
      </c>
      <c r="D377" s="709" t="s">
        <v>208</v>
      </c>
      <c r="E377" s="709" t="s">
        <v>8432</v>
      </c>
      <c r="F377" s="716">
        <v>3915.33</v>
      </c>
      <c r="G377" s="716">
        <v>5797.01</v>
      </c>
      <c r="H377" s="225">
        <f t="shared" si="5"/>
        <v>3915.33</v>
      </c>
    </row>
    <row r="378" spans="1:8" x14ac:dyDescent="0.3">
      <c r="A378" s="401"/>
      <c r="B378" s="709">
        <v>245</v>
      </c>
      <c r="C378" s="710" t="s">
        <v>8764</v>
      </c>
      <c r="D378" s="709" t="s">
        <v>234</v>
      </c>
      <c r="E378" s="709" t="s">
        <v>8432</v>
      </c>
      <c r="F378" s="716">
        <v>29.99</v>
      </c>
      <c r="G378" s="716">
        <v>42.03</v>
      </c>
      <c r="H378" s="225">
        <f t="shared" si="5"/>
        <v>29.99</v>
      </c>
    </row>
    <row r="379" spans="1:8" x14ac:dyDescent="0.3">
      <c r="A379" s="401"/>
      <c r="B379" s="709">
        <v>41090</v>
      </c>
      <c r="C379" s="710" t="s">
        <v>8765</v>
      </c>
      <c r="D379" s="709" t="s">
        <v>208</v>
      </c>
      <c r="E379" s="709" t="s">
        <v>8432</v>
      </c>
      <c r="F379" s="716">
        <v>5270.4</v>
      </c>
      <c r="G379" s="716">
        <v>7365.58</v>
      </c>
      <c r="H379" s="225">
        <f t="shared" si="5"/>
        <v>5270.4</v>
      </c>
    </row>
    <row r="380" spans="1:8" x14ac:dyDescent="0.3">
      <c r="A380" s="401"/>
      <c r="B380" s="709">
        <v>251</v>
      </c>
      <c r="C380" s="710" t="s">
        <v>8766</v>
      </c>
      <c r="D380" s="709" t="s">
        <v>234</v>
      </c>
      <c r="E380" s="709" t="s">
        <v>8432</v>
      </c>
      <c r="F380" s="716">
        <v>20.260000000000002</v>
      </c>
      <c r="G380" s="716">
        <v>25.07</v>
      </c>
      <c r="H380" s="225">
        <f t="shared" si="5"/>
        <v>20.260000000000002</v>
      </c>
    </row>
    <row r="381" spans="1:8" x14ac:dyDescent="0.3">
      <c r="A381" s="401"/>
      <c r="B381" s="709">
        <v>40975</v>
      </c>
      <c r="C381" s="710" t="s">
        <v>8767</v>
      </c>
      <c r="D381" s="709" t="s">
        <v>208</v>
      </c>
      <c r="E381" s="709" t="s">
        <v>8432</v>
      </c>
      <c r="F381" s="716">
        <v>3562.26</v>
      </c>
      <c r="G381" s="716">
        <v>4391.6499999999996</v>
      </c>
      <c r="H381" s="225">
        <f t="shared" si="5"/>
        <v>3562.26</v>
      </c>
    </row>
    <row r="382" spans="1:8" x14ac:dyDescent="0.3">
      <c r="A382" s="401"/>
      <c r="B382" s="709">
        <v>6127</v>
      </c>
      <c r="C382" s="710" t="s">
        <v>8768</v>
      </c>
      <c r="D382" s="709" t="s">
        <v>234</v>
      </c>
      <c r="E382" s="709" t="s">
        <v>8432</v>
      </c>
      <c r="F382" s="716">
        <v>20.260000000000002</v>
      </c>
      <c r="G382" s="716">
        <v>25.07</v>
      </c>
      <c r="H382" s="225">
        <f t="shared" si="5"/>
        <v>20.260000000000002</v>
      </c>
    </row>
    <row r="383" spans="1:8" x14ac:dyDescent="0.3">
      <c r="A383" s="401"/>
      <c r="B383" s="709">
        <v>41072</v>
      </c>
      <c r="C383" s="710" t="s">
        <v>8769</v>
      </c>
      <c r="D383" s="709" t="s">
        <v>208</v>
      </c>
      <c r="E383" s="709" t="s">
        <v>8432</v>
      </c>
      <c r="F383" s="716">
        <v>3562.26</v>
      </c>
      <c r="G383" s="716">
        <v>4391.6499999999996</v>
      </c>
      <c r="H383" s="225">
        <f t="shared" si="5"/>
        <v>3562.26</v>
      </c>
    </row>
    <row r="384" spans="1:8" x14ac:dyDescent="0.3">
      <c r="A384" s="401"/>
      <c r="B384" s="709">
        <v>6121</v>
      </c>
      <c r="C384" s="710" t="s">
        <v>8770</v>
      </c>
      <c r="D384" s="709" t="s">
        <v>234</v>
      </c>
      <c r="E384" s="709" t="s">
        <v>8432</v>
      </c>
      <c r="F384" s="716">
        <v>18.84</v>
      </c>
      <c r="G384" s="716">
        <v>22.51</v>
      </c>
      <c r="H384" s="225">
        <f t="shared" si="5"/>
        <v>18.84</v>
      </c>
    </row>
    <row r="385" spans="1:8" x14ac:dyDescent="0.3">
      <c r="A385" s="401"/>
      <c r="B385" s="709">
        <v>41071</v>
      </c>
      <c r="C385" s="710" t="s">
        <v>8771</v>
      </c>
      <c r="D385" s="709" t="s">
        <v>208</v>
      </c>
      <c r="E385" s="709" t="s">
        <v>8432</v>
      </c>
      <c r="F385" s="716">
        <v>3310.97</v>
      </c>
      <c r="G385" s="716">
        <v>3942.96</v>
      </c>
      <c r="H385" s="225">
        <f t="shared" si="5"/>
        <v>3310.97</v>
      </c>
    </row>
    <row r="386" spans="1:8" x14ac:dyDescent="0.3">
      <c r="A386" s="401"/>
      <c r="B386" s="709">
        <v>244</v>
      </c>
      <c r="C386" s="710" t="s">
        <v>8772</v>
      </c>
      <c r="D386" s="709" t="s">
        <v>234</v>
      </c>
      <c r="E386" s="709" t="s">
        <v>8432</v>
      </c>
      <c r="F386" s="716">
        <v>19.010000000000002</v>
      </c>
      <c r="G386" s="716">
        <v>36.159999999999997</v>
      </c>
      <c r="H386" s="225">
        <f t="shared" si="5"/>
        <v>19.010000000000002</v>
      </c>
    </row>
    <row r="387" spans="1:8" x14ac:dyDescent="0.3">
      <c r="A387" s="401"/>
      <c r="B387" s="709">
        <v>41093</v>
      </c>
      <c r="C387" s="710" t="s">
        <v>8773</v>
      </c>
      <c r="D387" s="709" t="s">
        <v>208</v>
      </c>
      <c r="E387" s="709" t="s">
        <v>8432</v>
      </c>
      <c r="F387" s="716">
        <v>3342.1</v>
      </c>
      <c r="G387" s="716">
        <v>6335.13</v>
      </c>
      <c r="H387" s="225">
        <f t="shared" si="5"/>
        <v>3342.1</v>
      </c>
    </row>
    <row r="388" spans="1:8" x14ac:dyDescent="0.3">
      <c r="A388" s="401"/>
      <c r="B388" s="709">
        <v>532</v>
      </c>
      <c r="C388" s="710" t="s">
        <v>8774</v>
      </c>
      <c r="D388" s="709" t="s">
        <v>234</v>
      </c>
      <c r="E388" s="709" t="s">
        <v>8432</v>
      </c>
      <c r="F388" s="716">
        <v>35.71</v>
      </c>
      <c r="G388" s="716">
        <v>39.130000000000003</v>
      </c>
      <c r="H388" s="225">
        <f t="shared" si="5"/>
        <v>35.71</v>
      </c>
    </row>
    <row r="389" spans="1:8" x14ac:dyDescent="0.3">
      <c r="A389" s="401"/>
      <c r="B389" s="709">
        <v>40931</v>
      </c>
      <c r="C389" s="710" t="s">
        <v>8775</v>
      </c>
      <c r="D389" s="709" t="s">
        <v>208</v>
      </c>
      <c r="E389" s="709" t="s">
        <v>8432</v>
      </c>
      <c r="F389" s="716">
        <v>6277.69</v>
      </c>
      <c r="G389" s="716">
        <v>6856.68</v>
      </c>
      <c r="H389" s="225">
        <f t="shared" si="5"/>
        <v>6277.69</v>
      </c>
    </row>
    <row r="390" spans="1:8" x14ac:dyDescent="0.3">
      <c r="A390" s="401"/>
      <c r="B390" s="709">
        <v>36150</v>
      </c>
      <c r="C390" s="710" t="s">
        <v>8776</v>
      </c>
      <c r="D390" s="709" t="s">
        <v>136</v>
      </c>
      <c r="E390" s="709" t="s">
        <v>8432</v>
      </c>
      <c r="F390" s="716">
        <v>46.78</v>
      </c>
      <c r="G390" s="716">
        <v>45.88</v>
      </c>
      <c r="H390" s="225">
        <f t="shared" si="5"/>
        <v>46.78</v>
      </c>
    </row>
    <row r="391" spans="1:8" x14ac:dyDescent="0.3">
      <c r="A391" s="401"/>
      <c r="B391" s="709">
        <v>45262</v>
      </c>
      <c r="C391" s="710" t="s">
        <v>8777</v>
      </c>
      <c r="D391" s="709" t="s">
        <v>136</v>
      </c>
      <c r="E391" s="709" t="s">
        <v>8432</v>
      </c>
      <c r="F391" s="716">
        <v>13.93</v>
      </c>
      <c r="G391" s="716">
        <v>13.66</v>
      </c>
      <c r="H391" s="225">
        <f t="shared" si="5"/>
        <v>13.93</v>
      </c>
    </row>
    <row r="392" spans="1:8" x14ac:dyDescent="0.3">
      <c r="A392" s="401"/>
      <c r="B392" s="709">
        <v>4760</v>
      </c>
      <c r="C392" s="710" t="s">
        <v>8778</v>
      </c>
      <c r="D392" s="709" t="s">
        <v>234</v>
      </c>
      <c r="E392" s="709" t="s">
        <v>8432</v>
      </c>
      <c r="F392" s="716">
        <v>23.97</v>
      </c>
      <c r="G392" s="716">
        <v>27.39</v>
      </c>
      <c r="H392" s="225">
        <f t="shared" si="5"/>
        <v>23.97</v>
      </c>
    </row>
    <row r="393" spans="1:8" x14ac:dyDescent="0.3">
      <c r="A393" s="401"/>
      <c r="B393" s="709">
        <v>41069</v>
      </c>
      <c r="C393" s="710" t="s">
        <v>8779</v>
      </c>
      <c r="D393" s="709" t="s">
        <v>208</v>
      </c>
      <c r="E393" s="709" t="s">
        <v>8432</v>
      </c>
      <c r="F393" s="716">
        <v>4212.2700000000004</v>
      </c>
      <c r="G393" s="716">
        <v>4797.83</v>
      </c>
      <c r="H393" s="225">
        <f t="shared" si="5"/>
        <v>4212.2700000000004</v>
      </c>
    </row>
    <row r="394" spans="1:8" x14ac:dyDescent="0.3">
      <c r="A394" s="401"/>
      <c r="B394" s="709">
        <v>10422</v>
      </c>
      <c r="C394" s="710" t="s">
        <v>8780</v>
      </c>
      <c r="D394" s="709" t="s">
        <v>136</v>
      </c>
      <c r="E394" s="709" t="s">
        <v>8432</v>
      </c>
      <c r="F394" s="716">
        <v>514.12</v>
      </c>
      <c r="G394" s="716">
        <v>479.11</v>
      </c>
      <c r="H394" s="225">
        <f t="shared" si="5"/>
        <v>514.12</v>
      </c>
    </row>
    <row r="395" spans="1:8" x14ac:dyDescent="0.3">
      <c r="A395" s="401"/>
      <c r="B395" s="709">
        <v>44019</v>
      </c>
      <c r="C395" s="710" t="s">
        <v>8781</v>
      </c>
      <c r="D395" s="709" t="s">
        <v>136</v>
      </c>
      <c r="E395" s="709" t="s">
        <v>8432</v>
      </c>
      <c r="F395" s="716">
        <v>711.67</v>
      </c>
      <c r="G395" s="716">
        <v>663.21</v>
      </c>
      <c r="H395" s="225">
        <f t="shared" ref="H395:H458" si="6">IF(F395&gt;0,F395,G395)</f>
        <v>711.67</v>
      </c>
    </row>
    <row r="396" spans="1:8" x14ac:dyDescent="0.3">
      <c r="A396" s="401"/>
      <c r="B396" s="709">
        <v>36520</v>
      </c>
      <c r="C396" s="710" t="s">
        <v>8782</v>
      </c>
      <c r="D396" s="709" t="s">
        <v>136</v>
      </c>
      <c r="E396" s="709" t="s">
        <v>8432</v>
      </c>
      <c r="F396" s="716">
        <v>865.31</v>
      </c>
      <c r="G396" s="716">
        <v>806.39</v>
      </c>
      <c r="H396" s="225">
        <f t="shared" si="6"/>
        <v>865.31</v>
      </c>
    </row>
    <row r="397" spans="1:8" x14ac:dyDescent="0.3">
      <c r="A397" s="401"/>
      <c r="B397" s="709">
        <v>42319</v>
      </c>
      <c r="C397" s="710" t="s">
        <v>8783</v>
      </c>
      <c r="D397" s="709" t="s">
        <v>136</v>
      </c>
      <c r="E397" s="709" t="s">
        <v>8432</v>
      </c>
      <c r="F397" s="716">
        <v>775.37</v>
      </c>
      <c r="G397" s="716">
        <v>722.57</v>
      </c>
      <c r="H397" s="225">
        <f t="shared" si="6"/>
        <v>775.37</v>
      </c>
    </row>
    <row r="398" spans="1:8" x14ac:dyDescent="0.3">
      <c r="A398" s="401"/>
      <c r="B398" s="709">
        <v>10420</v>
      </c>
      <c r="C398" s="710" t="s">
        <v>8784</v>
      </c>
      <c r="D398" s="709" t="s">
        <v>136</v>
      </c>
      <c r="E398" s="709" t="s">
        <v>8438</v>
      </c>
      <c r="F398" s="716">
        <v>275.05</v>
      </c>
      <c r="G398" s="716">
        <v>256.32</v>
      </c>
      <c r="H398" s="225">
        <f t="shared" si="6"/>
        <v>275.05</v>
      </c>
    </row>
    <row r="399" spans="1:8" x14ac:dyDescent="0.3">
      <c r="A399" s="401"/>
      <c r="B399" s="709">
        <v>10421</v>
      </c>
      <c r="C399" s="710" t="s">
        <v>8785</v>
      </c>
      <c r="D399" s="709" t="s">
        <v>136</v>
      </c>
      <c r="E399" s="709" t="s">
        <v>8432</v>
      </c>
      <c r="F399" s="716">
        <v>302.25</v>
      </c>
      <c r="G399" s="716">
        <v>281.66000000000003</v>
      </c>
      <c r="H399" s="225">
        <f t="shared" si="6"/>
        <v>302.25</v>
      </c>
    </row>
    <row r="400" spans="1:8" x14ac:dyDescent="0.3">
      <c r="A400" s="401"/>
      <c r="B400" s="709">
        <v>11786</v>
      </c>
      <c r="C400" s="710" t="s">
        <v>8786</v>
      </c>
      <c r="D400" s="709" t="s">
        <v>136</v>
      </c>
      <c r="E400" s="709" t="s">
        <v>8432</v>
      </c>
      <c r="F400" s="716">
        <v>609.44000000000005</v>
      </c>
      <c r="G400" s="716">
        <v>567.94000000000005</v>
      </c>
      <c r="H400" s="225">
        <f t="shared" si="6"/>
        <v>609.44000000000005</v>
      </c>
    </row>
    <row r="401" spans="1:8" x14ac:dyDescent="0.3">
      <c r="A401" s="401"/>
      <c r="B401" s="709">
        <v>45195</v>
      </c>
      <c r="C401" s="710" t="s">
        <v>8787</v>
      </c>
      <c r="D401" s="709" t="s">
        <v>136</v>
      </c>
      <c r="E401" s="709" t="s">
        <v>8432</v>
      </c>
      <c r="F401" s="716">
        <v>4897.7700000000004</v>
      </c>
      <c r="G401" s="716">
        <v>4816.7</v>
      </c>
      <c r="H401" s="225">
        <f t="shared" si="6"/>
        <v>4897.7700000000004</v>
      </c>
    </row>
    <row r="402" spans="1:8" x14ac:dyDescent="0.3">
      <c r="A402" s="401"/>
      <c r="B402" s="709">
        <v>45226</v>
      </c>
      <c r="C402" s="710" t="s">
        <v>8788</v>
      </c>
      <c r="D402" s="709" t="s">
        <v>136</v>
      </c>
      <c r="E402" s="709" t="s">
        <v>8432</v>
      </c>
      <c r="F402" s="716">
        <v>15.18</v>
      </c>
      <c r="G402" s="716">
        <v>16.27</v>
      </c>
      <c r="H402" s="225">
        <f t="shared" si="6"/>
        <v>15.18</v>
      </c>
    </row>
    <row r="403" spans="1:8" x14ac:dyDescent="0.3">
      <c r="A403" s="401"/>
      <c r="B403" s="709">
        <v>4815</v>
      </c>
      <c r="C403" s="710" t="s">
        <v>8789</v>
      </c>
      <c r="D403" s="709" t="s">
        <v>136</v>
      </c>
      <c r="E403" s="709" t="s">
        <v>8432</v>
      </c>
      <c r="F403" s="716">
        <v>11.46</v>
      </c>
      <c r="G403" s="716">
        <v>11.24</v>
      </c>
      <c r="H403" s="225">
        <f t="shared" si="6"/>
        <v>11.46</v>
      </c>
    </row>
    <row r="404" spans="1:8" x14ac:dyDescent="0.3">
      <c r="A404" s="401"/>
      <c r="B404" s="709">
        <v>541</v>
      </c>
      <c r="C404" s="710" t="s">
        <v>8790</v>
      </c>
      <c r="D404" s="709" t="s">
        <v>136</v>
      </c>
      <c r="E404" s="709" t="s">
        <v>8438</v>
      </c>
      <c r="F404" s="716">
        <v>282.23</v>
      </c>
      <c r="G404" s="716">
        <v>316.31</v>
      </c>
      <c r="H404" s="225">
        <f t="shared" si="6"/>
        <v>282.23</v>
      </c>
    </row>
    <row r="405" spans="1:8" x14ac:dyDescent="0.3">
      <c r="A405" s="401"/>
      <c r="B405" s="709">
        <v>542</v>
      </c>
      <c r="C405" s="710" t="s">
        <v>8791</v>
      </c>
      <c r="D405" s="709" t="s">
        <v>136</v>
      </c>
      <c r="E405" s="709" t="s">
        <v>8432</v>
      </c>
      <c r="F405" s="716">
        <v>353.78</v>
      </c>
      <c r="G405" s="716">
        <v>396.5</v>
      </c>
      <c r="H405" s="225">
        <f t="shared" si="6"/>
        <v>353.78</v>
      </c>
    </row>
    <row r="406" spans="1:8" x14ac:dyDescent="0.3">
      <c r="A406" s="401"/>
      <c r="B406" s="709">
        <v>540</v>
      </c>
      <c r="C406" s="710" t="s">
        <v>8792</v>
      </c>
      <c r="D406" s="709" t="s">
        <v>136</v>
      </c>
      <c r="E406" s="709" t="s">
        <v>8432</v>
      </c>
      <c r="F406" s="716">
        <v>797.24</v>
      </c>
      <c r="G406" s="716">
        <v>893.5</v>
      </c>
      <c r="H406" s="225">
        <f t="shared" si="6"/>
        <v>797.24</v>
      </c>
    </row>
    <row r="407" spans="1:8" x14ac:dyDescent="0.3">
      <c r="A407" s="401"/>
      <c r="B407" s="709">
        <v>38364</v>
      </c>
      <c r="C407" s="710" t="s">
        <v>8793</v>
      </c>
      <c r="D407" s="709" t="s">
        <v>136</v>
      </c>
      <c r="E407" s="709" t="s">
        <v>8432</v>
      </c>
      <c r="F407" s="716">
        <v>1006.28</v>
      </c>
      <c r="G407" s="716">
        <v>932.91</v>
      </c>
      <c r="H407" s="225">
        <f t="shared" si="6"/>
        <v>1006.28</v>
      </c>
    </row>
    <row r="408" spans="1:8" x14ac:dyDescent="0.3">
      <c r="A408" s="401"/>
      <c r="B408" s="709">
        <v>11692</v>
      </c>
      <c r="C408" s="710" t="s">
        <v>8794</v>
      </c>
      <c r="D408" s="709" t="s">
        <v>168</v>
      </c>
      <c r="E408" s="709" t="s">
        <v>8432</v>
      </c>
      <c r="F408" s="716">
        <v>736.14</v>
      </c>
      <c r="G408" s="716">
        <v>682.21</v>
      </c>
      <c r="H408" s="225">
        <f t="shared" si="6"/>
        <v>736.14</v>
      </c>
    </row>
    <row r="409" spans="1:8" x14ac:dyDescent="0.3">
      <c r="A409" s="401"/>
      <c r="B409" s="709">
        <v>1746</v>
      </c>
      <c r="C409" s="710" t="s">
        <v>8795</v>
      </c>
      <c r="D409" s="709" t="s">
        <v>136</v>
      </c>
      <c r="E409" s="709" t="s">
        <v>8438</v>
      </c>
      <c r="F409" s="716">
        <v>269</v>
      </c>
      <c r="G409" s="716">
        <v>249.9</v>
      </c>
      <c r="H409" s="225">
        <f t="shared" si="6"/>
        <v>269</v>
      </c>
    </row>
    <row r="410" spans="1:8" x14ac:dyDescent="0.3">
      <c r="A410" s="401"/>
      <c r="B410" s="709">
        <v>1748</v>
      </c>
      <c r="C410" s="710" t="s">
        <v>8796</v>
      </c>
      <c r="D410" s="709" t="s">
        <v>136</v>
      </c>
      <c r="E410" s="709" t="s">
        <v>8432</v>
      </c>
      <c r="F410" s="716">
        <v>357.7</v>
      </c>
      <c r="G410" s="716">
        <v>332.3</v>
      </c>
      <c r="H410" s="225">
        <f t="shared" si="6"/>
        <v>357.7</v>
      </c>
    </row>
    <row r="411" spans="1:8" x14ac:dyDescent="0.3">
      <c r="A411" s="401"/>
      <c r="B411" s="709">
        <v>1749</v>
      </c>
      <c r="C411" s="710" t="s">
        <v>8797</v>
      </c>
      <c r="D411" s="709" t="s">
        <v>136</v>
      </c>
      <c r="E411" s="709" t="s">
        <v>8432</v>
      </c>
      <c r="F411" s="716">
        <v>518.25</v>
      </c>
      <c r="G411" s="716">
        <v>481.45</v>
      </c>
      <c r="H411" s="225">
        <f t="shared" si="6"/>
        <v>518.25</v>
      </c>
    </row>
    <row r="412" spans="1:8" x14ac:dyDescent="0.3">
      <c r="A412" s="401"/>
      <c r="B412" s="709">
        <v>37412</v>
      </c>
      <c r="C412" s="710" t="s">
        <v>8798</v>
      </c>
      <c r="D412" s="709" t="s">
        <v>136</v>
      </c>
      <c r="E412" s="709" t="s">
        <v>8432</v>
      </c>
      <c r="F412" s="716">
        <v>262.95</v>
      </c>
      <c r="G412" s="716">
        <v>244.28</v>
      </c>
      <c r="H412" s="225">
        <f t="shared" si="6"/>
        <v>262.95</v>
      </c>
    </row>
    <row r="413" spans="1:8" x14ac:dyDescent="0.3">
      <c r="A413" s="401"/>
      <c r="B413" s="709">
        <v>1745</v>
      </c>
      <c r="C413" s="710" t="s">
        <v>8799</v>
      </c>
      <c r="D413" s="709" t="s">
        <v>136</v>
      </c>
      <c r="E413" s="709" t="s">
        <v>8432</v>
      </c>
      <c r="F413" s="716">
        <v>312.68</v>
      </c>
      <c r="G413" s="716">
        <v>290.47000000000003</v>
      </c>
      <c r="H413" s="225">
        <f t="shared" si="6"/>
        <v>312.68</v>
      </c>
    </row>
    <row r="414" spans="1:8" x14ac:dyDescent="0.3">
      <c r="A414" s="401"/>
      <c r="B414" s="709">
        <v>1750</v>
      </c>
      <c r="C414" s="710" t="s">
        <v>8800</v>
      </c>
      <c r="D414" s="709" t="s">
        <v>136</v>
      </c>
      <c r="E414" s="709" t="s">
        <v>8432</v>
      </c>
      <c r="F414" s="716">
        <v>730.68</v>
      </c>
      <c r="G414" s="716">
        <v>678.8</v>
      </c>
      <c r="H414" s="225">
        <f t="shared" si="6"/>
        <v>730.68</v>
      </c>
    </row>
    <row r="415" spans="1:8" x14ac:dyDescent="0.3">
      <c r="A415" s="401"/>
      <c r="B415" s="709">
        <v>11687</v>
      </c>
      <c r="C415" s="710" t="s">
        <v>8801</v>
      </c>
      <c r="D415" s="709" t="s">
        <v>159</v>
      </c>
      <c r="E415" s="709" t="s">
        <v>8432</v>
      </c>
      <c r="F415" s="716">
        <v>1164.2</v>
      </c>
      <c r="G415" s="716">
        <v>1081.54</v>
      </c>
      <c r="H415" s="225">
        <f t="shared" si="6"/>
        <v>1164.2</v>
      </c>
    </row>
    <row r="416" spans="1:8" x14ac:dyDescent="0.3">
      <c r="A416" s="401"/>
      <c r="B416" s="709">
        <v>11689</v>
      </c>
      <c r="C416" s="710" t="s">
        <v>8802</v>
      </c>
      <c r="D416" s="709" t="s">
        <v>159</v>
      </c>
      <c r="E416" s="709" t="s">
        <v>8432</v>
      </c>
      <c r="F416" s="716">
        <v>1458.68</v>
      </c>
      <c r="G416" s="716">
        <v>1355.1</v>
      </c>
      <c r="H416" s="225">
        <f t="shared" si="6"/>
        <v>1458.68</v>
      </c>
    </row>
    <row r="417" spans="1:8" x14ac:dyDescent="0.3">
      <c r="A417" s="401"/>
      <c r="B417" s="709">
        <v>11693</v>
      </c>
      <c r="C417" s="710" t="s">
        <v>8803</v>
      </c>
      <c r="D417" s="709" t="s">
        <v>168</v>
      </c>
      <c r="E417" s="709" t="s">
        <v>8432</v>
      </c>
      <c r="F417" s="716">
        <v>312.93</v>
      </c>
      <c r="G417" s="716">
        <v>350.72</v>
      </c>
      <c r="H417" s="225">
        <f t="shared" si="6"/>
        <v>312.93</v>
      </c>
    </row>
    <row r="418" spans="1:8" x14ac:dyDescent="0.3">
      <c r="A418" s="401"/>
      <c r="B418" s="709">
        <v>36215</v>
      </c>
      <c r="C418" s="710" t="s">
        <v>8804</v>
      </c>
      <c r="D418" s="709" t="s">
        <v>136</v>
      </c>
      <c r="E418" s="709" t="s">
        <v>8432</v>
      </c>
      <c r="F418" s="716">
        <v>1340.06</v>
      </c>
      <c r="G418" s="716">
        <v>976.69</v>
      </c>
      <c r="H418" s="225">
        <f t="shared" si="6"/>
        <v>1340.06</v>
      </c>
    </row>
    <row r="419" spans="1:8" x14ac:dyDescent="0.3">
      <c r="A419" s="401"/>
      <c r="B419" s="709">
        <v>42439</v>
      </c>
      <c r="C419" s="710" t="s">
        <v>8805</v>
      </c>
      <c r="D419" s="709" t="s">
        <v>136</v>
      </c>
      <c r="E419" s="709" t="s">
        <v>8432</v>
      </c>
      <c r="F419" s="716"/>
      <c r="G419" s="716">
        <v>1207.8399999999999</v>
      </c>
      <c r="H419" s="225">
        <f t="shared" si="6"/>
        <v>1207.8399999999999</v>
      </c>
    </row>
    <row r="420" spans="1:8" x14ac:dyDescent="0.3">
      <c r="A420" s="401"/>
      <c r="B420" s="709">
        <v>38381</v>
      </c>
      <c r="C420" s="710" t="s">
        <v>8806</v>
      </c>
      <c r="D420" s="709" t="s">
        <v>136</v>
      </c>
      <c r="E420" s="709" t="s">
        <v>8432</v>
      </c>
      <c r="F420" s="716">
        <v>12.14</v>
      </c>
      <c r="G420" s="716">
        <v>13.01</v>
      </c>
      <c r="H420" s="225">
        <f t="shared" si="6"/>
        <v>12.14</v>
      </c>
    </row>
    <row r="421" spans="1:8" x14ac:dyDescent="0.3">
      <c r="A421" s="401"/>
      <c r="B421" s="709">
        <v>39621</v>
      </c>
      <c r="C421" s="710" t="s">
        <v>8807</v>
      </c>
      <c r="D421" s="709" t="s">
        <v>8808</v>
      </c>
      <c r="E421" s="709" t="s">
        <v>8432</v>
      </c>
      <c r="F421" s="716">
        <v>1582.03</v>
      </c>
      <c r="G421" s="716">
        <v>1398.41</v>
      </c>
      <c r="H421" s="225">
        <f t="shared" si="6"/>
        <v>1582.03</v>
      </c>
    </row>
    <row r="422" spans="1:8" x14ac:dyDescent="0.3">
      <c r="A422" s="401"/>
      <c r="B422" s="709">
        <v>39624</v>
      </c>
      <c r="C422" s="710" t="s">
        <v>8809</v>
      </c>
      <c r="D422" s="709" t="s">
        <v>8808</v>
      </c>
      <c r="E422" s="709" t="s">
        <v>8432</v>
      </c>
      <c r="F422" s="716">
        <v>1745.15</v>
      </c>
      <c r="G422" s="716">
        <v>1542.6</v>
      </c>
      <c r="H422" s="225">
        <f t="shared" si="6"/>
        <v>1745.15</v>
      </c>
    </row>
    <row r="423" spans="1:8" x14ac:dyDescent="0.3">
      <c r="A423" s="401"/>
      <c r="B423" s="709">
        <v>39615</v>
      </c>
      <c r="C423" s="710" t="s">
        <v>8810</v>
      </c>
      <c r="D423" s="709" t="s">
        <v>136</v>
      </c>
      <c r="E423" s="709" t="s">
        <v>8432</v>
      </c>
      <c r="F423" s="716">
        <v>705.2</v>
      </c>
      <c r="G423" s="716">
        <v>623.35</v>
      </c>
      <c r="H423" s="225">
        <f t="shared" si="6"/>
        <v>705.2</v>
      </c>
    </row>
    <row r="424" spans="1:8" x14ac:dyDescent="0.3">
      <c r="A424" s="401"/>
      <c r="B424" s="709">
        <v>39620</v>
      </c>
      <c r="C424" s="710" t="s">
        <v>8811</v>
      </c>
      <c r="D424" s="709" t="s">
        <v>136</v>
      </c>
      <c r="E424" s="709" t="s">
        <v>8432</v>
      </c>
      <c r="F424" s="716">
        <v>1077.03</v>
      </c>
      <c r="G424" s="716">
        <v>952.03</v>
      </c>
      <c r="H424" s="225">
        <f t="shared" si="6"/>
        <v>1077.03</v>
      </c>
    </row>
    <row r="425" spans="1:8" x14ac:dyDescent="0.3">
      <c r="A425" s="401"/>
      <c r="B425" s="709">
        <v>39623</v>
      </c>
      <c r="C425" s="710" t="s">
        <v>8812</v>
      </c>
      <c r="D425" s="709" t="s">
        <v>136</v>
      </c>
      <c r="E425" s="709" t="s">
        <v>8432</v>
      </c>
      <c r="F425" s="716">
        <v>1153.5999999999999</v>
      </c>
      <c r="G425" s="716">
        <v>1019.7</v>
      </c>
      <c r="H425" s="225">
        <f t="shared" si="6"/>
        <v>1153.5999999999999</v>
      </c>
    </row>
    <row r="426" spans="1:8" x14ac:dyDescent="0.3">
      <c r="A426" s="401"/>
      <c r="B426" s="709">
        <v>546</v>
      </c>
      <c r="C426" s="710" t="s">
        <v>8813</v>
      </c>
      <c r="D426" s="709" t="s">
        <v>175</v>
      </c>
      <c r="E426" s="709" t="s">
        <v>8438</v>
      </c>
      <c r="F426" s="716">
        <v>8.33</v>
      </c>
      <c r="G426" s="716">
        <v>8.89</v>
      </c>
      <c r="H426" s="225">
        <f t="shared" si="6"/>
        <v>8.33</v>
      </c>
    </row>
    <row r="427" spans="1:8" x14ac:dyDescent="0.3">
      <c r="A427" s="401"/>
      <c r="B427" s="709">
        <v>566</v>
      </c>
      <c r="C427" s="710" t="s">
        <v>8814</v>
      </c>
      <c r="D427" s="709" t="s">
        <v>159</v>
      </c>
      <c r="E427" s="709" t="s">
        <v>8432</v>
      </c>
      <c r="F427" s="716">
        <v>3.95</v>
      </c>
      <c r="G427" s="716">
        <v>4.22</v>
      </c>
      <c r="H427" s="225">
        <f t="shared" si="6"/>
        <v>3.95</v>
      </c>
    </row>
    <row r="428" spans="1:8" x14ac:dyDescent="0.3">
      <c r="A428" s="401"/>
      <c r="B428" s="709">
        <v>565</v>
      </c>
      <c r="C428" s="710" t="s">
        <v>8815</v>
      </c>
      <c r="D428" s="709" t="s">
        <v>159</v>
      </c>
      <c r="E428" s="709" t="s">
        <v>8432</v>
      </c>
      <c r="F428" s="716">
        <v>7.83</v>
      </c>
      <c r="G428" s="716">
        <v>8.36</v>
      </c>
      <c r="H428" s="225">
        <f t="shared" si="6"/>
        <v>7.83</v>
      </c>
    </row>
    <row r="429" spans="1:8" x14ac:dyDescent="0.3">
      <c r="A429" s="401"/>
      <c r="B429" s="709">
        <v>555</v>
      </c>
      <c r="C429" s="710" t="s">
        <v>8816</v>
      </c>
      <c r="D429" s="709" t="s">
        <v>159</v>
      </c>
      <c r="E429" s="709" t="s">
        <v>8432</v>
      </c>
      <c r="F429" s="716">
        <v>10.210000000000001</v>
      </c>
      <c r="G429" s="716">
        <v>10.9</v>
      </c>
      <c r="H429" s="225">
        <f t="shared" si="6"/>
        <v>10.210000000000001</v>
      </c>
    </row>
    <row r="430" spans="1:8" x14ac:dyDescent="0.3">
      <c r="A430" s="401"/>
      <c r="B430" s="709">
        <v>557</v>
      </c>
      <c r="C430" s="710" t="s">
        <v>8817</v>
      </c>
      <c r="D430" s="709" t="s">
        <v>159</v>
      </c>
      <c r="E430" s="709" t="s">
        <v>8432</v>
      </c>
      <c r="F430" s="716">
        <v>32.049999999999997</v>
      </c>
      <c r="G430" s="716">
        <v>34.200000000000003</v>
      </c>
      <c r="H430" s="225">
        <f t="shared" si="6"/>
        <v>32.049999999999997</v>
      </c>
    </row>
    <row r="431" spans="1:8" x14ac:dyDescent="0.3">
      <c r="A431" s="401"/>
      <c r="B431" s="709">
        <v>552</v>
      </c>
      <c r="C431" s="710" t="s">
        <v>8818</v>
      </c>
      <c r="D431" s="709" t="s">
        <v>159</v>
      </c>
      <c r="E431" s="709" t="s">
        <v>8432</v>
      </c>
      <c r="F431" s="716">
        <v>15.9</v>
      </c>
      <c r="G431" s="716">
        <v>16.97</v>
      </c>
      <c r="H431" s="225">
        <f t="shared" si="6"/>
        <v>15.9</v>
      </c>
    </row>
    <row r="432" spans="1:8" x14ac:dyDescent="0.3">
      <c r="A432" s="401"/>
      <c r="B432" s="709">
        <v>563</v>
      </c>
      <c r="C432" s="710" t="s">
        <v>8819</v>
      </c>
      <c r="D432" s="709" t="s">
        <v>159</v>
      </c>
      <c r="E432" s="709" t="s">
        <v>8432</v>
      </c>
      <c r="F432" s="716">
        <v>23.89</v>
      </c>
      <c r="G432" s="716">
        <v>25.5</v>
      </c>
      <c r="H432" s="225">
        <f t="shared" si="6"/>
        <v>23.89</v>
      </c>
    </row>
    <row r="433" spans="1:8" x14ac:dyDescent="0.3">
      <c r="A433" s="401"/>
      <c r="B433" s="709">
        <v>549</v>
      </c>
      <c r="C433" s="710" t="s">
        <v>8820</v>
      </c>
      <c r="D433" s="709" t="s">
        <v>159</v>
      </c>
      <c r="E433" s="709" t="s">
        <v>8432</v>
      </c>
      <c r="F433" s="716">
        <v>43</v>
      </c>
      <c r="G433" s="716">
        <v>45.9</v>
      </c>
      <c r="H433" s="225">
        <f t="shared" si="6"/>
        <v>43</v>
      </c>
    </row>
    <row r="434" spans="1:8" x14ac:dyDescent="0.3">
      <c r="A434" s="401"/>
      <c r="B434" s="709">
        <v>551</v>
      </c>
      <c r="C434" s="710" t="s">
        <v>8821</v>
      </c>
      <c r="D434" s="709" t="s">
        <v>159</v>
      </c>
      <c r="E434" s="709" t="s">
        <v>8432</v>
      </c>
      <c r="F434" s="716">
        <v>85.15</v>
      </c>
      <c r="G434" s="716">
        <v>90.88</v>
      </c>
      <c r="H434" s="225">
        <f t="shared" si="6"/>
        <v>85.15</v>
      </c>
    </row>
    <row r="435" spans="1:8" x14ac:dyDescent="0.3">
      <c r="A435" s="401"/>
      <c r="B435" s="709">
        <v>559</v>
      </c>
      <c r="C435" s="710" t="s">
        <v>8822</v>
      </c>
      <c r="D435" s="709" t="s">
        <v>159</v>
      </c>
      <c r="E435" s="709" t="s">
        <v>8432</v>
      </c>
      <c r="F435" s="716">
        <v>21.28</v>
      </c>
      <c r="G435" s="716">
        <v>22.72</v>
      </c>
      <c r="H435" s="225">
        <f t="shared" si="6"/>
        <v>21.28</v>
      </c>
    </row>
    <row r="436" spans="1:8" x14ac:dyDescent="0.3">
      <c r="A436" s="401"/>
      <c r="B436" s="709">
        <v>560</v>
      </c>
      <c r="C436" s="710" t="s">
        <v>8823</v>
      </c>
      <c r="D436" s="709" t="s">
        <v>159</v>
      </c>
      <c r="E436" s="709" t="s">
        <v>8432</v>
      </c>
      <c r="F436" s="716">
        <v>26.63</v>
      </c>
      <c r="G436" s="716">
        <v>28.42</v>
      </c>
      <c r="H436" s="225">
        <f t="shared" si="6"/>
        <v>26.63</v>
      </c>
    </row>
    <row r="437" spans="1:8" x14ac:dyDescent="0.3">
      <c r="A437" s="401"/>
      <c r="B437" s="709">
        <v>547</v>
      </c>
      <c r="C437" s="710" t="s">
        <v>8824</v>
      </c>
      <c r="D437" s="709" t="s">
        <v>159</v>
      </c>
      <c r="E437" s="709" t="s">
        <v>8432</v>
      </c>
      <c r="F437" s="716">
        <v>31.89</v>
      </c>
      <c r="G437" s="716">
        <v>34.03</v>
      </c>
      <c r="H437" s="225">
        <f t="shared" si="6"/>
        <v>31.89</v>
      </c>
    </row>
    <row r="438" spans="1:8" x14ac:dyDescent="0.3">
      <c r="A438" s="401"/>
      <c r="B438" s="709">
        <v>36207</v>
      </c>
      <c r="C438" s="710" t="s">
        <v>8825</v>
      </c>
      <c r="D438" s="709" t="s">
        <v>136</v>
      </c>
      <c r="E438" s="709" t="s">
        <v>8432</v>
      </c>
      <c r="F438" s="716">
        <v>593.54999999999995</v>
      </c>
      <c r="G438" s="716">
        <v>432.6</v>
      </c>
      <c r="H438" s="225">
        <f t="shared" si="6"/>
        <v>593.54999999999995</v>
      </c>
    </row>
    <row r="439" spans="1:8" x14ac:dyDescent="0.3">
      <c r="A439" s="401"/>
      <c r="B439" s="709">
        <v>36209</v>
      </c>
      <c r="C439" s="710" t="s">
        <v>8826</v>
      </c>
      <c r="D439" s="709" t="s">
        <v>136</v>
      </c>
      <c r="E439" s="709" t="s">
        <v>8432</v>
      </c>
      <c r="F439" s="716">
        <v>681.19</v>
      </c>
      <c r="G439" s="716">
        <v>496.48</v>
      </c>
      <c r="H439" s="225">
        <f t="shared" si="6"/>
        <v>681.19</v>
      </c>
    </row>
    <row r="440" spans="1:8" x14ac:dyDescent="0.3">
      <c r="A440" s="401"/>
      <c r="B440" s="709">
        <v>36210</v>
      </c>
      <c r="C440" s="710" t="s">
        <v>8827</v>
      </c>
      <c r="D440" s="709" t="s">
        <v>136</v>
      </c>
      <c r="E440" s="709" t="s">
        <v>8432</v>
      </c>
      <c r="F440" s="716">
        <v>737.03</v>
      </c>
      <c r="G440" s="716">
        <v>537.17999999999995</v>
      </c>
      <c r="H440" s="225">
        <f t="shared" si="6"/>
        <v>737.03</v>
      </c>
    </row>
    <row r="441" spans="1:8" x14ac:dyDescent="0.3">
      <c r="A441" s="401"/>
      <c r="B441" s="709">
        <v>36204</v>
      </c>
      <c r="C441" s="710" t="s">
        <v>8828</v>
      </c>
      <c r="D441" s="709" t="s">
        <v>136</v>
      </c>
      <c r="E441" s="709" t="s">
        <v>8432</v>
      </c>
      <c r="F441" s="716">
        <v>261.32</v>
      </c>
      <c r="G441" s="716">
        <v>190.46</v>
      </c>
      <c r="H441" s="225">
        <f t="shared" si="6"/>
        <v>261.32</v>
      </c>
    </row>
    <row r="442" spans="1:8" x14ac:dyDescent="0.3">
      <c r="A442" s="401"/>
      <c r="B442" s="709">
        <v>36205</v>
      </c>
      <c r="C442" s="710" t="s">
        <v>8829</v>
      </c>
      <c r="D442" s="709" t="s">
        <v>136</v>
      </c>
      <c r="E442" s="709" t="s">
        <v>8432</v>
      </c>
      <c r="F442" s="716">
        <v>290.22000000000003</v>
      </c>
      <c r="G442" s="716">
        <v>211.52</v>
      </c>
      <c r="H442" s="225">
        <f t="shared" si="6"/>
        <v>290.22000000000003</v>
      </c>
    </row>
    <row r="443" spans="1:8" x14ac:dyDescent="0.3">
      <c r="A443" s="401"/>
      <c r="B443" s="709">
        <v>36081</v>
      </c>
      <c r="C443" s="710" t="s">
        <v>8830</v>
      </c>
      <c r="D443" s="709" t="s">
        <v>136</v>
      </c>
      <c r="E443" s="709" t="s">
        <v>8438</v>
      </c>
      <c r="F443" s="716">
        <v>309.45</v>
      </c>
      <c r="G443" s="716">
        <v>225.54</v>
      </c>
      <c r="H443" s="225">
        <f t="shared" si="6"/>
        <v>309.45</v>
      </c>
    </row>
    <row r="444" spans="1:8" x14ac:dyDescent="0.3">
      <c r="A444" s="401"/>
      <c r="B444" s="709">
        <v>36206</v>
      </c>
      <c r="C444" s="710" t="s">
        <v>8831</v>
      </c>
      <c r="D444" s="709" t="s">
        <v>136</v>
      </c>
      <c r="E444" s="709" t="s">
        <v>8432</v>
      </c>
      <c r="F444" s="716">
        <v>324.2</v>
      </c>
      <c r="G444" s="716">
        <v>236.29</v>
      </c>
      <c r="H444" s="225">
        <f t="shared" si="6"/>
        <v>324.2</v>
      </c>
    </row>
    <row r="445" spans="1:8" x14ac:dyDescent="0.3">
      <c r="A445" s="401"/>
      <c r="B445" s="709">
        <v>36218</v>
      </c>
      <c r="C445" s="710" t="s">
        <v>8832</v>
      </c>
      <c r="D445" s="709" t="s">
        <v>136</v>
      </c>
      <c r="E445" s="709" t="s">
        <v>8432</v>
      </c>
      <c r="F445" s="716"/>
      <c r="G445" s="716">
        <v>173.26</v>
      </c>
      <c r="H445" s="225">
        <f t="shared" si="6"/>
        <v>173.26</v>
      </c>
    </row>
    <row r="446" spans="1:8" x14ac:dyDescent="0.3">
      <c r="A446" s="401"/>
      <c r="B446" s="709">
        <v>36220</v>
      </c>
      <c r="C446" s="710" t="s">
        <v>8833</v>
      </c>
      <c r="D446" s="709" t="s">
        <v>136</v>
      </c>
      <c r="E446" s="709" t="s">
        <v>8432</v>
      </c>
      <c r="F446" s="716"/>
      <c r="G446" s="716">
        <v>198.68</v>
      </c>
      <c r="H446" s="225">
        <f t="shared" si="6"/>
        <v>198.68</v>
      </c>
    </row>
    <row r="447" spans="1:8" x14ac:dyDescent="0.3">
      <c r="A447" s="401"/>
      <c r="B447" s="709">
        <v>36080</v>
      </c>
      <c r="C447" s="710" t="s">
        <v>8834</v>
      </c>
      <c r="D447" s="709" t="s">
        <v>136</v>
      </c>
      <c r="E447" s="709" t="s">
        <v>8438</v>
      </c>
      <c r="F447" s="716"/>
      <c r="G447" s="716">
        <v>214.9</v>
      </c>
      <c r="H447" s="225">
        <f t="shared" si="6"/>
        <v>214.9</v>
      </c>
    </row>
    <row r="448" spans="1:8" x14ac:dyDescent="0.3">
      <c r="A448" s="401"/>
      <c r="B448" s="709">
        <v>36223</v>
      </c>
      <c r="C448" s="710" t="s">
        <v>8835</v>
      </c>
      <c r="D448" s="709" t="s">
        <v>136</v>
      </c>
      <c r="E448" s="709" t="s">
        <v>8432</v>
      </c>
      <c r="F448" s="716"/>
      <c r="G448" s="716">
        <v>225.03</v>
      </c>
      <c r="H448" s="225">
        <f t="shared" si="6"/>
        <v>225.03</v>
      </c>
    </row>
    <row r="449" spans="1:8" x14ac:dyDescent="0.3">
      <c r="A449" s="401"/>
      <c r="B449" s="709">
        <v>38127</v>
      </c>
      <c r="C449" s="710" t="s">
        <v>8836</v>
      </c>
      <c r="D449" s="709" t="s">
        <v>136</v>
      </c>
      <c r="E449" s="709" t="s">
        <v>8432</v>
      </c>
      <c r="F449" s="716">
        <v>849.18</v>
      </c>
      <c r="G449" s="716">
        <v>433.82</v>
      </c>
      <c r="H449" s="225">
        <f t="shared" si="6"/>
        <v>849.18</v>
      </c>
    </row>
    <row r="450" spans="1:8" x14ac:dyDescent="0.3">
      <c r="A450" s="401"/>
      <c r="B450" s="709">
        <v>38060</v>
      </c>
      <c r="C450" s="710" t="s">
        <v>8837</v>
      </c>
      <c r="D450" s="709" t="s">
        <v>136</v>
      </c>
      <c r="E450" s="709" t="s">
        <v>8432</v>
      </c>
      <c r="F450" s="716">
        <v>58.52</v>
      </c>
      <c r="G450" s="716">
        <v>52.18</v>
      </c>
      <c r="H450" s="225">
        <f t="shared" si="6"/>
        <v>58.52</v>
      </c>
    </row>
    <row r="451" spans="1:8" x14ac:dyDescent="0.3">
      <c r="A451" s="401"/>
      <c r="B451" s="709">
        <v>10956</v>
      </c>
      <c r="C451" s="710" t="s">
        <v>8838</v>
      </c>
      <c r="D451" s="709" t="s">
        <v>136</v>
      </c>
      <c r="E451" s="709" t="s">
        <v>8432</v>
      </c>
      <c r="F451" s="716">
        <v>64.180000000000007</v>
      </c>
      <c r="G451" s="716">
        <v>57.23</v>
      </c>
      <c r="H451" s="225">
        <f t="shared" si="6"/>
        <v>64.180000000000007</v>
      </c>
    </row>
    <row r="452" spans="1:8" x14ac:dyDescent="0.3">
      <c r="A452" s="401"/>
      <c r="B452" s="709">
        <v>39380</v>
      </c>
      <c r="C452" s="710" t="s">
        <v>8839</v>
      </c>
      <c r="D452" s="709" t="s">
        <v>136</v>
      </c>
      <c r="E452" s="709" t="s">
        <v>8432</v>
      </c>
      <c r="F452" s="716"/>
      <c r="G452" s="716">
        <v>15.57</v>
      </c>
      <c r="H452" s="225">
        <f t="shared" si="6"/>
        <v>15.57</v>
      </c>
    </row>
    <row r="453" spans="1:8" x14ac:dyDescent="0.3">
      <c r="A453" s="401"/>
      <c r="B453" s="709">
        <v>44172</v>
      </c>
      <c r="C453" s="710" t="s">
        <v>8840</v>
      </c>
      <c r="D453" s="709" t="s">
        <v>136</v>
      </c>
      <c r="E453" s="709" t="s">
        <v>8432</v>
      </c>
      <c r="F453" s="716">
        <v>8.0299999999999994</v>
      </c>
      <c r="G453" s="716">
        <v>6.37</v>
      </c>
      <c r="H453" s="225">
        <f t="shared" si="6"/>
        <v>8.0299999999999994</v>
      </c>
    </row>
    <row r="454" spans="1:8" x14ac:dyDescent="0.3">
      <c r="A454" s="401"/>
      <c r="B454" s="709">
        <v>37597</v>
      </c>
      <c r="C454" s="710" t="s">
        <v>8841</v>
      </c>
      <c r="D454" s="709" t="s">
        <v>136</v>
      </c>
      <c r="E454" s="709" t="s">
        <v>8432</v>
      </c>
      <c r="F454" s="716">
        <v>638906.25</v>
      </c>
      <c r="G454" s="716">
        <v>651367.18000000005</v>
      </c>
      <c r="H454" s="225">
        <f t="shared" si="6"/>
        <v>638906.25</v>
      </c>
    </row>
    <row r="455" spans="1:8" x14ac:dyDescent="0.3">
      <c r="A455" s="401"/>
      <c r="B455" s="709">
        <v>183</v>
      </c>
      <c r="C455" s="710" t="s">
        <v>8842</v>
      </c>
      <c r="D455" s="709" t="s">
        <v>8843</v>
      </c>
      <c r="E455" s="709" t="s">
        <v>8438</v>
      </c>
      <c r="F455" s="716">
        <v>299.45</v>
      </c>
      <c r="G455" s="716">
        <v>240</v>
      </c>
      <c r="H455" s="225">
        <f t="shared" si="6"/>
        <v>299.45</v>
      </c>
    </row>
    <row r="456" spans="1:8" x14ac:dyDescent="0.3">
      <c r="A456" s="401"/>
      <c r="B456" s="709">
        <v>184</v>
      </c>
      <c r="C456" s="710" t="s">
        <v>8844</v>
      </c>
      <c r="D456" s="709" t="s">
        <v>8843</v>
      </c>
      <c r="E456" s="709" t="s">
        <v>8432</v>
      </c>
      <c r="F456" s="716">
        <v>185.46</v>
      </c>
      <c r="G456" s="716">
        <v>148.63999999999999</v>
      </c>
      <c r="H456" s="225">
        <f t="shared" si="6"/>
        <v>185.46</v>
      </c>
    </row>
    <row r="457" spans="1:8" x14ac:dyDescent="0.3">
      <c r="A457" s="401"/>
      <c r="B457" s="709">
        <v>181</v>
      </c>
      <c r="C457" s="710" t="s">
        <v>8845</v>
      </c>
      <c r="D457" s="709" t="s">
        <v>8843</v>
      </c>
      <c r="E457" s="709" t="s">
        <v>8432</v>
      </c>
      <c r="F457" s="716">
        <v>399.91</v>
      </c>
      <c r="G457" s="716">
        <v>320.51</v>
      </c>
      <c r="H457" s="225">
        <f t="shared" si="6"/>
        <v>399.91</v>
      </c>
    </row>
    <row r="458" spans="1:8" x14ac:dyDescent="0.3">
      <c r="A458" s="401"/>
      <c r="B458" s="709">
        <v>20001</v>
      </c>
      <c r="C458" s="710" t="s">
        <v>8846</v>
      </c>
      <c r="D458" s="709" t="s">
        <v>8843</v>
      </c>
      <c r="E458" s="709" t="s">
        <v>8432</v>
      </c>
      <c r="F458" s="716">
        <v>231.83</v>
      </c>
      <c r="G458" s="716">
        <v>185.8</v>
      </c>
      <c r="H458" s="225">
        <f t="shared" si="6"/>
        <v>231.83</v>
      </c>
    </row>
    <row r="459" spans="1:8" x14ac:dyDescent="0.3">
      <c r="A459" s="401"/>
      <c r="B459" s="709">
        <v>39837</v>
      </c>
      <c r="C459" s="710" t="s">
        <v>8847</v>
      </c>
      <c r="D459" s="709" t="s">
        <v>8843</v>
      </c>
      <c r="E459" s="709" t="s">
        <v>8432</v>
      </c>
      <c r="F459" s="716">
        <v>345.99</v>
      </c>
      <c r="G459" s="716">
        <v>416.87</v>
      </c>
      <c r="H459" s="225">
        <f t="shared" ref="H459:H522" si="7">IF(F459&gt;0,F459,G459)</f>
        <v>345.99</v>
      </c>
    </row>
    <row r="460" spans="1:8" x14ac:dyDescent="0.3">
      <c r="A460" s="401"/>
      <c r="B460" s="709">
        <v>43366</v>
      </c>
      <c r="C460" s="710" t="s">
        <v>8848</v>
      </c>
      <c r="D460" s="709" t="s">
        <v>175</v>
      </c>
      <c r="E460" s="709" t="s">
        <v>8432</v>
      </c>
      <c r="F460" s="716"/>
      <c r="G460" s="716">
        <v>1.69</v>
      </c>
      <c r="H460" s="225">
        <f t="shared" si="7"/>
        <v>1.69</v>
      </c>
    </row>
    <row r="461" spans="1:8" x14ac:dyDescent="0.3">
      <c r="A461" s="401"/>
      <c r="B461" s="709">
        <v>10535</v>
      </c>
      <c r="C461" s="710" t="s">
        <v>8849</v>
      </c>
      <c r="D461" s="709" t="s">
        <v>136</v>
      </c>
      <c r="E461" s="709" t="s">
        <v>8438</v>
      </c>
      <c r="F461" s="716">
        <v>4890</v>
      </c>
      <c r="G461" s="716">
        <v>5237.0200000000004</v>
      </c>
      <c r="H461" s="225">
        <f t="shared" si="7"/>
        <v>4890</v>
      </c>
    </row>
    <row r="462" spans="1:8" x14ac:dyDescent="0.3">
      <c r="A462" s="401"/>
      <c r="B462" s="709">
        <v>10537</v>
      </c>
      <c r="C462" s="710" t="s">
        <v>8850</v>
      </c>
      <c r="D462" s="709" t="s">
        <v>136</v>
      </c>
      <c r="E462" s="709" t="s">
        <v>8432</v>
      </c>
      <c r="F462" s="716">
        <v>6668.63</v>
      </c>
      <c r="G462" s="716">
        <v>7141.87</v>
      </c>
      <c r="H462" s="225">
        <f t="shared" si="7"/>
        <v>6668.63</v>
      </c>
    </row>
    <row r="463" spans="1:8" x14ac:dyDescent="0.3">
      <c r="A463" s="401"/>
      <c r="B463" s="709">
        <v>13891</v>
      </c>
      <c r="C463" s="710" t="s">
        <v>8851</v>
      </c>
      <c r="D463" s="709" t="s">
        <v>136</v>
      </c>
      <c r="E463" s="709" t="s">
        <v>8432</v>
      </c>
      <c r="F463" s="716">
        <v>6116.64</v>
      </c>
      <c r="G463" s="716">
        <v>6550.71</v>
      </c>
      <c r="H463" s="225">
        <f t="shared" si="7"/>
        <v>6116.64</v>
      </c>
    </row>
    <row r="464" spans="1:8" x14ac:dyDescent="0.3">
      <c r="A464" s="401"/>
      <c r="B464" s="709">
        <v>36397</v>
      </c>
      <c r="C464" s="710" t="s">
        <v>8852</v>
      </c>
      <c r="D464" s="709" t="s">
        <v>136</v>
      </c>
      <c r="E464" s="709" t="s">
        <v>8432</v>
      </c>
      <c r="F464" s="716">
        <v>19891.52</v>
      </c>
      <c r="G464" s="716">
        <v>21303.13</v>
      </c>
      <c r="H464" s="225">
        <f t="shared" si="7"/>
        <v>19891.52</v>
      </c>
    </row>
    <row r="465" spans="1:8" x14ac:dyDescent="0.3">
      <c r="A465" s="401"/>
      <c r="B465" s="709">
        <v>36398</v>
      </c>
      <c r="C465" s="710" t="s">
        <v>8853</v>
      </c>
      <c r="D465" s="709" t="s">
        <v>136</v>
      </c>
      <c r="E465" s="709" t="s">
        <v>8432</v>
      </c>
      <c r="F465" s="716">
        <v>24176.49</v>
      </c>
      <c r="G465" s="716">
        <v>25892.18</v>
      </c>
      <c r="H465" s="225">
        <f t="shared" si="7"/>
        <v>24176.49</v>
      </c>
    </row>
    <row r="466" spans="1:8" x14ac:dyDescent="0.3">
      <c r="A466" s="401"/>
      <c r="B466" s="709">
        <v>647</v>
      </c>
      <c r="C466" s="710" t="s">
        <v>8854</v>
      </c>
      <c r="D466" s="709" t="s">
        <v>234</v>
      </c>
      <c r="E466" s="709" t="s">
        <v>8432</v>
      </c>
      <c r="F466" s="716">
        <v>33.17</v>
      </c>
      <c r="G466" s="716">
        <v>33.020000000000003</v>
      </c>
      <c r="H466" s="225">
        <f t="shared" si="7"/>
        <v>33.17</v>
      </c>
    </row>
    <row r="467" spans="1:8" x14ac:dyDescent="0.3">
      <c r="A467" s="401"/>
      <c r="B467" s="709">
        <v>40920</v>
      </c>
      <c r="C467" s="710" t="s">
        <v>8855</v>
      </c>
      <c r="D467" s="709" t="s">
        <v>208</v>
      </c>
      <c r="E467" s="709" t="s">
        <v>8432</v>
      </c>
      <c r="F467" s="716">
        <v>5831.61</v>
      </c>
      <c r="G467" s="716">
        <v>5784.66</v>
      </c>
      <c r="H467" s="225">
        <f t="shared" si="7"/>
        <v>5831.61</v>
      </c>
    </row>
    <row r="468" spans="1:8" x14ac:dyDescent="0.3">
      <c r="A468" s="401"/>
      <c r="B468" s="709">
        <v>715</v>
      </c>
      <c r="C468" s="710" t="s">
        <v>8856</v>
      </c>
      <c r="D468" s="709" t="s">
        <v>136</v>
      </c>
      <c r="E468" s="709" t="s">
        <v>8438</v>
      </c>
      <c r="F468" s="716">
        <v>17.899999999999999</v>
      </c>
      <c r="G468" s="716">
        <v>18.07</v>
      </c>
      <c r="H468" s="225">
        <f t="shared" si="7"/>
        <v>17.899999999999999</v>
      </c>
    </row>
    <row r="469" spans="1:8" x14ac:dyDescent="0.3">
      <c r="A469" s="401"/>
      <c r="B469" s="709">
        <v>716</v>
      </c>
      <c r="C469" s="710" t="s">
        <v>8857</v>
      </c>
      <c r="D469" s="709" t="s">
        <v>136</v>
      </c>
      <c r="E469" s="709" t="s">
        <v>8432</v>
      </c>
      <c r="F469" s="716">
        <v>20.239999999999998</v>
      </c>
      <c r="G469" s="716">
        <v>20.43</v>
      </c>
      <c r="H469" s="225">
        <f t="shared" si="7"/>
        <v>20.239999999999998</v>
      </c>
    </row>
    <row r="470" spans="1:8" x14ac:dyDescent="0.3">
      <c r="A470" s="401"/>
      <c r="B470" s="709">
        <v>7270</v>
      </c>
      <c r="C470" s="710" t="s">
        <v>8858</v>
      </c>
      <c r="D470" s="709" t="s">
        <v>136</v>
      </c>
      <c r="E470" s="709" t="s">
        <v>8432</v>
      </c>
      <c r="F470" s="716">
        <v>0.87</v>
      </c>
      <c r="G470" s="716">
        <v>0.82</v>
      </c>
      <c r="H470" s="225">
        <f t="shared" si="7"/>
        <v>0.87</v>
      </c>
    </row>
    <row r="471" spans="1:8" x14ac:dyDescent="0.3">
      <c r="A471" s="401"/>
      <c r="B471" s="709">
        <v>44460</v>
      </c>
      <c r="C471" s="710" t="s">
        <v>8859</v>
      </c>
      <c r="D471" s="709" t="s">
        <v>136</v>
      </c>
      <c r="E471" s="709" t="s">
        <v>8432</v>
      </c>
      <c r="F471" s="716">
        <v>1.46</v>
      </c>
      <c r="G471" s="716">
        <v>1.38</v>
      </c>
      <c r="H471" s="225">
        <f t="shared" si="7"/>
        <v>1.46</v>
      </c>
    </row>
    <row r="472" spans="1:8" x14ac:dyDescent="0.3">
      <c r="A472" s="401"/>
      <c r="B472" s="709">
        <v>44461</v>
      </c>
      <c r="C472" s="710" t="s">
        <v>8860</v>
      </c>
      <c r="D472" s="709" t="s">
        <v>136</v>
      </c>
      <c r="E472" s="709" t="s">
        <v>8432</v>
      </c>
      <c r="F472" s="716">
        <v>1.99</v>
      </c>
      <c r="G472" s="716">
        <v>1.88</v>
      </c>
      <c r="H472" s="225">
        <f t="shared" si="7"/>
        <v>1.99</v>
      </c>
    </row>
    <row r="473" spans="1:8" x14ac:dyDescent="0.3">
      <c r="A473" s="401"/>
      <c r="B473" s="709">
        <v>7267</v>
      </c>
      <c r="C473" s="710" t="s">
        <v>8861</v>
      </c>
      <c r="D473" s="709" t="s">
        <v>136</v>
      </c>
      <c r="E473" s="709" t="s">
        <v>8432</v>
      </c>
      <c r="F473" s="716">
        <v>0.73</v>
      </c>
      <c r="G473" s="716">
        <v>0.69</v>
      </c>
      <c r="H473" s="225">
        <f t="shared" si="7"/>
        <v>0.73</v>
      </c>
    </row>
    <row r="474" spans="1:8" x14ac:dyDescent="0.3">
      <c r="A474" s="401"/>
      <c r="B474" s="709">
        <v>44458</v>
      </c>
      <c r="C474" s="710" t="s">
        <v>8862</v>
      </c>
      <c r="D474" s="709" t="s">
        <v>136</v>
      </c>
      <c r="E474" s="709" t="s">
        <v>8432</v>
      </c>
      <c r="F474" s="716">
        <v>0.89</v>
      </c>
      <c r="G474" s="716">
        <v>0.84</v>
      </c>
      <c r="H474" s="225">
        <f t="shared" si="7"/>
        <v>0.89</v>
      </c>
    </row>
    <row r="475" spans="1:8" x14ac:dyDescent="0.3">
      <c r="A475" s="401"/>
      <c r="B475" s="709">
        <v>44457</v>
      </c>
      <c r="C475" s="710" t="s">
        <v>8863</v>
      </c>
      <c r="D475" s="709" t="s">
        <v>136</v>
      </c>
      <c r="E475" s="709" t="s">
        <v>8432</v>
      </c>
      <c r="F475" s="716">
        <v>1.72</v>
      </c>
      <c r="G475" s="716">
        <v>1.63</v>
      </c>
      <c r="H475" s="225">
        <f t="shared" si="7"/>
        <v>1.72</v>
      </c>
    </row>
    <row r="476" spans="1:8" x14ac:dyDescent="0.3">
      <c r="A476" s="401"/>
      <c r="B476" s="709">
        <v>7271</v>
      </c>
      <c r="C476" s="710" t="s">
        <v>8864</v>
      </c>
      <c r="D476" s="709" t="s">
        <v>136</v>
      </c>
      <c r="E476" s="709" t="s">
        <v>8438</v>
      </c>
      <c r="F476" s="716">
        <v>0.93</v>
      </c>
      <c r="G476" s="716">
        <v>0.88</v>
      </c>
      <c r="H476" s="225">
        <f t="shared" si="7"/>
        <v>0.93</v>
      </c>
    </row>
    <row r="477" spans="1:8" x14ac:dyDescent="0.3">
      <c r="A477" s="401"/>
      <c r="B477" s="709">
        <v>7268</v>
      </c>
      <c r="C477" s="710" t="s">
        <v>8865</v>
      </c>
      <c r="D477" s="709" t="s">
        <v>136</v>
      </c>
      <c r="E477" s="709" t="s">
        <v>8432</v>
      </c>
      <c r="F477" s="716">
        <v>1.45</v>
      </c>
      <c r="G477" s="716">
        <v>1.37</v>
      </c>
      <c r="H477" s="225">
        <f t="shared" si="7"/>
        <v>1.45</v>
      </c>
    </row>
    <row r="478" spans="1:8" x14ac:dyDescent="0.3">
      <c r="A478" s="401"/>
      <c r="B478" s="709">
        <v>44459</v>
      </c>
      <c r="C478" s="710" t="s">
        <v>8866</v>
      </c>
      <c r="D478" s="709" t="s">
        <v>136</v>
      </c>
      <c r="E478" s="709" t="s">
        <v>8432</v>
      </c>
      <c r="F478" s="716">
        <v>0.94</v>
      </c>
      <c r="G478" s="716">
        <v>0.88</v>
      </c>
      <c r="H478" s="225">
        <f t="shared" si="7"/>
        <v>0.94</v>
      </c>
    </row>
    <row r="479" spans="1:8" x14ac:dyDescent="0.3">
      <c r="A479" s="401"/>
      <c r="B479" s="709">
        <v>44462</v>
      </c>
      <c r="C479" s="710" t="s">
        <v>8867</v>
      </c>
      <c r="D479" s="709" t="s">
        <v>136</v>
      </c>
      <c r="E479" s="709" t="s">
        <v>8432</v>
      </c>
      <c r="F479" s="716">
        <v>1.66</v>
      </c>
      <c r="G479" s="716">
        <v>1.57</v>
      </c>
      <c r="H479" s="225">
        <f t="shared" si="7"/>
        <v>1.66</v>
      </c>
    </row>
    <row r="480" spans="1:8" x14ac:dyDescent="0.3">
      <c r="A480" s="401"/>
      <c r="B480" s="709">
        <v>44463</v>
      </c>
      <c r="C480" s="710" t="s">
        <v>8868</v>
      </c>
      <c r="D480" s="709" t="s">
        <v>136</v>
      </c>
      <c r="E480" s="709" t="s">
        <v>8432</v>
      </c>
      <c r="F480" s="716">
        <v>2.13</v>
      </c>
      <c r="G480" s="716">
        <v>2.02</v>
      </c>
      <c r="H480" s="225">
        <f t="shared" si="7"/>
        <v>2.13</v>
      </c>
    </row>
    <row r="481" spans="1:8" x14ac:dyDescent="0.3">
      <c r="A481" s="401"/>
      <c r="B481" s="709">
        <v>44464</v>
      </c>
      <c r="C481" s="710" t="s">
        <v>8869</v>
      </c>
      <c r="D481" s="709" t="s">
        <v>136</v>
      </c>
      <c r="E481" s="709" t="s">
        <v>8432</v>
      </c>
      <c r="F481" s="716">
        <v>2.21</v>
      </c>
      <c r="G481" s="716">
        <v>2.09</v>
      </c>
      <c r="H481" s="225">
        <f t="shared" si="7"/>
        <v>2.21</v>
      </c>
    </row>
    <row r="482" spans="1:8" x14ac:dyDescent="0.3">
      <c r="A482" s="401"/>
      <c r="B482" s="709">
        <v>44465</v>
      </c>
      <c r="C482" s="710" t="s">
        <v>8870</v>
      </c>
      <c r="D482" s="709" t="s">
        <v>136</v>
      </c>
      <c r="E482" s="709" t="s">
        <v>8432</v>
      </c>
      <c r="F482" s="716">
        <v>3.04</v>
      </c>
      <c r="G482" s="716">
        <v>2.87</v>
      </c>
      <c r="H482" s="225">
        <f t="shared" si="7"/>
        <v>3.04</v>
      </c>
    </row>
    <row r="483" spans="1:8" x14ac:dyDescent="0.3">
      <c r="A483" s="401"/>
      <c r="B483" s="709">
        <v>38783</v>
      </c>
      <c r="C483" s="710" t="s">
        <v>8871</v>
      </c>
      <c r="D483" s="709" t="s">
        <v>136</v>
      </c>
      <c r="E483" s="709" t="s">
        <v>8432</v>
      </c>
      <c r="F483" s="716">
        <v>1.06</v>
      </c>
      <c r="G483" s="716">
        <v>1</v>
      </c>
      <c r="H483" s="225">
        <f t="shared" si="7"/>
        <v>1.06</v>
      </c>
    </row>
    <row r="484" spans="1:8" x14ac:dyDescent="0.3">
      <c r="A484" s="401"/>
      <c r="B484" s="709">
        <v>44466</v>
      </c>
      <c r="C484" s="710" t="s">
        <v>8872</v>
      </c>
      <c r="D484" s="709" t="s">
        <v>136</v>
      </c>
      <c r="E484" s="709" t="s">
        <v>8432</v>
      </c>
      <c r="F484" s="716">
        <v>2.16</v>
      </c>
      <c r="G484" s="716">
        <v>2.04</v>
      </c>
      <c r="H484" s="225">
        <f t="shared" si="7"/>
        <v>2.16</v>
      </c>
    </row>
    <row r="485" spans="1:8" x14ac:dyDescent="0.3">
      <c r="A485" s="401"/>
      <c r="B485" s="709">
        <v>44467</v>
      </c>
      <c r="C485" s="710" t="s">
        <v>8873</v>
      </c>
      <c r="D485" s="709" t="s">
        <v>136</v>
      </c>
      <c r="E485" s="709" t="s">
        <v>8432</v>
      </c>
      <c r="F485" s="716">
        <v>2.59</v>
      </c>
      <c r="G485" s="716">
        <v>2.4500000000000002</v>
      </c>
      <c r="H485" s="225">
        <f t="shared" si="7"/>
        <v>2.59</v>
      </c>
    </row>
    <row r="486" spans="1:8" x14ac:dyDescent="0.3">
      <c r="A486" s="401"/>
      <c r="B486" s="709">
        <v>44468</v>
      </c>
      <c r="C486" s="710" t="s">
        <v>8874</v>
      </c>
      <c r="D486" s="709" t="s">
        <v>136</v>
      </c>
      <c r="E486" s="709" t="s">
        <v>8432</v>
      </c>
      <c r="F486" s="716">
        <v>2.25</v>
      </c>
      <c r="G486" s="716">
        <v>2.13</v>
      </c>
      <c r="H486" s="225">
        <f t="shared" si="7"/>
        <v>2.25</v>
      </c>
    </row>
    <row r="487" spans="1:8" x14ac:dyDescent="0.3">
      <c r="A487" s="401"/>
      <c r="B487" s="709">
        <v>37593</v>
      </c>
      <c r="C487" s="710" t="s">
        <v>8875</v>
      </c>
      <c r="D487" s="709" t="s">
        <v>136</v>
      </c>
      <c r="E487" s="709" t="s">
        <v>8432</v>
      </c>
      <c r="F487" s="716">
        <v>2.9</v>
      </c>
      <c r="G487" s="716">
        <v>2.74</v>
      </c>
      <c r="H487" s="225">
        <f t="shared" si="7"/>
        <v>2.9</v>
      </c>
    </row>
    <row r="488" spans="1:8" x14ac:dyDescent="0.3">
      <c r="A488" s="401"/>
      <c r="B488" s="709">
        <v>37594</v>
      </c>
      <c r="C488" s="710" t="s">
        <v>8876</v>
      </c>
      <c r="D488" s="709" t="s">
        <v>136</v>
      </c>
      <c r="E488" s="709" t="s">
        <v>8432</v>
      </c>
      <c r="F488" s="716">
        <v>3.44</v>
      </c>
      <c r="G488" s="716">
        <v>3.26</v>
      </c>
      <c r="H488" s="225">
        <f t="shared" si="7"/>
        <v>3.44</v>
      </c>
    </row>
    <row r="489" spans="1:8" x14ac:dyDescent="0.3">
      <c r="A489" s="401"/>
      <c r="B489" s="709">
        <v>37592</v>
      </c>
      <c r="C489" s="710" t="s">
        <v>8877</v>
      </c>
      <c r="D489" s="709" t="s">
        <v>136</v>
      </c>
      <c r="E489" s="709" t="s">
        <v>8432</v>
      </c>
      <c r="F489" s="716">
        <v>2.29</v>
      </c>
      <c r="G489" s="716">
        <v>2.17</v>
      </c>
      <c r="H489" s="225">
        <f t="shared" si="7"/>
        <v>2.29</v>
      </c>
    </row>
    <row r="490" spans="1:8" x14ac:dyDescent="0.3">
      <c r="A490" s="401"/>
      <c r="B490" s="709">
        <v>41372</v>
      </c>
      <c r="C490" s="710" t="s">
        <v>8878</v>
      </c>
      <c r="D490" s="709" t="s">
        <v>168</v>
      </c>
      <c r="E490" s="709" t="s">
        <v>8432</v>
      </c>
      <c r="F490" s="716">
        <v>133.47999999999999</v>
      </c>
      <c r="G490" s="716">
        <v>157.13</v>
      </c>
      <c r="H490" s="225">
        <f t="shared" si="7"/>
        <v>133.47999999999999</v>
      </c>
    </row>
    <row r="491" spans="1:8" x14ac:dyDescent="0.3">
      <c r="A491" s="401"/>
      <c r="B491" s="709">
        <v>41371</v>
      </c>
      <c r="C491" s="710" t="s">
        <v>8879</v>
      </c>
      <c r="D491" s="709" t="s">
        <v>168</v>
      </c>
      <c r="E491" s="709" t="s">
        <v>8432</v>
      </c>
      <c r="F491" s="716">
        <v>78.900000000000006</v>
      </c>
      <c r="G491" s="716">
        <v>92.88</v>
      </c>
      <c r="H491" s="225">
        <f t="shared" si="7"/>
        <v>78.900000000000006</v>
      </c>
    </row>
    <row r="492" spans="1:8" x14ac:dyDescent="0.3">
      <c r="A492" s="401"/>
      <c r="B492" s="709">
        <v>34556</v>
      </c>
      <c r="C492" s="710" t="s">
        <v>14801</v>
      </c>
      <c r="D492" s="709" t="s">
        <v>136</v>
      </c>
      <c r="E492" s="709" t="s">
        <v>8432</v>
      </c>
      <c r="F492" s="716">
        <v>6.15</v>
      </c>
      <c r="G492" s="716">
        <v>5.27</v>
      </c>
      <c r="H492" s="225">
        <f t="shared" si="7"/>
        <v>6.15</v>
      </c>
    </row>
    <row r="493" spans="1:8" x14ac:dyDescent="0.3">
      <c r="A493" s="401"/>
      <c r="B493" s="709">
        <v>37873</v>
      </c>
      <c r="C493" s="710" t="s">
        <v>14802</v>
      </c>
      <c r="D493" s="709" t="s">
        <v>136</v>
      </c>
      <c r="E493" s="709" t="s">
        <v>8432</v>
      </c>
      <c r="F493" s="716">
        <v>6.26</v>
      </c>
      <c r="G493" s="716">
        <v>5.36</v>
      </c>
      <c r="H493" s="225">
        <f t="shared" si="7"/>
        <v>6.26</v>
      </c>
    </row>
    <row r="494" spans="1:8" x14ac:dyDescent="0.3">
      <c r="A494" s="401"/>
      <c r="B494" s="709">
        <v>34565</v>
      </c>
      <c r="C494" s="710" t="s">
        <v>14803</v>
      </c>
      <c r="D494" s="709" t="s">
        <v>136</v>
      </c>
      <c r="E494" s="709" t="s">
        <v>8432</v>
      </c>
      <c r="F494" s="716">
        <v>6.94</v>
      </c>
      <c r="G494" s="716">
        <v>5.94</v>
      </c>
      <c r="H494" s="225">
        <f t="shared" si="7"/>
        <v>6.94</v>
      </c>
    </row>
    <row r="495" spans="1:8" x14ac:dyDescent="0.3">
      <c r="A495" s="401"/>
      <c r="B495" s="709">
        <v>34566</v>
      </c>
      <c r="C495" s="710" t="s">
        <v>14804</v>
      </c>
      <c r="D495" s="709" t="s">
        <v>136</v>
      </c>
      <c r="E495" s="709" t="s">
        <v>8432</v>
      </c>
      <c r="F495" s="716">
        <v>5.38</v>
      </c>
      <c r="G495" s="716">
        <v>4.6100000000000003</v>
      </c>
      <c r="H495" s="225">
        <f t="shared" si="7"/>
        <v>5.38</v>
      </c>
    </row>
    <row r="496" spans="1:8" x14ac:dyDescent="0.3">
      <c r="A496" s="401"/>
      <c r="B496" s="709">
        <v>34564</v>
      </c>
      <c r="C496" s="710" t="s">
        <v>8880</v>
      </c>
      <c r="D496" s="709" t="s">
        <v>136</v>
      </c>
      <c r="E496" s="709" t="s">
        <v>8432</v>
      </c>
      <c r="F496" s="716">
        <v>6.56</v>
      </c>
      <c r="G496" s="716">
        <v>5.62</v>
      </c>
      <c r="H496" s="225">
        <f t="shared" si="7"/>
        <v>6.56</v>
      </c>
    </row>
    <row r="497" spans="1:8" x14ac:dyDescent="0.3">
      <c r="A497" s="401"/>
      <c r="B497" s="709">
        <v>38590</v>
      </c>
      <c r="C497" s="710" t="s">
        <v>8881</v>
      </c>
      <c r="D497" s="709" t="s">
        <v>136</v>
      </c>
      <c r="E497" s="709" t="s">
        <v>8432</v>
      </c>
      <c r="F497" s="716">
        <v>5.13</v>
      </c>
      <c r="G497" s="716">
        <v>4.3899999999999997</v>
      </c>
      <c r="H497" s="225">
        <f t="shared" si="7"/>
        <v>5.13</v>
      </c>
    </row>
    <row r="498" spans="1:8" x14ac:dyDescent="0.3">
      <c r="A498" s="401"/>
      <c r="B498" s="709">
        <v>34567</v>
      </c>
      <c r="C498" s="710" t="s">
        <v>8882</v>
      </c>
      <c r="D498" s="709" t="s">
        <v>136</v>
      </c>
      <c r="E498" s="709" t="s">
        <v>8432</v>
      </c>
      <c r="F498" s="716">
        <v>5.71</v>
      </c>
      <c r="G498" s="716">
        <v>4.8899999999999997</v>
      </c>
      <c r="H498" s="225">
        <f t="shared" si="7"/>
        <v>5.71</v>
      </c>
    </row>
    <row r="499" spans="1:8" x14ac:dyDescent="0.3">
      <c r="A499" s="401"/>
      <c r="B499" s="709">
        <v>38591</v>
      </c>
      <c r="C499" s="710" t="s">
        <v>8883</v>
      </c>
      <c r="D499" s="709" t="s">
        <v>136</v>
      </c>
      <c r="E499" s="709" t="s">
        <v>8432</v>
      </c>
      <c r="F499" s="716">
        <v>5.18</v>
      </c>
      <c r="G499" s="716">
        <v>4.4400000000000004</v>
      </c>
      <c r="H499" s="225">
        <f t="shared" si="7"/>
        <v>5.18</v>
      </c>
    </row>
    <row r="500" spans="1:8" x14ac:dyDescent="0.3">
      <c r="A500" s="401"/>
      <c r="B500" s="709">
        <v>34568</v>
      </c>
      <c r="C500" s="710" t="s">
        <v>14805</v>
      </c>
      <c r="D500" s="709" t="s">
        <v>136</v>
      </c>
      <c r="E500" s="709" t="s">
        <v>8432</v>
      </c>
      <c r="F500" s="716">
        <v>6.75</v>
      </c>
      <c r="G500" s="716">
        <v>5.78</v>
      </c>
      <c r="H500" s="225">
        <f t="shared" si="7"/>
        <v>6.75</v>
      </c>
    </row>
    <row r="501" spans="1:8" x14ac:dyDescent="0.3">
      <c r="A501" s="401"/>
      <c r="B501" s="709">
        <v>34569</v>
      </c>
      <c r="C501" s="710" t="s">
        <v>14806</v>
      </c>
      <c r="D501" s="709" t="s">
        <v>136</v>
      </c>
      <c r="E501" s="709" t="s">
        <v>8432</v>
      </c>
      <c r="F501" s="716">
        <v>6.94</v>
      </c>
      <c r="G501" s="716">
        <v>5.94</v>
      </c>
      <c r="H501" s="225">
        <f t="shared" si="7"/>
        <v>6.94</v>
      </c>
    </row>
    <row r="502" spans="1:8" x14ac:dyDescent="0.3">
      <c r="A502" s="401"/>
      <c r="B502" s="709">
        <v>37107</v>
      </c>
      <c r="C502" s="710" t="s">
        <v>14807</v>
      </c>
      <c r="D502" s="709" t="s">
        <v>136</v>
      </c>
      <c r="E502" s="709" t="s">
        <v>8432</v>
      </c>
      <c r="F502" s="716">
        <v>7.95</v>
      </c>
      <c r="G502" s="716">
        <v>6.81</v>
      </c>
      <c r="H502" s="225">
        <f t="shared" si="7"/>
        <v>7.95</v>
      </c>
    </row>
    <row r="503" spans="1:8" x14ac:dyDescent="0.3">
      <c r="A503" s="401"/>
      <c r="B503" s="709">
        <v>34571</v>
      </c>
      <c r="C503" s="710" t="s">
        <v>14808</v>
      </c>
      <c r="D503" s="709" t="s">
        <v>136</v>
      </c>
      <c r="E503" s="709" t="s">
        <v>8432</v>
      </c>
      <c r="F503" s="716">
        <v>5.72</v>
      </c>
      <c r="G503" s="716">
        <v>4.9000000000000004</v>
      </c>
      <c r="H503" s="225">
        <f t="shared" si="7"/>
        <v>5.72</v>
      </c>
    </row>
    <row r="504" spans="1:8" x14ac:dyDescent="0.3">
      <c r="A504" s="401"/>
      <c r="B504" s="709">
        <v>34570</v>
      </c>
      <c r="C504" s="710" t="s">
        <v>8884</v>
      </c>
      <c r="D504" s="709" t="s">
        <v>136</v>
      </c>
      <c r="E504" s="709" t="s">
        <v>8432</v>
      </c>
      <c r="F504" s="716">
        <v>7.53</v>
      </c>
      <c r="G504" s="716">
        <v>6.45</v>
      </c>
      <c r="H504" s="225">
        <f t="shared" si="7"/>
        <v>7.53</v>
      </c>
    </row>
    <row r="505" spans="1:8" x14ac:dyDescent="0.3">
      <c r="A505" s="401"/>
      <c r="B505" s="709">
        <v>25070</v>
      </c>
      <c r="C505" s="710" t="s">
        <v>8885</v>
      </c>
      <c r="D505" s="709" t="s">
        <v>136</v>
      </c>
      <c r="E505" s="709" t="s">
        <v>8432</v>
      </c>
      <c r="F505" s="716">
        <v>5.67</v>
      </c>
      <c r="G505" s="716">
        <v>4.8499999999999996</v>
      </c>
      <c r="H505" s="225">
        <f t="shared" si="7"/>
        <v>5.67</v>
      </c>
    </row>
    <row r="506" spans="1:8" x14ac:dyDescent="0.3">
      <c r="A506" s="401"/>
      <c r="B506" s="709">
        <v>34573</v>
      </c>
      <c r="C506" s="710" t="s">
        <v>8886</v>
      </c>
      <c r="D506" s="709" t="s">
        <v>136</v>
      </c>
      <c r="E506" s="709" t="s">
        <v>8432</v>
      </c>
      <c r="F506" s="716">
        <v>6.02</v>
      </c>
      <c r="G506" s="716">
        <v>5.15</v>
      </c>
      <c r="H506" s="225">
        <f t="shared" si="7"/>
        <v>6.02</v>
      </c>
    </row>
    <row r="507" spans="1:8" x14ac:dyDescent="0.3">
      <c r="A507" s="401"/>
      <c r="B507" s="709">
        <v>34576</v>
      </c>
      <c r="C507" s="710" t="s">
        <v>8887</v>
      </c>
      <c r="D507" s="709" t="s">
        <v>136</v>
      </c>
      <c r="E507" s="709" t="s">
        <v>8432</v>
      </c>
      <c r="F507" s="716">
        <v>8.77</v>
      </c>
      <c r="G507" s="716">
        <v>7.51</v>
      </c>
      <c r="H507" s="225">
        <f t="shared" si="7"/>
        <v>8.77</v>
      </c>
    </row>
    <row r="508" spans="1:8" x14ac:dyDescent="0.3">
      <c r="A508" s="401"/>
      <c r="B508" s="709">
        <v>34577</v>
      </c>
      <c r="C508" s="710" t="s">
        <v>8888</v>
      </c>
      <c r="D508" s="709" t="s">
        <v>136</v>
      </c>
      <c r="E508" s="709" t="s">
        <v>8432</v>
      </c>
      <c r="F508" s="716">
        <v>9.15</v>
      </c>
      <c r="G508" s="716">
        <v>7.84</v>
      </c>
      <c r="H508" s="225">
        <f t="shared" si="7"/>
        <v>9.15</v>
      </c>
    </row>
    <row r="509" spans="1:8" x14ac:dyDescent="0.3">
      <c r="A509" s="401"/>
      <c r="B509" s="709">
        <v>34578</v>
      </c>
      <c r="C509" s="710" t="s">
        <v>8889</v>
      </c>
      <c r="D509" s="709" t="s">
        <v>136</v>
      </c>
      <c r="E509" s="709" t="s">
        <v>8432</v>
      </c>
      <c r="F509" s="716">
        <v>9.92</v>
      </c>
      <c r="G509" s="716">
        <v>8.5</v>
      </c>
      <c r="H509" s="225">
        <f t="shared" si="7"/>
        <v>9.92</v>
      </c>
    </row>
    <row r="510" spans="1:8" x14ac:dyDescent="0.3">
      <c r="A510" s="401"/>
      <c r="B510" s="709">
        <v>34579</v>
      </c>
      <c r="C510" s="710" t="s">
        <v>8890</v>
      </c>
      <c r="D510" s="709" t="s">
        <v>136</v>
      </c>
      <c r="E510" s="709" t="s">
        <v>8432</v>
      </c>
      <c r="F510" s="716">
        <v>10.58</v>
      </c>
      <c r="G510" s="716">
        <v>9.06</v>
      </c>
      <c r="H510" s="225">
        <f t="shared" si="7"/>
        <v>10.58</v>
      </c>
    </row>
    <row r="511" spans="1:8" x14ac:dyDescent="0.3">
      <c r="A511" s="401"/>
      <c r="B511" s="709">
        <v>25067</v>
      </c>
      <c r="C511" s="710" t="s">
        <v>8891</v>
      </c>
      <c r="D511" s="709" t="s">
        <v>136</v>
      </c>
      <c r="E511" s="709" t="s">
        <v>8432</v>
      </c>
      <c r="F511" s="716">
        <v>7.08</v>
      </c>
      <c r="G511" s="716">
        <v>6.07</v>
      </c>
      <c r="H511" s="225">
        <f t="shared" si="7"/>
        <v>7.08</v>
      </c>
    </row>
    <row r="512" spans="1:8" x14ac:dyDescent="0.3">
      <c r="A512" s="401"/>
      <c r="B512" s="709">
        <v>34580</v>
      </c>
      <c r="C512" s="710" t="s">
        <v>8892</v>
      </c>
      <c r="D512" s="709" t="s">
        <v>136</v>
      </c>
      <c r="E512" s="709" t="s">
        <v>8432</v>
      </c>
      <c r="F512" s="716">
        <v>7.91</v>
      </c>
      <c r="G512" s="716">
        <v>6.77</v>
      </c>
      <c r="H512" s="225">
        <f t="shared" si="7"/>
        <v>7.91</v>
      </c>
    </row>
    <row r="513" spans="1:8" x14ac:dyDescent="0.3">
      <c r="A513" s="401"/>
      <c r="B513" s="709">
        <v>25071</v>
      </c>
      <c r="C513" s="710" t="s">
        <v>8893</v>
      </c>
      <c r="D513" s="709" t="s">
        <v>136</v>
      </c>
      <c r="E513" s="709" t="s">
        <v>8432</v>
      </c>
      <c r="F513" s="716">
        <v>3.94</v>
      </c>
      <c r="G513" s="716">
        <v>3.37</v>
      </c>
      <c r="H513" s="225">
        <f t="shared" si="7"/>
        <v>3.94</v>
      </c>
    </row>
    <row r="514" spans="1:8" x14ac:dyDescent="0.3">
      <c r="A514" s="401"/>
      <c r="B514" s="709">
        <v>44171</v>
      </c>
      <c r="C514" s="710" t="s">
        <v>8894</v>
      </c>
      <c r="D514" s="709" t="s">
        <v>136</v>
      </c>
      <c r="E514" s="709" t="s">
        <v>8432</v>
      </c>
      <c r="F514" s="716">
        <v>22.91</v>
      </c>
      <c r="G514" s="716">
        <v>18.18</v>
      </c>
      <c r="H514" s="225">
        <f t="shared" si="7"/>
        <v>22.91</v>
      </c>
    </row>
    <row r="515" spans="1:8" x14ac:dyDescent="0.3">
      <c r="A515" s="401"/>
      <c r="B515" s="709">
        <v>38395</v>
      </c>
      <c r="C515" s="710" t="s">
        <v>8895</v>
      </c>
      <c r="D515" s="709" t="s">
        <v>136</v>
      </c>
      <c r="E515" s="709" t="s">
        <v>8432</v>
      </c>
      <c r="F515" s="716">
        <v>9.4700000000000006</v>
      </c>
      <c r="G515" s="716">
        <v>10.73</v>
      </c>
      <c r="H515" s="225">
        <f t="shared" si="7"/>
        <v>9.4700000000000006</v>
      </c>
    </row>
    <row r="516" spans="1:8" x14ac:dyDescent="0.3">
      <c r="A516" s="401"/>
      <c r="B516" s="709">
        <v>34583</v>
      </c>
      <c r="C516" s="710" t="s">
        <v>8896</v>
      </c>
      <c r="D516" s="709" t="s">
        <v>168</v>
      </c>
      <c r="E516" s="709" t="s">
        <v>8432</v>
      </c>
      <c r="F516" s="716">
        <v>75.010000000000005</v>
      </c>
      <c r="G516" s="716">
        <v>59.1</v>
      </c>
      <c r="H516" s="225">
        <f t="shared" si="7"/>
        <v>75.010000000000005</v>
      </c>
    </row>
    <row r="517" spans="1:8" x14ac:dyDescent="0.3">
      <c r="A517" s="401"/>
      <c r="B517" s="709">
        <v>34584</v>
      </c>
      <c r="C517" s="710" t="s">
        <v>8897</v>
      </c>
      <c r="D517" s="709" t="s">
        <v>168</v>
      </c>
      <c r="E517" s="709" t="s">
        <v>8432</v>
      </c>
      <c r="F517" s="716">
        <v>55.01</v>
      </c>
      <c r="G517" s="716">
        <v>43.34</v>
      </c>
      <c r="H517" s="225">
        <f t="shared" si="7"/>
        <v>55.01</v>
      </c>
    </row>
    <row r="518" spans="1:8" x14ac:dyDescent="0.3">
      <c r="A518" s="401"/>
      <c r="B518" s="709">
        <v>709</v>
      </c>
      <c r="C518" s="710" t="s">
        <v>8898</v>
      </c>
      <c r="D518" s="709" t="s">
        <v>168</v>
      </c>
      <c r="E518" s="709" t="s">
        <v>8432</v>
      </c>
      <c r="F518" s="716">
        <v>811.96</v>
      </c>
      <c r="G518" s="716">
        <v>817.66</v>
      </c>
      <c r="H518" s="225">
        <f t="shared" si="7"/>
        <v>811.96</v>
      </c>
    </row>
    <row r="519" spans="1:8" x14ac:dyDescent="0.3">
      <c r="A519" s="401"/>
      <c r="B519" s="709">
        <v>34592</v>
      </c>
      <c r="C519" s="710" t="s">
        <v>8899</v>
      </c>
      <c r="D519" s="709" t="s">
        <v>136</v>
      </c>
      <c r="E519" s="709" t="s">
        <v>8432</v>
      </c>
      <c r="F519" s="716">
        <v>4.51</v>
      </c>
      <c r="G519" s="716">
        <v>3.86</v>
      </c>
      <c r="H519" s="225">
        <f t="shared" si="7"/>
        <v>4.51</v>
      </c>
    </row>
    <row r="520" spans="1:8" x14ac:dyDescent="0.3">
      <c r="A520" s="401"/>
      <c r="B520" s="709">
        <v>34599</v>
      </c>
      <c r="C520" s="710" t="s">
        <v>8900</v>
      </c>
      <c r="D520" s="709" t="s">
        <v>136</v>
      </c>
      <c r="E520" s="709" t="s">
        <v>8432</v>
      </c>
      <c r="F520" s="716">
        <v>4.05</v>
      </c>
      <c r="G520" s="716">
        <v>3.46</v>
      </c>
      <c r="H520" s="225">
        <f t="shared" si="7"/>
        <v>4.05</v>
      </c>
    </row>
    <row r="521" spans="1:8" x14ac:dyDescent="0.3">
      <c r="A521" s="401"/>
      <c r="B521" s="709">
        <v>651</v>
      </c>
      <c r="C521" s="710" t="s">
        <v>8901</v>
      </c>
      <c r="D521" s="709" t="s">
        <v>136</v>
      </c>
      <c r="E521" s="709" t="s">
        <v>8432</v>
      </c>
      <c r="F521" s="716">
        <v>4.96</v>
      </c>
      <c r="G521" s="716">
        <v>4.25</v>
      </c>
      <c r="H521" s="225">
        <f t="shared" si="7"/>
        <v>4.96</v>
      </c>
    </row>
    <row r="522" spans="1:8" x14ac:dyDescent="0.3">
      <c r="A522" s="401"/>
      <c r="B522" s="709">
        <v>654</v>
      </c>
      <c r="C522" s="710" t="s">
        <v>8902</v>
      </c>
      <c r="D522" s="709" t="s">
        <v>136</v>
      </c>
      <c r="E522" s="709" t="s">
        <v>8432</v>
      </c>
      <c r="F522" s="716">
        <v>6.15</v>
      </c>
      <c r="G522" s="716">
        <v>5.27</v>
      </c>
      <c r="H522" s="225">
        <f t="shared" si="7"/>
        <v>6.15</v>
      </c>
    </row>
    <row r="523" spans="1:8" x14ac:dyDescent="0.3">
      <c r="A523" s="401"/>
      <c r="B523" s="709">
        <v>37103</v>
      </c>
      <c r="C523" s="710" t="s">
        <v>8903</v>
      </c>
      <c r="D523" s="709" t="s">
        <v>136</v>
      </c>
      <c r="E523" s="709" t="s">
        <v>8432</v>
      </c>
      <c r="F523" s="716">
        <v>5.15</v>
      </c>
      <c r="G523" s="716">
        <v>4.41</v>
      </c>
      <c r="H523" s="225">
        <f t="shared" ref="H523:H586" si="8">IF(F523&gt;0,F523,G523)</f>
        <v>5.15</v>
      </c>
    </row>
    <row r="524" spans="1:8" x14ac:dyDescent="0.3">
      <c r="A524" s="401"/>
      <c r="B524" s="709">
        <v>34555</v>
      </c>
      <c r="C524" s="710" t="s">
        <v>8904</v>
      </c>
      <c r="D524" s="709" t="s">
        <v>136</v>
      </c>
      <c r="E524" s="709" t="s">
        <v>8432</v>
      </c>
      <c r="F524" s="716">
        <v>6.54</v>
      </c>
      <c r="G524" s="716">
        <v>5.6</v>
      </c>
      <c r="H524" s="225">
        <f t="shared" si="8"/>
        <v>6.54</v>
      </c>
    </row>
    <row r="525" spans="1:8" x14ac:dyDescent="0.3">
      <c r="A525" s="401"/>
      <c r="B525" s="709">
        <v>674</v>
      </c>
      <c r="C525" s="710" t="s">
        <v>8905</v>
      </c>
      <c r="D525" s="709" t="s">
        <v>168</v>
      </c>
      <c r="E525" s="709" t="s">
        <v>8432</v>
      </c>
      <c r="F525" s="716">
        <v>95.11</v>
      </c>
      <c r="G525" s="716">
        <v>111.96</v>
      </c>
      <c r="H525" s="225">
        <f t="shared" si="8"/>
        <v>95.11</v>
      </c>
    </row>
    <row r="526" spans="1:8" x14ac:dyDescent="0.3">
      <c r="A526" s="401"/>
      <c r="B526" s="709">
        <v>34600</v>
      </c>
      <c r="C526" s="710" t="s">
        <v>8906</v>
      </c>
      <c r="D526" s="709" t="s">
        <v>168</v>
      </c>
      <c r="E526" s="709" t="s">
        <v>8438</v>
      </c>
      <c r="F526" s="716">
        <v>139.69999999999999</v>
      </c>
      <c r="G526" s="716">
        <v>164.45</v>
      </c>
      <c r="H526" s="225">
        <f t="shared" si="8"/>
        <v>139.69999999999999</v>
      </c>
    </row>
    <row r="527" spans="1:8" x14ac:dyDescent="0.3">
      <c r="A527" s="401"/>
      <c r="B527" s="709">
        <v>652</v>
      </c>
      <c r="C527" s="710" t="s">
        <v>8907</v>
      </c>
      <c r="D527" s="709" t="s">
        <v>168</v>
      </c>
      <c r="E527" s="709" t="s">
        <v>8432</v>
      </c>
      <c r="F527" s="716">
        <v>214</v>
      </c>
      <c r="G527" s="716">
        <v>251.92</v>
      </c>
      <c r="H527" s="225">
        <f t="shared" si="8"/>
        <v>214</v>
      </c>
    </row>
    <row r="528" spans="1:8" x14ac:dyDescent="0.3">
      <c r="A528" s="401"/>
      <c r="B528" s="709">
        <v>650</v>
      </c>
      <c r="C528" s="710" t="s">
        <v>8908</v>
      </c>
      <c r="D528" s="709" t="s">
        <v>136</v>
      </c>
      <c r="E528" s="709" t="s">
        <v>8438</v>
      </c>
      <c r="F528" s="716">
        <v>3.97</v>
      </c>
      <c r="G528" s="716">
        <v>3.4</v>
      </c>
      <c r="H528" s="225">
        <f t="shared" si="8"/>
        <v>3.97</v>
      </c>
    </row>
    <row r="529" spans="1:8" x14ac:dyDescent="0.3">
      <c r="A529" s="401"/>
      <c r="B529" s="709">
        <v>718</v>
      </c>
      <c r="C529" s="710" t="s">
        <v>8909</v>
      </c>
      <c r="D529" s="709" t="s">
        <v>136</v>
      </c>
      <c r="E529" s="709" t="s">
        <v>8432</v>
      </c>
      <c r="F529" s="716">
        <v>17.690000000000001</v>
      </c>
      <c r="G529" s="716">
        <v>17.850000000000001</v>
      </c>
      <c r="H529" s="225">
        <f t="shared" si="8"/>
        <v>17.690000000000001</v>
      </c>
    </row>
    <row r="530" spans="1:8" x14ac:dyDescent="0.3">
      <c r="A530" s="401"/>
      <c r="B530" s="709">
        <v>11981</v>
      </c>
      <c r="C530" s="710" t="s">
        <v>8910</v>
      </c>
      <c r="D530" s="709" t="s">
        <v>136</v>
      </c>
      <c r="E530" s="709" t="s">
        <v>8432</v>
      </c>
      <c r="F530" s="716">
        <v>17.18</v>
      </c>
      <c r="G530" s="716">
        <v>17.34</v>
      </c>
      <c r="H530" s="225">
        <f t="shared" si="8"/>
        <v>17.18</v>
      </c>
    </row>
    <row r="531" spans="1:8" x14ac:dyDescent="0.3">
      <c r="A531" s="401"/>
      <c r="B531" s="709">
        <v>34586</v>
      </c>
      <c r="C531" s="710" t="s">
        <v>8911</v>
      </c>
      <c r="D531" s="709" t="s">
        <v>136</v>
      </c>
      <c r="E531" s="709" t="s">
        <v>8432</v>
      </c>
      <c r="F531" s="716">
        <v>2.29</v>
      </c>
      <c r="G531" s="716">
        <v>2.17</v>
      </c>
      <c r="H531" s="225">
        <f t="shared" si="8"/>
        <v>2.29</v>
      </c>
    </row>
    <row r="532" spans="1:8" x14ac:dyDescent="0.3">
      <c r="A532" s="401"/>
      <c r="B532" s="709">
        <v>38603</v>
      </c>
      <c r="C532" s="710" t="s">
        <v>8912</v>
      </c>
      <c r="D532" s="709" t="s">
        <v>136</v>
      </c>
      <c r="E532" s="709" t="s">
        <v>8432</v>
      </c>
      <c r="F532" s="716">
        <v>2.72</v>
      </c>
      <c r="G532" s="716">
        <v>2.58</v>
      </c>
      <c r="H532" s="225">
        <f t="shared" si="8"/>
        <v>2.72</v>
      </c>
    </row>
    <row r="533" spans="1:8" x14ac:dyDescent="0.3">
      <c r="A533" s="401"/>
      <c r="B533" s="709">
        <v>34588</v>
      </c>
      <c r="C533" s="710" t="s">
        <v>8913</v>
      </c>
      <c r="D533" s="709" t="s">
        <v>136</v>
      </c>
      <c r="E533" s="709" t="s">
        <v>8432</v>
      </c>
      <c r="F533" s="716">
        <v>3.1</v>
      </c>
      <c r="G533" s="716">
        <v>2.93</v>
      </c>
      <c r="H533" s="225">
        <f t="shared" si="8"/>
        <v>3.1</v>
      </c>
    </row>
    <row r="534" spans="1:8" x14ac:dyDescent="0.3">
      <c r="A534" s="401"/>
      <c r="B534" s="709">
        <v>34590</v>
      </c>
      <c r="C534" s="710" t="s">
        <v>8914</v>
      </c>
      <c r="D534" s="709" t="s">
        <v>136</v>
      </c>
      <c r="E534" s="709" t="s">
        <v>8432</v>
      </c>
      <c r="F534" s="716">
        <v>3.07</v>
      </c>
      <c r="G534" s="716">
        <v>2.9</v>
      </c>
      <c r="H534" s="225">
        <f t="shared" si="8"/>
        <v>3.07</v>
      </c>
    </row>
    <row r="535" spans="1:8" x14ac:dyDescent="0.3">
      <c r="A535" s="401"/>
      <c r="B535" s="709">
        <v>34591</v>
      </c>
      <c r="C535" s="710" t="s">
        <v>8915</v>
      </c>
      <c r="D535" s="709" t="s">
        <v>136</v>
      </c>
      <c r="E535" s="709" t="s">
        <v>8432</v>
      </c>
      <c r="F535" s="716">
        <v>3.74</v>
      </c>
      <c r="G535" s="716">
        <v>3.54</v>
      </c>
      <c r="H535" s="225">
        <f t="shared" si="8"/>
        <v>3.74</v>
      </c>
    </row>
    <row r="536" spans="1:8" x14ac:dyDescent="0.3">
      <c r="A536" s="401"/>
      <c r="B536" s="709">
        <v>40517</v>
      </c>
      <c r="C536" s="710" t="s">
        <v>8916</v>
      </c>
      <c r="D536" s="709" t="s">
        <v>168</v>
      </c>
      <c r="E536" s="709" t="s">
        <v>8432</v>
      </c>
      <c r="F536" s="716">
        <v>63.94</v>
      </c>
      <c r="G536" s="716">
        <v>94.28</v>
      </c>
      <c r="H536" s="225">
        <f t="shared" si="8"/>
        <v>63.94</v>
      </c>
    </row>
    <row r="537" spans="1:8" x14ac:dyDescent="0.3">
      <c r="A537" s="401"/>
      <c r="B537" s="709">
        <v>40515</v>
      </c>
      <c r="C537" s="710" t="s">
        <v>8917</v>
      </c>
      <c r="D537" s="709" t="s">
        <v>168</v>
      </c>
      <c r="E537" s="709" t="s">
        <v>8432</v>
      </c>
      <c r="F537" s="716">
        <v>70.33</v>
      </c>
      <c r="G537" s="716">
        <v>103.71</v>
      </c>
      <c r="H537" s="225">
        <f t="shared" si="8"/>
        <v>70.33</v>
      </c>
    </row>
    <row r="538" spans="1:8" x14ac:dyDescent="0.3">
      <c r="A538" s="401"/>
      <c r="B538" s="709">
        <v>40524</v>
      </c>
      <c r="C538" s="710" t="s">
        <v>8918</v>
      </c>
      <c r="D538" s="709" t="s">
        <v>168</v>
      </c>
      <c r="E538" s="709" t="s">
        <v>8432</v>
      </c>
      <c r="F538" s="716">
        <v>73.069999999999993</v>
      </c>
      <c r="G538" s="716">
        <v>107.75</v>
      </c>
      <c r="H538" s="225">
        <f t="shared" si="8"/>
        <v>73.069999999999993</v>
      </c>
    </row>
    <row r="539" spans="1:8" x14ac:dyDescent="0.3">
      <c r="A539" s="401"/>
      <c r="B539" s="709">
        <v>40529</v>
      </c>
      <c r="C539" s="710" t="s">
        <v>8919</v>
      </c>
      <c r="D539" s="709" t="s">
        <v>168</v>
      </c>
      <c r="E539" s="709" t="s">
        <v>8432</v>
      </c>
      <c r="F539" s="716">
        <v>115.86</v>
      </c>
      <c r="G539" s="716">
        <v>170.85</v>
      </c>
      <c r="H539" s="225">
        <f t="shared" si="8"/>
        <v>115.86</v>
      </c>
    </row>
    <row r="540" spans="1:8" x14ac:dyDescent="0.3">
      <c r="A540" s="401"/>
      <c r="B540" s="709">
        <v>36156</v>
      </c>
      <c r="C540" s="710" t="s">
        <v>8920</v>
      </c>
      <c r="D540" s="709" t="s">
        <v>168</v>
      </c>
      <c r="E540" s="709" t="s">
        <v>8432</v>
      </c>
      <c r="F540" s="716">
        <v>69.23</v>
      </c>
      <c r="G540" s="716">
        <v>102.08</v>
      </c>
      <c r="H540" s="225">
        <f t="shared" si="8"/>
        <v>69.23</v>
      </c>
    </row>
    <row r="541" spans="1:8" x14ac:dyDescent="0.3">
      <c r="A541" s="401"/>
      <c r="B541" s="709">
        <v>36155</v>
      </c>
      <c r="C541" s="710" t="s">
        <v>8921</v>
      </c>
      <c r="D541" s="709" t="s">
        <v>168</v>
      </c>
      <c r="E541" s="709" t="s">
        <v>8432</v>
      </c>
      <c r="F541" s="716">
        <v>54.8</v>
      </c>
      <c r="G541" s="716">
        <v>80.81</v>
      </c>
      <c r="H541" s="225">
        <f t="shared" si="8"/>
        <v>54.8</v>
      </c>
    </row>
    <row r="542" spans="1:8" x14ac:dyDescent="0.3">
      <c r="A542" s="401"/>
      <c r="B542" s="709">
        <v>36154</v>
      </c>
      <c r="C542" s="710" t="s">
        <v>8922</v>
      </c>
      <c r="D542" s="709" t="s">
        <v>168</v>
      </c>
      <c r="E542" s="709" t="s">
        <v>8432</v>
      </c>
      <c r="F542" s="716">
        <v>82.69</v>
      </c>
      <c r="G542" s="716">
        <v>121.93</v>
      </c>
      <c r="H542" s="225">
        <f t="shared" si="8"/>
        <v>82.69</v>
      </c>
    </row>
    <row r="543" spans="1:8" x14ac:dyDescent="0.3">
      <c r="A543" s="401"/>
      <c r="B543" s="709">
        <v>36170</v>
      </c>
      <c r="C543" s="710" t="s">
        <v>8923</v>
      </c>
      <c r="D543" s="709" t="s">
        <v>168</v>
      </c>
      <c r="E543" s="709" t="s">
        <v>8438</v>
      </c>
      <c r="F543" s="716">
        <v>62.5</v>
      </c>
      <c r="G543" s="716">
        <v>92.16</v>
      </c>
      <c r="H543" s="225">
        <f t="shared" si="8"/>
        <v>62.5</v>
      </c>
    </row>
    <row r="544" spans="1:8" x14ac:dyDescent="0.3">
      <c r="A544" s="401"/>
      <c r="B544" s="709">
        <v>695</v>
      </c>
      <c r="C544" s="710" t="s">
        <v>8924</v>
      </c>
      <c r="D544" s="709" t="s">
        <v>168</v>
      </c>
      <c r="E544" s="709" t="s">
        <v>8432</v>
      </c>
      <c r="F544" s="716">
        <v>69.47</v>
      </c>
      <c r="G544" s="716">
        <v>102.43</v>
      </c>
      <c r="H544" s="225">
        <f t="shared" si="8"/>
        <v>69.47</v>
      </c>
    </row>
    <row r="545" spans="1:8" x14ac:dyDescent="0.3">
      <c r="A545" s="401"/>
      <c r="B545" s="709">
        <v>679</v>
      </c>
      <c r="C545" s="710" t="s">
        <v>8925</v>
      </c>
      <c r="D545" s="709" t="s">
        <v>168</v>
      </c>
      <c r="E545" s="709" t="s">
        <v>8432</v>
      </c>
      <c r="F545" s="716">
        <v>99.13</v>
      </c>
      <c r="G545" s="716">
        <v>146.16999999999999</v>
      </c>
      <c r="H545" s="225">
        <f t="shared" si="8"/>
        <v>99.13</v>
      </c>
    </row>
    <row r="546" spans="1:8" x14ac:dyDescent="0.3">
      <c r="A546" s="401"/>
      <c r="B546" s="709">
        <v>711</v>
      </c>
      <c r="C546" s="710" t="s">
        <v>8926</v>
      </c>
      <c r="D546" s="709" t="s">
        <v>168</v>
      </c>
      <c r="E546" s="709" t="s">
        <v>8432</v>
      </c>
      <c r="F546" s="716">
        <v>62.5</v>
      </c>
      <c r="G546" s="716">
        <v>92.16</v>
      </c>
      <c r="H546" s="225">
        <f t="shared" si="8"/>
        <v>62.5</v>
      </c>
    </row>
    <row r="547" spans="1:8" x14ac:dyDescent="0.3">
      <c r="A547" s="401"/>
      <c r="B547" s="709">
        <v>712</v>
      </c>
      <c r="C547" s="710" t="s">
        <v>8927</v>
      </c>
      <c r="D547" s="709" t="s">
        <v>168</v>
      </c>
      <c r="E547" s="709" t="s">
        <v>8432</v>
      </c>
      <c r="F547" s="716">
        <v>75</v>
      </c>
      <c r="G547" s="716">
        <v>110.59</v>
      </c>
      <c r="H547" s="225">
        <f t="shared" si="8"/>
        <v>75</v>
      </c>
    </row>
    <row r="548" spans="1:8" x14ac:dyDescent="0.3">
      <c r="A548" s="401"/>
      <c r="B548" s="709">
        <v>12614</v>
      </c>
      <c r="C548" s="710" t="s">
        <v>8928</v>
      </c>
      <c r="D548" s="709" t="s">
        <v>136</v>
      </c>
      <c r="E548" s="709" t="s">
        <v>8432</v>
      </c>
      <c r="F548" s="716">
        <v>71.069999999999993</v>
      </c>
      <c r="G548" s="716">
        <v>71.760000000000005</v>
      </c>
      <c r="H548" s="225">
        <f t="shared" si="8"/>
        <v>71.069999999999993</v>
      </c>
    </row>
    <row r="549" spans="1:8" x14ac:dyDescent="0.3">
      <c r="A549" s="401"/>
      <c r="B549" s="709">
        <v>6140</v>
      </c>
      <c r="C549" s="710" t="s">
        <v>8929</v>
      </c>
      <c r="D549" s="709" t="s">
        <v>136</v>
      </c>
      <c r="E549" s="709" t="s">
        <v>8432</v>
      </c>
      <c r="F549" s="716">
        <v>4.82</v>
      </c>
      <c r="G549" s="716">
        <v>5.13</v>
      </c>
      <c r="H549" s="225">
        <f t="shared" si="8"/>
        <v>4.82</v>
      </c>
    </row>
    <row r="550" spans="1:8" x14ac:dyDescent="0.3">
      <c r="A550" s="401"/>
      <c r="B550" s="709">
        <v>38399</v>
      </c>
      <c r="C550" s="710" t="s">
        <v>8930</v>
      </c>
      <c r="D550" s="709" t="s">
        <v>136</v>
      </c>
      <c r="E550" s="709" t="s">
        <v>8432</v>
      </c>
      <c r="F550" s="716">
        <v>191.06</v>
      </c>
      <c r="G550" s="716">
        <v>187.89</v>
      </c>
      <c r="H550" s="225">
        <f t="shared" si="8"/>
        <v>191.06</v>
      </c>
    </row>
    <row r="551" spans="1:8" x14ac:dyDescent="0.3">
      <c r="A551" s="401"/>
      <c r="B551" s="709">
        <v>729</v>
      </c>
      <c r="C551" s="710" t="s">
        <v>8931</v>
      </c>
      <c r="D551" s="709" t="s">
        <v>136</v>
      </c>
      <c r="E551" s="709" t="s">
        <v>8438</v>
      </c>
      <c r="F551" s="716">
        <v>1078</v>
      </c>
      <c r="G551" s="716">
        <v>728.73</v>
      </c>
      <c r="H551" s="225">
        <f t="shared" si="8"/>
        <v>1078</v>
      </c>
    </row>
    <row r="552" spans="1:8" x14ac:dyDescent="0.3">
      <c r="A552" s="401"/>
      <c r="B552" s="709">
        <v>39925</v>
      </c>
      <c r="C552" s="710" t="s">
        <v>8932</v>
      </c>
      <c r="D552" s="709" t="s">
        <v>136</v>
      </c>
      <c r="E552" s="709" t="s">
        <v>8432</v>
      </c>
      <c r="F552" s="716">
        <v>15577</v>
      </c>
      <c r="G552" s="716">
        <v>10530.08</v>
      </c>
      <c r="H552" s="225">
        <f t="shared" si="8"/>
        <v>15577</v>
      </c>
    </row>
    <row r="553" spans="1:8" x14ac:dyDescent="0.3">
      <c r="A553" s="401"/>
      <c r="B553" s="709">
        <v>731</v>
      </c>
      <c r="C553" s="710" t="s">
        <v>8933</v>
      </c>
      <c r="D553" s="709" t="s">
        <v>136</v>
      </c>
      <c r="E553" s="709" t="s">
        <v>8432</v>
      </c>
      <c r="F553" s="716">
        <v>1049.1600000000001</v>
      </c>
      <c r="G553" s="716">
        <v>709.23</v>
      </c>
      <c r="H553" s="225">
        <f t="shared" si="8"/>
        <v>1049.1600000000001</v>
      </c>
    </row>
    <row r="554" spans="1:8" x14ac:dyDescent="0.3">
      <c r="A554" s="401"/>
      <c r="B554" s="709">
        <v>732</v>
      </c>
      <c r="C554" s="710" t="s">
        <v>8934</v>
      </c>
      <c r="D554" s="709" t="s">
        <v>136</v>
      </c>
      <c r="E554" s="709" t="s">
        <v>8432</v>
      </c>
      <c r="F554" s="716">
        <v>1768.53</v>
      </c>
      <c r="G554" s="716">
        <v>1195.53</v>
      </c>
      <c r="H554" s="225">
        <f t="shared" si="8"/>
        <v>1768.53</v>
      </c>
    </row>
    <row r="555" spans="1:8" x14ac:dyDescent="0.3">
      <c r="A555" s="401"/>
      <c r="B555" s="709">
        <v>735</v>
      </c>
      <c r="C555" s="710" t="s">
        <v>8935</v>
      </c>
      <c r="D555" s="709" t="s">
        <v>136</v>
      </c>
      <c r="E555" s="709" t="s">
        <v>8432</v>
      </c>
      <c r="F555" s="716">
        <v>3146.13</v>
      </c>
      <c r="G555" s="716">
        <v>2126.79</v>
      </c>
      <c r="H555" s="225">
        <f t="shared" si="8"/>
        <v>3146.13</v>
      </c>
    </row>
    <row r="556" spans="1:8" x14ac:dyDescent="0.3">
      <c r="A556" s="401"/>
      <c r="B556" s="709">
        <v>736</v>
      </c>
      <c r="C556" s="710" t="s">
        <v>8936</v>
      </c>
      <c r="D556" s="709" t="s">
        <v>136</v>
      </c>
      <c r="E556" s="709" t="s">
        <v>8432</v>
      </c>
      <c r="F556" s="716">
        <v>2645.33</v>
      </c>
      <c r="G556" s="716">
        <v>1788.24</v>
      </c>
      <c r="H556" s="225">
        <f t="shared" si="8"/>
        <v>2645.33</v>
      </c>
    </row>
    <row r="557" spans="1:8" x14ac:dyDescent="0.3">
      <c r="A557" s="401"/>
      <c r="B557" s="709">
        <v>740</v>
      </c>
      <c r="C557" s="710" t="s">
        <v>8937</v>
      </c>
      <c r="D557" s="709" t="s">
        <v>136</v>
      </c>
      <c r="E557" s="709" t="s">
        <v>8432</v>
      </c>
      <c r="F557" s="716">
        <v>9329.68</v>
      </c>
      <c r="G557" s="716">
        <v>6306.88</v>
      </c>
      <c r="H557" s="225">
        <f t="shared" si="8"/>
        <v>9329.68</v>
      </c>
    </row>
    <row r="558" spans="1:8" x14ac:dyDescent="0.3">
      <c r="A558" s="401"/>
      <c r="B558" s="709">
        <v>734</v>
      </c>
      <c r="C558" s="710" t="s">
        <v>8938</v>
      </c>
      <c r="D558" s="709" t="s">
        <v>136</v>
      </c>
      <c r="E558" s="709" t="s">
        <v>8432</v>
      </c>
      <c r="F558" s="716">
        <v>1895.87</v>
      </c>
      <c r="G558" s="716">
        <v>1281.6099999999999</v>
      </c>
      <c r="H558" s="225">
        <f t="shared" si="8"/>
        <v>1895.87</v>
      </c>
    </row>
    <row r="559" spans="1:8" x14ac:dyDescent="0.3">
      <c r="A559" s="401"/>
      <c r="B559" s="709">
        <v>39008</v>
      </c>
      <c r="C559" s="710" t="s">
        <v>8939</v>
      </c>
      <c r="D559" s="709" t="s">
        <v>136</v>
      </c>
      <c r="E559" s="709" t="s">
        <v>8432</v>
      </c>
      <c r="F559" s="716">
        <v>59610.59</v>
      </c>
      <c r="G559" s="716">
        <v>63840.87</v>
      </c>
      <c r="H559" s="225">
        <f t="shared" si="8"/>
        <v>59610.59</v>
      </c>
    </row>
    <row r="560" spans="1:8" x14ac:dyDescent="0.3">
      <c r="A560" s="401"/>
      <c r="B560" s="709">
        <v>39009</v>
      </c>
      <c r="C560" s="710" t="s">
        <v>8940</v>
      </c>
      <c r="D560" s="709" t="s">
        <v>136</v>
      </c>
      <c r="E560" s="709" t="s">
        <v>8432</v>
      </c>
      <c r="F560" s="716">
        <v>63865.36</v>
      </c>
      <c r="G560" s="716">
        <v>68397.58</v>
      </c>
      <c r="H560" s="225">
        <f t="shared" si="8"/>
        <v>63865.36</v>
      </c>
    </row>
    <row r="561" spans="1:8" x14ac:dyDescent="0.3">
      <c r="A561" s="401"/>
      <c r="B561" s="709">
        <v>10592</v>
      </c>
      <c r="C561" s="710" t="s">
        <v>8941</v>
      </c>
      <c r="D561" s="709" t="s">
        <v>136</v>
      </c>
      <c r="E561" s="709" t="s">
        <v>8438</v>
      </c>
      <c r="F561" s="716">
        <v>7376.7</v>
      </c>
      <c r="G561" s="716">
        <v>5525</v>
      </c>
      <c r="H561" s="225">
        <f t="shared" si="8"/>
        <v>7376.7</v>
      </c>
    </row>
    <row r="562" spans="1:8" x14ac:dyDescent="0.3">
      <c r="A562" s="401"/>
      <c r="B562" s="709">
        <v>751</v>
      </c>
      <c r="C562" s="710" t="s">
        <v>8942</v>
      </c>
      <c r="D562" s="709" t="s">
        <v>136</v>
      </c>
      <c r="E562" s="709" t="s">
        <v>8432</v>
      </c>
      <c r="F562" s="716">
        <v>8713.7199999999993</v>
      </c>
      <c r="G562" s="716">
        <v>6526.4</v>
      </c>
      <c r="H562" s="225">
        <f t="shared" si="8"/>
        <v>8713.7199999999993</v>
      </c>
    </row>
    <row r="563" spans="1:8" x14ac:dyDescent="0.3">
      <c r="A563" s="401"/>
      <c r="B563" s="709">
        <v>754</v>
      </c>
      <c r="C563" s="710" t="s">
        <v>8943</v>
      </c>
      <c r="D563" s="709" t="s">
        <v>136</v>
      </c>
      <c r="E563" s="709" t="s">
        <v>8432</v>
      </c>
      <c r="F563" s="716">
        <v>13831.31</v>
      </c>
      <c r="G563" s="716">
        <v>10359.370000000001</v>
      </c>
      <c r="H563" s="225">
        <f t="shared" si="8"/>
        <v>13831.31</v>
      </c>
    </row>
    <row r="564" spans="1:8" x14ac:dyDescent="0.3">
      <c r="A564" s="401"/>
      <c r="B564" s="709">
        <v>39917</v>
      </c>
      <c r="C564" s="710" t="s">
        <v>8944</v>
      </c>
      <c r="D564" s="709" t="s">
        <v>136</v>
      </c>
      <c r="E564" s="709" t="s">
        <v>8432</v>
      </c>
      <c r="F564" s="716">
        <v>91566.17</v>
      </c>
      <c r="G564" s="716">
        <v>98064.18</v>
      </c>
      <c r="H564" s="225">
        <f t="shared" si="8"/>
        <v>91566.17</v>
      </c>
    </row>
    <row r="565" spans="1:8" x14ac:dyDescent="0.3">
      <c r="A565" s="401"/>
      <c r="B565" s="709">
        <v>38167</v>
      </c>
      <c r="C565" s="710" t="s">
        <v>8945</v>
      </c>
      <c r="D565" s="709" t="s">
        <v>8808</v>
      </c>
      <c r="E565" s="709" t="s">
        <v>8432</v>
      </c>
      <c r="F565" s="716">
        <v>33.049999999999997</v>
      </c>
      <c r="G565" s="716">
        <v>27.34</v>
      </c>
      <c r="H565" s="225">
        <f t="shared" si="8"/>
        <v>33.049999999999997</v>
      </c>
    </row>
    <row r="566" spans="1:8" x14ac:dyDescent="0.3">
      <c r="A566" s="401"/>
      <c r="B566" s="709">
        <v>36145</v>
      </c>
      <c r="C566" s="710" t="s">
        <v>8946</v>
      </c>
      <c r="D566" s="709" t="s">
        <v>8808</v>
      </c>
      <c r="E566" s="709" t="s">
        <v>8432</v>
      </c>
      <c r="F566" s="716">
        <v>50.12</v>
      </c>
      <c r="G566" s="716">
        <v>49.16</v>
      </c>
      <c r="H566" s="225">
        <f t="shared" si="8"/>
        <v>50.12</v>
      </c>
    </row>
    <row r="567" spans="1:8" x14ac:dyDescent="0.3">
      <c r="A567" s="401"/>
      <c r="B567" s="709">
        <v>12893</v>
      </c>
      <c r="C567" s="710" t="s">
        <v>8947</v>
      </c>
      <c r="D567" s="709" t="s">
        <v>8808</v>
      </c>
      <c r="E567" s="709" t="s">
        <v>8432</v>
      </c>
      <c r="F567" s="716">
        <v>88.22</v>
      </c>
      <c r="G567" s="716">
        <v>86.52</v>
      </c>
      <c r="H567" s="225">
        <f t="shared" si="8"/>
        <v>88.22</v>
      </c>
    </row>
    <row r="568" spans="1:8" x14ac:dyDescent="0.3">
      <c r="A568" s="401"/>
      <c r="B568" s="709">
        <v>11685</v>
      </c>
      <c r="C568" s="710" t="s">
        <v>8948</v>
      </c>
      <c r="D568" s="709" t="s">
        <v>136</v>
      </c>
      <c r="E568" s="709" t="s">
        <v>8432</v>
      </c>
      <c r="F568" s="716">
        <v>48.72</v>
      </c>
      <c r="G568" s="716">
        <v>29.6</v>
      </c>
      <c r="H568" s="225">
        <f t="shared" si="8"/>
        <v>48.72</v>
      </c>
    </row>
    <row r="569" spans="1:8" x14ac:dyDescent="0.3">
      <c r="A569" s="401"/>
      <c r="B569" s="709">
        <v>11680</v>
      </c>
      <c r="C569" s="710" t="s">
        <v>8949</v>
      </c>
      <c r="D569" s="709" t="s">
        <v>136</v>
      </c>
      <c r="E569" s="709" t="s">
        <v>8432</v>
      </c>
      <c r="F569" s="716">
        <v>25.55</v>
      </c>
      <c r="G569" s="716">
        <v>20.58</v>
      </c>
      <c r="H569" s="225">
        <f t="shared" si="8"/>
        <v>25.55</v>
      </c>
    </row>
    <row r="570" spans="1:8" x14ac:dyDescent="0.3">
      <c r="A570" s="401"/>
      <c r="B570" s="709">
        <v>11679</v>
      </c>
      <c r="C570" s="710" t="s">
        <v>8950</v>
      </c>
      <c r="D570" s="709" t="s">
        <v>136</v>
      </c>
      <c r="E570" s="709" t="s">
        <v>8432</v>
      </c>
      <c r="F570" s="716">
        <v>34.65</v>
      </c>
      <c r="G570" s="716">
        <v>27.9</v>
      </c>
      <c r="H570" s="225">
        <f t="shared" si="8"/>
        <v>34.65</v>
      </c>
    </row>
    <row r="571" spans="1:8" x14ac:dyDescent="0.3">
      <c r="A571" s="401"/>
      <c r="B571" s="709">
        <v>2512</v>
      </c>
      <c r="C571" s="710" t="s">
        <v>8951</v>
      </c>
      <c r="D571" s="709" t="s">
        <v>136</v>
      </c>
      <c r="E571" s="709" t="s">
        <v>8432</v>
      </c>
      <c r="F571" s="716"/>
      <c r="G571" s="716">
        <v>29.94</v>
      </c>
      <c r="H571" s="225">
        <f t="shared" si="8"/>
        <v>29.94</v>
      </c>
    </row>
    <row r="572" spans="1:8" x14ac:dyDescent="0.3">
      <c r="A572" s="401"/>
      <c r="B572" s="709">
        <v>45203</v>
      </c>
      <c r="C572" s="710" t="s">
        <v>8952</v>
      </c>
      <c r="D572" s="709" t="s">
        <v>136</v>
      </c>
      <c r="E572" s="709" t="s">
        <v>8432</v>
      </c>
      <c r="F572" s="716">
        <v>8.91</v>
      </c>
      <c r="G572" s="716">
        <v>10.1</v>
      </c>
      <c r="H572" s="225">
        <f t="shared" si="8"/>
        <v>8.91</v>
      </c>
    </row>
    <row r="573" spans="1:8" x14ac:dyDescent="0.3">
      <c r="A573" s="401"/>
      <c r="B573" s="709">
        <v>4374</v>
      </c>
      <c r="C573" s="710" t="s">
        <v>8953</v>
      </c>
      <c r="D573" s="709" t="s">
        <v>136</v>
      </c>
      <c r="E573" s="709" t="s">
        <v>8432</v>
      </c>
      <c r="F573" s="716">
        <v>0.77</v>
      </c>
      <c r="G573" s="716">
        <v>0.18</v>
      </c>
      <c r="H573" s="225">
        <f t="shared" si="8"/>
        <v>0.77</v>
      </c>
    </row>
    <row r="574" spans="1:8" x14ac:dyDescent="0.3">
      <c r="A574" s="401"/>
      <c r="B574" s="709">
        <v>7568</v>
      </c>
      <c r="C574" s="710" t="s">
        <v>8954</v>
      </c>
      <c r="D574" s="709" t="s">
        <v>136</v>
      </c>
      <c r="E574" s="709" t="s">
        <v>8432</v>
      </c>
      <c r="F574" s="716">
        <v>1.29</v>
      </c>
      <c r="G574" s="716">
        <v>0.3</v>
      </c>
      <c r="H574" s="225">
        <f t="shared" si="8"/>
        <v>1.29</v>
      </c>
    </row>
    <row r="575" spans="1:8" x14ac:dyDescent="0.3">
      <c r="A575" s="401"/>
      <c r="B575" s="709">
        <v>7584</v>
      </c>
      <c r="C575" s="710" t="s">
        <v>8955</v>
      </c>
      <c r="D575" s="709" t="s">
        <v>136</v>
      </c>
      <c r="E575" s="709" t="s">
        <v>8432</v>
      </c>
      <c r="F575" s="716">
        <v>1.96</v>
      </c>
      <c r="G575" s="716">
        <v>0.46</v>
      </c>
      <c r="H575" s="225">
        <f t="shared" si="8"/>
        <v>1.96</v>
      </c>
    </row>
    <row r="576" spans="1:8" x14ac:dyDescent="0.3">
      <c r="A576" s="401"/>
      <c r="B576" s="709">
        <v>11945</v>
      </c>
      <c r="C576" s="710" t="s">
        <v>8956</v>
      </c>
      <c r="D576" s="709" t="s">
        <v>136</v>
      </c>
      <c r="E576" s="709" t="s">
        <v>8432</v>
      </c>
      <c r="F576" s="716">
        <v>0.12</v>
      </c>
      <c r="G576" s="716">
        <v>0.03</v>
      </c>
      <c r="H576" s="225">
        <f t="shared" si="8"/>
        <v>0.12</v>
      </c>
    </row>
    <row r="577" spans="1:8" x14ac:dyDescent="0.3">
      <c r="A577" s="401"/>
      <c r="B577" s="709">
        <v>11946</v>
      </c>
      <c r="C577" s="710" t="s">
        <v>8957</v>
      </c>
      <c r="D577" s="709" t="s">
        <v>136</v>
      </c>
      <c r="E577" s="709" t="s">
        <v>8432</v>
      </c>
      <c r="F577" s="716">
        <v>0.14000000000000001</v>
      </c>
      <c r="G577" s="716">
        <v>0.03</v>
      </c>
      <c r="H577" s="225">
        <f t="shared" si="8"/>
        <v>0.14000000000000001</v>
      </c>
    </row>
    <row r="578" spans="1:8" x14ac:dyDescent="0.3">
      <c r="A578" s="401"/>
      <c r="B578" s="709">
        <v>4375</v>
      </c>
      <c r="C578" s="710" t="s">
        <v>8958</v>
      </c>
      <c r="D578" s="709" t="s">
        <v>136</v>
      </c>
      <c r="E578" s="709" t="s">
        <v>8438</v>
      </c>
      <c r="F578" s="716">
        <v>0.21</v>
      </c>
      <c r="G578" s="716">
        <v>0.05</v>
      </c>
      <c r="H578" s="225">
        <f t="shared" si="8"/>
        <v>0.21</v>
      </c>
    </row>
    <row r="579" spans="1:8" x14ac:dyDescent="0.3">
      <c r="A579" s="401"/>
      <c r="B579" s="709">
        <v>11950</v>
      </c>
      <c r="C579" s="710" t="s">
        <v>8959</v>
      </c>
      <c r="D579" s="709" t="s">
        <v>136</v>
      </c>
      <c r="E579" s="709" t="s">
        <v>8432</v>
      </c>
      <c r="F579" s="716">
        <v>0.43</v>
      </c>
      <c r="G579" s="716">
        <v>0.1</v>
      </c>
      <c r="H579" s="225">
        <f t="shared" si="8"/>
        <v>0.43</v>
      </c>
    </row>
    <row r="580" spans="1:8" x14ac:dyDescent="0.3">
      <c r="A580" s="401"/>
      <c r="B580" s="709">
        <v>4376</v>
      </c>
      <c r="C580" s="710" t="s">
        <v>8960</v>
      </c>
      <c r="D580" s="709" t="s">
        <v>136</v>
      </c>
      <c r="E580" s="709" t="s">
        <v>8432</v>
      </c>
      <c r="F580" s="716">
        <v>0.41</v>
      </c>
      <c r="G580" s="716">
        <v>0.09</v>
      </c>
      <c r="H580" s="225">
        <f t="shared" si="8"/>
        <v>0.41</v>
      </c>
    </row>
    <row r="581" spans="1:8" x14ac:dyDescent="0.3">
      <c r="A581" s="401"/>
      <c r="B581" s="709">
        <v>7583</v>
      </c>
      <c r="C581" s="710" t="s">
        <v>8961</v>
      </c>
      <c r="D581" s="709" t="s">
        <v>136</v>
      </c>
      <c r="E581" s="709" t="s">
        <v>8432</v>
      </c>
      <c r="F581" s="716">
        <v>0.88</v>
      </c>
      <c r="G581" s="716">
        <v>0.2</v>
      </c>
      <c r="H581" s="225">
        <f t="shared" si="8"/>
        <v>0.88</v>
      </c>
    </row>
    <row r="582" spans="1:8" x14ac:dyDescent="0.3">
      <c r="A582" s="401"/>
      <c r="B582" s="709">
        <v>4350</v>
      </c>
      <c r="C582" s="710" t="s">
        <v>8962</v>
      </c>
      <c r="D582" s="709" t="s">
        <v>136</v>
      </c>
      <c r="E582" s="709" t="s">
        <v>8432</v>
      </c>
      <c r="F582" s="716"/>
      <c r="G582" s="716">
        <v>0.59</v>
      </c>
      <c r="H582" s="225">
        <f t="shared" si="8"/>
        <v>0.59</v>
      </c>
    </row>
    <row r="583" spans="1:8" x14ac:dyDescent="0.3">
      <c r="A583" s="401"/>
      <c r="B583" s="709">
        <v>44400</v>
      </c>
      <c r="C583" s="710" t="s">
        <v>8963</v>
      </c>
      <c r="D583" s="709" t="s">
        <v>136</v>
      </c>
      <c r="E583" s="709" t="s">
        <v>8432</v>
      </c>
      <c r="F583" s="716">
        <v>45.29</v>
      </c>
      <c r="G583" s="716">
        <v>33.119999999999997</v>
      </c>
      <c r="H583" s="225">
        <f t="shared" si="8"/>
        <v>45.29</v>
      </c>
    </row>
    <row r="584" spans="1:8" x14ac:dyDescent="0.3">
      <c r="A584" s="401"/>
      <c r="B584" s="709">
        <v>39886</v>
      </c>
      <c r="C584" s="710" t="s">
        <v>8964</v>
      </c>
      <c r="D584" s="709" t="s">
        <v>136</v>
      </c>
      <c r="E584" s="709" t="s">
        <v>8432</v>
      </c>
      <c r="F584" s="716"/>
      <c r="G584" s="716">
        <v>8.18</v>
      </c>
      <c r="H584" s="225">
        <f t="shared" si="8"/>
        <v>8.18</v>
      </c>
    </row>
    <row r="585" spans="1:8" x14ac:dyDescent="0.3">
      <c r="A585" s="401"/>
      <c r="B585" s="709">
        <v>39887</v>
      </c>
      <c r="C585" s="710" t="s">
        <v>8965</v>
      </c>
      <c r="D585" s="709" t="s">
        <v>136</v>
      </c>
      <c r="E585" s="709" t="s">
        <v>8432</v>
      </c>
      <c r="F585" s="716"/>
      <c r="G585" s="716">
        <v>12.27</v>
      </c>
      <c r="H585" s="225">
        <f t="shared" si="8"/>
        <v>12.27</v>
      </c>
    </row>
    <row r="586" spans="1:8" x14ac:dyDescent="0.3">
      <c r="A586" s="401"/>
      <c r="B586" s="709">
        <v>39888</v>
      </c>
      <c r="C586" s="710" t="s">
        <v>8966</v>
      </c>
      <c r="D586" s="709" t="s">
        <v>136</v>
      </c>
      <c r="E586" s="709" t="s">
        <v>8432</v>
      </c>
      <c r="F586" s="716"/>
      <c r="G586" s="716">
        <v>28.05</v>
      </c>
      <c r="H586" s="225">
        <f t="shared" si="8"/>
        <v>28.05</v>
      </c>
    </row>
    <row r="587" spans="1:8" x14ac:dyDescent="0.3">
      <c r="A587" s="401"/>
      <c r="B587" s="709">
        <v>39890</v>
      </c>
      <c r="C587" s="710" t="s">
        <v>8967</v>
      </c>
      <c r="D587" s="709" t="s">
        <v>136</v>
      </c>
      <c r="E587" s="709" t="s">
        <v>8432</v>
      </c>
      <c r="F587" s="716"/>
      <c r="G587" s="716">
        <v>47.88</v>
      </c>
      <c r="H587" s="225">
        <f t="shared" ref="H587:H650" si="9">IF(F587&gt;0,F587,G587)</f>
        <v>47.88</v>
      </c>
    </row>
    <row r="588" spans="1:8" x14ac:dyDescent="0.3">
      <c r="A588" s="401"/>
      <c r="B588" s="709">
        <v>39891</v>
      </c>
      <c r="C588" s="710" t="s">
        <v>8968</v>
      </c>
      <c r="D588" s="709" t="s">
        <v>136</v>
      </c>
      <c r="E588" s="709" t="s">
        <v>8432</v>
      </c>
      <c r="F588" s="716"/>
      <c r="G588" s="716">
        <v>67.510000000000005</v>
      </c>
      <c r="H588" s="225">
        <f t="shared" si="9"/>
        <v>67.510000000000005</v>
      </c>
    </row>
    <row r="589" spans="1:8" x14ac:dyDescent="0.3">
      <c r="A589" s="401"/>
      <c r="B589" s="709">
        <v>39892</v>
      </c>
      <c r="C589" s="710" t="s">
        <v>8969</v>
      </c>
      <c r="D589" s="709" t="s">
        <v>136</v>
      </c>
      <c r="E589" s="709" t="s">
        <v>8432</v>
      </c>
      <c r="F589" s="716"/>
      <c r="G589" s="716">
        <v>210.42</v>
      </c>
      <c r="H589" s="225">
        <f t="shared" si="9"/>
        <v>210.42</v>
      </c>
    </row>
    <row r="590" spans="1:8" x14ac:dyDescent="0.3">
      <c r="A590" s="401"/>
      <c r="B590" s="709">
        <v>790</v>
      </c>
      <c r="C590" s="710" t="s">
        <v>8970</v>
      </c>
      <c r="D590" s="709" t="s">
        <v>136</v>
      </c>
      <c r="E590" s="709" t="s">
        <v>8432</v>
      </c>
      <c r="F590" s="716">
        <v>16.45</v>
      </c>
      <c r="G590" s="716">
        <v>22.43</v>
      </c>
      <c r="H590" s="225">
        <f t="shared" si="9"/>
        <v>16.45</v>
      </c>
    </row>
    <row r="591" spans="1:8" x14ac:dyDescent="0.3">
      <c r="A591" s="401"/>
      <c r="B591" s="709">
        <v>791</v>
      </c>
      <c r="C591" s="710" t="s">
        <v>8971</v>
      </c>
      <c r="D591" s="709" t="s">
        <v>136</v>
      </c>
      <c r="E591" s="709" t="s">
        <v>8432</v>
      </c>
      <c r="F591" s="716">
        <v>16.45</v>
      </c>
      <c r="G591" s="716">
        <v>22.43</v>
      </c>
      <c r="H591" s="225">
        <f t="shared" si="9"/>
        <v>16.45</v>
      </c>
    </row>
    <row r="592" spans="1:8" x14ac:dyDescent="0.3">
      <c r="A592" s="401"/>
      <c r="B592" s="709">
        <v>766</v>
      </c>
      <c r="C592" s="710" t="s">
        <v>8972</v>
      </c>
      <c r="D592" s="709" t="s">
        <v>136</v>
      </c>
      <c r="E592" s="709" t="s">
        <v>8432</v>
      </c>
      <c r="F592" s="716">
        <v>16.45</v>
      </c>
      <c r="G592" s="716">
        <v>22.43</v>
      </c>
      <c r="H592" s="225">
        <f t="shared" si="9"/>
        <v>16.45</v>
      </c>
    </row>
    <row r="593" spans="1:8" x14ac:dyDescent="0.3">
      <c r="A593" s="401"/>
      <c r="B593" s="709">
        <v>767</v>
      </c>
      <c r="C593" s="710" t="s">
        <v>8973</v>
      </c>
      <c r="D593" s="709" t="s">
        <v>136</v>
      </c>
      <c r="E593" s="709" t="s">
        <v>8432</v>
      </c>
      <c r="F593" s="716">
        <v>16.45</v>
      </c>
      <c r="G593" s="716">
        <v>22.43</v>
      </c>
      <c r="H593" s="225">
        <f t="shared" si="9"/>
        <v>16.45</v>
      </c>
    </row>
    <row r="594" spans="1:8" x14ac:dyDescent="0.3">
      <c r="A594" s="401"/>
      <c r="B594" s="709">
        <v>789</v>
      </c>
      <c r="C594" s="710" t="s">
        <v>8974</v>
      </c>
      <c r="D594" s="709" t="s">
        <v>136</v>
      </c>
      <c r="E594" s="709" t="s">
        <v>8432</v>
      </c>
      <c r="F594" s="716">
        <v>12.64</v>
      </c>
      <c r="G594" s="716">
        <v>17.239999999999998</v>
      </c>
      <c r="H594" s="225">
        <f t="shared" si="9"/>
        <v>12.64</v>
      </c>
    </row>
    <row r="595" spans="1:8" x14ac:dyDescent="0.3">
      <c r="A595" s="401"/>
      <c r="B595" s="709">
        <v>768</v>
      </c>
      <c r="C595" s="710" t="s">
        <v>8975</v>
      </c>
      <c r="D595" s="709" t="s">
        <v>136</v>
      </c>
      <c r="E595" s="709" t="s">
        <v>8432</v>
      </c>
      <c r="F595" s="716">
        <v>12.92</v>
      </c>
      <c r="G595" s="716">
        <v>17.61</v>
      </c>
      <c r="H595" s="225">
        <f t="shared" si="9"/>
        <v>12.92</v>
      </c>
    </row>
    <row r="596" spans="1:8" x14ac:dyDescent="0.3">
      <c r="A596" s="401"/>
      <c r="B596" s="709">
        <v>769</v>
      </c>
      <c r="C596" s="710" t="s">
        <v>8976</v>
      </c>
      <c r="D596" s="709" t="s">
        <v>136</v>
      </c>
      <c r="E596" s="709" t="s">
        <v>8432</v>
      </c>
      <c r="F596" s="716">
        <v>12.92</v>
      </c>
      <c r="G596" s="716">
        <v>17.61</v>
      </c>
      <c r="H596" s="225">
        <f t="shared" si="9"/>
        <v>12.92</v>
      </c>
    </row>
    <row r="597" spans="1:8" x14ac:dyDescent="0.3">
      <c r="A597" s="401"/>
      <c r="B597" s="709">
        <v>764</v>
      </c>
      <c r="C597" s="710" t="s">
        <v>8977</v>
      </c>
      <c r="D597" s="709" t="s">
        <v>136</v>
      </c>
      <c r="E597" s="709" t="s">
        <v>8438</v>
      </c>
      <c r="F597" s="716">
        <v>7.95</v>
      </c>
      <c r="G597" s="716">
        <v>10.84</v>
      </c>
      <c r="H597" s="225">
        <f t="shared" si="9"/>
        <v>7.95</v>
      </c>
    </row>
    <row r="598" spans="1:8" x14ac:dyDescent="0.3">
      <c r="A598" s="401"/>
      <c r="B598" s="709">
        <v>765</v>
      </c>
      <c r="C598" s="710" t="s">
        <v>8978</v>
      </c>
      <c r="D598" s="709" t="s">
        <v>136</v>
      </c>
      <c r="E598" s="709" t="s">
        <v>8432</v>
      </c>
      <c r="F598" s="716">
        <v>7.95</v>
      </c>
      <c r="G598" s="716">
        <v>10.84</v>
      </c>
      <c r="H598" s="225">
        <f t="shared" si="9"/>
        <v>7.95</v>
      </c>
    </row>
    <row r="599" spans="1:8" x14ac:dyDescent="0.3">
      <c r="A599" s="401"/>
      <c r="B599" s="709">
        <v>770</v>
      </c>
      <c r="C599" s="710" t="s">
        <v>8979</v>
      </c>
      <c r="D599" s="709" t="s">
        <v>136</v>
      </c>
      <c r="E599" s="709" t="s">
        <v>8432</v>
      </c>
      <c r="F599" s="716">
        <v>4.5599999999999996</v>
      </c>
      <c r="G599" s="716">
        <v>6.22</v>
      </c>
      <c r="H599" s="225">
        <f t="shared" si="9"/>
        <v>4.5599999999999996</v>
      </c>
    </row>
    <row r="600" spans="1:8" x14ac:dyDescent="0.3">
      <c r="A600" s="401"/>
      <c r="B600" s="709">
        <v>12394</v>
      </c>
      <c r="C600" s="710" t="s">
        <v>8980</v>
      </c>
      <c r="D600" s="709" t="s">
        <v>136</v>
      </c>
      <c r="E600" s="709" t="s">
        <v>8432</v>
      </c>
      <c r="F600" s="716">
        <v>4.5599999999999996</v>
      </c>
      <c r="G600" s="716">
        <v>6.22</v>
      </c>
      <c r="H600" s="225">
        <f t="shared" si="9"/>
        <v>4.5599999999999996</v>
      </c>
    </row>
    <row r="601" spans="1:8" x14ac:dyDescent="0.3">
      <c r="A601" s="401"/>
      <c r="B601" s="709">
        <v>787</v>
      </c>
      <c r="C601" s="710" t="s">
        <v>8981</v>
      </c>
      <c r="D601" s="709" t="s">
        <v>136</v>
      </c>
      <c r="E601" s="709" t="s">
        <v>8432</v>
      </c>
      <c r="F601" s="716">
        <v>35.51</v>
      </c>
      <c r="G601" s="716">
        <v>48.42</v>
      </c>
      <c r="H601" s="225">
        <f t="shared" si="9"/>
        <v>35.51</v>
      </c>
    </row>
    <row r="602" spans="1:8" x14ac:dyDescent="0.3">
      <c r="A602" s="401"/>
      <c r="B602" s="709">
        <v>774</v>
      </c>
      <c r="C602" s="710" t="s">
        <v>8982</v>
      </c>
      <c r="D602" s="709" t="s">
        <v>136</v>
      </c>
      <c r="E602" s="709" t="s">
        <v>8432</v>
      </c>
      <c r="F602" s="716">
        <v>35.51</v>
      </c>
      <c r="G602" s="716">
        <v>48.42</v>
      </c>
      <c r="H602" s="225">
        <f t="shared" si="9"/>
        <v>35.51</v>
      </c>
    </row>
    <row r="603" spans="1:8" x14ac:dyDescent="0.3">
      <c r="A603" s="401"/>
      <c r="B603" s="709">
        <v>773</v>
      </c>
      <c r="C603" s="710" t="s">
        <v>8983</v>
      </c>
      <c r="D603" s="709" t="s">
        <v>136</v>
      </c>
      <c r="E603" s="709" t="s">
        <v>8432</v>
      </c>
      <c r="F603" s="716">
        <v>35.51</v>
      </c>
      <c r="G603" s="716">
        <v>48.42</v>
      </c>
      <c r="H603" s="225">
        <f t="shared" si="9"/>
        <v>35.51</v>
      </c>
    </row>
    <row r="604" spans="1:8" x14ac:dyDescent="0.3">
      <c r="A604" s="401"/>
      <c r="B604" s="709">
        <v>775</v>
      </c>
      <c r="C604" s="710" t="s">
        <v>8984</v>
      </c>
      <c r="D604" s="709" t="s">
        <v>136</v>
      </c>
      <c r="E604" s="709" t="s">
        <v>8432</v>
      </c>
      <c r="F604" s="716">
        <v>35.51</v>
      </c>
      <c r="G604" s="716">
        <v>48.42</v>
      </c>
      <c r="H604" s="225">
        <f t="shared" si="9"/>
        <v>35.51</v>
      </c>
    </row>
    <row r="605" spans="1:8" x14ac:dyDescent="0.3">
      <c r="A605" s="401"/>
      <c r="B605" s="709">
        <v>788</v>
      </c>
      <c r="C605" s="710" t="s">
        <v>8985</v>
      </c>
      <c r="D605" s="709" t="s">
        <v>136</v>
      </c>
      <c r="E605" s="709" t="s">
        <v>8432</v>
      </c>
      <c r="F605" s="716">
        <v>22.07</v>
      </c>
      <c r="G605" s="716">
        <v>30.09</v>
      </c>
      <c r="H605" s="225">
        <f t="shared" si="9"/>
        <v>22.07</v>
      </c>
    </row>
    <row r="606" spans="1:8" x14ac:dyDescent="0.3">
      <c r="A606" s="401"/>
      <c r="B606" s="709">
        <v>772</v>
      </c>
      <c r="C606" s="710" t="s">
        <v>8986</v>
      </c>
      <c r="D606" s="709" t="s">
        <v>136</v>
      </c>
      <c r="E606" s="709" t="s">
        <v>8432</v>
      </c>
      <c r="F606" s="716">
        <v>22.07</v>
      </c>
      <c r="G606" s="716">
        <v>30.09</v>
      </c>
      <c r="H606" s="225">
        <f t="shared" si="9"/>
        <v>22.07</v>
      </c>
    </row>
    <row r="607" spans="1:8" x14ac:dyDescent="0.3">
      <c r="A607" s="401"/>
      <c r="B607" s="709">
        <v>771</v>
      </c>
      <c r="C607" s="710" t="s">
        <v>8987</v>
      </c>
      <c r="D607" s="709" t="s">
        <v>136</v>
      </c>
      <c r="E607" s="709" t="s">
        <v>8432</v>
      </c>
      <c r="F607" s="716">
        <v>22.07</v>
      </c>
      <c r="G607" s="716">
        <v>30.09</v>
      </c>
      <c r="H607" s="225">
        <f t="shared" si="9"/>
        <v>22.07</v>
      </c>
    </row>
    <row r="608" spans="1:8" x14ac:dyDescent="0.3">
      <c r="A608" s="401"/>
      <c r="B608" s="709">
        <v>776</v>
      </c>
      <c r="C608" s="710" t="s">
        <v>8988</v>
      </c>
      <c r="D608" s="709" t="s">
        <v>136</v>
      </c>
      <c r="E608" s="709" t="s">
        <v>8432</v>
      </c>
      <c r="F608" s="716">
        <v>52.35</v>
      </c>
      <c r="G608" s="716">
        <v>71.38</v>
      </c>
      <c r="H608" s="225">
        <f t="shared" si="9"/>
        <v>52.35</v>
      </c>
    </row>
    <row r="609" spans="1:8" x14ac:dyDescent="0.3">
      <c r="A609" s="401"/>
      <c r="B609" s="709">
        <v>777</v>
      </c>
      <c r="C609" s="710" t="s">
        <v>8989</v>
      </c>
      <c r="D609" s="709" t="s">
        <v>136</v>
      </c>
      <c r="E609" s="709" t="s">
        <v>8432</v>
      </c>
      <c r="F609" s="716">
        <v>50.89</v>
      </c>
      <c r="G609" s="716">
        <v>69.39</v>
      </c>
      <c r="H609" s="225">
        <f t="shared" si="9"/>
        <v>50.89</v>
      </c>
    </row>
    <row r="610" spans="1:8" x14ac:dyDescent="0.3">
      <c r="A610" s="401"/>
      <c r="B610" s="709">
        <v>780</v>
      </c>
      <c r="C610" s="710" t="s">
        <v>8990</v>
      </c>
      <c r="D610" s="709" t="s">
        <v>136</v>
      </c>
      <c r="E610" s="709" t="s">
        <v>8432</v>
      </c>
      <c r="F610" s="716">
        <v>51.14</v>
      </c>
      <c r="G610" s="716">
        <v>69.739999999999995</v>
      </c>
      <c r="H610" s="225">
        <f t="shared" si="9"/>
        <v>51.14</v>
      </c>
    </row>
    <row r="611" spans="1:8" x14ac:dyDescent="0.3">
      <c r="A611" s="401"/>
      <c r="B611" s="709">
        <v>778</v>
      </c>
      <c r="C611" s="710" t="s">
        <v>8991</v>
      </c>
      <c r="D611" s="709" t="s">
        <v>136</v>
      </c>
      <c r="E611" s="709" t="s">
        <v>8432</v>
      </c>
      <c r="F611" s="716">
        <v>52.35</v>
      </c>
      <c r="G611" s="716">
        <v>71.38</v>
      </c>
      <c r="H611" s="225">
        <f t="shared" si="9"/>
        <v>52.35</v>
      </c>
    </row>
    <row r="612" spans="1:8" x14ac:dyDescent="0.3">
      <c r="A612" s="401"/>
      <c r="B612" s="709">
        <v>779</v>
      </c>
      <c r="C612" s="710" t="s">
        <v>8992</v>
      </c>
      <c r="D612" s="709" t="s">
        <v>136</v>
      </c>
      <c r="E612" s="709" t="s">
        <v>8432</v>
      </c>
      <c r="F612" s="716">
        <v>5.49</v>
      </c>
      <c r="G612" s="716">
        <v>7.48</v>
      </c>
      <c r="H612" s="225">
        <f t="shared" si="9"/>
        <v>5.49</v>
      </c>
    </row>
    <row r="613" spans="1:8" x14ac:dyDescent="0.3">
      <c r="A613" s="401"/>
      <c r="B613" s="709">
        <v>781</v>
      </c>
      <c r="C613" s="710" t="s">
        <v>8993</v>
      </c>
      <c r="D613" s="709" t="s">
        <v>136</v>
      </c>
      <c r="E613" s="709" t="s">
        <v>8432</v>
      </c>
      <c r="F613" s="716">
        <v>96.72</v>
      </c>
      <c r="G613" s="716">
        <v>131.88</v>
      </c>
      <c r="H613" s="225">
        <f t="shared" si="9"/>
        <v>96.72</v>
      </c>
    </row>
    <row r="614" spans="1:8" x14ac:dyDescent="0.3">
      <c r="A614" s="401"/>
      <c r="B614" s="709">
        <v>786</v>
      </c>
      <c r="C614" s="710" t="s">
        <v>8994</v>
      </c>
      <c r="D614" s="709" t="s">
        <v>136</v>
      </c>
      <c r="E614" s="709" t="s">
        <v>8432</v>
      </c>
      <c r="F614" s="716">
        <v>96.72</v>
      </c>
      <c r="G614" s="716">
        <v>131.88</v>
      </c>
      <c r="H614" s="225">
        <f t="shared" si="9"/>
        <v>96.72</v>
      </c>
    </row>
    <row r="615" spans="1:8" x14ac:dyDescent="0.3">
      <c r="A615" s="401"/>
      <c r="B615" s="709">
        <v>782</v>
      </c>
      <c r="C615" s="710" t="s">
        <v>8995</v>
      </c>
      <c r="D615" s="709" t="s">
        <v>136</v>
      </c>
      <c r="E615" s="709" t="s">
        <v>8432</v>
      </c>
      <c r="F615" s="716">
        <v>96.72</v>
      </c>
      <c r="G615" s="716">
        <v>131.88</v>
      </c>
      <c r="H615" s="225">
        <f t="shared" si="9"/>
        <v>96.72</v>
      </c>
    </row>
    <row r="616" spans="1:8" x14ac:dyDescent="0.3">
      <c r="A616" s="401"/>
      <c r="B616" s="709">
        <v>783</v>
      </c>
      <c r="C616" s="710" t="s">
        <v>8996</v>
      </c>
      <c r="D616" s="709" t="s">
        <v>136</v>
      </c>
      <c r="E616" s="709" t="s">
        <v>8432</v>
      </c>
      <c r="F616" s="716">
        <v>264.72000000000003</v>
      </c>
      <c r="G616" s="716">
        <v>360.96</v>
      </c>
      <c r="H616" s="225">
        <f t="shared" si="9"/>
        <v>264.72000000000003</v>
      </c>
    </row>
    <row r="617" spans="1:8" x14ac:dyDescent="0.3">
      <c r="A617" s="401"/>
      <c r="B617" s="709">
        <v>785</v>
      </c>
      <c r="C617" s="710" t="s">
        <v>8997</v>
      </c>
      <c r="D617" s="709" t="s">
        <v>136</v>
      </c>
      <c r="E617" s="709" t="s">
        <v>8432</v>
      </c>
      <c r="F617" s="716">
        <v>279.7</v>
      </c>
      <c r="G617" s="716">
        <v>381.38</v>
      </c>
      <c r="H617" s="225">
        <f t="shared" si="9"/>
        <v>279.7</v>
      </c>
    </row>
    <row r="618" spans="1:8" x14ac:dyDescent="0.3">
      <c r="A618" s="401"/>
      <c r="B618" s="709">
        <v>784</v>
      </c>
      <c r="C618" s="710" t="s">
        <v>8998</v>
      </c>
      <c r="D618" s="709" t="s">
        <v>136</v>
      </c>
      <c r="E618" s="709" t="s">
        <v>8432</v>
      </c>
      <c r="F618" s="716">
        <v>300.05</v>
      </c>
      <c r="G618" s="716">
        <v>409.13</v>
      </c>
      <c r="H618" s="225">
        <f t="shared" si="9"/>
        <v>300.05</v>
      </c>
    </row>
    <row r="619" spans="1:8" x14ac:dyDescent="0.3">
      <c r="A619" s="401"/>
      <c r="B619" s="709">
        <v>828</v>
      </c>
      <c r="C619" s="710" t="s">
        <v>8999</v>
      </c>
      <c r="D619" s="709" t="s">
        <v>136</v>
      </c>
      <c r="E619" s="709" t="s">
        <v>8432</v>
      </c>
      <c r="F619" s="716">
        <v>0.73</v>
      </c>
      <c r="G619" s="716">
        <v>0.74</v>
      </c>
      <c r="H619" s="225">
        <f t="shared" si="9"/>
        <v>0.73</v>
      </c>
    </row>
    <row r="620" spans="1:8" x14ac:dyDescent="0.3">
      <c r="A620" s="401"/>
      <c r="B620" s="709">
        <v>829</v>
      </c>
      <c r="C620" s="710" t="s">
        <v>9000</v>
      </c>
      <c r="D620" s="709" t="s">
        <v>136</v>
      </c>
      <c r="E620" s="709" t="s">
        <v>8432</v>
      </c>
      <c r="F620" s="716">
        <v>1.18</v>
      </c>
      <c r="G620" s="716">
        <v>1.2</v>
      </c>
      <c r="H620" s="225">
        <f t="shared" si="9"/>
        <v>1.18</v>
      </c>
    </row>
    <row r="621" spans="1:8" x14ac:dyDescent="0.3">
      <c r="A621" s="401"/>
      <c r="B621" s="709">
        <v>812</v>
      </c>
      <c r="C621" s="710" t="s">
        <v>9001</v>
      </c>
      <c r="D621" s="709" t="s">
        <v>136</v>
      </c>
      <c r="E621" s="709" t="s">
        <v>8432</v>
      </c>
      <c r="F621" s="716">
        <v>2.59</v>
      </c>
      <c r="G621" s="716">
        <v>2.65</v>
      </c>
      <c r="H621" s="225">
        <f t="shared" si="9"/>
        <v>2.59</v>
      </c>
    </row>
    <row r="622" spans="1:8" x14ac:dyDescent="0.3">
      <c r="A622" s="401"/>
      <c r="B622" s="709">
        <v>819</v>
      </c>
      <c r="C622" s="710" t="s">
        <v>9002</v>
      </c>
      <c r="D622" s="709" t="s">
        <v>136</v>
      </c>
      <c r="E622" s="709" t="s">
        <v>8432</v>
      </c>
      <c r="F622" s="716">
        <v>4.5</v>
      </c>
      <c r="G622" s="716">
        <v>4.59</v>
      </c>
      <c r="H622" s="225">
        <f t="shared" si="9"/>
        <v>4.5</v>
      </c>
    </row>
    <row r="623" spans="1:8" x14ac:dyDescent="0.3">
      <c r="A623" s="401"/>
      <c r="B623" s="709">
        <v>818</v>
      </c>
      <c r="C623" s="710" t="s">
        <v>9003</v>
      </c>
      <c r="D623" s="709" t="s">
        <v>136</v>
      </c>
      <c r="E623" s="709" t="s">
        <v>8432</v>
      </c>
      <c r="F623" s="716">
        <v>8.41</v>
      </c>
      <c r="G623" s="716">
        <v>8.57</v>
      </c>
      <c r="H623" s="225">
        <f t="shared" si="9"/>
        <v>8.41</v>
      </c>
    </row>
    <row r="624" spans="1:8" x14ac:dyDescent="0.3">
      <c r="A624" s="401"/>
      <c r="B624" s="709">
        <v>20086</v>
      </c>
      <c r="C624" s="710" t="s">
        <v>9004</v>
      </c>
      <c r="D624" s="709" t="s">
        <v>136</v>
      </c>
      <c r="E624" s="709" t="s">
        <v>8432</v>
      </c>
      <c r="F624" s="716">
        <v>4.0599999999999996</v>
      </c>
      <c r="G624" s="716">
        <v>4.0999999999999996</v>
      </c>
      <c r="H624" s="225">
        <f t="shared" si="9"/>
        <v>4.0599999999999996</v>
      </c>
    </row>
    <row r="625" spans="1:8" x14ac:dyDescent="0.3">
      <c r="A625" s="401"/>
      <c r="B625" s="709">
        <v>832</v>
      </c>
      <c r="C625" s="710" t="s">
        <v>9005</v>
      </c>
      <c r="D625" s="709" t="s">
        <v>136</v>
      </c>
      <c r="E625" s="709" t="s">
        <v>8432</v>
      </c>
      <c r="F625" s="716">
        <v>3.47</v>
      </c>
      <c r="G625" s="716">
        <v>3.54</v>
      </c>
      <c r="H625" s="225">
        <f t="shared" si="9"/>
        <v>3.47</v>
      </c>
    </row>
    <row r="626" spans="1:8" x14ac:dyDescent="0.3">
      <c r="A626" s="401"/>
      <c r="B626" s="709">
        <v>834</v>
      </c>
      <c r="C626" s="710" t="s">
        <v>9006</v>
      </c>
      <c r="D626" s="709" t="s">
        <v>136</v>
      </c>
      <c r="E626" s="709" t="s">
        <v>8432</v>
      </c>
      <c r="F626" s="716">
        <v>4.49</v>
      </c>
      <c r="G626" s="716">
        <v>4.58</v>
      </c>
      <c r="H626" s="225">
        <f t="shared" si="9"/>
        <v>4.49</v>
      </c>
    </row>
    <row r="627" spans="1:8" x14ac:dyDescent="0.3">
      <c r="A627" s="401"/>
      <c r="B627" s="709">
        <v>813</v>
      </c>
      <c r="C627" s="710" t="s">
        <v>9007</v>
      </c>
      <c r="D627" s="709" t="s">
        <v>136</v>
      </c>
      <c r="E627" s="709" t="s">
        <v>8432</v>
      </c>
      <c r="F627" s="716">
        <v>5.23</v>
      </c>
      <c r="G627" s="716">
        <v>5.33</v>
      </c>
      <c r="H627" s="225">
        <f t="shared" si="9"/>
        <v>5.23</v>
      </c>
    </row>
    <row r="628" spans="1:8" x14ac:dyDescent="0.3">
      <c r="A628" s="401"/>
      <c r="B628" s="709">
        <v>820</v>
      </c>
      <c r="C628" s="710" t="s">
        <v>9008</v>
      </c>
      <c r="D628" s="709" t="s">
        <v>136</v>
      </c>
      <c r="E628" s="709" t="s">
        <v>8432</v>
      </c>
      <c r="F628" s="716">
        <v>7.04</v>
      </c>
      <c r="G628" s="716">
        <v>7.18</v>
      </c>
      <c r="H628" s="225">
        <f t="shared" si="9"/>
        <v>7.04</v>
      </c>
    </row>
    <row r="629" spans="1:8" x14ac:dyDescent="0.3">
      <c r="A629" s="401"/>
      <c r="B629" s="709">
        <v>816</v>
      </c>
      <c r="C629" s="710" t="s">
        <v>9009</v>
      </c>
      <c r="D629" s="709" t="s">
        <v>136</v>
      </c>
      <c r="E629" s="709" t="s">
        <v>8432</v>
      </c>
      <c r="F629" s="716">
        <v>12.55</v>
      </c>
      <c r="G629" s="716">
        <v>12.79</v>
      </c>
      <c r="H629" s="225">
        <f t="shared" si="9"/>
        <v>12.55</v>
      </c>
    </row>
    <row r="630" spans="1:8" x14ac:dyDescent="0.3">
      <c r="A630" s="401"/>
      <c r="B630" s="709">
        <v>814</v>
      </c>
      <c r="C630" s="710" t="s">
        <v>9010</v>
      </c>
      <c r="D630" s="709" t="s">
        <v>136</v>
      </c>
      <c r="E630" s="709" t="s">
        <v>8432</v>
      </c>
      <c r="F630" s="716">
        <v>15.58</v>
      </c>
      <c r="G630" s="716">
        <v>15.89</v>
      </c>
      <c r="H630" s="225">
        <f t="shared" si="9"/>
        <v>15.58</v>
      </c>
    </row>
    <row r="631" spans="1:8" x14ac:dyDescent="0.3">
      <c r="A631" s="401"/>
      <c r="B631" s="709">
        <v>822</v>
      </c>
      <c r="C631" s="710" t="s">
        <v>9011</v>
      </c>
      <c r="D631" s="709" t="s">
        <v>136</v>
      </c>
      <c r="E631" s="709" t="s">
        <v>8432</v>
      </c>
      <c r="F631" s="716">
        <v>20.34</v>
      </c>
      <c r="G631" s="716">
        <v>20.74</v>
      </c>
      <c r="H631" s="225">
        <f t="shared" si="9"/>
        <v>20.34</v>
      </c>
    </row>
    <row r="632" spans="1:8" x14ac:dyDescent="0.3">
      <c r="A632" s="401"/>
      <c r="B632" s="709">
        <v>821</v>
      </c>
      <c r="C632" s="710" t="s">
        <v>9012</v>
      </c>
      <c r="D632" s="709" t="s">
        <v>136</v>
      </c>
      <c r="E632" s="709" t="s">
        <v>8432</v>
      </c>
      <c r="F632" s="716">
        <v>23.27</v>
      </c>
      <c r="G632" s="716">
        <v>23.72</v>
      </c>
      <c r="H632" s="225">
        <f t="shared" si="9"/>
        <v>23.27</v>
      </c>
    </row>
    <row r="633" spans="1:8" x14ac:dyDescent="0.3">
      <c r="A633" s="401"/>
      <c r="B633" s="709">
        <v>39191</v>
      </c>
      <c r="C633" s="710" t="s">
        <v>9013</v>
      </c>
      <c r="D633" s="709" t="s">
        <v>136</v>
      </c>
      <c r="E633" s="709" t="s">
        <v>8432</v>
      </c>
      <c r="F633" s="716">
        <v>28.52</v>
      </c>
      <c r="G633" s="716">
        <v>25.91</v>
      </c>
      <c r="H633" s="225">
        <f t="shared" si="9"/>
        <v>28.52</v>
      </c>
    </row>
    <row r="634" spans="1:8" x14ac:dyDescent="0.3">
      <c r="A634" s="401"/>
      <c r="B634" s="709">
        <v>39190</v>
      </c>
      <c r="C634" s="710" t="s">
        <v>9014</v>
      </c>
      <c r="D634" s="709" t="s">
        <v>136</v>
      </c>
      <c r="E634" s="709" t="s">
        <v>8432</v>
      </c>
      <c r="F634" s="716">
        <v>29.8</v>
      </c>
      <c r="G634" s="716">
        <v>27.07</v>
      </c>
      <c r="H634" s="225">
        <f t="shared" si="9"/>
        <v>29.8</v>
      </c>
    </row>
    <row r="635" spans="1:8" x14ac:dyDescent="0.3">
      <c r="A635" s="401"/>
      <c r="B635" s="709">
        <v>39189</v>
      </c>
      <c r="C635" s="710" t="s">
        <v>9015</v>
      </c>
      <c r="D635" s="709" t="s">
        <v>136</v>
      </c>
      <c r="E635" s="709" t="s">
        <v>8432</v>
      </c>
      <c r="F635" s="716">
        <v>31.53</v>
      </c>
      <c r="G635" s="716">
        <v>28.65</v>
      </c>
      <c r="H635" s="225">
        <f t="shared" si="9"/>
        <v>31.53</v>
      </c>
    </row>
    <row r="636" spans="1:8" x14ac:dyDescent="0.3">
      <c r="A636" s="401"/>
      <c r="B636" s="709">
        <v>39188</v>
      </c>
      <c r="C636" s="710" t="s">
        <v>9016</v>
      </c>
      <c r="D636" s="709" t="s">
        <v>136</v>
      </c>
      <c r="E636" s="709" t="s">
        <v>8432</v>
      </c>
      <c r="F636" s="716">
        <v>23.21</v>
      </c>
      <c r="G636" s="716">
        <v>21.09</v>
      </c>
      <c r="H636" s="225">
        <f t="shared" si="9"/>
        <v>23.21</v>
      </c>
    </row>
    <row r="637" spans="1:8" x14ac:dyDescent="0.3">
      <c r="A637" s="401"/>
      <c r="B637" s="709">
        <v>39186</v>
      </c>
      <c r="C637" s="710" t="s">
        <v>9017</v>
      </c>
      <c r="D637" s="709" t="s">
        <v>136</v>
      </c>
      <c r="E637" s="709" t="s">
        <v>8432</v>
      </c>
      <c r="F637" s="716">
        <v>28.21</v>
      </c>
      <c r="G637" s="716">
        <v>25.63</v>
      </c>
      <c r="H637" s="225">
        <f t="shared" si="9"/>
        <v>28.21</v>
      </c>
    </row>
    <row r="638" spans="1:8" x14ac:dyDescent="0.3">
      <c r="A638" s="401"/>
      <c r="B638" s="709">
        <v>39187</v>
      </c>
      <c r="C638" s="710" t="s">
        <v>9018</v>
      </c>
      <c r="D638" s="709" t="s">
        <v>136</v>
      </c>
      <c r="E638" s="709" t="s">
        <v>8432</v>
      </c>
      <c r="F638" s="716">
        <v>24.33</v>
      </c>
      <c r="G638" s="716">
        <v>22.1</v>
      </c>
      <c r="H638" s="225">
        <f t="shared" si="9"/>
        <v>24.33</v>
      </c>
    </row>
    <row r="639" spans="1:8" x14ac:dyDescent="0.3">
      <c r="A639" s="401"/>
      <c r="B639" s="709">
        <v>39184</v>
      </c>
      <c r="C639" s="710" t="s">
        <v>9019</v>
      </c>
      <c r="D639" s="709" t="s">
        <v>136</v>
      </c>
      <c r="E639" s="709" t="s">
        <v>8432</v>
      </c>
      <c r="F639" s="716">
        <v>9.15</v>
      </c>
      <c r="G639" s="716">
        <v>8.31</v>
      </c>
      <c r="H639" s="225">
        <f t="shared" si="9"/>
        <v>9.15</v>
      </c>
    </row>
    <row r="640" spans="1:8" x14ac:dyDescent="0.3">
      <c r="A640" s="401"/>
      <c r="B640" s="709">
        <v>39185</v>
      </c>
      <c r="C640" s="710" t="s">
        <v>9020</v>
      </c>
      <c r="D640" s="709" t="s">
        <v>136</v>
      </c>
      <c r="E640" s="709" t="s">
        <v>8432</v>
      </c>
      <c r="F640" s="716">
        <v>8.35</v>
      </c>
      <c r="G640" s="716">
        <v>7.58</v>
      </c>
      <c r="H640" s="225">
        <f t="shared" si="9"/>
        <v>8.35</v>
      </c>
    </row>
    <row r="641" spans="1:8" x14ac:dyDescent="0.3">
      <c r="A641" s="401"/>
      <c r="B641" s="709">
        <v>39198</v>
      </c>
      <c r="C641" s="710" t="s">
        <v>9021</v>
      </c>
      <c r="D641" s="709" t="s">
        <v>136</v>
      </c>
      <c r="E641" s="709" t="s">
        <v>8432</v>
      </c>
      <c r="F641" s="716">
        <v>93.57</v>
      </c>
      <c r="G641" s="716">
        <v>85</v>
      </c>
      <c r="H641" s="225">
        <f t="shared" si="9"/>
        <v>93.57</v>
      </c>
    </row>
    <row r="642" spans="1:8" x14ac:dyDescent="0.3">
      <c r="A642" s="401"/>
      <c r="B642" s="709">
        <v>39197</v>
      </c>
      <c r="C642" s="710" t="s">
        <v>9022</v>
      </c>
      <c r="D642" s="709" t="s">
        <v>136</v>
      </c>
      <c r="E642" s="709" t="s">
        <v>8432</v>
      </c>
      <c r="F642" s="716">
        <v>97.75</v>
      </c>
      <c r="G642" s="716">
        <v>88.79</v>
      </c>
      <c r="H642" s="225">
        <f t="shared" si="9"/>
        <v>97.75</v>
      </c>
    </row>
    <row r="643" spans="1:8" x14ac:dyDescent="0.3">
      <c r="A643" s="401"/>
      <c r="B643" s="709">
        <v>39196</v>
      </c>
      <c r="C643" s="710" t="s">
        <v>9023</v>
      </c>
      <c r="D643" s="709" t="s">
        <v>136</v>
      </c>
      <c r="E643" s="709" t="s">
        <v>8432</v>
      </c>
      <c r="F643" s="716">
        <v>100.81</v>
      </c>
      <c r="G643" s="716">
        <v>91.57</v>
      </c>
      <c r="H643" s="225">
        <f t="shared" si="9"/>
        <v>100.81</v>
      </c>
    </row>
    <row r="644" spans="1:8" x14ac:dyDescent="0.3">
      <c r="A644" s="401"/>
      <c r="B644" s="709">
        <v>39199</v>
      </c>
      <c r="C644" s="710" t="s">
        <v>9024</v>
      </c>
      <c r="D644" s="709" t="s">
        <v>136</v>
      </c>
      <c r="E644" s="709" t="s">
        <v>8432</v>
      </c>
      <c r="F644" s="716">
        <v>90.05</v>
      </c>
      <c r="G644" s="716">
        <v>81.8</v>
      </c>
      <c r="H644" s="225">
        <f t="shared" si="9"/>
        <v>90.05</v>
      </c>
    </row>
    <row r="645" spans="1:8" x14ac:dyDescent="0.3">
      <c r="A645" s="401"/>
      <c r="B645" s="709">
        <v>39195</v>
      </c>
      <c r="C645" s="710" t="s">
        <v>9025</v>
      </c>
      <c r="D645" s="709" t="s">
        <v>136</v>
      </c>
      <c r="E645" s="709" t="s">
        <v>8432</v>
      </c>
      <c r="F645" s="716">
        <v>51.98</v>
      </c>
      <c r="G645" s="716">
        <v>47.21</v>
      </c>
      <c r="H645" s="225">
        <f t="shared" si="9"/>
        <v>51.98</v>
      </c>
    </row>
    <row r="646" spans="1:8" x14ac:dyDescent="0.3">
      <c r="A646" s="401"/>
      <c r="B646" s="709">
        <v>39194</v>
      </c>
      <c r="C646" s="710" t="s">
        <v>9026</v>
      </c>
      <c r="D646" s="709" t="s">
        <v>136</v>
      </c>
      <c r="E646" s="709" t="s">
        <v>8432</v>
      </c>
      <c r="F646" s="716">
        <v>55.62</v>
      </c>
      <c r="G646" s="716">
        <v>50.53</v>
      </c>
      <c r="H646" s="225">
        <f t="shared" si="9"/>
        <v>55.62</v>
      </c>
    </row>
    <row r="647" spans="1:8" x14ac:dyDescent="0.3">
      <c r="A647" s="401"/>
      <c r="B647" s="709">
        <v>39193</v>
      </c>
      <c r="C647" s="710" t="s">
        <v>9027</v>
      </c>
      <c r="D647" s="709" t="s">
        <v>136</v>
      </c>
      <c r="E647" s="709" t="s">
        <v>8432</v>
      </c>
      <c r="F647" s="716">
        <v>60.96</v>
      </c>
      <c r="G647" s="716">
        <v>55.38</v>
      </c>
      <c r="H647" s="225">
        <f t="shared" si="9"/>
        <v>60.96</v>
      </c>
    </row>
    <row r="648" spans="1:8" x14ac:dyDescent="0.3">
      <c r="A648" s="401"/>
      <c r="B648" s="709">
        <v>39192</v>
      </c>
      <c r="C648" s="710" t="s">
        <v>9028</v>
      </c>
      <c r="D648" s="709" t="s">
        <v>136</v>
      </c>
      <c r="E648" s="709" t="s">
        <v>8432</v>
      </c>
      <c r="F648" s="716">
        <v>63.42</v>
      </c>
      <c r="G648" s="716">
        <v>57.61</v>
      </c>
      <c r="H648" s="225">
        <f t="shared" si="9"/>
        <v>63.42</v>
      </c>
    </row>
    <row r="649" spans="1:8" x14ac:dyDescent="0.3">
      <c r="A649" s="401"/>
      <c r="B649" s="709">
        <v>39201</v>
      </c>
      <c r="C649" s="710" t="s">
        <v>9029</v>
      </c>
      <c r="D649" s="709" t="s">
        <v>136</v>
      </c>
      <c r="E649" s="709" t="s">
        <v>8432</v>
      </c>
      <c r="F649" s="716">
        <v>111.87</v>
      </c>
      <c r="G649" s="716">
        <v>101.62</v>
      </c>
      <c r="H649" s="225">
        <f t="shared" si="9"/>
        <v>111.87</v>
      </c>
    </row>
    <row r="650" spans="1:8" x14ac:dyDescent="0.3">
      <c r="A650" s="401"/>
      <c r="B650" s="709">
        <v>39200</v>
      </c>
      <c r="C650" s="710" t="s">
        <v>9030</v>
      </c>
      <c r="D650" s="709" t="s">
        <v>136</v>
      </c>
      <c r="E650" s="709" t="s">
        <v>8432</v>
      </c>
      <c r="F650" s="716">
        <v>112.77</v>
      </c>
      <c r="G650" s="716">
        <v>102.44</v>
      </c>
      <c r="H650" s="225">
        <f t="shared" si="9"/>
        <v>112.77</v>
      </c>
    </row>
    <row r="651" spans="1:8" x14ac:dyDescent="0.3">
      <c r="A651" s="401"/>
      <c r="B651" s="709">
        <v>39203</v>
      </c>
      <c r="C651" s="710" t="s">
        <v>9031</v>
      </c>
      <c r="D651" s="709" t="s">
        <v>136</v>
      </c>
      <c r="E651" s="709" t="s">
        <v>8432</v>
      </c>
      <c r="F651" s="716">
        <v>91.06</v>
      </c>
      <c r="G651" s="716">
        <v>82.72</v>
      </c>
      <c r="H651" s="225">
        <f t="shared" ref="H651:H714" si="10">IF(F651&gt;0,F651,G651)</f>
        <v>91.06</v>
      </c>
    </row>
    <row r="652" spans="1:8" x14ac:dyDescent="0.3">
      <c r="A652" s="401"/>
      <c r="B652" s="709">
        <v>39202</v>
      </c>
      <c r="C652" s="710" t="s">
        <v>9032</v>
      </c>
      <c r="D652" s="709" t="s">
        <v>136</v>
      </c>
      <c r="E652" s="709" t="s">
        <v>8432</v>
      </c>
      <c r="F652" s="716">
        <v>106.97</v>
      </c>
      <c r="G652" s="716">
        <v>97.17</v>
      </c>
      <c r="H652" s="225">
        <f t="shared" si="10"/>
        <v>106.97</v>
      </c>
    </row>
    <row r="653" spans="1:8" x14ac:dyDescent="0.3">
      <c r="A653" s="401"/>
      <c r="B653" s="709">
        <v>39920</v>
      </c>
      <c r="C653" s="710" t="s">
        <v>9033</v>
      </c>
      <c r="D653" s="709" t="s">
        <v>136</v>
      </c>
      <c r="E653" s="709" t="s">
        <v>8432</v>
      </c>
      <c r="F653" s="716">
        <v>7.68</v>
      </c>
      <c r="G653" s="716">
        <v>6.97</v>
      </c>
      <c r="H653" s="225">
        <f t="shared" si="10"/>
        <v>7.68</v>
      </c>
    </row>
    <row r="654" spans="1:8" x14ac:dyDescent="0.3">
      <c r="A654" s="401"/>
      <c r="B654" s="709">
        <v>39205</v>
      </c>
      <c r="C654" s="710" t="s">
        <v>9034</v>
      </c>
      <c r="D654" s="709" t="s">
        <v>136</v>
      </c>
      <c r="E654" s="709" t="s">
        <v>8432</v>
      </c>
      <c r="F654" s="716">
        <v>178.46</v>
      </c>
      <c r="G654" s="716">
        <v>162.11000000000001</v>
      </c>
      <c r="H654" s="225">
        <f t="shared" si="10"/>
        <v>178.46</v>
      </c>
    </row>
    <row r="655" spans="1:8" x14ac:dyDescent="0.3">
      <c r="A655" s="401"/>
      <c r="B655" s="709">
        <v>39204</v>
      </c>
      <c r="C655" s="710" t="s">
        <v>9035</v>
      </c>
      <c r="D655" s="709" t="s">
        <v>136</v>
      </c>
      <c r="E655" s="709" t="s">
        <v>8432</v>
      </c>
      <c r="F655" s="716">
        <v>182.77</v>
      </c>
      <c r="G655" s="716">
        <v>166.03</v>
      </c>
      <c r="H655" s="225">
        <f t="shared" si="10"/>
        <v>182.77</v>
      </c>
    </row>
    <row r="656" spans="1:8" x14ac:dyDescent="0.3">
      <c r="A656" s="401"/>
      <c r="B656" s="709">
        <v>39206</v>
      </c>
      <c r="C656" s="710" t="s">
        <v>9036</v>
      </c>
      <c r="D656" s="709" t="s">
        <v>136</v>
      </c>
      <c r="E656" s="709" t="s">
        <v>8432</v>
      </c>
      <c r="F656" s="716">
        <v>173.4</v>
      </c>
      <c r="G656" s="716">
        <v>157.51</v>
      </c>
      <c r="H656" s="225">
        <f t="shared" si="10"/>
        <v>173.4</v>
      </c>
    </row>
    <row r="657" spans="1:8" x14ac:dyDescent="0.3">
      <c r="A657" s="401"/>
      <c r="B657" s="709">
        <v>798</v>
      </c>
      <c r="C657" s="710" t="s">
        <v>9037</v>
      </c>
      <c r="D657" s="709" t="s">
        <v>136</v>
      </c>
      <c r="E657" s="709" t="s">
        <v>8432</v>
      </c>
      <c r="F657" s="716">
        <v>1.45</v>
      </c>
      <c r="G657" s="716">
        <v>1.48</v>
      </c>
      <c r="H657" s="225">
        <f t="shared" si="10"/>
        <v>1.45</v>
      </c>
    </row>
    <row r="658" spans="1:8" x14ac:dyDescent="0.3">
      <c r="A658" s="401"/>
      <c r="B658" s="709">
        <v>797</v>
      </c>
      <c r="C658" s="710" t="s">
        <v>9038</v>
      </c>
      <c r="D658" s="709" t="s">
        <v>136</v>
      </c>
      <c r="E658" s="709" t="s">
        <v>8432</v>
      </c>
      <c r="F658" s="716">
        <v>10.53</v>
      </c>
      <c r="G658" s="716">
        <v>10.74</v>
      </c>
      <c r="H658" s="225">
        <f t="shared" si="10"/>
        <v>10.53</v>
      </c>
    </row>
    <row r="659" spans="1:8" x14ac:dyDescent="0.3">
      <c r="A659" s="401"/>
      <c r="B659" s="709">
        <v>796</v>
      </c>
      <c r="C659" s="710" t="s">
        <v>9039</v>
      </c>
      <c r="D659" s="709" t="s">
        <v>136</v>
      </c>
      <c r="E659" s="709" t="s">
        <v>8432</v>
      </c>
      <c r="F659" s="716">
        <v>8.9499999999999993</v>
      </c>
      <c r="G659" s="716">
        <v>9.1199999999999992</v>
      </c>
      <c r="H659" s="225">
        <f t="shared" si="10"/>
        <v>8.9499999999999993</v>
      </c>
    </row>
    <row r="660" spans="1:8" x14ac:dyDescent="0.3">
      <c r="A660" s="401"/>
      <c r="B660" s="709">
        <v>799</v>
      </c>
      <c r="C660" s="710" t="s">
        <v>9040</v>
      </c>
      <c r="D660" s="709" t="s">
        <v>136</v>
      </c>
      <c r="E660" s="709" t="s">
        <v>8432</v>
      </c>
      <c r="F660" s="716">
        <v>4.33</v>
      </c>
      <c r="G660" s="716">
        <v>4.41</v>
      </c>
      <c r="H660" s="225">
        <f t="shared" si="10"/>
        <v>4.33</v>
      </c>
    </row>
    <row r="661" spans="1:8" x14ac:dyDescent="0.3">
      <c r="A661" s="401"/>
      <c r="B661" s="709">
        <v>792</v>
      </c>
      <c r="C661" s="710" t="s">
        <v>9041</v>
      </c>
      <c r="D661" s="709" t="s">
        <v>136</v>
      </c>
      <c r="E661" s="709" t="s">
        <v>8432</v>
      </c>
      <c r="F661" s="716">
        <v>4.1900000000000004</v>
      </c>
      <c r="G661" s="716">
        <v>4.2699999999999996</v>
      </c>
      <c r="H661" s="225">
        <f t="shared" si="10"/>
        <v>4.1900000000000004</v>
      </c>
    </row>
    <row r="662" spans="1:8" x14ac:dyDescent="0.3">
      <c r="A662" s="401"/>
      <c r="B662" s="709">
        <v>38001</v>
      </c>
      <c r="C662" s="710" t="s">
        <v>9042</v>
      </c>
      <c r="D662" s="709" t="s">
        <v>136</v>
      </c>
      <c r="E662" s="709" t="s">
        <v>8432</v>
      </c>
      <c r="F662" s="716">
        <v>1.68</v>
      </c>
      <c r="G662" s="716">
        <v>1.23</v>
      </c>
      <c r="H662" s="225">
        <f t="shared" si="10"/>
        <v>1.68</v>
      </c>
    </row>
    <row r="663" spans="1:8" x14ac:dyDescent="0.3">
      <c r="A663" s="401"/>
      <c r="B663" s="709">
        <v>38002</v>
      </c>
      <c r="C663" s="710" t="s">
        <v>9043</v>
      </c>
      <c r="D663" s="709" t="s">
        <v>136</v>
      </c>
      <c r="E663" s="709" t="s">
        <v>8432</v>
      </c>
      <c r="F663" s="716">
        <v>5.85</v>
      </c>
      <c r="G663" s="716">
        <v>4.2699999999999996</v>
      </c>
      <c r="H663" s="225">
        <f t="shared" si="10"/>
        <v>5.85</v>
      </c>
    </row>
    <row r="664" spans="1:8" x14ac:dyDescent="0.3">
      <c r="A664" s="401"/>
      <c r="B664" s="709">
        <v>38003</v>
      </c>
      <c r="C664" s="710" t="s">
        <v>9044</v>
      </c>
      <c r="D664" s="709" t="s">
        <v>136</v>
      </c>
      <c r="E664" s="709" t="s">
        <v>8432</v>
      </c>
      <c r="F664" s="716">
        <v>39.93</v>
      </c>
      <c r="G664" s="716">
        <v>29.2</v>
      </c>
      <c r="H664" s="225">
        <f t="shared" si="10"/>
        <v>39.93</v>
      </c>
    </row>
    <row r="665" spans="1:8" x14ac:dyDescent="0.3">
      <c r="A665" s="401"/>
      <c r="B665" s="709">
        <v>38004</v>
      </c>
      <c r="C665" s="710" t="s">
        <v>9045</v>
      </c>
      <c r="D665" s="709" t="s">
        <v>136</v>
      </c>
      <c r="E665" s="709" t="s">
        <v>8432</v>
      </c>
      <c r="F665" s="716">
        <v>45.92</v>
      </c>
      <c r="G665" s="716">
        <v>33.58</v>
      </c>
      <c r="H665" s="225">
        <f t="shared" si="10"/>
        <v>45.92</v>
      </c>
    </row>
    <row r="666" spans="1:8" x14ac:dyDescent="0.3">
      <c r="A666" s="401"/>
      <c r="B666" s="709">
        <v>44263</v>
      </c>
      <c r="C666" s="710" t="s">
        <v>9046</v>
      </c>
      <c r="D666" s="709" t="s">
        <v>136</v>
      </c>
      <c r="E666" s="709" t="s">
        <v>8432</v>
      </c>
      <c r="F666" s="716">
        <v>82.45</v>
      </c>
      <c r="G666" s="716">
        <v>60.29</v>
      </c>
      <c r="H666" s="225">
        <f t="shared" si="10"/>
        <v>82.45</v>
      </c>
    </row>
    <row r="667" spans="1:8" x14ac:dyDescent="0.3">
      <c r="A667" s="401"/>
      <c r="B667" s="709">
        <v>36327</v>
      </c>
      <c r="C667" s="710" t="s">
        <v>9047</v>
      </c>
      <c r="D667" s="709" t="s">
        <v>136</v>
      </c>
      <c r="E667" s="709" t="s">
        <v>8432</v>
      </c>
      <c r="F667" s="716">
        <v>4.3600000000000003</v>
      </c>
      <c r="G667" s="716">
        <v>4.8899999999999997</v>
      </c>
      <c r="H667" s="225">
        <f t="shared" si="10"/>
        <v>4.3600000000000003</v>
      </c>
    </row>
    <row r="668" spans="1:8" x14ac:dyDescent="0.3">
      <c r="A668" s="401"/>
      <c r="B668" s="709">
        <v>38992</v>
      </c>
      <c r="C668" s="710" t="s">
        <v>9048</v>
      </c>
      <c r="D668" s="709" t="s">
        <v>136</v>
      </c>
      <c r="E668" s="709" t="s">
        <v>8432</v>
      </c>
      <c r="F668" s="716">
        <v>5.3</v>
      </c>
      <c r="G668" s="716">
        <v>5.94</v>
      </c>
      <c r="H668" s="225">
        <f t="shared" si="10"/>
        <v>5.3</v>
      </c>
    </row>
    <row r="669" spans="1:8" x14ac:dyDescent="0.3">
      <c r="A669" s="401"/>
      <c r="B669" s="709">
        <v>38993</v>
      </c>
      <c r="C669" s="710" t="s">
        <v>9049</v>
      </c>
      <c r="D669" s="709" t="s">
        <v>136</v>
      </c>
      <c r="E669" s="709" t="s">
        <v>8432</v>
      </c>
      <c r="F669" s="716">
        <v>13.79</v>
      </c>
      <c r="G669" s="716">
        <v>15.46</v>
      </c>
      <c r="H669" s="225">
        <f t="shared" si="10"/>
        <v>13.79</v>
      </c>
    </row>
    <row r="670" spans="1:8" x14ac:dyDescent="0.3">
      <c r="A670" s="401"/>
      <c r="B670" s="709">
        <v>44175</v>
      </c>
      <c r="C670" s="710" t="s">
        <v>9050</v>
      </c>
      <c r="D670" s="709" t="s">
        <v>136</v>
      </c>
      <c r="E670" s="709" t="s">
        <v>8432</v>
      </c>
      <c r="F670" s="716">
        <v>24.05</v>
      </c>
      <c r="G670" s="716">
        <v>26.97</v>
      </c>
      <c r="H670" s="225">
        <f t="shared" si="10"/>
        <v>24.05</v>
      </c>
    </row>
    <row r="671" spans="1:8" x14ac:dyDescent="0.3">
      <c r="A671" s="401"/>
      <c r="B671" s="709">
        <v>44177</v>
      </c>
      <c r="C671" s="710" t="s">
        <v>9051</v>
      </c>
      <c r="D671" s="709" t="s">
        <v>136</v>
      </c>
      <c r="E671" s="709" t="s">
        <v>8432</v>
      </c>
      <c r="F671" s="716">
        <v>17.97</v>
      </c>
      <c r="G671" s="716">
        <v>20.149999999999999</v>
      </c>
      <c r="H671" s="225">
        <f t="shared" si="10"/>
        <v>17.97</v>
      </c>
    </row>
    <row r="672" spans="1:8" x14ac:dyDescent="0.3">
      <c r="A672" s="401"/>
      <c r="B672" s="709">
        <v>38418</v>
      </c>
      <c r="C672" s="710" t="s">
        <v>9052</v>
      </c>
      <c r="D672" s="709" t="s">
        <v>136</v>
      </c>
      <c r="E672" s="709" t="s">
        <v>8432</v>
      </c>
      <c r="F672" s="716">
        <v>6.99</v>
      </c>
      <c r="G672" s="716">
        <v>7.05</v>
      </c>
      <c r="H672" s="225">
        <f t="shared" si="10"/>
        <v>6.99</v>
      </c>
    </row>
    <row r="673" spans="1:8" x14ac:dyDescent="0.3">
      <c r="A673" s="401"/>
      <c r="B673" s="709">
        <v>39178</v>
      </c>
      <c r="C673" s="710" t="s">
        <v>9053</v>
      </c>
      <c r="D673" s="709" t="s">
        <v>136</v>
      </c>
      <c r="E673" s="709" t="s">
        <v>8432</v>
      </c>
      <c r="F673" s="716">
        <v>3.08</v>
      </c>
      <c r="G673" s="716">
        <v>2.8</v>
      </c>
      <c r="H673" s="225">
        <f t="shared" si="10"/>
        <v>3.08</v>
      </c>
    </row>
    <row r="674" spans="1:8" x14ac:dyDescent="0.3">
      <c r="A674" s="401"/>
      <c r="B674" s="709">
        <v>39177</v>
      </c>
      <c r="C674" s="710" t="s">
        <v>9054</v>
      </c>
      <c r="D674" s="709" t="s">
        <v>136</v>
      </c>
      <c r="E674" s="709" t="s">
        <v>8432</v>
      </c>
      <c r="F674" s="716">
        <v>2.79</v>
      </c>
      <c r="G674" s="716">
        <v>2.5299999999999998</v>
      </c>
      <c r="H674" s="225">
        <f t="shared" si="10"/>
        <v>2.79</v>
      </c>
    </row>
    <row r="675" spans="1:8" x14ac:dyDescent="0.3">
      <c r="A675" s="401"/>
      <c r="B675" s="709">
        <v>39176</v>
      </c>
      <c r="C675" s="710" t="s">
        <v>9055</v>
      </c>
      <c r="D675" s="709" t="s">
        <v>136</v>
      </c>
      <c r="E675" s="709" t="s">
        <v>8432</v>
      </c>
      <c r="F675" s="716">
        <v>1.83</v>
      </c>
      <c r="G675" s="716">
        <v>1.66</v>
      </c>
      <c r="H675" s="225">
        <f t="shared" si="10"/>
        <v>1.83</v>
      </c>
    </row>
    <row r="676" spans="1:8" x14ac:dyDescent="0.3">
      <c r="A676" s="401"/>
      <c r="B676" s="709">
        <v>39174</v>
      </c>
      <c r="C676" s="710" t="s">
        <v>9056</v>
      </c>
      <c r="D676" s="709" t="s">
        <v>136</v>
      </c>
      <c r="E676" s="709" t="s">
        <v>8432</v>
      </c>
      <c r="F676" s="716">
        <v>1.39</v>
      </c>
      <c r="G676" s="716">
        <v>1.26</v>
      </c>
      <c r="H676" s="225">
        <f t="shared" si="10"/>
        <v>1.39</v>
      </c>
    </row>
    <row r="677" spans="1:8" x14ac:dyDescent="0.3">
      <c r="A677" s="401"/>
      <c r="B677" s="709">
        <v>39180</v>
      </c>
      <c r="C677" s="710" t="s">
        <v>9057</v>
      </c>
      <c r="D677" s="709" t="s">
        <v>136</v>
      </c>
      <c r="E677" s="709" t="s">
        <v>8432</v>
      </c>
      <c r="F677" s="716">
        <v>8.3800000000000008</v>
      </c>
      <c r="G677" s="716">
        <v>7.61</v>
      </c>
      <c r="H677" s="225">
        <f t="shared" si="10"/>
        <v>8.3800000000000008</v>
      </c>
    </row>
    <row r="678" spans="1:8" x14ac:dyDescent="0.3">
      <c r="A678" s="401"/>
      <c r="B678" s="709">
        <v>39179</v>
      </c>
      <c r="C678" s="710" t="s">
        <v>9058</v>
      </c>
      <c r="D678" s="709" t="s">
        <v>136</v>
      </c>
      <c r="E678" s="709" t="s">
        <v>8432</v>
      </c>
      <c r="F678" s="716">
        <v>7.41</v>
      </c>
      <c r="G678" s="716">
        <v>6.73</v>
      </c>
      <c r="H678" s="225">
        <f t="shared" si="10"/>
        <v>7.41</v>
      </c>
    </row>
    <row r="679" spans="1:8" x14ac:dyDescent="0.3">
      <c r="A679" s="401"/>
      <c r="B679" s="709">
        <v>39181</v>
      </c>
      <c r="C679" s="710" t="s">
        <v>9059</v>
      </c>
      <c r="D679" s="709" t="s">
        <v>136</v>
      </c>
      <c r="E679" s="709" t="s">
        <v>8432</v>
      </c>
      <c r="F679" s="716">
        <v>11.23</v>
      </c>
      <c r="G679" s="716">
        <v>10.199999999999999</v>
      </c>
      <c r="H679" s="225">
        <f t="shared" si="10"/>
        <v>11.23</v>
      </c>
    </row>
    <row r="680" spans="1:8" x14ac:dyDescent="0.3">
      <c r="A680" s="401"/>
      <c r="B680" s="709">
        <v>39175</v>
      </c>
      <c r="C680" s="710" t="s">
        <v>9060</v>
      </c>
      <c r="D680" s="709" t="s">
        <v>136</v>
      </c>
      <c r="E680" s="709" t="s">
        <v>8432</v>
      </c>
      <c r="F680" s="716">
        <v>1.7</v>
      </c>
      <c r="G680" s="716">
        <v>1.55</v>
      </c>
      <c r="H680" s="225">
        <f t="shared" si="10"/>
        <v>1.7</v>
      </c>
    </row>
    <row r="681" spans="1:8" x14ac:dyDescent="0.3">
      <c r="A681" s="401"/>
      <c r="B681" s="709">
        <v>39217</v>
      </c>
      <c r="C681" s="710" t="s">
        <v>9061</v>
      </c>
      <c r="D681" s="709" t="s">
        <v>136</v>
      </c>
      <c r="E681" s="709" t="s">
        <v>8432</v>
      </c>
      <c r="F681" s="716">
        <v>1.31</v>
      </c>
      <c r="G681" s="716">
        <v>1.19</v>
      </c>
      <c r="H681" s="225">
        <f t="shared" si="10"/>
        <v>1.31</v>
      </c>
    </row>
    <row r="682" spans="1:8" x14ac:dyDescent="0.3">
      <c r="A682" s="401"/>
      <c r="B682" s="709">
        <v>39182</v>
      </c>
      <c r="C682" s="710" t="s">
        <v>9062</v>
      </c>
      <c r="D682" s="709" t="s">
        <v>136</v>
      </c>
      <c r="E682" s="709" t="s">
        <v>8432</v>
      </c>
      <c r="F682" s="716">
        <v>15.8</v>
      </c>
      <c r="G682" s="716">
        <v>14.35</v>
      </c>
      <c r="H682" s="225">
        <f t="shared" si="10"/>
        <v>15.8</v>
      </c>
    </row>
    <row r="683" spans="1:8" x14ac:dyDescent="0.3">
      <c r="A683" s="401"/>
      <c r="B683" s="709">
        <v>12616</v>
      </c>
      <c r="C683" s="710" t="s">
        <v>9063</v>
      </c>
      <c r="D683" s="709" t="s">
        <v>136</v>
      </c>
      <c r="E683" s="709" t="s">
        <v>8432</v>
      </c>
      <c r="F683" s="716">
        <v>21.55</v>
      </c>
      <c r="G683" s="716">
        <v>21.76</v>
      </c>
      <c r="H683" s="225">
        <f t="shared" si="10"/>
        <v>21.55</v>
      </c>
    </row>
    <row r="684" spans="1:8" x14ac:dyDescent="0.3">
      <c r="A684" s="401"/>
      <c r="B684" s="709">
        <v>1049</v>
      </c>
      <c r="C684" s="710" t="s">
        <v>9064</v>
      </c>
      <c r="D684" s="709" t="s">
        <v>136</v>
      </c>
      <c r="E684" s="709" t="s">
        <v>8432</v>
      </c>
      <c r="F684" s="716">
        <v>13.22</v>
      </c>
      <c r="G684" s="716">
        <v>12.01</v>
      </c>
      <c r="H684" s="225">
        <f t="shared" si="10"/>
        <v>13.22</v>
      </c>
    </row>
    <row r="685" spans="1:8" x14ac:dyDescent="0.3">
      <c r="A685" s="401"/>
      <c r="B685" s="709">
        <v>1099</v>
      </c>
      <c r="C685" s="710" t="s">
        <v>9065</v>
      </c>
      <c r="D685" s="709" t="s">
        <v>136</v>
      </c>
      <c r="E685" s="709" t="s">
        <v>8432</v>
      </c>
      <c r="F685" s="716">
        <v>10.11</v>
      </c>
      <c r="G685" s="716">
        <v>9.19</v>
      </c>
      <c r="H685" s="225">
        <f t="shared" si="10"/>
        <v>10.11</v>
      </c>
    </row>
    <row r="686" spans="1:8" x14ac:dyDescent="0.3">
      <c r="A686" s="401"/>
      <c r="B686" s="709">
        <v>1050</v>
      </c>
      <c r="C686" s="710" t="s">
        <v>9066</v>
      </c>
      <c r="D686" s="709" t="s">
        <v>136</v>
      </c>
      <c r="E686" s="709" t="s">
        <v>8432</v>
      </c>
      <c r="F686" s="716">
        <v>6.92</v>
      </c>
      <c r="G686" s="716">
        <v>6.28</v>
      </c>
      <c r="H686" s="225">
        <f t="shared" si="10"/>
        <v>6.92</v>
      </c>
    </row>
    <row r="687" spans="1:8" x14ac:dyDescent="0.3">
      <c r="A687" s="401"/>
      <c r="B687" s="709">
        <v>39678</v>
      </c>
      <c r="C687" s="710" t="s">
        <v>9067</v>
      </c>
      <c r="D687" s="709" t="s">
        <v>136</v>
      </c>
      <c r="E687" s="709" t="s">
        <v>8432</v>
      </c>
      <c r="F687" s="716">
        <v>4.08</v>
      </c>
      <c r="G687" s="716">
        <v>3.7</v>
      </c>
      <c r="H687" s="225">
        <f t="shared" si="10"/>
        <v>4.08</v>
      </c>
    </row>
    <row r="688" spans="1:8" x14ac:dyDescent="0.3">
      <c r="A688" s="401"/>
      <c r="B688" s="709">
        <v>1101</v>
      </c>
      <c r="C688" s="710" t="s">
        <v>9068</v>
      </c>
      <c r="D688" s="709" t="s">
        <v>136</v>
      </c>
      <c r="E688" s="709" t="s">
        <v>8432</v>
      </c>
      <c r="F688" s="716">
        <v>43.61</v>
      </c>
      <c r="G688" s="716">
        <v>39.61</v>
      </c>
      <c r="H688" s="225">
        <f t="shared" si="10"/>
        <v>43.61</v>
      </c>
    </row>
    <row r="689" spans="1:8" x14ac:dyDescent="0.3">
      <c r="A689" s="401"/>
      <c r="B689" s="709">
        <v>1100</v>
      </c>
      <c r="C689" s="710" t="s">
        <v>9069</v>
      </c>
      <c r="D689" s="709" t="s">
        <v>136</v>
      </c>
      <c r="E689" s="709" t="s">
        <v>8432</v>
      </c>
      <c r="F689" s="716">
        <v>22.5</v>
      </c>
      <c r="G689" s="716">
        <v>20.440000000000001</v>
      </c>
      <c r="H689" s="225">
        <f t="shared" si="10"/>
        <v>22.5</v>
      </c>
    </row>
    <row r="690" spans="1:8" x14ac:dyDescent="0.3">
      <c r="A690" s="401"/>
      <c r="B690" s="709">
        <v>39679</v>
      </c>
      <c r="C690" s="710" t="s">
        <v>9070</v>
      </c>
      <c r="D690" s="709" t="s">
        <v>136</v>
      </c>
      <c r="E690" s="709" t="s">
        <v>8432</v>
      </c>
      <c r="F690" s="716">
        <v>86.91</v>
      </c>
      <c r="G690" s="716">
        <v>78.95</v>
      </c>
      <c r="H690" s="225">
        <f t="shared" si="10"/>
        <v>86.91</v>
      </c>
    </row>
    <row r="691" spans="1:8" x14ac:dyDescent="0.3">
      <c r="A691" s="401"/>
      <c r="B691" s="709">
        <v>1102</v>
      </c>
      <c r="C691" s="710" t="s">
        <v>9071</v>
      </c>
      <c r="D691" s="709" t="s">
        <v>136</v>
      </c>
      <c r="E691" s="709" t="s">
        <v>8432</v>
      </c>
      <c r="F691" s="716">
        <v>65.03</v>
      </c>
      <c r="G691" s="716">
        <v>59.07</v>
      </c>
      <c r="H691" s="225">
        <f t="shared" si="10"/>
        <v>65.03</v>
      </c>
    </row>
    <row r="692" spans="1:8" x14ac:dyDescent="0.3">
      <c r="A692" s="401"/>
      <c r="B692" s="709">
        <v>1098</v>
      </c>
      <c r="C692" s="710" t="s">
        <v>9072</v>
      </c>
      <c r="D692" s="709" t="s">
        <v>136</v>
      </c>
      <c r="E692" s="709" t="s">
        <v>8432</v>
      </c>
      <c r="F692" s="716">
        <v>5.4</v>
      </c>
      <c r="G692" s="716">
        <v>4.9000000000000004</v>
      </c>
      <c r="H692" s="225">
        <f t="shared" si="10"/>
        <v>5.4</v>
      </c>
    </row>
    <row r="693" spans="1:8" x14ac:dyDescent="0.3">
      <c r="A693" s="401"/>
      <c r="B693" s="709">
        <v>1051</v>
      </c>
      <c r="C693" s="710" t="s">
        <v>9073</v>
      </c>
      <c r="D693" s="709" t="s">
        <v>136</v>
      </c>
      <c r="E693" s="709" t="s">
        <v>8432</v>
      </c>
      <c r="F693" s="716">
        <v>94.52</v>
      </c>
      <c r="G693" s="716">
        <v>85.86</v>
      </c>
      <c r="H693" s="225">
        <f t="shared" si="10"/>
        <v>94.52</v>
      </c>
    </row>
    <row r="694" spans="1:8" x14ac:dyDescent="0.3">
      <c r="A694" s="401"/>
      <c r="B694" s="709">
        <v>37399</v>
      </c>
      <c r="C694" s="710" t="s">
        <v>9074</v>
      </c>
      <c r="D694" s="709" t="s">
        <v>136</v>
      </c>
      <c r="E694" s="709" t="s">
        <v>8432</v>
      </c>
      <c r="F694" s="716">
        <v>54.62</v>
      </c>
      <c r="G694" s="716">
        <v>30.89</v>
      </c>
      <c r="H694" s="225">
        <f t="shared" si="10"/>
        <v>54.62</v>
      </c>
    </row>
    <row r="695" spans="1:8" x14ac:dyDescent="0.3">
      <c r="A695" s="401"/>
      <c r="B695" s="709">
        <v>43834</v>
      </c>
      <c r="C695" s="710" t="s">
        <v>9075</v>
      </c>
      <c r="D695" s="709" t="s">
        <v>159</v>
      </c>
      <c r="E695" s="709" t="s">
        <v>8432</v>
      </c>
      <c r="F695" s="716">
        <v>21.46</v>
      </c>
      <c r="G695" s="716">
        <v>24.14</v>
      </c>
      <c r="H695" s="225">
        <f t="shared" si="10"/>
        <v>21.46</v>
      </c>
    </row>
    <row r="696" spans="1:8" x14ac:dyDescent="0.3">
      <c r="A696" s="401"/>
      <c r="B696" s="709">
        <v>43835</v>
      </c>
      <c r="C696" s="710" t="s">
        <v>9076</v>
      </c>
      <c r="D696" s="709" t="s">
        <v>159</v>
      </c>
      <c r="E696" s="709" t="s">
        <v>8432</v>
      </c>
      <c r="F696" s="716">
        <v>1.92</v>
      </c>
      <c r="G696" s="716">
        <v>2.16</v>
      </c>
      <c r="H696" s="225">
        <f t="shared" si="10"/>
        <v>1.92</v>
      </c>
    </row>
    <row r="697" spans="1:8" x14ac:dyDescent="0.3">
      <c r="A697" s="401"/>
      <c r="B697" s="709">
        <v>43833</v>
      </c>
      <c r="C697" s="710" t="s">
        <v>9077</v>
      </c>
      <c r="D697" s="709" t="s">
        <v>159</v>
      </c>
      <c r="E697" s="709" t="s">
        <v>8432</v>
      </c>
      <c r="F697" s="716">
        <v>2</v>
      </c>
      <c r="G697" s="716">
        <v>2.25</v>
      </c>
      <c r="H697" s="225">
        <f t="shared" si="10"/>
        <v>2</v>
      </c>
    </row>
    <row r="698" spans="1:8" x14ac:dyDescent="0.3">
      <c r="A698" s="401"/>
      <c r="B698" s="709">
        <v>41955</v>
      </c>
      <c r="C698" s="710" t="s">
        <v>9078</v>
      </c>
      <c r="D698" s="709" t="s">
        <v>175</v>
      </c>
      <c r="E698" s="709" t="s">
        <v>8432</v>
      </c>
      <c r="F698" s="716">
        <v>70.25</v>
      </c>
      <c r="G698" s="716">
        <v>72.489999999999995</v>
      </c>
      <c r="H698" s="225">
        <f t="shared" si="10"/>
        <v>70.25</v>
      </c>
    </row>
    <row r="699" spans="1:8" x14ac:dyDescent="0.3">
      <c r="A699" s="401"/>
      <c r="B699" s="709">
        <v>41953</v>
      </c>
      <c r="C699" s="710" t="s">
        <v>9079</v>
      </c>
      <c r="D699" s="709" t="s">
        <v>175</v>
      </c>
      <c r="E699" s="709" t="s">
        <v>8432</v>
      </c>
      <c r="F699" s="716">
        <v>67.040000000000006</v>
      </c>
      <c r="G699" s="716">
        <v>69.180000000000007</v>
      </c>
      <c r="H699" s="225">
        <f t="shared" si="10"/>
        <v>67.040000000000006</v>
      </c>
    </row>
    <row r="700" spans="1:8" x14ac:dyDescent="0.3">
      <c r="A700" s="401"/>
      <c r="B700" s="709">
        <v>41954</v>
      </c>
      <c r="C700" s="710" t="s">
        <v>9080</v>
      </c>
      <c r="D700" s="709" t="s">
        <v>175</v>
      </c>
      <c r="E700" s="709" t="s">
        <v>8432</v>
      </c>
      <c r="F700" s="716">
        <v>66.400000000000006</v>
      </c>
      <c r="G700" s="716">
        <v>68.52</v>
      </c>
      <c r="H700" s="225">
        <f t="shared" si="10"/>
        <v>66.400000000000006</v>
      </c>
    </row>
    <row r="701" spans="1:8" x14ac:dyDescent="0.3">
      <c r="A701" s="401"/>
      <c r="B701" s="709">
        <v>25004</v>
      </c>
      <c r="C701" s="710" t="s">
        <v>9081</v>
      </c>
      <c r="D701" s="709" t="s">
        <v>175</v>
      </c>
      <c r="E701" s="709" t="s">
        <v>8432</v>
      </c>
      <c r="F701" s="716">
        <v>56.59</v>
      </c>
      <c r="G701" s="716">
        <v>59.61</v>
      </c>
      <c r="H701" s="225">
        <f t="shared" si="10"/>
        <v>56.59</v>
      </c>
    </row>
    <row r="702" spans="1:8" x14ac:dyDescent="0.3">
      <c r="A702" s="401"/>
      <c r="B702" s="709">
        <v>25002</v>
      </c>
      <c r="C702" s="710" t="s">
        <v>9082</v>
      </c>
      <c r="D702" s="709" t="s">
        <v>175</v>
      </c>
      <c r="E702" s="709" t="s">
        <v>8432</v>
      </c>
      <c r="F702" s="716">
        <v>56.59</v>
      </c>
      <c r="G702" s="716">
        <v>59.61</v>
      </c>
      <c r="H702" s="225">
        <f t="shared" si="10"/>
        <v>56.59</v>
      </c>
    </row>
    <row r="703" spans="1:8" x14ac:dyDescent="0.3">
      <c r="A703" s="401"/>
      <c r="B703" s="709">
        <v>37409</v>
      </c>
      <c r="C703" s="710" t="s">
        <v>9083</v>
      </c>
      <c r="D703" s="709" t="s">
        <v>175</v>
      </c>
      <c r="E703" s="709" t="s">
        <v>8432</v>
      </c>
      <c r="F703" s="716">
        <v>56.59</v>
      </c>
      <c r="G703" s="716">
        <v>59.61</v>
      </c>
      <c r="H703" s="225">
        <f t="shared" si="10"/>
        <v>56.59</v>
      </c>
    </row>
    <row r="704" spans="1:8" x14ac:dyDescent="0.3">
      <c r="A704" s="401"/>
      <c r="B704" s="709">
        <v>841</v>
      </c>
      <c r="C704" s="710" t="s">
        <v>9084</v>
      </c>
      <c r="D704" s="709" t="s">
        <v>175</v>
      </c>
      <c r="E704" s="709" t="s">
        <v>8432</v>
      </c>
      <c r="F704" s="716">
        <v>57.28</v>
      </c>
      <c r="G704" s="716">
        <v>60.34</v>
      </c>
      <c r="H704" s="225">
        <f t="shared" si="10"/>
        <v>57.28</v>
      </c>
    </row>
    <row r="705" spans="1:8" x14ac:dyDescent="0.3">
      <c r="A705" s="401"/>
      <c r="B705" s="709">
        <v>25005</v>
      </c>
      <c r="C705" s="710" t="s">
        <v>9085</v>
      </c>
      <c r="D705" s="709" t="s">
        <v>175</v>
      </c>
      <c r="E705" s="709" t="s">
        <v>8432</v>
      </c>
      <c r="F705" s="716">
        <v>62.1</v>
      </c>
      <c r="G705" s="716">
        <v>65.41</v>
      </c>
      <c r="H705" s="225">
        <f t="shared" si="10"/>
        <v>62.1</v>
      </c>
    </row>
    <row r="706" spans="1:8" x14ac:dyDescent="0.3">
      <c r="A706" s="401"/>
      <c r="B706" s="709">
        <v>25003</v>
      </c>
      <c r="C706" s="710" t="s">
        <v>9086</v>
      </c>
      <c r="D706" s="709" t="s">
        <v>175</v>
      </c>
      <c r="E706" s="709" t="s">
        <v>8432</v>
      </c>
      <c r="F706" s="716">
        <v>63.03</v>
      </c>
      <c r="G706" s="716">
        <v>66.400000000000006</v>
      </c>
      <c r="H706" s="225">
        <f t="shared" si="10"/>
        <v>63.03</v>
      </c>
    </row>
    <row r="707" spans="1:8" x14ac:dyDescent="0.3">
      <c r="A707" s="401"/>
      <c r="B707" s="709">
        <v>37410</v>
      </c>
      <c r="C707" s="710" t="s">
        <v>9087</v>
      </c>
      <c r="D707" s="709" t="s">
        <v>175</v>
      </c>
      <c r="E707" s="709" t="s">
        <v>8432</v>
      </c>
      <c r="F707" s="716">
        <v>62.1</v>
      </c>
      <c r="G707" s="716">
        <v>65.41</v>
      </c>
      <c r="H707" s="225">
        <f t="shared" si="10"/>
        <v>62.1</v>
      </c>
    </row>
    <row r="708" spans="1:8" x14ac:dyDescent="0.3">
      <c r="A708" s="401"/>
      <c r="B708" s="709">
        <v>842</v>
      </c>
      <c r="C708" s="710" t="s">
        <v>9088</v>
      </c>
      <c r="D708" s="709" t="s">
        <v>175</v>
      </c>
      <c r="E708" s="709" t="s">
        <v>8432</v>
      </c>
      <c r="F708" s="716">
        <v>62.98</v>
      </c>
      <c r="G708" s="716">
        <v>66.34</v>
      </c>
      <c r="H708" s="225">
        <f t="shared" si="10"/>
        <v>62.98</v>
      </c>
    </row>
    <row r="709" spans="1:8" x14ac:dyDescent="0.3">
      <c r="A709" s="401"/>
      <c r="B709" s="709">
        <v>44391</v>
      </c>
      <c r="C709" s="710" t="s">
        <v>9089</v>
      </c>
      <c r="D709" s="709" t="s">
        <v>159</v>
      </c>
      <c r="E709" s="709" t="s">
        <v>8432</v>
      </c>
      <c r="F709" s="716">
        <v>134.19999999999999</v>
      </c>
      <c r="G709" s="716">
        <v>141.36000000000001</v>
      </c>
      <c r="H709" s="225">
        <f t="shared" si="10"/>
        <v>134.19999999999999</v>
      </c>
    </row>
    <row r="710" spans="1:8" x14ac:dyDescent="0.3">
      <c r="A710" s="401"/>
      <c r="B710" s="709">
        <v>44388</v>
      </c>
      <c r="C710" s="710" t="s">
        <v>9090</v>
      </c>
      <c r="D710" s="709" t="s">
        <v>159</v>
      </c>
      <c r="E710" s="709" t="s">
        <v>8432</v>
      </c>
      <c r="F710" s="716">
        <v>2.9</v>
      </c>
      <c r="G710" s="716">
        <v>3.06</v>
      </c>
      <c r="H710" s="225">
        <f t="shared" si="10"/>
        <v>2.9</v>
      </c>
    </row>
    <row r="711" spans="1:8" x14ac:dyDescent="0.3">
      <c r="A711" s="401"/>
      <c r="B711" s="709">
        <v>44392</v>
      </c>
      <c r="C711" s="710" t="s">
        <v>9091</v>
      </c>
      <c r="D711" s="709" t="s">
        <v>159</v>
      </c>
      <c r="E711" s="709" t="s">
        <v>8432</v>
      </c>
      <c r="F711" s="716">
        <v>267.20999999999998</v>
      </c>
      <c r="G711" s="716">
        <v>281.47000000000003</v>
      </c>
      <c r="H711" s="225">
        <f t="shared" si="10"/>
        <v>267.20999999999998</v>
      </c>
    </row>
    <row r="712" spans="1:8" x14ac:dyDescent="0.3">
      <c r="A712" s="401"/>
      <c r="B712" s="709">
        <v>44390</v>
      </c>
      <c r="C712" s="710" t="s">
        <v>9092</v>
      </c>
      <c r="D712" s="709" t="s">
        <v>159</v>
      </c>
      <c r="E712" s="709" t="s">
        <v>8432</v>
      </c>
      <c r="F712" s="716">
        <v>56.62</v>
      </c>
      <c r="G712" s="716">
        <v>59.64</v>
      </c>
      <c r="H712" s="225">
        <f t="shared" si="10"/>
        <v>56.62</v>
      </c>
    </row>
    <row r="713" spans="1:8" x14ac:dyDescent="0.3">
      <c r="A713" s="401"/>
      <c r="B713" s="709">
        <v>44389</v>
      </c>
      <c r="C713" s="710" t="s">
        <v>9093</v>
      </c>
      <c r="D713" s="709" t="s">
        <v>159</v>
      </c>
      <c r="E713" s="709" t="s">
        <v>8432</v>
      </c>
      <c r="F713" s="716">
        <v>6.68</v>
      </c>
      <c r="G713" s="716">
        <v>7.04</v>
      </c>
      <c r="H713" s="225">
        <f t="shared" si="10"/>
        <v>6.68</v>
      </c>
    </row>
    <row r="714" spans="1:8" x14ac:dyDescent="0.3">
      <c r="A714" s="401"/>
      <c r="B714" s="709">
        <v>862</v>
      </c>
      <c r="C714" s="710" t="s">
        <v>9094</v>
      </c>
      <c r="D714" s="709" t="s">
        <v>159</v>
      </c>
      <c r="E714" s="709" t="s">
        <v>8432</v>
      </c>
      <c r="F714" s="716">
        <v>12.24</v>
      </c>
      <c r="G714" s="716">
        <v>12.9</v>
      </c>
      <c r="H714" s="225">
        <f t="shared" si="10"/>
        <v>12.24</v>
      </c>
    </row>
    <row r="715" spans="1:8" x14ac:dyDescent="0.3">
      <c r="A715" s="401"/>
      <c r="B715" s="709">
        <v>866</v>
      </c>
      <c r="C715" s="710" t="s">
        <v>9095</v>
      </c>
      <c r="D715" s="709" t="s">
        <v>159</v>
      </c>
      <c r="E715" s="709" t="s">
        <v>8432</v>
      </c>
      <c r="F715" s="716">
        <v>155.6</v>
      </c>
      <c r="G715" s="716">
        <v>163.9</v>
      </c>
      <c r="H715" s="225">
        <f t="shared" ref="H715:H778" si="11">IF(F715&gt;0,F715,G715)</f>
        <v>155.6</v>
      </c>
    </row>
    <row r="716" spans="1:8" x14ac:dyDescent="0.3">
      <c r="A716" s="401"/>
      <c r="B716" s="709">
        <v>892</v>
      </c>
      <c r="C716" s="710" t="s">
        <v>9096</v>
      </c>
      <c r="D716" s="709" t="s">
        <v>159</v>
      </c>
      <c r="E716" s="709" t="s">
        <v>8432</v>
      </c>
      <c r="F716" s="716">
        <v>188.35</v>
      </c>
      <c r="G716" s="716">
        <v>198.4</v>
      </c>
      <c r="H716" s="225">
        <f t="shared" si="11"/>
        <v>188.35</v>
      </c>
    </row>
    <row r="717" spans="1:8" x14ac:dyDescent="0.3">
      <c r="A717" s="401"/>
      <c r="B717" s="709">
        <v>857</v>
      </c>
      <c r="C717" s="710" t="s">
        <v>9097</v>
      </c>
      <c r="D717" s="709" t="s">
        <v>159</v>
      </c>
      <c r="E717" s="709" t="s">
        <v>8432</v>
      </c>
      <c r="F717" s="716">
        <v>20.48</v>
      </c>
      <c r="G717" s="716">
        <v>21.58</v>
      </c>
      <c r="H717" s="225">
        <f t="shared" si="11"/>
        <v>20.48</v>
      </c>
    </row>
    <row r="718" spans="1:8" x14ac:dyDescent="0.3">
      <c r="A718" s="401"/>
      <c r="B718" s="709">
        <v>37404</v>
      </c>
      <c r="C718" s="710" t="s">
        <v>9098</v>
      </c>
      <c r="D718" s="709" t="s">
        <v>159</v>
      </c>
      <c r="E718" s="709" t="s">
        <v>8432</v>
      </c>
      <c r="F718" s="716">
        <v>217.92</v>
      </c>
      <c r="G718" s="716">
        <v>229.54</v>
      </c>
      <c r="H718" s="225">
        <f t="shared" si="11"/>
        <v>217.92</v>
      </c>
    </row>
    <row r="719" spans="1:8" x14ac:dyDescent="0.3">
      <c r="A719" s="401"/>
      <c r="B719" s="709">
        <v>868</v>
      </c>
      <c r="C719" s="710" t="s">
        <v>9099</v>
      </c>
      <c r="D719" s="709" t="s">
        <v>159</v>
      </c>
      <c r="E719" s="709" t="s">
        <v>8432</v>
      </c>
      <c r="F719" s="716">
        <v>29.19</v>
      </c>
      <c r="G719" s="716">
        <v>30.75</v>
      </c>
      <c r="H719" s="225">
        <f t="shared" si="11"/>
        <v>29.19</v>
      </c>
    </row>
    <row r="720" spans="1:8" x14ac:dyDescent="0.3">
      <c r="A720" s="401"/>
      <c r="B720" s="709">
        <v>863</v>
      </c>
      <c r="C720" s="710" t="s">
        <v>9100</v>
      </c>
      <c r="D720" s="709" t="s">
        <v>159</v>
      </c>
      <c r="E720" s="709" t="s">
        <v>8432</v>
      </c>
      <c r="F720" s="716">
        <v>43</v>
      </c>
      <c r="G720" s="716">
        <v>45.29</v>
      </c>
      <c r="H720" s="225">
        <f t="shared" si="11"/>
        <v>43</v>
      </c>
    </row>
    <row r="721" spans="1:8" x14ac:dyDescent="0.3">
      <c r="A721" s="401"/>
      <c r="B721" s="709">
        <v>867</v>
      </c>
      <c r="C721" s="710" t="s">
        <v>9101</v>
      </c>
      <c r="D721" s="709" t="s">
        <v>159</v>
      </c>
      <c r="E721" s="709" t="s">
        <v>8432</v>
      </c>
      <c r="F721" s="716">
        <v>61.25</v>
      </c>
      <c r="G721" s="716">
        <v>64.52</v>
      </c>
      <c r="H721" s="225">
        <f t="shared" si="11"/>
        <v>61.25</v>
      </c>
    </row>
    <row r="722" spans="1:8" x14ac:dyDescent="0.3">
      <c r="A722" s="401"/>
      <c r="B722" s="709">
        <v>864</v>
      </c>
      <c r="C722" s="710" t="s">
        <v>9102</v>
      </c>
      <c r="D722" s="709" t="s">
        <v>159</v>
      </c>
      <c r="E722" s="709" t="s">
        <v>8432</v>
      </c>
      <c r="F722" s="716">
        <v>80.900000000000006</v>
      </c>
      <c r="G722" s="716">
        <v>85.22</v>
      </c>
      <c r="H722" s="225">
        <f t="shared" si="11"/>
        <v>80.900000000000006</v>
      </c>
    </row>
    <row r="723" spans="1:8" x14ac:dyDescent="0.3">
      <c r="A723" s="401"/>
      <c r="B723" s="709">
        <v>865</v>
      </c>
      <c r="C723" s="710" t="s">
        <v>9103</v>
      </c>
      <c r="D723" s="709" t="s">
        <v>159</v>
      </c>
      <c r="E723" s="709" t="s">
        <v>8432</v>
      </c>
      <c r="F723" s="716">
        <v>116.37</v>
      </c>
      <c r="G723" s="716">
        <v>122.58</v>
      </c>
      <c r="H723" s="225">
        <f t="shared" si="11"/>
        <v>116.37</v>
      </c>
    </row>
    <row r="724" spans="1:8" x14ac:dyDescent="0.3">
      <c r="A724" s="401"/>
      <c r="B724" s="709">
        <v>39251</v>
      </c>
      <c r="C724" s="710" t="s">
        <v>9104</v>
      </c>
      <c r="D724" s="709" t="s">
        <v>159</v>
      </c>
      <c r="E724" s="709" t="s">
        <v>8432</v>
      </c>
      <c r="F724" s="716">
        <v>0.76</v>
      </c>
      <c r="G724" s="716">
        <v>0.8</v>
      </c>
      <c r="H724" s="225">
        <f t="shared" si="11"/>
        <v>0.76</v>
      </c>
    </row>
    <row r="725" spans="1:8" x14ac:dyDescent="0.3">
      <c r="A725" s="401"/>
      <c r="B725" s="709">
        <v>1011</v>
      </c>
      <c r="C725" s="710" t="s">
        <v>9105</v>
      </c>
      <c r="D725" s="709" t="s">
        <v>159</v>
      </c>
      <c r="E725" s="709" t="s">
        <v>8432</v>
      </c>
      <c r="F725" s="716">
        <v>1.04</v>
      </c>
      <c r="G725" s="716">
        <v>1.1000000000000001</v>
      </c>
      <c r="H725" s="225">
        <f t="shared" si="11"/>
        <v>1.04</v>
      </c>
    </row>
    <row r="726" spans="1:8" x14ac:dyDescent="0.3">
      <c r="A726" s="401"/>
      <c r="B726" s="709">
        <v>39252</v>
      </c>
      <c r="C726" s="710" t="s">
        <v>9106</v>
      </c>
      <c r="D726" s="709" t="s">
        <v>159</v>
      </c>
      <c r="E726" s="709" t="s">
        <v>8432</v>
      </c>
      <c r="F726" s="716">
        <v>1.37</v>
      </c>
      <c r="G726" s="716">
        <v>1.44</v>
      </c>
      <c r="H726" s="225">
        <f t="shared" si="11"/>
        <v>1.37</v>
      </c>
    </row>
    <row r="727" spans="1:8" x14ac:dyDescent="0.3">
      <c r="A727" s="401"/>
      <c r="B727" s="709">
        <v>1013</v>
      </c>
      <c r="C727" s="710" t="s">
        <v>9107</v>
      </c>
      <c r="D727" s="709" t="s">
        <v>159</v>
      </c>
      <c r="E727" s="709" t="s">
        <v>8432</v>
      </c>
      <c r="F727" s="716">
        <v>1.64</v>
      </c>
      <c r="G727" s="716">
        <v>1.73</v>
      </c>
      <c r="H727" s="225">
        <f t="shared" si="11"/>
        <v>1.64</v>
      </c>
    </row>
    <row r="728" spans="1:8" x14ac:dyDescent="0.3">
      <c r="A728" s="401"/>
      <c r="B728" s="709">
        <v>980</v>
      </c>
      <c r="C728" s="710" t="s">
        <v>9108</v>
      </c>
      <c r="D728" s="709" t="s">
        <v>159</v>
      </c>
      <c r="E728" s="709" t="s">
        <v>8432</v>
      </c>
      <c r="F728" s="716">
        <v>11.84</v>
      </c>
      <c r="G728" s="716">
        <v>12.47</v>
      </c>
      <c r="H728" s="225">
        <f t="shared" si="11"/>
        <v>11.84</v>
      </c>
    </row>
    <row r="729" spans="1:8" x14ac:dyDescent="0.3">
      <c r="A729" s="401"/>
      <c r="B729" s="709">
        <v>39237</v>
      </c>
      <c r="C729" s="710" t="s">
        <v>9109</v>
      </c>
      <c r="D729" s="709" t="s">
        <v>159</v>
      </c>
      <c r="E729" s="709" t="s">
        <v>8432</v>
      </c>
      <c r="F729" s="716">
        <v>125.97</v>
      </c>
      <c r="G729" s="716">
        <v>132.69</v>
      </c>
      <c r="H729" s="225">
        <f t="shared" si="11"/>
        <v>125.97</v>
      </c>
    </row>
    <row r="730" spans="1:8" x14ac:dyDescent="0.3">
      <c r="A730" s="401"/>
      <c r="B730" s="709">
        <v>39238</v>
      </c>
      <c r="C730" s="710" t="s">
        <v>9110</v>
      </c>
      <c r="D730" s="709" t="s">
        <v>159</v>
      </c>
      <c r="E730" s="709" t="s">
        <v>8432</v>
      </c>
      <c r="F730" s="716">
        <v>158.87</v>
      </c>
      <c r="G730" s="716">
        <v>167.35</v>
      </c>
      <c r="H730" s="225">
        <f t="shared" si="11"/>
        <v>158.87</v>
      </c>
    </row>
    <row r="731" spans="1:8" x14ac:dyDescent="0.3">
      <c r="A731" s="401"/>
      <c r="B731" s="709">
        <v>979</v>
      </c>
      <c r="C731" s="710" t="s">
        <v>9111</v>
      </c>
      <c r="D731" s="709" t="s">
        <v>159</v>
      </c>
      <c r="E731" s="709" t="s">
        <v>8432</v>
      </c>
      <c r="F731" s="716">
        <v>16.920000000000002</v>
      </c>
      <c r="G731" s="716">
        <v>17.82</v>
      </c>
      <c r="H731" s="225">
        <f t="shared" si="11"/>
        <v>16.920000000000002</v>
      </c>
    </row>
    <row r="732" spans="1:8" x14ac:dyDescent="0.3">
      <c r="A732" s="401"/>
      <c r="B732" s="709">
        <v>39239</v>
      </c>
      <c r="C732" s="710" t="s">
        <v>9112</v>
      </c>
      <c r="D732" s="709" t="s">
        <v>159</v>
      </c>
      <c r="E732" s="709" t="s">
        <v>8432</v>
      </c>
      <c r="F732" s="716">
        <v>191.93</v>
      </c>
      <c r="G732" s="716">
        <v>202.17</v>
      </c>
      <c r="H732" s="225">
        <f t="shared" si="11"/>
        <v>191.93</v>
      </c>
    </row>
    <row r="733" spans="1:8" x14ac:dyDescent="0.3">
      <c r="A733" s="401"/>
      <c r="B733" s="709">
        <v>1014</v>
      </c>
      <c r="C733" s="710" t="s">
        <v>9113</v>
      </c>
      <c r="D733" s="709" t="s">
        <v>159</v>
      </c>
      <c r="E733" s="709" t="s">
        <v>8432</v>
      </c>
      <c r="F733" s="716">
        <v>2.6</v>
      </c>
      <c r="G733" s="716">
        <v>2.74</v>
      </c>
      <c r="H733" s="225">
        <f t="shared" si="11"/>
        <v>2.6</v>
      </c>
    </row>
    <row r="734" spans="1:8" x14ac:dyDescent="0.3">
      <c r="A734" s="401"/>
      <c r="B734" s="709">
        <v>39240</v>
      </c>
      <c r="C734" s="710" t="s">
        <v>9114</v>
      </c>
      <c r="D734" s="709" t="s">
        <v>159</v>
      </c>
      <c r="E734" s="709" t="s">
        <v>8432</v>
      </c>
      <c r="F734" s="716">
        <v>252.44</v>
      </c>
      <c r="G734" s="716">
        <v>265.91000000000003</v>
      </c>
      <c r="H734" s="225">
        <f t="shared" si="11"/>
        <v>252.44</v>
      </c>
    </row>
    <row r="735" spans="1:8" x14ac:dyDescent="0.3">
      <c r="A735" s="401"/>
      <c r="B735" s="709">
        <v>39232</v>
      </c>
      <c r="C735" s="710" t="s">
        <v>9115</v>
      </c>
      <c r="D735" s="709" t="s">
        <v>159</v>
      </c>
      <c r="E735" s="709" t="s">
        <v>8432</v>
      </c>
      <c r="F735" s="716">
        <v>26.49</v>
      </c>
      <c r="G735" s="716">
        <v>27.91</v>
      </c>
      <c r="H735" s="225">
        <f t="shared" si="11"/>
        <v>26.49</v>
      </c>
    </row>
    <row r="736" spans="1:8" x14ac:dyDescent="0.3">
      <c r="A736" s="401"/>
      <c r="B736" s="709">
        <v>39233</v>
      </c>
      <c r="C736" s="710" t="s">
        <v>9116</v>
      </c>
      <c r="D736" s="709" t="s">
        <v>159</v>
      </c>
      <c r="E736" s="709" t="s">
        <v>8432</v>
      </c>
      <c r="F736" s="716">
        <v>38.61</v>
      </c>
      <c r="G736" s="716">
        <v>40.67</v>
      </c>
      <c r="H736" s="225">
        <f t="shared" si="11"/>
        <v>38.61</v>
      </c>
    </row>
    <row r="737" spans="1:8" x14ac:dyDescent="0.3">
      <c r="A737" s="401"/>
      <c r="B737" s="709">
        <v>981</v>
      </c>
      <c r="C737" s="710" t="s">
        <v>9117</v>
      </c>
      <c r="D737" s="709" t="s">
        <v>159</v>
      </c>
      <c r="E737" s="709" t="s">
        <v>8438</v>
      </c>
      <c r="F737" s="716">
        <v>4.3099999999999996</v>
      </c>
      <c r="G737" s="716">
        <v>4.54</v>
      </c>
      <c r="H737" s="225">
        <f t="shared" si="11"/>
        <v>4.3099999999999996</v>
      </c>
    </row>
    <row r="738" spans="1:8" x14ac:dyDescent="0.3">
      <c r="A738" s="401"/>
      <c r="B738" s="709">
        <v>39234</v>
      </c>
      <c r="C738" s="710" t="s">
        <v>9118</v>
      </c>
      <c r="D738" s="709" t="s">
        <v>159</v>
      </c>
      <c r="E738" s="709" t="s">
        <v>8432</v>
      </c>
      <c r="F738" s="716">
        <v>53.75</v>
      </c>
      <c r="G738" s="716">
        <v>56.62</v>
      </c>
      <c r="H738" s="225">
        <f t="shared" si="11"/>
        <v>53.75</v>
      </c>
    </row>
    <row r="739" spans="1:8" x14ac:dyDescent="0.3">
      <c r="A739" s="401"/>
      <c r="B739" s="709">
        <v>982</v>
      </c>
      <c r="C739" s="710" t="s">
        <v>9119</v>
      </c>
      <c r="D739" s="709" t="s">
        <v>159</v>
      </c>
      <c r="E739" s="709" t="s">
        <v>8432</v>
      </c>
      <c r="F739" s="716">
        <v>6.19</v>
      </c>
      <c r="G739" s="716">
        <v>6.53</v>
      </c>
      <c r="H739" s="225">
        <f t="shared" si="11"/>
        <v>6.19</v>
      </c>
    </row>
    <row r="740" spans="1:8" x14ac:dyDescent="0.3">
      <c r="A740" s="401"/>
      <c r="B740" s="709">
        <v>39235</v>
      </c>
      <c r="C740" s="710" t="s">
        <v>9120</v>
      </c>
      <c r="D740" s="709" t="s">
        <v>159</v>
      </c>
      <c r="E740" s="709" t="s">
        <v>8432</v>
      </c>
      <c r="F740" s="716">
        <v>79.28</v>
      </c>
      <c r="G740" s="716">
        <v>83.51</v>
      </c>
      <c r="H740" s="225">
        <f t="shared" si="11"/>
        <v>79.28</v>
      </c>
    </row>
    <row r="741" spans="1:8" x14ac:dyDescent="0.3">
      <c r="A741" s="401"/>
      <c r="B741" s="709">
        <v>39236</v>
      </c>
      <c r="C741" s="710" t="s">
        <v>9121</v>
      </c>
      <c r="D741" s="709" t="s">
        <v>159</v>
      </c>
      <c r="E741" s="709" t="s">
        <v>8432</v>
      </c>
      <c r="F741" s="716">
        <v>105.06</v>
      </c>
      <c r="G741" s="716">
        <v>110.67</v>
      </c>
      <c r="H741" s="225">
        <f t="shared" si="11"/>
        <v>105.06</v>
      </c>
    </row>
    <row r="742" spans="1:8" x14ac:dyDescent="0.3">
      <c r="A742" s="401"/>
      <c r="B742" s="709">
        <v>993</v>
      </c>
      <c r="C742" s="710" t="s">
        <v>9122</v>
      </c>
      <c r="D742" s="709" t="s">
        <v>159</v>
      </c>
      <c r="E742" s="709" t="s">
        <v>8432</v>
      </c>
      <c r="F742" s="716">
        <v>2.21</v>
      </c>
      <c r="G742" s="716">
        <v>2.33</v>
      </c>
      <c r="H742" s="225">
        <f t="shared" si="11"/>
        <v>2.21</v>
      </c>
    </row>
    <row r="743" spans="1:8" x14ac:dyDescent="0.3">
      <c r="A743" s="401"/>
      <c r="B743" s="709">
        <v>1020</v>
      </c>
      <c r="C743" s="710" t="s">
        <v>9123</v>
      </c>
      <c r="D743" s="709" t="s">
        <v>159</v>
      </c>
      <c r="E743" s="709" t="s">
        <v>8432</v>
      </c>
      <c r="F743" s="716">
        <v>11.29</v>
      </c>
      <c r="G743" s="716">
        <v>11.89</v>
      </c>
      <c r="H743" s="225">
        <f t="shared" si="11"/>
        <v>11.29</v>
      </c>
    </row>
    <row r="744" spans="1:8" x14ac:dyDescent="0.3">
      <c r="A744" s="401"/>
      <c r="B744" s="709">
        <v>1017</v>
      </c>
      <c r="C744" s="710" t="s">
        <v>9124</v>
      </c>
      <c r="D744" s="709" t="s">
        <v>159</v>
      </c>
      <c r="E744" s="709" t="s">
        <v>8432</v>
      </c>
      <c r="F744" s="716">
        <v>138.37</v>
      </c>
      <c r="G744" s="716">
        <v>145.75</v>
      </c>
      <c r="H744" s="225">
        <f t="shared" si="11"/>
        <v>138.37</v>
      </c>
    </row>
    <row r="745" spans="1:8" x14ac:dyDescent="0.3">
      <c r="A745" s="401"/>
      <c r="B745" s="709">
        <v>999</v>
      </c>
      <c r="C745" s="710" t="s">
        <v>9125</v>
      </c>
      <c r="D745" s="709" t="s">
        <v>159</v>
      </c>
      <c r="E745" s="709" t="s">
        <v>8432</v>
      </c>
      <c r="F745" s="716">
        <v>167.63</v>
      </c>
      <c r="G745" s="716">
        <v>176.58</v>
      </c>
      <c r="H745" s="225">
        <f t="shared" si="11"/>
        <v>167.63</v>
      </c>
    </row>
    <row r="746" spans="1:8" x14ac:dyDescent="0.3">
      <c r="A746" s="401"/>
      <c r="B746" s="709">
        <v>995</v>
      </c>
      <c r="C746" s="710" t="s">
        <v>9126</v>
      </c>
      <c r="D746" s="709" t="s">
        <v>159</v>
      </c>
      <c r="E746" s="709" t="s">
        <v>8432</v>
      </c>
      <c r="F746" s="716">
        <v>17.98</v>
      </c>
      <c r="G746" s="716">
        <v>18.940000000000001</v>
      </c>
      <c r="H746" s="225">
        <f t="shared" si="11"/>
        <v>17.98</v>
      </c>
    </row>
    <row r="747" spans="1:8" x14ac:dyDescent="0.3">
      <c r="A747" s="401"/>
      <c r="B747" s="709">
        <v>1000</v>
      </c>
      <c r="C747" s="710" t="s">
        <v>9127</v>
      </c>
      <c r="D747" s="709" t="s">
        <v>159</v>
      </c>
      <c r="E747" s="709" t="s">
        <v>8432</v>
      </c>
      <c r="F747" s="716">
        <v>205.91</v>
      </c>
      <c r="G747" s="716">
        <v>216.89</v>
      </c>
      <c r="H747" s="225">
        <f t="shared" si="11"/>
        <v>205.91</v>
      </c>
    </row>
    <row r="748" spans="1:8" x14ac:dyDescent="0.3">
      <c r="A748" s="401"/>
      <c r="B748" s="709">
        <v>1022</v>
      </c>
      <c r="C748" s="710" t="s">
        <v>9128</v>
      </c>
      <c r="D748" s="709" t="s">
        <v>159</v>
      </c>
      <c r="E748" s="709" t="s">
        <v>8432</v>
      </c>
      <c r="F748" s="716">
        <v>3.09</v>
      </c>
      <c r="G748" s="716">
        <v>3.25</v>
      </c>
      <c r="H748" s="225">
        <f t="shared" si="11"/>
        <v>3.09</v>
      </c>
    </row>
    <row r="749" spans="1:8" x14ac:dyDescent="0.3">
      <c r="A749" s="401"/>
      <c r="B749" s="709">
        <v>1015</v>
      </c>
      <c r="C749" s="710" t="s">
        <v>9129</v>
      </c>
      <c r="D749" s="709" t="s">
        <v>159</v>
      </c>
      <c r="E749" s="709" t="s">
        <v>8432</v>
      </c>
      <c r="F749" s="716">
        <v>273.62</v>
      </c>
      <c r="G749" s="716">
        <v>288.22000000000003</v>
      </c>
      <c r="H749" s="225">
        <f t="shared" si="11"/>
        <v>273.62</v>
      </c>
    </row>
    <row r="750" spans="1:8" x14ac:dyDescent="0.3">
      <c r="A750" s="401"/>
      <c r="B750" s="709">
        <v>996</v>
      </c>
      <c r="C750" s="710" t="s">
        <v>9130</v>
      </c>
      <c r="D750" s="709" t="s">
        <v>159</v>
      </c>
      <c r="E750" s="709" t="s">
        <v>8432</v>
      </c>
      <c r="F750" s="716">
        <v>27.88</v>
      </c>
      <c r="G750" s="716">
        <v>29.36</v>
      </c>
      <c r="H750" s="225">
        <f t="shared" si="11"/>
        <v>27.88</v>
      </c>
    </row>
    <row r="751" spans="1:8" x14ac:dyDescent="0.3">
      <c r="A751" s="401"/>
      <c r="B751" s="709">
        <v>1001</v>
      </c>
      <c r="C751" s="710" t="s">
        <v>9131</v>
      </c>
      <c r="D751" s="709" t="s">
        <v>159</v>
      </c>
      <c r="E751" s="709" t="s">
        <v>8432</v>
      </c>
      <c r="F751" s="716">
        <v>355.01</v>
      </c>
      <c r="G751" s="716">
        <v>373.96</v>
      </c>
      <c r="H751" s="225">
        <f t="shared" si="11"/>
        <v>355.01</v>
      </c>
    </row>
    <row r="752" spans="1:8" x14ac:dyDescent="0.3">
      <c r="A752" s="401"/>
      <c r="B752" s="709">
        <v>1019</v>
      </c>
      <c r="C752" s="710" t="s">
        <v>9132</v>
      </c>
      <c r="D752" s="709" t="s">
        <v>159</v>
      </c>
      <c r="E752" s="709" t="s">
        <v>8432</v>
      </c>
      <c r="F752" s="716">
        <v>39.39</v>
      </c>
      <c r="G752" s="716">
        <v>41.5</v>
      </c>
      <c r="H752" s="225">
        <f t="shared" si="11"/>
        <v>39.39</v>
      </c>
    </row>
    <row r="753" spans="1:8" x14ac:dyDescent="0.3">
      <c r="A753" s="401"/>
      <c r="B753" s="709">
        <v>1021</v>
      </c>
      <c r="C753" s="710" t="s">
        <v>9133</v>
      </c>
      <c r="D753" s="709" t="s">
        <v>159</v>
      </c>
      <c r="E753" s="709" t="s">
        <v>8432</v>
      </c>
      <c r="F753" s="716">
        <v>4.74</v>
      </c>
      <c r="G753" s="716">
        <v>4.99</v>
      </c>
      <c r="H753" s="225">
        <f t="shared" si="11"/>
        <v>4.74</v>
      </c>
    </row>
    <row r="754" spans="1:8" x14ac:dyDescent="0.3">
      <c r="A754" s="401"/>
      <c r="B754" s="709">
        <v>39249</v>
      </c>
      <c r="C754" s="710" t="s">
        <v>9134</v>
      </c>
      <c r="D754" s="709" t="s">
        <v>159</v>
      </c>
      <c r="E754" s="709" t="s">
        <v>8432</v>
      </c>
      <c r="F754" s="716">
        <v>477.34</v>
      </c>
      <c r="G754" s="716">
        <v>502.81</v>
      </c>
      <c r="H754" s="225">
        <f t="shared" si="11"/>
        <v>477.34</v>
      </c>
    </row>
    <row r="755" spans="1:8" x14ac:dyDescent="0.3">
      <c r="A755" s="401"/>
      <c r="B755" s="709">
        <v>1018</v>
      </c>
      <c r="C755" s="710" t="s">
        <v>9135</v>
      </c>
      <c r="D755" s="709" t="s">
        <v>159</v>
      </c>
      <c r="E755" s="709" t="s">
        <v>8432</v>
      </c>
      <c r="F755" s="716">
        <v>58.25</v>
      </c>
      <c r="G755" s="716">
        <v>61.36</v>
      </c>
      <c r="H755" s="225">
        <f t="shared" si="11"/>
        <v>58.25</v>
      </c>
    </row>
    <row r="756" spans="1:8" x14ac:dyDescent="0.3">
      <c r="A756" s="401"/>
      <c r="B756" s="709">
        <v>39250</v>
      </c>
      <c r="C756" s="710" t="s">
        <v>9136</v>
      </c>
      <c r="D756" s="709" t="s">
        <v>159</v>
      </c>
      <c r="E756" s="709" t="s">
        <v>8432</v>
      </c>
      <c r="F756" s="716">
        <v>571</v>
      </c>
      <c r="G756" s="716">
        <v>601.47</v>
      </c>
      <c r="H756" s="225">
        <f t="shared" si="11"/>
        <v>571</v>
      </c>
    </row>
    <row r="757" spans="1:8" x14ac:dyDescent="0.3">
      <c r="A757" s="401"/>
      <c r="B757" s="709">
        <v>994</v>
      </c>
      <c r="C757" s="710" t="s">
        <v>9137</v>
      </c>
      <c r="D757" s="709" t="s">
        <v>159</v>
      </c>
      <c r="E757" s="709" t="s">
        <v>8432</v>
      </c>
      <c r="F757" s="716">
        <v>6.89</v>
      </c>
      <c r="G757" s="716">
        <v>7.26</v>
      </c>
      <c r="H757" s="225">
        <f t="shared" si="11"/>
        <v>6.89</v>
      </c>
    </row>
    <row r="758" spans="1:8" x14ac:dyDescent="0.3">
      <c r="A758" s="401"/>
      <c r="B758" s="709">
        <v>977</v>
      </c>
      <c r="C758" s="710" t="s">
        <v>9138</v>
      </c>
      <c r="D758" s="709" t="s">
        <v>159</v>
      </c>
      <c r="E758" s="709" t="s">
        <v>8432</v>
      </c>
      <c r="F758" s="716">
        <v>81.489999999999995</v>
      </c>
      <c r="G758" s="716">
        <v>85.84</v>
      </c>
      <c r="H758" s="225">
        <f t="shared" si="11"/>
        <v>81.489999999999995</v>
      </c>
    </row>
    <row r="759" spans="1:8" x14ac:dyDescent="0.3">
      <c r="A759" s="401"/>
      <c r="B759" s="709">
        <v>998</v>
      </c>
      <c r="C759" s="710" t="s">
        <v>9139</v>
      </c>
      <c r="D759" s="709" t="s">
        <v>159</v>
      </c>
      <c r="E759" s="709" t="s">
        <v>8432</v>
      </c>
      <c r="F759" s="716">
        <v>105.81</v>
      </c>
      <c r="G759" s="716">
        <v>111.45</v>
      </c>
      <c r="H759" s="225">
        <f t="shared" si="11"/>
        <v>105.81</v>
      </c>
    </row>
    <row r="760" spans="1:8" x14ac:dyDescent="0.3">
      <c r="A760" s="401"/>
      <c r="B760" s="709">
        <v>1006</v>
      </c>
      <c r="C760" s="710" t="s">
        <v>9140</v>
      </c>
      <c r="D760" s="709" t="s">
        <v>159</v>
      </c>
      <c r="E760" s="709" t="s">
        <v>8432</v>
      </c>
      <c r="F760" s="716">
        <v>140.19999999999999</v>
      </c>
      <c r="G760" s="716">
        <v>147.68</v>
      </c>
      <c r="H760" s="225">
        <f t="shared" si="11"/>
        <v>140.19999999999999</v>
      </c>
    </row>
    <row r="761" spans="1:8" x14ac:dyDescent="0.3">
      <c r="A761" s="401"/>
      <c r="B761" s="709">
        <v>990</v>
      </c>
      <c r="C761" s="710" t="s">
        <v>9141</v>
      </c>
      <c r="D761" s="709" t="s">
        <v>159</v>
      </c>
      <c r="E761" s="709" t="s">
        <v>8432</v>
      </c>
      <c r="F761" s="716">
        <v>186.42</v>
      </c>
      <c r="G761" s="716">
        <v>196.37</v>
      </c>
      <c r="H761" s="225">
        <f t="shared" si="11"/>
        <v>186.42</v>
      </c>
    </row>
    <row r="762" spans="1:8" x14ac:dyDescent="0.3">
      <c r="A762" s="401"/>
      <c r="B762" s="709">
        <v>39241</v>
      </c>
      <c r="C762" s="710" t="s">
        <v>9142</v>
      </c>
      <c r="D762" s="709" t="s">
        <v>159</v>
      </c>
      <c r="E762" s="709" t="s">
        <v>8432</v>
      </c>
      <c r="F762" s="716">
        <v>18.350000000000001</v>
      </c>
      <c r="G762" s="716">
        <v>19.329999999999998</v>
      </c>
      <c r="H762" s="225">
        <f t="shared" si="11"/>
        <v>18.350000000000001</v>
      </c>
    </row>
    <row r="763" spans="1:8" x14ac:dyDescent="0.3">
      <c r="A763" s="401"/>
      <c r="B763" s="709">
        <v>1005</v>
      </c>
      <c r="C763" s="710" t="s">
        <v>9143</v>
      </c>
      <c r="D763" s="709" t="s">
        <v>159</v>
      </c>
      <c r="E763" s="709" t="s">
        <v>8432</v>
      </c>
      <c r="F763" s="716">
        <v>232.11</v>
      </c>
      <c r="G763" s="716">
        <v>244.49</v>
      </c>
      <c r="H763" s="225">
        <f t="shared" si="11"/>
        <v>232.11</v>
      </c>
    </row>
    <row r="764" spans="1:8" x14ac:dyDescent="0.3">
      <c r="A764" s="401"/>
      <c r="B764" s="709">
        <v>991</v>
      </c>
      <c r="C764" s="710" t="s">
        <v>9144</v>
      </c>
      <c r="D764" s="709" t="s">
        <v>159</v>
      </c>
      <c r="E764" s="709" t="s">
        <v>8432</v>
      </c>
      <c r="F764" s="716">
        <v>304.01</v>
      </c>
      <c r="G764" s="716">
        <v>320.23</v>
      </c>
      <c r="H764" s="225">
        <f t="shared" si="11"/>
        <v>304.01</v>
      </c>
    </row>
    <row r="765" spans="1:8" x14ac:dyDescent="0.3">
      <c r="A765" s="401"/>
      <c r="B765" s="709">
        <v>986</v>
      </c>
      <c r="C765" s="710" t="s">
        <v>9145</v>
      </c>
      <c r="D765" s="709" t="s">
        <v>159</v>
      </c>
      <c r="E765" s="709" t="s">
        <v>8432</v>
      </c>
      <c r="F765" s="716">
        <v>29</v>
      </c>
      <c r="G765" s="716">
        <v>30.54</v>
      </c>
      <c r="H765" s="225">
        <f t="shared" si="11"/>
        <v>29</v>
      </c>
    </row>
    <row r="766" spans="1:8" x14ac:dyDescent="0.3">
      <c r="A766" s="401"/>
      <c r="B766" s="709">
        <v>987</v>
      </c>
      <c r="C766" s="710" t="s">
        <v>9146</v>
      </c>
      <c r="D766" s="709" t="s">
        <v>159</v>
      </c>
      <c r="E766" s="709" t="s">
        <v>8432</v>
      </c>
      <c r="F766" s="716">
        <v>39.69</v>
      </c>
      <c r="G766" s="716">
        <v>41.81</v>
      </c>
      <c r="H766" s="225">
        <f t="shared" si="11"/>
        <v>39.69</v>
      </c>
    </row>
    <row r="767" spans="1:8" x14ac:dyDescent="0.3">
      <c r="A767" s="401"/>
      <c r="B767" s="709">
        <v>1007</v>
      </c>
      <c r="C767" s="710" t="s">
        <v>9147</v>
      </c>
      <c r="D767" s="709" t="s">
        <v>159</v>
      </c>
      <c r="E767" s="709" t="s">
        <v>8432</v>
      </c>
      <c r="F767" s="716">
        <v>54.94</v>
      </c>
      <c r="G767" s="716">
        <v>57.88</v>
      </c>
      <c r="H767" s="225">
        <f t="shared" si="11"/>
        <v>54.94</v>
      </c>
    </row>
    <row r="768" spans="1:8" x14ac:dyDescent="0.3">
      <c r="A768" s="401"/>
      <c r="B768" s="709">
        <v>1008</v>
      </c>
      <c r="C768" s="710" t="s">
        <v>9148</v>
      </c>
      <c r="D768" s="709" t="s">
        <v>159</v>
      </c>
      <c r="E768" s="709" t="s">
        <v>8432</v>
      </c>
      <c r="F768" s="716">
        <v>6.97</v>
      </c>
      <c r="G768" s="716">
        <v>7.35</v>
      </c>
      <c r="H768" s="225">
        <f t="shared" si="11"/>
        <v>6.97</v>
      </c>
    </row>
    <row r="769" spans="1:8" x14ac:dyDescent="0.3">
      <c r="A769" s="401"/>
      <c r="B769" s="709">
        <v>988</v>
      </c>
      <c r="C769" s="710" t="s">
        <v>9149</v>
      </c>
      <c r="D769" s="709" t="s">
        <v>159</v>
      </c>
      <c r="E769" s="709" t="s">
        <v>8432</v>
      </c>
      <c r="F769" s="716">
        <v>75.760000000000005</v>
      </c>
      <c r="G769" s="716">
        <v>79.8</v>
      </c>
      <c r="H769" s="225">
        <f t="shared" si="11"/>
        <v>75.760000000000005</v>
      </c>
    </row>
    <row r="770" spans="1:8" x14ac:dyDescent="0.3">
      <c r="A770" s="401"/>
      <c r="B770" s="709">
        <v>989</v>
      </c>
      <c r="C770" s="710" t="s">
        <v>9150</v>
      </c>
      <c r="D770" s="709" t="s">
        <v>159</v>
      </c>
      <c r="E770" s="709" t="s">
        <v>8432</v>
      </c>
      <c r="F770" s="716">
        <v>104.58</v>
      </c>
      <c r="G770" s="716">
        <v>110.16</v>
      </c>
      <c r="H770" s="225">
        <f t="shared" si="11"/>
        <v>104.58</v>
      </c>
    </row>
    <row r="771" spans="1:8" x14ac:dyDescent="0.3">
      <c r="A771" s="401"/>
      <c r="B771" s="709">
        <v>39598</v>
      </c>
      <c r="C771" s="710" t="s">
        <v>14809</v>
      </c>
      <c r="D771" s="709" t="s">
        <v>159</v>
      </c>
      <c r="E771" s="709" t="s">
        <v>8432</v>
      </c>
      <c r="F771" s="716">
        <v>5.8</v>
      </c>
      <c r="G771" s="716">
        <v>6.53</v>
      </c>
      <c r="H771" s="225">
        <f t="shared" si="11"/>
        <v>5.8</v>
      </c>
    </row>
    <row r="772" spans="1:8" x14ac:dyDescent="0.3">
      <c r="A772" s="401"/>
      <c r="B772" s="709">
        <v>43972</v>
      </c>
      <c r="C772" s="710" t="s">
        <v>9151</v>
      </c>
      <c r="D772" s="709" t="s">
        <v>159</v>
      </c>
      <c r="E772" s="709" t="s">
        <v>8432</v>
      </c>
      <c r="F772" s="716">
        <v>4.0999999999999996</v>
      </c>
      <c r="G772" s="716">
        <v>4.6100000000000003</v>
      </c>
      <c r="H772" s="225">
        <f t="shared" si="11"/>
        <v>4.0999999999999996</v>
      </c>
    </row>
    <row r="773" spans="1:8" x14ac:dyDescent="0.3">
      <c r="A773" s="401"/>
      <c r="B773" s="709">
        <v>43971</v>
      </c>
      <c r="C773" s="710" t="s">
        <v>9152</v>
      </c>
      <c r="D773" s="709" t="s">
        <v>159</v>
      </c>
      <c r="E773" s="709" t="s">
        <v>8438</v>
      </c>
      <c r="F773" s="716">
        <v>3.13</v>
      </c>
      <c r="G773" s="716">
        <v>3.52</v>
      </c>
      <c r="H773" s="225">
        <f t="shared" si="11"/>
        <v>3.13</v>
      </c>
    </row>
    <row r="774" spans="1:8" x14ac:dyDescent="0.3">
      <c r="A774" s="401"/>
      <c r="B774" s="709">
        <v>43973</v>
      </c>
      <c r="C774" s="710" t="s">
        <v>9153</v>
      </c>
      <c r="D774" s="709" t="s">
        <v>159</v>
      </c>
      <c r="E774" s="709" t="s">
        <v>8432</v>
      </c>
      <c r="F774" s="716">
        <v>4.28</v>
      </c>
      <c r="G774" s="716">
        <v>4.82</v>
      </c>
      <c r="H774" s="225">
        <f t="shared" si="11"/>
        <v>4.28</v>
      </c>
    </row>
    <row r="775" spans="1:8" x14ac:dyDescent="0.3">
      <c r="A775" s="401"/>
      <c r="B775" s="709">
        <v>39599</v>
      </c>
      <c r="C775" s="710" t="s">
        <v>14810</v>
      </c>
      <c r="D775" s="709" t="s">
        <v>159</v>
      </c>
      <c r="E775" s="709" t="s">
        <v>8432</v>
      </c>
      <c r="F775" s="716">
        <v>8.35</v>
      </c>
      <c r="G775" s="716">
        <v>9.39</v>
      </c>
      <c r="H775" s="225">
        <f t="shared" si="11"/>
        <v>8.35</v>
      </c>
    </row>
    <row r="776" spans="1:8" x14ac:dyDescent="0.3">
      <c r="A776" s="401"/>
      <c r="B776" s="709">
        <v>43832</v>
      </c>
      <c r="C776" s="710" t="s">
        <v>9154</v>
      </c>
      <c r="D776" s="709" t="s">
        <v>159</v>
      </c>
      <c r="E776" s="709" t="s">
        <v>8432</v>
      </c>
      <c r="F776" s="716">
        <v>21.99</v>
      </c>
      <c r="G776" s="716">
        <v>24.73</v>
      </c>
      <c r="H776" s="225">
        <f t="shared" si="11"/>
        <v>21.99</v>
      </c>
    </row>
    <row r="777" spans="1:8" x14ac:dyDescent="0.3">
      <c r="A777" s="401"/>
      <c r="B777" s="709">
        <v>34602</v>
      </c>
      <c r="C777" s="710" t="s">
        <v>9155</v>
      </c>
      <c r="D777" s="709" t="s">
        <v>159</v>
      </c>
      <c r="E777" s="709" t="s">
        <v>8432</v>
      </c>
      <c r="F777" s="716">
        <v>4.8</v>
      </c>
      <c r="G777" s="716">
        <v>5.05</v>
      </c>
      <c r="H777" s="225">
        <f t="shared" si="11"/>
        <v>4.8</v>
      </c>
    </row>
    <row r="778" spans="1:8" x14ac:dyDescent="0.3">
      <c r="A778" s="401"/>
      <c r="B778" s="709">
        <v>34607</v>
      </c>
      <c r="C778" s="710" t="s">
        <v>9156</v>
      </c>
      <c r="D778" s="709" t="s">
        <v>159</v>
      </c>
      <c r="E778" s="709" t="s">
        <v>8432</v>
      </c>
      <c r="F778" s="716">
        <v>11.75</v>
      </c>
      <c r="G778" s="716">
        <v>12.38</v>
      </c>
      <c r="H778" s="225">
        <f t="shared" si="11"/>
        <v>11.75</v>
      </c>
    </row>
    <row r="779" spans="1:8" x14ac:dyDescent="0.3">
      <c r="A779" s="401"/>
      <c r="B779" s="709">
        <v>34609</v>
      </c>
      <c r="C779" s="710" t="s">
        <v>9157</v>
      </c>
      <c r="D779" s="709" t="s">
        <v>159</v>
      </c>
      <c r="E779" s="709" t="s">
        <v>8432</v>
      </c>
      <c r="F779" s="716">
        <v>17.100000000000001</v>
      </c>
      <c r="G779" s="716">
        <v>18.010000000000002</v>
      </c>
      <c r="H779" s="225">
        <f t="shared" ref="H779:H842" si="12">IF(F779&gt;0,F779,G779)</f>
        <v>17.100000000000001</v>
      </c>
    </row>
    <row r="780" spans="1:8" x14ac:dyDescent="0.3">
      <c r="A780" s="401"/>
      <c r="B780" s="709">
        <v>34618</v>
      </c>
      <c r="C780" s="710" t="s">
        <v>9158</v>
      </c>
      <c r="D780" s="709" t="s">
        <v>159</v>
      </c>
      <c r="E780" s="709" t="s">
        <v>8432</v>
      </c>
      <c r="F780" s="716">
        <v>6.54</v>
      </c>
      <c r="G780" s="716">
        <v>6.89</v>
      </c>
      <c r="H780" s="225">
        <f t="shared" si="12"/>
        <v>6.54</v>
      </c>
    </row>
    <row r="781" spans="1:8" x14ac:dyDescent="0.3">
      <c r="A781" s="401"/>
      <c r="B781" s="709">
        <v>34621</v>
      </c>
      <c r="C781" s="710" t="s">
        <v>9159</v>
      </c>
      <c r="D781" s="709" t="s">
        <v>159</v>
      </c>
      <c r="E781" s="709" t="s">
        <v>8432</v>
      </c>
      <c r="F781" s="716">
        <v>16.21</v>
      </c>
      <c r="G781" s="716">
        <v>17.07</v>
      </c>
      <c r="H781" s="225">
        <f t="shared" si="12"/>
        <v>16.21</v>
      </c>
    </row>
    <row r="782" spans="1:8" x14ac:dyDescent="0.3">
      <c r="A782" s="401"/>
      <c r="B782" s="709">
        <v>34622</v>
      </c>
      <c r="C782" s="710" t="s">
        <v>9160</v>
      </c>
      <c r="D782" s="709" t="s">
        <v>159</v>
      </c>
      <c r="E782" s="709" t="s">
        <v>8432</v>
      </c>
      <c r="F782" s="716">
        <v>24.08</v>
      </c>
      <c r="G782" s="716">
        <v>25.36</v>
      </c>
      <c r="H782" s="225">
        <f t="shared" si="12"/>
        <v>24.08</v>
      </c>
    </row>
    <row r="783" spans="1:8" x14ac:dyDescent="0.3">
      <c r="A783" s="401"/>
      <c r="B783" s="709">
        <v>34624</v>
      </c>
      <c r="C783" s="710" t="s">
        <v>9161</v>
      </c>
      <c r="D783" s="709" t="s">
        <v>159</v>
      </c>
      <c r="E783" s="709" t="s">
        <v>8432</v>
      </c>
      <c r="F783" s="716">
        <v>8.73</v>
      </c>
      <c r="G783" s="716">
        <v>9.1999999999999993</v>
      </c>
      <c r="H783" s="225">
        <f t="shared" si="12"/>
        <v>8.73</v>
      </c>
    </row>
    <row r="784" spans="1:8" x14ac:dyDescent="0.3">
      <c r="A784" s="401"/>
      <c r="B784" s="709">
        <v>34627</v>
      </c>
      <c r="C784" s="710" t="s">
        <v>9162</v>
      </c>
      <c r="D784" s="709" t="s">
        <v>159</v>
      </c>
      <c r="E784" s="709" t="s">
        <v>8432</v>
      </c>
      <c r="F784" s="716">
        <v>21.05</v>
      </c>
      <c r="G784" s="716">
        <v>22.18</v>
      </c>
      <c r="H784" s="225">
        <f t="shared" si="12"/>
        <v>21.05</v>
      </c>
    </row>
    <row r="785" spans="1:8" x14ac:dyDescent="0.3">
      <c r="A785" s="401"/>
      <c r="B785" s="709">
        <v>34629</v>
      </c>
      <c r="C785" s="710" t="s">
        <v>9163</v>
      </c>
      <c r="D785" s="709" t="s">
        <v>159</v>
      </c>
      <c r="E785" s="709" t="s">
        <v>8432</v>
      </c>
      <c r="F785" s="716">
        <v>32.17</v>
      </c>
      <c r="G785" s="716">
        <v>33.89</v>
      </c>
      <c r="H785" s="225">
        <f t="shared" si="12"/>
        <v>32.17</v>
      </c>
    </row>
    <row r="786" spans="1:8" x14ac:dyDescent="0.3">
      <c r="A786" s="401"/>
      <c r="B786" s="709">
        <v>39257</v>
      </c>
      <c r="C786" s="710" t="s">
        <v>9164</v>
      </c>
      <c r="D786" s="709" t="s">
        <v>159</v>
      </c>
      <c r="E786" s="709" t="s">
        <v>8432</v>
      </c>
      <c r="F786" s="716">
        <v>6.55</v>
      </c>
      <c r="G786" s="716">
        <v>6.89</v>
      </c>
      <c r="H786" s="225">
        <f t="shared" si="12"/>
        <v>6.55</v>
      </c>
    </row>
    <row r="787" spans="1:8" x14ac:dyDescent="0.3">
      <c r="A787" s="401"/>
      <c r="B787" s="709">
        <v>39261</v>
      </c>
      <c r="C787" s="710" t="s">
        <v>9165</v>
      </c>
      <c r="D787" s="709" t="s">
        <v>159</v>
      </c>
      <c r="E787" s="709" t="s">
        <v>8432</v>
      </c>
      <c r="F787" s="716">
        <v>37.479999999999997</v>
      </c>
      <c r="G787" s="716">
        <v>39.479999999999997</v>
      </c>
      <c r="H787" s="225">
        <f t="shared" si="12"/>
        <v>37.479999999999997</v>
      </c>
    </row>
    <row r="788" spans="1:8" x14ac:dyDescent="0.3">
      <c r="A788" s="401"/>
      <c r="B788" s="709">
        <v>39268</v>
      </c>
      <c r="C788" s="710" t="s">
        <v>9166</v>
      </c>
      <c r="D788" s="709" t="s">
        <v>159</v>
      </c>
      <c r="E788" s="709" t="s">
        <v>8432</v>
      </c>
      <c r="F788" s="716">
        <v>585.82000000000005</v>
      </c>
      <c r="G788" s="716">
        <v>617.08000000000004</v>
      </c>
      <c r="H788" s="225">
        <f t="shared" si="12"/>
        <v>585.82000000000005</v>
      </c>
    </row>
    <row r="789" spans="1:8" x14ac:dyDescent="0.3">
      <c r="A789" s="401"/>
      <c r="B789" s="709">
        <v>39262</v>
      </c>
      <c r="C789" s="710" t="s">
        <v>9167</v>
      </c>
      <c r="D789" s="709" t="s">
        <v>159</v>
      </c>
      <c r="E789" s="709" t="s">
        <v>8432</v>
      </c>
      <c r="F789" s="716">
        <v>59.68</v>
      </c>
      <c r="G789" s="716">
        <v>62.87</v>
      </c>
      <c r="H789" s="225">
        <f t="shared" si="12"/>
        <v>59.68</v>
      </c>
    </row>
    <row r="790" spans="1:8" x14ac:dyDescent="0.3">
      <c r="A790" s="401"/>
      <c r="B790" s="709">
        <v>39258</v>
      </c>
      <c r="C790" s="710" t="s">
        <v>9168</v>
      </c>
      <c r="D790" s="709" t="s">
        <v>159</v>
      </c>
      <c r="E790" s="709" t="s">
        <v>8432</v>
      </c>
      <c r="F790" s="716">
        <v>9.8699999999999992</v>
      </c>
      <c r="G790" s="716">
        <v>10.39</v>
      </c>
      <c r="H790" s="225">
        <f t="shared" si="12"/>
        <v>9.8699999999999992</v>
      </c>
    </row>
    <row r="791" spans="1:8" x14ac:dyDescent="0.3">
      <c r="A791" s="401"/>
      <c r="B791" s="709">
        <v>39263</v>
      </c>
      <c r="C791" s="710" t="s">
        <v>9169</v>
      </c>
      <c r="D791" s="709" t="s">
        <v>159</v>
      </c>
      <c r="E791" s="709" t="s">
        <v>8432</v>
      </c>
      <c r="F791" s="716">
        <v>103.2</v>
      </c>
      <c r="G791" s="716">
        <v>108.71</v>
      </c>
      <c r="H791" s="225">
        <f t="shared" si="12"/>
        <v>103.2</v>
      </c>
    </row>
    <row r="792" spans="1:8" x14ac:dyDescent="0.3">
      <c r="A792" s="401"/>
      <c r="B792" s="709">
        <v>39264</v>
      </c>
      <c r="C792" s="710" t="s">
        <v>9170</v>
      </c>
      <c r="D792" s="709" t="s">
        <v>159</v>
      </c>
      <c r="E792" s="709" t="s">
        <v>8432</v>
      </c>
      <c r="F792" s="716">
        <v>142.96</v>
      </c>
      <c r="G792" s="716">
        <v>150.59</v>
      </c>
      <c r="H792" s="225">
        <f t="shared" si="12"/>
        <v>142.96</v>
      </c>
    </row>
    <row r="793" spans="1:8" x14ac:dyDescent="0.3">
      <c r="A793" s="401"/>
      <c r="B793" s="709">
        <v>39259</v>
      </c>
      <c r="C793" s="710" t="s">
        <v>9171</v>
      </c>
      <c r="D793" s="709" t="s">
        <v>159</v>
      </c>
      <c r="E793" s="709" t="s">
        <v>8432</v>
      </c>
      <c r="F793" s="716">
        <v>15.19</v>
      </c>
      <c r="G793" s="716">
        <v>16</v>
      </c>
      <c r="H793" s="225">
        <f t="shared" si="12"/>
        <v>15.19</v>
      </c>
    </row>
    <row r="794" spans="1:8" x14ac:dyDescent="0.3">
      <c r="A794" s="401"/>
      <c r="B794" s="709">
        <v>39265</v>
      </c>
      <c r="C794" s="710" t="s">
        <v>9172</v>
      </c>
      <c r="D794" s="709" t="s">
        <v>159</v>
      </c>
      <c r="E794" s="709" t="s">
        <v>8432</v>
      </c>
      <c r="F794" s="716">
        <v>194.09</v>
      </c>
      <c r="G794" s="716">
        <v>204.45</v>
      </c>
      <c r="H794" s="225">
        <f t="shared" si="12"/>
        <v>194.09</v>
      </c>
    </row>
    <row r="795" spans="1:8" x14ac:dyDescent="0.3">
      <c r="A795" s="401"/>
      <c r="B795" s="709">
        <v>39260</v>
      </c>
      <c r="C795" s="710" t="s">
        <v>9173</v>
      </c>
      <c r="D795" s="709" t="s">
        <v>159</v>
      </c>
      <c r="E795" s="709" t="s">
        <v>8432</v>
      </c>
      <c r="F795" s="716">
        <v>23.26</v>
      </c>
      <c r="G795" s="716">
        <v>24.51</v>
      </c>
      <c r="H795" s="225">
        <f t="shared" si="12"/>
        <v>23.26</v>
      </c>
    </row>
    <row r="796" spans="1:8" x14ac:dyDescent="0.3">
      <c r="A796" s="401"/>
      <c r="B796" s="709">
        <v>39266</v>
      </c>
      <c r="C796" s="710" t="s">
        <v>9174</v>
      </c>
      <c r="D796" s="709" t="s">
        <v>159</v>
      </c>
      <c r="E796" s="709" t="s">
        <v>8432</v>
      </c>
      <c r="F796" s="716">
        <v>292.88</v>
      </c>
      <c r="G796" s="716">
        <v>308.51</v>
      </c>
      <c r="H796" s="225">
        <f t="shared" si="12"/>
        <v>292.88</v>
      </c>
    </row>
    <row r="797" spans="1:8" x14ac:dyDescent="0.3">
      <c r="A797" s="401"/>
      <c r="B797" s="709">
        <v>39267</v>
      </c>
      <c r="C797" s="710" t="s">
        <v>9175</v>
      </c>
      <c r="D797" s="709" t="s">
        <v>159</v>
      </c>
      <c r="E797" s="709" t="s">
        <v>8432</v>
      </c>
      <c r="F797" s="716">
        <v>366.18</v>
      </c>
      <c r="G797" s="716">
        <v>385.72</v>
      </c>
      <c r="H797" s="225">
        <f t="shared" si="12"/>
        <v>366.18</v>
      </c>
    </row>
    <row r="798" spans="1:8" x14ac:dyDescent="0.3">
      <c r="A798" s="401"/>
      <c r="B798" s="709">
        <v>11901</v>
      </c>
      <c r="C798" s="710" t="s">
        <v>9176</v>
      </c>
      <c r="D798" s="709" t="s">
        <v>159</v>
      </c>
      <c r="E798" s="709" t="s">
        <v>8432</v>
      </c>
      <c r="F798" s="716">
        <v>0.75</v>
      </c>
      <c r="G798" s="716">
        <v>0.84</v>
      </c>
      <c r="H798" s="225">
        <f t="shared" si="12"/>
        <v>0.75</v>
      </c>
    </row>
    <row r="799" spans="1:8" x14ac:dyDescent="0.3">
      <c r="A799" s="401"/>
      <c r="B799" s="709">
        <v>11902</v>
      </c>
      <c r="C799" s="710" t="s">
        <v>9177</v>
      </c>
      <c r="D799" s="709" t="s">
        <v>159</v>
      </c>
      <c r="E799" s="709" t="s">
        <v>8432</v>
      </c>
      <c r="F799" s="716">
        <v>1.44</v>
      </c>
      <c r="G799" s="716">
        <v>1.62</v>
      </c>
      <c r="H799" s="225">
        <f t="shared" si="12"/>
        <v>1.44</v>
      </c>
    </row>
    <row r="800" spans="1:8" x14ac:dyDescent="0.3">
      <c r="A800" s="401"/>
      <c r="B800" s="709">
        <v>11903</v>
      </c>
      <c r="C800" s="710" t="s">
        <v>9178</v>
      </c>
      <c r="D800" s="709" t="s">
        <v>159</v>
      </c>
      <c r="E800" s="709" t="s">
        <v>8432</v>
      </c>
      <c r="F800" s="716">
        <v>1.52</v>
      </c>
      <c r="G800" s="716">
        <v>1.71</v>
      </c>
      <c r="H800" s="225">
        <f t="shared" si="12"/>
        <v>1.52</v>
      </c>
    </row>
    <row r="801" spans="1:8" x14ac:dyDescent="0.3">
      <c r="A801" s="401"/>
      <c r="B801" s="709">
        <v>11904</v>
      </c>
      <c r="C801" s="710" t="s">
        <v>9179</v>
      </c>
      <c r="D801" s="709" t="s">
        <v>159</v>
      </c>
      <c r="E801" s="709" t="s">
        <v>8432</v>
      </c>
      <c r="F801" s="716">
        <v>2.31</v>
      </c>
      <c r="G801" s="716">
        <v>2.6</v>
      </c>
      <c r="H801" s="225">
        <f t="shared" si="12"/>
        <v>2.31</v>
      </c>
    </row>
    <row r="802" spans="1:8" x14ac:dyDescent="0.3">
      <c r="A802" s="401"/>
      <c r="B802" s="709">
        <v>11905</v>
      </c>
      <c r="C802" s="710" t="s">
        <v>9180</v>
      </c>
      <c r="D802" s="709" t="s">
        <v>159</v>
      </c>
      <c r="E802" s="709" t="s">
        <v>8432</v>
      </c>
      <c r="F802" s="716">
        <v>2.82</v>
      </c>
      <c r="G802" s="716">
        <v>3.17</v>
      </c>
      <c r="H802" s="225">
        <f t="shared" si="12"/>
        <v>2.82</v>
      </c>
    </row>
    <row r="803" spans="1:8" x14ac:dyDescent="0.3">
      <c r="A803" s="401"/>
      <c r="B803" s="709">
        <v>11906</v>
      </c>
      <c r="C803" s="710" t="s">
        <v>9181</v>
      </c>
      <c r="D803" s="709" t="s">
        <v>159</v>
      </c>
      <c r="E803" s="709" t="s">
        <v>8432</v>
      </c>
      <c r="F803" s="716">
        <v>3.58</v>
      </c>
      <c r="G803" s="716">
        <v>4.03</v>
      </c>
      <c r="H803" s="225">
        <f t="shared" si="12"/>
        <v>3.58</v>
      </c>
    </row>
    <row r="804" spans="1:8" x14ac:dyDescent="0.3">
      <c r="A804" s="401"/>
      <c r="B804" s="709">
        <v>11919</v>
      </c>
      <c r="C804" s="710" t="s">
        <v>9182</v>
      </c>
      <c r="D804" s="709" t="s">
        <v>159</v>
      </c>
      <c r="E804" s="709" t="s">
        <v>8432</v>
      </c>
      <c r="F804" s="716">
        <v>6.57</v>
      </c>
      <c r="G804" s="716">
        <v>7.38</v>
      </c>
      <c r="H804" s="225">
        <f t="shared" si="12"/>
        <v>6.57</v>
      </c>
    </row>
    <row r="805" spans="1:8" x14ac:dyDescent="0.3">
      <c r="A805" s="401"/>
      <c r="B805" s="709">
        <v>11920</v>
      </c>
      <c r="C805" s="710" t="s">
        <v>9183</v>
      </c>
      <c r="D805" s="709" t="s">
        <v>159</v>
      </c>
      <c r="E805" s="709" t="s">
        <v>8432</v>
      </c>
      <c r="F805" s="716">
        <v>12.47</v>
      </c>
      <c r="G805" s="716">
        <v>14.03</v>
      </c>
      <c r="H805" s="225">
        <f t="shared" si="12"/>
        <v>12.47</v>
      </c>
    </row>
    <row r="806" spans="1:8" x14ac:dyDescent="0.3">
      <c r="A806" s="401"/>
      <c r="B806" s="709">
        <v>11924</v>
      </c>
      <c r="C806" s="710" t="s">
        <v>9184</v>
      </c>
      <c r="D806" s="709" t="s">
        <v>159</v>
      </c>
      <c r="E806" s="709" t="s">
        <v>8432</v>
      </c>
      <c r="F806" s="716">
        <v>104.71</v>
      </c>
      <c r="G806" s="716">
        <v>117.76</v>
      </c>
      <c r="H806" s="225">
        <f t="shared" si="12"/>
        <v>104.71</v>
      </c>
    </row>
    <row r="807" spans="1:8" x14ac:dyDescent="0.3">
      <c r="A807" s="401"/>
      <c r="B807" s="709">
        <v>11921</v>
      </c>
      <c r="C807" s="710" t="s">
        <v>9185</v>
      </c>
      <c r="D807" s="709" t="s">
        <v>159</v>
      </c>
      <c r="E807" s="709" t="s">
        <v>8432</v>
      </c>
      <c r="F807" s="716">
        <v>18.25</v>
      </c>
      <c r="G807" s="716">
        <v>20.52</v>
      </c>
      <c r="H807" s="225">
        <f t="shared" si="12"/>
        <v>18.25</v>
      </c>
    </row>
    <row r="808" spans="1:8" x14ac:dyDescent="0.3">
      <c r="A808" s="401"/>
      <c r="B808" s="709">
        <v>11922</v>
      </c>
      <c r="C808" s="710" t="s">
        <v>9186</v>
      </c>
      <c r="D808" s="709" t="s">
        <v>159</v>
      </c>
      <c r="E808" s="709" t="s">
        <v>8432</v>
      </c>
      <c r="F808" s="716">
        <v>29.51</v>
      </c>
      <c r="G808" s="716">
        <v>33.19</v>
      </c>
      <c r="H808" s="225">
        <f t="shared" si="12"/>
        <v>29.51</v>
      </c>
    </row>
    <row r="809" spans="1:8" x14ac:dyDescent="0.3">
      <c r="A809" s="401"/>
      <c r="B809" s="709">
        <v>11923</v>
      </c>
      <c r="C809" s="710" t="s">
        <v>9187</v>
      </c>
      <c r="D809" s="709" t="s">
        <v>159</v>
      </c>
      <c r="E809" s="709" t="s">
        <v>8432</v>
      </c>
      <c r="F809" s="716">
        <v>43.2</v>
      </c>
      <c r="G809" s="716">
        <v>48.59</v>
      </c>
      <c r="H809" s="225">
        <f t="shared" si="12"/>
        <v>43.2</v>
      </c>
    </row>
    <row r="810" spans="1:8" x14ac:dyDescent="0.3">
      <c r="A810" s="401"/>
      <c r="B810" s="709">
        <v>11916</v>
      </c>
      <c r="C810" s="710" t="s">
        <v>9188</v>
      </c>
      <c r="D810" s="709" t="s">
        <v>159</v>
      </c>
      <c r="E810" s="709" t="s">
        <v>8432</v>
      </c>
      <c r="F810" s="716">
        <v>8.98</v>
      </c>
      <c r="G810" s="716">
        <v>10.1</v>
      </c>
      <c r="H810" s="225">
        <f t="shared" si="12"/>
        <v>8.98</v>
      </c>
    </row>
    <row r="811" spans="1:8" x14ac:dyDescent="0.3">
      <c r="A811" s="401"/>
      <c r="B811" s="709">
        <v>11914</v>
      </c>
      <c r="C811" s="710" t="s">
        <v>9189</v>
      </c>
      <c r="D811" s="709" t="s">
        <v>159</v>
      </c>
      <c r="E811" s="709" t="s">
        <v>8432</v>
      </c>
      <c r="F811" s="716">
        <v>64.73</v>
      </c>
      <c r="G811" s="716">
        <v>72.790000000000006</v>
      </c>
      <c r="H811" s="225">
        <f t="shared" si="12"/>
        <v>64.73</v>
      </c>
    </row>
    <row r="812" spans="1:8" x14ac:dyDescent="0.3">
      <c r="A812" s="401"/>
      <c r="B812" s="709">
        <v>11917</v>
      </c>
      <c r="C812" s="710" t="s">
        <v>9190</v>
      </c>
      <c r="D812" s="709" t="s">
        <v>159</v>
      </c>
      <c r="E812" s="709" t="s">
        <v>8432</v>
      </c>
      <c r="F812" s="716">
        <v>15.82</v>
      </c>
      <c r="G812" s="716">
        <v>17.79</v>
      </c>
      <c r="H812" s="225">
        <f t="shared" si="12"/>
        <v>15.82</v>
      </c>
    </row>
    <row r="813" spans="1:8" x14ac:dyDescent="0.3">
      <c r="A813" s="401"/>
      <c r="B813" s="709">
        <v>11918</v>
      </c>
      <c r="C813" s="710" t="s">
        <v>9191</v>
      </c>
      <c r="D813" s="709" t="s">
        <v>159</v>
      </c>
      <c r="E813" s="709" t="s">
        <v>8432</v>
      </c>
      <c r="F813" s="716">
        <v>18.77</v>
      </c>
      <c r="G813" s="716">
        <v>21.11</v>
      </c>
      <c r="H813" s="225">
        <f t="shared" si="12"/>
        <v>18.77</v>
      </c>
    </row>
    <row r="814" spans="1:8" x14ac:dyDescent="0.3">
      <c r="A814" s="401"/>
      <c r="B814" s="709">
        <v>37734</v>
      </c>
      <c r="C814" s="710" t="s">
        <v>9192</v>
      </c>
      <c r="D814" s="709" t="s">
        <v>136</v>
      </c>
      <c r="E814" s="709" t="s">
        <v>8432</v>
      </c>
      <c r="F814" s="716">
        <v>101677.97</v>
      </c>
      <c r="G814" s="716">
        <v>81335.039999999994</v>
      </c>
      <c r="H814" s="225">
        <f t="shared" si="12"/>
        <v>101677.97</v>
      </c>
    </row>
    <row r="815" spans="1:8" x14ac:dyDescent="0.3">
      <c r="A815" s="401"/>
      <c r="B815" s="709">
        <v>37733</v>
      </c>
      <c r="C815" s="710" t="s">
        <v>9193</v>
      </c>
      <c r="D815" s="709" t="s">
        <v>136</v>
      </c>
      <c r="E815" s="709" t="s">
        <v>8432</v>
      </c>
      <c r="F815" s="716">
        <v>76237.759999999995</v>
      </c>
      <c r="G815" s="716">
        <v>60984.7</v>
      </c>
      <c r="H815" s="225">
        <f t="shared" si="12"/>
        <v>76237.759999999995</v>
      </c>
    </row>
    <row r="816" spans="1:8" x14ac:dyDescent="0.3">
      <c r="A816" s="401"/>
      <c r="B816" s="709">
        <v>5090</v>
      </c>
      <c r="C816" s="710" t="s">
        <v>9194</v>
      </c>
      <c r="D816" s="709" t="s">
        <v>136</v>
      </c>
      <c r="E816" s="709" t="s">
        <v>8438</v>
      </c>
      <c r="F816" s="716">
        <v>24.26</v>
      </c>
      <c r="G816" s="716">
        <v>20.07</v>
      </c>
      <c r="H816" s="225">
        <f t="shared" si="12"/>
        <v>24.26</v>
      </c>
    </row>
    <row r="817" spans="1:8" x14ac:dyDescent="0.3">
      <c r="A817" s="401"/>
      <c r="B817" s="709">
        <v>5085</v>
      </c>
      <c r="C817" s="710" t="s">
        <v>9195</v>
      </c>
      <c r="D817" s="709" t="s">
        <v>136</v>
      </c>
      <c r="E817" s="709" t="s">
        <v>8432</v>
      </c>
      <c r="F817" s="716">
        <v>36.119999999999997</v>
      </c>
      <c r="G817" s="716">
        <v>29.88</v>
      </c>
      <c r="H817" s="225">
        <f t="shared" si="12"/>
        <v>36.119999999999997</v>
      </c>
    </row>
    <row r="818" spans="1:8" x14ac:dyDescent="0.3">
      <c r="A818" s="401"/>
      <c r="B818" s="709">
        <v>43603</v>
      </c>
      <c r="C818" s="710" t="s">
        <v>9196</v>
      </c>
      <c r="D818" s="709" t="s">
        <v>136</v>
      </c>
      <c r="E818" s="709" t="s">
        <v>8432</v>
      </c>
      <c r="F818" s="716">
        <v>51.6</v>
      </c>
      <c r="G818" s="716">
        <v>42.68</v>
      </c>
      <c r="H818" s="225">
        <f t="shared" si="12"/>
        <v>51.6</v>
      </c>
    </row>
    <row r="819" spans="1:8" x14ac:dyDescent="0.3">
      <c r="A819" s="401"/>
      <c r="B819" s="709">
        <v>38374</v>
      </c>
      <c r="C819" s="710" t="s">
        <v>9197</v>
      </c>
      <c r="D819" s="709" t="s">
        <v>136</v>
      </c>
      <c r="E819" s="709" t="s">
        <v>8432</v>
      </c>
      <c r="F819" s="716">
        <v>924.66</v>
      </c>
      <c r="G819" s="716">
        <v>906.87</v>
      </c>
      <c r="H819" s="225">
        <f t="shared" si="12"/>
        <v>924.66</v>
      </c>
    </row>
    <row r="820" spans="1:8" x14ac:dyDescent="0.3">
      <c r="A820" s="401"/>
      <c r="B820" s="709">
        <v>4513</v>
      </c>
      <c r="C820" s="710" t="s">
        <v>9198</v>
      </c>
      <c r="D820" s="709" t="s">
        <v>159</v>
      </c>
      <c r="E820" s="709" t="s">
        <v>8432</v>
      </c>
      <c r="F820" s="716">
        <v>5.03</v>
      </c>
      <c r="G820" s="716">
        <v>5.81</v>
      </c>
      <c r="H820" s="225">
        <f t="shared" si="12"/>
        <v>5.03</v>
      </c>
    </row>
    <row r="821" spans="1:8" x14ac:dyDescent="0.3">
      <c r="A821" s="401"/>
      <c r="B821" s="709">
        <v>20212</v>
      </c>
      <c r="C821" s="710" t="s">
        <v>9199</v>
      </c>
      <c r="D821" s="709" t="s">
        <v>159</v>
      </c>
      <c r="E821" s="709" t="s">
        <v>8432</v>
      </c>
      <c r="F821" s="716">
        <v>23.34</v>
      </c>
      <c r="G821" s="716">
        <v>28.53</v>
      </c>
      <c r="H821" s="225">
        <f t="shared" si="12"/>
        <v>23.34</v>
      </c>
    </row>
    <row r="822" spans="1:8" x14ac:dyDescent="0.3">
      <c r="A822" s="401"/>
      <c r="B822" s="709">
        <v>20209</v>
      </c>
      <c r="C822" s="710" t="s">
        <v>9200</v>
      </c>
      <c r="D822" s="709" t="s">
        <v>159</v>
      </c>
      <c r="E822" s="709" t="s">
        <v>8432</v>
      </c>
      <c r="F822" s="716">
        <v>27.88</v>
      </c>
      <c r="G822" s="716">
        <v>34.08</v>
      </c>
      <c r="H822" s="225">
        <f t="shared" si="12"/>
        <v>27.88</v>
      </c>
    </row>
    <row r="823" spans="1:8" x14ac:dyDescent="0.3">
      <c r="A823" s="401"/>
      <c r="B823" s="709">
        <v>4430</v>
      </c>
      <c r="C823" s="710" t="s">
        <v>9201</v>
      </c>
      <c r="D823" s="709" t="s">
        <v>159</v>
      </c>
      <c r="E823" s="709" t="s">
        <v>8438</v>
      </c>
      <c r="F823" s="716">
        <v>13.66</v>
      </c>
      <c r="G823" s="716">
        <v>16.7</v>
      </c>
      <c r="H823" s="225">
        <f t="shared" si="12"/>
        <v>13.66</v>
      </c>
    </row>
    <row r="824" spans="1:8" x14ac:dyDescent="0.3">
      <c r="A824" s="401"/>
      <c r="B824" s="709">
        <v>4433</v>
      </c>
      <c r="C824" s="710" t="s">
        <v>9202</v>
      </c>
      <c r="D824" s="709" t="s">
        <v>159</v>
      </c>
      <c r="E824" s="709" t="s">
        <v>8432</v>
      </c>
      <c r="F824" s="716">
        <v>26.71</v>
      </c>
      <c r="G824" s="716">
        <v>32.659999999999997</v>
      </c>
      <c r="H824" s="225">
        <f t="shared" si="12"/>
        <v>26.71</v>
      </c>
    </row>
    <row r="825" spans="1:8" x14ac:dyDescent="0.3">
      <c r="A825" s="401"/>
      <c r="B825" s="709">
        <v>4400</v>
      </c>
      <c r="C825" s="710" t="s">
        <v>9203</v>
      </c>
      <c r="D825" s="709" t="s">
        <v>159</v>
      </c>
      <c r="E825" s="709" t="s">
        <v>8432</v>
      </c>
      <c r="F825" s="716">
        <v>21.74</v>
      </c>
      <c r="G825" s="716">
        <v>26.58</v>
      </c>
      <c r="H825" s="225">
        <f t="shared" si="12"/>
        <v>21.74</v>
      </c>
    </row>
    <row r="826" spans="1:8" x14ac:dyDescent="0.3">
      <c r="A826" s="401"/>
      <c r="B826" s="709">
        <v>2729</v>
      </c>
      <c r="C826" s="710" t="s">
        <v>9204</v>
      </c>
      <c r="D826" s="709" t="s">
        <v>136</v>
      </c>
      <c r="E826" s="709" t="s">
        <v>8432</v>
      </c>
      <c r="F826" s="716">
        <v>46.33</v>
      </c>
      <c r="G826" s="716">
        <v>32.65</v>
      </c>
      <c r="H826" s="225">
        <f t="shared" si="12"/>
        <v>46.33</v>
      </c>
    </row>
    <row r="827" spans="1:8" x14ac:dyDescent="0.3">
      <c r="A827" s="401"/>
      <c r="B827" s="709">
        <v>37106</v>
      </c>
      <c r="C827" s="710" t="s">
        <v>9205</v>
      </c>
      <c r="D827" s="709" t="s">
        <v>136</v>
      </c>
      <c r="E827" s="709" t="s">
        <v>8432</v>
      </c>
      <c r="F827" s="716">
        <v>5422.8</v>
      </c>
      <c r="G827" s="716">
        <v>5454.69</v>
      </c>
      <c r="H827" s="225">
        <f t="shared" si="12"/>
        <v>5422.8</v>
      </c>
    </row>
    <row r="828" spans="1:8" x14ac:dyDescent="0.3">
      <c r="A828" s="401"/>
      <c r="B828" s="709">
        <v>11869</v>
      </c>
      <c r="C828" s="710" t="s">
        <v>9206</v>
      </c>
      <c r="D828" s="709" t="s">
        <v>136</v>
      </c>
      <c r="E828" s="709" t="s">
        <v>8432</v>
      </c>
      <c r="F828" s="716">
        <v>1084.56</v>
      </c>
      <c r="G828" s="716">
        <v>1090.93</v>
      </c>
      <c r="H828" s="225">
        <f t="shared" si="12"/>
        <v>1084.56</v>
      </c>
    </row>
    <row r="829" spans="1:8" x14ac:dyDescent="0.3">
      <c r="A829" s="401"/>
      <c r="B829" s="709">
        <v>43981</v>
      </c>
      <c r="C829" s="710" t="s">
        <v>9207</v>
      </c>
      <c r="D829" s="709" t="s">
        <v>136</v>
      </c>
      <c r="E829" s="709" t="s">
        <v>8432</v>
      </c>
      <c r="F829" s="716">
        <v>8172.11</v>
      </c>
      <c r="G829" s="716">
        <v>8220.17</v>
      </c>
      <c r="H829" s="225">
        <f t="shared" si="12"/>
        <v>8172.11</v>
      </c>
    </row>
    <row r="830" spans="1:8" x14ac:dyDescent="0.3">
      <c r="A830" s="401"/>
      <c r="B830" s="709">
        <v>37104</v>
      </c>
      <c r="C830" s="710" t="s">
        <v>9208</v>
      </c>
      <c r="D830" s="709" t="s">
        <v>136</v>
      </c>
      <c r="E830" s="709" t="s">
        <v>8432</v>
      </c>
      <c r="F830" s="716">
        <v>1361.14</v>
      </c>
      <c r="G830" s="716">
        <v>1369.15</v>
      </c>
      <c r="H830" s="225">
        <f t="shared" si="12"/>
        <v>1361.14</v>
      </c>
    </row>
    <row r="831" spans="1:8" x14ac:dyDescent="0.3">
      <c r="A831" s="401"/>
      <c r="B831" s="709">
        <v>43982</v>
      </c>
      <c r="C831" s="710" t="s">
        <v>9209</v>
      </c>
      <c r="D831" s="709" t="s">
        <v>136</v>
      </c>
      <c r="E831" s="709" t="s">
        <v>8432</v>
      </c>
      <c r="F831" s="716">
        <v>12909.87</v>
      </c>
      <c r="G831" s="716">
        <v>12985.8</v>
      </c>
      <c r="H831" s="225">
        <f t="shared" si="12"/>
        <v>12909.87</v>
      </c>
    </row>
    <row r="832" spans="1:8" x14ac:dyDescent="0.3">
      <c r="A832" s="401"/>
      <c r="B832" s="709">
        <v>43978</v>
      </c>
      <c r="C832" s="710" t="s">
        <v>9210</v>
      </c>
      <c r="D832" s="709" t="s">
        <v>136</v>
      </c>
      <c r="E832" s="709" t="s">
        <v>8432</v>
      </c>
      <c r="F832" s="716">
        <v>2017.19</v>
      </c>
      <c r="G832" s="716">
        <v>2029.05</v>
      </c>
      <c r="H832" s="225">
        <f t="shared" si="12"/>
        <v>2017.19</v>
      </c>
    </row>
    <row r="833" spans="1:8" x14ac:dyDescent="0.3">
      <c r="A833" s="401"/>
      <c r="B833" s="709">
        <v>11871</v>
      </c>
      <c r="C833" s="710" t="s">
        <v>9211</v>
      </c>
      <c r="D833" s="709" t="s">
        <v>136</v>
      </c>
      <c r="E833" s="709" t="s">
        <v>8432</v>
      </c>
      <c r="F833" s="716">
        <v>505.57</v>
      </c>
      <c r="G833" s="716">
        <v>508.54</v>
      </c>
      <c r="H833" s="225">
        <f t="shared" si="12"/>
        <v>505.57</v>
      </c>
    </row>
    <row r="834" spans="1:8" x14ac:dyDescent="0.3">
      <c r="A834" s="401"/>
      <c r="B834" s="709">
        <v>37105</v>
      </c>
      <c r="C834" s="710" t="s">
        <v>9212</v>
      </c>
      <c r="D834" s="709" t="s">
        <v>136</v>
      </c>
      <c r="E834" s="709" t="s">
        <v>8432</v>
      </c>
      <c r="F834" s="716">
        <v>3110.73</v>
      </c>
      <c r="G834" s="716">
        <v>3129.03</v>
      </c>
      <c r="H834" s="225">
        <f t="shared" si="12"/>
        <v>3110.73</v>
      </c>
    </row>
    <row r="835" spans="1:8" x14ac:dyDescent="0.3">
      <c r="A835" s="401"/>
      <c r="B835" s="709">
        <v>43980</v>
      </c>
      <c r="C835" s="710" t="s">
        <v>9213</v>
      </c>
      <c r="D835" s="709" t="s">
        <v>136</v>
      </c>
      <c r="E835" s="709" t="s">
        <v>8432</v>
      </c>
      <c r="F835" s="716">
        <v>3874.09</v>
      </c>
      <c r="G835" s="716">
        <v>3896.87</v>
      </c>
      <c r="H835" s="225">
        <f t="shared" si="12"/>
        <v>3874.09</v>
      </c>
    </row>
    <row r="836" spans="1:8" x14ac:dyDescent="0.3">
      <c r="A836" s="401"/>
      <c r="B836" s="709">
        <v>43979</v>
      </c>
      <c r="C836" s="710" t="s">
        <v>9214</v>
      </c>
      <c r="D836" s="709" t="s">
        <v>136</v>
      </c>
      <c r="E836" s="709" t="s">
        <v>8432</v>
      </c>
      <c r="F836" s="716">
        <v>727.9</v>
      </c>
      <c r="G836" s="716">
        <v>732.18</v>
      </c>
      <c r="H836" s="225">
        <f t="shared" si="12"/>
        <v>727.9</v>
      </c>
    </row>
    <row r="837" spans="1:8" x14ac:dyDescent="0.3">
      <c r="A837" s="401"/>
      <c r="B837" s="709">
        <v>11868</v>
      </c>
      <c r="C837" s="710" t="s">
        <v>9215</v>
      </c>
      <c r="D837" s="709" t="s">
        <v>136</v>
      </c>
      <c r="E837" s="709" t="s">
        <v>8432</v>
      </c>
      <c r="F837" s="716">
        <v>703.95</v>
      </c>
      <c r="G837" s="716">
        <v>708.09</v>
      </c>
      <c r="H837" s="225">
        <f t="shared" si="12"/>
        <v>703.95</v>
      </c>
    </row>
    <row r="838" spans="1:8" x14ac:dyDescent="0.3">
      <c r="A838" s="401"/>
      <c r="B838" s="709">
        <v>34636</v>
      </c>
      <c r="C838" s="710" t="s">
        <v>9216</v>
      </c>
      <c r="D838" s="709" t="s">
        <v>136</v>
      </c>
      <c r="E838" s="709" t="s">
        <v>8438</v>
      </c>
      <c r="F838" s="716">
        <v>499.9</v>
      </c>
      <c r="G838" s="716">
        <v>502.84</v>
      </c>
      <c r="H838" s="225">
        <f t="shared" si="12"/>
        <v>499.9</v>
      </c>
    </row>
    <row r="839" spans="1:8" x14ac:dyDescent="0.3">
      <c r="A839" s="401"/>
      <c r="B839" s="709">
        <v>34639</v>
      </c>
      <c r="C839" s="710" t="s">
        <v>9217</v>
      </c>
      <c r="D839" s="709" t="s">
        <v>136</v>
      </c>
      <c r="E839" s="709" t="s">
        <v>8432</v>
      </c>
      <c r="F839" s="716">
        <v>1153.8599999999999</v>
      </c>
      <c r="G839" s="716">
        <v>1160.6400000000001</v>
      </c>
      <c r="H839" s="225">
        <f t="shared" si="12"/>
        <v>1153.8599999999999</v>
      </c>
    </row>
    <row r="840" spans="1:8" x14ac:dyDescent="0.3">
      <c r="A840" s="401"/>
      <c r="B840" s="709">
        <v>34640</v>
      </c>
      <c r="C840" s="710" t="s">
        <v>9218</v>
      </c>
      <c r="D840" s="709" t="s">
        <v>136</v>
      </c>
      <c r="E840" s="709" t="s">
        <v>8432</v>
      </c>
      <c r="F840" s="716">
        <v>1308.8699999999999</v>
      </c>
      <c r="G840" s="716">
        <v>1316.57</v>
      </c>
      <c r="H840" s="225">
        <f t="shared" si="12"/>
        <v>1308.8699999999999</v>
      </c>
    </row>
    <row r="841" spans="1:8" x14ac:dyDescent="0.3">
      <c r="A841" s="401"/>
      <c r="B841" s="709">
        <v>43977</v>
      </c>
      <c r="C841" s="710" t="s">
        <v>9219</v>
      </c>
      <c r="D841" s="709" t="s">
        <v>136</v>
      </c>
      <c r="E841" s="709" t="s">
        <v>8432</v>
      </c>
      <c r="F841" s="716">
        <v>2256.41</v>
      </c>
      <c r="G841" s="716">
        <v>2269.6799999999998</v>
      </c>
      <c r="H841" s="225">
        <f t="shared" si="12"/>
        <v>2256.41</v>
      </c>
    </row>
    <row r="842" spans="1:8" x14ac:dyDescent="0.3">
      <c r="A842" s="401"/>
      <c r="B842" s="709">
        <v>34637</v>
      </c>
      <c r="C842" s="710" t="s">
        <v>9220</v>
      </c>
      <c r="D842" s="709" t="s">
        <v>136</v>
      </c>
      <c r="E842" s="709" t="s">
        <v>8432</v>
      </c>
      <c r="F842" s="716">
        <v>302.31</v>
      </c>
      <c r="G842" s="716">
        <v>304.08999999999997</v>
      </c>
      <c r="H842" s="225">
        <f t="shared" si="12"/>
        <v>302.31</v>
      </c>
    </row>
    <row r="843" spans="1:8" x14ac:dyDescent="0.3">
      <c r="A843" s="401"/>
      <c r="B843" s="709">
        <v>34638</v>
      </c>
      <c r="C843" s="710" t="s">
        <v>9221</v>
      </c>
      <c r="D843" s="709" t="s">
        <v>136</v>
      </c>
      <c r="E843" s="709" t="s">
        <v>8432</v>
      </c>
      <c r="F843" s="716">
        <v>467.62</v>
      </c>
      <c r="G843" s="716">
        <v>470.37</v>
      </c>
      <c r="H843" s="225">
        <f t="shared" ref="H843:H906" si="13">IF(F843&gt;0,F843,G843)</f>
        <v>467.62</v>
      </c>
    </row>
    <row r="844" spans="1:8" x14ac:dyDescent="0.3">
      <c r="A844" s="401"/>
      <c r="B844" s="709">
        <v>34641</v>
      </c>
      <c r="C844" s="710" t="s">
        <v>9222</v>
      </c>
      <c r="D844" s="709" t="s">
        <v>136</v>
      </c>
      <c r="E844" s="709" t="s">
        <v>8432</v>
      </c>
      <c r="F844" s="716">
        <v>129.41</v>
      </c>
      <c r="G844" s="716">
        <v>125.44</v>
      </c>
      <c r="H844" s="225">
        <f t="shared" si="13"/>
        <v>129.41</v>
      </c>
    </row>
    <row r="845" spans="1:8" x14ac:dyDescent="0.3">
      <c r="A845" s="401"/>
      <c r="B845" s="709">
        <v>43434</v>
      </c>
      <c r="C845" s="710" t="s">
        <v>9223</v>
      </c>
      <c r="D845" s="709" t="s">
        <v>136</v>
      </c>
      <c r="E845" s="709" t="s">
        <v>8432</v>
      </c>
      <c r="F845" s="716">
        <v>139.91</v>
      </c>
      <c r="G845" s="716">
        <v>135.63</v>
      </c>
      <c r="H845" s="225">
        <f t="shared" si="13"/>
        <v>139.91</v>
      </c>
    </row>
    <row r="846" spans="1:8" x14ac:dyDescent="0.3">
      <c r="A846" s="401"/>
      <c r="B846" s="709">
        <v>43435</v>
      </c>
      <c r="C846" s="710" t="s">
        <v>9224</v>
      </c>
      <c r="D846" s="709" t="s">
        <v>136</v>
      </c>
      <c r="E846" s="709" t="s">
        <v>8432</v>
      </c>
      <c r="F846" s="716">
        <v>256.51</v>
      </c>
      <c r="G846" s="716">
        <v>248.65</v>
      </c>
      <c r="H846" s="225">
        <f t="shared" si="13"/>
        <v>256.51</v>
      </c>
    </row>
    <row r="847" spans="1:8" x14ac:dyDescent="0.3">
      <c r="A847" s="401"/>
      <c r="B847" s="709">
        <v>43436</v>
      </c>
      <c r="C847" s="710" t="s">
        <v>9225</v>
      </c>
      <c r="D847" s="709" t="s">
        <v>136</v>
      </c>
      <c r="E847" s="709" t="s">
        <v>8432</v>
      </c>
      <c r="F847" s="716">
        <v>448.89</v>
      </c>
      <c r="G847" s="716">
        <v>435.14</v>
      </c>
      <c r="H847" s="225">
        <f t="shared" si="13"/>
        <v>448.89</v>
      </c>
    </row>
    <row r="848" spans="1:8" x14ac:dyDescent="0.3">
      <c r="A848" s="401"/>
      <c r="B848" s="709">
        <v>43437</v>
      </c>
      <c r="C848" s="710" t="s">
        <v>9226</v>
      </c>
      <c r="D848" s="709" t="s">
        <v>136</v>
      </c>
      <c r="E848" s="709" t="s">
        <v>8432</v>
      </c>
      <c r="F848" s="716">
        <v>813.84</v>
      </c>
      <c r="G848" s="716">
        <v>788.91</v>
      </c>
      <c r="H848" s="225">
        <f t="shared" si="13"/>
        <v>813.84</v>
      </c>
    </row>
    <row r="849" spans="1:8" x14ac:dyDescent="0.3">
      <c r="A849" s="401"/>
      <c r="B849" s="709">
        <v>43438</v>
      </c>
      <c r="C849" s="710" t="s">
        <v>9227</v>
      </c>
      <c r="D849" s="709" t="s">
        <v>136</v>
      </c>
      <c r="E849" s="709" t="s">
        <v>8432</v>
      </c>
      <c r="F849" s="716">
        <v>1457.45</v>
      </c>
      <c r="G849" s="716">
        <v>1412.81</v>
      </c>
      <c r="H849" s="225">
        <f t="shared" si="13"/>
        <v>1457.45</v>
      </c>
    </row>
    <row r="850" spans="1:8" x14ac:dyDescent="0.3">
      <c r="A850" s="401"/>
      <c r="B850" s="709">
        <v>41627</v>
      </c>
      <c r="C850" s="710" t="s">
        <v>9228</v>
      </c>
      <c r="D850" s="709" t="s">
        <v>136</v>
      </c>
      <c r="E850" s="709" t="s">
        <v>8432</v>
      </c>
      <c r="F850" s="716">
        <v>215.7</v>
      </c>
      <c r="G850" s="716">
        <v>209.09</v>
      </c>
      <c r="H850" s="225">
        <f t="shared" si="13"/>
        <v>215.7</v>
      </c>
    </row>
    <row r="851" spans="1:8" x14ac:dyDescent="0.3">
      <c r="A851" s="401"/>
      <c r="B851" s="709">
        <v>41628</v>
      </c>
      <c r="C851" s="710" t="s">
        <v>9229</v>
      </c>
      <c r="D851" s="709" t="s">
        <v>136</v>
      </c>
      <c r="E851" s="709" t="s">
        <v>8432</v>
      </c>
      <c r="F851" s="716">
        <v>396.42</v>
      </c>
      <c r="G851" s="716">
        <v>384.28</v>
      </c>
      <c r="H851" s="225">
        <f t="shared" si="13"/>
        <v>396.42</v>
      </c>
    </row>
    <row r="852" spans="1:8" x14ac:dyDescent="0.3">
      <c r="A852" s="401"/>
      <c r="B852" s="709">
        <v>41629</v>
      </c>
      <c r="C852" s="710" t="s">
        <v>9230</v>
      </c>
      <c r="D852" s="709" t="s">
        <v>136</v>
      </c>
      <c r="E852" s="709" t="s">
        <v>8432</v>
      </c>
      <c r="F852" s="716">
        <v>503.69</v>
      </c>
      <c r="G852" s="716">
        <v>488.26</v>
      </c>
      <c r="H852" s="225">
        <f t="shared" si="13"/>
        <v>503.69</v>
      </c>
    </row>
    <row r="853" spans="1:8" x14ac:dyDescent="0.3">
      <c r="A853" s="401"/>
      <c r="B853" s="709">
        <v>43429</v>
      </c>
      <c r="C853" s="710" t="s">
        <v>9231</v>
      </c>
      <c r="D853" s="709" t="s">
        <v>136</v>
      </c>
      <c r="E853" s="709" t="s">
        <v>8432</v>
      </c>
      <c r="F853" s="716">
        <v>111.6</v>
      </c>
      <c r="G853" s="716">
        <v>108.18</v>
      </c>
      <c r="H853" s="225">
        <f t="shared" si="13"/>
        <v>111.6</v>
      </c>
    </row>
    <row r="854" spans="1:8" x14ac:dyDescent="0.3">
      <c r="A854" s="401"/>
      <c r="B854" s="709">
        <v>43430</v>
      </c>
      <c r="C854" s="710" t="s">
        <v>9232</v>
      </c>
      <c r="D854" s="709" t="s">
        <v>136</v>
      </c>
      <c r="E854" s="709" t="s">
        <v>8432</v>
      </c>
      <c r="F854" s="716">
        <v>185.38</v>
      </c>
      <c r="G854" s="716">
        <v>179.71</v>
      </c>
      <c r="H854" s="225">
        <f t="shared" si="13"/>
        <v>185.38</v>
      </c>
    </row>
    <row r="855" spans="1:8" x14ac:dyDescent="0.3">
      <c r="A855" s="401"/>
      <c r="B855" s="709">
        <v>43431</v>
      </c>
      <c r="C855" s="710" t="s">
        <v>9233</v>
      </c>
      <c r="D855" s="709" t="s">
        <v>136</v>
      </c>
      <c r="E855" s="709" t="s">
        <v>8432</v>
      </c>
      <c r="F855" s="716">
        <v>359.11</v>
      </c>
      <c r="G855" s="716">
        <v>348.11</v>
      </c>
      <c r="H855" s="225">
        <f t="shared" si="13"/>
        <v>359.11</v>
      </c>
    </row>
    <row r="856" spans="1:8" x14ac:dyDescent="0.3">
      <c r="A856" s="401"/>
      <c r="B856" s="709">
        <v>43432</v>
      </c>
      <c r="C856" s="710" t="s">
        <v>9234</v>
      </c>
      <c r="D856" s="709" t="s">
        <v>136</v>
      </c>
      <c r="E856" s="709" t="s">
        <v>8432</v>
      </c>
      <c r="F856" s="716">
        <v>746.21</v>
      </c>
      <c r="G856" s="716">
        <v>723.36</v>
      </c>
      <c r="H856" s="225">
        <f t="shared" si="13"/>
        <v>746.21</v>
      </c>
    </row>
    <row r="857" spans="1:8" x14ac:dyDescent="0.3">
      <c r="A857" s="401"/>
      <c r="B857" s="709">
        <v>43433</v>
      </c>
      <c r="C857" s="710" t="s">
        <v>9235</v>
      </c>
      <c r="D857" s="709" t="s">
        <v>136</v>
      </c>
      <c r="E857" s="709" t="s">
        <v>8432</v>
      </c>
      <c r="F857" s="716">
        <v>1176.46</v>
      </c>
      <c r="G857" s="716">
        <v>1140.42</v>
      </c>
      <c r="H857" s="225">
        <f t="shared" si="13"/>
        <v>1176.46</v>
      </c>
    </row>
    <row r="858" spans="1:8" x14ac:dyDescent="0.3">
      <c r="A858" s="401"/>
      <c r="B858" s="709">
        <v>43094</v>
      </c>
      <c r="C858" s="710" t="s">
        <v>9236</v>
      </c>
      <c r="D858" s="709" t="s">
        <v>136</v>
      </c>
      <c r="E858" s="709" t="s">
        <v>8432</v>
      </c>
      <c r="F858" s="716">
        <v>297.31</v>
      </c>
      <c r="G858" s="716">
        <v>243.2</v>
      </c>
      <c r="H858" s="225">
        <f t="shared" si="13"/>
        <v>297.31</v>
      </c>
    </row>
    <row r="859" spans="1:8" x14ac:dyDescent="0.3">
      <c r="A859" s="401"/>
      <c r="B859" s="709">
        <v>43093</v>
      </c>
      <c r="C859" s="710" t="s">
        <v>9237</v>
      </c>
      <c r="D859" s="709" t="s">
        <v>136</v>
      </c>
      <c r="E859" s="709" t="s">
        <v>8432</v>
      </c>
      <c r="F859" s="716">
        <v>315.95</v>
      </c>
      <c r="G859" s="716">
        <v>258.45</v>
      </c>
      <c r="H859" s="225">
        <f t="shared" si="13"/>
        <v>315.95</v>
      </c>
    </row>
    <row r="860" spans="1:8" x14ac:dyDescent="0.3">
      <c r="A860" s="401"/>
      <c r="B860" s="709">
        <v>11694</v>
      </c>
      <c r="C860" s="710" t="s">
        <v>9238</v>
      </c>
      <c r="D860" s="709" t="s">
        <v>136</v>
      </c>
      <c r="E860" s="709" t="s">
        <v>8432</v>
      </c>
      <c r="F860" s="716">
        <v>1225.73</v>
      </c>
      <c r="G860" s="716">
        <v>1303.0999999999999</v>
      </c>
      <c r="H860" s="225">
        <f t="shared" si="13"/>
        <v>1225.73</v>
      </c>
    </row>
    <row r="861" spans="1:8" x14ac:dyDescent="0.3">
      <c r="A861" s="401"/>
      <c r="B861" s="709">
        <v>1030</v>
      </c>
      <c r="C861" s="710" t="s">
        <v>9239</v>
      </c>
      <c r="D861" s="709" t="s">
        <v>136</v>
      </c>
      <c r="E861" s="709" t="s">
        <v>8438</v>
      </c>
      <c r="F861" s="716">
        <v>55.45</v>
      </c>
      <c r="G861" s="716">
        <v>58.95</v>
      </c>
      <c r="H861" s="225">
        <f t="shared" si="13"/>
        <v>55.45</v>
      </c>
    </row>
    <row r="862" spans="1:8" x14ac:dyDescent="0.3">
      <c r="A862" s="401"/>
      <c r="B862" s="709">
        <v>11881</v>
      </c>
      <c r="C862" s="710" t="s">
        <v>9240</v>
      </c>
      <c r="D862" s="709" t="s">
        <v>136</v>
      </c>
      <c r="E862" s="709" t="s">
        <v>8432</v>
      </c>
      <c r="F862" s="716">
        <v>198.21</v>
      </c>
      <c r="G862" s="716">
        <v>192.14</v>
      </c>
      <c r="H862" s="225">
        <f t="shared" si="13"/>
        <v>198.21</v>
      </c>
    </row>
    <row r="863" spans="1:8" x14ac:dyDescent="0.3">
      <c r="A863" s="401"/>
      <c r="B863" s="709">
        <v>35277</v>
      </c>
      <c r="C863" s="710" t="s">
        <v>9241</v>
      </c>
      <c r="D863" s="709" t="s">
        <v>136</v>
      </c>
      <c r="E863" s="709" t="s">
        <v>8432</v>
      </c>
      <c r="F863" s="716">
        <v>547.99</v>
      </c>
      <c r="G863" s="716">
        <v>441.28</v>
      </c>
      <c r="H863" s="225">
        <f t="shared" si="13"/>
        <v>547.99</v>
      </c>
    </row>
    <row r="864" spans="1:8" x14ac:dyDescent="0.3">
      <c r="A864" s="401"/>
      <c r="B864" s="709">
        <v>10521</v>
      </c>
      <c r="C864" s="710" t="s">
        <v>9242</v>
      </c>
      <c r="D864" s="709" t="s">
        <v>136</v>
      </c>
      <c r="E864" s="709" t="s">
        <v>8432</v>
      </c>
      <c r="F864" s="716">
        <v>329.31</v>
      </c>
      <c r="G864" s="716">
        <v>384.04</v>
      </c>
      <c r="H864" s="225">
        <f t="shared" si="13"/>
        <v>329.31</v>
      </c>
    </row>
    <row r="865" spans="1:8" x14ac:dyDescent="0.3">
      <c r="A865" s="401"/>
      <c r="B865" s="709">
        <v>10885</v>
      </c>
      <c r="C865" s="710" t="s">
        <v>9243</v>
      </c>
      <c r="D865" s="709" t="s">
        <v>136</v>
      </c>
      <c r="E865" s="709" t="s">
        <v>8432</v>
      </c>
      <c r="F865" s="716">
        <v>416.54</v>
      </c>
      <c r="G865" s="716">
        <v>485.76</v>
      </c>
      <c r="H865" s="225">
        <f t="shared" si="13"/>
        <v>416.54</v>
      </c>
    </row>
    <row r="866" spans="1:8" x14ac:dyDescent="0.3">
      <c r="A866" s="401"/>
      <c r="B866" s="709">
        <v>20962</v>
      </c>
      <c r="C866" s="710" t="s">
        <v>9244</v>
      </c>
      <c r="D866" s="709" t="s">
        <v>136</v>
      </c>
      <c r="E866" s="709" t="s">
        <v>8438</v>
      </c>
      <c r="F866" s="716">
        <v>345</v>
      </c>
      <c r="G866" s="716">
        <v>402.33</v>
      </c>
      <c r="H866" s="225">
        <f t="shared" si="13"/>
        <v>345</v>
      </c>
    </row>
    <row r="867" spans="1:8" x14ac:dyDescent="0.3">
      <c r="A867" s="401"/>
      <c r="B867" s="709">
        <v>20963</v>
      </c>
      <c r="C867" s="710" t="s">
        <v>9245</v>
      </c>
      <c r="D867" s="709" t="s">
        <v>136</v>
      </c>
      <c r="E867" s="709" t="s">
        <v>8432</v>
      </c>
      <c r="F867" s="716">
        <v>421.44</v>
      </c>
      <c r="G867" s="716">
        <v>491.48</v>
      </c>
      <c r="H867" s="225">
        <f t="shared" si="13"/>
        <v>421.44</v>
      </c>
    </row>
    <row r="868" spans="1:8" x14ac:dyDescent="0.3">
      <c r="A868" s="401"/>
      <c r="B868" s="709">
        <v>34643</v>
      </c>
      <c r="C868" s="710" t="s">
        <v>9246</v>
      </c>
      <c r="D868" s="709" t="s">
        <v>136</v>
      </c>
      <c r="E868" s="709" t="s">
        <v>8432</v>
      </c>
      <c r="F868" s="716">
        <v>63.11</v>
      </c>
      <c r="G868" s="716">
        <v>50.82</v>
      </c>
      <c r="H868" s="225">
        <f t="shared" si="13"/>
        <v>63.11</v>
      </c>
    </row>
    <row r="869" spans="1:8" x14ac:dyDescent="0.3">
      <c r="A869" s="401"/>
      <c r="B869" s="709">
        <v>41480</v>
      </c>
      <c r="C869" s="710" t="s">
        <v>9247</v>
      </c>
      <c r="D869" s="709" t="s">
        <v>136</v>
      </c>
      <c r="E869" s="709" t="s">
        <v>8432</v>
      </c>
      <c r="F869" s="716">
        <v>73.17</v>
      </c>
      <c r="G869" s="716">
        <v>58.92</v>
      </c>
      <c r="H869" s="225">
        <f t="shared" si="13"/>
        <v>73.17</v>
      </c>
    </row>
    <row r="870" spans="1:8" x14ac:dyDescent="0.3">
      <c r="A870" s="401"/>
      <c r="B870" s="709">
        <v>41474</v>
      </c>
      <c r="C870" s="710" t="s">
        <v>9248</v>
      </c>
      <c r="D870" s="709" t="s">
        <v>136</v>
      </c>
      <c r="E870" s="709" t="s">
        <v>8432</v>
      </c>
      <c r="F870" s="716">
        <v>116.89</v>
      </c>
      <c r="G870" s="716">
        <v>94.13</v>
      </c>
      <c r="H870" s="225">
        <f t="shared" si="13"/>
        <v>116.89</v>
      </c>
    </row>
    <row r="871" spans="1:8" x14ac:dyDescent="0.3">
      <c r="A871" s="401"/>
      <c r="B871" s="709">
        <v>41475</v>
      </c>
      <c r="C871" s="710" t="s">
        <v>9249</v>
      </c>
      <c r="D871" s="709" t="s">
        <v>136</v>
      </c>
      <c r="E871" s="709" t="s">
        <v>8432</v>
      </c>
      <c r="F871" s="716">
        <v>99.73</v>
      </c>
      <c r="G871" s="716">
        <v>80.31</v>
      </c>
      <c r="H871" s="225">
        <f t="shared" si="13"/>
        <v>99.73</v>
      </c>
    </row>
    <row r="872" spans="1:8" x14ac:dyDescent="0.3">
      <c r="A872" s="401"/>
      <c r="B872" s="709">
        <v>41476</v>
      </c>
      <c r="C872" s="710" t="s">
        <v>9250</v>
      </c>
      <c r="D872" s="709" t="s">
        <v>136</v>
      </c>
      <c r="E872" s="709" t="s">
        <v>8432</v>
      </c>
      <c r="F872" s="716">
        <v>218.38</v>
      </c>
      <c r="G872" s="716">
        <v>175.85</v>
      </c>
      <c r="H872" s="225">
        <f t="shared" si="13"/>
        <v>218.38</v>
      </c>
    </row>
    <row r="873" spans="1:8" x14ac:dyDescent="0.3">
      <c r="A873" s="401"/>
      <c r="B873" s="709">
        <v>2555</v>
      </c>
      <c r="C873" s="710" t="s">
        <v>9251</v>
      </c>
      <c r="D873" s="709" t="s">
        <v>136</v>
      </c>
      <c r="E873" s="709" t="s">
        <v>8432</v>
      </c>
      <c r="F873" s="716">
        <v>1.45</v>
      </c>
      <c r="G873" s="716">
        <v>1.41</v>
      </c>
      <c r="H873" s="225">
        <f t="shared" si="13"/>
        <v>1.45</v>
      </c>
    </row>
    <row r="874" spans="1:8" x14ac:dyDescent="0.3">
      <c r="A874" s="401"/>
      <c r="B874" s="709">
        <v>2556</v>
      </c>
      <c r="C874" s="710" t="s">
        <v>9252</v>
      </c>
      <c r="D874" s="709" t="s">
        <v>136</v>
      </c>
      <c r="E874" s="709" t="s">
        <v>8432</v>
      </c>
      <c r="F874" s="716">
        <v>1.5</v>
      </c>
      <c r="G874" s="716">
        <v>1.46</v>
      </c>
      <c r="H874" s="225">
        <f t="shared" si="13"/>
        <v>1.5</v>
      </c>
    </row>
    <row r="875" spans="1:8" x14ac:dyDescent="0.3">
      <c r="A875" s="401"/>
      <c r="B875" s="709">
        <v>2557</v>
      </c>
      <c r="C875" s="710" t="s">
        <v>9253</v>
      </c>
      <c r="D875" s="709" t="s">
        <v>136</v>
      </c>
      <c r="E875" s="709" t="s">
        <v>8432</v>
      </c>
      <c r="F875" s="716">
        <v>3.17</v>
      </c>
      <c r="G875" s="716">
        <v>3.09</v>
      </c>
      <c r="H875" s="225">
        <f t="shared" si="13"/>
        <v>3.17</v>
      </c>
    </row>
    <row r="876" spans="1:8" x14ac:dyDescent="0.3">
      <c r="A876" s="401"/>
      <c r="B876" s="709">
        <v>10569</v>
      </c>
      <c r="C876" s="710" t="s">
        <v>9254</v>
      </c>
      <c r="D876" s="709" t="s">
        <v>136</v>
      </c>
      <c r="E876" s="709" t="s">
        <v>8432</v>
      </c>
      <c r="F876" s="716">
        <v>3.17</v>
      </c>
      <c r="G876" s="716">
        <v>3.09</v>
      </c>
      <c r="H876" s="225">
        <f t="shared" si="13"/>
        <v>3.17</v>
      </c>
    </row>
    <row r="877" spans="1:8" x14ac:dyDescent="0.3">
      <c r="A877" s="401"/>
      <c r="B877" s="709">
        <v>39810</v>
      </c>
      <c r="C877" s="710" t="s">
        <v>9255</v>
      </c>
      <c r="D877" s="709" t="s">
        <v>136</v>
      </c>
      <c r="E877" s="709" t="s">
        <v>8432</v>
      </c>
      <c r="F877" s="716">
        <v>40.119999999999997</v>
      </c>
      <c r="G877" s="716">
        <v>32.82</v>
      </c>
      <c r="H877" s="225">
        <f t="shared" si="13"/>
        <v>40.119999999999997</v>
      </c>
    </row>
    <row r="878" spans="1:8" x14ac:dyDescent="0.3">
      <c r="A878" s="401"/>
      <c r="B878" s="709">
        <v>39811</v>
      </c>
      <c r="C878" s="710" t="s">
        <v>9256</v>
      </c>
      <c r="D878" s="709" t="s">
        <v>136</v>
      </c>
      <c r="E878" s="709" t="s">
        <v>8432</v>
      </c>
      <c r="F878" s="716">
        <v>49.08</v>
      </c>
      <c r="G878" s="716">
        <v>40.14</v>
      </c>
      <c r="H878" s="225">
        <f t="shared" si="13"/>
        <v>49.08</v>
      </c>
    </row>
    <row r="879" spans="1:8" x14ac:dyDescent="0.3">
      <c r="A879" s="401"/>
      <c r="B879" s="709">
        <v>39812</v>
      </c>
      <c r="C879" s="710" t="s">
        <v>9257</v>
      </c>
      <c r="D879" s="709" t="s">
        <v>136</v>
      </c>
      <c r="E879" s="709" t="s">
        <v>8432</v>
      </c>
      <c r="F879" s="716">
        <v>80.69</v>
      </c>
      <c r="G879" s="716">
        <v>66.010000000000005</v>
      </c>
      <c r="H879" s="225">
        <f t="shared" si="13"/>
        <v>80.69</v>
      </c>
    </row>
    <row r="880" spans="1:8" x14ac:dyDescent="0.3">
      <c r="A880" s="401"/>
      <c r="B880" s="709">
        <v>43096</v>
      </c>
      <c r="C880" s="710" t="s">
        <v>9258</v>
      </c>
      <c r="D880" s="709" t="s">
        <v>136</v>
      </c>
      <c r="E880" s="709" t="s">
        <v>8432</v>
      </c>
      <c r="F880" s="716">
        <v>267.48</v>
      </c>
      <c r="G880" s="716">
        <v>218.8</v>
      </c>
      <c r="H880" s="225">
        <f t="shared" si="13"/>
        <v>267.48</v>
      </c>
    </row>
    <row r="881" spans="1:8" x14ac:dyDescent="0.3">
      <c r="A881" s="401"/>
      <c r="B881" s="709">
        <v>43102</v>
      </c>
      <c r="C881" s="710" t="s">
        <v>9259</v>
      </c>
      <c r="D881" s="709" t="s">
        <v>136</v>
      </c>
      <c r="E881" s="709" t="s">
        <v>8432</v>
      </c>
      <c r="F881" s="716">
        <v>162.63999999999999</v>
      </c>
      <c r="G881" s="716">
        <v>133.04</v>
      </c>
      <c r="H881" s="225">
        <f t="shared" si="13"/>
        <v>162.63999999999999</v>
      </c>
    </row>
    <row r="882" spans="1:8" x14ac:dyDescent="0.3">
      <c r="A882" s="401"/>
      <c r="B882" s="709">
        <v>43103</v>
      </c>
      <c r="C882" s="710" t="s">
        <v>9260</v>
      </c>
      <c r="D882" s="709" t="s">
        <v>136</v>
      </c>
      <c r="E882" s="709" t="s">
        <v>8432</v>
      </c>
      <c r="F882" s="716">
        <v>239.5</v>
      </c>
      <c r="G882" s="716">
        <v>195.91</v>
      </c>
      <c r="H882" s="225">
        <f t="shared" si="13"/>
        <v>239.5</v>
      </c>
    </row>
    <row r="883" spans="1:8" x14ac:dyDescent="0.3">
      <c r="A883" s="401"/>
      <c r="B883" s="709">
        <v>43098</v>
      </c>
      <c r="C883" s="710" t="s">
        <v>9261</v>
      </c>
      <c r="D883" s="709" t="s">
        <v>136</v>
      </c>
      <c r="E883" s="709" t="s">
        <v>8432</v>
      </c>
      <c r="F883" s="716">
        <v>90.6</v>
      </c>
      <c r="G883" s="716">
        <v>74.11</v>
      </c>
      <c r="H883" s="225">
        <f t="shared" si="13"/>
        <v>90.6</v>
      </c>
    </row>
    <row r="884" spans="1:8" x14ac:dyDescent="0.3">
      <c r="A884" s="401"/>
      <c r="B884" s="709">
        <v>43097</v>
      </c>
      <c r="C884" s="710" t="s">
        <v>9262</v>
      </c>
      <c r="D884" s="709" t="s">
        <v>136</v>
      </c>
      <c r="E884" s="709" t="s">
        <v>8432</v>
      </c>
      <c r="F884" s="716">
        <v>53.68</v>
      </c>
      <c r="G884" s="716">
        <v>43.91</v>
      </c>
      <c r="H884" s="225">
        <f t="shared" si="13"/>
        <v>53.68</v>
      </c>
    </row>
    <row r="885" spans="1:8" x14ac:dyDescent="0.3">
      <c r="A885" s="401"/>
      <c r="B885" s="709">
        <v>43104</v>
      </c>
      <c r="C885" s="710" t="s">
        <v>9263</v>
      </c>
      <c r="D885" s="709" t="s">
        <v>136</v>
      </c>
      <c r="E885" s="709" t="s">
        <v>8432</v>
      </c>
      <c r="F885" s="716">
        <v>634.97</v>
      </c>
      <c r="G885" s="716">
        <v>519.41</v>
      </c>
      <c r="H885" s="225">
        <f t="shared" si="13"/>
        <v>634.97</v>
      </c>
    </row>
    <row r="886" spans="1:8" x14ac:dyDescent="0.3">
      <c r="A886" s="401"/>
      <c r="B886" s="709">
        <v>39771</v>
      </c>
      <c r="C886" s="710" t="s">
        <v>9264</v>
      </c>
      <c r="D886" s="709" t="s">
        <v>136</v>
      </c>
      <c r="E886" s="709" t="s">
        <v>8432</v>
      </c>
      <c r="F886" s="716">
        <v>30.48</v>
      </c>
      <c r="G886" s="716">
        <v>29.75</v>
      </c>
      <c r="H886" s="225">
        <f t="shared" si="13"/>
        <v>30.48</v>
      </c>
    </row>
    <row r="887" spans="1:8" x14ac:dyDescent="0.3">
      <c r="A887" s="401"/>
      <c r="B887" s="709">
        <v>39772</v>
      </c>
      <c r="C887" s="710" t="s">
        <v>9265</v>
      </c>
      <c r="D887" s="709" t="s">
        <v>136</v>
      </c>
      <c r="E887" s="709" t="s">
        <v>8432</v>
      </c>
      <c r="F887" s="716">
        <v>59.92</v>
      </c>
      <c r="G887" s="716">
        <v>58.48</v>
      </c>
      <c r="H887" s="225">
        <f t="shared" si="13"/>
        <v>59.92</v>
      </c>
    </row>
    <row r="888" spans="1:8" x14ac:dyDescent="0.3">
      <c r="A888" s="401"/>
      <c r="B888" s="709">
        <v>39773</v>
      </c>
      <c r="C888" s="710" t="s">
        <v>9266</v>
      </c>
      <c r="D888" s="709" t="s">
        <v>136</v>
      </c>
      <c r="E888" s="709" t="s">
        <v>8432</v>
      </c>
      <c r="F888" s="716">
        <v>96.3</v>
      </c>
      <c r="G888" s="716">
        <v>94</v>
      </c>
      <c r="H888" s="225">
        <f t="shared" si="13"/>
        <v>96.3</v>
      </c>
    </row>
    <row r="889" spans="1:8" x14ac:dyDescent="0.3">
      <c r="A889" s="401"/>
      <c r="B889" s="709">
        <v>39774</v>
      </c>
      <c r="C889" s="710" t="s">
        <v>9267</v>
      </c>
      <c r="D889" s="709" t="s">
        <v>136</v>
      </c>
      <c r="E889" s="709" t="s">
        <v>8432</v>
      </c>
      <c r="F889" s="716">
        <v>144.05000000000001</v>
      </c>
      <c r="G889" s="716">
        <v>140.6</v>
      </c>
      <c r="H889" s="225">
        <f t="shared" si="13"/>
        <v>144.05000000000001</v>
      </c>
    </row>
    <row r="890" spans="1:8" x14ac:dyDescent="0.3">
      <c r="A890" s="401"/>
      <c r="B890" s="709">
        <v>39775</v>
      </c>
      <c r="C890" s="710" t="s">
        <v>9268</v>
      </c>
      <c r="D890" s="709" t="s">
        <v>136</v>
      </c>
      <c r="E890" s="709" t="s">
        <v>8432</v>
      </c>
      <c r="F890" s="716">
        <v>192.25</v>
      </c>
      <c r="G890" s="716">
        <v>187.65</v>
      </c>
      <c r="H890" s="225">
        <f t="shared" si="13"/>
        <v>192.25</v>
      </c>
    </row>
    <row r="891" spans="1:8" x14ac:dyDescent="0.3">
      <c r="A891" s="401"/>
      <c r="B891" s="709">
        <v>39776</v>
      </c>
      <c r="C891" s="710" t="s">
        <v>9269</v>
      </c>
      <c r="D891" s="709" t="s">
        <v>136</v>
      </c>
      <c r="E891" s="709" t="s">
        <v>8432</v>
      </c>
      <c r="F891" s="716">
        <v>232.34</v>
      </c>
      <c r="G891" s="716">
        <v>226.78</v>
      </c>
      <c r="H891" s="225">
        <f t="shared" si="13"/>
        <v>232.34</v>
      </c>
    </row>
    <row r="892" spans="1:8" x14ac:dyDescent="0.3">
      <c r="A892" s="401"/>
      <c r="B892" s="709">
        <v>39777</v>
      </c>
      <c r="C892" s="710" t="s">
        <v>9270</v>
      </c>
      <c r="D892" s="709" t="s">
        <v>136</v>
      </c>
      <c r="E892" s="709" t="s">
        <v>8432</v>
      </c>
      <c r="F892" s="716">
        <v>294.48</v>
      </c>
      <c r="G892" s="716">
        <v>287.44</v>
      </c>
      <c r="H892" s="225">
        <f t="shared" si="13"/>
        <v>294.48</v>
      </c>
    </row>
    <row r="893" spans="1:8" x14ac:dyDescent="0.3">
      <c r="A893" s="401"/>
      <c r="B893" s="709">
        <v>20254</v>
      </c>
      <c r="C893" s="710" t="s">
        <v>9271</v>
      </c>
      <c r="D893" s="709" t="s">
        <v>136</v>
      </c>
      <c r="E893" s="709" t="s">
        <v>8432</v>
      </c>
      <c r="F893" s="716">
        <v>21.37</v>
      </c>
      <c r="G893" s="716">
        <v>20.86</v>
      </c>
      <c r="H893" s="225">
        <f t="shared" si="13"/>
        <v>21.37</v>
      </c>
    </row>
    <row r="894" spans="1:8" x14ac:dyDescent="0.3">
      <c r="A894" s="401"/>
      <c r="B894" s="709">
        <v>20253</v>
      </c>
      <c r="C894" s="710" t="s">
        <v>9272</v>
      </c>
      <c r="D894" s="709" t="s">
        <v>136</v>
      </c>
      <c r="E894" s="709" t="s">
        <v>8432</v>
      </c>
      <c r="F894" s="716">
        <v>70.19</v>
      </c>
      <c r="G894" s="716">
        <v>68.510000000000005</v>
      </c>
      <c r="H894" s="225">
        <f t="shared" si="13"/>
        <v>70.19</v>
      </c>
    </row>
    <row r="895" spans="1:8" x14ac:dyDescent="0.3">
      <c r="A895" s="401"/>
      <c r="B895" s="709">
        <v>1872</v>
      </c>
      <c r="C895" s="710" t="s">
        <v>9273</v>
      </c>
      <c r="D895" s="709" t="s">
        <v>136</v>
      </c>
      <c r="E895" s="709" t="s">
        <v>8432</v>
      </c>
      <c r="F895" s="716">
        <v>3.05</v>
      </c>
      <c r="G895" s="716">
        <v>2.0099999999999998</v>
      </c>
      <c r="H895" s="225">
        <f t="shared" si="13"/>
        <v>3.05</v>
      </c>
    </row>
    <row r="896" spans="1:8" x14ac:dyDescent="0.3">
      <c r="A896" s="401"/>
      <c r="B896" s="709">
        <v>1873</v>
      </c>
      <c r="C896" s="710" t="s">
        <v>9274</v>
      </c>
      <c r="D896" s="709" t="s">
        <v>136</v>
      </c>
      <c r="E896" s="709" t="s">
        <v>8432</v>
      </c>
      <c r="F896" s="716">
        <v>6.06</v>
      </c>
      <c r="G896" s="716">
        <v>3.99</v>
      </c>
      <c r="H896" s="225">
        <f t="shared" si="13"/>
        <v>6.06</v>
      </c>
    </row>
    <row r="897" spans="1:8" x14ac:dyDescent="0.3">
      <c r="A897" s="401"/>
      <c r="B897" s="709">
        <v>14055</v>
      </c>
      <c r="C897" s="710" t="s">
        <v>9275</v>
      </c>
      <c r="D897" s="709" t="s">
        <v>136</v>
      </c>
      <c r="E897" s="709" t="s">
        <v>8432</v>
      </c>
      <c r="F897" s="716">
        <v>641.39</v>
      </c>
      <c r="G897" s="716">
        <v>626.04</v>
      </c>
      <c r="H897" s="225">
        <f t="shared" si="13"/>
        <v>641.39</v>
      </c>
    </row>
    <row r="898" spans="1:8" x14ac:dyDescent="0.3">
      <c r="A898" s="401"/>
      <c r="B898" s="709">
        <v>11247</v>
      </c>
      <c r="C898" s="710" t="s">
        <v>9276</v>
      </c>
      <c r="D898" s="709" t="s">
        <v>136</v>
      </c>
      <c r="E898" s="709" t="s">
        <v>8432</v>
      </c>
      <c r="F898" s="716">
        <v>1349.62</v>
      </c>
      <c r="G898" s="716">
        <v>1317.32</v>
      </c>
      <c r="H898" s="225">
        <f t="shared" si="13"/>
        <v>1349.62</v>
      </c>
    </row>
    <row r="899" spans="1:8" x14ac:dyDescent="0.3">
      <c r="A899" s="401"/>
      <c r="B899" s="709">
        <v>11250</v>
      </c>
      <c r="C899" s="710" t="s">
        <v>9277</v>
      </c>
      <c r="D899" s="709" t="s">
        <v>136</v>
      </c>
      <c r="E899" s="709" t="s">
        <v>8432</v>
      </c>
      <c r="F899" s="716">
        <v>58.1</v>
      </c>
      <c r="G899" s="716">
        <v>56.71</v>
      </c>
      <c r="H899" s="225">
        <f t="shared" si="13"/>
        <v>58.1</v>
      </c>
    </row>
    <row r="900" spans="1:8" x14ac:dyDescent="0.3">
      <c r="A900" s="401"/>
      <c r="B900" s="709">
        <v>11249</v>
      </c>
      <c r="C900" s="710" t="s">
        <v>9278</v>
      </c>
      <c r="D900" s="709" t="s">
        <v>136</v>
      </c>
      <c r="E900" s="709" t="s">
        <v>8432</v>
      </c>
      <c r="F900" s="716">
        <v>2636.29</v>
      </c>
      <c r="G900" s="716">
        <v>2573.1999999999998</v>
      </c>
      <c r="H900" s="225">
        <f t="shared" si="13"/>
        <v>2636.29</v>
      </c>
    </row>
    <row r="901" spans="1:8" x14ac:dyDescent="0.3">
      <c r="A901" s="401"/>
      <c r="B901" s="709">
        <v>11251</v>
      </c>
      <c r="C901" s="710" t="s">
        <v>9279</v>
      </c>
      <c r="D901" s="709" t="s">
        <v>136</v>
      </c>
      <c r="E901" s="709" t="s">
        <v>8432</v>
      </c>
      <c r="F901" s="716">
        <v>128.69999999999999</v>
      </c>
      <c r="G901" s="716">
        <v>125.62</v>
      </c>
      <c r="H901" s="225">
        <f t="shared" si="13"/>
        <v>128.69999999999999</v>
      </c>
    </row>
    <row r="902" spans="1:8" x14ac:dyDescent="0.3">
      <c r="A902" s="401"/>
      <c r="B902" s="709">
        <v>11253</v>
      </c>
      <c r="C902" s="710" t="s">
        <v>9280</v>
      </c>
      <c r="D902" s="709" t="s">
        <v>136</v>
      </c>
      <c r="E902" s="709" t="s">
        <v>8432</v>
      </c>
      <c r="F902" s="716">
        <v>213.27</v>
      </c>
      <c r="G902" s="716">
        <v>208.17</v>
      </c>
      <c r="H902" s="225">
        <f t="shared" si="13"/>
        <v>213.27</v>
      </c>
    </row>
    <row r="903" spans="1:8" x14ac:dyDescent="0.3">
      <c r="A903" s="401"/>
      <c r="B903" s="709">
        <v>11255</v>
      </c>
      <c r="C903" s="710" t="s">
        <v>9281</v>
      </c>
      <c r="D903" s="709" t="s">
        <v>136</v>
      </c>
      <c r="E903" s="709" t="s">
        <v>8432</v>
      </c>
      <c r="F903" s="716">
        <v>318.83999999999997</v>
      </c>
      <c r="G903" s="716">
        <v>311.20999999999998</v>
      </c>
      <c r="H903" s="225">
        <f t="shared" si="13"/>
        <v>318.83999999999997</v>
      </c>
    </row>
    <row r="904" spans="1:8" x14ac:dyDescent="0.3">
      <c r="A904" s="401"/>
      <c r="B904" s="709">
        <v>11256</v>
      </c>
      <c r="C904" s="710" t="s">
        <v>9282</v>
      </c>
      <c r="D904" s="709" t="s">
        <v>136</v>
      </c>
      <c r="E904" s="709" t="s">
        <v>8432</v>
      </c>
      <c r="F904" s="716">
        <v>399.37</v>
      </c>
      <c r="G904" s="716">
        <v>389.82</v>
      </c>
      <c r="H904" s="225">
        <f t="shared" si="13"/>
        <v>399.37</v>
      </c>
    </row>
    <row r="905" spans="1:8" x14ac:dyDescent="0.3">
      <c r="A905" s="401"/>
      <c r="B905" s="709">
        <v>39693</v>
      </c>
      <c r="C905" s="710" t="s">
        <v>9283</v>
      </c>
      <c r="D905" s="709" t="s">
        <v>136</v>
      </c>
      <c r="E905" s="709" t="s">
        <v>8432</v>
      </c>
      <c r="F905" s="716">
        <v>2508.27</v>
      </c>
      <c r="G905" s="716">
        <v>2448.25</v>
      </c>
      <c r="H905" s="225">
        <f t="shared" si="13"/>
        <v>2508.27</v>
      </c>
    </row>
    <row r="906" spans="1:8" x14ac:dyDescent="0.3">
      <c r="A906" s="401"/>
      <c r="B906" s="709">
        <v>39692</v>
      </c>
      <c r="C906" s="710" t="s">
        <v>9284</v>
      </c>
      <c r="D906" s="709" t="s">
        <v>136</v>
      </c>
      <c r="E906" s="709" t="s">
        <v>8432</v>
      </c>
      <c r="F906" s="716">
        <v>802.59</v>
      </c>
      <c r="G906" s="716">
        <v>783.38</v>
      </c>
      <c r="H906" s="225">
        <f t="shared" si="13"/>
        <v>802.59</v>
      </c>
    </row>
    <row r="907" spans="1:8" x14ac:dyDescent="0.3">
      <c r="A907" s="401"/>
      <c r="B907" s="709">
        <v>1062</v>
      </c>
      <c r="C907" s="710" t="s">
        <v>9285</v>
      </c>
      <c r="D907" s="709" t="s">
        <v>136</v>
      </c>
      <c r="E907" s="709" t="s">
        <v>8432</v>
      </c>
      <c r="F907" s="716">
        <v>254.35</v>
      </c>
      <c r="G907" s="716">
        <v>248.27</v>
      </c>
      <c r="H907" s="225">
        <f t="shared" ref="H907:H970" si="14">IF(F907&gt;0,F907,G907)</f>
        <v>254.35</v>
      </c>
    </row>
    <row r="908" spans="1:8" x14ac:dyDescent="0.3">
      <c r="A908" s="401"/>
      <c r="B908" s="709">
        <v>39686</v>
      </c>
      <c r="C908" s="710" t="s">
        <v>9286</v>
      </c>
      <c r="D908" s="709" t="s">
        <v>136</v>
      </c>
      <c r="E908" s="709" t="s">
        <v>8432</v>
      </c>
      <c r="F908" s="716">
        <v>411.85</v>
      </c>
      <c r="G908" s="716">
        <v>402</v>
      </c>
      <c r="H908" s="225">
        <f t="shared" si="14"/>
        <v>411.85</v>
      </c>
    </row>
    <row r="909" spans="1:8" x14ac:dyDescent="0.3">
      <c r="A909" s="401"/>
      <c r="B909" s="709">
        <v>43095</v>
      </c>
      <c r="C909" s="710" t="s">
        <v>9287</v>
      </c>
      <c r="D909" s="709" t="s">
        <v>136</v>
      </c>
      <c r="E909" s="709" t="s">
        <v>8432</v>
      </c>
      <c r="F909" s="716">
        <v>176.26</v>
      </c>
      <c r="G909" s="716">
        <v>144.18</v>
      </c>
      <c r="H909" s="225">
        <f t="shared" si="14"/>
        <v>176.26</v>
      </c>
    </row>
    <row r="910" spans="1:8" x14ac:dyDescent="0.3">
      <c r="A910" s="401"/>
      <c r="B910" s="709">
        <v>1871</v>
      </c>
      <c r="C910" s="710" t="s">
        <v>9288</v>
      </c>
      <c r="D910" s="709" t="s">
        <v>136</v>
      </c>
      <c r="E910" s="709" t="s">
        <v>8432</v>
      </c>
      <c r="F910" s="716">
        <v>5.46</v>
      </c>
      <c r="G910" s="716">
        <v>3.6</v>
      </c>
      <c r="H910" s="225">
        <f t="shared" si="14"/>
        <v>5.46</v>
      </c>
    </row>
    <row r="911" spans="1:8" x14ac:dyDescent="0.3">
      <c r="A911" s="401"/>
      <c r="B911" s="709">
        <v>12001</v>
      </c>
      <c r="C911" s="710" t="s">
        <v>9289</v>
      </c>
      <c r="D911" s="709" t="s">
        <v>136</v>
      </c>
      <c r="E911" s="709" t="s">
        <v>8432</v>
      </c>
      <c r="F911" s="716">
        <v>7.89</v>
      </c>
      <c r="G911" s="716">
        <v>5.2</v>
      </c>
      <c r="H911" s="225">
        <f t="shared" si="14"/>
        <v>7.89</v>
      </c>
    </row>
    <row r="912" spans="1:8" x14ac:dyDescent="0.3">
      <c r="A912" s="401"/>
      <c r="B912" s="709">
        <v>11882</v>
      </c>
      <c r="C912" s="710" t="s">
        <v>9290</v>
      </c>
      <c r="D912" s="709" t="s">
        <v>136</v>
      </c>
      <c r="E912" s="709" t="s">
        <v>8432</v>
      </c>
      <c r="F912" s="716">
        <v>142.24</v>
      </c>
      <c r="G912" s="716">
        <v>137.88999999999999</v>
      </c>
      <c r="H912" s="225">
        <f t="shared" si="14"/>
        <v>142.24</v>
      </c>
    </row>
    <row r="913" spans="1:8" x14ac:dyDescent="0.3">
      <c r="A913" s="401"/>
      <c r="B913" s="709">
        <v>1068</v>
      </c>
      <c r="C913" s="710" t="s">
        <v>9291</v>
      </c>
      <c r="D913" s="709" t="s">
        <v>136</v>
      </c>
      <c r="E913" s="709" t="s">
        <v>8432</v>
      </c>
      <c r="F913" s="716">
        <v>1677.73</v>
      </c>
      <c r="G913" s="716">
        <v>1637.58</v>
      </c>
      <c r="H913" s="225">
        <f t="shared" si="14"/>
        <v>1677.73</v>
      </c>
    </row>
    <row r="914" spans="1:8" x14ac:dyDescent="0.3">
      <c r="A914" s="401"/>
      <c r="B914" s="709">
        <v>39690</v>
      </c>
      <c r="C914" s="710" t="s">
        <v>9292</v>
      </c>
      <c r="D914" s="709" t="s">
        <v>136</v>
      </c>
      <c r="E914" s="709" t="s">
        <v>8432</v>
      </c>
      <c r="F914" s="716">
        <v>2814.68</v>
      </c>
      <c r="G914" s="716">
        <v>2747.32</v>
      </c>
      <c r="H914" s="225">
        <f t="shared" si="14"/>
        <v>2814.68</v>
      </c>
    </row>
    <row r="915" spans="1:8" x14ac:dyDescent="0.3">
      <c r="A915" s="401"/>
      <c r="B915" s="709">
        <v>39691</v>
      </c>
      <c r="C915" s="710" t="s">
        <v>9293</v>
      </c>
      <c r="D915" s="709" t="s">
        <v>136</v>
      </c>
      <c r="E915" s="709" t="s">
        <v>8432</v>
      </c>
      <c r="F915" s="716">
        <v>3540.08</v>
      </c>
      <c r="G915" s="716">
        <v>3455.36</v>
      </c>
      <c r="H915" s="225">
        <f t="shared" si="14"/>
        <v>3540.08</v>
      </c>
    </row>
    <row r="916" spans="1:8" x14ac:dyDescent="0.3">
      <c r="A916" s="401"/>
      <c r="B916" s="709">
        <v>39808</v>
      </c>
      <c r="C916" s="710" t="s">
        <v>9294</v>
      </c>
      <c r="D916" s="709" t="s">
        <v>136</v>
      </c>
      <c r="E916" s="709" t="s">
        <v>8432</v>
      </c>
      <c r="F916" s="716">
        <v>92.02</v>
      </c>
      <c r="G916" s="716">
        <v>75.27</v>
      </c>
      <c r="H916" s="225">
        <f t="shared" si="14"/>
        <v>92.02</v>
      </c>
    </row>
    <row r="917" spans="1:8" x14ac:dyDescent="0.3">
      <c r="A917" s="401"/>
      <c r="B917" s="709">
        <v>39809</v>
      </c>
      <c r="C917" s="710" t="s">
        <v>9295</v>
      </c>
      <c r="D917" s="709" t="s">
        <v>136</v>
      </c>
      <c r="E917" s="709" t="s">
        <v>8432</v>
      </c>
      <c r="F917" s="716">
        <v>218.26</v>
      </c>
      <c r="G917" s="716">
        <v>178.54</v>
      </c>
      <c r="H917" s="225">
        <f t="shared" si="14"/>
        <v>218.26</v>
      </c>
    </row>
    <row r="918" spans="1:8" x14ac:dyDescent="0.3">
      <c r="A918" s="401"/>
      <c r="B918" s="709">
        <v>43439</v>
      </c>
      <c r="C918" s="710" t="s">
        <v>9296</v>
      </c>
      <c r="D918" s="709" t="s">
        <v>136</v>
      </c>
      <c r="E918" s="709" t="s">
        <v>8432</v>
      </c>
      <c r="F918" s="716">
        <v>652.94000000000005</v>
      </c>
      <c r="G918" s="716">
        <v>632.94000000000005</v>
      </c>
      <c r="H918" s="225">
        <f t="shared" si="14"/>
        <v>652.94000000000005</v>
      </c>
    </row>
    <row r="919" spans="1:8" x14ac:dyDescent="0.3">
      <c r="A919" s="401"/>
      <c r="B919" s="709">
        <v>5103</v>
      </c>
      <c r="C919" s="710" t="s">
        <v>9297</v>
      </c>
      <c r="D919" s="709" t="s">
        <v>136</v>
      </c>
      <c r="E919" s="709" t="s">
        <v>8432</v>
      </c>
      <c r="F919" s="716">
        <v>34.69</v>
      </c>
      <c r="G919" s="716">
        <v>27.93</v>
      </c>
      <c r="H919" s="225">
        <f t="shared" si="14"/>
        <v>34.69</v>
      </c>
    </row>
    <row r="920" spans="1:8" x14ac:dyDescent="0.3">
      <c r="A920" s="401"/>
      <c r="B920" s="709">
        <v>11880</v>
      </c>
      <c r="C920" s="710" t="s">
        <v>9298</v>
      </c>
      <c r="D920" s="709" t="s">
        <v>136</v>
      </c>
      <c r="E920" s="709" t="s">
        <v>8432</v>
      </c>
      <c r="F920" s="716">
        <v>145.91</v>
      </c>
      <c r="G920" s="716">
        <v>117.5</v>
      </c>
      <c r="H920" s="225">
        <f t="shared" si="14"/>
        <v>145.91</v>
      </c>
    </row>
    <row r="921" spans="1:8" x14ac:dyDescent="0.3">
      <c r="A921" s="401"/>
      <c r="B921" s="709">
        <v>11714</v>
      </c>
      <c r="C921" s="710" t="s">
        <v>9299</v>
      </c>
      <c r="D921" s="709" t="s">
        <v>136</v>
      </c>
      <c r="E921" s="709" t="s">
        <v>8432</v>
      </c>
      <c r="F921" s="716">
        <v>99.4</v>
      </c>
      <c r="G921" s="716">
        <v>80.05</v>
      </c>
      <c r="H921" s="225">
        <f t="shared" si="14"/>
        <v>99.4</v>
      </c>
    </row>
    <row r="922" spans="1:8" x14ac:dyDescent="0.3">
      <c r="A922" s="401"/>
      <c r="B922" s="709">
        <v>11712</v>
      </c>
      <c r="C922" s="710" t="s">
        <v>9300</v>
      </c>
      <c r="D922" s="709" t="s">
        <v>136</v>
      </c>
      <c r="E922" s="709" t="s">
        <v>8438</v>
      </c>
      <c r="F922" s="716">
        <v>64.91</v>
      </c>
      <c r="G922" s="716">
        <v>52.27</v>
      </c>
      <c r="H922" s="225">
        <f t="shared" si="14"/>
        <v>64.91</v>
      </c>
    </row>
    <row r="923" spans="1:8" x14ac:dyDescent="0.3">
      <c r="A923" s="401"/>
      <c r="B923" s="709">
        <v>11717</v>
      </c>
      <c r="C923" s="710" t="s">
        <v>9301</v>
      </c>
      <c r="D923" s="709" t="s">
        <v>136</v>
      </c>
      <c r="E923" s="709" t="s">
        <v>8432</v>
      </c>
      <c r="F923" s="716">
        <v>78.25</v>
      </c>
      <c r="G923" s="716">
        <v>63.01</v>
      </c>
      <c r="H923" s="225">
        <f t="shared" si="14"/>
        <v>78.25</v>
      </c>
    </row>
    <row r="924" spans="1:8" x14ac:dyDescent="0.3">
      <c r="A924" s="401"/>
      <c r="B924" s="709">
        <v>1106</v>
      </c>
      <c r="C924" s="710" t="s">
        <v>9302</v>
      </c>
      <c r="D924" s="709" t="s">
        <v>175</v>
      </c>
      <c r="E924" s="709" t="s">
        <v>8438</v>
      </c>
      <c r="F924" s="716">
        <v>1.06</v>
      </c>
      <c r="G924" s="716">
        <v>1.1499999999999999</v>
      </c>
      <c r="H924" s="225">
        <f t="shared" si="14"/>
        <v>1.06</v>
      </c>
    </row>
    <row r="925" spans="1:8" x14ac:dyDescent="0.3">
      <c r="A925" s="401"/>
      <c r="B925" s="709">
        <v>11161</v>
      </c>
      <c r="C925" s="710" t="s">
        <v>9303</v>
      </c>
      <c r="D925" s="709" t="s">
        <v>175</v>
      </c>
      <c r="E925" s="709" t="s">
        <v>8432</v>
      </c>
      <c r="F925" s="716">
        <v>1.77</v>
      </c>
      <c r="G925" s="716">
        <v>1.92</v>
      </c>
      <c r="H925" s="225">
        <f t="shared" si="14"/>
        <v>1.77</v>
      </c>
    </row>
    <row r="926" spans="1:8" x14ac:dyDescent="0.3">
      <c r="A926" s="401"/>
      <c r="B926" s="709">
        <v>1107</v>
      </c>
      <c r="C926" s="710" t="s">
        <v>9304</v>
      </c>
      <c r="D926" s="709" t="s">
        <v>175</v>
      </c>
      <c r="E926" s="709" t="s">
        <v>8432</v>
      </c>
      <c r="F926" s="716">
        <v>0.9</v>
      </c>
      <c r="G926" s="716">
        <v>0.98</v>
      </c>
      <c r="H926" s="225">
        <f t="shared" si="14"/>
        <v>0.9</v>
      </c>
    </row>
    <row r="927" spans="1:8" x14ac:dyDescent="0.3">
      <c r="A927" s="401"/>
      <c r="B927" s="709">
        <v>44479</v>
      </c>
      <c r="C927" s="710" t="s">
        <v>9305</v>
      </c>
      <c r="D927" s="709" t="s">
        <v>175</v>
      </c>
      <c r="E927" s="709" t="s">
        <v>8432</v>
      </c>
      <c r="F927" s="716">
        <v>0.15</v>
      </c>
      <c r="G927" s="716">
        <v>0.13</v>
      </c>
      <c r="H927" s="225">
        <f t="shared" si="14"/>
        <v>0.15</v>
      </c>
    </row>
    <row r="928" spans="1:8" x14ac:dyDescent="0.3">
      <c r="A928" s="401"/>
      <c r="B928" s="709">
        <v>4759</v>
      </c>
      <c r="C928" s="710" t="s">
        <v>9306</v>
      </c>
      <c r="D928" s="709" t="s">
        <v>234</v>
      </c>
      <c r="E928" s="709" t="s">
        <v>8432</v>
      </c>
      <c r="F928" s="716">
        <v>20.47</v>
      </c>
      <c r="G928" s="716">
        <v>27.37</v>
      </c>
      <c r="H928" s="225">
        <f t="shared" si="14"/>
        <v>20.47</v>
      </c>
    </row>
    <row r="929" spans="1:8" x14ac:dyDescent="0.3">
      <c r="A929" s="401"/>
      <c r="B929" s="709">
        <v>41068</v>
      </c>
      <c r="C929" s="710" t="s">
        <v>9307</v>
      </c>
      <c r="D929" s="709" t="s">
        <v>208</v>
      </c>
      <c r="E929" s="709" t="s">
        <v>8432</v>
      </c>
      <c r="F929" s="716">
        <v>3598.19</v>
      </c>
      <c r="G929" s="716">
        <v>4797.79</v>
      </c>
      <c r="H929" s="225">
        <f t="shared" si="14"/>
        <v>3598.19</v>
      </c>
    </row>
    <row r="930" spans="1:8" x14ac:dyDescent="0.3">
      <c r="A930" s="401"/>
      <c r="B930" s="709">
        <v>12618</v>
      </c>
      <c r="C930" s="710" t="s">
        <v>9308</v>
      </c>
      <c r="D930" s="709" t="s">
        <v>136</v>
      </c>
      <c r="E930" s="709" t="s">
        <v>8432</v>
      </c>
      <c r="F930" s="716">
        <v>219.93</v>
      </c>
      <c r="G930" s="716">
        <v>222.06</v>
      </c>
      <c r="H930" s="225">
        <f t="shared" si="14"/>
        <v>219.93</v>
      </c>
    </row>
    <row r="931" spans="1:8" x14ac:dyDescent="0.3">
      <c r="A931" s="401"/>
      <c r="B931" s="709">
        <v>1108</v>
      </c>
      <c r="C931" s="710" t="s">
        <v>9309</v>
      </c>
      <c r="D931" s="709" t="s">
        <v>159</v>
      </c>
      <c r="E931" s="709" t="s">
        <v>8432</v>
      </c>
      <c r="F931" s="716">
        <v>27.36</v>
      </c>
      <c r="G931" s="716">
        <v>26.7</v>
      </c>
      <c r="H931" s="225">
        <f t="shared" si="14"/>
        <v>27.36</v>
      </c>
    </row>
    <row r="932" spans="1:8" x14ac:dyDescent="0.3">
      <c r="A932" s="401"/>
      <c r="B932" s="709">
        <v>1117</v>
      </c>
      <c r="C932" s="710" t="s">
        <v>9310</v>
      </c>
      <c r="D932" s="709" t="s">
        <v>159</v>
      </c>
      <c r="E932" s="709" t="s">
        <v>8432</v>
      </c>
      <c r="F932" s="716">
        <v>27.57</v>
      </c>
      <c r="G932" s="716">
        <v>26.91</v>
      </c>
      <c r="H932" s="225">
        <f t="shared" si="14"/>
        <v>27.57</v>
      </c>
    </row>
    <row r="933" spans="1:8" x14ac:dyDescent="0.3">
      <c r="A933" s="401"/>
      <c r="B933" s="709">
        <v>1118</v>
      </c>
      <c r="C933" s="710" t="s">
        <v>9311</v>
      </c>
      <c r="D933" s="709" t="s">
        <v>159</v>
      </c>
      <c r="E933" s="709" t="s">
        <v>8432</v>
      </c>
      <c r="F933" s="716">
        <v>32.590000000000003</v>
      </c>
      <c r="G933" s="716">
        <v>31.81</v>
      </c>
      <c r="H933" s="225">
        <f t="shared" si="14"/>
        <v>32.590000000000003</v>
      </c>
    </row>
    <row r="934" spans="1:8" x14ac:dyDescent="0.3">
      <c r="A934" s="401"/>
      <c r="B934" s="709">
        <v>1110</v>
      </c>
      <c r="C934" s="710" t="s">
        <v>9312</v>
      </c>
      <c r="D934" s="709" t="s">
        <v>159</v>
      </c>
      <c r="E934" s="709" t="s">
        <v>8432</v>
      </c>
      <c r="F934" s="716">
        <v>32.590000000000003</v>
      </c>
      <c r="G934" s="716">
        <v>31.81</v>
      </c>
      <c r="H934" s="225">
        <f t="shared" si="14"/>
        <v>32.590000000000003</v>
      </c>
    </row>
    <row r="935" spans="1:8" x14ac:dyDescent="0.3">
      <c r="A935" s="401"/>
      <c r="B935" s="709">
        <v>40784</v>
      </c>
      <c r="C935" s="710" t="s">
        <v>9313</v>
      </c>
      <c r="D935" s="709" t="s">
        <v>159</v>
      </c>
      <c r="E935" s="709" t="s">
        <v>8432</v>
      </c>
      <c r="F935" s="716">
        <v>89.89</v>
      </c>
      <c r="G935" s="716">
        <v>87.74</v>
      </c>
      <c r="H935" s="225">
        <f t="shared" si="14"/>
        <v>89.89</v>
      </c>
    </row>
    <row r="936" spans="1:8" x14ac:dyDescent="0.3">
      <c r="A936" s="401"/>
      <c r="B936" s="709">
        <v>40782</v>
      </c>
      <c r="C936" s="710" t="s">
        <v>9314</v>
      </c>
      <c r="D936" s="709" t="s">
        <v>159</v>
      </c>
      <c r="E936" s="709" t="s">
        <v>8432</v>
      </c>
      <c r="F936" s="716">
        <v>35.270000000000003</v>
      </c>
      <c r="G936" s="716">
        <v>34.43</v>
      </c>
      <c r="H936" s="225">
        <f t="shared" si="14"/>
        <v>35.270000000000003</v>
      </c>
    </row>
    <row r="937" spans="1:8" x14ac:dyDescent="0.3">
      <c r="A937" s="401"/>
      <c r="B937" s="709">
        <v>40783</v>
      </c>
      <c r="C937" s="710" t="s">
        <v>9315</v>
      </c>
      <c r="D937" s="709" t="s">
        <v>159</v>
      </c>
      <c r="E937" s="709" t="s">
        <v>8432</v>
      </c>
      <c r="F937" s="716">
        <v>45.95</v>
      </c>
      <c r="G937" s="716">
        <v>44.85</v>
      </c>
      <c r="H937" s="225">
        <f t="shared" si="14"/>
        <v>45.95</v>
      </c>
    </row>
    <row r="938" spans="1:8" x14ac:dyDescent="0.3">
      <c r="A938" s="401"/>
      <c r="B938" s="709">
        <v>1109</v>
      </c>
      <c r="C938" s="710" t="s">
        <v>9316</v>
      </c>
      <c r="D938" s="709" t="s">
        <v>159</v>
      </c>
      <c r="E938" s="709" t="s">
        <v>8432</v>
      </c>
      <c r="F938" s="716">
        <v>27.36</v>
      </c>
      <c r="G938" s="716">
        <v>26.7</v>
      </c>
      <c r="H938" s="225">
        <f t="shared" si="14"/>
        <v>27.36</v>
      </c>
    </row>
    <row r="939" spans="1:8" x14ac:dyDescent="0.3">
      <c r="A939" s="401"/>
      <c r="B939" s="709">
        <v>1119</v>
      </c>
      <c r="C939" s="710" t="s">
        <v>9317</v>
      </c>
      <c r="D939" s="709" t="s">
        <v>159</v>
      </c>
      <c r="E939" s="709" t="s">
        <v>8432</v>
      </c>
      <c r="F939" s="716">
        <v>17.63</v>
      </c>
      <c r="G939" s="716">
        <v>17.21</v>
      </c>
      <c r="H939" s="225">
        <f t="shared" si="14"/>
        <v>17.63</v>
      </c>
    </row>
    <row r="940" spans="1:8" x14ac:dyDescent="0.3">
      <c r="A940" s="401"/>
      <c r="B940" s="709">
        <v>13115</v>
      </c>
      <c r="C940" s="710" t="s">
        <v>9318</v>
      </c>
      <c r="D940" s="709" t="s">
        <v>159</v>
      </c>
      <c r="E940" s="709" t="s">
        <v>8432</v>
      </c>
      <c r="F940" s="716">
        <v>26.75</v>
      </c>
      <c r="G940" s="716">
        <v>29.24</v>
      </c>
      <c r="H940" s="225">
        <f t="shared" si="14"/>
        <v>26.75</v>
      </c>
    </row>
    <row r="941" spans="1:8" x14ac:dyDescent="0.3">
      <c r="A941" s="401"/>
      <c r="B941" s="709">
        <v>10541</v>
      </c>
      <c r="C941" s="710" t="s">
        <v>9319</v>
      </c>
      <c r="D941" s="709" t="s">
        <v>159</v>
      </c>
      <c r="E941" s="709" t="s">
        <v>8432</v>
      </c>
      <c r="F941" s="716">
        <v>32.69</v>
      </c>
      <c r="G941" s="716">
        <v>35.729999999999997</v>
      </c>
      <c r="H941" s="225">
        <f t="shared" si="14"/>
        <v>32.69</v>
      </c>
    </row>
    <row r="942" spans="1:8" x14ac:dyDescent="0.3">
      <c r="A942" s="401"/>
      <c r="B942" s="709">
        <v>10542</v>
      </c>
      <c r="C942" s="710" t="s">
        <v>9320</v>
      </c>
      <c r="D942" s="709" t="s">
        <v>159</v>
      </c>
      <c r="E942" s="709" t="s">
        <v>8432</v>
      </c>
      <c r="F942" s="716">
        <v>42.75</v>
      </c>
      <c r="G942" s="716">
        <v>46.73</v>
      </c>
      <c r="H942" s="225">
        <f t="shared" si="14"/>
        <v>42.75</v>
      </c>
    </row>
    <row r="943" spans="1:8" x14ac:dyDescent="0.3">
      <c r="A943" s="401"/>
      <c r="B943" s="709">
        <v>10543</v>
      </c>
      <c r="C943" s="710" t="s">
        <v>9321</v>
      </c>
      <c r="D943" s="709" t="s">
        <v>159</v>
      </c>
      <c r="E943" s="709" t="s">
        <v>8432</v>
      </c>
      <c r="F943" s="716">
        <v>69.37</v>
      </c>
      <c r="G943" s="716">
        <v>75.819999999999993</v>
      </c>
      <c r="H943" s="225">
        <f t="shared" si="14"/>
        <v>69.37</v>
      </c>
    </row>
    <row r="944" spans="1:8" x14ac:dyDescent="0.3">
      <c r="A944" s="401"/>
      <c r="B944" s="709">
        <v>10544</v>
      </c>
      <c r="C944" s="710" t="s">
        <v>9322</v>
      </c>
      <c r="D944" s="709" t="s">
        <v>159</v>
      </c>
      <c r="E944" s="709" t="s">
        <v>8432</v>
      </c>
      <c r="F944" s="716">
        <v>89.72</v>
      </c>
      <c r="G944" s="716">
        <v>98.07</v>
      </c>
      <c r="H944" s="225">
        <f t="shared" si="14"/>
        <v>89.72</v>
      </c>
    </row>
    <row r="945" spans="1:8" x14ac:dyDescent="0.3">
      <c r="A945" s="401"/>
      <c r="B945" s="709">
        <v>10545</v>
      </c>
      <c r="C945" s="710" t="s">
        <v>9323</v>
      </c>
      <c r="D945" s="709" t="s">
        <v>159</v>
      </c>
      <c r="E945" s="709" t="s">
        <v>8432</v>
      </c>
      <c r="F945" s="716">
        <v>167.67</v>
      </c>
      <c r="G945" s="716">
        <v>183.27</v>
      </c>
      <c r="H945" s="225">
        <f t="shared" si="14"/>
        <v>167.67</v>
      </c>
    </row>
    <row r="946" spans="1:8" x14ac:dyDescent="0.3">
      <c r="A946" s="401"/>
      <c r="B946" s="709">
        <v>38365</v>
      </c>
      <c r="C946" s="710" t="s">
        <v>9324</v>
      </c>
      <c r="D946" s="709" t="s">
        <v>168</v>
      </c>
      <c r="E946" s="709" t="s">
        <v>8432</v>
      </c>
      <c r="F946" s="716">
        <v>2.35</v>
      </c>
      <c r="G946" s="716">
        <v>2.31</v>
      </c>
      <c r="H946" s="225">
        <f t="shared" si="14"/>
        <v>2.35</v>
      </c>
    </row>
    <row r="947" spans="1:8" x14ac:dyDescent="0.3">
      <c r="A947" s="401"/>
      <c r="B947" s="709">
        <v>44056</v>
      </c>
      <c r="C947" s="710" t="s">
        <v>9325</v>
      </c>
      <c r="D947" s="709" t="s">
        <v>136</v>
      </c>
      <c r="E947" s="709" t="s">
        <v>8432</v>
      </c>
      <c r="F947" s="716">
        <v>539394.56999999995</v>
      </c>
      <c r="G947" s="716">
        <v>490767.54</v>
      </c>
      <c r="H947" s="225">
        <f t="shared" si="14"/>
        <v>539394.56999999995</v>
      </c>
    </row>
    <row r="948" spans="1:8" x14ac:dyDescent="0.3">
      <c r="A948" s="401"/>
      <c r="B948" s="709">
        <v>44057</v>
      </c>
      <c r="C948" s="710" t="s">
        <v>9326</v>
      </c>
      <c r="D948" s="709" t="s">
        <v>136</v>
      </c>
      <c r="E948" s="709" t="s">
        <v>8438</v>
      </c>
      <c r="F948" s="716">
        <v>575700</v>
      </c>
      <c r="G948" s="716">
        <v>523800</v>
      </c>
      <c r="H948" s="225">
        <f t="shared" si="14"/>
        <v>575700</v>
      </c>
    </row>
    <row r="949" spans="1:8" x14ac:dyDescent="0.3">
      <c r="A949" s="401"/>
      <c r="B949" s="709">
        <v>37754</v>
      </c>
      <c r="C949" s="710" t="s">
        <v>9327</v>
      </c>
      <c r="D949" s="709" t="s">
        <v>136</v>
      </c>
      <c r="E949" s="709" t="s">
        <v>8432</v>
      </c>
      <c r="F949" s="716">
        <v>595201.19999999995</v>
      </c>
      <c r="G949" s="716">
        <v>541543.14</v>
      </c>
      <c r="H949" s="225">
        <f t="shared" si="14"/>
        <v>595201.19999999995</v>
      </c>
    </row>
    <row r="950" spans="1:8" x14ac:dyDescent="0.3">
      <c r="A950" s="401"/>
      <c r="B950" s="709">
        <v>44058</v>
      </c>
      <c r="C950" s="710" t="s">
        <v>9328</v>
      </c>
      <c r="D950" s="709" t="s">
        <v>136</v>
      </c>
      <c r="E950" s="709" t="s">
        <v>8432</v>
      </c>
      <c r="F950" s="716">
        <v>627564.87</v>
      </c>
      <c r="G950" s="716">
        <v>570989.18999999994</v>
      </c>
      <c r="H950" s="225">
        <f t="shared" si="14"/>
        <v>627564.87</v>
      </c>
    </row>
    <row r="951" spans="1:8" x14ac:dyDescent="0.3">
      <c r="A951" s="401"/>
      <c r="B951" s="709">
        <v>37752</v>
      </c>
      <c r="C951" s="710" t="s">
        <v>9329</v>
      </c>
      <c r="D951" s="709" t="s">
        <v>136</v>
      </c>
      <c r="E951" s="709" t="s">
        <v>8432</v>
      </c>
      <c r="F951" s="716">
        <v>653497.27</v>
      </c>
      <c r="G951" s="716">
        <v>594583.76</v>
      </c>
      <c r="H951" s="225">
        <f t="shared" si="14"/>
        <v>653497.27</v>
      </c>
    </row>
    <row r="952" spans="1:8" x14ac:dyDescent="0.3">
      <c r="A952" s="401"/>
      <c r="B952" s="709">
        <v>37758</v>
      </c>
      <c r="C952" s="710" t="s">
        <v>9330</v>
      </c>
      <c r="D952" s="709" t="s">
        <v>136</v>
      </c>
      <c r="E952" s="709" t="s">
        <v>8432</v>
      </c>
      <c r="F952" s="716">
        <v>823614.03</v>
      </c>
      <c r="G952" s="716">
        <v>749364.3</v>
      </c>
      <c r="H952" s="225">
        <f t="shared" si="14"/>
        <v>823614.03</v>
      </c>
    </row>
    <row r="953" spans="1:8" x14ac:dyDescent="0.3">
      <c r="A953" s="401"/>
      <c r="B953" s="709">
        <v>44060</v>
      </c>
      <c r="C953" s="710" t="s">
        <v>9331</v>
      </c>
      <c r="D953" s="709" t="s">
        <v>136</v>
      </c>
      <c r="E953" s="709" t="s">
        <v>8432</v>
      </c>
      <c r="F953" s="716">
        <v>796644.33</v>
      </c>
      <c r="G953" s="716">
        <v>724825.95</v>
      </c>
      <c r="H953" s="225">
        <f t="shared" si="14"/>
        <v>796644.33</v>
      </c>
    </row>
    <row r="954" spans="1:8" x14ac:dyDescent="0.3">
      <c r="A954" s="401"/>
      <c r="B954" s="709">
        <v>44061</v>
      </c>
      <c r="C954" s="710" t="s">
        <v>9332</v>
      </c>
      <c r="D954" s="709" t="s">
        <v>136</v>
      </c>
      <c r="E954" s="709" t="s">
        <v>8432</v>
      </c>
      <c r="F954" s="716">
        <v>781084.88</v>
      </c>
      <c r="G954" s="716">
        <v>710669.21</v>
      </c>
      <c r="H954" s="225">
        <f t="shared" si="14"/>
        <v>781084.88</v>
      </c>
    </row>
    <row r="955" spans="1:8" x14ac:dyDescent="0.3">
      <c r="A955" s="401"/>
      <c r="B955" s="709">
        <v>1159</v>
      </c>
      <c r="C955" s="710" t="s">
        <v>9333</v>
      </c>
      <c r="D955" s="709" t="s">
        <v>136</v>
      </c>
      <c r="E955" s="709" t="s">
        <v>8438</v>
      </c>
      <c r="F955" s="716">
        <v>281980</v>
      </c>
      <c r="G955" s="716">
        <v>281980</v>
      </c>
      <c r="H955" s="225">
        <f t="shared" si="14"/>
        <v>281980</v>
      </c>
    </row>
    <row r="956" spans="1:8" x14ac:dyDescent="0.3">
      <c r="A956" s="401"/>
      <c r="B956" s="709">
        <v>12114</v>
      </c>
      <c r="C956" s="710" t="s">
        <v>9334</v>
      </c>
      <c r="D956" s="709" t="s">
        <v>136</v>
      </c>
      <c r="E956" s="709" t="s">
        <v>8432</v>
      </c>
      <c r="F956" s="716">
        <v>152.62</v>
      </c>
      <c r="G956" s="716">
        <v>145.99</v>
      </c>
      <c r="H956" s="225">
        <f t="shared" si="14"/>
        <v>152.62</v>
      </c>
    </row>
    <row r="957" spans="1:8" x14ac:dyDescent="0.3">
      <c r="A957" s="401"/>
      <c r="B957" s="709">
        <v>38106</v>
      </c>
      <c r="C957" s="710" t="s">
        <v>9335</v>
      </c>
      <c r="D957" s="709" t="s">
        <v>136</v>
      </c>
      <c r="E957" s="709" t="s">
        <v>8432</v>
      </c>
      <c r="F957" s="716">
        <v>20.74</v>
      </c>
      <c r="G957" s="716">
        <v>19.84</v>
      </c>
      <c r="H957" s="225">
        <f t="shared" si="14"/>
        <v>20.74</v>
      </c>
    </row>
    <row r="958" spans="1:8" x14ac:dyDescent="0.3">
      <c r="A958" s="401"/>
      <c r="B958" s="709">
        <v>38085</v>
      </c>
      <c r="C958" s="710" t="s">
        <v>9336</v>
      </c>
      <c r="D958" s="709" t="s">
        <v>136</v>
      </c>
      <c r="E958" s="709" t="s">
        <v>8432</v>
      </c>
      <c r="F958" s="716">
        <v>24.5</v>
      </c>
      <c r="G958" s="716">
        <v>23.43</v>
      </c>
      <c r="H958" s="225">
        <f t="shared" si="14"/>
        <v>24.5</v>
      </c>
    </row>
    <row r="959" spans="1:8" x14ac:dyDescent="0.3">
      <c r="A959" s="401"/>
      <c r="B959" s="709">
        <v>659</v>
      </c>
      <c r="C959" s="710" t="s">
        <v>9337</v>
      </c>
      <c r="D959" s="709" t="s">
        <v>136</v>
      </c>
      <c r="E959" s="709" t="s">
        <v>8432</v>
      </c>
      <c r="F959" s="716">
        <v>3.67</v>
      </c>
      <c r="G959" s="716">
        <v>3.14</v>
      </c>
      <c r="H959" s="225">
        <f t="shared" si="14"/>
        <v>3.67</v>
      </c>
    </row>
    <row r="960" spans="1:8" x14ac:dyDescent="0.3">
      <c r="A960" s="401"/>
      <c r="B960" s="709">
        <v>660</v>
      </c>
      <c r="C960" s="710" t="s">
        <v>9338</v>
      </c>
      <c r="D960" s="709" t="s">
        <v>136</v>
      </c>
      <c r="E960" s="709" t="s">
        <v>8432</v>
      </c>
      <c r="F960" s="716">
        <v>4.4000000000000004</v>
      </c>
      <c r="G960" s="716">
        <v>3.77</v>
      </c>
      <c r="H960" s="225">
        <f t="shared" si="14"/>
        <v>4.4000000000000004</v>
      </c>
    </row>
    <row r="961" spans="1:8" x14ac:dyDescent="0.3">
      <c r="A961" s="401"/>
      <c r="B961" s="709">
        <v>658</v>
      </c>
      <c r="C961" s="710" t="s">
        <v>9339</v>
      </c>
      <c r="D961" s="709" t="s">
        <v>136</v>
      </c>
      <c r="E961" s="709" t="s">
        <v>8432</v>
      </c>
      <c r="F961" s="716">
        <v>2.48</v>
      </c>
      <c r="G961" s="716">
        <v>2.12</v>
      </c>
      <c r="H961" s="225">
        <f t="shared" si="14"/>
        <v>2.48</v>
      </c>
    </row>
    <row r="962" spans="1:8" x14ac:dyDescent="0.3">
      <c r="A962" s="401"/>
      <c r="B962" s="709">
        <v>38599</v>
      </c>
      <c r="C962" s="710" t="s">
        <v>9340</v>
      </c>
      <c r="D962" s="709" t="s">
        <v>136</v>
      </c>
      <c r="E962" s="709" t="s">
        <v>8432</v>
      </c>
      <c r="F962" s="716">
        <v>7.64</v>
      </c>
      <c r="G962" s="716">
        <v>6.54</v>
      </c>
      <c r="H962" s="225">
        <f t="shared" si="14"/>
        <v>7.64</v>
      </c>
    </row>
    <row r="963" spans="1:8" x14ac:dyDescent="0.3">
      <c r="A963" s="401"/>
      <c r="B963" s="709">
        <v>38596</v>
      </c>
      <c r="C963" s="710" t="s">
        <v>9341</v>
      </c>
      <c r="D963" s="709" t="s">
        <v>136</v>
      </c>
      <c r="E963" s="709" t="s">
        <v>8432</v>
      </c>
      <c r="F963" s="716">
        <v>6.34</v>
      </c>
      <c r="G963" s="716">
        <v>5.43</v>
      </c>
      <c r="H963" s="225">
        <f t="shared" si="14"/>
        <v>6.34</v>
      </c>
    </row>
    <row r="964" spans="1:8" x14ac:dyDescent="0.3">
      <c r="A964" s="401"/>
      <c r="B964" s="709">
        <v>38600</v>
      </c>
      <c r="C964" s="710" t="s">
        <v>9342</v>
      </c>
      <c r="D964" s="709" t="s">
        <v>136</v>
      </c>
      <c r="E964" s="709" t="s">
        <v>8432</v>
      </c>
      <c r="F964" s="716">
        <v>8.1</v>
      </c>
      <c r="G964" s="716">
        <v>6.93</v>
      </c>
      <c r="H964" s="225">
        <f t="shared" si="14"/>
        <v>8.1</v>
      </c>
    </row>
    <row r="965" spans="1:8" x14ac:dyDescent="0.3">
      <c r="A965" s="401"/>
      <c r="B965" s="709">
        <v>38597</v>
      </c>
      <c r="C965" s="710" t="s">
        <v>9343</v>
      </c>
      <c r="D965" s="709" t="s">
        <v>136</v>
      </c>
      <c r="E965" s="709" t="s">
        <v>8432</v>
      </c>
      <c r="F965" s="716">
        <v>6.38</v>
      </c>
      <c r="G965" s="716">
        <v>5.47</v>
      </c>
      <c r="H965" s="225">
        <f t="shared" si="14"/>
        <v>6.38</v>
      </c>
    </row>
    <row r="966" spans="1:8" x14ac:dyDescent="0.3">
      <c r="A966" s="401"/>
      <c r="B966" s="709">
        <v>38548</v>
      </c>
      <c r="C966" s="710" t="s">
        <v>9344</v>
      </c>
      <c r="D966" s="709" t="s">
        <v>136</v>
      </c>
      <c r="E966" s="709" t="s">
        <v>8432</v>
      </c>
      <c r="F966" s="716">
        <v>2.08</v>
      </c>
      <c r="G966" s="716">
        <v>1.97</v>
      </c>
      <c r="H966" s="225">
        <f t="shared" si="14"/>
        <v>2.08</v>
      </c>
    </row>
    <row r="967" spans="1:8" x14ac:dyDescent="0.3">
      <c r="A967" s="401"/>
      <c r="B967" s="709">
        <v>34649</v>
      </c>
      <c r="C967" s="710" t="s">
        <v>9345</v>
      </c>
      <c r="D967" s="709" t="s">
        <v>136</v>
      </c>
      <c r="E967" s="709" t="s">
        <v>8432</v>
      </c>
      <c r="F967" s="716">
        <v>3.06</v>
      </c>
      <c r="G967" s="716">
        <v>2.89</v>
      </c>
      <c r="H967" s="225">
        <f t="shared" si="14"/>
        <v>3.06</v>
      </c>
    </row>
    <row r="968" spans="1:8" x14ac:dyDescent="0.3">
      <c r="A968" s="401"/>
      <c r="B968" s="709">
        <v>34655</v>
      </c>
      <c r="C968" s="710" t="s">
        <v>9346</v>
      </c>
      <c r="D968" s="709" t="s">
        <v>136</v>
      </c>
      <c r="E968" s="709" t="s">
        <v>8432</v>
      </c>
      <c r="F968" s="716">
        <v>4.49</v>
      </c>
      <c r="G968" s="716">
        <v>4.25</v>
      </c>
      <c r="H968" s="225">
        <f t="shared" si="14"/>
        <v>4.49</v>
      </c>
    </row>
    <row r="969" spans="1:8" x14ac:dyDescent="0.3">
      <c r="A969" s="401"/>
      <c r="B969" s="709">
        <v>40607</v>
      </c>
      <c r="C969" s="710" t="s">
        <v>9347</v>
      </c>
      <c r="D969" s="709" t="s">
        <v>136</v>
      </c>
      <c r="E969" s="709" t="s">
        <v>8432</v>
      </c>
      <c r="F969" s="716"/>
      <c r="G969" s="716">
        <v>5.99</v>
      </c>
      <c r="H969" s="225">
        <f t="shared" si="14"/>
        <v>5.99</v>
      </c>
    </row>
    <row r="970" spans="1:8" x14ac:dyDescent="0.3">
      <c r="A970" s="401"/>
      <c r="B970" s="709">
        <v>567</v>
      </c>
      <c r="C970" s="710" t="s">
        <v>9348</v>
      </c>
      <c r="D970" s="709" t="s">
        <v>159</v>
      </c>
      <c r="E970" s="709" t="s">
        <v>8432</v>
      </c>
      <c r="F970" s="716">
        <v>10.56</v>
      </c>
      <c r="G970" s="716">
        <v>11.27</v>
      </c>
      <c r="H970" s="225">
        <f t="shared" si="14"/>
        <v>10.56</v>
      </c>
    </row>
    <row r="971" spans="1:8" x14ac:dyDescent="0.3">
      <c r="A971" s="401"/>
      <c r="B971" s="709">
        <v>574</v>
      </c>
      <c r="C971" s="710" t="s">
        <v>9349</v>
      </c>
      <c r="D971" s="709" t="s">
        <v>159</v>
      </c>
      <c r="E971" s="709" t="s">
        <v>8432</v>
      </c>
      <c r="F971" s="716">
        <v>27.77</v>
      </c>
      <c r="G971" s="716">
        <v>29.64</v>
      </c>
      <c r="H971" s="225">
        <f t="shared" ref="H971:H1034" si="15">IF(F971&gt;0,F971,G971)</f>
        <v>27.77</v>
      </c>
    </row>
    <row r="972" spans="1:8" x14ac:dyDescent="0.3">
      <c r="A972" s="401"/>
      <c r="B972" s="709">
        <v>568</v>
      </c>
      <c r="C972" s="710" t="s">
        <v>9350</v>
      </c>
      <c r="D972" s="709" t="s">
        <v>159</v>
      </c>
      <c r="E972" s="709" t="s">
        <v>8432</v>
      </c>
      <c r="F972" s="716">
        <v>58.52</v>
      </c>
      <c r="G972" s="716">
        <v>62.45</v>
      </c>
      <c r="H972" s="225">
        <f t="shared" si="15"/>
        <v>58.52</v>
      </c>
    </row>
    <row r="973" spans="1:8" x14ac:dyDescent="0.3">
      <c r="A973" s="401"/>
      <c r="B973" s="709">
        <v>4777</v>
      </c>
      <c r="C973" s="710" t="s">
        <v>9351</v>
      </c>
      <c r="D973" s="709" t="s">
        <v>175</v>
      </c>
      <c r="E973" s="709" t="s">
        <v>8432</v>
      </c>
      <c r="F973" s="716">
        <v>8.75</v>
      </c>
      <c r="G973" s="716">
        <v>8.02</v>
      </c>
      <c r="H973" s="225">
        <f t="shared" si="15"/>
        <v>8.75</v>
      </c>
    </row>
    <row r="974" spans="1:8" x14ac:dyDescent="0.3">
      <c r="A974" s="401"/>
      <c r="B974" s="709">
        <v>592</v>
      </c>
      <c r="C974" s="710" t="s">
        <v>9352</v>
      </c>
      <c r="D974" s="709" t="s">
        <v>175</v>
      </c>
      <c r="E974" s="709" t="s">
        <v>8438</v>
      </c>
      <c r="F974" s="716">
        <v>42.25</v>
      </c>
      <c r="G974" s="716">
        <v>40.65</v>
      </c>
      <c r="H974" s="225">
        <f t="shared" si="15"/>
        <v>42.25</v>
      </c>
    </row>
    <row r="975" spans="1:8" x14ac:dyDescent="0.3">
      <c r="A975" s="401"/>
      <c r="B975" s="709">
        <v>586</v>
      </c>
      <c r="C975" s="710" t="s">
        <v>9353</v>
      </c>
      <c r="D975" s="709" t="s">
        <v>159</v>
      </c>
      <c r="E975" s="709" t="s">
        <v>8432</v>
      </c>
      <c r="F975" s="716">
        <v>24.84</v>
      </c>
      <c r="G975" s="716">
        <v>23.9</v>
      </c>
      <c r="H975" s="225">
        <f t="shared" si="15"/>
        <v>24.84</v>
      </c>
    </row>
    <row r="976" spans="1:8" x14ac:dyDescent="0.3">
      <c r="A976" s="401"/>
      <c r="B976" s="709">
        <v>588</v>
      </c>
      <c r="C976" s="710" t="s">
        <v>9354</v>
      </c>
      <c r="D976" s="709" t="s">
        <v>159</v>
      </c>
      <c r="E976" s="709" t="s">
        <v>8432</v>
      </c>
      <c r="F976" s="716">
        <v>39.29</v>
      </c>
      <c r="G976" s="716">
        <v>37.799999999999997</v>
      </c>
      <c r="H976" s="225">
        <f t="shared" si="15"/>
        <v>39.29</v>
      </c>
    </row>
    <row r="977" spans="1:8" x14ac:dyDescent="0.3">
      <c r="A977" s="401"/>
      <c r="B977" s="709">
        <v>591</v>
      </c>
      <c r="C977" s="710" t="s">
        <v>9355</v>
      </c>
      <c r="D977" s="709" t="s">
        <v>175</v>
      </c>
      <c r="E977" s="709" t="s">
        <v>8432</v>
      </c>
      <c r="F977" s="716">
        <v>39.43</v>
      </c>
      <c r="G977" s="716">
        <v>37.93</v>
      </c>
      <c r="H977" s="225">
        <f t="shared" si="15"/>
        <v>39.43</v>
      </c>
    </row>
    <row r="978" spans="1:8" x14ac:dyDescent="0.3">
      <c r="A978" s="401"/>
      <c r="B978" s="709">
        <v>584</v>
      </c>
      <c r="C978" s="710" t="s">
        <v>9356</v>
      </c>
      <c r="D978" s="709" t="s">
        <v>159</v>
      </c>
      <c r="E978" s="709" t="s">
        <v>8432</v>
      </c>
      <c r="F978" s="716">
        <v>41.96</v>
      </c>
      <c r="G978" s="716">
        <v>40.369999999999997</v>
      </c>
      <c r="H978" s="225">
        <f t="shared" si="15"/>
        <v>41.96</v>
      </c>
    </row>
    <row r="979" spans="1:8" x14ac:dyDescent="0.3">
      <c r="A979" s="401"/>
      <c r="B979" s="709">
        <v>589</v>
      </c>
      <c r="C979" s="710" t="s">
        <v>9357</v>
      </c>
      <c r="D979" s="709" t="s">
        <v>159</v>
      </c>
      <c r="E979" s="709" t="s">
        <v>8432</v>
      </c>
      <c r="F979" s="716">
        <v>66.41</v>
      </c>
      <c r="G979" s="716">
        <v>63.9</v>
      </c>
      <c r="H979" s="225">
        <f t="shared" si="15"/>
        <v>66.41</v>
      </c>
    </row>
    <row r="980" spans="1:8" x14ac:dyDescent="0.3">
      <c r="A980" s="401"/>
      <c r="B980" s="709">
        <v>1165</v>
      </c>
      <c r="C980" s="710" t="s">
        <v>9358</v>
      </c>
      <c r="D980" s="709" t="s">
        <v>136</v>
      </c>
      <c r="E980" s="709" t="s">
        <v>8432</v>
      </c>
      <c r="F980" s="716">
        <v>15.24</v>
      </c>
      <c r="G980" s="716">
        <v>20.78</v>
      </c>
      <c r="H980" s="225">
        <f t="shared" si="15"/>
        <v>15.24</v>
      </c>
    </row>
    <row r="981" spans="1:8" x14ac:dyDescent="0.3">
      <c r="A981" s="401"/>
      <c r="B981" s="709">
        <v>1164</v>
      </c>
      <c r="C981" s="710" t="s">
        <v>9359</v>
      </c>
      <c r="D981" s="709" t="s">
        <v>136</v>
      </c>
      <c r="E981" s="709" t="s">
        <v>8432</v>
      </c>
      <c r="F981" s="716">
        <v>12.34</v>
      </c>
      <c r="G981" s="716">
        <v>16.829999999999998</v>
      </c>
      <c r="H981" s="225">
        <f t="shared" si="15"/>
        <v>12.34</v>
      </c>
    </row>
    <row r="982" spans="1:8" x14ac:dyDescent="0.3">
      <c r="A982" s="401"/>
      <c r="B982" s="709">
        <v>1170</v>
      </c>
      <c r="C982" s="710" t="s">
        <v>9360</v>
      </c>
      <c r="D982" s="709" t="s">
        <v>136</v>
      </c>
      <c r="E982" s="709" t="s">
        <v>8432</v>
      </c>
      <c r="F982" s="716">
        <v>8.09</v>
      </c>
      <c r="G982" s="716">
        <v>11.03</v>
      </c>
      <c r="H982" s="225">
        <f t="shared" si="15"/>
        <v>8.09</v>
      </c>
    </row>
    <row r="983" spans="1:8" x14ac:dyDescent="0.3">
      <c r="A983" s="401"/>
      <c r="B983" s="709">
        <v>1162</v>
      </c>
      <c r="C983" s="710" t="s">
        <v>9361</v>
      </c>
      <c r="D983" s="709" t="s">
        <v>136</v>
      </c>
      <c r="E983" s="709" t="s">
        <v>8432</v>
      </c>
      <c r="F983" s="716">
        <v>4.29</v>
      </c>
      <c r="G983" s="716">
        <v>5.85</v>
      </c>
      <c r="H983" s="225">
        <f t="shared" si="15"/>
        <v>4.29</v>
      </c>
    </row>
    <row r="984" spans="1:8" x14ac:dyDescent="0.3">
      <c r="A984" s="401"/>
      <c r="B984" s="709">
        <v>12395</v>
      </c>
      <c r="C984" s="710" t="s">
        <v>9362</v>
      </c>
      <c r="D984" s="709" t="s">
        <v>136</v>
      </c>
      <c r="E984" s="709" t="s">
        <v>8432</v>
      </c>
      <c r="F984" s="716">
        <v>4.17</v>
      </c>
      <c r="G984" s="716">
        <v>5.69</v>
      </c>
      <c r="H984" s="225">
        <f t="shared" si="15"/>
        <v>4.17</v>
      </c>
    </row>
    <row r="985" spans="1:8" x14ac:dyDescent="0.3">
      <c r="A985" s="401"/>
      <c r="B985" s="709">
        <v>1169</v>
      </c>
      <c r="C985" s="710" t="s">
        <v>9363</v>
      </c>
      <c r="D985" s="709" t="s">
        <v>136</v>
      </c>
      <c r="E985" s="709" t="s">
        <v>8432</v>
      </c>
      <c r="F985" s="716">
        <v>39.71</v>
      </c>
      <c r="G985" s="716">
        <v>54.15</v>
      </c>
      <c r="H985" s="225">
        <f t="shared" si="15"/>
        <v>39.71</v>
      </c>
    </row>
    <row r="986" spans="1:8" x14ac:dyDescent="0.3">
      <c r="A986" s="401"/>
      <c r="B986" s="709">
        <v>1166</v>
      </c>
      <c r="C986" s="710" t="s">
        <v>9364</v>
      </c>
      <c r="D986" s="709" t="s">
        <v>136</v>
      </c>
      <c r="E986" s="709" t="s">
        <v>8432</v>
      </c>
      <c r="F986" s="716">
        <v>22.02</v>
      </c>
      <c r="G986" s="716">
        <v>30.02</v>
      </c>
      <c r="H986" s="225">
        <f t="shared" si="15"/>
        <v>22.02</v>
      </c>
    </row>
    <row r="987" spans="1:8" x14ac:dyDescent="0.3">
      <c r="A987" s="401"/>
      <c r="B987" s="709">
        <v>1168</v>
      </c>
      <c r="C987" s="710" t="s">
        <v>9365</v>
      </c>
      <c r="D987" s="709" t="s">
        <v>136</v>
      </c>
      <c r="E987" s="709" t="s">
        <v>8432</v>
      </c>
      <c r="F987" s="716">
        <v>56.61</v>
      </c>
      <c r="G987" s="716">
        <v>77.2</v>
      </c>
      <c r="H987" s="225">
        <f t="shared" si="15"/>
        <v>56.61</v>
      </c>
    </row>
    <row r="988" spans="1:8" x14ac:dyDescent="0.3">
      <c r="A988" s="401"/>
      <c r="B988" s="709">
        <v>1163</v>
      </c>
      <c r="C988" s="710" t="s">
        <v>9366</v>
      </c>
      <c r="D988" s="709" t="s">
        <v>136</v>
      </c>
      <c r="E988" s="709" t="s">
        <v>8432</v>
      </c>
      <c r="F988" s="716">
        <v>5.55</v>
      </c>
      <c r="G988" s="716">
        <v>7.56</v>
      </c>
      <c r="H988" s="225">
        <f t="shared" si="15"/>
        <v>5.55</v>
      </c>
    </row>
    <row r="989" spans="1:8" x14ac:dyDescent="0.3">
      <c r="A989" s="401"/>
      <c r="B989" s="709">
        <v>12396</v>
      </c>
      <c r="C989" s="710" t="s">
        <v>9367</v>
      </c>
      <c r="D989" s="709" t="s">
        <v>136</v>
      </c>
      <c r="E989" s="709" t="s">
        <v>8432</v>
      </c>
      <c r="F989" s="716">
        <v>4.17</v>
      </c>
      <c r="G989" s="716">
        <v>5.69</v>
      </c>
      <c r="H989" s="225">
        <f t="shared" si="15"/>
        <v>4.17</v>
      </c>
    </row>
    <row r="990" spans="1:8" x14ac:dyDescent="0.3">
      <c r="A990" s="401"/>
      <c r="B990" s="709">
        <v>1167</v>
      </c>
      <c r="C990" s="710" t="s">
        <v>9368</v>
      </c>
      <c r="D990" s="709" t="s">
        <v>136</v>
      </c>
      <c r="E990" s="709" t="s">
        <v>8432</v>
      </c>
      <c r="F990" s="716">
        <v>94.7</v>
      </c>
      <c r="G990" s="716">
        <v>129.13</v>
      </c>
      <c r="H990" s="225">
        <f t="shared" si="15"/>
        <v>94.7</v>
      </c>
    </row>
    <row r="991" spans="1:8" x14ac:dyDescent="0.3">
      <c r="A991" s="401"/>
      <c r="B991" s="709">
        <v>36331</v>
      </c>
      <c r="C991" s="710" t="s">
        <v>9369</v>
      </c>
      <c r="D991" s="709" t="s">
        <v>136</v>
      </c>
      <c r="E991" s="709" t="s">
        <v>8432</v>
      </c>
      <c r="F991" s="716">
        <v>2.58</v>
      </c>
      <c r="G991" s="716">
        <v>2.89</v>
      </c>
      <c r="H991" s="225">
        <f t="shared" si="15"/>
        <v>2.58</v>
      </c>
    </row>
    <row r="992" spans="1:8" x14ac:dyDescent="0.3">
      <c r="A992" s="401"/>
      <c r="B992" s="709">
        <v>36346</v>
      </c>
      <c r="C992" s="710" t="s">
        <v>9370</v>
      </c>
      <c r="D992" s="709" t="s">
        <v>136</v>
      </c>
      <c r="E992" s="709" t="s">
        <v>8432</v>
      </c>
      <c r="F992" s="716">
        <v>3.86</v>
      </c>
      <c r="G992" s="716">
        <v>4.33</v>
      </c>
      <c r="H992" s="225">
        <f t="shared" si="15"/>
        <v>3.86</v>
      </c>
    </row>
    <row r="993" spans="1:8" x14ac:dyDescent="0.3">
      <c r="A993" s="401"/>
      <c r="B993" s="709">
        <v>1202</v>
      </c>
      <c r="C993" s="710" t="s">
        <v>9371</v>
      </c>
      <c r="D993" s="709" t="s">
        <v>136</v>
      </c>
      <c r="E993" s="709" t="s">
        <v>8432</v>
      </c>
      <c r="F993" s="716">
        <v>6.13</v>
      </c>
      <c r="G993" s="716">
        <v>6.25</v>
      </c>
      <c r="H993" s="225">
        <f t="shared" si="15"/>
        <v>6.13</v>
      </c>
    </row>
    <row r="994" spans="1:8" x14ac:dyDescent="0.3">
      <c r="A994" s="401"/>
      <c r="B994" s="709">
        <v>1197</v>
      </c>
      <c r="C994" s="710" t="s">
        <v>9372</v>
      </c>
      <c r="D994" s="709" t="s">
        <v>136</v>
      </c>
      <c r="E994" s="709" t="s">
        <v>8432</v>
      </c>
      <c r="F994" s="716">
        <v>2.16</v>
      </c>
      <c r="G994" s="716">
        <v>2.2000000000000002</v>
      </c>
      <c r="H994" s="225">
        <f t="shared" si="15"/>
        <v>2.16</v>
      </c>
    </row>
    <row r="995" spans="1:8" x14ac:dyDescent="0.3">
      <c r="A995" s="401"/>
      <c r="B995" s="709">
        <v>1198</v>
      </c>
      <c r="C995" s="710" t="s">
        <v>9373</v>
      </c>
      <c r="D995" s="709" t="s">
        <v>136</v>
      </c>
      <c r="E995" s="709" t="s">
        <v>8432</v>
      </c>
      <c r="F995" s="716">
        <v>2.83</v>
      </c>
      <c r="G995" s="716">
        <v>2.89</v>
      </c>
      <c r="H995" s="225">
        <f t="shared" si="15"/>
        <v>2.83</v>
      </c>
    </row>
    <row r="996" spans="1:8" x14ac:dyDescent="0.3">
      <c r="A996" s="401"/>
      <c r="B996" s="709">
        <v>20088</v>
      </c>
      <c r="C996" s="710" t="s">
        <v>9374</v>
      </c>
      <c r="D996" s="709" t="s">
        <v>136</v>
      </c>
      <c r="E996" s="709" t="s">
        <v>8432</v>
      </c>
      <c r="F996" s="716">
        <v>16.920000000000002</v>
      </c>
      <c r="G996" s="716">
        <v>17.079999999999998</v>
      </c>
      <c r="H996" s="225">
        <f t="shared" si="15"/>
        <v>16.920000000000002</v>
      </c>
    </row>
    <row r="997" spans="1:8" x14ac:dyDescent="0.3">
      <c r="A997" s="401"/>
      <c r="B997" s="709">
        <v>20089</v>
      </c>
      <c r="C997" s="710" t="s">
        <v>9375</v>
      </c>
      <c r="D997" s="709" t="s">
        <v>136</v>
      </c>
      <c r="E997" s="709" t="s">
        <v>8432</v>
      </c>
      <c r="F997" s="716">
        <v>82.95</v>
      </c>
      <c r="G997" s="716">
        <v>83.76</v>
      </c>
      <c r="H997" s="225">
        <f t="shared" si="15"/>
        <v>82.95</v>
      </c>
    </row>
    <row r="998" spans="1:8" x14ac:dyDescent="0.3">
      <c r="A998" s="401"/>
      <c r="B998" s="709">
        <v>20087</v>
      </c>
      <c r="C998" s="710" t="s">
        <v>9376</v>
      </c>
      <c r="D998" s="709" t="s">
        <v>136</v>
      </c>
      <c r="E998" s="709" t="s">
        <v>8432</v>
      </c>
      <c r="F998" s="716">
        <v>14</v>
      </c>
      <c r="G998" s="716">
        <v>14.14</v>
      </c>
      <c r="H998" s="225">
        <f t="shared" si="15"/>
        <v>14</v>
      </c>
    </row>
    <row r="999" spans="1:8" x14ac:dyDescent="0.3">
      <c r="A999" s="401"/>
      <c r="B999" s="709">
        <v>1191</v>
      </c>
      <c r="C999" s="710" t="s">
        <v>9377</v>
      </c>
      <c r="D999" s="709" t="s">
        <v>136</v>
      </c>
      <c r="E999" s="709" t="s">
        <v>8432</v>
      </c>
      <c r="F999" s="716">
        <v>1.54</v>
      </c>
      <c r="G999" s="716">
        <v>1.57</v>
      </c>
      <c r="H999" s="225">
        <f t="shared" si="15"/>
        <v>1.54</v>
      </c>
    </row>
    <row r="1000" spans="1:8" x14ac:dyDescent="0.3">
      <c r="A1000" s="401"/>
      <c r="B1000" s="709">
        <v>1185</v>
      </c>
      <c r="C1000" s="710" t="s">
        <v>9378</v>
      </c>
      <c r="D1000" s="709" t="s">
        <v>136</v>
      </c>
      <c r="E1000" s="709" t="s">
        <v>8432</v>
      </c>
      <c r="F1000" s="716">
        <v>1.54</v>
      </c>
      <c r="G1000" s="716">
        <v>1.57</v>
      </c>
      <c r="H1000" s="225">
        <f t="shared" si="15"/>
        <v>1.54</v>
      </c>
    </row>
    <row r="1001" spans="1:8" x14ac:dyDescent="0.3">
      <c r="A1001" s="401"/>
      <c r="B1001" s="709">
        <v>1189</v>
      </c>
      <c r="C1001" s="710" t="s">
        <v>9379</v>
      </c>
      <c r="D1001" s="709" t="s">
        <v>136</v>
      </c>
      <c r="E1001" s="709" t="s">
        <v>8432</v>
      </c>
      <c r="F1001" s="716">
        <v>2.52</v>
      </c>
      <c r="G1001" s="716">
        <v>2.57</v>
      </c>
      <c r="H1001" s="225">
        <f t="shared" si="15"/>
        <v>2.52</v>
      </c>
    </row>
    <row r="1002" spans="1:8" x14ac:dyDescent="0.3">
      <c r="A1002" s="401"/>
      <c r="B1002" s="709">
        <v>1193</v>
      </c>
      <c r="C1002" s="710" t="s">
        <v>9380</v>
      </c>
      <c r="D1002" s="709" t="s">
        <v>136</v>
      </c>
      <c r="E1002" s="709" t="s">
        <v>8432</v>
      </c>
      <c r="F1002" s="716">
        <v>4.84</v>
      </c>
      <c r="G1002" s="716">
        <v>4.9400000000000004</v>
      </c>
      <c r="H1002" s="225">
        <f t="shared" si="15"/>
        <v>4.84</v>
      </c>
    </row>
    <row r="1003" spans="1:8" x14ac:dyDescent="0.3">
      <c r="A1003" s="401"/>
      <c r="B1003" s="709">
        <v>1194</v>
      </c>
      <c r="C1003" s="710" t="s">
        <v>9381</v>
      </c>
      <c r="D1003" s="709" t="s">
        <v>136</v>
      </c>
      <c r="E1003" s="709" t="s">
        <v>8432</v>
      </c>
      <c r="F1003" s="716">
        <v>8.75</v>
      </c>
      <c r="G1003" s="716">
        <v>8.92</v>
      </c>
      <c r="H1003" s="225">
        <f t="shared" si="15"/>
        <v>8.75</v>
      </c>
    </row>
    <row r="1004" spans="1:8" x14ac:dyDescent="0.3">
      <c r="A1004" s="401"/>
      <c r="B1004" s="709">
        <v>1195</v>
      </c>
      <c r="C1004" s="710" t="s">
        <v>9382</v>
      </c>
      <c r="D1004" s="709" t="s">
        <v>136</v>
      </c>
      <c r="E1004" s="709" t="s">
        <v>8432</v>
      </c>
      <c r="F1004" s="716">
        <v>14.72</v>
      </c>
      <c r="G1004" s="716">
        <v>15.01</v>
      </c>
      <c r="H1004" s="225">
        <f t="shared" si="15"/>
        <v>14.72</v>
      </c>
    </row>
    <row r="1005" spans="1:8" x14ac:dyDescent="0.3">
      <c r="A1005" s="401"/>
      <c r="B1005" s="709">
        <v>1204</v>
      </c>
      <c r="C1005" s="710" t="s">
        <v>9383</v>
      </c>
      <c r="D1005" s="709" t="s">
        <v>136</v>
      </c>
      <c r="E1005" s="709" t="s">
        <v>8432</v>
      </c>
      <c r="F1005" s="716">
        <v>25.75</v>
      </c>
      <c r="G1005" s="716">
        <v>26.26</v>
      </c>
      <c r="H1005" s="225">
        <f t="shared" si="15"/>
        <v>25.75</v>
      </c>
    </row>
    <row r="1006" spans="1:8" x14ac:dyDescent="0.3">
      <c r="A1006" s="401"/>
      <c r="B1006" s="709">
        <v>1200</v>
      </c>
      <c r="C1006" s="710" t="s">
        <v>9384</v>
      </c>
      <c r="D1006" s="709" t="s">
        <v>136</v>
      </c>
      <c r="E1006" s="709" t="s">
        <v>8432</v>
      </c>
      <c r="F1006" s="716">
        <v>12.72</v>
      </c>
      <c r="G1006" s="716">
        <v>12.84</v>
      </c>
      <c r="H1006" s="225">
        <f t="shared" si="15"/>
        <v>12.72</v>
      </c>
    </row>
    <row r="1007" spans="1:8" x14ac:dyDescent="0.3">
      <c r="A1007" s="401"/>
      <c r="B1007" s="709">
        <v>12909</v>
      </c>
      <c r="C1007" s="710" t="s">
        <v>9385</v>
      </c>
      <c r="D1007" s="709" t="s">
        <v>136</v>
      </c>
      <c r="E1007" s="709" t="s">
        <v>8432</v>
      </c>
      <c r="F1007" s="716">
        <v>5.9</v>
      </c>
      <c r="G1007" s="716">
        <v>5.96</v>
      </c>
      <c r="H1007" s="225">
        <f t="shared" si="15"/>
        <v>5.9</v>
      </c>
    </row>
    <row r="1008" spans="1:8" x14ac:dyDescent="0.3">
      <c r="A1008" s="401"/>
      <c r="B1008" s="709">
        <v>12910</v>
      </c>
      <c r="C1008" s="710" t="s">
        <v>9386</v>
      </c>
      <c r="D1008" s="709" t="s">
        <v>136</v>
      </c>
      <c r="E1008" s="709" t="s">
        <v>8432</v>
      </c>
      <c r="F1008" s="716">
        <v>10.6</v>
      </c>
      <c r="G1008" s="716">
        <v>10.7</v>
      </c>
      <c r="H1008" s="225">
        <f t="shared" si="15"/>
        <v>10.6</v>
      </c>
    </row>
    <row r="1009" spans="1:8" x14ac:dyDescent="0.3">
      <c r="A1009" s="401"/>
      <c r="B1009" s="709">
        <v>1207</v>
      </c>
      <c r="C1009" s="710" t="s">
        <v>9387</v>
      </c>
      <c r="D1009" s="709" t="s">
        <v>136</v>
      </c>
      <c r="E1009" s="709" t="s">
        <v>8432</v>
      </c>
      <c r="F1009" s="716"/>
      <c r="G1009" s="716">
        <v>35.51</v>
      </c>
      <c r="H1009" s="225">
        <f t="shared" si="15"/>
        <v>35.51</v>
      </c>
    </row>
    <row r="1010" spans="1:8" x14ac:dyDescent="0.3">
      <c r="A1010" s="401"/>
      <c r="B1010" s="709">
        <v>1206</v>
      </c>
      <c r="C1010" s="710" t="s">
        <v>9388</v>
      </c>
      <c r="D1010" s="709" t="s">
        <v>136</v>
      </c>
      <c r="E1010" s="709" t="s">
        <v>8432</v>
      </c>
      <c r="F1010" s="716"/>
      <c r="G1010" s="716">
        <v>8.9</v>
      </c>
      <c r="H1010" s="225">
        <f t="shared" si="15"/>
        <v>8.9</v>
      </c>
    </row>
    <row r="1011" spans="1:8" x14ac:dyDescent="0.3">
      <c r="A1011" s="401"/>
      <c r="B1011" s="709">
        <v>1183</v>
      </c>
      <c r="C1011" s="710" t="s">
        <v>9389</v>
      </c>
      <c r="D1011" s="709" t="s">
        <v>136</v>
      </c>
      <c r="E1011" s="709" t="s">
        <v>8432</v>
      </c>
      <c r="F1011" s="716"/>
      <c r="G1011" s="716">
        <v>23.19</v>
      </c>
      <c r="H1011" s="225">
        <f t="shared" si="15"/>
        <v>23.19</v>
      </c>
    </row>
    <row r="1012" spans="1:8" x14ac:dyDescent="0.3">
      <c r="A1012" s="401"/>
      <c r="B1012" s="709">
        <v>42685</v>
      </c>
      <c r="C1012" s="710" t="s">
        <v>9390</v>
      </c>
      <c r="D1012" s="709" t="s">
        <v>136</v>
      </c>
      <c r="E1012" s="709" t="s">
        <v>8432</v>
      </c>
      <c r="F1012" s="716">
        <v>85.96</v>
      </c>
      <c r="G1012" s="716">
        <v>86.8</v>
      </c>
      <c r="H1012" s="225">
        <f t="shared" si="15"/>
        <v>85.96</v>
      </c>
    </row>
    <row r="1013" spans="1:8" x14ac:dyDescent="0.3">
      <c r="A1013" s="401"/>
      <c r="B1013" s="709">
        <v>42686</v>
      </c>
      <c r="C1013" s="710" t="s">
        <v>9391</v>
      </c>
      <c r="D1013" s="709" t="s">
        <v>136</v>
      </c>
      <c r="E1013" s="709" t="s">
        <v>8432</v>
      </c>
      <c r="F1013" s="716">
        <v>94.68</v>
      </c>
      <c r="G1013" s="716">
        <v>95.6</v>
      </c>
      <c r="H1013" s="225">
        <f t="shared" si="15"/>
        <v>94.68</v>
      </c>
    </row>
    <row r="1014" spans="1:8" x14ac:dyDescent="0.3">
      <c r="A1014" s="401"/>
      <c r="B1014" s="709">
        <v>12894</v>
      </c>
      <c r="C1014" s="710" t="s">
        <v>9392</v>
      </c>
      <c r="D1014" s="709" t="s">
        <v>136</v>
      </c>
      <c r="E1014" s="709" t="s">
        <v>8432</v>
      </c>
      <c r="F1014" s="716">
        <v>23.99</v>
      </c>
      <c r="G1014" s="716">
        <v>23.53</v>
      </c>
      <c r="H1014" s="225">
        <f t="shared" si="15"/>
        <v>23.99</v>
      </c>
    </row>
    <row r="1015" spans="1:8" x14ac:dyDescent="0.3">
      <c r="A1015" s="401"/>
      <c r="B1015" s="709">
        <v>12895</v>
      </c>
      <c r="C1015" s="710" t="s">
        <v>9393</v>
      </c>
      <c r="D1015" s="709" t="s">
        <v>136</v>
      </c>
      <c r="E1015" s="709" t="s">
        <v>8438</v>
      </c>
      <c r="F1015" s="716">
        <v>16.11</v>
      </c>
      <c r="G1015" s="716">
        <v>15.8</v>
      </c>
      <c r="H1015" s="225">
        <f t="shared" si="15"/>
        <v>16.11</v>
      </c>
    </row>
    <row r="1016" spans="1:8" x14ac:dyDescent="0.3">
      <c r="A1016" s="401"/>
      <c r="B1016" s="709">
        <v>1631</v>
      </c>
      <c r="C1016" s="710" t="s">
        <v>9394</v>
      </c>
      <c r="D1016" s="709" t="s">
        <v>136</v>
      </c>
      <c r="E1016" s="709" t="s">
        <v>8432</v>
      </c>
      <c r="F1016" s="716">
        <v>199.04</v>
      </c>
      <c r="G1016" s="716">
        <v>150.28</v>
      </c>
      <c r="H1016" s="225">
        <f t="shared" si="15"/>
        <v>199.04</v>
      </c>
    </row>
    <row r="1017" spans="1:8" x14ac:dyDescent="0.3">
      <c r="A1017" s="401"/>
      <c r="B1017" s="709">
        <v>1633</v>
      </c>
      <c r="C1017" s="710" t="s">
        <v>9395</v>
      </c>
      <c r="D1017" s="709" t="s">
        <v>136</v>
      </c>
      <c r="E1017" s="709" t="s">
        <v>8432</v>
      </c>
      <c r="F1017" s="716">
        <v>338.17</v>
      </c>
      <c r="G1017" s="716">
        <v>255.33</v>
      </c>
      <c r="H1017" s="225">
        <f t="shared" si="15"/>
        <v>338.17</v>
      </c>
    </row>
    <row r="1018" spans="1:8" x14ac:dyDescent="0.3">
      <c r="A1018" s="401"/>
      <c r="B1018" s="709">
        <v>10818</v>
      </c>
      <c r="C1018" s="710" t="s">
        <v>9396</v>
      </c>
      <c r="D1018" s="709" t="s">
        <v>175</v>
      </c>
      <c r="E1018" s="709" t="s">
        <v>8432</v>
      </c>
      <c r="F1018" s="716">
        <v>88.55</v>
      </c>
      <c r="G1018" s="716">
        <v>62.26</v>
      </c>
      <c r="H1018" s="225">
        <f t="shared" si="15"/>
        <v>88.55</v>
      </c>
    </row>
    <row r="1019" spans="1:8" x14ac:dyDescent="0.3">
      <c r="A1019" s="401"/>
      <c r="B1019" s="709">
        <v>41410</v>
      </c>
      <c r="C1019" s="710" t="s">
        <v>9397</v>
      </c>
      <c r="D1019" s="709" t="s">
        <v>136</v>
      </c>
      <c r="E1019" s="709" t="s">
        <v>8432</v>
      </c>
      <c r="F1019" s="716">
        <v>82.71</v>
      </c>
      <c r="G1019" s="716">
        <v>73.75</v>
      </c>
      <c r="H1019" s="225">
        <f t="shared" si="15"/>
        <v>82.71</v>
      </c>
    </row>
    <row r="1020" spans="1:8" x14ac:dyDescent="0.3">
      <c r="A1020" s="401"/>
      <c r="B1020" s="709">
        <v>41411</v>
      </c>
      <c r="C1020" s="710" t="s">
        <v>9398</v>
      </c>
      <c r="D1020" s="709" t="s">
        <v>136</v>
      </c>
      <c r="E1020" s="709" t="s">
        <v>8432</v>
      </c>
      <c r="F1020" s="716">
        <v>74.98</v>
      </c>
      <c r="G1020" s="716">
        <v>66.86</v>
      </c>
      <c r="H1020" s="225">
        <f t="shared" si="15"/>
        <v>74.98</v>
      </c>
    </row>
    <row r="1021" spans="1:8" x14ac:dyDescent="0.3">
      <c r="A1021" s="401"/>
      <c r="B1021" s="709">
        <v>41412</v>
      </c>
      <c r="C1021" s="710" t="s">
        <v>9399</v>
      </c>
      <c r="D1021" s="709" t="s">
        <v>136</v>
      </c>
      <c r="E1021" s="709" t="s">
        <v>8432</v>
      </c>
      <c r="F1021" s="716">
        <v>145.03</v>
      </c>
      <c r="G1021" s="716">
        <v>129.32</v>
      </c>
      <c r="H1021" s="225">
        <f t="shared" si="15"/>
        <v>145.03</v>
      </c>
    </row>
    <row r="1022" spans="1:8" x14ac:dyDescent="0.3">
      <c r="A1022" s="401"/>
      <c r="B1022" s="709">
        <v>41413</v>
      </c>
      <c r="C1022" s="710" t="s">
        <v>9400</v>
      </c>
      <c r="D1022" s="709" t="s">
        <v>136</v>
      </c>
      <c r="E1022" s="709" t="s">
        <v>8432</v>
      </c>
      <c r="F1022" s="716">
        <v>130.5</v>
      </c>
      <c r="G1022" s="716">
        <v>116.37</v>
      </c>
      <c r="H1022" s="225">
        <f t="shared" si="15"/>
        <v>130.5</v>
      </c>
    </row>
    <row r="1023" spans="1:8" x14ac:dyDescent="0.3">
      <c r="A1023" s="401"/>
      <c r="B1023" s="709">
        <v>39359</v>
      </c>
      <c r="C1023" s="710" t="s">
        <v>9401</v>
      </c>
      <c r="D1023" s="709" t="s">
        <v>136</v>
      </c>
      <c r="E1023" s="709" t="s">
        <v>8432</v>
      </c>
      <c r="F1023" s="716">
        <v>62.93</v>
      </c>
      <c r="G1023" s="716">
        <v>39.33</v>
      </c>
      <c r="H1023" s="225">
        <f t="shared" si="15"/>
        <v>62.93</v>
      </c>
    </row>
    <row r="1024" spans="1:8" x14ac:dyDescent="0.3">
      <c r="A1024" s="401"/>
      <c r="B1024" s="709">
        <v>39360</v>
      </c>
      <c r="C1024" s="710" t="s">
        <v>9402</v>
      </c>
      <c r="D1024" s="709" t="s">
        <v>136</v>
      </c>
      <c r="E1024" s="709" t="s">
        <v>8432</v>
      </c>
      <c r="F1024" s="716">
        <v>62.93</v>
      </c>
      <c r="G1024" s="716">
        <v>39.33</v>
      </c>
      <c r="H1024" s="225">
        <f t="shared" si="15"/>
        <v>62.93</v>
      </c>
    </row>
    <row r="1025" spans="1:8" x14ac:dyDescent="0.3">
      <c r="A1025" s="401"/>
      <c r="B1025" s="709">
        <v>10710</v>
      </c>
      <c r="C1025" s="710" t="s">
        <v>9403</v>
      </c>
      <c r="D1025" s="709" t="s">
        <v>168</v>
      </c>
      <c r="E1025" s="709" t="s">
        <v>8438</v>
      </c>
      <c r="F1025" s="716"/>
      <c r="G1025" s="716">
        <v>221</v>
      </c>
      <c r="H1025" s="225">
        <f t="shared" si="15"/>
        <v>221</v>
      </c>
    </row>
    <row r="1026" spans="1:8" x14ac:dyDescent="0.3">
      <c r="A1026" s="401"/>
      <c r="B1026" s="709">
        <v>10709</v>
      </c>
      <c r="C1026" s="710" t="s">
        <v>9404</v>
      </c>
      <c r="D1026" s="709" t="s">
        <v>168</v>
      </c>
      <c r="E1026" s="709" t="s">
        <v>8432</v>
      </c>
      <c r="F1026" s="716"/>
      <c r="G1026" s="716">
        <v>271.51</v>
      </c>
      <c r="H1026" s="225">
        <f t="shared" si="15"/>
        <v>271.51</v>
      </c>
    </row>
    <row r="1027" spans="1:8" x14ac:dyDescent="0.3">
      <c r="A1027" s="401"/>
      <c r="B1027" s="709">
        <v>39636</v>
      </c>
      <c r="C1027" s="710" t="s">
        <v>9405</v>
      </c>
      <c r="D1027" s="709" t="s">
        <v>168</v>
      </c>
      <c r="E1027" s="709" t="s">
        <v>8432</v>
      </c>
      <c r="F1027" s="716"/>
      <c r="G1027" s="716">
        <v>277.25</v>
      </c>
      <c r="H1027" s="225">
        <f t="shared" si="15"/>
        <v>277.25</v>
      </c>
    </row>
    <row r="1028" spans="1:8" x14ac:dyDescent="0.3">
      <c r="A1028" s="401"/>
      <c r="B1028" s="709">
        <v>10708</v>
      </c>
      <c r="C1028" s="710" t="s">
        <v>9406</v>
      </c>
      <c r="D1028" s="709" t="s">
        <v>168</v>
      </c>
      <c r="E1028" s="709" t="s">
        <v>8432</v>
      </c>
      <c r="F1028" s="716"/>
      <c r="G1028" s="716">
        <v>85.55</v>
      </c>
      <c r="H1028" s="225">
        <f t="shared" si="15"/>
        <v>85.55</v>
      </c>
    </row>
    <row r="1029" spans="1:8" x14ac:dyDescent="0.3">
      <c r="A1029" s="401"/>
      <c r="B1029" s="709">
        <v>39635</v>
      </c>
      <c r="C1029" s="710" t="s">
        <v>9407</v>
      </c>
      <c r="D1029" s="709" t="s">
        <v>168</v>
      </c>
      <c r="E1029" s="709" t="s">
        <v>8432</v>
      </c>
      <c r="F1029" s="716"/>
      <c r="G1029" s="716">
        <v>145.65</v>
      </c>
      <c r="H1029" s="225">
        <f t="shared" si="15"/>
        <v>145.65</v>
      </c>
    </row>
    <row r="1030" spans="1:8" x14ac:dyDescent="0.3">
      <c r="A1030" s="401"/>
      <c r="B1030" s="709">
        <v>6117</v>
      </c>
      <c r="C1030" s="710" t="s">
        <v>9408</v>
      </c>
      <c r="D1030" s="709" t="s">
        <v>234</v>
      </c>
      <c r="E1030" s="709" t="s">
        <v>8432</v>
      </c>
      <c r="F1030" s="716">
        <v>20.260000000000002</v>
      </c>
      <c r="G1030" s="716">
        <v>25.07</v>
      </c>
      <c r="H1030" s="225">
        <f t="shared" si="15"/>
        <v>20.260000000000002</v>
      </c>
    </row>
    <row r="1031" spans="1:8" x14ac:dyDescent="0.3">
      <c r="A1031" s="401"/>
      <c r="B1031" s="709">
        <v>40913</v>
      </c>
      <c r="C1031" s="710" t="s">
        <v>9409</v>
      </c>
      <c r="D1031" s="709" t="s">
        <v>208</v>
      </c>
      <c r="E1031" s="709" t="s">
        <v>8432</v>
      </c>
      <c r="F1031" s="716">
        <v>3562.26</v>
      </c>
      <c r="G1031" s="716">
        <v>4391.6499999999996</v>
      </c>
      <c r="H1031" s="225">
        <f t="shared" si="15"/>
        <v>3562.26</v>
      </c>
    </row>
    <row r="1032" spans="1:8" x14ac:dyDescent="0.3">
      <c r="A1032" s="401"/>
      <c r="B1032" s="709">
        <v>1214</v>
      </c>
      <c r="C1032" s="710" t="s">
        <v>9410</v>
      </c>
      <c r="D1032" s="709" t="s">
        <v>234</v>
      </c>
      <c r="E1032" s="709" t="s">
        <v>8432</v>
      </c>
      <c r="F1032" s="716">
        <v>22.57</v>
      </c>
      <c r="G1032" s="716">
        <v>27.39</v>
      </c>
      <c r="H1032" s="225">
        <f t="shared" si="15"/>
        <v>22.57</v>
      </c>
    </row>
    <row r="1033" spans="1:8" x14ac:dyDescent="0.3">
      <c r="A1033" s="401"/>
      <c r="B1033" s="709">
        <v>40915</v>
      </c>
      <c r="C1033" s="710" t="s">
        <v>9411</v>
      </c>
      <c r="D1033" s="709" t="s">
        <v>208</v>
      </c>
      <c r="E1033" s="709" t="s">
        <v>8432</v>
      </c>
      <c r="F1033" s="716">
        <v>3966.48</v>
      </c>
      <c r="G1033" s="716">
        <v>4797.83</v>
      </c>
      <c r="H1033" s="225">
        <f t="shared" si="15"/>
        <v>3966.48</v>
      </c>
    </row>
    <row r="1034" spans="1:8" x14ac:dyDescent="0.3">
      <c r="A1034" s="401"/>
      <c r="B1034" s="709">
        <v>40914</v>
      </c>
      <c r="C1034" s="710" t="s">
        <v>9412</v>
      </c>
      <c r="D1034" s="709" t="s">
        <v>208</v>
      </c>
      <c r="E1034" s="709" t="s">
        <v>8432</v>
      </c>
      <c r="F1034" s="716">
        <v>4212.2700000000004</v>
      </c>
      <c r="G1034" s="716">
        <v>4797.83</v>
      </c>
      <c r="H1034" s="225">
        <f t="shared" si="15"/>
        <v>4212.2700000000004</v>
      </c>
    </row>
    <row r="1035" spans="1:8" x14ac:dyDescent="0.3">
      <c r="A1035" s="401"/>
      <c r="B1035" s="709">
        <v>1213</v>
      </c>
      <c r="C1035" s="710" t="s">
        <v>9413</v>
      </c>
      <c r="D1035" s="709" t="s">
        <v>234</v>
      </c>
      <c r="E1035" s="709" t="s">
        <v>8438</v>
      </c>
      <c r="F1035" s="716">
        <v>23.97</v>
      </c>
      <c r="G1035" s="716">
        <v>27.39</v>
      </c>
      <c r="H1035" s="225">
        <f t="shared" ref="H1035:H1098" si="16">IF(F1035&gt;0,F1035,G1035)</f>
        <v>23.97</v>
      </c>
    </row>
    <row r="1036" spans="1:8" x14ac:dyDescent="0.3">
      <c r="A1036" s="401"/>
      <c r="B1036" s="709">
        <v>5091</v>
      </c>
      <c r="C1036" s="710" t="s">
        <v>9414</v>
      </c>
      <c r="D1036" s="709" t="s">
        <v>136</v>
      </c>
      <c r="E1036" s="709" t="s">
        <v>8432</v>
      </c>
      <c r="F1036" s="716">
        <v>23.69</v>
      </c>
      <c r="G1036" s="716">
        <v>19.59</v>
      </c>
      <c r="H1036" s="225">
        <f t="shared" si="16"/>
        <v>23.69</v>
      </c>
    </row>
    <row r="1037" spans="1:8" x14ac:dyDescent="0.3">
      <c r="A1037" s="401"/>
      <c r="B1037" s="709">
        <v>2711</v>
      </c>
      <c r="C1037" s="710" t="s">
        <v>9415</v>
      </c>
      <c r="D1037" s="709" t="s">
        <v>136</v>
      </c>
      <c r="E1037" s="709" t="s">
        <v>8438</v>
      </c>
      <c r="F1037" s="716">
        <v>219.9</v>
      </c>
      <c r="G1037" s="716">
        <v>216.26</v>
      </c>
      <c r="H1037" s="225">
        <f t="shared" si="16"/>
        <v>219.9</v>
      </c>
    </row>
    <row r="1038" spans="1:8" x14ac:dyDescent="0.3">
      <c r="A1038" s="401"/>
      <c r="B1038" s="709">
        <v>45235</v>
      </c>
      <c r="C1038" s="710" t="s">
        <v>9416</v>
      </c>
      <c r="D1038" s="709" t="s">
        <v>136</v>
      </c>
      <c r="E1038" s="709" t="s">
        <v>8432</v>
      </c>
      <c r="F1038" s="716">
        <v>1416.76</v>
      </c>
      <c r="G1038" s="716">
        <v>1393.31</v>
      </c>
      <c r="H1038" s="225">
        <f t="shared" si="16"/>
        <v>1416.76</v>
      </c>
    </row>
    <row r="1039" spans="1:8" x14ac:dyDescent="0.3">
      <c r="A1039" s="401"/>
      <c r="B1039" s="709">
        <v>37727</v>
      </c>
      <c r="C1039" s="710" t="s">
        <v>9417</v>
      </c>
      <c r="D1039" s="709" t="s">
        <v>136</v>
      </c>
      <c r="E1039" s="709" t="s">
        <v>8438</v>
      </c>
      <c r="F1039" s="716">
        <v>23700</v>
      </c>
      <c r="G1039" s="716">
        <v>18958.29</v>
      </c>
      <c r="H1039" s="225">
        <f t="shared" si="16"/>
        <v>23700</v>
      </c>
    </row>
    <row r="1040" spans="1:8" x14ac:dyDescent="0.3">
      <c r="A1040" s="401"/>
      <c r="B1040" s="709">
        <v>37730</v>
      </c>
      <c r="C1040" s="710" t="s">
        <v>9418</v>
      </c>
      <c r="D1040" s="709" t="s">
        <v>136</v>
      </c>
      <c r="E1040" s="709" t="s">
        <v>8432</v>
      </c>
      <c r="F1040" s="716">
        <v>37455.94</v>
      </c>
      <c r="G1040" s="716">
        <v>29962.05</v>
      </c>
      <c r="H1040" s="225">
        <f t="shared" si="16"/>
        <v>37455.94</v>
      </c>
    </row>
    <row r="1041" spans="1:8" x14ac:dyDescent="0.3">
      <c r="A1041" s="401"/>
      <c r="B1041" s="709">
        <v>37731</v>
      </c>
      <c r="C1041" s="710" t="s">
        <v>9419</v>
      </c>
      <c r="D1041" s="709" t="s">
        <v>136</v>
      </c>
      <c r="E1041" s="709" t="s">
        <v>8432</v>
      </c>
      <c r="F1041" s="716">
        <v>40107.69</v>
      </c>
      <c r="G1041" s="716">
        <v>32083.26</v>
      </c>
      <c r="H1041" s="225">
        <f t="shared" si="16"/>
        <v>40107.69</v>
      </c>
    </row>
    <row r="1042" spans="1:8" x14ac:dyDescent="0.3">
      <c r="A1042" s="401"/>
      <c r="B1042" s="709">
        <v>37732</v>
      </c>
      <c r="C1042" s="710" t="s">
        <v>9420</v>
      </c>
      <c r="D1042" s="709" t="s">
        <v>136</v>
      </c>
      <c r="E1042" s="709" t="s">
        <v>8432</v>
      </c>
      <c r="F1042" s="716">
        <v>45742.65</v>
      </c>
      <c r="G1042" s="716">
        <v>36590.82</v>
      </c>
      <c r="H1042" s="225">
        <f t="shared" si="16"/>
        <v>45742.65</v>
      </c>
    </row>
    <row r="1043" spans="1:8" x14ac:dyDescent="0.3">
      <c r="A1043" s="401"/>
      <c r="B1043" s="709">
        <v>45194</v>
      </c>
      <c r="C1043" s="710" t="s">
        <v>9421</v>
      </c>
      <c r="D1043" s="709" t="s">
        <v>136</v>
      </c>
      <c r="E1043" s="709" t="s">
        <v>8432</v>
      </c>
      <c r="F1043" s="716">
        <v>206.26</v>
      </c>
      <c r="G1043" s="716">
        <v>202.85</v>
      </c>
      <c r="H1043" s="225">
        <f t="shared" si="16"/>
        <v>206.26</v>
      </c>
    </row>
    <row r="1044" spans="1:8" x14ac:dyDescent="0.3">
      <c r="A1044" s="401"/>
      <c r="B1044" s="709">
        <v>37762</v>
      </c>
      <c r="C1044" s="710" t="s">
        <v>9422</v>
      </c>
      <c r="D1044" s="709" t="s">
        <v>136</v>
      </c>
      <c r="E1044" s="709" t="s">
        <v>8432</v>
      </c>
      <c r="F1044" s="716">
        <v>800263.65</v>
      </c>
      <c r="G1044" s="716">
        <v>751776.94</v>
      </c>
      <c r="H1044" s="225">
        <f t="shared" si="16"/>
        <v>800263.65</v>
      </c>
    </row>
    <row r="1045" spans="1:8" x14ac:dyDescent="0.3">
      <c r="A1045" s="401"/>
      <c r="B1045" s="709">
        <v>37763</v>
      </c>
      <c r="C1045" s="710" t="s">
        <v>9423</v>
      </c>
      <c r="D1045" s="709" t="s">
        <v>136</v>
      </c>
      <c r="E1045" s="709" t="s">
        <v>8432</v>
      </c>
      <c r="F1045" s="716">
        <v>809983.32</v>
      </c>
      <c r="G1045" s="716">
        <v>760907.71</v>
      </c>
      <c r="H1045" s="225">
        <f t="shared" si="16"/>
        <v>809983.32</v>
      </c>
    </row>
    <row r="1046" spans="1:8" x14ac:dyDescent="0.3">
      <c r="A1046" s="401"/>
      <c r="B1046" s="709">
        <v>41992</v>
      </c>
      <c r="C1046" s="710" t="s">
        <v>9424</v>
      </c>
      <c r="D1046" s="709" t="s">
        <v>136</v>
      </c>
      <c r="E1046" s="709" t="s">
        <v>8438</v>
      </c>
      <c r="F1046" s="716">
        <v>920789.16</v>
      </c>
      <c r="G1046" s="716">
        <v>865000</v>
      </c>
      <c r="H1046" s="225">
        <f t="shared" si="16"/>
        <v>920789.16</v>
      </c>
    </row>
    <row r="1047" spans="1:8" x14ac:dyDescent="0.3">
      <c r="A1047" s="401"/>
      <c r="B1047" s="709">
        <v>13215</v>
      </c>
      <c r="C1047" s="710" t="s">
        <v>9425</v>
      </c>
      <c r="D1047" s="709" t="s">
        <v>136</v>
      </c>
      <c r="E1047" s="709" t="s">
        <v>8432</v>
      </c>
      <c r="F1047" s="716">
        <v>1129116.78</v>
      </c>
      <c r="G1047" s="716">
        <v>1060705.3799999999</v>
      </c>
      <c r="H1047" s="225">
        <f t="shared" si="16"/>
        <v>1129116.78</v>
      </c>
    </row>
    <row r="1048" spans="1:8" x14ac:dyDescent="0.3">
      <c r="A1048" s="401"/>
      <c r="B1048" s="709">
        <v>4235</v>
      </c>
      <c r="C1048" s="710" t="s">
        <v>9426</v>
      </c>
      <c r="D1048" s="709" t="s">
        <v>234</v>
      </c>
      <c r="E1048" s="709" t="s">
        <v>8432</v>
      </c>
      <c r="F1048" s="716">
        <v>21.21</v>
      </c>
      <c r="G1048" s="716">
        <v>40.65</v>
      </c>
      <c r="H1048" s="225">
        <f t="shared" si="16"/>
        <v>21.21</v>
      </c>
    </row>
    <row r="1049" spans="1:8" x14ac:dyDescent="0.3">
      <c r="A1049" s="401"/>
      <c r="B1049" s="709">
        <v>40976</v>
      </c>
      <c r="C1049" s="710" t="s">
        <v>9427</v>
      </c>
      <c r="D1049" s="709" t="s">
        <v>208</v>
      </c>
      <c r="E1049" s="709" t="s">
        <v>8432</v>
      </c>
      <c r="F1049" s="716">
        <v>3730.72</v>
      </c>
      <c r="G1049" s="716">
        <v>7121.46</v>
      </c>
      <c r="H1049" s="225">
        <f t="shared" si="16"/>
        <v>3730.72</v>
      </c>
    </row>
    <row r="1050" spans="1:8" x14ac:dyDescent="0.3">
      <c r="A1050" s="401"/>
      <c r="B1050" s="709">
        <v>43091</v>
      </c>
      <c r="C1050" s="710" t="s">
        <v>9428</v>
      </c>
      <c r="D1050" s="709" t="s">
        <v>136</v>
      </c>
      <c r="E1050" s="709" t="s">
        <v>8432</v>
      </c>
      <c r="F1050" s="716">
        <v>7362.03</v>
      </c>
      <c r="G1050" s="716">
        <v>6022.22</v>
      </c>
      <c r="H1050" s="225">
        <f t="shared" si="16"/>
        <v>7362.03</v>
      </c>
    </row>
    <row r="1051" spans="1:8" x14ac:dyDescent="0.3">
      <c r="A1051" s="401"/>
      <c r="B1051" s="709">
        <v>43092</v>
      </c>
      <c r="C1051" s="710" t="s">
        <v>9429</v>
      </c>
      <c r="D1051" s="709" t="s">
        <v>136</v>
      </c>
      <c r="E1051" s="709" t="s">
        <v>8432</v>
      </c>
      <c r="F1051" s="716">
        <v>9816.0400000000009</v>
      </c>
      <c r="G1051" s="716">
        <v>8029.63</v>
      </c>
      <c r="H1051" s="225">
        <f t="shared" si="16"/>
        <v>9816.0400000000009</v>
      </c>
    </row>
    <row r="1052" spans="1:8" x14ac:dyDescent="0.3">
      <c r="A1052" s="401"/>
      <c r="B1052" s="709">
        <v>43089</v>
      </c>
      <c r="C1052" s="710" t="s">
        <v>9430</v>
      </c>
      <c r="D1052" s="709" t="s">
        <v>136</v>
      </c>
      <c r="E1052" s="709" t="s">
        <v>8432</v>
      </c>
      <c r="F1052" s="716">
        <v>1710.72</v>
      </c>
      <c r="G1052" s="716">
        <v>1399.39</v>
      </c>
      <c r="H1052" s="225">
        <f t="shared" si="16"/>
        <v>1710.72</v>
      </c>
    </row>
    <row r="1053" spans="1:8" x14ac:dyDescent="0.3">
      <c r="A1053" s="401"/>
      <c r="B1053" s="709">
        <v>43090</v>
      </c>
      <c r="C1053" s="710" t="s">
        <v>9431</v>
      </c>
      <c r="D1053" s="709" t="s">
        <v>136</v>
      </c>
      <c r="E1053" s="709" t="s">
        <v>8432</v>
      </c>
      <c r="F1053" s="716">
        <v>3775.4</v>
      </c>
      <c r="G1053" s="716">
        <v>3088.31</v>
      </c>
      <c r="H1053" s="225">
        <f t="shared" si="16"/>
        <v>3775.4</v>
      </c>
    </row>
    <row r="1054" spans="1:8" x14ac:dyDescent="0.3">
      <c r="A1054" s="401"/>
      <c r="B1054" s="709">
        <v>41967</v>
      </c>
      <c r="C1054" s="710" t="s">
        <v>9432</v>
      </c>
      <c r="D1054" s="709" t="s">
        <v>8120</v>
      </c>
      <c r="E1054" s="709" t="s">
        <v>8432</v>
      </c>
      <c r="F1054" s="716">
        <v>24.11</v>
      </c>
      <c r="G1054" s="716">
        <v>28.44</v>
      </c>
      <c r="H1054" s="225">
        <f t="shared" si="16"/>
        <v>24.11</v>
      </c>
    </row>
    <row r="1055" spans="1:8" x14ac:dyDescent="0.3">
      <c r="A1055" s="401"/>
      <c r="B1055" s="709">
        <v>12760</v>
      </c>
      <c r="C1055" s="710" t="s">
        <v>9433</v>
      </c>
      <c r="D1055" s="709" t="s">
        <v>168</v>
      </c>
      <c r="E1055" s="709" t="s">
        <v>8432</v>
      </c>
      <c r="F1055" s="716">
        <v>1564.23</v>
      </c>
      <c r="G1055" s="716">
        <v>1453.16</v>
      </c>
      <c r="H1055" s="225">
        <f t="shared" si="16"/>
        <v>1564.23</v>
      </c>
    </row>
    <row r="1056" spans="1:8" x14ac:dyDescent="0.3">
      <c r="A1056" s="401"/>
      <c r="B1056" s="709">
        <v>12759</v>
      </c>
      <c r="C1056" s="710" t="s">
        <v>9434</v>
      </c>
      <c r="D1056" s="709" t="s">
        <v>168</v>
      </c>
      <c r="E1056" s="709" t="s">
        <v>8432</v>
      </c>
      <c r="F1056" s="716">
        <v>1042.8</v>
      </c>
      <c r="G1056" s="716">
        <v>968.76</v>
      </c>
      <c r="H1056" s="225">
        <f t="shared" si="16"/>
        <v>1042.8</v>
      </c>
    </row>
    <row r="1057" spans="1:8" x14ac:dyDescent="0.3">
      <c r="A1057" s="401"/>
      <c r="B1057" s="709">
        <v>43105</v>
      </c>
      <c r="C1057" s="710" t="s">
        <v>9435</v>
      </c>
      <c r="D1057" s="709" t="s">
        <v>175</v>
      </c>
      <c r="E1057" s="709" t="s">
        <v>8432</v>
      </c>
      <c r="F1057" s="716">
        <v>35.58</v>
      </c>
      <c r="G1057" s="716">
        <v>34.729999999999997</v>
      </c>
      <c r="H1057" s="225">
        <f t="shared" si="16"/>
        <v>35.58</v>
      </c>
    </row>
    <row r="1058" spans="1:8" x14ac:dyDescent="0.3">
      <c r="A1058" s="401"/>
      <c r="B1058" s="709">
        <v>40424</v>
      </c>
      <c r="C1058" s="710" t="s">
        <v>9436</v>
      </c>
      <c r="D1058" s="709" t="s">
        <v>175</v>
      </c>
      <c r="E1058" s="709" t="s">
        <v>8432</v>
      </c>
      <c r="F1058" s="716">
        <v>9.0399999999999991</v>
      </c>
      <c r="G1058" s="716">
        <v>8.82</v>
      </c>
      <c r="H1058" s="225">
        <f t="shared" si="16"/>
        <v>9.0399999999999991</v>
      </c>
    </row>
    <row r="1059" spans="1:8" x14ac:dyDescent="0.3">
      <c r="A1059" s="401"/>
      <c r="B1059" s="709">
        <v>1325</v>
      </c>
      <c r="C1059" s="710" t="s">
        <v>9437</v>
      </c>
      <c r="D1059" s="709" t="s">
        <v>175</v>
      </c>
      <c r="E1059" s="709" t="s">
        <v>8432</v>
      </c>
      <c r="F1059" s="716">
        <v>9.9</v>
      </c>
      <c r="G1059" s="716">
        <v>9.66</v>
      </c>
      <c r="H1059" s="225">
        <f t="shared" si="16"/>
        <v>9.9</v>
      </c>
    </row>
    <row r="1060" spans="1:8" x14ac:dyDescent="0.3">
      <c r="A1060" s="401"/>
      <c r="B1060" s="709">
        <v>1327</v>
      </c>
      <c r="C1060" s="710" t="s">
        <v>9438</v>
      </c>
      <c r="D1060" s="709" t="s">
        <v>175</v>
      </c>
      <c r="E1060" s="709" t="s">
        <v>8432</v>
      </c>
      <c r="F1060" s="716">
        <v>10.54</v>
      </c>
      <c r="G1060" s="716">
        <v>10.29</v>
      </c>
      <c r="H1060" s="225">
        <f t="shared" si="16"/>
        <v>10.54</v>
      </c>
    </row>
    <row r="1061" spans="1:8" x14ac:dyDescent="0.3">
      <c r="A1061" s="401"/>
      <c r="B1061" s="709">
        <v>1328</v>
      </c>
      <c r="C1061" s="710" t="s">
        <v>9439</v>
      </c>
      <c r="D1061" s="709" t="s">
        <v>175</v>
      </c>
      <c r="E1061" s="709" t="s">
        <v>8432</v>
      </c>
      <c r="F1061" s="716">
        <v>9.92</v>
      </c>
      <c r="G1061" s="716">
        <v>9.69</v>
      </c>
      <c r="H1061" s="225">
        <f t="shared" si="16"/>
        <v>9.92</v>
      </c>
    </row>
    <row r="1062" spans="1:8" x14ac:dyDescent="0.3">
      <c r="A1062" s="401"/>
      <c r="B1062" s="709">
        <v>1321</v>
      </c>
      <c r="C1062" s="710" t="s">
        <v>9440</v>
      </c>
      <c r="D1062" s="709" t="s">
        <v>175</v>
      </c>
      <c r="E1062" s="709" t="s">
        <v>8432</v>
      </c>
      <c r="F1062" s="716">
        <v>9.19</v>
      </c>
      <c r="G1062" s="716">
        <v>8.9700000000000006</v>
      </c>
      <c r="H1062" s="225">
        <f t="shared" si="16"/>
        <v>9.19</v>
      </c>
    </row>
    <row r="1063" spans="1:8" x14ac:dyDescent="0.3">
      <c r="A1063" s="401"/>
      <c r="B1063" s="709">
        <v>1318</v>
      </c>
      <c r="C1063" s="710" t="s">
        <v>9441</v>
      </c>
      <c r="D1063" s="709" t="s">
        <v>175</v>
      </c>
      <c r="E1063" s="709" t="s">
        <v>8432</v>
      </c>
      <c r="F1063" s="716">
        <v>9.1999999999999993</v>
      </c>
      <c r="G1063" s="716">
        <v>8.98</v>
      </c>
      <c r="H1063" s="225">
        <f t="shared" si="16"/>
        <v>9.1999999999999993</v>
      </c>
    </row>
    <row r="1064" spans="1:8" x14ac:dyDescent="0.3">
      <c r="A1064" s="401"/>
      <c r="B1064" s="709">
        <v>1322</v>
      </c>
      <c r="C1064" s="710" t="s">
        <v>9442</v>
      </c>
      <c r="D1064" s="709" t="s">
        <v>175</v>
      </c>
      <c r="E1064" s="709" t="s">
        <v>8432</v>
      </c>
      <c r="F1064" s="716">
        <v>9.7100000000000009</v>
      </c>
      <c r="G1064" s="716">
        <v>9.48</v>
      </c>
      <c r="H1064" s="225">
        <f t="shared" si="16"/>
        <v>9.7100000000000009</v>
      </c>
    </row>
    <row r="1065" spans="1:8" x14ac:dyDescent="0.3">
      <c r="A1065" s="401"/>
      <c r="B1065" s="709">
        <v>1323</v>
      </c>
      <c r="C1065" s="710" t="s">
        <v>9443</v>
      </c>
      <c r="D1065" s="709" t="s">
        <v>175</v>
      </c>
      <c r="E1065" s="709" t="s">
        <v>8432</v>
      </c>
      <c r="F1065" s="716">
        <v>9.7100000000000009</v>
      </c>
      <c r="G1065" s="716">
        <v>9.48</v>
      </c>
      <c r="H1065" s="225">
        <f t="shared" si="16"/>
        <v>9.7100000000000009</v>
      </c>
    </row>
    <row r="1066" spans="1:8" x14ac:dyDescent="0.3">
      <c r="A1066" s="401"/>
      <c r="B1066" s="709">
        <v>1319</v>
      </c>
      <c r="C1066" s="710" t="s">
        <v>9444</v>
      </c>
      <c r="D1066" s="709" t="s">
        <v>175</v>
      </c>
      <c r="E1066" s="709" t="s">
        <v>8432</v>
      </c>
      <c r="F1066" s="716">
        <v>8.19</v>
      </c>
      <c r="G1066" s="716">
        <v>7.99</v>
      </c>
      <c r="H1066" s="225">
        <f t="shared" si="16"/>
        <v>8.19</v>
      </c>
    </row>
    <row r="1067" spans="1:8" x14ac:dyDescent="0.3">
      <c r="A1067" s="401"/>
      <c r="B1067" s="709">
        <v>11026</v>
      </c>
      <c r="C1067" s="710" t="s">
        <v>9445</v>
      </c>
      <c r="D1067" s="709" t="s">
        <v>175</v>
      </c>
      <c r="E1067" s="709" t="s">
        <v>8432</v>
      </c>
      <c r="F1067" s="716">
        <v>11.26</v>
      </c>
      <c r="G1067" s="716">
        <v>10.99</v>
      </c>
      <c r="H1067" s="225">
        <f t="shared" si="16"/>
        <v>11.26</v>
      </c>
    </row>
    <row r="1068" spans="1:8" x14ac:dyDescent="0.3">
      <c r="A1068" s="401"/>
      <c r="B1068" s="709">
        <v>11027</v>
      </c>
      <c r="C1068" s="710" t="s">
        <v>9446</v>
      </c>
      <c r="D1068" s="709" t="s">
        <v>175</v>
      </c>
      <c r="E1068" s="709" t="s">
        <v>8432</v>
      </c>
      <c r="F1068" s="716">
        <v>11.72</v>
      </c>
      <c r="G1068" s="716">
        <v>11.44</v>
      </c>
      <c r="H1068" s="225">
        <f t="shared" si="16"/>
        <v>11.72</v>
      </c>
    </row>
    <row r="1069" spans="1:8" x14ac:dyDescent="0.3">
      <c r="A1069" s="401"/>
      <c r="B1069" s="709">
        <v>11046</v>
      </c>
      <c r="C1069" s="710" t="s">
        <v>9447</v>
      </c>
      <c r="D1069" s="709" t="s">
        <v>175</v>
      </c>
      <c r="E1069" s="709" t="s">
        <v>8432</v>
      </c>
      <c r="F1069" s="716">
        <v>11.23</v>
      </c>
      <c r="G1069" s="716">
        <v>10.96</v>
      </c>
      <c r="H1069" s="225">
        <f t="shared" si="16"/>
        <v>11.23</v>
      </c>
    </row>
    <row r="1070" spans="1:8" x14ac:dyDescent="0.3">
      <c r="A1070" s="401"/>
      <c r="B1070" s="709">
        <v>11047</v>
      </c>
      <c r="C1070" s="710" t="s">
        <v>9448</v>
      </c>
      <c r="D1070" s="709" t="s">
        <v>175</v>
      </c>
      <c r="E1070" s="709" t="s">
        <v>8432</v>
      </c>
      <c r="F1070" s="716">
        <v>12.24</v>
      </c>
      <c r="G1070" s="716">
        <v>11.95</v>
      </c>
      <c r="H1070" s="225">
        <f t="shared" si="16"/>
        <v>12.24</v>
      </c>
    </row>
    <row r="1071" spans="1:8" x14ac:dyDescent="0.3">
      <c r="A1071" s="401"/>
      <c r="B1071" s="709">
        <v>43668</v>
      </c>
      <c r="C1071" s="710" t="s">
        <v>9449</v>
      </c>
      <c r="D1071" s="709" t="s">
        <v>175</v>
      </c>
      <c r="E1071" s="709" t="s">
        <v>8432</v>
      </c>
      <c r="F1071" s="716">
        <v>10.8</v>
      </c>
      <c r="G1071" s="716">
        <v>10.54</v>
      </c>
      <c r="H1071" s="225">
        <f t="shared" si="16"/>
        <v>10.8</v>
      </c>
    </row>
    <row r="1072" spans="1:8" x14ac:dyDescent="0.3">
      <c r="A1072" s="401"/>
      <c r="B1072" s="709">
        <v>11049</v>
      </c>
      <c r="C1072" s="710" t="s">
        <v>9450</v>
      </c>
      <c r="D1072" s="709" t="s">
        <v>175</v>
      </c>
      <c r="E1072" s="709" t="s">
        <v>8438</v>
      </c>
      <c r="F1072" s="716">
        <v>11.7</v>
      </c>
      <c r="G1072" s="716">
        <v>11.42</v>
      </c>
      <c r="H1072" s="225">
        <f t="shared" si="16"/>
        <v>11.7</v>
      </c>
    </row>
    <row r="1073" spans="1:8" x14ac:dyDescent="0.3">
      <c r="A1073" s="401"/>
      <c r="B1073" s="709">
        <v>43106</v>
      </c>
      <c r="C1073" s="710" t="s">
        <v>9451</v>
      </c>
      <c r="D1073" s="709" t="s">
        <v>175</v>
      </c>
      <c r="E1073" s="709" t="s">
        <v>8432</v>
      </c>
      <c r="F1073" s="716">
        <v>11.77</v>
      </c>
      <c r="G1073" s="716">
        <v>11.49</v>
      </c>
      <c r="H1073" s="225">
        <f t="shared" si="16"/>
        <v>11.77</v>
      </c>
    </row>
    <row r="1074" spans="1:8" x14ac:dyDescent="0.3">
      <c r="A1074" s="401"/>
      <c r="B1074" s="709">
        <v>11051</v>
      </c>
      <c r="C1074" s="710" t="s">
        <v>9452</v>
      </c>
      <c r="D1074" s="709" t="s">
        <v>175</v>
      </c>
      <c r="E1074" s="709" t="s">
        <v>8432</v>
      </c>
      <c r="F1074" s="716">
        <v>12.28</v>
      </c>
      <c r="G1074" s="716">
        <v>11.99</v>
      </c>
      <c r="H1074" s="225">
        <f t="shared" si="16"/>
        <v>12.28</v>
      </c>
    </row>
    <row r="1075" spans="1:8" x14ac:dyDescent="0.3">
      <c r="A1075" s="401"/>
      <c r="B1075" s="709">
        <v>11061</v>
      </c>
      <c r="C1075" s="710" t="s">
        <v>9453</v>
      </c>
      <c r="D1075" s="709" t="s">
        <v>175</v>
      </c>
      <c r="E1075" s="709" t="s">
        <v>8432</v>
      </c>
      <c r="F1075" s="716">
        <v>14.74</v>
      </c>
      <c r="G1075" s="716">
        <v>14.38</v>
      </c>
      <c r="H1075" s="225">
        <f t="shared" si="16"/>
        <v>14.74</v>
      </c>
    </row>
    <row r="1076" spans="1:8" x14ac:dyDescent="0.3">
      <c r="A1076" s="401"/>
      <c r="B1076" s="709">
        <v>43667</v>
      </c>
      <c r="C1076" s="710" t="s">
        <v>9454</v>
      </c>
      <c r="D1076" s="709" t="s">
        <v>175</v>
      </c>
      <c r="E1076" s="709" t="s">
        <v>8432</v>
      </c>
      <c r="F1076" s="716">
        <v>10.71</v>
      </c>
      <c r="G1076" s="716">
        <v>10.45</v>
      </c>
      <c r="H1076" s="225">
        <f t="shared" si="16"/>
        <v>10.71</v>
      </c>
    </row>
    <row r="1077" spans="1:8" x14ac:dyDescent="0.3">
      <c r="A1077" s="401"/>
      <c r="B1077" s="709">
        <v>1333</v>
      </c>
      <c r="C1077" s="710" t="s">
        <v>9455</v>
      </c>
      <c r="D1077" s="709" t="s">
        <v>175</v>
      </c>
      <c r="E1077" s="709" t="s">
        <v>8432</v>
      </c>
      <c r="F1077" s="716">
        <v>8.92</v>
      </c>
      <c r="G1077" s="716">
        <v>8.7100000000000009</v>
      </c>
      <c r="H1077" s="225">
        <f t="shared" si="16"/>
        <v>8.92</v>
      </c>
    </row>
    <row r="1078" spans="1:8" x14ac:dyDescent="0.3">
      <c r="A1078" s="401"/>
      <c r="B1078" s="709">
        <v>1330</v>
      </c>
      <c r="C1078" s="710" t="s">
        <v>9456</v>
      </c>
      <c r="D1078" s="709" t="s">
        <v>175</v>
      </c>
      <c r="E1078" s="709" t="s">
        <v>8432</v>
      </c>
      <c r="F1078" s="716">
        <v>8.84</v>
      </c>
      <c r="G1078" s="716">
        <v>8.6300000000000008</v>
      </c>
      <c r="H1078" s="225">
        <f t="shared" si="16"/>
        <v>8.84</v>
      </c>
    </row>
    <row r="1079" spans="1:8" x14ac:dyDescent="0.3">
      <c r="A1079" s="401"/>
      <c r="B1079" s="709">
        <v>10957</v>
      </c>
      <c r="C1079" s="710" t="s">
        <v>9457</v>
      </c>
      <c r="D1079" s="709" t="s">
        <v>175</v>
      </c>
      <c r="E1079" s="709" t="s">
        <v>8432</v>
      </c>
      <c r="F1079" s="716">
        <v>10.19</v>
      </c>
      <c r="G1079" s="716">
        <v>9.9499999999999993</v>
      </c>
      <c r="H1079" s="225">
        <f t="shared" si="16"/>
        <v>10.19</v>
      </c>
    </row>
    <row r="1080" spans="1:8" x14ac:dyDescent="0.3">
      <c r="A1080" s="401"/>
      <c r="B1080" s="709">
        <v>1332</v>
      </c>
      <c r="C1080" s="710" t="s">
        <v>9458</v>
      </c>
      <c r="D1080" s="709" t="s">
        <v>175</v>
      </c>
      <c r="E1080" s="709" t="s">
        <v>8432</v>
      </c>
      <c r="F1080" s="716">
        <v>9.06</v>
      </c>
      <c r="G1080" s="716">
        <v>8.85</v>
      </c>
      <c r="H1080" s="225">
        <f t="shared" si="16"/>
        <v>9.06</v>
      </c>
    </row>
    <row r="1081" spans="1:8" x14ac:dyDescent="0.3">
      <c r="A1081" s="401"/>
      <c r="B1081" s="709">
        <v>1334</v>
      </c>
      <c r="C1081" s="710" t="s">
        <v>9459</v>
      </c>
      <c r="D1081" s="709" t="s">
        <v>175</v>
      </c>
      <c r="E1081" s="709" t="s">
        <v>8432</v>
      </c>
      <c r="F1081" s="716">
        <v>10.050000000000001</v>
      </c>
      <c r="G1081" s="716">
        <v>9.81</v>
      </c>
      <c r="H1081" s="225">
        <f t="shared" si="16"/>
        <v>10.050000000000001</v>
      </c>
    </row>
    <row r="1082" spans="1:8" x14ac:dyDescent="0.3">
      <c r="A1082" s="401"/>
      <c r="B1082" s="709">
        <v>1335</v>
      </c>
      <c r="C1082" s="710" t="s">
        <v>9460</v>
      </c>
      <c r="D1082" s="709" t="s">
        <v>175</v>
      </c>
      <c r="E1082" s="709" t="s">
        <v>8432</v>
      </c>
      <c r="F1082" s="716">
        <v>10.38</v>
      </c>
      <c r="G1082" s="716">
        <v>10.130000000000001</v>
      </c>
      <c r="H1082" s="225">
        <f t="shared" si="16"/>
        <v>10.38</v>
      </c>
    </row>
    <row r="1083" spans="1:8" x14ac:dyDescent="0.3">
      <c r="A1083" s="401"/>
      <c r="B1083" s="709">
        <v>40425</v>
      </c>
      <c r="C1083" s="710" t="s">
        <v>9461</v>
      </c>
      <c r="D1083" s="709" t="s">
        <v>175</v>
      </c>
      <c r="E1083" s="709" t="s">
        <v>8432</v>
      </c>
      <c r="F1083" s="716">
        <v>8.89</v>
      </c>
      <c r="G1083" s="716">
        <v>8.67</v>
      </c>
      <c r="H1083" s="225">
        <f t="shared" si="16"/>
        <v>8.89</v>
      </c>
    </row>
    <row r="1084" spans="1:8" x14ac:dyDescent="0.3">
      <c r="A1084" s="401"/>
      <c r="B1084" s="709">
        <v>1337</v>
      </c>
      <c r="C1084" s="710" t="s">
        <v>9462</v>
      </c>
      <c r="D1084" s="709" t="s">
        <v>175</v>
      </c>
      <c r="E1084" s="709" t="s">
        <v>8432</v>
      </c>
      <c r="F1084" s="716">
        <v>10.19</v>
      </c>
      <c r="G1084" s="716">
        <v>9.9499999999999993</v>
      </c>
      <c r="H1084" s="225">
        <f t="shared" si="16"/>
        <v>10.19</v>
      </c>
    </row>
    <row r="1085" spans="1:8" x14ac:dyDescent="0.3">
      <c r="A1085" s="401"/>
      <c r="B1085" s="709">
        <v>34659</v>
      </c>
      <c r="C1085" s="710" t="s">
        <v>9463</v>
      </c>
      <c r="D1085" s="709" t="s">
        <v>168</v>
      </c>
      <c r="E1085" s="709" t="s">
        <v>8432</v>
      </c>
      <c r="F1085" s="716">
        <v>45.94</v>
      </c>
      <c r="G1085" s="716">
        <v>48.43</v>
      </c>
      <c r="H1085" s="225">
        <f t="shared" si="16"/>
        <v>45.94</v>
      </c>
    </row>
    <row r="1086" spans="1:8" x14ac:dyDescent="0.3">
      <c r="A1086" s="401"/>
      <c r="B1086" s="709">
        <v>34514</v>
      </c>
      <c r="C1086" s="710" t="s">
        <v>9464</v>
      </c>
      <c r="D1086" s="709" t="s">
        <v>168</v>
      </c>
      <c r="E1086" s="709" t="s">
        <v>8438</v>
      </c>
      <c r="F1086" s="716">
        <v>50.89</v>
      </c>
      <c r="G1086" s="716">
        <v>53.64</v>
      </c>
      <c r="H1086" s="225">
        <f t="shared" si="16"/>
        <v>50.89</v>
      </c>
    </row>
    <row r="1087" spans="1:8" x14ac:dyDescent="0.3">
      <c r="A1087" s="401"/>
      <c r="B1087" s="709">
        <v>34660</v>
      </c>
      <c r="C1087" s="710" t="s">
        <v>9465</v>
      </c>
      <c r="D1087" s="709" t="s">
        <v>168</v>
      </c>
      <c r="E1087" s="709" t="s">
        <v>8432</v>
      </c>
      <c r="F1087" s="716">
        <v>64.58</v>
      </c>
      <c r="G1087" s="716">
        <v>68.069999999999993</v>
      </c>
      <c r="H1087" s="225">
        <f t="shared" si="16"/>
        <v>64.58</v>
      </c>
    </row>
    <row r="1088" spans="1:8" x14ac:dyDescent="0.3">
      <c r="A1088" s="401"/>
      <c r="B1088" s="709">
        <v>34661</v>
      </c>
      <c r="C1088" s="710" t="s">
        <v>9466</v>
      </c>
      <c r="D1088" s="709" t="s">
        <v>168</v>
      </c>
      <c r="E1088" s="709" t="s">
        <v>8432</v>
      </c>
      <c r="F1088" s="716">
        <v>92.76</v>
      </c>
      <c r="G1088" s="716">
        <v>97.77</v>
      </c>
      <c r="H1088" s="225">
        <f t="shared" si="16"/>
        <v>92.76</v>
      </c>
    </row>
    <row r="1089" spans="1:8" x14ac:dyDescent="0.3">
      <c r="A1089" s="401"/>
      <c r="B1089" s="709">
        <v>34667</v>
      </c>
      <c r="C1089" s="710" t="s">
        <v>9467</v>
      </c>
      <c r="D1089" s="709" t="s">
        <v>168</v>
      </c>
      <c r="E1089" s="709" t="s">
        <v>8432</v>
      </c>
      <c r="F1089" s="716">
        <v>33.590000000000003</v>
      </c>
      <c r="G1089" s="716">
        <v>35.4</v>
      </c>
      <c r="H1089" s="225">
        <f t="shared" si="16"/>
        <v>33.590000000000003</v>
      </c>
    </row>
    <row r="1090" spans="1:8" x14ac:dyDescent="0.3">
      <c r="A1090" s="401"/>
      <c r="B1090" s="709">
        <v>34668</v>
      </c>
      <c r="C1090" s="710" t="s">
        <v>9468</v>
      </c>
      <c r="D1090" s="709" t="s">
        <v>168</v>
      </c>
      <c r="E1090" s="709" t="s">
        <v>8432</v>
      </c>
      <c r="F1090" s="716">
        <v>43.9</v>
      </c>
      <c r="G1090" s="716">
        <v>46.27</v>
      </c>
      <c r="H1090" s="225">
        <f t="shared" si="16"/>
        <v>43.9</v>
      </c>
    </row>
    <row r="1091" spans="1:8" x14ac:dyDescent="0.3">
      <c r="A1091" s="401"/>
      <c r="B1091" s="709">
        <v>34741</v>
      </c>
      <c r="C1091" s="710" t="s">
        <v>9469</v>
      </c>
      <c r="D1091" s="709" t="s">
        <v>168</v>
      </c>
      <c r="E1091" s="709" t="s">
        <v>8432</v>
      </c>
      <c r="F1091" s="716">
        <v>48.3</v>
      </c>
      <c r="G1091" s="716">
        <v>50.91</v>
      </c>
      <c r="H1091" s="225">
        <f t="shared" si="16"/>
        <v>48.3</v>
      </c>
    </row>
    <row r="1092" spans="1:8" x14ac:dyDescent="0.3">
      <c r="A1092" s="401"/>
      <c r="B1092" s="709">
        <v>34664</v>
      </c>
      <c r="C1092" s="710" t="s">
        <v>9470</v>
      </c>
      <c r="D1092" s="709" t="s">
        <v>168</v>
      </c>
      <c r="E1092" s="709" t="s">
        <v>8432</v>
      </c>
      <c r="F1092" s="716">
        <v>52.71</v>
      </c>
      <c r="G1092" s="716">
        <v>55.55</v>
      </c>
      <c r="H1092" s="225">
        <f t="shared" si="16"/>
        <v>52.71</v>
      </c>
    </row>
    <row r="1093" spans="1:8" x14ac:dyDescent="0.3">
      <c r="A1093" s="401"/>
      <c r="B1093" s="709">
        <v>34665</v>
      </c>
      <c r="C1093" s="710" t="s">
        <v>9471</v>
      </c>
      <c r="D1093" s="709" t="s">
        <v>168</v>
      </c>
      <c r="E1093" s="709" t="s">
        <v>8432</v>
      </c>
      <c r="F1093" s="716">
        <v>65.430000000000007</v>
      </c>
      <c r="G1093" s="716">
        <v>68.959999999999994</v>
      </c>
      <c r="H1093" s="225">
        <f t="shared" si="16"/>
        <v>65.430000000000007</v>
      </c>
    </row>
    <row r="1094" spans="1:8" x14ac:dyDescent="0.3">
      <c r="A1094" s="401"/>
      <c r="B1094" s="709">
        <v>34666</v>
      </c>
      <c r="C1094" s="710" t="s">
        <v>9472</v>
      </c>
      <c r="D1094" s="709" t="s">
        <v>168</v>
      </c>
      <c r="E1094" s="709" t="s">
        <v>8432</v>
      </c>
      <c r="F1094" s="716">
        <v>98.83</v>
      </c>
      <c r="G1094" s="716">
        <v>104.17</v>
      </c>
      <c r="H1094" s="225">
        <f t="shared" si="16"/>
        <v>98.83</v>
      </c>
    </row>
    <row r="1095" spans="1:8" x14ac:dyDescent="0.3">
      <c r="A1095" s="401"/>
      <c r="B1095" s="709">
        <v>34669</v>
      </c>
      <c r="C1095" s="710" t="s">
        <v>9473</v>
      </c>
      <c r="D1095" s="709" t="s">
        <v>168</v>
      </c>
      <c r="E1095" s="709" t="s">
        <v>8432</v>
      </c>
      <c r="F1095" s="716">
        <v>36.229999999999997</v>
      </c>
      <c r="G1095" s="716">
        <v>38.19</v>
      </c>
      <c r="H1095" s="225">
        <f t="shared" si="16"/>
        <v>36.229999999999997</v>
      </c>
    </row>
    <row r="1096" spans="1:8" x14ac:dyDescent="0.3">
      <c r="A1096" s="401"/>
      <c r="B1096" s="709">
        <v>34670</v>
      </c>
      <c r="C1096" s="710" t="s">
        <v>9474</v>
      </c>
      <c r="D1096" s="709" t="s">
        <v>168</v>
      </c>
      <c r="E1096" s="709" t="s">
        <v>8432</v>
      </c>
      <c r="F1096" s="716">
        <v>44.32</v>
      </c>
      <c r="G1096" s="716">
        <v>46.71</v>
      </c>
      <c r="H1096" s="225">
        <f t="shared" si="16"/>
        <v>44.32</v>
      </c>
    </row>
    <row r="1097" spans="1:8" x14ac:dyDescent="0.3">
      <c r="A1097" s="401"/>
      <c r="B1097" s="709">
        <v>34671</v>
      </c>
      <c r="C1097" s="710" t="s">
        <v>9475</v>
      </c>
      <c r="D1097" s="709" t="s">
        <v>168</v>
      </c>
      <c r="E1097" s="709" t="s">
        <v>8432</v>
      </c>
      <c r="F1097" s="716">
        <v>36.99</v>
      </c>
      <c r="G1097" s="716">
        <v>38.99</v>
      </c>
      <c r="H1097" s="225">
        <f t="shared" si="16"/>
        <v>36.99</v>
      </c>
    </row>
    <row r="1098" spans="1:8" x14ac:dyDescent="0.3">
      <c r="A1098" s="401"/>
      <c r="B1098" s="709">
        <v>34672</v>
      </c>
      <c r="C1098" s="710" t="s">
        <v>9476</v>
      </c>
      <c r="D1098" s="709" t="s">
        <v>168</v>
      </c>
      <c r="E1098" s="709" t="s">
        <v>8432</v>
      </c>
      <c r="F1098" s="716">
        <v>39.01</v>
      </c>
      <c r="G1098" s="716">
        <v>41.12</v>
      </c>
      <c r="H1098" s="225">
        <f t="shared" si="16"/>
        <v>39.01</v>
      </c>
    </row>
    <row r="1099" spans="1:8" x14ac:dyDescent="0.3">
      <c r="A1099" s="401"/>
      <c r="B1099" s="709">
        <v>34673</v>
      </c>
      <c r="C1099" s="710" t="s">
        <v>9477</v>
      </c>
      <c r="D1099" s="709" t="s">
        <v>168</v>
      </c>
      <c r="E1099" s="709" t="s">
        <v>8432</v>
      </c>
      <c r="F1099" s="716">
        <v>47.6</v>
      </c>
      <c r="G1099" s="716">
        <v>50.17</v>
      </c>
      <c r="H1099" s="225">
        <f t="shared" ref="H1099:H1162" si="17">IF(F1099&gt;0,F1099,G1099)</f>
        <v>47.6</v>
      </c>
    </row>
    <row r="1100" spans="1:8" x14ac:dyDescent="0.3">
      <c r="A1100" s="401"/>
      <c r="B1100" s="709">
        <v>34674</v>
      </c>
      <c r="C1100" s="710" t="s">
        <v>9478</v>
      </c>
      <c r="D1100" s="709" t="s">
        <v>168</v>
      </c>
      <c r="E1100" s="709" t="s">
        <v>8432</v>
      </c>
      <c r="F1100" s="716">
        <v>63.28</v>
      </c>
      <c r="G1100" s="716">
        <v>66.7</v>
      </c>
      <c r="H1100" s="225">
        <f t="shared" si="17"/>
        <v>63.28</v>
      </c>
    </row>
    <row r="1101" spans="1:8" x14ac:dyDescent="0.3">
      <c r="A1101" s="401"/>
      <c r="B1101" s="709">
        <v>34675</v>
      </c>
      <c r="C1101" s="710" t="s">
        <v>9479</v>
      </c>
      <c r="D1101" s="709" t="s">
        <v>168</v>
      </c>
      <c r="E1101" s="709" t="s">
        <v>8432</v>
      </c>
      <c r="F1101" s="716">
        <v>77.150000000000006</v>
      </c>
      <c r="G1101" s="716">
        <v>81.319999999999993</v>
      </c>
      <c r="H1101" s="225">
        <f t="shared" si="17"/>
        <v>77.150000000000006</v>
      </c>
    </row>
    <row r="1102" spans="1:8" x14ac:dyDescent="0.3">
      <c r="A1102" s="401"/>
      <c r="B1102" s="709">
        <v>34676</v>
      </c>
      <c r="C1102" s="710" t="s">
        <v>9480</v>
      </c>
      <c r="D1102" s="709" t="s">
        <v>168</v>
      </c>
      <c r="E1102" s="709" t="s">
        <v>8432</v>
      </c>
      <c r="F1102" s="716">
        <v>22.21</v>
      </c>
      <c r="G1102" s="716">
        <v>23.41</v>
      </c>
      <c r="H1102" s="225">
        <f t="shared" si="17"/>
        <v>22.21</v>
      </c>
    </row>
    <row r="1103" spans="1:8" x14ac:dyDescent="0.3">
      <c r="A1103" s="401"/>
      <c r="B1103" s="709">
        <v>34677</v>
      </c>
      <c r="C1103" s="710" t="s">
        <v>9481</v>
      </c>
      <c r="D1103" s="709" t="s">
        <v>168</v>
      </c>
      <c r="E1103" s="709" t="s">
        <v>8432</v>
      </c>
      <c r="F1103" s="716">
        <v>29.86</v>
      </c>
      <c r="G1103" s="716">
        <v>31.48</v>
      </c>
      <c r="H1103" s="225">
        <f t="shared" si="17"/>
        <v>29.86</v>
      </c>
    </row>
    <row r="1104" spans="1:8" x14ac:dyDescent="0.3">
      <c r="A1104" s="401"/>
      <c r="B1104" s="709">
        <v>43126</v>
      </c>
      <c r="C1104" s="710" t="s">
        <v>9482</v>
      </c>
      <c r="D1104" s="709" t="s">
        <v>168</v>
      </c>
      <c r="E1104" s="709" t="s">
        <v>8432</v>
      </c>
      <c r="F1104" s="716">
        <v>100.2</v>
      </c>
      <c r="G1104" s="716">
        <v>114.58</v>
      </c>
      <c r="H1104" s="225">
        <f t="shared" si="17"/>
        <v>100.2</v>
      </c>
    </row>
    <row r="1105" spans="1:8" x14ac:dyDescent="0.3">
      <c r="A1105" s="401"/>
      <c r="B1105" s="709">
        <v>43124</v>
      </c>
      <c r="C1105" s="710" t="s">
        <v>9483</v>
      </c>
      <c r="D1105" s="709" t="s">
        <v>168</v>
      </c>
      <c r="E1105" s="709" t="s">
        <v>8432</v>
      </c>
      <c r="F1105" s="716">
        <v>116.99</v>
      </c>
      <c r="G1105" s="716">
        <v>133.78</v>
      </c>
      <c r="H1105" s="225">
        <f t="shared" si="17"/>
        <v>116.99</v>
      </c>
    </row>
    <row r="1106" spans="1:8" x14ac:dyDescent="0.3">
      <c r="A1106" s="401"/>
      <c r="B1106" s="709">
        <v>43125</v>
      </c>
      <c r="C1106" s="710" t="s">
        <v>9484</v>
      </c>
      <c r="D1106" s="709" t="s">
        <v>168</v>
      </c>
      <c r="E1106" s="709" t="s">
        <v>8432</v>
      </c>
      <c r="F1106" s="716">
        <v>151.72999999999999</v>
      </c>
      <c r="G1106" s="716">
        <v>173.5</v>
      </c>
      <c r="H1106" s="225">
        <f t="shared" si="17"/>
        <v>151.72999999999999</v>
      </c>
    </row>
    <row r="1107" spans="1:8" x14ac:dyDescent="0.3">
      <c r="A1107" s="401"/>
      <c r="B1107" s="709">
        <v>40623</v>
      </c>
      <c r="C1107" s="710" t="s">
        <v>9485</v>
      </c>
      <c r="D1107" s="709" t="s">
        <v>8808</v>
      </c>
      <c r="E1107" s="709" t="s">
        <v>8432</v>
      </c>
      <c r="F1107" s="716">
        <v>99.24</v>
      </c>
      <c r="G1107" s="716">
        <v>96.86</v>
      </c>
      <c r="H1107" s="225">
        <f t="shared" si="17"/>
        <v>99.24</v>
      </c>
    </row>
    <row r="1108" spans="1:8" x14ac:dyDescent="0.3">
      <c r="A1108" s="401"/>
      <c r="B1108" s="709">
        <v>1345</v>
      </c>
      <c r="C1108" s="710" t="s">
        <v>9486</v>
      </c>
      <c r="D1108" s="709" t="s">
        <v>168</v>
      </c>
      <c r="E1108" s="709" t="s">
        <v>8432</v>
      </c>
      <c r="F1108" s="716">
        <v>106.63</v>
      </c>
      <c r="G1108" s="716">
        <v>69.08</v>
      </c>
      <c r="H1108" s="225">
        <f t="shared" si="17"/>
        <v>106.63</v>
      </c>
    </row>
    <row r="1109" spans="1:8" x14ac:dyDescent="0.3">
      <c r="A1109" s="401"/>
      <c r="B1109" s="709">
        <v>1346</v>
      </c>
      <c r="C1109" s="710" t="s">
        <v>9487</v>
      </c>
      <c r="D1109" s="709" t="s">
        <v>168</v>
      </c>
      <c r="E1109" s="709" t="s">
        <v>8432</v>
      </c>
      <c r="F1109" s="716">
        <v>62.02</v>
      </c>
      <c r="G1109" s="716">
        <v>40.18</v>
      </c>
      <c r="H1109" s="225">
        <f t="shared" si="17"/>
        <v>62.02</v>
      </c>
    </row>
    <row r="1110" spans="1:8" x14ac:dyDescent="0.3">
      <c r="A1110" s="401"/>
      <c r="B1110" s="709">
        <v>1347</v>
      </c>
      <c r="C1110" s="710" t="s">
        <v>9488</v>
      </c>
      <c r="D1110" s="709" t="s">
        <v>168</v>
      </c>
      <c r="E1110" s="709" t="s">
        <v>8432</v>
      </c>
      <c r="F1110" s="716">
        <v>76.849999999999994</v>
      </c>
      <c r="G1110" s="716">
        <v>49.79</v>
      </c>
      <c r="H1110" s="225">
        <f t="shared" si="17"/>
        <v>76.849999999999994</v>
      </c>
    </row>
    <row r="1111" spans="1:8" x14ac:dyDescent="0.3">
      <c r="A1111" s="401"/>
      <c r="B1111" s="709">
        <v>43678</v>
      </c>
      <c r="C1111" s="710" t="s">
        <v>9489</v>
      </c>
      <c r="D1111" s="709" t="s">
        <v>168</v>
      </c>
      <c r="E1111" s="709" t="s">
        <v>8432</v>
      </c>
      <c r="F1111" s="716">
        <v>89.15</v>
      </c>
      <c r="G1111" s="716">
        <v>57.75</v>
      </c>
      <c r="H1111" s="225">
        <f t="shared" si="17"/>
        <v>89.15</v>
      </c>
    </row>
    <row r="1112" spans="1:8" x14ac:dyDescent="0.3">
      <c r="A1112" s="401"/>
      <c r="B1112" s="709">
        <v>43680</v>
      </c>
      <c r="C1112" s="710" t="s">
        <v>9490</v>
      </c>
      <c r="D1112" s="709" t="s">
        <v>168</v>
      </c>
      <c r="E1112" s="709" t="s">
        <v>8432</v>
      </c>
      <c r="F1112" s="716">
        <v>128.41999999999999</v>
      </c>
      <c r="G1112" s="716">
        <v>83.19</v>
      </c>
      <c r="H1112" s="225">
        <f t="shared" si="17"/>
        <v>128.41999999999999</v>
      </c>
    </row>
    <row r="1113" spans="1:8" x14ac:dyDescent="0.3">
      <c r="A1113" s="401"/>
      <c r="B1113" s="709">
        <v>43679</v>
      </c>
      <c r="C1113" s="710" t="s">
        <v>9491</v>
      </c>
      <c r="D1113" s="709" t="s">
        <v>168</v>
      </c>
      <c r="E1113" s="709" t="s">
        <v>8432</v>
      </c>
      <c r="F1113" s="716">
        <v>45.07</v>
      </c>
      <c r="G1113" s="716">
        <v>29.19</v>
      </c>
      <c r="H1113" s="225">
        <f t="shared" si="17"/>
        <v>45.07</v>
      </c>
    </row>
    <row r="1114" spans="1:8" x14ac:dyDescent="0.3">
      <c r="A1114" s="401"/>
      <c r="B1114" s="709">
        <v>1355</v>
      </c>
      <c r="C1114" s="710" t="s">
        <v>9492</v>
      </c>
      <c r="D1114" s="709" t="s">
        <v>168</v>
      </c>
      <c r="E1114" s="709" t="s">
        <v>8432</v>
      </c>
      <c r="F1114" s="716">
        <v>51.29</v>
      </c>
      <c r="G1114" s="716">
        <v>33.22</v>
      </c>
      <c r="H1114" s="225">
        <f t="shared" si="17"/>
        <v>51.29</v>
      </c>
    </row>
    <row r="1115" spans="1:8" x14ac:dyDescent="0.3">
      <c r="A1115" s="401"/>
      <c r="B1115" s="709">
        <v>1358</v>
      </c>
      <c r="C1115" s="710" t="s">
        <v>9493</v>
      </c>
      <c r="D1115" s="709" t="s">
        <v>168</v>
      </c>
      <c r="E1115" s="709" t="s">
        <v>8432</v>
      </c>
      <c r="F1115" s="716">
        <v>62.96</v>
      </c>
      <c r="G1115" s="716">
        <v>40.79</v>
      </c>
      <c r="H1115" s="225">
        <f t="shared" si="17"/>
        <v>62.96</v>
      </c>
    </row>
    <row r="1116" spans="1:8" x14ac:dyDescent="0.3">
      <c r="A1116" s="401"/>
      <c r="B1116" s="709">
        <v>43677</v>
      </c>
      <c r="C1116" s="710" t="s">
        <v>9494</v>
      </c>
      <c r="D1116" s="709" t="s">
        <v>168</v>
      </c>
      <c r="E1116" s="709" t="s">
        <v>8432</v>
      </c>
      <c r="F1116" s="716">
        <v>78.12</v>
      </c>
      <c r="G1116" s="716">
        <v>50.61</v>
      </c>
      <c r="H1116" s="225">
        <f t="shared" si="17"/>
        <v>78.12</v>
      </c>
    </row>
    <row r="1117" spans="1:8" x14ac:dyDescent="0.3">
      <c r="A1117" s="401"/>
      <c r="B1117" s="709">
        <v>43682</v>
      </c>
      <c r="C1117" s="710" t="s">
        <v>9495</v>
      </c>
      <c r="D1117" s="709" t="s">
        <v>168</v>
      </c>
      <c r="E1117" s="709" t="s">
        <v>8432</v>
      </c>
      <c r="F1117" s="716">
        <v>23.95</v>
      </c>
      <c r="G1117" s="716">
        <v>15.51</v>
      </c>
      <c r="H1117" s="225">
        <f t="shared" si="17"/>
        <v>23.95</v>
      </c>
    </row>
    <row r="1118" spans="1:8" x14ac:dyDescent="0.3">
      <c r="A1118" s="401"/>
      <c r="B1118" s="709">
        <v>43681</v>
      </c>
      <c r="C1118" s="710" t="s">
        <v>9496</v>
      </c>
      <c r="D1118" s="709" t="s">
        <v>168</v>
      </c>
      <c r="E1118" s="709" t="s">
        <v>8438</v>
      </c>
      <c r="F1118" s="716">
        <v>39.67</v>
      </c>
      <c r="G1118" s="716">
        <v>25.7</v>
      </c>
      <c r="H1118" s="225">
        <f t="shared" si="17"/>
        <v>39.67</v>
      </c>
    </row>
    <row r="1119" spans="1:8" x14ac:dyDescent="0.3">
      <c r="A1119" s="401"/>
      <c r="B1119" s="709">
        <v>45248</v>
      </c>
      <c r="C1119" s="710" t="s">
        <v>9497</v>
      </c>
      <c r="D1119" s="709" t="s">
        <v>136</v>
      </c>
      <c r="E1119" s="709" t="s">
        <v>8432</v>
      </c>
      <c r="F1119" s="716">
        <v>69.400000000000006</v>
      </c>
      <c r="G1119" s="716">
        <v>68.25</v>
      </c>
      <c r="H1119" s="225">
        <f t="shared" si="17"/>
        <v>69.400000000000006</v>
      </c>
    </row>
    <row r="1120" spans="1:8" x14ac:dyDescent="0.3">
      <c r="A1120" s="401"/>
      <c r="B1120" s="709">
        <v>45243</v>
      </c>
      <c r="C1120" s="710" t="s">
        <v>9498</v>
      </c>
      <c r="D1120" s="709" t="s">
        <v>136</v>
      </c>
      <c r="E1120" s="709" t="s">
        <v>8432</v>
      </c>
      <c r="F1120" s="716">
        <v>224.42</v>
      </c>
      <c r="G1120" s="716">
        <v>220.71</v>
      </c>
      <c r="H1120" s="225">
        <f t="shared" si="17"/>
        <v>224.42</v>
      </c>
    </row>
    <row r="1121" spans="1:8" x14ac:dyDescent="0.3">
      <c r="A1121" s="401"/>
      <c r="B1121" s="709">
        <v>45252</v>
      </c>
      <c r="C1121" s="710" t="s">
        <v>9499</v>
      </c>
      <c r="D1121" s="709" t="s">
        <v>136</v>
      </c>
      <c r="E1121" s="709" t="s">
        <v>8432</v>
      </c>
      <c r="F1121" s="716">
        <v>39.36</v>
      </c>
      <c r="G1121" s="716">
        <v>38.71</v>
      </c>
      <c r="H1121" s="225">
        <f t="shared" si="17"/>
        <v>39.36</v>
      </c>
    </row>
    <row r="1122" spans="1:8" x14ac:dyDescent="0.3">
      <c r="A1122" s="401"/>
      <c r="B1122" s="709">
        <v>45246</v>
      </c>
      <c r="C1122" s="710" t="s">
        <v>9500</v>
      </c>
      <c r="D1122" s="709" t="s">
        <v>136</v>
      </c>
      <c r="E1122" s="709" t="s">
        <v>8432</v>
      </c>
      <c r="F1122" s="716">
        <v>182.41</v>
      </c>
      <c r="G1122" s="716">
        <v>179.39</v>
      </c>
      <c r="H1122" s="225">
        <f t="shared" si="17"/>
        <v>182.41</v>
      </c>
    </row>
    <row r="1123" spans="1:8" x14ac:dyDescent="0.3">
      <c r="A1123" s="401"/>
      <c r="B1123" s="709">
        <v>20971</v>
      </c>
      <c r="C1123" s="710" t="s">
        <v>9501</v>
      </c>
      <c r="D1123" s="709" t="s">
        <v>136</v>
      </c>
      <c r="E1123" s="709" t="s">
        <v>8432</v>
      </c>
      <c r="F1123" s="716">
        <v>15.71</v>
      </c>
      <c r="G1123" s="716">
        <v>35.04</v>
      </c>
      <c r="H1123" s="225">
        <f t="shared" si="17"/>
        <v>15.71</v>
      </c>
    </row>
    <row r="1124" spans="1:8" x14ac:dyDescent="0.3">
      <c r="A1124" s="401"/>
      <c r="B1124" s="709">
        <v>45247</v>
      </c>
      <c r="C1124" s="710" t="s">
        <v>9502</v>
      </c>
      <c r="D1124" s="709" t="s">
        <v>136</v>
      </c>
      <c r="E1124" s="709" t="s">
        <v>8432</v>
      </c>
      <c r="F1124" s="716">
        <v>26.45</v>
      </c>
      <c r="G1124" s="716">
        <v>26.02</v>
      </c>
      <c r="H1124" s="225">
        <f t="shared" si="17"/>
        <v>26.45</v>
      </c>
    </row>
    <row r="1125" spans="1:8" x14ac:dyDescent="0.3">
      <c r="A1125" s="401"/>
      <c r="B1125" s="709">
        <v>39746</v>
      </c>
      <c r="C1125" s="710" t="s">
        <v>9503</v>
      </c>
      <c r="D1125" s="709" t="s">
        <v>136</v>
      </c>
      <c r="E1125" s="709" t="s">
        <v>8432</v>
      </c>
      <c r="F1125" s="716"/>
      <c r="G1125" s="716">
        <v>75.55</v>
      </c>
      <c r="H1125" s="225">
        <f t="shared" si="17"/>
        <v>75.55</v>
      </c>
    </row>
    <row r="1126" spans="1:8" x14ac:dyDescent="0.3">
      <c r="A1126" s="401"/>
      <c r="B1126" s="709">
        <v>13279</v>
      </c>
      <c r="C1126" s="710" t="s">
        <v>9504</v>
      </c>
      <c r="D1126" s="709" t="s">
        <v>175</v>
      </c>
      <c r="E1126" s="709" t="s">
        <v>8432</v>
      </c>
      <c r="F1126" s="716"/>
      <c r="G1126" s="716">
        <v>19.13</v>
      </c>
      <c r="H1126" s="225">
        <f t="shared" si="17"/>
        <v>19.13</v>
      </c>
    </row>
    <row r="1127" spans="1:8" x14ac:dyDescent="0.3">
      <c r="A1127" s="401"/>
      <c r="B1127" s="709">
        <v>11977</v>
      </c>
      <c r="C1127" s="710" t="s">
        <v>9505</v>
      </c>
      <c r="D1127" s="709" t="s">
        <v>136</v>
      </c>
      <c r="E1127" s="709" t="s">
        <v>8432</v>
      </c>
      <c r="F1127" s="716"/>
      <c r="G1127" s="716">
        <v>9.91</v>
      </c>
      <c r="H1127" s="225">
        <f t="shared" si="17"/>
        <v>9.91</v>
      </c>
    </row>
    <row r="1128" spans="1:8" x14ac:dyDescent="0.3">
      <c r="A1128" s="401"/>
      <c r="B1128" s="709">
        <v>11976</v>
      </c>
      <c r="C1128" s="710" t="s">
        <v>9506</v>
      </c>
      <c r="D1128" s="709" t="s">
        <v>136</v>
      </c>
      <c r="E1128" s="709" t="s">
        <v>8432</v>
      </c>
      <c r="F1128" s="716"/>
      <c r="G1128" s="716">
        <v>1.1100000000000001</v>
      </c>
      <c r="H1128" s="225">
        <f t="shared" si="17"/>
        <v>1.1100000000000001</v>
      </c>
    </row>
    <row r="1129" spans="1:8" x14ac:dyDescent="0.3">
      <c r="A1129" s="401"/>
      <c r="B1129" s="709">
        <v>11975</v>
      </c>
      <c r="C1129" s="710" t="s">
        <v>9507</v>
      </c>
      <c r="D1129" s="709" t="s">
        <v>136</v>
      </c>
      <c r="E1129" s="709" t="s">
        <v>8432</v>
      </c>
      <c r="F1129" s="716"/>
      <c r="G1129" s="716">
        <v>21.72</v>
      </c>
      <c r="H1129" s="225">
        <f t="shared" si="17"/>
        <v>21.72</v>
      </c>
    </row>
    <row r="1130" spans="1:8" x14ac:dyDescent="0.3">
      <c r="A1130" s="401"/>
      <c r="B1130" s="709">
        <v>44184</v>
      </c>
      <c r="C1130" s="710" t="s">
        <v>14811</v>
      </c>
      <c r="D1130" s="709" t="s">
        <v>136</v>
      </c>
      <c r="E1130" s="709" t="s">
        <v>8432</v>
      </c>
      <c r="F1130" s="716"/>
      <c r="G1130" s="716">
        <v>7.03</v>
      </c>
      <c r="H1130" s="225">
        <f t="shared" si="17"/>
        <v>7.03</v>
      </c>
    </row>
    <row r="1131" spans="1:8" x14ac:dyDescent="0.3">
      <c r="A1131" s="401"/>
      <c r="B1131" s="709">
        <v>44185</v>
      </c>
      <c r="C1131" s="710" t="s">
        <v>14812</v>
      </c>
      <c r="D1131" s="709" t="s">
        <v>136</v>
      </c>
      <c r="E1131" s="709" t="s">
        <v>8432</v>
      </c>
      <c r="F1131" s="716"/>
      <c r="G1131" s="716">
        <v>23.74</v>
      </c>
      <c r="H1131" s="225">
        <f t="shared" si="17"/>
        <v>23.74</v>
      </c>
    </row>
    <row r="1132" spans="1:8" x14ac:dyDescent="0.3">
      <c r="A1132" s="401"/>
      <c r="B1132" s="709">
        <v>44179</v>
      </c>
      <c r="C1132" s="710" t="s">
        <v>14813</v>
      </c>
      <c r="D1132" s="709" t="s">
        <v>136</v>
      </c>
      <c r="E1132" s="709" t="s">
        <v>8432</v>
      </c>
      <c r="F1132" s="716"/>
      <c r="G1132" s="716">
        <v>1.5</v>
      </c>
      <c r="H1132" s="225">
        <f t="shared" si="17"/>
        <v>1.5</v>
      </c>
    </row>
    <row r="1133" spans="1:8" x14ac:dyDescent="0.3">
      <c r="A1133" s="401"/>
      <c r="B1133" s="709">
        <v>1368</v>
      </c>
      <c r="C1133" s="710" t="s">
        <v>9508</v>
      </c>
      <c r="D1133" s="709" t="s">
        <v>136</v>
      </c>
      <c r="E1133" s="709" t="s">
        <v>8438</v>
      </c>
      <c r="F1133" s="716">
        <v>92.91</v>
      </c>
      <c r="G1133" s="716">
        <v>112.78</v>
      </c>
      <c r="H1133" s="225">
        <f t="shared" si="17"/>
        <v>92.91</v>
      </c>
    </row>
    <row r="1134" spans="1:8" x14ac:dyDescent="0.3">
      <c r="A1134" s="401"/>
      <c r="B1134" s="709">
        <v>1367</v>
      </c>
      <c r="C1134" s="710" t="s">
        <v>9509</v>
      </c>
      <c r="D1134" s="709" t="s">
        <v>136</v>
      </c>
      <c r="E1134" s="709" t="s">
        <v>8432</v>
      </c>
      <c r="F1134" s="716">
        <v>300.52999999999997</v>
      </c>
      <c r="G1134" s="716">
        <v>364.81</v>
      </c>
      <c r="H1134" s="225">
        <f t="shared" si="17"/>
        <v>300.52999999999997</v>
      </c>
    </row>
    <row r="1135" spans="1:8" x14ac:dyDescent="0.3">
      <c r="A1135" s="401"/>
      <c r="B1135" s="709">
        <v>1380</v>
      </c>
      <c r="C1135" s="710" t="s">
        <v>9510</v>
      </c>
      <c r="D1135" s="709" t="s">
        <v>175</v>
      </c>
      <c r="E1135" s="709" t="s">
        <v>8432</v>
      </c>
      <c r="F1135" s="716">
        <v>6.35</v>
      </c>
      <c r="G1135" s="716">
        <v>4.68</v>
      </c>
      <c r="H1135" s="225">
        <f t="shared" si="17"/>
        <v>6.35</v>
      </c>
    </row>
    <row r="1136" spans="1:8" x14ac:dyDescent="0.3">
      <c r="A1136" s="401"/>
      <c r="B1136" s="709">
        <v>1375</v>
      </c>
      <c r="C1136" s="710" t="s">
        <v>9511</v>
      </c>
      <c r="D1136" s="709" t="s">
        <v>175</v>
      </c>
      <c r="E1136" s="709" t="s">
        <v>8432</v>
      </c>
      <c r="F1136" s="716">
        <v>17.809999999999999</v>
      </c>
      <c r="G1136" s="716">
        <v>16.32</v>
      </c>
      <c r="H1136" s="225">
        <f t="shared" si="17"/>
        <v>17.809999999999999</v>
      </c>
    </row>
    <row r="1137" spans="1:8" x14ac:dyDescent="0.3">
      <c r="A1137" s="401"/>
      <c r="B1137" s="709">
        <v>1379</v>
      </c>
      <c r="C1137" s="710" t="s">
        <v>9512</v>
      </c>
      <c r="D1137" s="709" t="s">
        <v>175</v>
      </c>
      <c r="E1137" s="709" t="s">
        <v>8438</v>
      </c>
      <c r="F1137" s="716">
        <v>0.95</v>
      </c>
      <c r="G1137" s="716">
        <v>0.7</v>
      </c>
      <c r="H1137" s="225">
        <f t="shared" si="17"/>
        <v>0.95</v>
      </c>
    </row>
    <row r="1138" spans="1:8" x14ac:dyDescent="0.3">
      <c r="A1138" s="401"/>
      <c r="B1138" s="709">
        <v>13284</v>
      </c>
      <c r="C1138" s="710" t="s">
        <v>9513</v>
      </c>
      <c r="D1138" s="709" t="s">
        <v>175</v>
      </c>
      <c r="E1138" s="709" t="s">
        <v>8432</v>
      </c>
      <c r="F1138" s="716">
        <v>0.86</v>
      </c>
      <c r="G1138" s="716">
        <v>0.63</v>
      </c>
      <c r="H1138" s="225">
        <f t="shared" si="17"/>
        <v>0.86</v>
      </c>
    </row>
    <row r="1139" spans="1:8" x14ac:dyDescent="0.3">
      <c r="A1139" s="401"/>
      <c r="B1139" s="709">
        <v>44528</v>
      </c>
      <c r="C1139" s="710" t="s">
        <v>9514</v>
      </c>
      <c r="D1139" s="709" t="s">
        <v>175</v>
      </c>
      <c r="E1139" s="709" t="s">
        <v>8432</v>
      </c>
      <c r="F1139" s="716">
        <v>5.0599999999999996</v>
      </c>
      <c r="G1139" s="716">
        <v>3.73</v>
      </c>
      <c r="H1139" s="225">
        <f t="shared" si="17"/>
        <v>5.0599999999999996</v>
      </c>
    </row>
    <row r="1140" spans="1:8" x14ac:dyDescent="0.3">
      <c r="A1140" s="401"/>
      <c r="B1140" s="709">
        <v>34753</v>
      </c>
      <c r="C1140" s="710" t="s">
        <v>9515</v>
      </c>
      <c r="D1140" s="709" t="s">
        <v>175</v>
      </c>
      <c r="E1140" s="709" t="s">
        <v>8432</v>
      </c>
      <c r="F1140" s="716">
        <v>0.92</v>
      </c>
      <c r="G1140" s="716">
        <v>0.68</v>
      </c>
      <c r="H1140" s="225">
        <f t="shared" si="17"/>
        <v>0.92</v>
      </c>
    </row>
    <row r="1141" spans="1:8" x14ac:dyDescent="0.3">
      <c r="A1141" s="401"/>
      <c r="B1141" s="709">
        <v>420</v>
      </c>
      <c r="C1141" s="710" t="s">
        <v>9516</v>
      </c>
      <c r="D1141" s="709" t="s">
        <v>136</v>
      </c>
      <c r="E1141" s="709" t="s">
        <v>8432</v>
      </c>
      <c r="F1141" s="716"/>
      <c r="G1141" s="716">
        <v>27.2</v>
      </c>
      <c r="H1141" s="225">
        <f t="shared" si="17"/>
        <v>27.2</v>
      </c>
    </row>
    <row r="1142" spans="1:8" x14ac:dyDescent="0.3">
      <c r="A1142" s="401"/>
      <c r="B1142" s="709">
        <v>12327</v>
      </c>
      <c r="C1142" s="710" t="s">
        <v>9517</v>
      </c>
      <c r="D1142" s="709" t="s">
        <v>136</v>
      </c>
      <c r="E1142" s="709" t="s">
        <v>8432</v>
      </c>
      <c r="F1142" s="716"/>
      <c r="G1142" s="716">
        <v>32.4</v>
      </c>
      <c r="H1142" s="225">
        <f t="shared" si="17"/>
        <v>32.4</v>
      </c>
    </row>
    <row r="1143" spans="1:8" x14ac:dyDescent="0.3">
      <c r="A1143" s="401"/>
      <c r="B1143" s="709">
        <v>36148</v>
      </c>
      <c r="C1143" s="710" t="s">
        <v>9518</v>
      </c>
      <c r="D1143" s="709" t="s">
        <v>136</v>
      </c>
      <c r="E1143" s="709" t="s">
        <v>8432</v>
      </c>
      <c r="F1143" s="716">
        <v>177.53</v>
      </c>
      <c r="G1143" s="716">
        <v>174.12</v>
      </c>
      <c r="H1143" s="225">
        <f t="shared" si="17"/>
        <v>177.53</v>
      </c>
    </row>
    <row r="1144" spans="1:8" x14ac:dyDescent="0.3">
      <c r="A1144" s="401"/>
      <c r="B1144" s="709">
        <v>12329</v>
      </c>
      <c r="C1144" s="710" t="s">
        <v>9519</v>
      </c>
      <c r="D1144" s="709" t="s">
        <v>175</v>
      </c>
      <c r="E1144" s="709" t="s">
        <v>8432</v>
      </c>
      <c r="F1144" s="716">
        <v>148.06</v>
      </c>
      <c r="G1144" s="716">
        <v>155.96</v>
      </c>
      <c r="H1144" s="225">
        <f t="shared" si="17"/>
        <v>148.06</v>
      </c>
    </row>
    <row r="1145" spans="1:8" x14ac:dyDescent="0.3">
      <c r="A1145" s="401"/>
      <c r="B1145" s="709">
        <v>44396</v>
      </c>
      <c r="C1145" s="710" t="s">
        <v>9520</v>
      </c>
      <c r="D1145" s="709" t="s">
        <v>175</v>
      </c>
      <c r="E1145" s="709" t="s">
        <v>8432</v>
      </c>
      <c r="F1145" s="716">
        <v>34.42</v>
      </c>
      <c r="G1145" s="716">
        <v>44.16</v>
      </c>
      <c r="H1145" s="225">
        <f t="shared" si="17"/>
        <v>34.42</v>
      </c>
    </row>
    <row r="1146" spans="1:8" x14ac:dyDescent="0.3">
      <c r="A1146" s="401"/>
      <c r="B1146" s="709">
        <v>44327</v>
      </c>
      <c r="C1146" s="710" t="s">
        <v>9521</v>
      </c>
      <c r="D1146" s="709" t="s">
        <v>8120</v>
      </c>
      <c r="E1146" s="709" t="s">
        <v>8432</v>
      </c>
      <c r="F1146" s="716">
        <v>117.07</v>
      </c>
      <c r="G1146" s="716">
        <v>150.18</v>
      </c>
      <c r="H1146" s="225">
        <f t="shared" si="17"/>
        <v>117.07</v>
      </c>
    </row>
    <row r="1147" spans="1:8" x14ac:dyDescent="0.3">
      <c r="A1147" s="401"/>
      <c r="B1147" s="709">
        <v>37418</v>
      </c>
      <c r="C1147" s="710" t="s">
        <v>9522</v>
      </c>
      <c r="D1147" s="709" t="s">
        <v>136</v>
      </c>
      <c r="E1147" s="709" t="s">
        <v>8432</v>
      </c>
      <c r="F1147" s="716">
        <v>28.26</v>
      </c>
      <c r="G1147" s="716">
        <v>19.34</v>
      </c>
      <c r="H1147" s="225">
        <f t="shared" si="17"/>
        <v>28.26</v>
      </c>
    </row>
    <row r="1148" spans="1:8" x14ac:dyDescent="0.3">
      <c r="A1148" s="401"/>
      <c r="B1148" s="709">
        <v>37419</v>
      </c>
      <c r="C1148" s="710" t="s">
        <v>9523</v>
      </c>
      <c r="D1148" s="709" t="s">
        <v>136</v>
      </c>
      <c r="E1148" s="709" t="s">
        <v>8432</v>
      </c>
      <c r="F1148" s="716">
        <v>29.02</v>
      </c>
      <c r="G1148" s="716">
        <v>19.86</v>
      </c>
      <c r="H1148" s="225">
        <f t="shared" si="17"/>
        <v>29.02</v>
      </c>
    </row>
    <row r="1149" spans="1:8" x14ac:dyDescent="0.3">
      <c r="A1149" s="401"/>
      <c r="B1149" s="709">
        <v>1427</v>
      </c>
      <c r="C1149" s="710" t="s">
        <v>9524</v>
      </c>
      <c r="D1149" s="709" t="s">
        <v>136</v>
      </c>
      <c r="E1149" s="709" t="s">
        <v>8432</v>
      </c>
      <c r="F1149" s="716"/>
      <c r="G1149" s="716">
        <v>20.88</v>
      </c>
      <c r="H1149" s="225">
        <f t="shared" si="17"/>
        <v>20.88</v>
      </c>
    </row>
    <row r="1150" spans="1:8" x14ac:dyDescent="0.3">
      <c r="A1150" s="401"/>
      <c r="B1150" s="709">
        <v>1402</v>
      </c>
      <c r="C1150" s="710" t="s">
        <v>9525</v>
      </c>
      <c r="D1150" s="709" t="s">
        <v>136</v>
      </c>
      <c r="E1150" s="709" t="s">
        <v>8432</v>
      </c>
      <c r="F1150" s="716"/>
      <c r="G1150" s="716">
        <v>7.23</v>
      </c>
      <c r="H1150" s="225">
        <f t="shared" si="17"/>
        <v>7.23</v>
      </c>
    </row>
    <row r="1151" spans="1:8" x14ac:dyDescent="0.3">
      <c r="A1151" s="401"/>
      <c r="B1151" s="709">
        <v>1420</v>
      </c>
      <c r="C1151" s="710" t="s">
        <v>9526</v>
      </c>
      <c r="D1151" s="709" t="s">
        <v>136</v>
      </c>
      <c r="E1151" s="709" t="s">
        <v>8432</v>
      </c>
      <c r="F1151" s="716"/>
      <c r="G1151" s="716">
        <v>9.2899999999999991</v>
      </c>
      <c r="H1151" s="225">
        <f t="shared" si="17"/>
        <v>9.2899999999999991</v>
      </c>
    </row>
    <row r="1152" spans="1:8" x14ac:dyDescent="0.3">
      <c r="A1152" s="401"/>
      <c r="B1152" s="709">
        <v>1419</v>
      </c>
      <c r="C1152" s="710" t="s">
        <v>9527</v>
      </c>
      <c r="D1152" s="709" t="s">
        <v>136</v>
      </c>
      <c r="E1152" s="709" t="s">
        <v>8432</v>
      </c>
      <c r="F1152" s="716"/>
      <c r="G1152" s="716">
        <v>11.22</v>
      </c>
      <c r="H1152" s="225">
        <f t="shared" si="17"/>
        <v>11.22</v>
      </c>
    </row>
    <row r="1153" spans="1:8" x14ac:dyDescent="0.3">
      <c r="A1153" s="401"/>
      <c r="B1153" s="709">
        <v>1414</v>
      </c>
      <c r="C1153" s="710" t="s">
        <v>9528</v>
      </c>
      <c r="D1153" s="709" t="s">
        <v>136</v>
      </c>
      <c r="E1153" s="709" t="s">
        <v>8432</v>
      </c>
      <c r="F1153" s="716"/>
      <c r="G1153" s="716">
        <v>10.98</v>
      </c>
      <c r="H1153" s="225">
        <f t="shared" si="17"/>
        <v>10.98</v>
      </c>
    </row>
    <row r="1154" spans="1:8" x14ac:dyDescent="0.3">
      <c r="A1154" s="401"/>
      <c r="B1154" s="709">
        <v>1413</v>
      </c>
      <c r="C1154" s="710" t="s">
        <v>9529</v>
      </c>
      <c r="D1154" s="709" t="s">
        <v>136</v>
      </c>
      <c r="E1154" s="709" t="s">
        <v>8432</v>
      </c>
      <c r="F1154" s="716"/>
      <c r="G1154" s="716">
        <v>16.22</v>
      </c>
      <c r="H1154" s="225">
        <f t="shared" si="17"/>
        <v>16.22</v>
      </c>
    </row>
    <row r="1155" spans="1:8" x14ac:dyDescent="0.3">
      <c r="A1155" s="401"/>
      <c r="B1155" s="709">
        <v>1412</v>
      </c>
      <c r="C1155" s="710" t="s">
        <v>9530</v>
      </c>
      <c r="D1155" s="709" t="s">
        <v>136</v>
      </c>
      <c r="E1155" s="709" t="s">
        <v>8432</v>
      </c>
      <c r="F1155" s="716"/>
      <c r="G1155" s="716">
        <v>13.74</v>
      </c>
      <c r="H1155" s="225">
        <f t="shared" si="17"/>
        <v>13.74</v>
      </c>
    </row>
    <row r="1156" spans="1:8" x14ac:dyDescent="0.3">
      <c r="A1156" s="401"/>
      <c r="B1156" s="709">
        <v>1406</v>
      </c>
      <c r="C1156" s="710" t="s">
        <v>9531</v>
      </c>
      <c r="D1156" s="709" t="s">
        <v>136</v>
      </c>
      <c r="E1156" s="709" t="s">
        <v>8432</v>
      </c>
      <c r="F1156" s="716"/>
      <c r="G1156" s="716">
        <v>16.579999999999998</v>
      </c>
      <c r="H1156" s="225">
        <f t="shared" si="17"/>
        <v>16.579999999999998</v>
      </c>
    </row>
    <row r="1157" spans="1:8" x14ac:dyDescent="0.3">
      <c r="A1157" s="401"/>
      <c r="B1157" s="709">
        <v>45237</v>
      </c>
      <c r="C1157" s="710" t="s">
        <v>9532</v>
      </c>
      <c r="D1157" s="709" t="s">
        <v>136</v>
      </c>
      <c r="E1157" s="709" t="s">
        <v>8432</v>
      </c>
      <c r="F1157" s="716">
        <v>21.11</v>
      </c>
      <c r="G1157" s="716">
        <v>20.76</v>
      </c>
      <c r="H1157" s="225">
        <f t="shared" si="17"/>
        <v>21.11</v>
      </c>
    </row>
    <row r="1158" spans="1:8" x14ac:dyDescent="0.3">
      <c r="A1158" s="401"/>
      <c r="B1158" s="709">
        <v>11281</v>
      </c>
      <c r="C1158" s="710" t="s">
        <v>9533</v>
      </c>
      <c r="D1158" s="709" t="s">
        <v>136</v>
      </c>
      <c r="E1158" s="709" t="s">
        <v>8438</v>
      </c>
      <c r="F1158" s="716">
        <v>15362.81</v>
      </c>
      <c r="G1158" s="716">
        <v>12671.42</v>
      </c>
      <c r="H1158" s="225">
        <f t="shared" si="17"/>
        <v>15362.81</v>
      </c>
    </row>
    <row r="1159" spans="1:8" x14ac:dyDescent="0.3">
      <c r="A1159" s="401"/>
      <c r="B1159" s="709">
        <v>1442</v>
      </c>
      <c r="C1159" s="710" t="s">
        <v>9534</v>
      </c>
      <c r="D1159" s="709" t="s">
        <v>136</v>
      </c>
      <c r="E1159" s="709" t="s">
        <v>8432</v>
      </c>
      <c r="F1159" s="716">
        <v>12896.96</v>
      </c>
      <c r="G1159" s="716">
        <v>10637.56</v>
      </c>
      <c r="H1159" s="225">
        <f t="shared" si="17"/>
        <v>12896.96</v>
      </c>
    </row>
    <row r="1160" spans="1:8" x14ac:dyDescent="0.3">
      <c r="A1160" s="401"/>
      <c r="B1160" s="709">
        <v>13458</v>
      </c>
      <c r="C1160" s="710" t="s">
        <v>9535</v>
      </c>
      <c r="D1160" s="709" t="s">
        <v>136</v>
      </c>
      <c r="E1160" s="709" t="s">
        <v>8432</v>
      </c>
      <c r="F1160" s="716">
        <v>19036.52</v>
      </c>
      <c r="G1160" s="716">
        <v>15701.54</v>
      </c>
      <c r="H1160" s="225">
        <f t="shared" si="17"/>
        <v>19036.52</v>
      </c>
    </row>
    <row r="1161" spans="1:8" x14ac:dyDescent="0.3">
      <c r="A1161" s="401"/>
      <c r="B1161" s="709">
        <v>11134</v>
      </c>
      <c r="C1161" s="710" t="s">
        <v>9536</v>
      </c>
      <c r="D1161" s="709" t="s">
        <v>168</v>
      </c>
      <c r="E1161" s="709" t="s">
        <v>8432</v>
      </c>
      <c r="F1161" s="716">
        <v>88.36</v>
      </c>
      <c r="G1161" s="716">
        <v>57.24</v>
      </c>
      <c r="H1161" s="225">
        <f t="shared" si="17"/>
        <v>88.36</v>
      </c>
    </row>
    <row r="1162" spans="1:8" x14ac:dyDescent="0.3">
      <c r="A1162" s="401"/>
      <c r="B1162" s="709">
        <v>11135</v>
      </c>
      <c r="C1162" s="710" t="s">
        <v>9537</v>
      </c>
      <c r="D1162" s="709" t="s">
        <v>168</v>
      </c>
      <c r="E1162" s="709" t="s">
        <v>8432</v>
      </c>
      <c r="F1162" s="716">
        <v>95.4</v>
      </c>
      <c r="G1162" s="716">
        <v>61.8</v>
      </c>
      <c r="H1162" s="225">
        <f t="shared" si="17"/>
        <v>95.4</v>
      </c>
    </row>
    <row r="1163" spans="1:8" x14ac:dyDescent="0.3">
      <c r="A1163" s="401"/>
      <c r="B1163" s="709">
        <v>11136</v>
      </c>
      <c r="C1163" s="710" t="s">
        <v>9538</v>
      </c>
      <c r="D1163" s="709" t="s">
        <v>168</v>
      </c>
      <c r="E1163" s="709" t="s">
        <v>8432</v>
      </c>
      <c r="F1163" s="716">
        <v>109.23</v>
      </c>
      <c r="G1163" s="716">
        <v>70.760000000000005</v>
      </c>
      <c r="H1163" s="225">
        <f t="shared" ref="H1163:H1226" si="18">IF(F1163&gt;0,F1163,G1163)</f>
        <v>109.23</v>
      </c>
    </row>
    <row r="1164" spans="1:8" x14ac:dyDescent="0.3">
      <c r="A1164" s="401"/>
      <c r="B1164" s="709">
        <v>34743</v>
      </c>
      <c r="C1164" s="710" t="s">
        <v>9539</v>
      </c>
      <c r="D1164" s="709" t="s">
        <v>168</v>
      </c>
      <c r="E1164" s="709" t="s">
        <v>8432</v>
      </c>
      <c r="F1164" s="716">
        <v>131.80000000000001</v>
      </c>
      <c r="G1164" s="716">
        <v>85.38</v>
      </c>
      <c r="H1164" s="225">
        <f t="shared" si="18"/>
        <v>131.80000000000001</v>
      </c>
    </row>
    <row r="1165" spans="1:8" x14ac:dyDescent="0.3">
      <c r="A1165" s="401"/>
      <c r="B1165" s="709">
        <v>11137</v>
      </c>
      <c r="C1165" s="710" t="s">
        <v>9540</v>
      </c>
      <c r="D1165" s="709" t="s">
        <v>168</v>
      </c>
      <c r="E1165" s="709" t="s">
        <v>8432</v>
      </c>
      <c r="F1165" s="716">
        <v>149.69</v>
      </c>
      <c r="G1165" s="716">
        <v>96.98</v>
      </c>
      <c r="H1165" s="225">
        <f t="shared" si="18"/>
        <v>149.69</v>
      </c>
    </row>
    <row r="1166" spans="1:8" x14ac:dyDescent="0.3">
      <c r="A1166" s="401"/>
      <c r="B1166" s="709">
        <v>34745</v>
      </c>
      <c r="C1166" s="710" t="s">
        <v>9541</v>
      </c>
      <c r="D1166" s="709" t="s">
        <v>168</v>
      </c>
      <c r="E1166" s="709" t="s">
        <v>8432</v>
      </c>
      <c r="F1166" s="716">
        <v>178.01</v>
      </c>
      <c r="G1166" s="716">
        <v>115.32</v>
      </c>
      <c r="H1166" s="225">
        <f t="shared" si="18"/>
        <v>178.01</v>
      </c>
    </row>
    <row r="1167" spans="1:8" x14ac:dyDescent="0.3">
      <c r="A1167" s="401"/>
      <c r="B1167" s="709">
        <v>34746</v>
      </c>
      <c r="C1167" s="710" t="s">
        <v>9542</v>
      </c>
      <c r="D1167" s="709" t="s">
        <v>168</v>
      </c>
      <c r="E1167" s="709" t="s">
        <v>8432</v>
      </c>
      <c r="F1167" s="716">
        <v>48.55</v>
      </c>
      <c r="G1167" s="716">
        <v>31.45</v>
      </c>
      <c r="H1167" s="225">
        <f t="shared" si="18"/>
        <v>48.55</v>
      </c>
    </row>
    <row r="1168" spans="1:8" x14ac:dyDescent="0.3">
      <c r="A1168" s="401"/>
      <c r="B1168" s="709">
        <v>1360</v>
      </c>
      <c r="C1168" s="710" t="s">
        <v>9543</v>
      </c>
      <c r="D1168" s="709" t="s">
        <v>168</v>
      </c>
      <c r="E1168" s="709" t="s">
        <v>8432</v>
      </c>
      <c r="F1168" s="716">
        <v>56.64</v>
      </c>
      <c r="G1168" s="716">
        <v>36.69</v>
      </c>
      <c r="H1168" s="225">
        <f t="shared" si="18"/>
        <v>56.64</v>
      </c>
    </row>
    <row r="1169" spans="1:8" x14ac:dyDescent="0.3">
      <c r="A1169" s="401"/>
      <c r="B1169" s="709">
        <v>45300</v>
      </c>
      <c r="C1169" s="710" t="s">
        <v>9544</v>
      </c>
      <c r="D1169" s="709" t="s">
        <v>136</v>
      </c>
      <c r="E1169" s="709" t="s">
        <v>8432</v>
      </c>
      <c r="F1169" s="716">
        <v>2890.4</v>
      </c>
      <c r="G1169" s="716">
        <v>2446.2600000000002</v>
      </c>
      <c r="H1169" s="225">
        <f t="shared" si="18"/>
        <v>2890.4</v>
      </c>
    </row>
    <row r="1170" spans="1:8" x14ac:dyDescent="0.3">
      <c r="A1170" s="401"/>
      <c r="B1170" s="709">
        <v>36526</v>
      </c>
      <c r="C1170" s="710" t="s">
        <v>9545</v>
      </c>
      <c r="D1170" s="709" t="s">
        <v>136</v>
      </c>
      <c r="E1170" s="709" t="s">
        <v>8432</v>
      </c>
      <c r="F1170" s="716"/>
      <c r="G1170" s="716">
        <v>156805.28</v>
      </c>
      <c r="H1170" s="225">
        <f t="shared" si="18"/>
        <v>156805.28</v>
      </c>
    </row>
    <row r="1171" spans="1:8" x14ac:dyDescent="0.3">
      <c r="A1171" s="401"/>
      <c r="B1171" s="709">
        <v>36523</v>
      </c>
      <c r="C1171" s="710" t="s">
        <v>9546</v>
      </c>
      <c r="D1171" s="709" t="s">
        <v>136</v>
      </c>
      <c r="E1171" s="709" t="s">
        <v>8432</v>
      </c>
      <c r="F1171" s="716"/>
      <c r="G1171" s="716">
        <v>335698.96</v>
      </c>
      <c r="H1171" s="225">
        <f t="shared" si="18"/>
        <v>335698.96</v>
      </c>
    </row>
    <row r="1172" spans="1:8" x14ac:dyDescent="0.3">
      <c r="A1172" s="401"/>
      <c r="B1172" s="709">
        <v>36522</v>
      </c>
      <c r="C1172" s="710" t="s">
        <v>9547</v>
      </c>
      <c r="D1172" s="709" t="s">
        <v>136</v>
      </c>
      <c r="E1172" s="709" t="s">
        <v>8432</v>
      </c>
      <c r="F1172" s="716"/>
      <c r="G1172" s="716">
        <v>98734.35</v>
      </c>
      <c r="H1172" s="225">
        <f t="shared" si="18"/>
        <v>98734.35</v>
      </c>
    </row>
    <row r="1173" spans="1:8" x14ac:dyDescent="0.3">
      <c r="A1173" s="401"/>
      <c r="B1173" s="709">
        <v>36525</v>
      </c>
      <c r="C1173" s="710" t="s">
        <v>9548</v>
      </c>
      <c r="D1173" s="709" t="s">
        <v>136</v>
      </c>
      <c r="E1173" s="709" t="s">
        <v>8432</v>
      </c>
      <c r="F1173" s="716"/>
      <c r="G1173" s="716">
        <v>132228.35</v>
      </c>
      <c r="H1173" s="225">
        <f t="shared" si="18"/>
        <v>132228.35</v>
      </c>
    </row>
    <row r="1174" spans="1:8" x14ac:dyDescent="0.3">
      <c r="A1174" s="401"/>
      <c r="B1174" s="709">
        <v>13803</v>
      </c>
      <c r="C1174" s="710" t="s">
        <v>9549</v>
      </c>
      <c r="D1174" s="709" t="s">
        <v>136</v>
      </c>
      <c r="E1174" s="709" t="s">
        <v>8438</v>
      </c>
      <c r="F1174" s="716"/>
      <c r="G1174" s="716">
        <v>131850</v>
      </c>
      <c r="H1174" s="225">
        <f t="shared" si="18"/>
        <v>131850</v>
      </c>
    </row>
    <row r="1175" spans="1:8" x14ac:dyDescent="0.3">
      <c r="A1175" s="401"/>
      <c r="B1175" s="709">
        <v>34348</v>
      </c>
      <c r="C1175" s="710" t="s">
        <v>9550</v>
      </c>
      <c r="D1175" s="709" t="s">
        <v>159</v>
      </c>
      <c r="E1175" s="709" t="s">
        <v>8432</v>
      </c>
      <c r="F1175" s="716">
        <v>21.98</v>
      </c>
      <c r="G1175" s="716">
        <v>22.69</v>
      </c>
      <c r="H1175" s="225">
        <f t="shared" si="18"/>
        <v>21.98</v>
      </c>
    </row>
    <row r="1176" spans="1:8" x14ac:dyDescent="0.3">
      <c r="A1176" s="401"/>
      <c r="B1176" s="709">
        <v>34347</v>
      </c>
      <c r="C1176" s="710" t="s">
        <v>9551</v>
      </c>
      <c r="D1176" s="709" t="s">
        <v>159</v>
      </c>
      <c r="E1176" s="709" t="s">
        <v>8432</v>
      </c>
      <c r="F1176" s="716">
        <v>15.72</v>
      </c>
      <c r="G1176" s="716">
        <v>16.22</v>
      </c>
      <c r="H1176" s="225">
        <f t="shared" si="18"/>
        <v>15.72</v>
      </c>
    </row>
    <row r="1177" spans="1:8" x14ac:dyDescent="0.3">
      <c r="A1177" s="401"/>
      <c r="B1177" s="709">
        <v>11146</v>
      </c>
      <c r="C1177" s="710" t="s">
        <v>9552</v>
      </c>
      <c r="D1177" s="709" t="s">
        <v>170</v>
      </c>
      <c r="E1177" s="709" t="s">
        <v>8432</v>
      </c>
      <c r="F1177" s="716">
        <v>708.91</v>
      </c>
      <c r="G1177" s="716">
        <v>542.92999999999995</v>
      </c>
      <c r="H1177" s="225">
        <f t="shared" si="18"/>
        <v>708.91</v>
      </c>
    </row>
    <row r="1178" spans="1:8" x14ac:dyDescent="0.3">
      <c r="A1178" s="401"/>
      <c r="B1178" s="709">
        <v>11147</v>
      </c>
      <c r="C1178" s="710" t="s">
        <v>9553</v>
      </c>
      <c r="D1178" s="709" t="s">
        <v>170</v>
      </c>
      <c r="E1178" s="709" t="s">
        <v>8432</v>
      </c>
      <c r="F1178" s="716">
        <v>736.65</v>
      </c>
      <c r="G1178" s="716">
        <v>564.17999999999995</v>
      </c>
      <c r="H1178" s="225">
        <f t="shared" si="18"/>
        <v>736.65</v>
      </c>
    </row>
    <row r="1179" spans="1:8" x14ac:dyDescent="0.3">
      <c r="A1179" s="401"/>
      <c r="B1179" s="709">
        <v>34872</v>
      </c>
      <c r="C1179" s="710" t="s">
        <v>9554</v>
      </c>
      <c r="D1179" s="709" t="s">
        <v>170</v>
      </c>
      <c r="E1179" s="709" t="s">
        <v>8432</v>
      </c>
      <c r="F1179" s="716">
        <v>744.92</v>
      </c>
      <c r="G1179" s="716">
        <v>570.51</v>
      </c>
      <c r="H1179" s="225">
        <f t="shared" si="18"/>
        <v>744.92</v>
      </c>
    </row>
    <row r="1180" spans="1:8" x14ac:dyDescent="0.3">
      <c r="A1180" s="401"/>
      <c r="B1180" s="709">
        <v>34491</v>
      </c>
      <c r="C1180" s="710" t="s">
        <v>9555</v>
      </c>
      <c r="D1180" s="709" t="s">
        <v>170</v>
      </c>
      <c r="E1180" s="709" t="s">
        <v>8432</v>
      </c>
      <c r="F1180" s="716">
        <v>766.51</v>
      </c>
      <c r="G1180" s="716">
        <v>587.04999999999995</v>
      </c>
      <c r="H1180" s="225">
        <f t="shared" si="18"/>
        <v>766.51</v>
      </c>
    </row>
    <row r="1181" spans="1:8" x14ac:dyDescent="0.3">
      <c r="A1181" s="401"/>
      <c r="B1181" s="709">
        <v>34770</v>
      </c>
      <c r="C1181" s="710" t="s">
        <v>9556</v>
      </c>
      <c r="D1181" s="709" t="s">
        <v>180</v>
      </c>
      <c r="E1181" s="709" t="s">
        <v>8432</v>
      </c>
      <c r="F1181" s="716">
        <v>838.66</v>
      </c>
      <c r="G1181" s="716">
        <v>500.25</v>
      </c>
      <c r="H1181" s="225">
        <f t="shared" si="18"/>
        <v>838.66</v>
      </c>
    </row>
    <row r="1182" spans="1:8" x14ac:dyDescent="0.3">
      <c r="A1182" s="401"/>
      <c r="B1182" s="709">
        <v>1518</v>
      </c>
      <c r="C1182" s="710" t="s">
        <v>9557</v>
      </c>
      <c r="D1182" s="709" t="s">
        <v>180</v>
      </c>
      <c r="E1182" s="709" t="s">
        <v>8438</v>
      </c>
      <c r="F1182" s="716">
        <v>855</v>
      </c>
      <c r="G1182" s="716">
        <v>510</v>
      </c>
      <c r="H1182" s="225">
        <f t="shared" si="18"/>
        <v>855</v>
      </c>
    </row>
    <row r="1183" spans="1:8" x14ac:dyDescent="0.3">
      <c r="A1183" s="401"/>
      <c r="B1183" s="709">
        <v>41965</v>
      </c>
      <c r="C1183" s="710" t="s">
        <v>9558</v>
      </c>
      <c r="D1183" s="709" t="s">
        <v>180</v>
      </c>
      <c r="E1183" s="709" t="s">
        <v>8432</v>
      </c>
      <c r="F1183" s="716">
        <v>749.69</v>
      </c>
      <c r="G1183" s="716">
        <v>447.18</v>
      </c>
      <c r="H1183" s="225">
        <f t="shared" si="18"/>
        <v>749.69</v>
      </c>
    </row>
    <row r="1184" spans="1:8" x14ac:dyDescent="0.3">
      <c r="A1184" s="401"/>
      <c r="B1184" s="709">
        <v>1524</v>
      </c>
      <c r="C1184" s="710" t="s">
        <v>9559</v>
      </c>
      <c r="D1184" s="709" t="s">
        <v>170</v>
      </c>
      <c r="E1184" s="709" t="s">
        <v>8432</v>
      </c>
      <c r="F1184" s="716">
        <v>680.14</v>
      </c>
      <c r="G1184" s="716">
        <v>520.9</v>
      </c>
      <c r="H1184" s="225">
        <f t="shared" si="18"/>
        <v>680.14</v>
      </c>
    </row>
    <row r="1185" spans="1:8" x14ac:dyDescent="0.3">
      <c r="A1185" s="401"/>
      <c r="B1185" s="709">
        <v>34492</v>
      </c>
      <c r="C1185" s="710" t="s">
        <v>9560</v>
      </c>
      <c r="D1185" s="709" t="s">
        <v>170</v>
      </c>
      <c r="E1185" s="709" t="s">
        <v>8438</v>
      </c>
      <c r="F1185" s="716">
        <v>630</v>
      </c>
      <c r="G1185" s="716">
        <v>482.5</v>
      </c>
      <c r="H1185" s="225">
        <f t="shared" si="18"/>
        <v>630</v>
      </c>
    </row>
    <row r="1186" spans="1:8" x14ac:dyDescent="0.3">
      <c r="A1186" s="401"/>
      <c r="B1186" s="709">
        <v>38404</v>
      </c>
      <c r="C1186" s="710" t="s">
        <v>9561</v>
      </c>
      <c r="D1186" s="709" t="s">
        <v>170</v>
      </c>
      <c r="E1186" s="709" t="s">
        <v>8432</v>
      </c>
      <c r="F1186" s="716">
        <v>652.55999999999995</v>
      </c>
      <c r="G1186" s="716">
        <v>499.77</v>
      </c>
      <c r="H1186" s="225">
        <f t="shared" si="18"/>
        <v>652.55999999999995</v>
      </c>
    </row>
    <row r="1187" spans="1:8" x14ac:dyDescent="0.3">
      <c r="A1187" s="401"/>
      <c r="B1187" s="709">
        <v>39849</v>
      </c>
      <c r="C1187" s="710" t="s">
        <v>9562</v>
      </c>
      <c r="D1187" s="709" t="s">
        <v>170</v>
      </c>
      <c r="E1187" s="709" t="s">
        <v>8432</v>
      </c>
      <c r="F1187" s="716">
        <v>747.83</v>
      </c>
      <c r="G1187" s="716">
        <v>572.74</v>
      </c>
      <c r="H1187" s="225">
        <f t="shared" si="18"/>
        <v>747.83</v>
      </c>
    </row>
    <row r="1188" spans="1:8" x14ac:dyDescent="0.3">
      <c r="A1188" s="401"/>
      <c r="B1188" s="709">
        <v>38464</v>
      </c>
      <c r="C1188" s="710" t="s">
        <v>9563</v>
      </c>
      <c r="D1188" s="709" t="s">
        <v>170</v>
      </c>
      <c r="E1188" s="709" t="s">
        <v>8432</v>
      </c>
      <c r="F1188" s="716">
        <v>758.69</v>
      </c>
      <c r="G1188" s="716">
        <v>581.05999999999995</v>
      </c>
      <c r="H1188" s="225">
        <f t="shared" si="18"/>
        <v>758.69</v>
      </c>
    </row>
    <row r="1189" spans="1:8" x14ac:dyDescent="0.3">
      <c r="A1189" s="401"/>
      <c r="B1189" s="709">
        <v>1527</v>
      </c>
      <c r="C1189" s="710" t="s">
        <v>9564</v>
      </c>
      <c r="D1189" s="709" t="s">
        <v>170</v>
      </c>
      <c r="E1189" s="709" t="s">
        <v>8432</v>
      </c>
      <c r="F1189" s="716">
        <v>701.74</v>
      </c>
      <c r="G1189" s="716">
        <v>537.44000000000005</v>
      </c>
      <c r="H1189" s="225">
        <f t="shared" si="18"/>
        <v>701.74</v>
      </c>
    </row>
    <row r="1190" spans="1:8" x14ac:dyDescent="0.3">
      <c r="A1190" s="401"/>
      <c r="B1190" s="709">
        <v>34493</v>
      </c>
      <c r="C1190" s="710" t="s">
        <v>9565</v>
      </c>
      <c r="D1190" s="709" t="s">
        <v>170</v>
      </c>
      <c r="E1190" s="709" t="s">
        <v>8432</v>
      </c>
      <c r="F1190" s="716">
        <v>647.75</v>
      </c>
      <c r="G1190" s="716">
        <v>496.1</v>
      </c>
      <c r="H1190" s="225">
        <f t="shared" si="18"/>
        <v>647.75</v>
      </c>
    </row>
    <row r="1191" spans="1:8" x14ac:dyDescent="0.3">
      <c r="A1191" s="401"/>
      <c r="B1191" s="709">
        <v>38405</v>
      </c>
      <c r="C1191" s="710" t="s">
        <v>9566</v>
      </c>
      <c r="D1191" s="709" t="s">
        <v>170</v>
      </c>
      <c r="E1191" s="709" t="s">
        <v>8432</v>
      </c>
      <c r="F1191" s="716">
        <v>672.68</v>
      </c>
      <c r="G1191" s="716">
        <v>515.19000000000005</v>
      </c>
      <c r="H1191" s="225">
        <f t="shared" si="18"/>
        <v>672.68</v>
      </c>
    </row>
    <row r="1192" spans="1:8" x14ac:dyDescent="0.3">
      <c r="A1192" s="401"/>
      <c r="B1192" s="709">
        <v>38408</v>
      </c>
      <c r="C1192" s="710" t="s">
        <v>9567</v>
      </c>
      <c r="D1192" s="709" t="s">
        <v>170</v>
      </c>
      <c r="E1192" s="709" t="s">
        <v>8432</v>
      </c>
      <c r="F1192" s="716">
        <v>744.59</v>
      </c>
      <c r="G1192" s="716">
        <v>570.26</v>
      </c>
      <c r="H1192" s="225">
        <f t="shared" si="18"/>
        <v>744.59</v>
      </c>
    </row>
    <row r="1193" spans="1:8" x14ac:dyDescent="0.3">
      <c r="A1193" s="401"/>
      <c r="B1193" s="709">
        <v>1525</v>
      </c>
      <c r="C1193" s="710" t="s">
        <v>9568</v>
      </c>
      <c r="D1193" s="709" t="s">
        <v>170</v>
      </c>
      <c r="E1193" s="709" t="s">
        <v>8432</v>
      </c>
      <c r="F1193" s="716">
        <v>723.32</v>
      </c>
      <c r="G1193" s="716">
        <v>553.97</v>
      </c>
      <c r="H1193" s="225">
        <f t="shared" si="18"/>
        <v>723.32</v>
      </c>
    </row>
    <row r="1194" spans="1:8" x14ac:dyDescent="0.3">
      <c r="A1194" s="401"/>
      <c r="B1194" s="709">
        <v>34494</v>
      </c>
      <c r="C1194" s="710" t="s">
        <v>9569</v>
      </c>
      <c r="D1194" s="709" t="s">
        <v>170</v>
      </c>
      <c r="E1194" s="709" t="s">
        <v>8432</v>
      </c>
      <c r="F1194" s="716">
        <v>669.35</v>
      </c>
      <c r="G1194" s="716">
        <v>512.63</v>
      </c>
      <c r="H1194" s="225">
        <f t="shared" si="18"/>
        <v>669.35</v>
      </c>
    </row>
    <row r="1195" spans="1:8" x14ac:dyDescent="0.3">
      <c r="A1195" s="401"/>
      <c r="B1195" s="709">
        <v>38406</v>
      </c>
      <c r="C1195" s="710" t="s">
        <v>9570</v>
      </c>
      <c r="D1195" s="709" t="s">
        <v>170</v>
      </c>
      <c r="E1195" s="709" t="s">
        <v>8432</v>
      </c>
      <c r="F1195" s="716">
        <v>710.31</v>
      </c>
      <c r="G1195" s="716">
        <v>544</v>
      </c>
      <c r="H1195" s="225">
        <f t="shared" si="18"/>
        <v>710.31</v>
      </c>
    </row>
    <row r="1196" spans="1:8" x14ac:dyDescent="0.3">
      <c r="A1196" s="401"/>
      <c r="B1196" s="709">
        <v>38409</v>
      </c>
      <c r="C1196" s="710" t="s">
        <v>9571</v>
      </c>
      <c r="D1196" s="709" t="s">
        <v>170</v>
      </c>
      <c r="E1196" s="709" t="s">
        <v>8432</v>
      </c>
      <c r="F1196" s="716">
        <v>749.67</v>
      </c>
      <c r="G1196" s="716">
        <v>574.15</v>
      </c>
      <c r="H1196" s="225">
        <f t="shared" si="18"/>
        <v>749.67</v>
      </c>
    </row>
    <row r="1197" spans="1:8" x14ac:dyDescent="0.3">
      <c r="A1197" s="401"/>
      <c r="B1197" s="709">
        <v>43360</v>
      </c>
      <c r="C1197" s="710" t="s">
        <v>9572</v>
      </c>
      <c r="D1197" s="709" t="s">
        <v>170</v>
      </c>
      <c r="E1197" s="709" t="s">
        <v>8432</v>
      </c>
      <c r="F1197" s="716">
        <v>781.69</v>
      </c>
      <c r="G1197" s="716">
        <v>598.66999999999996</v>
      </c>
      <c r="H1197" s="225">
        <f t="shared" si="18"/>
        <v>781.69</v>
      </c>
    </row>
    <row r="1198" spans="1:8" x14ac:dyDescent="0.3">
      <c r="A1198" s="401"/>
      <c r="B1198" s="709">
        <v>11145</v>
      </c>
      <c r="C1198" s="710" t="s">
        <v>9573</v>
      </c>
      <c r="D1198" s="709" t="s">
        <v>170</v>
      </c>
      <c r="E1198" s="709" t="s">
        <v>8432</v>
      </c>
      <c r="F1198" s="716">
        <v>744.92</v>
      </c>
      <c r="G1198" s="716">
        <v>570.51</v>
      </c>
      <c r="H1198" s="225">
        <f t="shared" si="18"/>
        <v>744.92</v>
      </c>
    </row>
    <row r="1199" spans="1:8" x14ac:dyDescent="0.3">
      <c r="A1199" s="401"/>
      <c r="B1199" s="709">
        <v>34495</v>
      </c>
      <c r="C1199" s="710" t="s">
        <v>9574</v>
      </c>
      <c r="D1199" s="709" t="s">
        <v>170</v>
      </c>
      <c r="E1199" s="709" t="s">
        <v>8432</v>
      </c>
      <c r="F1199" s="716">
        <v>690.94</v>
      </c>
      <c r="G1199" s="716">
        <v>529.16999999999996</v>
      </c>
      <c r="H1199" s="225">
        <f t="shared" si="18"/>
        <v>690.94</v>
      </c>
    </row>
    <row r="1200" spans="1:8" x14ac:dyDescent="0.3">
      <c r="A1200" s="401"/>
      <c r="B1200" s="709">
        <v>34479</v>
      </c>
      <c r="C1200" s="710" t="s">
        <v>9575</v>
      </c>
      <c r="D1200" s="709" t="s">
        <v>170</v>
      </c>
      <c r="E1200" s="709" t="s">
        <v>8432</v>
      </c>
      <c r="F1200" s="716">
        <v>766.51</v>
      </c>
      <c r="G1200" s="716">
        <v>587.04999999999995</v>
      </c>
      <c r="H1200" s="225">
        <f t="shared" si="18"/>
        <v>766.51</v>
      </c>
    </row>
    <row r="1201" spans="1:8" x14ac:dyDescent="0.3">
      <c r="A1201" s="401"/>
      <c r="B1201" s="709">
        <v>34496</v>
      </c>
      <c r="C1201" s="710" t="s">
        <v>9576</v>
      </c>
      <c r="D1201" s="709" t="s">
        <v>170</v>
      </c>
      <c r="E1201" s="709" t="s">
        <v>8432</v>
      </c>
      <c r="F1201" s="716">
        <v>720.77</v>
      </c>
      <c r="G1201" s="716">
        <v>552.02</v>
      </c>
      <c r="H1201" s="225">
        <f t="shared" si="18"/>
        <v>720.77</v>
      </c>
    </row>
    <row r="1202" spans="1:8" x14ac:dyDescent="0.3">
      <c r="A1202" s="401"/>
      <c r="B1202" s="709">
        <v>34481</v>
      </c>
      <c r="C1202" s="710" t="s">
        <v>9577</v>
      </c>
      <c r="D1202" s="709" t="s">
        <v>170</v>
      </c>
      <c r="E1202" s="709" t="s">
        <v>8432</v>
      </c>
      <c r="F1202" s="716">
        <v>800.91</v>
      </c>
      <c r="G1202" s="716">
        <v>613.39</v>
      </c>
      <c r="H1202" s="225">
        <f t="shared" si="18"/>
        <v>800.91</v>
      </c>
    </row>
    <row r="1203" spans="1:8" x14ac:dyDescent="0.3">
      <c r="A1203" s="401"/>
      <c r="B1203" s="709">
        <v>34483</v>
      </c>
      <c r="C1203" s="710" t="s">
        <v>9578</v>
      </c>
      <c r="D1203" s="709" t="s">
        <v>170</v>
      </c>
      <c r="E1203" s="709" t="s">
        <v>8432</v>
      </c>
      <c r="F1203" s="716">
        <v>855.72</v>
      </c>
      <c r="G1203" s="716">
        <v>655.37</v>
      </c>
      <c r="H1203" s="225">
        <f t="shared" si="18"/>
        <v>855.72</v>
      </c>
    </row>
    <row r="1204" spans="1:8" x14ac:dyDescent="0.3">
      <c r="A1204" s="401"/>
      <c r="B1204" s="709">
        <v>34485</v>
      </c>
      <c r="C1204" s="710" t="s">
        <v>9579</v>
      </c>
      <c r="D1204" s="709" t="s">
        <v>170</v>
      </c>
      <c r="E1204" s="709" t="s">
        <v>8432</v>
      </c>
      <c r="F1204" s="716">
        <v>915.09</v>
      </c>
      <c r="G1204" s="716">
        <v>700.84</v>
      </c>
      <c r="H1204" s="225">
        <f t="shared" si="18"/>
        <v>915.09</v>
      </c>
    </row>
    <row r="1205" spans="1:8" x14ac:dyDescent="0.3">
      <c r="A1205" s="401"/>
      <c r="B1205" s="709">
        <v>14041</v>
      </c>
      <c r="C1205" s="710" t="s">
        <v>9580</v>
      </c>
      <c r="D1205" s="709" t="s">
        <v>170</v>
      </c>
      <c r="E1205" s="709" t="s">
        <v>8432</v>
      </c>
      <c r="F1205" s="716">
        <v>594.85</v>
      </c>
      <c r="G1205" s="716">
        <v>455.58</v>
      </c>
      <c r="H1205" s="225">
        <f t="shared" si="18"/>
        <v>594.85</v>
      </c>
    </row>
    <row r="1206" spans="1:8" x14ac:dyDescent="0.3">
      <c r="A1206" s="401"/>
      <c r="B1206" s="709">
        <v>1523</v>
      </c>
      <c r="C1206" s="710" t="s">
        <v>9581</v>
      </c>
      <c r="D1206" s="709" t="s">
        <v>170</v>
      </c>
      <c r="E1206" s="709" t="s">
        <v>8432</v>
      </c>
      <c r="F1206" s="716">
        <v>604.57000000000005</v>
      </c>
      <c r="G1206" s="716">
        <v>463.02</v>
      </c>
      <c r="H1206" s="225">
        <f t="shared" si="18"/>
        <v>604.57000000000005</v>
      </c>
    </row>
    <row r="1207" spans="1:8" x14ac:dyDescent="0.3">
      <c r="A1207" s="401"/>
      <c r="B1207" s="709">
        <v>14054</v>
      </c>
      <c r="C1207" s="710" t="s">
        <v>9582</v>
      </c>
      <c r="D1207" s="709" t="s">
        <v>136</v>
      </c>
      <c r="E1207" s="709" t="s">
        <v>8432</v>
      </c>
      <c r="F1207" s="716">
        <v>23.74</v>
      </c>
      <c r="G1207" s="716">
        <v>21.57</v>
      </c>
      <c r="H1207" s="225">
        <f t="shared" si="18"/>
        <v>23.74</v>
      </c>
    </row>
    <row r="1208" spans="1:8" x14ac:dyDescent="0.3">
      <c r="A1208" s="401"/>
      <c r="B1208" s="709">
        <v>14052</v>
      </c>
      <c r="C1208" s="710" t="s">
        <v>9583</v>
      </c>
      <c r="D1208" s="709" t="s">
        <v>136</v>
      </c>
      <c r="E1208" s="709" t="s">
        <v>8432</v>
      </c>
      <c r="F1208" s="716">
        <v>18.27</v>
      </c>
      <c r="G1208" s="716">
        <v>16.59</v>
      </c>
      <c r="H1208" s="225">
        <f t="shared" si="18"/>
        <v>18.27</v>
      </c>
    </row>
    <row r="1209" spans="1:8" x14ac:dyDescent="0.3">
      <c r="A1209" s="401"/>
      <c r="B1209" s="709">
        <v>14053</v>
      </c>
      <c r="C1209" s="710" t="s">
        <v>9584</v>
      </c>
      <c r="D1209" s="709" t="s">
        <v>136</v>
      </c>
      <c r="E1209" s="709" t="s">
        <v>8432</v>
      </c>
      <c r="F1209" s="716">
        <v>18.54</v>
      </c>
      <c r="G1209" s="716">
        <v>16.84</v>
      </c>
      <c r="H1209" s="225">
        <f t="shared" si="18"/>
        <v>18.54</v>
      </c>
    </row>
    <row r="1210" spans="1:8" x14ac:dyDescent="0.3">
      <c r="A1210" s="401"/>
      <c r="B1210" s="709">
        <v>2560</v>
      </c>
      <c r="C1210" s="710" t="s">
        <v>9585</v>
      </c>
      <c r="D1210" s="709" t="s">
        <v>136</v>
      </c>
      <c r="E1210" s="709" t="s">
        <v>8432</v>
      </c>
      <c r="F1210" s="716">
        <v>24.57</v>
      </c>
      <c r="G1210" s="716">
        <v>22.32</v>
      </c>
      <c r="H1210" s="225">
        <f t="shared" si="18"/>
        <v>24.57</v>
      </c>
    </row>
    <row r="1211" spans="1:8" x14ac:dyDescent="0.3">
      <c r="A1211" s="401"/>
      <c r="B1211" s="709">
        <v>2558</v>
      </c>
      <c r="C1211" s="710" t="s">
        <v>9586</v>
      </c>
      <c r="D1211" s="709" t="s">
        <v>136</v>
      </c>
      <c r="E1211" s="709" t="s">
        <v>8432</v>
      </c>
      <c r="F1211" s="716">
        <v>13.96</v>
      </c>
      <c r="G1211" s="716">
        <v>12.68</v>
      </c>
      <c r="H1211" s="225">
        <f t="shared" si="18"/>
        <v>13.96</v>
      </c>
    </row>
    <row r="1212" spans="1:8" x14ac:dyDescent="0.3">
      <c r="A1212" s="401"/>
      <c r="B1212" s="709">
        <v>2559</v>
      </c>
      <c r="C1212" s="710" t="s">
        <v>9587</v>
      </c>
      <c r="D1212" s="709" t="s">
        <v>136</v>
      </c>
      <c r="E1212" s="709" t="s">
        <v>8438</v>
      </c>
      <c r="F1212" s="716">
        <v>19.649999999999999</v>
      </c>
      <c r="G1212" s="716">
        <v>17.850000000000001</v>
      </c>
      <c r="H1212" s="225">
        <f t="shared" si="18"/>
        <v>19.649999999999999</v>
      </c>
    </row>
    <row r="1213" spans="1:8" x14ac:dyDescent="0.3">
      <c r="A1213" s="401"/>
      <c r="B1213" s="709">
        <v>2592</v>
      </c>
      <c r="C1213" s="710" t="s">
        <v>9588</v>
      </c>
      <c r="D1213" s="709" t="s">
        <v>136</v>
      </c>
      <c r="E1213" s="709" t="s">
        <v>8432</v>
      </c>
      <c r="F1213" s="716">
        <v>325.75</v>
      </c>
      <c r="G1213" s="716">
        <v>295.91000000000003</v>
      </c>
      <c r="H1213" s="225">
        <f t="shared" si="18"/>
        <v>325.75</v>
      </c>
    </row>
    <row r="1214" spans="1:8" x14ac:dyDescent="0.3">
      <c r="A1214" s="401"/>
      <c r="B1214" s="709">
        <v>2589</v>
      </c>
      <c r="C1214" s="710" t="s">
        <v>9589</v>
      </c>
      <c r="D1214" s="709" t="s">
        <v>136</v>
      </c>
      <c r="E1214" s="709" t="s">
        <v>8432</v>
      </c>
      <c r="F1214" s="716">
        <v>43.57</v>
      </c>
      <c r="G1214" s="716">
        <v>39.58</v>
      </c>
      <c r="H1214" s="225">
        <f t="shared" si="18"/>
        <v>43.57</v>
      </c>
    </row>
    <row r="1215" spans="1:8" x14ac:dyDescent="0.3">
      <c r="A1215" s="401"/>
      <c r="B1215" s="709">
        <v>2566</v>
      </c>
      <c r="C1215" s="710" t="s">
        <v>9590</v>
      </c>
      <c r="D1215" s="709" t="s">
        <v>136</v>
      </c>
      <c r="E1215" s="709" t="s">
        <v>8432</v>
      </c>
      <c r="F1215" s="716">
        <v>32.78</v>
      </c>
      <c r="G1215" s="716">
        <v>29.78</v>
      </c>
      <c r="H1215" s="225">
        <f t="shared" si="18"/>
        <v>32.78</v>
      </c>
    </row>
    <row r="1216" spans="1:8" x14ac:dyDescent="0.3">
      <c r="A1216" s="401"/>
      <c r="B1216" s="709">
        <v>2590</v>
      </c>
      <c r="C1216" s="710" t="s">
        <v>9591</v>
      </c>
      <c r="D1216" s="709" t="s">
        <v>136</v>
      </c>
      <c r="E1216" s="709" t="s">
        <v>8432</v>
      </c>
      <c r="F1216" s="716">
        <v>26.74</v>
      </c>
      <c r="G1216" s="716">
        <v>24.29</v>
      </c>
      <c r="H1216" s="225">
        <f t="shared" si="18"/>
        <v>26.74</v>
      </c>
    </row>
    <row r="1217" spans="1:8" x14ac:dyDescent="0.3">
      <c r="A1217" s="401"/>
      <c r="B1217" s="709">
        <v>2591</v>
      </c>
      <c r="C1217" s="710" t="s">
        <v>9592</v>
      </c>
      <c r="D1217" s="709" t="s">
        <v>136</v>
      </c>
      <c r="E1217" s="709" t="s">
        <v>8432</v>
      </c>
      <c r="F1217" s="716">
        <v>15.89</v>
      </c>
      <c r="G1217" s="716">
        <v>14.44</v>
      </c>
      <c r="H1217" s="225">
        <f t="shared" si="18"/>
        <v>15.89</v>
      </c>
    </row>
    <row r="1218" spans="1:8" x14ac:dyDescent="0.3">
      <c r="A1218" s="401"/>
      <c r="B1218" s="709">
        <v>2567</v>
      </c>
      <c r="C1218" s="710" t="s">
        <v>9593</v>
      </c>
      <c r="D1218" s="709" t="s">
        <v>136</v>
      </c>
      <c r="E1218" s="709" t="s">
        <v>8432</v>
      </c>
      <c r="F1218" s="716">
        <v>63.91</v>
      </c>
      <c r="G1218" s="716">
        <v>58.06</v>
      </c>
      <c r="H1218" s="225">
        <f t="shared" si="18"/>
        <v>63.91</v>
      </c>
    </row>
    <row r="1219" spans="1:8" x14ac:dyDescent="0.3">
      <c r="A1219" s="401"/>
      <c r="B1219" s="709">
        <v>2568</v>
      </c>
      <c r="C1219" s="710" t="s">
        <v>9594</v>
      </c>
      <c r="D1219" s="709" t="s">
        <v>136</v>
      </c>
      <c r="E1219" s="709" t="s">
        <v>8432</v>
      </c>
      <c r="F1219" s="716">
        <v>177.48</v>
      </c>
      <c r="G1219" s="716">
        <v>161.22</v>
      </c>
      <c r="H1219" s="225">
        <f t="shared" si="18"/>
        <v>177.48</v>
      </c>
    </row>
    <row r="1220" spans="1:8" x14ac:dyDescent="0.3">
      <c r="A1220" s="401"/>
      <c r="B1220" s="709">
        <v>2565</v>
      </c>
      <c r="C1220" s="710" t="s">
        <v>9595</v>
      </c>
      <c r="D1220" s="709" t="s">
        <v>136</v>
      </c>
      <c r="E1220" s="709" t="s">
        <v>8432</v>
      </c>
      <c r="F1220" s="716">
        <v>15.92</v>
      </c>
      <c r="G1220" s="716">
        <v>14.46</v>
      </c>
      <c r="H1220" s="225">
        <f t="shared" si="18"/>
        <v>15.92</v>
      </c>
    </row>
    <row r="1221" spans="1:8" x14ac:dyDescent="0.3">
      <c r="A1221" s="401"/>
      <c r="B1221" s="709">
        <v>2594</v>
      </c>
      <c r="C1221" s="710" t="s">
        <v>9596</v>
      </c>
      <c r="D1221" s="709" t="s">
        <v>136</v>
      </c>
      <c r="E1221" s="709" t="s">
        <v>8432</v>
      </c>
      <c r="F1221" s="716">
        <v>295.67</v>
      </c>
      <c r="G1221" s="716">
        <v>268.58</v>
      </c>
      <c r="H1221" s="225">
        <f t="shared" si="18"/>
        <v>295.67</v>
      </c>
    </row>
    <row r="1222" spans="1:8" x14ac:dyDescent="0.3">
      <c r="A1222" s="401"/>
      <c r="B1222" s="709">
        <v>2587</v>
      </c>
      <c r="C1222" s="710" t="s">
        <v>9597</v>
      </c>
      <c r="D1222" s="709" t="s">
        <v>136</v>
      </c>
      <c r="E1222" s="709" t="s">
        <v>8432</v>
      </c>
      <c r="F1222" s="716">
        <v>50.39</v>
      </c>
      <c r="G1222" s="716">
        <v>45.77</v>
      </c>
      <c r="H1222" s="225">
        <f t="shared" si="18"/>
        <v>50.39</v>
      </c>
    </row>
    <row r="1223" spans="1:8" x14ac:dyDescent="0.3">
      <c r="A1223" s="401"/>
      <c r="B1223" s="709">
        <v>2588</v>
      </c>
      <c r="C1223" s="710" t="s">
        <v>9598</v>
      </c>
      <c r="D1223" s="709" t="s">
        <v>136</v>
      </c>
      <c r="E1223" s="709" t="s">
        <v>8432</v>
      </c>
      <c r="F1223" s="716">
        <v>40.03</v>
      </c>
      <c r="G1223" s="716">
        <v>36.36</v>
      </c>
      <c r="H1223" s="225">
        <f t="shared" si="18"/>
        <v>40.03</v>
      </c>
    </row>
    <row r="1224" spans="1:8" x14ac:dyDescent="0.3">
      <c r="A1224" s="401"/>
      <c r="B1224" s="709">
        <v>2570</v>
      </c>
      <c r="C1224" s="710" t="s">
        <v>9599</v>
      </c>
      <c r="D1224" s="709" t="s">
        <v>136</v>
      </c>
      <c r="E1224" s="709" t="s">
        <v>8432</v>
      </c>
      <c r="F1224" s="716">
        <v>25.85</v>
      </c>
      <c r="G1224" s="716">
        <v>23.49</v>
      </c>
      <c r="H1224" s="225">
        <f t="shared" si="18"/>
        <v>25.85</v>
      </c>
    </row>
    <row r="1225" spans="1:8" x14ac:dyDescent="0.3">
      <c r="A1225" s="401"/>
      <c r="B1225" s="709">
        <v>2569</v>
      </c>
      <c r="C1225" s="710" t="s">
        <v>9600</v>
      </c>
      <c r="D1225" s="709" t="s">
        <v>136</v>
      </c>
      <c r="E1225" s="709" t="s">
        <v>8432</v>
      </c>
      <c r="F1225" s="716">
        <v>15.42</v>
      </c>
      <c r="G1225" s="716">
        <v>14.01</v>
      </c>
      <c r="H1225" s="225">
        <f t="shared" si="18"/>
        <v>15.42</v>
      </c>
    </row>
    <row r="1226" spans="1:8" x14ac:dyDescent="0.3">
      <c r="A1226" s="401"/>
      <c r="B1226" s="709">
        <v>2571</v>
      </c>
      <c r="C1226" s="710" t="s">
        <v>9601</v>
      </c>
      <c r="D1226" s="709" t="s">
        <v>136</v>
      </c>
      <c r="E1226" s="709" t="s">
        <v>8432</v>
      </c>
      <c r="F1226" s="716">
        <v>76.75</v>
      </c>
      <c r="G1226" s="716">
        <v>69.72</v>
      </c>
      <c r="H1226" s="225">
        <f t="shared" si="18"/>
        <v>76.75</v>
      </c>
    </row>
    <row r="1227" spans="1:8" x14ac:dyDescent="0.3">
      <c r="A1227" s="401"/>
      <c r="B1227" s="709">
        <v>2572</v>
      </c>
      <c r="C1227" s="710" t="s">
        <v>9602</v>
      </c>
      <c r="D1227" s="709" t="s">
        <v>136</v>
      </c>
      <c r="E1227" s="709" t="s">
        <v>8432</v>
      </c>
      <c r="F1227" s="716">
        <v>226.96</v>
      </c>
      <c r="G1227" s="716">
        <v>206.17</v>
      </c>
      <c r="H1227" s="225">
        <f t="shared" ref="H1227:H1290" si="19">IF(F1227&gt;0,F1227,G1227)</f>
        <v>226.96</v>
      </c>
    </row>
    <row r="1228" spans="1:8" x14ac:dyDescent="0.3">
      <c r="A1228" s="401"/>
      <c r="B1228" s="709">
        <v>2593</v>
      </c>
      <c r="C1228" s="710" t="s">
        <v>9603</v>
      </c>
      <c r="D1228" s="709" t="s">
        <v>136</v>
      </c>
      <c r="E1228" s="709" t="s">
        <v>8432</v>
      </c>
      <c r="F1228" s="716">
        <v>16.440000000000001</v>
      </c>
      <c r="G1228" s="716">
        <v>14.94</v>
      </c>
      <c r="H1228" s="225">
        <f t="shared" si="19"/>
        <v>16.440000000000001</v>
      </c>
    </row>
    <row r="1229" spans="1:8" x14ac:dyDescent="0.3">
      <c r="A1229" s="401"/>
      <c r="B1229" s="709">
        <v>2595</v>
      </c>
      <c r="C1229" s="710" t="s">
        <v>9604</v>
      </c>
      <c r="D1229" s="709" t="s">
        <v>136</v>
      </c>
      <c r="E1229" s="709" t="s">
        <v>8432</v>
      </c>
      <c r="F1229" s="716">
        <v>354.11</v>
      </c>
      <c r="G1229" s="716">
        <v>321.67</v>
      </c>
      <c r="H1229" s="225">
        <f t="shared" si="19"/>
        <v>354.11</v>
      </c>
    </row>
    <row r="1230" spans="1:8" x14ac:dyDescent="0.3">
      <c r="A1230" s="401"/>
      <c r="B1230" s="709">
        <v>2576</v>
      </c>
      <c r="C1230" s="710" t="s">
        <v>9605</v>
      </c>
      <c r="D1230" s="709" t="s">
        <v>136</v>
      </c>
      <c r="E1230" s="709" t="s">
        <v>8432</v>
      </c>
      <c r="F1230" s="716">
        <v>60.37</v>
      </c>
      <c r="G1230" s="716">
        <v>54.84</v>
      </c>
      <c r="H1230" s="225">
        <f t="shared" si="19"/>
        <v>60.37</v>
      </c>
    </row>
    <row r="1231" spans="1:8" x14ac:dyDescent="0.3">
      <c r="A1231" s="401"/>
      <c r="B1231" s="709">
        <v>2575</v>
      </c>
      <c r="C1231" s="710" t="s">
        <v>9606</v>
      </c>
      <c r="D1231" s="709" t="s">
        <v>136</v>
      </c>
      <c r="E1231" s="709" t="s">
        <v>8432</v>
      </c>
      <c r="F1231" s="716">
        <v>45.38</v>
      </c>
      <c r="G1231" s="716">
        <v>41.22</v>
      </c>
      <c r="H1231" s="225">
        <f t="shared" si="19"/>
        <v>45.38</v>
      </c>
    </row>
    <row r="1232" spans="1:8" x14ac:dyDescent="0.3">
      <c r="A1232" s="401"/>
      <c r="B1232" s="709">
        <v>2586</v>
      </c>
      <c r="C1232" s="710" t="s">
        <v>9607</v>
      </c>
      <c r="D1232" s="709" t="s">
        <v>136</v>
      </c>
      <c r="E1232" s="709" t="s">
        <v>8432</v>
      </c>
      <c r="F1232" s="716">
        <v>30.55</v>
      </c>
      <c r="G1232" s="716">
        <v>27.75</v>
      </c>
      <c r="H1232" s="225">
        <f t="shared" si="19"/>
        <v>30.55</v>
      </c>
    </row>
    <row r="1233" spans="1:8" x14ac:dyDescent="0.3">
      <c r="A1233" s="401"/>
      <c r="B1233" s="709">
        <v>2573</v>
      </c>
      <c r="C1233" s="710" t="s">
        <v>9608</v>
      </c>
      <c r="D1233" s="709" t="s">
        <v>136</v>
      </c>
      <c r="E1233" s="709" t="s">
        <v>8432</v>
      </c>
      <c r="F1233" s="716">
        <v>18.84</v>
      </c>
      <c r="G1233" s="716">
        <v>17.12</v>
      </c>
      <c r="H1233" s="225">
        <f t="shared" si="19"/>
        <v>18.84</v>
      </c>
    </row>
    <row r="1234" spans="1:8" x14ac:dyDescent="0.3">
      <c r="A1234" s="401"/>
      <c r="B1234" s="709">
        <v>2577</v>
      </c>
      <c r="C1234" s="710" t="s">
        <v>9609</v>
      </c>
      <c r="D1234" s="709" t="s">
        <v>136</v>
      </c>
      <c r="E1234" s="709" t="s">
        <v>8432</v>
      </c>
      <c r="F1234" s="716">
        <v>81.8</v>
      </c>
      <c r="G1234" s="716">
        <v>74.3</v>
      </c>
      <c r="H1234" s="225">
        <f t="shared" si="19"/>
        <v>81.8</v>
      </c>
    </row>
    <row r="1235" spans="1:8" x14ac:dyDescent="0.3">
      <c r="A1235" s="401"/>
      <c r="B1235" s="709">
        <v>2578</v>
      </c>
      <c r="C1235" s="710" t="s">
        <v>9610</v>
      </c>
      <c r="D1235" s="709" t="s">
        <v>136</v>
      </c>
      <c r="E1235" s="709" t="s">
        <v>8432</v>
      </c>
      <c r="F1235" s="716">
        <v>255.38</v>
      </c>
      <c r="G1235" s="716">
        <v>231.98</v>
      </c>
      <c r="H1235" s="225">
        <f t="shared" si="19"/>
        <v>255.38</v>
      </c>
    </row>
    <row r="1236" spans="1:8" x14ac:dyDescent="0.3">
      <c r="A1236" s="401"/>
      <c r="B1236" s="709">
        <v>2574</v>
      </c>
      <c r="C1236" s="710" t="s">
        <v>9611</v>
      </c>
      <c r="D1236" s="709" t="s">
        <v>136</v>
      </c>
      <c r="E1236" s="709" t="s">
        <v>8432</v>
      </c>
      <c r="F1236" s="716">
        <v>18.97</v>
      </c>
      <c r="G1236" s="716">
        <v>17.23</v>
      </c>
      <c r="H1236" s="225">
        <f t="shared" si="19"/>
        <v>18.97</v>
      </c>
    </row>
    <row r="1237" spans="1:8" x14ac:dyDescent="0.3">
      <c r="A1237" s="401"/>
      <c r="B1237" s="709">
        <v>2585</v>
      </c>
      <c r="C1237" s="710" t="s">
        <v>9612</v>
      </c>
      <c r="D1237" s="709" t="s">
        <v>136</v>
      </c>
      <c r="E1237" s="709" t="s">
        <v>8432</v>
      </c>
      <c r="F1237" s="716">
        <v>350.44</v>
      </c>
      <c r="G1237" s="716">
        <v>318.33999999999997</v>
      </c>
      <c r="H1237" s="225">
        <f t="shared" si="19"/>
        <v>350.44</v>
      </c>
    </row>
    <row r="1238" spans="1:8" x14ac:dyDescent="0.3">
      <c r="A1238" s="401"/>
      <c r="B1238" s="709">
        <v>12008</v>
      </c>
      <c r="C1238" s="710" t="s">
        <v>9613</v>
      </c>
      <c r="D1238" s="709" t="s">
        <v>136</v>
      </c>
      <c r="E1238" s="709" t="s">
        <v>8432</v>
      </c>
      <c r="F1238" s="716">
        <v>188.02</v>
      </c>
      <c r="G1238" s="716">
        <v>170.8</v>
      </c>
      <c r="H1238" s="225">
        <f t="shared" si="19"/>
        <v>188.02</v>
      </c>
    </row>
    <row r="1239" spans="1:8" x14ac:dyDescent="0.3">
      <c r="A1239" s="401"/>
      <c r="B1239" s="709">
        <v>2582</v>
      </c>
      <c r="C1239" s="710" t="s">
        <v>9614</v>
      </c>
      <c r="D1239" s="709" t="s">
        <v>136</v>
      </c>
      <c r="E1239" s="709" t="s">
        <v>8432</v>
      </c>
      <c r="F1239" s="716">
        <v>55.99</v>
      </c>
      <c r="G1239" s="716">
        <v>50.86</v>
      </c>
      <c r="H1239" s="225">
        <f t="shared" si="19"/>
        <v>55.99</v>
      </c>
    </row>
    <row r="1240" spans="1:8" x14ac:dyDescent="0.3">
      <c r="A1240" s="401"/>
      <c r="B1240" s="709">
        <v>2597</v>
      </c>
      <c r="C1240" s="710" t="s">
        <v>9615</v>
      </c>
      <c r="D1240" s="709" t="s">
        <v>136</v>
      </c>
      <c r="E1240" s="709" t="s">
        <v>8432</v>
      </c>
      <c r="F1240" s="716">
        <v>47.99</v>
      </c>
      <c r="G1240" s="716">
        <v>43.59</v>
      </c>
      <c r="H1240" s="225">
        <f t="shared" si="19"/>
        <v>47.99</v>
      </c>
    </row>
    <row r="1241" spans="1:8" x14ac:dyDescent="0.3">
      <c r="A1241" s="401"/>
      <c r="B1241" s="709">
        <v>2581</v>
      </c>
      <c r="C1241" s="710" t="s">
        <v>9616</v>
      </c>
      <c r="D1241" s="709" t="s">
        <v>136</v>
      </c>
      <c r="E1241" s="709" t="s">
        <v>8432</v>
      </c>
      <c r="F1241" s="716">
        <v>29.24</v>
      </c>
      <c r="G1241" s="716">
        <v>26.56</v>
      </c>
      <c r="H1241" s="225">
        <f t="shared" si="19"/>
        <v>29.24</v>
      </c>
    </row>
    <row r="1242" spans="1:8" x14ac:dyDescent="0.3">
      <c r="A1242" s="401"/>
      <c r="B1242" s="709">
        <v>2579</v>
      </c>
      <c r="C1242" s="710" t="s">
        <v>9617</v>
      </c>
      <c r="D1242" s="709" t="s">
        <v>136</v>
      </c>
      <c r="E1242" s="709" t="s">
        <v>8432</v>
      </c>
      <c r="F1242" s="716">
        <v>22.85</v>
      </c>
      <c r="G1242" s="716">
        <v>20.75</v>
      </c>
      <c r="H1242" s="225">
        <f t="shared" si="19"/>
        <v>22.85</v>
      </c>
    </row>
    <row r="1243" spans="1:8" x14ac:dyDescent="0.3">
      <c r="A1243" s="401"/>
      <c r="B1243" s="709">
        <v>2596</v>
      </c>
      <c r="C1243" s="710" t="s">
        <v>9618</v>
      </c>
      <c r="D1243" s="709" t="s">
        <v>136</v>
      </c>
      <c r="E1243" s="709" t="s">
        <v>8432</v>
      </c>
      <c r="F1243" s="716">
        <v>86.46</v>
      </c>
      <c r="G1243" s="716">
        <v>78.540000000000006</v>
      </c>
      <c r="H1243" s="225">
        <f t="shared" si="19"/>
        <v>86.46</v>
      </c>
    </row>
    <row r="1244" spans="1:8" x14ac:dyDescent="0.3">
      <c r="A1244" s="401"/>
      <c r="B1244" s="709">
        <v>2583</v>
      </c>
      <c r="C1244" s="710" t="s">
        <v>9619</v>
      </c>
      <c r="D1244" s="709" t="s">
        <v>136</v>
      </c>
      <c r="E1244" s="709" t="s">
        <v>8432</v>
      </c>
      <c r="F1244" s="716">
        <v>210.29</v>
      </c>
      <c r="G1244" s="716">
        <v>191.03</v>
      </c>
      <c r="H1244" s="225">
        <f t="shared" si="19"/>
        <v>210.29</v>
      </c>
    </row>
    <row r="1245" spans="1:8" x14ac:dyDescent="0.3">
      <c r="A1245" s="401"/>
      <c r="B1245" s="709">
        <v>2580</v>
      </c>
      <c r="C1245" s="710" t="s">
        <v>9620</v>
      </c>
      <c r="D1245" s="709" t="s">
        <v>136</v>
      </c>
      <c r="E1245" s="709" t="s">
        <v>8432</v>
      </c>
      <c r="F1245" s="716">
        <v>25.04</v>
      </c>
      <c r="G1245" s="716">
        <v>22.75</v>
      </c>
      <c r="H1245" s="225">
        <f t="shared" si="19"/>
        <v>25.04</v>
      </c>
    </row>
    <row r="1246" spans="1:8" x14ac:dyDescent="0.3">
      <c r="A1246" s="401"/>
      <c r="B1246" s="709">
        <v>2584</v>
      </c>
      <c r="C1246" s="710" t="s">
        <v>9621</v>
      </c>
      <c r="D1246" s="709" t="s">
        <v>136</v>
      </c>
      <c r="E1246" s="709" t="s">
        <v>8432</v>
      </c>
      <c r="F1246" s="716">
        <v>350.08</v>
      </c>
      <c r="G1246" s="716">
        <v>318.01</v>
      </c>
      <c r="H1246" s="225">
        <f t="shared" si="19"/>
        <v>350.08</v>
      </c>
    </row>
    <row r="1247" spans="1:8" x14ac:dyDescent="0.3">
      <c r="A1247" s="401"/>
      <c r="B1247" s="709">
        <v>39329</v>
      </c>
      <c r="C1247" s="710" t="s">
        <v>9622</v>
      </c>
      <c r="D1247" s="709" t="s">
        <v>136</v>
      </c>
      <c r="E1247" s="709" t="s">
        <v>8432</v>
      </c>
      <c r="F1247" s="716">
        <v>13.41</v>
      </c>
      <c r="G1247" s="716">
        <v>8.84</v>
      </c>
      <c r="H1247" s="225">
        <f t="shared" si="19"/>
        <v>13.41</v>
      </c>
    </row>
    <row r="1248" spans="1:8" x14ac:dyDescent="0.3">
      <c r="A1248" s="401"/>
      <c r="B1248" s="709">
        <v>12010</v>
      </c>
      <c r="C1248" s="710" t="s">
        <v>9623</v>
      </c>
      <c r="D1248" s="709" t="s">
        <v>136</v>
      </c>
      <c r="E1248" s="709" t="s">
        <v>8432</v>
      </c>
      <c r="F1248" s="716">
        <v>12.82</v>
      </c>
      <c r="G1248" s="716">
        <v>8.4499999999999993</v>
      </c>
      <c r="H1248" s="225">
        <f t="shared" si="19"/>
        <v>12.82</v>
      </c>
    </row>
    <row r="1249" spans="1:8" x14ac:dyDescent="0.3">
      <c r="A1249" s="401"/>
      <c r="B1249" s="709">
        <v>39332</v>
      </c>
      <c r="C1249" s="710" t="s">
        <v>9624</v>
      </c>
      <c r="D1249" s="709" t="s">
        <v>136</v>
      </c>
      <c r="E1249" s="709" t="s">
        <v>8432</v>
      </c>
      <c r="F1249" s="716">
        <v>15.77</v>
      </c>
      <c r="G1249" s="716">
        <v>10.39</v>
      </c>
      <c r="H1249" s="225">
        <f t="shared" si="19"/>
        <v>15.77</v>
      </c>
    </row>
    <row r="1250" spans="1:8" x14ac:dyDescent="0.3">
      <c r="A1250" s="401"/>
      <c r="B1250" s="709">
        <v>39330</v>
      </c>
      <c r="C1250" s="710" t="s">
        <v>9625</v>
      </c>
      <c r="D1250" s="709" t="s">
        <v>136</v>
      </c>
      <c r="E1250" s="709" t="s">
        <v>8432</v>
      </c>
      <c r="F1250" s="716">
        <v>14.11</v>
      </c>
      <c r="G1250" s="716">
        <v>9.3000000000000007</v>
      </c>
      <c r="H1250" s="225">
        <f t="shared" si="19"/>
        <v>14.11</v>
      </c>
    </row>
    <row r="1251" spans="1:8" x14ac:dyDescent="0.3">
      <c r="A1251" s="401"/>
      <c r="B1251" s="709">
        <v>39331</v>
      </c>
      <c r="C1251" s="710" t="s">
        <v>9626</v>
      </c>
      <c r="D1251" s="709" t="s">
        <v>136</v>
      </c>
      <c r="E1251" s="709" t="s">
        <v>8432</v>
      </c>
      <c r="F1251" s="716">
        <v>12.55</v>
      </c>
      <c r="G1251" s="716">
        <v>8.27</v>
      </c>
      <c r="H1251" s="225">
        <f t="shared" si="19"/>
        <v>12.55</v>
      </c>
    </row>
    <row r="1252" spans="1:8" x14ac:dyDescent="0.3">
      <c r="A1252" s="401"/>
      <c r="B1252" s="709">
        <v>39335</v>
      </c>
      <c r="C1252" s="710" t="s">
        <v>9627</v>
      </c>
      <c r="D1252" s="709" t="s">
        <v>136</v>
      </c>
      <c r="E1252" s="709" t="s">
        <v>8432</v>
      </c>
      <c r="F1252" s="716">
        <v>14.16</v>
      </c>
      <c r="G1252" s="716">
        <v>9.33</v>
      </c>
      <c r="H1252" s="225">
        <f t="shared" si="19"/>
        <v>14.16</v>
      </c>
    </row>
    <row r="1253" spans="1:8" x14ac:dyDescent="0.3">
      <c r="A1253" s="401"/>
      <c r="B1253" s="709">
        <v>39333</v>
      </c>
      <c r="C1253" s="710" t="s">
        <v>9628</v>
      </c>
      <c r="D1253" s="709" t="s">
        <v>136</v>
      </c>
      <c r="E1253" s="709" t="s">
        <v>8432</v>
      </c>
      <c r="F1253" s="716">
        <v>12.24</v>
      </c>
      <c r="G1253" s="716">
        <v>8.06</v>
      </c>
      <c r="H1253" s="225">
        <f t="shared" si="19"/>
        <v>12.24</v>
      </c>
    </row>
    <row r="1254" spans="1:8" x14ac:dyDescent="0.3">
      <c r="A1254" s="401"/>
      <c r="B1254" s="709">
        <v>39334</v>
      </c>
      <c r="C1254" s="710" t="s">
        <v>9629</v>
      </c>
      <c r="D1254" s="709" t="s">
        <v>136</v>
      </c>
      <c r="E1254" s="709" t="s">
        <v>8432</v>
      </c>
      <c r="F1254" s="716">
        <v>11.25</v>
      </c>
      <c r="G1254" s="716">
        <v>7.42</v>
      </c>
      <c r="H1254" s="225">
        <f t="shared" si="19"/>
        <v>11.25</v>
      </c>
    </row>
    <row r="1255" spans="1:8" x14ac:dyDescent="0.3">
      <c r="A1255" s="401"/>
      <c r="B1255" s="709">
        <v>12015</v>
      </c>
      <c r="C1255" s="710" t="s">
        <v>9630</v>
      </c>
      <c r="D1255" s="709" t="s">
        <v>136</v>
      </c>
      <c r="E1255" s="709" t="s">
        <v>8432</v>
      </c>
      <c r="F1255" s="716">
        <v>16.440000000000001</v>
      </c>
      <c r="G1255" s="716">
        <v>10.84</v>
      </c>
      <c r="H1255" s="225">
        <f t="shared" si="19"/>
        <v>16.440000000000001</v>
      </c>
    </row>
    <row r="1256" spans="1:8" x14ac:dyDescent="0.3">
      <c r="A1256" s="401"/>
      <c r="B1256" s="709">
        <v>12016</v>
      </c>
      <c r="C1256" s="710" t="s">
        <v>9631</v>
      </c>
      <c r="D1256" s="709" t="s">
        <v>136</v>
      </c>
      <c r="E1256" s="709" t="s">
        <v>8432</v>
      </c>
      <c r="F1256" s="716">
        <v>14.13</v>
      </c>
      <c r="G1256" s="716">
        <v>9.31</v>
      </c>
      <c r="H1256" s="225">
        <f t="shared" si="19"/>
        <v>14.13</v>
      </c>
    </row>
    <row r="1257" spans="1:8" x14ac:dyDescent="0.3">
      <c r="A1257" s="401"/>
      <c r="B1257" s="709">
        <v>12019</v>
      </c>
      <c r="C1257" s="710" t="s">
        <v>9632</v>
      </c>
      <c r="D1257" s="709" t="s">
        <v>136</v>
      </c>
      <c r="E1257" s="709" t="s">
        <v>8432</v>
      </c>
      <c r="F1257" s="716">
        <v>16.440000000000001</v>
      </c>
      <c r="G1257" s="716">
        <v>10.84</v>
      </c>
      <c r="H1257" s="225">
        <f t="shared" si="19"/>
        <v>16.440000000000001</v>
      </c>
    </row>
    <row r="1258" spans="1:8" x14ac:dyDescent="0.3">
      <c r="A1258" s="401"/>
      <c r="B1258" s="709">
        <v>12020</v>
      </c>
      <c r="C1258" s="710" t="s">
        <v>9633</v>
      </c>
      <c r="D1258" s="709" t="s">
        <v>136</v>
      </c>
      <c r="E1258" s="709" t="s">
        <v>8432</v>
      </c>
      <c r="F1258" s="716">
        <v>14.13</v>
      </c>
      <c r="G1258" s="716">
        <v>9.31</v>
      </c>
      <c r="H1258" s="225">
        <f t="shared" si="19"/>
        <v>14.13</v>
      </c>
    </row>
    <row r="1259" spans="1:8" x14ac:dyDescent="0.3">
      <c r="A1259" s="401"/>
      <c r="B1259" s="709">
        <v>39338</v>
      </c>
      <c r="C1259" s="710" t="s">
        <v>9634</v>
      </c>
      <c r="D1259" s="709" t="s">
        <v>136</v>
      </c>
      <c r="E1259" s="709" t="s">
        <v>8432</v>
      </c>
      <c r="F1259" s="716">
        <v>15.77</v>
      </c>
      <c r="G1259" s="716">
        <v>10.39</v>
      </c>
      <c r="H1259" s="225">
        <f t="shared" si="19"/>
        <v>15.77</v>
      </c>
    </row>
    <row r="1260" spans="1:8" x14ac:dyDescent="0.3">
      <c r="A1260" s="401"/>
      <c r="B1260" s="709">
        <v>39336</v>
      </c>
      <c r="C1260" s="710" t="s">
        <v>9635</v>
      </c>
      <c r="D1260" s="709" t="s">
        <v>136</v>
      </c>
      <c r="E1260" s="709" t="s">
        <v>8432</v>
      </c>
      <c r="F1260" s="716">
        <v>14.11</v>
      </c>
      <c r="G1260" s="716">
        <v>9.3000000000000007</v>
      </c>
      <c r="H1260" s="225">
        <f t="shared" si="19"/>
        <v>14.11</v>
      </c>
    </row>
    <row r="1261" spans="1:8" x14ac:dyDescent="0.3">
      <c r="A1261" s="401"/>
      <c r="B1261" s="709">
        <v>39337</v>
      </c>
      <c r="C1261" s="710" t="s">
        <v>9636</v>
      </c>
      <c r="D1261" s="709" t="s">
        <v>136</v>
      </c>
      <c r="E1261" s="709" t="s">
        <v>8432</v>
      </c>
      <c r="F1261" s="716">
        <v>12.55</v>
      </c>
      <c r="G1261" s="716">
        <v>8.27</v>
      </c>
      <c r="H1261" s="225">
        <f t="shared" si="19"/>
        <v>12.55</v>
      </c>
    </row>
    <row r="1262" spans="1:8" x14ac:dyDescent="0.3">
      <c r="A1262" s="401"/>
      <c r="B1262" s="709">
        <v>39341</v>
      </c>
      <c r="C1262" s="710" t="s">
        <v>9637</v>
      </c>
      <c r="D1262" s="709" t="s">
        <v>136</v>
      </c>
      <c r="E1262" s="709" t="s">
        <v>8432</v>
      </c>
      <c r="F1262" s="716">
        <v>20.55</v>
      </c>
      <c r="G1262" s="716">
        <v>13.54</v>
      </c>
      <c r="H1262" s="225">
        <f t="shared" si="19"/>
        <v>20.55</v>
      </c>
    </row>
    <row r="1263" spans="1:8" x14ac:dyDescent="0.3">
      <c r="A1263" s="401"/>
      <c r="B1263" s="709">
        <v>39340</v>
      </c>
      <c r="C1263" s="710" t="s">
        <v>9638</v>
      </c>
      <c r="D1263" s="709" t="s">
        <v>136</v>
      </c>
      <c r="E1263" s="709" t="s">
        <v>8432</v>
      </c>
      <c r="F1263" s="716">
        <v>15.09</v>
      </c>
      <c r="G1263" s="716">
        <v>9.94</v>
      </c>
      <c r="H1263" s="225">
        <f t="shared" si="19"/>
        <v>15.09</v>
      </c>
    </row>
    <row r="1264" spans="1:8" x14ac:dyDescent="0.3">
      <c r="A1264" s="401"/>
      <c r="B1264" s="709">
        <v>39342</v>
      </c>
      <c r="C1264" s="710" t="s">
        <v>9639</v>
      </c>
      <c r="D1264" s="709" t="s">
        <v>136</v>
      </c>
      <c r="E1264" s="709" t="s">
        <v>8432</v>
      </c>
      <c r="F1264" s="716">
        <v>20.55</v>
      </c>
      <c r="G1264" s="716">
        <v>13.54</v>
      </c>
      <c r="H1264" s="225">
        <f t="shared" si="19"/>
        <v>20.55</v>
      </c>
    </row>
    <row r="1265" spans="1:8" x14ac:dyDescent="0.3">
      <c r="A1265" s="401"/>
      <c r="B1265" s="709">
        <v>12025</v>
      </c>
      <c r="C1265" s="710" t="s">
        <v>9640</v>
      </c>
      <c r="D1265" s="709" t="s">
        <v>136</v>
      </c>
      <c r="E1265" s="709" t="s">
        <v>8432</v>
      </c>
      <c r="F1265" s="716">
        <v>15.58</v>
      </c>
      <c r="G1265" s="716">
        <v>10.27</v>
      </c>
      <c r="H1265" s="225">
        <f t="shared" si="19"/>
        <v>15.58</v>
      </c>
    </row>
    <row r="1266" spans="1:8" x14ac:dyDescent="0.3">
      <c r="A1266" s="401"/>
      <c r="B1266" s="709">
        <v>39345</v>
      </c>
      <c r="C1266" s="710" t="s">
        <v>9641</v>
      </c>
      <c r="D1266" s="709" t="s">
        <v>136</v>
      </c>
      <c r="E1266" s="709" t="s">
        <v>8432</v>
      </c>
      <c r="F1266" s="716">
        <v>23.48</v>
      </c>
      <c r="G1266" s="716">
        <v>15.48</v>
      </c>
      <c r="H1266" s="225">
        <f t="shared" si="19"/>
        <v>23.48</v>
      </c>
    </row>
    <row r="1267" spans="1:8" x14ac:dyDescent="0.3">
      <c r="A1267" s="401"/>
      <c r="B1267" s="709">
        <v>39343</v>
      </c>
      <c r="C1267" s="710" t="s">
        <v>9642</v>
      </c>
      <c r="D1267" s="709" t="s">
        <v>136</v>
      </c>
      <c r="E1267" s="709" t="s">
        <v>8432</v>
      </c>
      <c r="F1267" s="716">
        <v>17.350000000000001</v>
      </c>
      <c r="G1267" s="716">
        <v>11.43</v>
      </c>
      <c r="H1267" s="225">
        <f t="shared" si="19"/>
        <v>17.350000000000001</v>
      </c>
    </row>
    <row r="1268" spans="1:8" x14ac:dyDescent="0.3">
      <c r="A1268" s="401"/>
      <c r="B1268" s="709">
        <v>39344</v>
      </c>
      <c r="C1268" s="710" t="s">
        <v>9643</v>
      </c>
      <c r="D1268" s="709" t="s">
        <v>136</v>
      </c>
      <c r="E1268" s="709" t="s">
        <v>8432</v>
      </c>
      <c r="F1268" s="716">
        <v>16.78</v>
      </c>
      <c r="G1268" s="716">
        <v>11.06</v>
      </c>
      <c r="H1268" s="225">
        <f t="shared" si="19"/>
        <v>16.78</v>
      </c>
    </row>
    <row r="1269" spans="1:8" x14ac:dyDescent="0.3">
      <c r="A1269" s="401"/>
      <c r="B1269" s="709">
        <v>12623</v>
      </c>
      <c r="C1269" s="710" t="s">
        <v>9644</v>
      </c>
      <c r="D1269" s="709" t="s">
        <v>159</v>
      </c>
      <c r="E1269" s="709" t="s">
        <v>8432</v>
      </c>
      <c r="F1269" s="716">
        <v>57.98</v>
      </c>
      <c r="G1269" s="716">
        <v>58.54</v>
      </c>
      <c r="H1269" s="225">
        <f t="shared" si="19"/>
        <v>57.98</v>
      </c>
    </row>
    <row r="1270" spans="1:8" x14ac:dyDescent="0.3">
      <c r="A1270" s="401"/>
      <c r="B1270" s="709">
        <v>34498</v>
      </c>
      <c r="C1270" s="710" t="s">
        <v>9645</v>
      </c>
      <c r="D1270" s="709" t="s">
        <v>136</v>
      </c>
      <c r="E1270" s="709" t="s">
        <v>8432</v>
      </c>
      <c r="F1270" s="716">
        <v>123.29</v>
      </c>
      <c r="G1270" s="716">
        <v>116.88</v>
      </c>
      <c r="H1270" s="225">
        <f t="shared" si="19"/>
        <v>123.29</v>
      </c>
    </row>
    <row r="1271" spans="1:8" x14ac:dyDescent="0.3">
      <c r="A1271" s="401"/>
      <c r="B1271" s="709">
        <v>13244</v>
      </c>
      <c r="C1271" s="710" t="s">
        <v>9646</v>
      </c>
      <c r="D1271" s="709" t="s">
        <v>136</v>
      </c>
      <c r="E1271" s="709" t="s">
        <v>8438</v>
      </c>
      <c r="F1271" s="716">
        <v>51.9</v>
      </c>
      <c r="G1271" s="716">
        <v>49.2</v>
      </c>
      <c r="H1271" s="225">
        <f t="shared" si="19"/>
        <v>51.9</v>
      </c>
    </row>
    <row r="1272" spans="1:8" x14ac:dyDescent="0.3">
      <c r="A1272" s="401"/>
      <c r="B1272" s="709">
        <v>38998</v>
      </c>
      <c r="C1272" s="710" t="s">
        <v>9647</v>
      </c>
      <c r="D1272" s="709" t="s">
        <v>136</v>
      </c>
      <c r="E1272" s="709" t="s">
        <v>8432</v>
      </c>
      <c r="F1272" s="716">
        <v>11.6</v>
      </c>
      <c r="G1272" s="716">
        <v>13</v>
      </c>
      <c r="H1272" s="225">
        <f t="shared" si="19"/>
        <v>11.6</v>
      </c>
    </row>
    <row r="1273" spans="1:8" x14ac:dyDescent="0.3">
      <c r="A1273" s="401"/>
      <c r="B1273" s="709">
        <v>38999</v>
      </c>
      <c r="C1273" s="710" t="s">
        <v>9648</v>
      </c>
      <c r="D1273" s="709" t="s">
        <v>136</v>
      </c>
      <c r="E1273" s="709" t="s">
        <v>8432</v>
      </c>
      <c r="F1273" s="716">
        <v>29.32</v>
      </c>
      <c r="G1273" s="716">
        <v>32.869999999999997</v>
      </c>
      <c r="H1273" s="225">
        <f t="shared" si="19"/>
        <v>29.32</v>
      </c>
    </row>
    <row r="1274" spans="1:8" x14ac:dyDescent="0.3">
      <c r="A1274" s="401"/>
      <c r="B1274" s="709">
        <v>38996</v>
      </c>
      <c r="C1274" s="710" t="s">
        <v>9649</v>
      </c>
      <c r="D1274" s="709" t="s">
        <v>136</v>
      </c>
      <c r="E1274" s="709" t="s">
        <v>8432</v>
      </c>
      <c r="F1274" s="716">
        <v>20.72</v>
      </c>
      <c r="G1274" s="716">
        <v>23.24</v>
      </c>
      <c r="H1274" s="225">
        <f t="shared" si="19"/>
        <v>20.72</v>
      </c>
    </row>
    <row r="1275" spans="1:8" x14ac:dyDescent="0.3">
      <c r="A1275" s="401"/>
      <c r="B1275" s="709">
        <v>44173</v>
      </c>
      <c r="C1275" s="710" t="s">
        <v>9650</v>
      </c>
      <c r="D1275" s="709" t="s">
        <v>136</v>
      </c>
      <c r="E1275" s="709" t="s">
        <v>8432</v>
      </c>
      <c r="F1275" s="716">
        <v>20.149999999999999</v>
      </c>
      <c r="G1275" s="716">
        <v>22.6</v>
      </c>
      <c r="H1275" s="225">
        <f t="shared" si="19"/>
        <v>20.149999999999999</v>
      </c>
    </row>
    <row r="1276" spans="1:8" x14ac:dyDescent="0.3">
      <c r="A1276" s="401"/>
      <c r="B1276" s="709">
        <v>44174</v>
      </c>
      <c r="C1276" s="710" t="s">
        <v>9651</v>
      </c>
      <c r="D1276" s="709" t="s">
        <v>136</v>
      </c>
      <c r="E1276" s="709" t="s">
        <v>8432</v>
      </c>
      <c r="F1276" s="716">
        <v>32.99</v>
      </c>
      <c r="G1276" s="716">
        <v>36.979999999999997</v>
      </c>
      <c r="H1276" s="225">
        <f t="shared" si="19"/>
        <v>32.99</v>
      </c>
    </row>
    <row r="1277" spans="1:8" x14ac:dyDescent="0.3">
      <c r="A1277" s="401"/>
      <c r="B1277" s="709">
        <v>38997</v>
      </c>
      <c r="C1277" s="710" t="s">
        <v>9652</v>
      </c>
      <c r="D1277" s="709" t="s">
        <v>136</v>
      </c>
      <c r="E1277" s="709" t="s">
        <v>8432</v>
      </c>
      <c r="F1277" s="716">
        <v>29.65</v>
      </c>
      <c r="G1277" s="716">
        <v>33.24</v>
      </c>
      <c r="H1277" s="225">
        <f t="shared" si="19"/>
        <v>29.65</v>
      </c>
    </row>
    <row r="1278" spans="1:8" x14ac:dyDescent="0.3">
      <c r="A1278" s="401"/>
      <c r="B1278" s="709">
        <v>39600</v>
      </c>
      <c r="C1278" s="710" t="s">
        <v>9653</v>
      </c>
      <c r="D1278" s="709" t="s">
        <v>136</v>
      </c>
      <c r="E1278" s="709" t="s">
        <v>8432</v>
      </c>
      <c r="F1278" s="716">
        <v>16.41</v>
      </c>
      <c r="G1278" s="716">
        <v>18.46</v>
      </c>
      <c r="H1278" s="225">
        <f t="shared" si="19"/>
        <v>16.41</v>
      </c>
    </row>
    <row r="1279" spans="1:8" x14ac:dyDescent="0.3">
      <c r="A1279" s="401"/>
      <c r="B1279" s="709">
        <v>39601</v>
      </c>
      <c r="C1279" s="710" t="s">
        <v>9654</v>
      </c>
      <c r="D1279" s="709" t="s">
        <v>136</v>
      </c>
      <c r="E1279" s="709" t="s">
        <v>8432</v>
      </c>
      <c r="F1279" s="716">
        <v>34.81</v>
      </c>
      <c r="G1279" s="716">
        <v>39.15</v>
      </c>
      <c r="H1279" s="225">
        <f t="shared" si="19"/>
        <v>34.81</v>
      </c>
    </row>
    <row r="1280" spans="1:8" x14ac:dyDescent="0.3">
      <c r="A1280" s="401"/>
      <c r="B1280" s="709">
        <v>39862</v>
      </c>
      <c r="C1280" s="710" t="s">
        <v>9655</v>
      </c>
      <c r="D1280" s="709" t="s">
        <v>136</v>
      </c>
      <c r="E1280" s="709" t="s">
        <v>8432</v>
      </c>
      <c r="F1280" s="716"/>
      <c r="G1280" s="716">
        <v>19.11</v>
      </c>
      <c r="H1280" s="225">
        <f t="shared" si="19"/>
        <v>19.11</v>
      </c>
    </row>
    <row r="1281" spans="1:8" x14ac:dyDescent="0.3">
      <c r="A1281" s="401"/>
      <c r="B1281" s="709">
        <v>39863</v>
      </c>
      <c r="C1281" s="710" t="s">
        <v>9656</v>
      </c>
      <c r="D1281" s="709" t="s">
        <v>136</v>
      </c>
      <c r="E1281" s="709" t="s">
        <v>8432</v>
      </c>
      <c r="F1281" s="716"/>
      <c r="G1281" s="716">
        <v>19.38</v>
      </c>
      <c r="H1281" s="225">
        <f t="shared" si="19"/>
        <v>19.38</v>
      </c>
    </row>
    <row r="1282" spans="1:8" x14ac:dyDescent="0.3">
      <c r="A1282" s="401"/>
      <c r="B1282" s="709">
        <v>39864</v>
      </c>
      <c r="C1282" s="710" t="s">
        <v>9657</v>
      </c>
      <c r="D1282" s="709" t="s">
        <v>136</v>
      </c>
      <c r="E1282" s="709" t="s">
        <v>8432</v>
      </c>
      <c r="F1282" s="716"/>
      <c r="G1282" s="716">
        <v>24.05</v>
      </c>
      <c r="H1282" s="225">
        <f t="shared" si="19"/>
        <v>24.05</v>
      </c>
    </row>
    <row r="1283" spans="1:8" x14ac:dyDescent="0.3">
      <c r="A1283" s="401"/>
      <c r="B1283" s="709">
        <v>39865</v>
      </c>
      <c r="C1283" s="710" t="s">
        <v>9658</v>
      </c>
      <c r="D1283" s="709" t="s">
        <v>136</v>
      </c>
      <c r="E1283" s="709" t="s">
        <v>8432</v>
      </c>
      <c r="F1283" s="716"/>
      <c r="G1283" s="716">
        <v>33.89</v>
      </c>
      <c r="H1283" s="225">
        <f t="shared" si="19"/>
        <v>33.89</v>
      </c>
    </row>
    <row r="1284" spans="1:8" x14ac:dyDescent="0.3">
      <c r="A1284" s="401"/>
      <c r="B1284" s="709">
        <v>2517</v>
      </c>
      <c r="C1284" s="710" t="s">
        <v>9659</v>
      </c>
      <c r="D1284" s="709" t="s">
        <v>136</v>
      </c>
      <c r="E1284" s="709" t="s">
        <v>8432</v>
      </c>
      <c r="F1284" s="716">
        <v>34.880000000000003</v>
      </c>
      <c r="G1284" s="716">
        <v>31.68</v>
      </c>
      <c r="H1284" s="225">
        <f t="shared" si="19"/>
        <v>34.880000000000003</v>
      </c>
    </row>
    <row r="1285" spans="1:8" x14ac:dyDescent="0.3">
      <c r="A1285" s="401"/>
      <c r="B1285" s="709">
        <v>2522</v>
      </c>
      <c r="C1285" s="710" t="s">
        <v>9660</v>
      </c>
      <c r="D1285" s="709" t="s">
        <v>136</v>
      </c>
      <c r="E1285" s="709" t="s">
        <v>8432</v>
      </c>
      <c r="F1285" s="716">
        <v>22.54</v>
      </c>
      <c r="G1285" s="716">
        <v>20.48</v>
      </c>
      <c r="H1285" s="225">
        <f t="shared" si="19"/>
        <v>22.54</v>
      </c>
    </row>
    <row r="1286" spans="1:8" x14ac:dyDescent="0.3">
      <c r="A1286" s="401"/>
      <c r="B1286" s="709">
        <v>2516</v>
      </c>
      <c r="C1286" s="710" t="s">
        <v>9661</v>
      </c>
      <c r="D1286" s="709" t="s">
        <v>136</v>
      </c>
      <c r="E1286" s="709" t="s">
        <v>8432</v>
      </c>
      <c r="F1286" s="716">
        <v>18.100000000000001</v>
      </c>
      <c r="G1286" s="716">
        <v>16.440000000000001</v>
      </c>
      <c r="H1286" s="225">
        <f t="shared" si="19"/>
        <v>18.100000000000001</v>
      </c>
    </row>
    <row r="1287" spans="1:8" x14ac:dyDescent="0.3">
      <c r="A1287" s="401"/>
      <c r="B1287" s="709">
        <v>2548</v>
      </c>
      <c r="C1287" s="710" t="s">
        <v>9662</v>
      </c>
      <c r="D1287" s="709" t="s">
        <v>136</v>
      </c>
      <c r="E1287" s="709" t="s">
        <v>8432</v>
      </c>
      <c r="F1287" s="716">
        <v>13.86</v>
      </c>
      <c r="G1287" s="716">
        <v>12.59</v>
      </c>
      <c r="H1287" s="225">
        <f t="shared" si="19"/>
        <v>13.86</v>
      </c>
    </row>
    <row r="1288" spans="1:8" x14ac:dyDescent="0.3">
      <c r="A1288" s="401"/>
      <c r="B1288" s="709">
        <v>2518</v>
      </c>
      <c r="C1288" s="710" t="s">
        <v>9663</v>
      </c>
      <c r="D1288" s="709" t="s">
        <v>136</v>
      </c>
      <c r="E1288" s="709" t="s">
        <v>8432</v>
      </c>
      <c r="F1288" s="716">
        <v>166.03</v>
      </c>
      <c r="G1288" s="716">
        <v>150.82</v>
      </c>
      <c r="H1288" s="225">
        <f t="shared" si="19"/>
        <v>166.03</v>
      </c>
    </row>
    <row r="1289" spans="1:8" x14ac:dyDescent="0.3">
      <c r="A1289" s="401"/>
      <c r="B1289" s="709">
        <v>2521</v>
      </c>
      <c r="C1289" s="710" t="s">
        <v>9664</v>
      </c>
      <c r="D1289" s="709" t="s">
        <v>136</v>
      </c>
      <c r="E1289" s="709" t="s">
        <v>8432</v>
      </c>
      <c r="F1289" s="716">
        <v>70.67</v>
      </c>
      <c r="G1289" s="716">
        <v>64.2</v>
      </c>
      <c r="H1289" s="225">
        <f t="shared" si="19"/>
        <v>70.67</v>
      </c>
    </row>
    <row r="1290" spans="1:8" x14ac:dyDescent="0.3">
      <c r="A1290" s="401"/>
      <c r="B1290" s="709">
        <v>2519</v>
      </c>
      <c r="C1290" s="710" t="s">
        <v>9665</v>
      </c>
      <c r="D1290" s="709" t="s">
        <v>136</v>
      </c>
      <c r="E1290" s="709" t="s">
        <v>8432</v>
      </c>
      <c r="F1290" s="716">
        <v>200.19</v>
      </c>
      <c r="G1290" s="716">
        <v>181.85</v>
      </c>
      <c r="H1290" s="225">
        <f t="shared" si="19"/>
        <v>200.19</v>
      </c>
    </row>
    <row r="1291" spans="1:8" x14ac:dyDescent="0.3">
      <c r="A1291" s="401"/>
      <c r="B1291" s="709">
        <v>2515</v>
      </c>
      <c r="C1291" s="710" t="s">
        <v>9666</v>
      </c>
      <c r="D1291" s="709" t="s">
        <v>136</v>
      </c>
      <c r="E1291" s="709" t="s">
        <v>8432</v>
      </c>
      <c r="F1291" s="716">
        <v>15.06</v>
      </c>
      <c r="G1291" s="716">
        <v>13.68</v>
      </c>
      <c r="H1291" s="225">
        <f t="shared" ref="H1291:H1354" si="20">IF(F1291&gt;0,F1291,G1291)</f>
        <v>15.06</v>
      </c>
    </row>
    <row r="1292" spans="1:8" x14ac:dyDescent="0.3">
      <c r="A1292" s="401"/>
      <c r="B1292" s="709">
        <v>2520</v>
      </c>
      <c r="C1292" s="710" t="s">
        <v>9667</v>
      </c>
      <c r="D1292" s="709" t="s">
        <v>136</v>
      </c>
      <c r="E1292" s="709" t="s">
        <v>8432</v>
      </c>
      <c r="F1292" s="716">
        <v>368.46</v>
      </c>
      <c r="G1292" s="716">
        <v>334.71</v>
      </c>
      <c r="H1292" s="225">
        <f t="shared" si="20"/>
        <v>368.46</v>
      </c>
    </row>
    <row r="1293" spans="1:8" x14ac:dyDescent="0.3">
      <c r="A1293" s="401"/>
      <c r="B1293" s="709">
        <v>1602</v>
      </c>
      <c r="C1293" s="710" t="s">
        <v>9668</v>
      </c>
      <c r="D1293" s="709" t="s">
        <v>136</v>
      </c>
      <c r="E1293" s="709" t="s">
        <v>8432</v>
      </c>
      <c r="F1293" s="716">
        <v>61.15</v>
      </c>
      <c r="G1293" s="716">
        <v>51.78</v>
      </c>
      <c r="H1293" s="225">
        <f t="shared" si="20"/>
        <v>61.15</v>
      </c>
    </row>
    <row r="1294" spans="1:8" x14ac:dyDescent="0.3">
      <c r="A1294" s="401"/>
      <c r="B1294" s="709">
        <v>1601</v>
      </c>
      <c r="C1294" s="710" t="s">
        <v>9669</v>
      </c>
      <c r="D1294" s="709" t="s">
        <v>136</v>
      </c>
      <c r="E1294" s="709" t="s">
        <v>8432</v>
      </c>
      <c r="F1294" s="716">
        <v>54.5</v>
      </c>
      <c r="G1294" s="716">
        <v>46.15</v>
      </c>
      <c r="H1294" s="225">
        <f t="shared" si="20"/>
        <v>54.5</v>
      </c>
    </row>
    <row r="1295" spans="1:8" x14ac:dyDescent="0.3">
      <c r="A1295" s="401"/>
      <c r="B1295" s="709">
        <v>1600</v>
      </c>
      <c r="C1295" s="710" t="s">
        <v>9670</v>
      </c>
      <c r="D1295" s="709" t="s">
        <v>136</v>
      </c>
      <c r="E1295" s="709" t="s">
        <v>8432</v>
      </c>
      <c r="F1295" s="716">
        <v>23.81</v>
      </c>
      <c r="G1295" s="716">
        <v>20.16</v>
      </c>
      <c r="H1295" s="225">
        <f t="shared" si="20"/>
        <v>23.81</v>
      </c>
    </row>
    <row r="1296" spans="1:8" x14ac:dyDescent="0.3">
      <c r="A1296" s="401"/>
      <c r="B1296" s="709">
        <v>1598</v>
      </c>
      <c r="C1296" s="710" t="s">
        <v>9671</v>
      </c>
      <c r="D1296" s="709" t="s">
        <v>136</v>
      </c>
      <c r="E1296" s="709" t="s">
        <v>8432</v>
      </c>
      <c r="F1296" s="716">
        <v>16.13</v>
      </c>
      <c r="G1296" s="716">
        <v>13.66</v>
      </c>
      <c r="H1296" s="225">
        <f t="shared" si="20"/>
        <v>16.13</v>
      </c>
    </row>
    <row r="1297" spans="1:8" x14ac:dyDescent="0.3">
      <c r="A1297" s="401"/>
      <c r="B1297" s="709">
        <v>1603</v>
      </c>
      <c r="C1297" s="710" t="s">
        <v>9672</v>
      </c>
      <c r="D1297" s="709" t="s">
        <v>136</v>
      </c>
      <c r="E1297" s="709" t="s">
        <v>8432</v>
      </c>
      <c r="F1297" s="716">
        <v>92.32</v>
      </c>
      <c r="G1297" s="716">
        <v>78.180000000000007</v>
      </c>
      <c r="H1297" s="225">
        <f t="shared" si="20"/>
        <v>92.32</v>
      </c>
    </row>
    <row r="1298" spans="1:8" x14ac:dyDescent="0.3">
      <c r="A1298" s="401"/>
      <c r="B1298" s="709">
        <v>1599</v>
      </c>
      <c r="C1298" s="710" t="s">
        <v>9673</v>
      </c>
      <c r="D1298" s="709" t="s">
        <v>136</v>
      </c>
      <c r="E1298" s="709" t="s">
        <v>8432</v>
      </c>
      <c r="F1298" s="716">
        <v>18.71</v>
      </c>
      <c r="G1298" s="716">
        <v>15.85</v>
      </c>
      <c r="H1298" s="225">
        <f t="shared" si="20"/>
        <v>18.71</v>
      </c>
    </row>
    <row r="1299" spans="1:8" x14ac:dyDescent="0.3">
      <c r="A1299" s="401"/>
      <c r="B1299" s="709">
        <v>1597</v>
      </c>
      <c r="C1299" s="710" t="s">
        <v>9674</v>
      </c>
      <c r="D1299" s="709" t="s">
        <v>136</v>
      </c>
      <c r="E1299" s="709" t="s">
        <v>8432</v>
      </c>
      <c r="F1299" s="716">
        <v>15.16</v>
      </c>
      <c r="G1299" s="716">
        <v>12.84</v>
      </c>
      <c r="H1299" s="225">
        <f t="shared" si="20"/>
        <v>15.16</v>
      </c>
    </row>
    <row r="1300" spans="1:8" x14ac:dyDescent="0.3">
      <c r="A1300" s="401"/>
      <c r="B1300" s="709">
        <v>39602</v>
      </c>
      <c r="C1300" s="710" t="s">
        <v>9675</v>
      </c>
      <c r="D1300" s="709" t="s">
        <v>136</v>
      </c>
      <c r="E1300" s="709" t="s">
        <v>8432</v>
      </c>
      <c r="F1300" s="716">
        <v>1.74</v>
      </c>
      <c r="G1300" s="716">
        <v>1.95</v>
      </c>
      <c r="H1300" s="225">
        <f t="shared" si="20"/>
        <v>1.74</v>
      </c>
    </row>
    <row r="1301" spans="1:8" x14ac:dyDescent="0.3">
      <c r="A1301" s="401"/>
      <c r="B1301" s="709">
        <v>39603</v>
      </c>
      <c r="C1301" s="710" t="s">
        <v>9676</v>
      </c>
      <c r="D1301" s="709" t="s">
        <v>136</v>
      </c>
      <c r="E1301" s="709" t="s">
        <v>8432</v>
      </c>
      <c r="F1301" s="716">
        <v>3.71</v>
      </c>
      <c r="G1301" s="716">
        <v>4.17</v>
      </c>
      <c r="H1301" s="225">
        <f t="shared" si="20"/>
        <v>3.71</v>
      </c>
    </row>
    <row r="1302" spans="1:8" x14ac:dyDescent="0.3">
      <c r="A1302" s="401"/>
      <c r="B1302" s="709">
        <v>11821</v>
      </c>
      <c r="C1302" s="710" t="s">
        <v>9677</v>
      </c>
      <c r="D1302" s="709" t="s">
        <v>136</v>
      </c>
      <c r="E1302" s="709" t="s">
        <v>8432</v>
      </c>
      <c r="F1302" s="716">
        <v>12.45</v>
      </c>
      <c r="G1302" s="716">
        <v>10.54</v>
      </c>
      <c r="H1302" s="225">
        <f t="shared" si="20"/>
        <v>12.45</v>
      </c>
    </row>
    <row r="1303" spans="1:8" x14ac:dyDescent="0.3">
      <c r="A1303" s="401"/>
      <c r="B1303" s="709">
        <v>1562</v>
      </c>
      <c r="C1303" s="710" t="s">
        <v>9678</v>
      </c>
      <c r="D1303" s="709" t="s">
        <v>136</v>
      </c>
      <c r="E1303" s="709" t="s">
        <v>8432</v>
      </c>
      <c r="F1303" s="716">
        <v>20.399999999999999</v>
      </c>
      <c r="G1303" s="716">
        <v>17.27</v>
      </c>
      <c r="H1303" s="225">
        <f t="shared" si="20"/>
        <v>20.399999999999999</v>
      </c>
    </row>
    <row r="1304" spans="1:8" x14ac:dyDescent="0.3">
      <c r="A1304" s="401"/>
      <c r="B1304" s="709">
        <v>1563</v>
      </c>
      <c r="C1304" s="710" t="s">
        <v>9679</v>
      </c>
      <c r="D1304" s="709" t="s">
        <v>136</v>
      </c>
      <c r="E1304" s="709" t="s">
        <v>8432</v>
      </c>
      <c r="F1304" s="716">
        <v>27.37</v>
      </c>
      <c r="G1304" s="716">
        <v>23.18</v>
      </c>
      <c r="H1304" s="225">
        <f t="shared" si="20"/>
        <v>27.37</v>
      </c>
    </row>
    <row r="1305" spans="1:8" x14ac:dyDescent="0.3">
      <c r="A1305" s="401"/>
      <c r="B1305" s="709">
        <v>11856</v>
      </c>
      <c r="C1305" s="710" t="s">
        <v>9680</v>
      </c>
      <c r="D1305" s="709" t="s">
        <v>136</v>
      </c>
      <c r="E1305" s="709" t="s">
        <v>8438</v>
      </c>
      <c r="F1305" s="716">
        <v>8.16</v>
      </c>
      <c r="G1305" s="716">
        <v>6.91</v>
      </c>
      <c r="H1305" s="225">
        <f t="shared" si="20"/>
        <v>8.16</v>
      </c>
    </row>
    <row r="1306" spans="1:8" x14ac:dyDescent="0.3">
      <c r="A1306" s="401"/>
      <c r="B1306" s="709">
        <v>11857</v>
      </c>
      <c r="C1306" s="710" t="s">
        <v>9681</v>
      </c>
      <c r="D1306" s="709" t="s">
        <v>136</v>
      </c>
      <c r="E1306" s="709" t="s">
        <v>8432</v>
      </c>
      <c r="F1306" s="716">
        <v>42.94</v>
      </c>
      <c r="G1306" s="716">
        <v>36.36</v>
      </c>
      <c r="H1306" s="225">
        <f t="shared" si="20"/>
        <v>42.94</v>
      </c>
    </row>
    <row r="1307" spans="1:8" x14ac:dyDescent="0.3">
      <c r="A1307" s="401"/>
      <c r="B1307" s="709">
        <v>11858</v>
      </c>
      <c r="C1307" s="710" t="s">
        <v>9682</v>
      </c>
      <c r="D1307" s="709" t="s">
        <v>136</v>
      </c>
      <c r="E1307" s="709" t="s">
        <v>8432</v>
      </c>
      <c r="F1307" s="716">
        <v>53.3</v>
      </c>
      <c r="G1307" s="716">
        <v>45.13</v>
      </c>
      <c r="H1307" s="225">
        <f t="shared" si="20"/>
        <v>53.3</v>
      </c>
    </row>
    <row r="1308" spans="1:8" x14ac:dyDescent="0.3">
      <c r="A1308" s="401"/>
      <c r="B1308" s="709">
        <v>1539</v>
      </c>
      <c r="C1308" s="710" t="s">
        <v>9683</v>
      </c>
      <c r="D1308" s="709" t="s">
        <v>136</v>
      </c>
      <c r="E1308" s="709" t="s">
        <v>8432</v>
      </c>
      <c r="F1308" s="716">
        <v>9.59</v>
      </c>
      <c r="G1308" s="716">
        <v>8.1199999999999992</v>
      </c>
      <c r="H1308" s="225">
        <f t="shared" si="20"/>
        <v>9.59</v>
      </c>
    </row>
    <row r="1309" spans="1:8" x14ac:dyDescent="0.3">
      <c r="A1309" s="401"/>
      <c r="B1309" s="709">
        <v>11859</v>
      </c>
      <c r="C1309" s="710" t="s">
        <v>9684</v>
      </c>
      <c r="D1309" s="709" t="s">
        <v>136</v>
      </c>
      <c r="E1309" s="709" t="s">
        <v>8432</v>
      </c>
      <c r="F1309" s="716">
        <v>72.52</v>
      </c>
      <c r="G1309" s="716">
        <v>61.41</v>
      </c>
      <c r="H1309" s="225">
        <f t="shared" si="20"/>
        <v>72.52</v>
      </c>
    </row>
    <row r="1310" spans="1:8" x14ac:dyDescent="0.3">
      <c r="A1310" s="401"/>
      <c r="B1310" s="709">
        <v>1550</v>
      </c>
      <c r="C1310" s="710" t="s">
        <v>9685</v>
      </c>
      <c r="D1310" s="709" t="s">
        <v>136</v>
      </c>
      <c r="E1310" s="709" t="s">
        <v>8432</v>
      </c>
      <c r="F1310" s="716">
        <v>10.119999999999999</v>
      </c>
      <c r="G1310" s="716">
        <v>8.57</v>
      </c>
      <c r="H1310" s="225">
        <f t="shared" si="20"/>
        <v>10.119999999999999</v>
      </c>
    </row>
    <row r="1311" spans="1:8" x14ac:dyDescent="0.3">
      <c r="A1311" s="401"/>
      <c r="B1311" s="709">
        <v>11854</v>
      </c>
      <c r="C1311" s="710" t="s">
        <v>9686</v>
      </c>
      <c r="D1311" s="709" t="s">
        <v>136</v>
      </c>
      <c r="E1311" s="709" t="s">
        <v>8432</v>
      </c>
      <c r="F1311" s="716">
        <v>12.64</v>
      </c>
      <c r="G1311" s="716">
        <v>10.7</v>
      </c>
      <c r="H1311" s="225">
        <f t="shared" si="20"/>
        <v>12.64</v>
      </c>
    </row>
    <row r="1312" spans="1:8" x14ac:dyDescent="0.3">
      <c r="A1312" s="401"/>
      <c r="B1312" s="709">
        <v>11862</v>
      </c>
      <c r="C1312" s="710" t="s">
        <v>9687</v>
      </c>
      <c r="D1312" s="709" t="s">
        <v>136</v>
      </c>
      <c r="E1312" s="709" t="s">
        <v>8432</v>
      </c>
      <c r="F1312" s="716">
        <v>17.73</v>
      </c>
      <c r="G1312" s="716">
        <v>15.02</v>
      </c>
      <c r="H1312" s="225">
        <f t="shared" si="20"/>
        <v>17.73</v>
      </c>
    </row>
    <row r="1313" spans="1:8" x14ac:dyDescent="0.3">
      <c r="A1313" s="401"/>
      <c r="B1313" s="709">
        <v>11863</v>
      </c>
      <c r="C1313" s="710" t="s">
        <v>9688</v>
      </c>
      <c r="D1313" s="709" t="s">
        <v>136</v>
      </c>
      <c r="E1313" s="709" t="s">
        <v>8432</v>
      </c>
      <c r="F1313" s="716">
        <v>7.16</v>
      </c>
      <c r="G1313" s="716">
        <v>6.06</v>
      </c>
      <c r="H1313" s="225">
        <f t="shared" si="20"/>
        <v>7.16</v>
      </c>
    </row>
    <row r="1314" spans="1:8" x14ac:dyDescent="0.3">
      <c r="A1314" s="401"/>
      <c r="B1314" s="709">
        <v>11855</v>
      </c>
      <c r="C1314" s="710" t="s">
        <v>9689</v>
      </c>
      <c r="D1314" s="709" t="s">
        <v>136</v>
      </c>
      <c r="E1314" s="709" t="s">
        <v>8432</v>
      </c>
      <c r="F1314" s="716">
        <v>26.47</v>
      </c>
      <c r="G1314" s="716">
        <v>22.41</v>
      </c>
      <c r="H1314" s="225">
        <f t="shared" si="20"/>
        <v>26.47</v>
      </c>
    </row>
    <row r="1315" spans="1:8" x14ac:dyDescent="0.3">
      <c r="A1315" s="401"/>
      <c r="B1315" s="709">
        <v>11864</v>
      </c>
      <c r="C1315" s="710" t="s">
        <v>9690</v>
      </c>
      <c r="D1315" s="709" t="s">
        <v>136</v>
      </c>
      <c r="E1315" s="709" t="s">
        <v>8432</v>
      </c>
      <c r="F1315" s="716">
        <v>40.020000000000003</v>
      </c>
      <c r="G1315" s="716">
        <v>33.89</v>
      </c>
      <c r="H1315" s="225">
        <f t="shared" si="20"/>
        <v>40.020000000000003</v>
      </c>
    </row>
    <row r="1316" spans="1:8" x14ac:dyDescent="0.3">
      <c r="A1316" s="401"/>
      <c r="B1316" s="709">
        <v>2527</v>
      </c>
      <c r="C1316" s="710" t="s">
        <v>9691</v>
      </c>
      <c r="D1316" s="709" t="s">
        <v>136</v>
      </c>
      <c r="E1316" s="709" t="s">
        <v>8432</v>
      </c>
      <c r="F1316" s="716">
        <v>12.48</v>
      </c>
      <c r="G1316" s="716">
        <v>11.34</v>
      </c>
      <c r="H1316" s="225">
        <f t="shared" si="20"/>
        <v>12.48</v>
      </c>
    </row>
    <row r="1317" spans="1:8" x14ac:dyDescent="0.3">
      <c r="A1317" s="401"/>
      <c r="B1317" s="709">
        <v>2526</v>
      </c>
      <c r="C1317" s="710" t="s">
        <v>9692</v>
      </c>
      <c r="D1317" s="709" t="s">
        <v>136</v>
      </c>
      <c r="E1317" s="709" t="s">
        <v>8432</v>
      </c>
      <c r="F1317" s="716">
        <v>8</v>
      </c>
      <c r="G1317" s="716">
        <v>7.27</v>
      </c>
      <c r="H1317" s="225">
        <f t="shared" si="20"/>
        <v>8</v>
      </c>
    </row>
    <row r="1318" spans="1:8" x14ac:dyDescent="0.3">
      <c r="A1318" s="401"/>
      <c r="B1318" s="709">
        <v>2483</v>
      </c>
      <c r="C1318" s="710" t="s">
        <v>9693</v>
      </c>
      <c r="D1318" s="709" t="s">
        <v>136</v>
      </c>
      <c r="E1318" s="709" t="s">
        <v>8432</v>
      </c>
      <c r="F1318" s="716">
        <v>5.69</v>
      </c>
      <c r="G1318" s="716">
        <v>5.17</v>
      </c>
      <c r="H1318" s="225">
        <f t="shared" si="20"/>
        <v>5.69</v>
      </c>
    </row>
    <row r="1319" spans="1:8" x14ac:dyDescent="0.3">
      <c r="A1319" s="401"/>
      <c r="B1319" s="709">
        <v>2487</v>
      </c>
      <c r="C1319" s="710" t="s">
        <v>9694</v>
      </c>
      <c r="D1319" s="709" t="s">
        <v>136</v>
      </c>
      <c r="E1319" s="709" t="s">
        <v>8432</v>
      </c>
      <c r="F1319" s="716">
        <v>2.73</v>
      </c>
      <c r="G1319" s="716">
        <v>2.48</v>
      </c>
      <c r="H1319" s="225">
        <f t="shared" si="20"/>
        <v>2.73</v>
      </c>
    </row>
    <row r="1320" spans="1:8" x14ac:dyDescent="0.3">
      <c r="A1320" s="401"/>
      <c r="B1320" s="709">
        <v>2528</v>
      </c>
      <c r="C1320" s="710" t="s">
        <v>9695</v>
      </c>
      <c r="D1320" s="709" t="s">
        <v>136</v>
      </c>
      <c r="E1320" s="709" t="s">
        <v>8432</v>
      </c>
      <c r="F1320" s="716">
        <v>31.42</v>
      </c>
      <c r="G1320" s="716">
        <v>28.54</v>
      </c>
      <c r="H1320" s="225">
        <f t="shared" si="20"/>
        <v>31.42</v>
      </c>
    </row>
    <row r="1321" spans="1:8" x14ac:dyDescent="0.3">
      <c r="A1321" s="401"/>
      <c r="B1321" s="709">
        <v>2489</v>
      </c>
      <c r="C1321" s="710" t="s">
        <v>9696</v>
      </c>
      <c r="D1321" s="709" t="s">
        <v>136</v>
      </c>
      <c r="E1321" s="709" t="s">
        <v>8432</v>
      </c>
      <c r="F1321" s="716">
        <v>13.84</v>
      </c>
      <c r="G1321" s="716">
        <v>12.57</v>
      </c>
      <c r="H1321" s="225">
        <f t="shared" si="20"/>
        <v>13.84</v>
      </c>
    </row>
    <row r="1322" spans="1:8" x14ac:dyDescent="0.3">
      <c r="A1322" s="401"/>
      <c r="B1322" s="709">
        <v>2484</v>
      </c>
      <c r="C1322" s="710" t="s">
        <v>9697</v>
      </c>
      <c r="D1322" s="709" t="s">
        <v>136</v>
      </c>
      <c r="E1322" s="709" t="s">
        <v>8432</v>
      </c>
      <c r="F1322" s="716">
        <v>45.63</v>
      </c>
      <c r="G1322" s="716">
        <v>41.45</v>
      </c>
      <c r="H1322" s="225">
        <f t="shared" si="20"/>
        <v>45.63</v>
      </c>
    </row>
    <row r="1323" spans="1:8" x14ac:dyDescent="0.3">
      <c r="A1323" s="401"/>
      <c r="B1323" s="709">
        <v>2488</v>
      </c>
      <c r="C1323" s="710" t="s">
        <v>9698</v>
      </c>
      <c r="D1323" s="709" t="s">
        <v>136</v>
      </c>
      <c r="E1323" s="709" t="s">
        <v>8432</v>
      </c>
      <c r="F1323" s="716">
        <v>3.2</v>
      </c>
      <c r="G1323" s="716">
        <v>2.9</v>
      </c>
      <c r="H1323" s="225">
        <f t="shared" si="20"/>
        <v>3.2</v>
      </c>
    </row>
    <row r="1324" spans="1:8" x14ac:dyDescent="0.3">
      <c r="A1324" s="401"/>
      <c r="B1324" s="709">
        <v>2485</v>
      </c>
      <c r="C1324" s="710" t="s">
        <v>9699</v>
      </c>
      <c r="D1324" s="709" t="s">
        <v>136</v>
      </c>
      <c r="E1324" s="709" t="s">
        <v>8432</v>
      </c>
      <c r="F1324" s="716">
        <v>71.52</v>
      </c>
      <c r="G1324" s="716">
        <v>64.959999999999994</v>
      </c>
      <c r="H1324" s="225">
        <f t="shared" si="20"/>
        <v>71.52</v>
      </c>
    </row>
    <row r="1325" spans="1:8" x14ac:dyDescent="0.3">
      <c r="A1325" s="401"/>
      <c r="B1325" s="709">
        <v>44247</v>
      </c>
      <c r="C1325" s="710" t="s">
        <v>9700</v>
      </c>
      <c r="D1325" s="709" t="s">
        <v>136</v>
      </c>
      <c r="E1325" s="709" t="s">
        <v>8432</v>
      </c>
      <c r="F1325" s="716">
        <v>2252.36</v>
      </c>
      <c r="G1325" s="716">
        <v>1647.13</v>
      </c>
      <c r="H1325" s="225">
        <f t="shared" si="20"/>
        <v>2252.36</v>
      </c>
    </row>
    <row r="1326" spans="1:8" x14ac:dyDescent="0.3">
      <c r="A1326" s="401"/>
      <c r="B1326" s="709">
        <v>38005</v>
      </c>
      <c r="C1326" s="710" t="s">
        <v>9701</v>
      </c>
      <c r="D1326" s="709" t="s">
        <v>136</v>
      </c>
      <c r="E1326" s="709" t="s">
        <v>8432</v>
      </c>
      <c r="F1326" s="716">
        <v>26.78</v>
      </c>
      <c r="G1326" s="716">
        <v>19.579999999999998</v>
      </c>
      <c r="H1326" s="225">
        <f t="shared" si="20"/>
        <v>26.78</v>
      </c>
    </row>
    <row r="1327" spans="1:8" x14ac:dyDescent="0.3">
      <c r="A1327" s="401"/>
      <c r="B1327" s="709">
        <v>38006</v>
      </c>
      <c r="C1327" s="710" t="s">
        <v>9702</v>
      </c>
      <c r="D1327" s="709" t="s">
        <v>136</v>
      </c>
      <c r="E1327" s="709" t="s">
        <v>8432</v>
      </c>
      <c r="F1327" s="716">
        <v>35.590000000000003</v>
      </c>
      <c r="G1327" s="716">
        <v>26.02</v>
      </c>
      <c r="H1327" s="225">
        <f t="shared" si="20"/>
        <v>35.590000000000003</v>
      </c>
    </row>
    <row r="1328" spans="1:8" x14ac:dyDescent="0.3">
      <c r="A1328" s="401"/>
      <c r="B1328" s="709">
        <v>38428</v>
      </c>
      <c r="C1328" s="710" t="s">
        <v>9703</v>
      </c>
      <c r="D1328" s="709" t="s">
        <v>136</v>
      </c>
      <c r="E1328" s="709" t="s">
        <v>8432</v>
      </c>
      <c r="F1328" s="716">
        <v>31.87</v>
      </c>
      <c r="G1328" s="716">
        <v>23.31</v>
      </c>
      <c r="H1328" s="225">
        <f t="shared" si="20"/>
        <v>31.87</v>
      </c>
    </row>
    <row r="1329" spans="1:8" x14ac:dyDescent="0.3">
      <c r="A1329" s="401"/>
      <c r="B1329" s="709">
        <v>38007</v>
      </c>
      <c r="C1329" s="710" t="s">
        <v>9704</v>
      </c>
      <c r="D1329" s="709" t="s">
        <v>136</v>
      </c>
      <c r="E1329" s="709" t="s">
        <v>8432</v>
      </c>
      <c r="F1329" s="716">
        <v>41.06</v>
      </c>
      <c r="G1329" s="716">
        <v>30.03</v>
      </c>
      <c r="H1329" s="225">
        <f t="shared" si="20"/>
        <v>41.06</v>
      </c>
    </row>
    <row r="1330" spans="1:8" x14ac:dyDescent="0.3">
      <c r="A1330" s="401"/>
      <c r="B1330" s="709">
        <v>38008</v>
      </c>
      <c r="C1330" s="710" t="s">
        <v>9705</v>
      </c>
      <c r="D1330" s="709" t="s">
        <v>136</v>
      </c>
      <c r="E1330" s="709" t="s">
        <v>8432</v>
      </c>
      <c r="F1330" s="716">
        <v>65.7</v>
      </c>
      <c r="G1330" s="716">
        <v>48.05</v>
      </c>
      <c r="H1330" s="225">
        <f t="shared" si="20"/>
        <v>65.7</v>
      </c>
    </row>
    <row r="1331" spans="1:8" x14ac:dyDescent="0.3">
      <c r="A1331" s="401"/>
      <c r="B1331" s="709">
        <v>38009</v>
      </c>
      <c r="C1331" s="710" t="s">
        <v>9706</v>
      </c>
      <c r="D1331" s="709" t="s">
        <v>136</v>
      </c>
      <c r="E1331" s="709" t="s">
        <v>8432</v>
      </c>
      <c r="F1331" s="716">
        <v>80.44</v>
      </c>
      <c r="G1331" s="716">
        <v>58.82</v>
      </c>
      <c r="H1331" s="225">
        <f t="shared" si="20"/>
        <v>80.44</v>
      </c>
    </row>
    <row r="1332" spans="1:8" x14ac:dyDescent="0.3">
      <c r="A1332" s="401"/>
      <c r="B1332" s="709">
        <v>44248</v>
      </c>
      <c r="C1332" s="710" t="s">
        <v>9707</v>
      </c>
      <c r="D1332" s="709" t="s">
        <v>136</v>
      </c>
      <c r="E1332" s="709" t="s">
        <v>8432</v>
      </c>
      <c r="F1332" s="716">
        <v>131.11000000000001</v>
      </c>
      <c r="G1332" s="716">
        <v>95.88</v>
      </c>
      <c r="H1332" s="225">
        <f t="shared" si="20"/>
        <v>131.11000000000001</v>
      </c>
    </row>
    <row r="1333" spans="1:8" x14ac:dyDescent="0.3">
      <c r="A1333" s="401"/>
      <c r="B1333" s="709">
        <v>44249</v>
      </c>
      <c r="C1333" s="710" t="s">
        <v>9708</v>
      </c>
      <c r="D1333" s="709" t="s">
        <v>136</v>
      </c>
      <c r="E1333" s="709" t="s">
        <v>8432</v>
      </c>
      <c r="F1333" s="716">
        <v>505.85</v>
      </c>
      <c r="G1333" s="716">
        <v>369.92</v>
      </c>
      <c r="H1333" s="225">
        <f t="shared" si="20"/>
        <v>505.85</v>
      </c>
    </row>
    <row r="1334" spans="1:8" x14ac:dyDescent="0.3">
      <c r="A1334" s="401"/>
      <c r="B1334" s="709">
        <v>44250</v>
      </c>
      <c r="C1334" s="710" t="s">
        <v>9709</v>
      </c>
      <c r="D1334" s="709" t="s">
        <v>136</v>
      </c>
      <c r="E1334" s="709" t="s">
        <v>8432</v>
      </c>
      <c r="F1334" s="716">
        <v>734.61</v>
      </c>
      <c r="G1334" s="716">
        <v>537.21</v>
      </c>
      <c r="H1334" s="225">
        <f t="shared" si="20"/>
        <v>734.61</v>
      </c>
    </row>
    <row r="1335" spans="1:8" x14ac:dyDescent="0.3">
      <c r="A1335" s="401"/>
      <c r="B1335" s="709">
        <v>39279</v>
      </c>
      <c r="C1335" s="710" t="s">
        <v>9710</v>
      </c>
      <c r="D1335" s="709" t="s">
        <v>136</v>
      </c>
      <c r="E1335" s="709" t="s">
        <v>8432</v>
      </c>
      <c r="F1335" s="716">
        <v>15.62</v>
      </c>
      <c r="G1335" s="716">
        <v>9.76</v>
      </c>
      <c r="H1335" s="225">
        <f t="shared" si="20"/>
        <v>15.62</v>
      </c>
    </row>
    <row r="1336" spans="1:8" x14ac:dyDescent="0.3">
      <c r="A1336" s="401"/>
      <c r="B1336" s="709">
        <v>39280</v>
      </c>
      <c r="C1336" s="710" t="s">
        <v>9711</v>
      </c>
      <c r="D1336" s="709" t="s">
        <v>136</v>
      </c>
      <c r="E1336" s="709" t="s">
        <v>8432</v>
      </c>
      <c r="F1336" s="716">
        <v>17.5</v>
      </c>
      <c r="G1336" s="716">
        <v>10.94</v>
      </c>
      <c r="H1336" s="225">
        <f t="shared" si="20"/>
        <v>17.5</v>
      </c>
    </row>
    <row r="1337" spans="1:8" x14ac:dyDescent="0.3">
      <c r="A1337" s="401"/>
      <c r="B1337" s="709">
        <v>39281</v>
      </c>
      <c r="C1337" s="710" t="s">
        <v>9712</v>
      </c>
      <c r="D1337" s="709" t="s">
        <v>136</v>
      </c>
      <c r="E1337" s="709" t="s">
        <v>8432</v>
      </c>
      <c r="F1337" s="716">
        <v>23.13</v>
      </c>
      <c r="G1337" s="716">
        <v>14.45</v>
      </c>
      <c r="H1337" s="225">
        <f t="shared" si="20"/>
        <v>23.13</v>
      </c>
    </row>
    <row r="1338" spans="1:8" x14ac:dyDescent="0.3">
      <c r="A1338" s="401"/>
      <c r="B1338" s="709">
        <v>39282</v>
      </c>
      <c r="C1338" s="710" t="s">
        <v>9713</v>
      </c>
      <c r="D1338" s="709" t="s">
        <v>136</v>
      </c>
      <c r="E1338" s="709" t="s">
        <v>8432</v>
      </c>
      <c r="F1338" s="716">
        <v>32.29</v>
      </c>
      <c r="G1338" s="716">
        <v>20.18</v>
      </c>
      <c r="H1338" s="225">
        <f t="shared" si="20"/>
        <v>32.29</v>
      </c>
    </row>
    <row r="1339" spans="1:8" x14ac:dyDescent="0.3">
      <c r="A1339" s="401"/>
      <c r="B1339" s="709">
        <v>38844</v>
      </c>
      <c r="C1339" s="710" t="s">
        <v>9714</v>
      </c>
      <c r="D1339" s="709" t="s">
        <v>136</v>
      </c>
      <c r="E1339" s="709" t="s">
        <v>8438</v>
      </c>
      <c r="F1339" s="716">
        <v>15.84</v>
      </c>
      <c r="G1339" s="716">
        <v>9.9</v>
      </c>
      <c r="H1339" s="225">
        <f t="shared" si="20"/>
        <v>15.84</v>
      </c>
    </row>
    <row r="1340" spans="1:8" x14ac:dyDescent="0.3">
      <c r="A1340" s="401"/>
      <c r="B1340" s="709">
        <v>38846</v>
      </c>
      <c r="C1340" s="710" t="s">
        <v>9715</v>
      </c>
      <c r="D1340" s="709" t="s">
        <v>136</v>
      </c>
      <c r="E1340" s="709" t="s">
        <v>8432</v>
      </c>
      <c r="F1340" s="716">
        <v>16.12</v>
      </c>
      <c r="G1340" s="716">
        <v>10.07</v>
      </c>
      <c r="H1340" s="225">
        <f t="shared" si="20"/>
        <v>16.12</v>
      </c>
    </row>
    <row r="1341" spans="1:8" x14ac:dyDescent="0.3">
      <c r="A1341" s="401"/>
      <c r="B1341" s="709">
        <v>38847</v>
      </c>
      <c r="C1341" s="710" t="s">
        <v>9716</v>
      </c>
      <c r="D1341" s="709" t="s">
        <v>136</v>
      </c>
      <c r="E1341" s="709" t="s">
        <v>8432</v>
      </c>
      <c r="F1341" s="716">
        <v>18.88</v>
      </c>
      <c r="G1341" s="716">
        <v>11.8</v>
      </c>
      <c r="H1341" s="225">
        <f t="shared" si="20"/>
        <v>18.88</v>
      </c>
    </row>
    <row r="1342" spans="1:8" x14ac:dyDescent="0.3">
      <c r="A1342" s="401"/>
      <c r="B1342" s="709">
        <v>38850</v>
      </c>
      <c r="C1342" s="710" t="s">
        <v>9717</v>
      </c>
      <c r="D1342" s="709" t="s">
        <v>136</v>
      </c>
      <c r="E1342" s="709" t="s">
        <v>8432</v>
      </c>
      <c r="F1342" s="716">
        <v>34.090000000000003</v>
      </c>
      <c r="G1342" s="716">
        <v>21.31</v>
      </c>
      <c r="H1342" s="225">
        <f t="shared" si="20"/>
        <v>34.090000000000003</v>
      </c>
    </row>
    <row r="1343" spans="1:8" x14ac:dyDescent="0.3">
      <c r="A1343" s="401"/>
      <c r="B1343" s="709">
        <v>38848</v>
      </c>
      <c r="C1343" s="710" t="s">
        <v>9718</v>
      </c>
      <c r="D1343" s="709" t="s">
        <v>136</v>
      </c>
      <c r="E1343" s="709" t="s">
        <v>8432</v>
      </c>
      <c r="F1343" s="716">
        <v>22.35</v>
      </c>
      <c r="G1343" s="716">
        <v>13.97</v>
      </c>
      <c r="H1343" s="225">
        <f t="shared" si="20"/>
        <v>22.35</v>
      </c>
    </row>
    <row r="1344" spans="1:8" x14ac:dyDescent="0.3">
      <c r="A1344" s="401"/>
      <c r="B1344" s="709">
        <v>38851</v>
      </c>
      <c r="C1344" s="710" t="s">
        <v>9719</v>
      </c>
      <c r="D1344" s="709" t="s">
        <v>136</v>
      </c>
      <c r="E1344" s="709" t="s">
        <v>8432</v>
      </c>
      <c r="F1344" s="716">
        <v>38.549999999999997</v>
      </c>
      <c r="G1344" s="716">
        <v>24.09</v>
      </c>
      <c r="H1344" s="225">
        <f t="shared" si="20"/>
        <v>38.549999999999997</v>
      </c>
    </row>
    <row r="1345" spans="1:8" x14ac:dyDescent="0.3">
      <c r="A1345" s="401"/>
      <c r="B1345" s="709">
        <v>38854</v>
      </c>
      <c r="C1345" s="710" t="s">
        <v>9720</v>
      </c>
      <c r="D1345" s="709" t="s">
        <v>136</v>
      </c>
      <c r="E1345" s="709" t="s">
        <v>8432</v>
      </c>
      <c r="F1345" s="716">
        <v>16.75</v>
      </c>
      <c r="G1345" s="716">
        <v>10.46</v>
      </c>
      <c r="H1345" s="225">
        <f t="shared" si="20"/>
        <v>16.75</v>
      </c>
    </row>
    <row r="1346" spans="1:8" x14ac:dyDescent="0.3">
      <c r="A1346" s="401"/>
      <c r="B1346" s="709">
        <v>3104</v>
      </c>
      <c r="C1346" s="710" t="s">
        <v>9721</v>
      </c>
      <c r="D1346" s="709" t="s">
        <v>9722</v>
      </c>
      <c r="E1346" s="709" t="s">
        <v>8432</v>
      </c>
      <c r="F1346" s="716">
        <v>209.9</v>
      </c>
      <c r="G1346" s="716">
        <v>185.54</v>
      </c>
      <c r="H1346" s="225">
        <f t="shared" si="20"/>
        <v>209.9</v>
      </c>
    </row>
    <row r="1347" spans="1:8" x14ac:dyDescent="0.3">
      <c r="A1347" s="401"/>
      <c r="B1347" s="709">
        <v>1607</v>
      </c>
      <c r="C1347" s="710" t="s">
        <v>9723</v>
      </c>
      <c r="D1347" s="709" t="s">
        <v>9722</v>
      </c>
      <c r="E1347" s="709" t="s">
        <v>8432</v>
      </c>
      <c r="F1347" s="716">
        <v>0.22</v>
      </c>
      <c r="G1347" s="716">
        <v>0.24</v>
      </c>
      <c r="H1347" s="225">
        <f t="shared" si="20"/>
        <v>0.22</v>
      </c>
    </row>
    <row r="1348" spans="1:8" x14ac:dyDescent="0.3">
      <c r="A1348" s="401"/>
      <c r="B1348" s="709">
        <v>38169</v>
      </c>
      <c r="C1348" s="710" t="s">
        <v>9724</v>
      </c>
      <c r="D1348" s="709" t="s">
        <v>9722</v>
      </c>
      <c r="E1348" s="709" t="s">
        <v>8432</v>
      </c>
      <c r="F1348" s="716">
        <v>95.88</v>
      </c>
      <c r="G1348" s="716">
        <v>79.319999999999993</v>
      </c>
      <c r="H1348" s="225">
        <f t="shared" si="20"/>
        <v>95.88</v>
      </c>
    </row>
    <row r="1349" spans="1:8" x14ac:dyDescent="0.3">
      <c r="A1349" s="401"/>
      <c r="B1349" s="709">
        <v>6142</v>
      </c>
      <c r="C1349" s="710" t="s">
        <v>9725</v>
      </c>
      <c r="D1349" s="709" t="s">
        <v>136</v>
      </c>
      <c r="E1349" s="709" t="s">
        <v>8432</v>
      </c>
      <c r="F1349" s="716">
        <v>10.49</v>
      </c>
      <c r="G1349" s="716">
        <v>11.15</v>
      </c>
      <c r="H1349" s="225">
        <f t="shared" si="20"/>
        <v>10.49</v>
      </c>
    </row>
    <row r="1350" spans="1:8" x14ac:dyDescent="0.3">
      <c r="A1350" s="401"/>
      <c r="B1350" s="709">
        <v>11686</v>
      </c>
      <c r="C1350" s="710" t="s">
        <v>9726</v>
      </c>
      <c r="D1350" s="709" t="s">
        <v>136</v>
      </c>
      <c r="E1350" s="709" t="s">
        <v>8432</v>
      </c>
      <c r="F1350" s="716">
        <v>14.56</v>
      </c>
      <c r="G1350" s="716">
        <v>15.48</v>
      </c>
      <c r="H1350" s="225">
        <f t="shared" si="20"/>
        <v>14.56</v>
      </c>
    </row>
    <row r="1351" spans="1:8" x14ac:dyDescent="0.3">
      <c r="A1351" s="401"/>
      <c r="B1351" s="709">
        <v>37598</v>
      </c>
      <c r="C1351" s="710" t="s">
        <v>9727</v>
      </c>
      <c r="D1351" s="709" t="s">
        <v>136</v>
      </c>
      <c r="E1351" s="709" t="s">
        <v>8432</v>
      </c>
      <c r="F1351" s="716"/>
      <c r="G1351" s="716">
        <v>44.76</v>
      </c>
      <c r="H1351" s="225">
        <f t="shared" si="20"/>
        <v>44.76</v>
      </c>
    </row>
    <row r="1352" spans="1:8" x14ac:dyDescent="0.3">
      <c r="A1352" s="401"/>
      <c r="B1352" s="709">
        <v>25398</v>
      </c>
      <c r="C1352" s="710" t="s">
        <v>9728</v>
      </c>
      <c r="D1352" s="709" t="s">
        <v>136</v>
      </c>
      <c r="E1352" s="709" t="s">
        <v>8432</v>
      </c>
      <c r="F1352" s="716">
        <v>4586.4799999999996</v>
      </c>
      <c r="G1352" s="716">
        <v>3883.59</v>
      </c>
      <c r="H1352" s="225">
        <f t="shared" si="20"/>
        <v>4586.4799999999996</v>
      </c>
    </row>
    <row r="1353" spans="1:8" x14ac:dyDescent="0.3">
      <c r="A1353" s="401"/>
      <c r="B1353" s="709">
        <v>25399</v>
      </c>
      <c r="C1353" s="710" t="s">
        <v>9729</v>
      </c>
      <c r="D1353" s="709" t="s">
        <v>136</v>
      </c>
      <c r="E1353" s="709" t="s">
        <v>8432</v>
      </c>
      <c r="F1353" s="716">
        <v>2784.4</v>
      </c>
      <c r="G1353" s="716">
        <v>2357.6799999999998</v>
      </c>
      <c r="H1353" s="225">
        <f t="shared" si="20"/>
        <v>2784.4</v>
      </c>
    </row>
    <row r="1354" spans="1:8" x14ac:dyDescent="0.3">
      <c r="A1354" s="401"/>
      <c r="B1354" s="709">
        <v>43440</v>
      </c>
      <c r="C1354" s="710" t="s">
        <v>9730</v>
      </c>
      <c r="D1354" s="709" t="s">
        <v>136</v>
      </c>
      <c r="E1354" s="709" t="s">
        <v>8432</v>
      </c>
      <c r="F1354" s="716">
        <v>563.16</v>
      </c>
      <c r="G1354" s="716">
        <v>545.91</v>
      </c>
      <c r="H1354" s="225">
        <f t="shared" si="20"/>
        <v>563.16</v>
      </c>
    </row>
    <row r="1355" spans="1:8" x14ac:dyDescent="0.3">
      <c r="A1355" s="401"/>
      <c r="B1355" s="709">
        <v>1613</v>
      </c>
      <c r="C1355" s="710" t="s">
        <v>9731</v>
      </c>
      <c r="D1355" s="709" t="s">
        <v>136</v>
      </c>
      <c r="E1355" s="709" t="s">
        <v>8432</v>
      </c>
      <c r="F1355" s="716">
        <v>1997.65</v>
      </c>
      <c r="G1355" s="716">
        <v>1508.3</v>
      </c>
      <c r="H1355" s="225">
        <f t="shared" ref="H1355:H1418" si="21">IF(F1355&gt;0,F1355,G1355)</f>
        <v>1997.65</v>
      </c>
    </row>
    <row r="1356" spans="1:8" x14ac:dyDescent="0.3">
      <c r="A1356" s="401"/>
      <c r="B1356" s="709">
        <v>1626</v>
      </c>
      <c r="C1356" s="710" t="s">
        <v>9732</v>
      </c>
      <c r="D1356" s="709" t="s">
        <v>136</v>
      </c>
      <c r="E1356" s="709" t="s">
        <v>8432</v>
      </c>
      <c r="F1356" s="716">
        <v>2987.72</v>
      </c>
      <c r="G1356" s="716">
        <v>2255.84</v>
      </c>
      <c r="H1356" s="225">
        <f t="shared" si="21"/>
        <v>2987.72</v>
      </c>
    </row>
    <row r="1357" spans="1:8" x14ac:dyDescent="0.3">
      <c r="A1357" s="401"/>
      <c r="B1357" s="709">
        <v>1625</v>
      </c>
      <c r="C1357" s="710" t="s">
        <v>9733</v>
      </c>
      <c r="D1357" s="709" t="s">
        <v>136</v>
      </c>
      <c r="E1357" s="709" t="s">
        <v>8432</v>
      </c>
      <c r="F1357" s="716">
        <v>208.68</v>
      </c>
      <c r="G1357" s="716">
        <v>157.56</v>
      </c>
      <c r="H1357" s="225">
        <f t="shared" si="21"/>
        <v>208.68</v>
      </c>
    </row>
    <row r="1358" spans="1:8" x14ac:dyDescent="0.3">
      <c r="A1358" s="401"/>
      <c r="B1358" s="709">
        <v>1622</v>
      </c>
      <c r="C1358" s="710" t="s">
        <v>9734</v>
      </c>
      <c r="D1358" s="709" t="s">
        <v>136</v>
      </c>
      <c r="E1358" s="709" t="s">
        <v>8432</v>
      </c>
      <c r="F1358" s="716">
        <v>6742.07</v>
      </c>
      <c r="G1358" s="716">
        <v>5090.5200000000004</v>
      </c>
      <c r="H1358" s="225">
        <f t="shared" si="21"/>
        <v>6742.07</v>
      </c>
    </row>
    <row r="1359" spans="1:8" x14ac:dyDescent="0.3">
      <c r="A1359" s="401"/>
      <c r="B1359" s="709">
        <v>1620</v>
      </c>
      <c r="C1359" s="710" t="s">
        <v>9735</v>
      </c>
      <c r="D1359" s="709" t="s">
        <v>136</v>
      </c>
      <c r="E1359" s="709" t="s">
        <v>8432</v>
      </c>
      <c r="F1359" s="716">
        <v>439.59</v>
      </c>
      <c r="G1359" s="716">
        <v>331.91</v>
      </c>
      <c r="H1359" s="225">
        <f t="shared" si="21"/>
        <v>439.59</v>
      </c>
    </row>
    <row r="1360" spans="1:8" x14ac:dyDescent="0.3">
      <c r="A1360" s="401"/>
      <c r="B1360" s="709">
        <v>1629</v>
      </c>
      <c r="C1360" s="710" t="s">
        <v>9736</v>
      </c>
      <c r="D1360" s="709" t="s">
        <v>136</v>
      </c>
      <c r="E1360" s="709" t="s">
        <v>8432</v>
      </c>
      <c r="F1360" s="716">
        <v>16408.59</v>
      </c>
      <c r="G1360" s="716">
        <v>12389.11</v>
      </c>
      <c r="H1360" s="225">
        <f t="shared" si="21"/>
        <v>16408.59</v>
      </c>
    </row>
    <row r="1361" spans="1:8" x14ac:dyDescent="0.3">
      <c r="A1361" s="401"/>
      <c r="B1361" s="709">
        <v>1627</v>
      </c>
      <c r="C1361" s="710" t="s">
        <v>9737</v>
      </c>
      <c r="D1361" s="709" t="s">
        <v>136</v>
      </c>
      <c r="E1361" s="709" t="s">
        <v>8432</v>
      </c>
      <c r="F1361" s="716">
        <v>840.27</v>
      </c>
      <c r="G1361" s="716">
        <v>634.42999999999995</v>
      </c>
      <c r="H1361" s="225">
        <f t="shared" si="21"/>
        <v>840.27</v>
      </c>
    </row>
    <row r="1362" spans="1:8" x14ac:dyDescent="0.3">
      <c r="A1362" s="401"/>
      <c r="B1362" s="709">
        <v>1623</v>
      </c>
      <c r="C1362" s="710" t="s">
        <v>9738</v>
      </c>
      <c r="D1362" s="709" t="s">
        <v>136</v>
      </c>
      <c r="E1362" s="709" t="s">
        <v>8432</v>
      </c>
      <c r="F1362" s="716">
        <v>170.19</v>
      </c>
      <c r="G1362" s="716">
        <v>128.5</v>
      </c>
      <c r="H1362" s="225">
        <f t="shared" si="21"/>
        <v>170.19</v>
      </c>
    </row>
    <row r="1363" spans="1:8" x14ac:dyDescent="0.3">
      <c r="A1363" s="401"/>
      <c r="B1363" s="709">
        <v>1619</v>
      </c>
      <c r="C1363" s="710" t="s">
        <v>9739</v>
      </c>
      <c r="D1363" s="709" t="s">
        <v>136</v>
      </c>
      <c r="E1363" s="709" t="s">
        <v>8432</v>
      </c>
      <c r="F1363" s="716">
        <v>234.1</v>
      </c>
      <c r="G1363" s="716">
        <v>176.76</v>
      </c>
      <c r="H1363" s="225">
        <f t="shared" si="21"/>
        <v>234.1</v>
      </c>
    </row>
    <row r="1364" spans="1:8" x14ac:dyDescent="0.3">
      <c r="A1364" s="401"/>
      <c r="B1364" s="709">
        <v>1630</v>
      </c>
      <c r="C1364" s="710" t="s">
        <v>9740</v>
      </c>
      <c r="D1364" s="709" t="s">
        <v>136</v>
      </c>
      <c r="E1364" s="709" t="s">
        <v>8432</v>
      </c>
      <c r="F1364" s="716">
        <v>5154.45</v>
      </c>
      <c r="G1364" s="716">
        <v>3891.81</v>
      </c>
      <c r="H1364" s="225">
        <f t="shared" si="21"/>
        <v>5154.45</v>
      </c>
    </row>
    <row r="1365" spans="1:8" x14ac:dyDescent="0.3">
      <c r="A1365" s="401"/>
      <c r="B1365" s="709">
        <v>1616</v>
      </c>
      <c r="C1365" s="710" t="s">
        <v>9741</v>
      </c>
      <c r="D1365" s="709" t="s">
        <v>136</v>
      </c>
      <c r="E1365" s="709" t="s">
        <v>8432</v>
      </c>
      <c r="F1365" s="716">
        <v>7927.64</v>
      </c>
      <c r="G1365" s="716">
        <v>5985.67</v>
      </c>
      <c r="H1365" s="225">
        <f t="shared" si="21"/>
        <v>7927.64</v>
      </c>
    </row>
    <row r="1366" spans="1:8" x14ac:dyDescent="0.3">
      <c r="A1366" s="401"/>
      <c r="B1366" s="709">
        <v>1614</v>
      </c>
      <c r="C1366" s="710" t="s">
        <v>9742</v>
      </c>
      <c r="D1366" s="709" t="s">
        <v>136</v>
      </c>
      <c r="E1366" s="709" t="s">
        <v>8432</v>
      </c>
      <c r="F1366" s="716">
        <v>362.32</v>
      </c>
      <c r="G1366" s="716">
        <v>273.56</v>
      </c>
      <c r="H1366" s="225">
        <f t="shared" si="21"/>
        <v>362.32</v>
      </c>
    </row>
    <row r="1367" spans="1:8" x14ac:dyDescent="0.3">
      <c r="A1367" s="401"/>
      <c r="B1367" s="709">
        <v>1617</v>
      </c>
      <c r="C1367" s="710" t="s">
        <v>9743</v>
      </c>
      <c r="D1367" s="709" t="s">
        <v>136</v>
      </c>
      <c r="E1367" s="709" t="s">
        <v>8432</v>
      </c>
      <c r="F1367" s="716">
        <v>9463.8799999999992</v>
      </c>
      <c r="G1367" s="716">
        <v>7145.59</v>
      </c>
      <c r="H1367" s="225">
        <f t="shared" si="21"/>
        <v>9463.8799999999992</v>
      </c>
    </row>
    <row r="1368" spans="1:8" x14ac:dyDescent="0.3">
      <c r="A1368" s="401"/>
      <c r="B1368" s="709">
        <v>1621</v>
      </c>
      <c r="C1368" s="710" t="s">
        <v>9744</v>
      </c>
      <c r="D1368" s="709" t="s">
        <v>136</v>
      </c>
      <c r="E1368" s="709" t="s">
        <v>8432</v>
      </c>
      <c r="F1368" s="716">
        <v>648</v>
      </c>
      <c r="G1368" s="716">
        <v>489.26</v>
      </c>
      <c r="H1368" s="225">
        <f t="shared" si="21"/>
        <v>648</v>
      </c>
    </row>
    <row r="1369" spans="1:8" x14ac:dyDescent="0.3">
      <c r="A1369" s="401"/>
      <c r="B1369" s="709">
        <v>1624</v>
      </c>
      <c r="C1369" s="710" t="s">
        <v>9745</v>
      </c>
      <c r="D1369" s="709" t="s">
        <v>136</v>
      </c>
      <c r="E1369" s="709" t="s">
        <v>8432</v>
      </c>
      <c r="F1369" s="716">
        <v>23262.68</v>
      </c>
      <c r="G1369" s="716">
        <v>17564.21</v>
      </c>
      <c r="H1369" s="225">
        <f t="shared" si="21"/>
        <v>23262.68</v>
      </c>
    </row>
    <row r="1370" spans="1:8" x14ac:dyDescent="0.3">
      <c r="A1370" s="401"/>
      <c r="B1370" s="709">
        <v>1615</v>
      </c>
      <c r="C1370" s="710" t="s">
        <v>9746</v>
      </c>
      <c r="D1370" s="709" t="s">
        <v>136</v>
      </c>
      <c r="E1370" s="709" t="s">
        <v>8432</v>
      </c>
      <c r="F1370" s="716">
        <v>1216.8399999999999</v>
      </c>
      <c r="G1370" s="716">
        <v>918.76</v>
      </c>
      <c r="H1370" s="225">
        <f t="shared" si="21"/>
        <v>1216.8399999999999</v>
      </c>
    </row>
    <row r="1371" spans="1:8" x14ac:dyDescent="0.3">
      <c r="A1371" s="401"/>
      <c r="B1371" s="709">
        <v>1612</v>
      </c>
      <c r="C1371" s="710" t="s">
        <v>9747</v>
      </c>
      <c r="D1371" s="709" t="s">
        <v>136</v>
      </c>
      <c r="E1371" s="709" t="s">
        <v>8438</v>
      </c>
      <c r="F1371" s="716">
        <v>160.27000000000001</v>
      </c>
      <c r="G1371" s="716">
        <v>121.01</v>
      </c>
      <c r="H1371" s="225">
        <f t="shared" si="21"/>
        <v>160.27000000000001</v>
      </c>
    </row>
    <row r="1372" spans="1:8" x14ac:dyDescent="0.3">
      <c r="A1372" s="401"/>
      <c r="B1372" s="709">
        <v>1618</v>
      </c>
      <c r="C1372" s="710" t="s">
        <v>9748</v>
      </c>
      <c r="D1372" s="709" t="s">
        <v>136</v>
      </c>
      <c r="E1372" s="709" t="s">
        <v>8432</v>
      </c>
      <c r="F1372" s="716">
        <v>1672.13</v>
      </c>
      <c r="G1372" s="716">
        <v>1262.52</v>
      </c>
      <c r="H1372" s="225">
        <f t="shared" si="21"/>
        <v>1672.13</v>
      </c>
    </row>
    <row r="1373" spans="1:8" x14ac:dyDescent="0.3">
      <c r="A1373" s="401"/>
      <c r="B1373" s="709">
        <v>14211</v>
      </c>
      <c r="C1373" s="710" t="s">
        <v>9749</v>
      </c>
      <c r="D1373" s="709" t="s">
        <v>136</v>
      </c>
      <c r="E1373" s="709" t="s">
        <v>8432</v>
      </c>
      <c r="F1373" s="716"/>
      <c r="G1373" s="716">
        <v>41.39</v>
      </c>
      <c r="H1373" s="225">
        <f t="shared" si="21"/>
        <v>41.39</v>
      </c>
    </row>
    <row r="1374" spans="1:8" x14ac:dyDescent="0.3">
      <c r="A1374" s="401"/>
      <c r="B1374" s="709">
        <v>43657</v>
      </c>
      <c r="C1374" s="710" t="s">
        <v>9750</v>
      </c>
      <c r="D1374" s="709" t="s">
        <v>159</v>
      </c>
      <c r="E1374" s="709" t="s">
        <v>8432</v>
      </c>
      <c r="F1374" s="716">
        <v>9.42</v>
      </c>
      <c r="G1374" s="716">
        <v>7.73</v>
      </c>
      <c r="H1374" s="225">
        <f t="shared" si="21"/>
        <v>9.42</v>
      </c>
    </row>
    <row r="1375" spans="1:8" x14ac:dyDescent="0.3">
      <c r="A1375" s="401"/>
      <c r="B1375" s="709">
        <v>38200</v>
      </c>
      <c r="C1375" s="710" t="s">
        <v>9751</v>
      </c>
      <c r="D1375" s="709" t="s">
        <v>9752</v>
      </c>
      <c r="E1375" s="709" t="s">
        <v>8432</v>
      </c>
      <c r="F1375" s="716">
        <v>458.28</v>
      </c>
      <c r="G1375" s="716">
        <v>449.46</v>
      </c>
      <c r="H1375" s="225">
        <f t="shared" si="21"/>
        <v>458.28</v>
      </c>
    </row>
    <row r="1376" spans="1:8" x14ac:dyDescent="0.3">
      <c r="A1376" s="401"/>
      <c r="B1376" s="709">
        <v>39269</v>
      </c>
      <c r="C1376" s="710" t="s">
        <v>9753</v>
      </c>
      <c r="D1376" s="709" t="s">
        <v>159</v>
      </c>
      <c r="E1376" s="709" t="s">
        <v>8432</v>
      </c>
      <c r="F1376" s="716">
        <v>1.56</v>
      </c>
      <c r="G1376" s="716">
        <v>1.64</v>
      </c>
      <c r="H1376" s="225">
        <f t="shared" si="21"/>
        <v>1.56</v>
      </c>
    </row>
    <row r="1377" spans="1:8" x14ac:dyDescent="0.3">
      <c r="A1377" s="401"/>
      <c r="B1377" s="709">
        <v>11889</v>
      </c>
      <c r="C1377" s="710" t="s">
        <v>9754</v>
      </c>
      <c r="D1377" s="709" t="s">
        <v>159</v>
      </c>
      <c r="E1377" s="709" t="s">
        <v>8432</v>
      </c>
      <c r="F1377" s="716">
        <v>2.14</v>
      </c>
      <c r="G1377" s="716">
        <v>2.2599999999999998</v>
      </c>
      <c r="H1377" s="225">
        <f t="shared" si="21"/>
        <v>2.14</v>
      </c>
    </row>
    <row r="1378" spans="1:8" x14ac:dyDescent="0.3">
      <c r="A1378" s="401"/>
      <c r="B1378" s="709">
        <v>39270</v>
      </c>
      <c r="C1378" s="710" t="s">
        <v>9755</v>
      </c>
      <c r="D1378" s="709" t="s">
        <v>159</v>
      </c>
      <c r="E1378" s="709" t="s">
        <v>8432</v>
      </c>
      <c r="F1378" s="716">
        <v>2.78</v>
      </c>
      <c r="G1378" s="716">
        <v>2.93</v>
      </c>
      <c r="H1378" s="225">
        <f t="shared" si="21"/>
        <v>2.78</v>
      </c>
    </row>
    <row r="1379" spans="1:8" x14ac:dyDescent="0.3">
      <c r="A1379" s="401"/>
      <c r="B1379" s="709">
        <v>11890</v>
      </c>
      <c r="C1379" s="710" t="s">
        <v>9756</v>
      </c>
      <c r="D1379" s="709" t="s">
        <v>159</v>
      </c>
      <c r="E1379" s="709" t="s">
        <v>8432</v>
      </c>
      <c r="F1379" s="716">
        <v>3.79</v>
      </c>
      <c r="G1379" s="716">
        <v>3.99</v>
      </c>
      <c r="H1379" s="225">
        <f t="shared" si="21"/>
        <v>3.79</v>
      </c>
    </row>
    <row r="1380" spans="1:8" x14ac:dyDescent="0.3">
      <c r="A1380" s="401"/>
      <c r="B1380" s="709">
        <v>11891</v>
      </c>
      <c r="C1380" s="710" t="s">
        <v>9757</v>
      </c>
      <c r="D1380" s="709" t="s">
        <v>159</v>
      </c>
      <c r="E1380" s="709" t="s">
        <v>8432</v>
      </c>
      <c r="F1380" s="716">
        <v>6.14</v>
      </c>
      <c r="G1380" s="716">
        <v>6.47</v>
      </c>
      <c r="H1380" s="225">
        <f t="shared" si="21"/>
        <v>6.14</v>
      </c>
    </row>
    <row r="1381" spans="1:8" x14ac:dyDescent="0.3">
      <c r="A1381" s="401"/>
      <c r="B1381" s="709">
        <v>11892</v>
      </c>
      <c r="C1381" s="710" t="s">
        <v>9758</v>
      </c>
      <c r="D1381" s="709" t="s">
        <v>159</v>
      </c>
      <c r="E1381" s="709" t="s">
        <v>8432</v>
      </c>
      <c r="F1381" s="716">
        <v>10.039999999999999</v>
      </c>
      <c r="G1381" s="716">
        <v>10.58</v>
      </c>
      <c r="H1381" s="225">
        <f t="shared" si="21"/>
        <v>10.039999999999999</v>
      </c>
    </row>
    <row r="1382" spans="1:8" x14ac:dyDescent="0.3">
      <c r="A1382" s="401"/>
      <c r="B1382" s="709">
        <v>37601</v>
      </c>
      <c r="C1382" s="710" t="s">
        <v>9759</v>
      </c>
      <c r="D1382" s="709" t="s">
        <v>159</v>
      </c>
      <c r="E1382" s="709" t="s">
        <v>8432</v>
      </c>
      <c r="F1382" s="716"/>
      <c r="G1382" s="716">
        <v>9.94</v>
      </c>
      <c r="H1382" s="225">
        <f t="shared" si="21"/>
        <v>9.94</v>
      </c>
    </row>
    <row r="1383" spans="1:8" x14ac:dyDescent="0.3">
      <c r="A1383" s="401"/>
      <c r="B1383" s="709">
        <v>1634</v>
      </c>
      <c r="C1383" s="710" t="s">
        <v>9760</v>
      </c>
      <c r="D1383" s="709" t="s">
        <v>159</v>
      </c>
      <c r="E1383" s="709" t="s">
        <v>8432</v>
      </c>
      <c r="F1383" s="716"/>
      <c r="G1383" s="716">
        <v>10.28</v>
      </c>
      <c r="H1383" s="225">
        <f t="shared" si="21"/>
        <v>10.28</v>
      </c>
    </row>
    <row r="1384" spans="1:8" x14ac:dyDescent="0.3">
      <c r="A1384" s="401"/>
      <c r="B1384" s="709">
        <v>44274</v>
      </c>
      <c r="C1384" s="710" t="s">
        <v>9761</v>
      </c>
      <c r="D1384" s="709" t="s">
        <v>136</v>
      </c>
      <c r="E1384" s="709" t="s">
        <v>8432</v>
      </c>
      <c r="F1384" s="716">
        <v>673.27</v>
      </c>
      <c r="G1384" s="716">
        <v>702.18</v>
      </c>
      <c r="H1384" s="225">
        <f t="shared" si="21"/>
        <v>673.27</v>
      </c>
    </row>
    <row r="1385" spans="1:8" x14ac:dyDescent="0.3">
      <c r="A1385" s="401"/>
      <c r="B1385" s="709">
        <v>5086</v>
      </c>
      <c r="C1385" s="710" t="s">
        <v>9762</v>
      </c>
      <c r="D1385" s="709" t="s">
        <v>175</v>
      </c>
      <c r="E1385" s="709" t="s">
        <v>8432</v>
      </c>
      <c r="F1385" s="716">
        <v>39.69</v>
      </c>
      <c r="G1385" s="716">
        <v>32.840000000000003</v>
      </c>
      <c r="H1385" s="225">
        <f t="shared" si="21"/>
        <v>39.69</v>
      </c>
    </row>
    <row r="1386" spans="1:8" x14ac:dyDescent="0.3">
      <c r="A1386" s="401"/>
      <c r="B1386" s="709">
        <v>45244</v>
      </c>
      <c r="C1386" s="710" t="s">
        <v>9763</v>
      </c>
      <c r="D1386" s="709" t="s">
        <v>136</v>
      </c>
      <c r="E1386" s="709" t="s">
        <v>8432</v>
      </c>
      <c r="F1386" s="716">
        <v>104.2</v>
      </c>
      <c r="G1386" s="716">
        <v>102.48</v>
      </c>
      <c r="H1386" s="225">
        <f t="shared" si="21"/>
        <v>104.2</v>
      </c>
    </row>
    <row r="1387" spans="1:8" x14ac:dyDescent="0.3">
      <c r="A1387" s="401"/>
      <c r="B1387" s="709">
        <v>11280</v>
      </c>
      <c r="C1387" s="710" t="s">
        <v>9764</v>
      </c>
      <c r="D1387" s="709" t="s">
        <v>136</v>
      </c>
      <c r="E1387" s="709" t="s">
        <v>8432</v>
      </c>
      <c r="F1387" s="716">
        <v>7151.33</v>
      </c>
      <c r="G1387" s="716">
        <v>6052.46</v>
      </c>
      <c r="H1387" s="225">
        <f t="shared" si="21"/>
        <v>7151.33</v>
      </c>
    </row>
    <row r="1388" spans="1:8" x14ac:dyDescent="0.3">
      <c r="A1388" s="401"/>
      <c r="B1388" s="709">
        <v>45657</v>
      </c>
      <c r="C1388" s="710" t="s">
        <v>9765</v>
      </c>
      <c r="D1388" s="709" t="s">
        <v>136</v>
      </c>
      <c r="E1388" s="709" t="s">
        <v>8432</v>
      </c>
      <c r="F1388" s="716">
        <v>162957.84</v>
      </c>
      <c r="G1388" s="716">
        <v>137917.76000000001</v>
      </c>
      <c r="H1388" s="225">
        <f t="shared" si="21"/>
        <v>162957.84</v>
      </c>
    </row>
    <row r="1389" spans="1:8" x14ac:dyDescent="0.3">
      <c r="A1389" s="401"/>
      <c r="B1389" s="709">
        <v>3446</v>
      </c>
      <c r="C1389" s="710" t="s">
        <v>9766</v>
      </c>
      <c r="D1389" s="709" t="s">
        <v>136</v>
      </c>
      <c r="E1389" s="709" t="s">
        <v>8432</v>
      </c>
      <c r="F1389" s="716">
        <v>28.51</v>
      </c>
      <c r="G1389" s="716">
        <v>38.869999999999997</v>
      </c>
      <c r="H1389" s="225">
        <f t="shared" si="21"/>
        <v>28.51</v>
      </c>
    </row>
    <row r="1390" spans="1:8" x14ac:dyDescent="0.3">
      <c r="A1390" s="401"/>
      <c r="B1390" s="709">
        <v>3445</v>
      </c>
      <c r="C1390" s="710" t="s">
        <v>9767</v>
      </c>
      <c r="D1390" s="709" t="s">
        <v>136</v>
      </c>
      <c r="E1390" s="709" t="s">
        <v>8432</v>
      </c>
      <c r="F1390" s="716">
        <v>23.27</v>
      </c>
      <c r="G1390" s="716">
        <v>31.74</v>
      </c>
      <c r="H1390" s="225">
        <f t="shared" si="21"/>
        <v>23.27</v>
      </c>
    </row>
    <row r="1391" spans="1:8" x14ac:dyDescent="0.3">
      <c r="A1391" s="401"/>
      <c r="B1391" s="709">
        <v>3444</v>
      </c>
      <c r="C1391" s="710" t="s">
        <v>9768</v>
      </c>
      <c r="D1391" s="709" t="s">
        <v>136</v>
      </c>
      <c r="E1391" s="709" t="s">
        <v>8432</v>
      </c>
      <c r="F1391" s="716">
        <v>14.32</v>
      </c>
      <c r="G1391" s="716">
        <v>19.53</v>
      </c>
      <c r="H1391" s="225">
        <f t="shared" si="21"/>
        <v>14.32</v>
      </c>
    </row>
    <row r="1392" spans="1:8" x14ac:dyDescent="0.3">
      <c r="A1392" s="401"/>
      <c r="B1392" s="709">
        <v>3441</v>
      </c>
      <c r="C1392" s="710" t="s">
        <v>9769</v>
      </c>
      <c r="D1392" s="709" t="s">
        <v>136</v>
      </c>
      <c r="E1392" s="709" t="s">
        <v>8432</v>
      </c>
      <c r="F1392" s="716">
        <v>6.57</v>
      </c>
      <c r="G1392" s="716">
        <v>8.9600000000000009</v>
      </c>
      <c r="H1392" s="225">
        <f t="shared" si="21"/>
        <v>6.57</v>
      </c>
    </row>
    <row r="1393" spans="1:8" x14ac:dyDescent="0.3">
      <c r="A1393" s="401"/>
      <c r="B1393" s="709">
        <v>12402</v>
      </c>
      <c r="C1393" s="710" t="s">
        <v>9770</v>
      </c>
      <c r="D1393" s="709" t="s">
        <v>136</v>
      </c>
      <c r="E1393" s="709" t="s">
        <v>8432</v>
      </c>
      <c r="F1393" s="716">
        <v>80.14</v>
      </c>
      <c r="G1393" s="716">
        <v>109.27</v>
      </c>
      <c r="H1393" s="225">
        <f t="shared" si="21"/>
        <v>80.14</v>
      </c>
    </row>
    <row r="1394" spans="1:8" x14ac:dyDescent="0.3">
      <c r="A1394" s="401"/>
      <c r="B1394" s="709">
        <v>3447</v>
      </c>
      <c r="C1394" s="710" t="s">
        <v>9771</v>
      </c>
      <c r="D1394" s="709" t="s">
        <v>136</v>
      </c>
      <c r="E1394" s="709" t="s">
        <v>8432</v>
      </c>
      <c r="F1394" s="716">
        <v>41.46</v>
      </c>
      <c r="G1394" s="716">
        <v>56.53</v>
      </c>
      <c r="H1394" s="225">
        <f t="shared" si="21"/>
        <v>41.46</v>
      </c>
    </row>
    <row r="1395" spans="1:8" x14ac:dyDescent="0.3">
      <c r="A1395" s="401"/>
      <c r="B1395" s="709">
        <v>3448</v>
      </c>
      <c r="C1395" s="710" t="s">
        <v>9772</v>
      </c>
      <c r="D1395" s="709" t="s">
        <v>136</v>
      </c>
      <c r="E1395" s="709" t="s">
        <v>8432</v>
      </c>
      <c r="F1395" s="716">
        <v>117.16</v>
      </c>
      <c r="G1395" s="716">
        <v>159.76</v>
      </c>
      <c r="H1395" s="225">
        <f t="shared" si="21"/>
        <v>117.16</v>
      </c>
    </row>
    <row r="1396" spans="1:8" x14ac:dyDescent="0.3">
      <c r="A1396" s="401"/>
      <c r="B1396" s="709">
        <v>3442</v>
      </c>
      <c r="C1396" s="710" t="s">
        <v>9773</v>
      </c>
      <c r="D1396" s="709" t="s">
        <v>136</v>
      </c>
      <c r="E1396" s="709" t="s">
        <v>8432</v>
      </c>
      <c r="F1396" s="716">
        <v>9.82</v>
      </c>
      <c r="G1396" s="716">
        <v>13.4</v>
      </c>
      <c r="H1396" s="225">
        <f t="shared" si="21"/>
        <v>9.82</v>
      </c>
    </row>
    <row r="1397" spans="1:8" x14ac:dyDescent="0.3">
      <c r="A1397" s="401"/>
      <c r="B1397" s="709">
        <v>3449</v>
      </c>
      <c r="C1397" s="710" t="s">
        <v>9774</v>
      </c>
      <c r="D1397" s="709" t="s">
        <v>136</v>
      </c>
      <c r="E1397" s="709" t="s">
        <v>8432</v>
      </c>
      <c r="F1397" s="716">
        <v>205.3</v>
      </c>
      <c r="G1397" s="716">
        <v>279.93</v>
      </c>
      <c r="H1397" s="225">
        <f t="shared" si="21"/>
        <v>205.3</v>
      </c>
    </row>
    <row r="1398" spans="1:8" x14ac:dyDescent="0.3">
      <c r="A1398" s="401"/>
      <c r="B1398" s="709">
        <v>37438</v>
      </c>
      <c r="C1398" s="710" t="s">
        <v>9775</v>
      </c>
      <c r="D1398" s="709" t="s">
        <v>136</v>
      </c>
      <c r="E1398" s="709" t="s">
        <v>8432</v>
      </c>
      <c r="F1398" s="716">
        <v>254.56</v>
      </c>
      <c r="G1398" s="716">
        <v>256.35000000000002</v>
      </c>
      <c r="H1398" s="225">
        <f t="shared" si="21"/>
        <v>254.56</v>
      </c>
    </row>
    <row r="1399" spans="1:8" x14ac:dyDescent="0.3">
      <c r="A1399" s="401"/>
      <c r="B1399" s="709">
        <v>37439</v>
      </c>
      <c r="C1399" s="710" t="s">
        <v>9776</v>
      </c>
      <c r="D1399" s="709" t="s">
        <v>136</v>
      </c>
      <c r="E1399" s="709" t="s">
        <v>8432</v>
      </c>
      <c r="F1399" s="716">
        <v>1664.32</v>
      </c>
      <c r="G1399" s="716">
        <v>1676</v>
      </c>
      <c r="H1399" s="225">
        <f t="shared" si="21"/>
        <v>1664.32</v>
      </c>
    </row>
    <row r="1400" spans="1:8" x14ac:dyDescent="0.3">
      <c r="A1400" s="401"/>
      <c r="B1400" s="709">
        <v>37435</v>
      </c>
      <c r="C1400" s="710" t="s">
        <v>9777</v>
      </c>
      <c r="D1400" s="709" t="s">
        <v>136</v>
      </c>
      <c r="E1400" s="709" t="s">
        <v>8432</v>
      </c>
      <c r="F1400" s="716">
        <v>29.91</v>
      </c>
      <c r="G1400" s="716">
        <v>30.12</v>
      </c>
      <c r="H1400" s="225">
        <f t="shared" si="21"/>
        <v>29.91</v>
      </c>
    </row>
    <row r="1401" spans="1:8" x14ac:dyDescent="0.3">
      <c r="A1401" s="401"/>
      <c r="B1401" s="709">
        <v>37436</v>
      </c>
      <c r="C1401" s="710" t="s">
        <v>9778</v>
      </c>
      <c r="D1401" s="709" t="s">
        <v>136</v>
      </c>
      <c r="E1401" s="709" t="s">
        <v>8432</v>
      </c>
      <c r="F1401" s="716">
        <v>35.299999999999997</v>
      </c>
      <c r="G1401" s="716">
        <v>35.549999999999997</v>
      </c>
      <c r="H1401" s="225">
        <f t="shared" si="21"/>
        <v>35.299999999999997</v>
      </c>
    </row>
    <row r="1402" spans="1:8" x14ac:dyDescent="0.3">
      <c r="A1402" s="401"/>
      <c r="B1402" s="709">
        <v>37437</v>
      </c>
      <c r="C1402" s="710" t="s">
        <v>9779</v>
      </c>
      <c r="D1402" s="709" t="s">
        <v>136</v>
      </c>
      <c r="E1402" s="709" t="s">
        <v>8432</v>
      </c>
      <c r="F1402" s="716">
        <v>51.06</v>
      </c>
      <c r="G1402" s="716">
        <v>51.42</v>
      </c>
      <c r="H1402" s="225">
        <f t="shared" si="21"/>
        <v>51.06</v>
      </c>
    </row>
    <row r="1403" spans="1:8" x14ac:dyDescent="0.3">
      <c r="A1403" s="401"/>
      <c r="B1403" s="709">
        <v>3473</v>
      </c>
      <c r="C1403" s="710" t="s">
        <v>9780</v>
      </c>
      <c r="D1403" s="709" t="s">
        <v>136</v>
      </c>
      <c r="E1403" s="709" t="s">
        <v>8432</v>
      </c>
      <c r="F1403" s="716">
        <v>32.229999999999997</v>
      </c>
      <c r="G1403" s="716">
        <v>43.95</v>
      </c>
      <c r="H1403" s="225">
        <f t="shared" si="21"/>
        <v>32.229999999999997</v>
      </c>
    </row>
    <row r="1404" spans="1:8" x14ac:dyDescent="0.3">
      <c r="A1404" s="401"/>
      <c r="B1404" s="709">
        <v>3474</v>
      </c>
      <c r="C1404" s="710" t="s">
        <v>9781</v>
      </c>
      <c r="D1404" s="709" t="s">
        <v>136</v>
      </c>
      <c r="E1404" s="709" t="s">
        <v>8432</v>
      </c>
      <c r="F1404" s="716">
        <v>26.57</v>
      </c>
      <c r="G1404" s="716">
        <v>36.229999999999997</v>
      </c>
      <c r="H1404" s="225">
        <f t="shared" si="21"/>
        <v>26.57</v>
      </c>
    </row>
    <row r="1405" spans="1:8" x14ac:dyDescent="0.3">
      <c r="A1405" s="401"/>
      <c r="B1405" s="709">
        <v>3443</v>
      </c>
      <c r="C1405" s="710" t="s">
        <v>9782</v>
      </c>
      <c r="D1405" s="709" t="s">
        <v>136</v>
      </c>
      <c r="E1405" s="709" t="s">
        <v>8432</v>
      </c>
      <c r="F1405" s="716">
        <v>16.53</v>
      </c>
      <c r="G1405" s="716">
        <v>22.54</v>
      </c>
      <c r="H1405" s="225">
        <f t="shared" si="21"/>
        <v>16.53</v>
      </c>
    </row>
    <row r="1406" spans="1:8" x14ac:dyDescent="0.3">
      <c r="A1406" s="401"/>
      <c r="B1406" s="709">
        <v>3450</v>
      </c>
      <c r="C1406" s="710" t="s">
        <v>9783</v>
      </c>
      <c r="D1406" s="709" t="s">
        <v>136</v>
      </c>
      <c r="E1406" s="709" t="s">
        <v>8432</v>
      </c>
      <c r="F1406" s="716">
        <v>7.7</v>
      </c>
      <c r="G1406" s="716">
        <v>10.5</v>
      </c>
      <c r="H1406" s="225">
        <f t="shared" si="21"/>
        <v>7.7</v>
      </c>
    </row>
    <row r="1407" spans="1:8" x14ac:dyDescent="0.3">
      <c r="A1407" s="401"/>
      <c r="B1407" s="709">
        <v>3453</v>
      </c>
      <c r="C1407" s="710" t="s">
        <v>9784</v>
      </c>
      <c r="D1407" s="709" t="s">
        <v>136</v>
      </c>
      <c r="E1407" s="709" t="s">
        <v>8432</v>
      </c>
      <c r="F1407" s="716">
        <v>94.09</v>
      </c>
      <c r="G1407" s="716">
        <v>128.29</v>
      </c>
      <c r="H1407" s="225">
        <f t="shared" si="21"/>
        <v>94.09</v>
      </c>
    </row>
    <row r="1408" spans="1:8" x14ac:dyDescent="0.3">
      <c r="A1408" s="401"/>
      <c r="B1408" s="709">
        <v>3452</v>
      </c>
      <c r="C1408" s="710" t="s">
        <v>9785</v>
      </c>
      <c r="D1408" s="709" t="s">
        <v>136</v>
      </c>
      <c r="E1408" s="709" t="s">
        <v>8432</v>
      </c>
      <c r="F1408" s="716">
        <v>46.44</v>
      </c>
      <c r="G1408" s="716">
        <v>63.32</v>
      </c>
      <c r="H1408" s="225">
        <f t="shared" si="21"/>
        <v>46.44</v>
      </c>
    </row>
    <row r="1409" spans="1:8" x14ac:dyDescent="0.3">
      <c r="A1409" s="401"/>
      <c r="B1409" s="709">
        <v>3454</v>
      </c>
      <c r="C1409" s="710" t="s">
        <v>9786</v>
      </c>
      <c r="D1409" s="709" t="s">
        <v>136</v>
      </c>
      <c r="E1409" s="709" t="s">
        <v>8432</v>
      </c>
      <c r="F1409" s="716">
        <v>143.11000000000001</v>
      </c>
      <c r="G1409" s="716">
        <v>195.13</v>
      </c>
      <c r="H1409" s="225">
        <f t="shared" si="21"/>
        <v>143.11000000000001</v>
      </c>
    </row>
    <row r="1410" spans="1:8" x14ac:dyDescent="0.3">
      <c r="A1410" s="401"/>
      <c r="B1410" s="709">
        <v>3451</v>
      </c>
      <c r="C1410" s="710" t="s">
        <v>9787</v>
      </c>
      <c r="D1410" s="709" t="s">
        <v>136</v>
      </c>
      <c r="E1410" s="709" t="s">
        <v>8432</v>
      </c>
      <c r="F1410" s="716">
        <v>9.2100000000000009</v>
      </c>
      <c r="G1410" s="716">
        <v>12.56</v>
      </c>
      <c r="H1410" s="225">
        <f t="shared" si="21"/>
        <v>9.2100000000000009</v>
      </c>
    </row>
    <row r="1411" spans="1:8" x14ac:dyDescent="0.3">
      <c r="A1411" s="401"/>
      <c r="B1411" s="709">
        <v>3458</v>
      </c>
      <c r="C1411" s="710" t="s">
        <v>9788</v>
      </c>
      <c r="D1411" s="709" t="s">
        <v>136</v>
      </c>
      <c r="E1411" s="709" t="s">
        <v>8432</v>
      </c>
      <c r="F1411" s="716">
        <v>25.84</v>
      </c>
      <c r="G1411" s="716">
        <v>35.229999999999997</v>
      </c>
      <c r="H1411" s="225">
        <f t="shared" si="21"/>
        <v>25.84</v>
      </c>
    </row>
    <row r="1412" spans="1:8" x14ac:dyDescent="0.3">
      <c r="A1412" s="401"/>
      <c r="B1412" s="709">
        <v>3457</v>
      </c>
      <c r="C1412" s="710" t="s">
        <v>9789</v>
      </c>
      <c r="D1412" s="709" t="s">
        <v>136</v>
      </c>
      <c r="E1412" s="709" t="s">
        <v>8432</v>
      </c>
      <c r="F1412" s="716">
        <v>19.399999999999999</v>
      </c>
      <c r="G1412" s="716">
        <v>26.45</v>
      </c>
      <c r="H1412" s="225">
        <f t="shared" si="21"/>
        <v>19.399999999999999</v>
      </c>
    </row>
    <row r="1413" spans="1:8" x14ac:dyDescent="0.3">
      <c r="A1413" s="401"/>
      <c r="B1413" s="709">
        <v>3472</v>
      </c>
      <c r="C1413" s="710" t="s">
        <v>9790</v>
      </c>
      <c r="D1413" s="709" t="s">
        <v>136</v>
      </c>
      <c r="E1413" s="709" t="s">
        <v>8432</v>
      </c>
      <c r="F1413" s="716">
        <v>12.37</v>
      </c>
      <c r="G1413" s="716">
        <v>16.87</v>
      </c>
      <c r="H1413" s="225">
        <f t="shared" si="21"/>
        <v>12.37</v>
      </c>
    </row>
    <row r="1414" spans="1:8" x14ac:dyDescent="0.3">
      <c r="A1414" s="401"/>
      <c r="B1414" s="709">
        <v>3455</v>
      </c>
      <c r="C1414" s="710" t="s">
        <v>9791</v>
      </c>
      <c r="D1414" s="709" t="s">
        <v>136</v>
      </c>
      <c r="E1414" s="709" t="s">
        <v>8432</v>
      </c>
      <c r="F1414" s="716">
        <v>5.51</v>
      </c>
      <c r="G1414" s="716">
        <v>7.51</v>
      </c>
      <c r="H1414" s="225">
        <f t="shared" si="21"/>
        <v>5.51</v>
      </c>
    </row>
    <row r="1415" spans="1:8" x14ac:dyDescent="0.3">
      <c r="A1415" s="401"/>
      <c r="B1415" s="709">
        <v>3470</v>
      </c>
      <c r="C1415" s="710" t="s">
        <v>9792</v>
      </c>
      <c r="D1415" s="709" t="s">
        <v>136</v>
      </c>
      <c r="E1415" s="709" t="s">
        <v>8432</v>
      </c>
      <c r="F1415" s="716">
        <v>72.150000000000006</v>
      </c>
      <c r="G1415" s="716">
        <v>98.38</v>
      </c>
      <c r="H1415" s="225">
        <f t="shared" si="21"/>
        <v>72.150000000000006</v>
      </c>
    </row>
    <row r="1416" spans="1:8" x14ac:dyDescent="0.3">
      <c r="A1416" s="401"/>
      <c r="B1416" s="709">
        <v>3471</v>
      </c>
      <c r="C1416" s="710" t="s">
        <v>9793</v>
      </c>
      <c r="D1416" s="709" t="s">
        <v>136</v>
      </c>
      <c r="E1416" s="709" t="s">
        <v>8432</v>
      </c>
      <c r="F1416" s="716">
        <v>39.64</v>
      </c>
      <c r="G1416" s="716">
        <v>54.06</v>
      </c>
      <c r="H1416" s="225">
        <f t="shared" si="21"/>
        <v>39.64</v>
      </c>
    </row>
    <row r="1417" spans="1:8" x14ac:dyDescent="0.3">
      <c r="A1417" s="401"/>
      <c r="B1417" s="709">
        <v>3459</v>
      </c>
      <c r="C1417" s="710" t="s">
        <v>9794</v>
      </c>
      <c r="D1417" s="709" t="s">
        <v>136</v>
      </c>
      <c r="E1417" s="709" t="s">
        <v>8432</v>
      </c>
      <c r="F1417" s="716">
        <v>101.76</v>
      </c>
      <c r="G1417" s="716">
        <v>138.76</v>
      </c>
      <c r="H1417" s="225">
        <f t="shared" si="21"/>
        <v>101.76</v>
      </c>
    </row>
    <row r="1418" spans="1:8" x14ac:dyDescent="0.3">
      <c r="A1418" s="401"/>
      <c r="B1418" s="709">
        <v>3456</v>
      </c>
      <c r="C1418" s="710" t="s">
        <v>9795</v>
      </c>
      <c r="D1418" s="709" t="s">
        <v>136</v>
      </c>
      <c r="E1418" s="709" t="s">
        <v>8432</v>
      </c>
      <c r="F1418" s="716">
        <v>8.24</v>
      </c>
      <c r="G1418" s="716">
        <v>11.24</v>
      </c>
      <c r="H1418" s="225">
        <f t="shared" si="21"/>
        <v>8.24</v>
      </c>
    </row>
    <row r="1419" spans="1:8" x14ac:dyDescent="0.3">
      <c r="A1419" s="401"/>
      <c r="B1419" s="709">
        <v>3469</v>
      </c>
      <c r="C1419" s="710" t="s">
        <v>9796</v>
      </c>
      <c r="D1419" s="709" t="s">
        <v>136</v>
      </c>
      <c r="E1419" s="709" t="s">
        <v>8432</v>
      </c>
      <c r="F1419" s="716">
        <v>193.53</v>
      </c>
      <c r="G1419" s="716">
        <v>263.88</v>
      </c>
      <c r="H1419" s="225">
        <f t="shared" ref="H1419:H1482" si="22">IF(F1419&gt;0,F1419,G1419)</f>
        <v>193.53</v>
      </c>
    </row>
    <row r="1420" spans="1:8" x14ac:dyDescent="0.3">
      <c r="A1420" s="401"/>
      <c r="B1420" s="709">
        <v>3460</v>
      </c>
      <c r="C1420" s="710" t="s">
        <v>9797</v>
      </c>
      <c r="D1420" s="709" t="s">
        <v>136</v>
      </c>
      <c r="E1420" s="709" t="s">
        <v>8432</v>
      </c>
      <c r="F1420" s="716">
        <v>282.39</v>
      </c>
      <c r="G1420" s="716">
        <v>385.04</v>
      </c>
      <c r="H1420" s="225">
        <f t="shared" si="22"/>
        <v>282.39</v>
      </c>
    </row>
    <row r="1421" spans="1:8" x14ac:dyDescent="0.3">
      <c r="A1421" s="401"/>
      <c r="B1421" s="709">
        <v>3461</v>
      </c>
      <c r="C1421" s="710" t="s">
        <v>9798</v>
      </c>
      <c r="D1421" s="709" t="s">
        <v>136</v>
      </c>
      <c r="E1421" s="709" t="s">
        <v>8432</v>
      </c>
      <c r="F1421" s="716">
        <v>721.77</v>
      </c>
      <c r="G1421" s="716">
        <v>984.15</v>
      </c>
      <c r="H1421" s="225">
        <f t="shared" si="22"/>
        <v>721.77</v>
      </c>
    </row>
    <row r="1422" spans="1:8" x14ac:dyDescent="0.3">
      <c r="A1422" s="401"/>
      <c r="B1422" s="709">
        <v>37433</v>
      </c>
      <c r="C1422" s="710" t="s">
        <v>9799</v>
      </c>
      <c r="D1422" s="709" t="s">
        <v>136</v>
      </c>
      <c r="E1422" s="709" t="s">
        <v>8432</v>
      </c>
      <c r="F1422" s="716">
        <v>254.56</v>
      </c>
      <c r="G1422" s="716">
        <v>256.35000000000002</v>
      </c>
      <c r="H1422" s="225">
        <f t="shared" si="22"/>
        <v>254.56</v>
      </c>
    </row>
    <row r="1423" spans="1:8" x14ac:dyDescent="0.3">
      <c r="A1423" s="401"/>
      <c r="B1423" s="709">
        <v>37430</v>
      </c>
      <c r="C1423" s="710" t="s">
        <v>9800</v>
      </c>
      <c r="D1423" s="709" t="s">
        <v>136</v>
      </c>
      <c r="E1423" s="709" t="s">
        <v>8432</v>
      </c>
      <c r="F1423" s="716">
        <v>31.9</v>
      </c>
      <c r="G1423" s="716">
        <v>32.119999999999997</v>
      </c>
      <c r="H1423" s="225">
        <f t="shared" si="22"/>
        <v>31.9</v>
      </c>
    </row>
    <row r="1424" spans="1:8" x14ac:dyDescent="0.3">
      <c r="A1424" s="401"/>
      <c r="B1424" s="709">
        <v>37434</v>
      </c>
      <c r="C1424" s="710" t="s">
        <v>9801</v>
      </c>
      <c r="D1424" s="709" t="s">
        <v>136</v>
      </c>
      <c r="E1424" s="709" t="s">
        <v>8432</v>
      </c>
      <c r="F1424" s="716">
        <v>2373.54</v>
      </c>
      <c r="G1424" s="716">
        <v>2390.1999999999998</v>
      </c>
      <c r="H1424" s="225">
        <f t="shared" si="22"/>
        <v>2373.54</v>
      </c>
    </row>
    <row r="1425" spans="1:8" x14ac:dyDescent="0.3">
      <c r="A1425" s="401"/>
      <c r="B1425" s="709">
        <v>37431</v>
      </c>
      <c r="C1425" s="710" t="s">
        <v>9802</v>
      </c>
      <c r="D1425" s="709" t="s">
        <v>136</v>
      </c>
      <c r="E1425" s="709" t="s">
        <v>8432</v>
      </c>
      <c r="F1425" s="716">
        <v>43.27</v>
      </c>
      <c r="G1425" s="716">
        <v>43.58</v>
      </c>
      <c r="H1425" s="225">
        <f t="shared" si="22"/>
        <v>43.27</v>
      </c>
    </row>
    <row r="1426" spans="1:8" x14ac:dyDescent="0.3">
      <c r="A1426" s="401"/>
      <c r="B1426" s="709">
        <v>37432</v>
      </c>
      <c r="C1426" s="710" t="s">
        <v>9803</v>
      </c>
      <c r="D1426" s="709" t="s">
        <v>136</v>
      </c>
      <c r="E1426" s="709" t="s">
        <v>8432</v>
      </c>
      <c r="F1426" s="716">
        <v>79.819999999999993</v>
      </c>
      <c r="G1426" s="716">
        <v>80.38</v>
      </c>
      <c r="H1426" s="225">
        <f t="shared" si="22"/>
        <v>79.819999999999993</v>
      </c>
    </row>
    <row r="1427" spans="1:8" x14ac:dyDescent="0.3">
      <c r="A1427" s="401"/>
      <c r="B1427" s="709">
        <v>39869</v>
      </c>
      <c r="C1427" s="710" t="s">
        <v>9804</v>
      </c>
      <c r="D1427" s="709" t="s">
        <v>136</v>
      </c>
      <c r="E1427" s="709" t="s">
        <v>8432</v>
      </c>
      <c r="F1427" s="716"/>
      <c r="G1427" s="716">
        <v>18.98</v>
      </c>
      <c r="H1427" s="225">
        <f t="shared" si="22"/>
        <v>18.98</v>
      </c>
    </row>
    <row r="1428" spans="1:8" x14ac:dyDescent="0.3">
      <c r="A1428" s="401"/>
      <c r="B1428" s="709">
        <v>39870</v>
      </c>
      <c r="C1428" s="710" t="s">
        <v>9805</v>
      </c>
      <c r="D1428" s="709" t="s">
        <v>136</v>
      </c>
      <c r="E1428" s="709" t="s">
        <v>8432</v>
      </c>
      <c r="F1428" s="716"/>
      <c r="G1428" s="716">
        <v>29.03</v>
      </c>
      <c r="H1428" s="225">
        <f t="shared" si="22"/>
        <v>29.03</v>
      </c>
    </row>
    <row r="1429" spans="1:8" x14ac:dyDescent="0.3">
      <c r="A1429" s="401"/>
      <c r="B1429" s="709">
        <v>39871</v>
      </c>
      <c r="C1429" s="710" t="s">
        <v>9806</v>
      </c>
      <c r="D1429" s="709" t="s">
        <v>136</v>
      </c>
      <c r="E1429" s="709" t="s">
        <v>8432</v>
      </c>
      <c r="F1429" s="716"/>
      <c r="G1429" s="716">
        <v>32.54</v>
      </c>
      <c r="H1429" s="225">
        <f t="shared" si="22"/>
        <v>32.54</v>
      </c>
    </row>
    <row r="1430" spans="1:8" x14ac:dyDescent="0.3">
      <c r="A1430" s="401"/>
      <c r="B1430" s="709">
        <v>12722</v>
      </c>
      <c r="C1430" s="710" t="s">
        <v>9807</v>
      </c>
      <c r="D1430" s="709" t="s">
        <v>136</v>
      </c>
      <c r="E1430" s="709" t="s">
        <v>8432</v>
      </c>
      <c r="F1430" s="716"/>
      <c r="G1430" s="716">
        <v>1088.83</v>
      </c>
      <c r="H1430" s="225">
        <f t="shared" si="22"/>
        <v>1088.83</v>
      </c>
    </row>
    <row r="1431" spans="1:8" x14ac:dyDescent="0.3">
      <c r="A1431" s="401"/>
      <c r="B1431" s="709">
        <v>12714</v>
      </c>
      <c r="C1431" s="710" t="s">
        <v>9808</v>
      </c>
      <c r="D1431" s="709" t="s">
        <v>136</v>
      </c>
      <c r="E1431" s="709" t="s">
        <v>8432</v>
      </c>
      <c r="F1431" s="716"/>
      <c r="G1431" s="716">
        <v>7.11</v>
      </c>
      <c r="H1431" s="225">
        <f t="shared" si="22"/>
        <v>7.11</v>
      </c>
    </row>
    <row r="1432" spans="1:8" x14ac:dyDescent="0.3">
      <c r="A1432" s="401"/>
      <c r="B1432" s="709">
        <v>12715</v>
      </c>
      <c r="C1432" s="710" t="s">
        <v>9809</v>
      </c>
      <c r="D1432" s="709" t="s">
        <v>136</v>
      </c>
      <c r="E1432" s="709" t="s">
        <v>8432</v>
      </c>
      <c r="F1432" s="716"/>
      <c r="G1432" s="716">
        <v>16.04</v>
      </c>
      <c r="H1432" s="225">
        <f t="shared" si="22"/>
        <v>16.04</v>
      </c>
    </row>
    <row r="1433" spans="1:8" x14ac:dyDescent="0.3">
      <c r="A1433" s="401"/>
      <c r="B1433" s="709">
        <v>12716</v>
      </c>
      <c r="C1433" s="710" t="s">
        <v>9810</v>
      </c>
      <c r="D1433" s="709" t="s">
        <v>136</v>
      </c>
      <c r="E1433" s="709" t="s">
        <v>8432</v>
      </c>
      <c r="F1433" s="716"/>
      <c r="G1433" s="716">
        <v>27.56</v>
      </c>
      <c r="H1433" s="225">
        <f t="shared" si="22"/>
        <v>27.56</v>
      </c>
    </row>
    <row r="1434" spans="1:8" x14ac:dyDescent="0.3">
      <c r="A1434" s="401"/>
      <c r="B1434" s="709">
        <v>12717</v>
      </c>
      <c r="C1434" s="710" t="s">
        <v>9811</v>
      </c>
      <c r="D1434" s="709" t="s">
        <v>136</v>
      </c>
      <c r="E1434" s="709" t="s">
        <v>8432</v>
      </c>
      <c r="F1434" s="716"/>
      <c r="G1434" s="716">
        <v>54.17</v>
      </c>
      <c r="H1434" s="225">
        <f t="shared" si="22"/>
        <v>54.17</v>
      </c>
    </row>
    <row r="1435" spans="1:8" x14ac:dyDescent="0.3">
      <c r="A1435" s="401"/>
      <c r="B1435" s="709">
        <v>12718</v>
      </c>
      <c r="C1435" s="710" t="s">
        <v>9812</v>
      </c>
      <c r="D1435" s="709" t="s">
        <v>136</v>
      </c>
      <c r="E1435" s="709" t="s">
        <v>8432</v>
      </c>
      <c r="F1435" s="716"/>
      <c r="G1435" s="716">
        <v>83.13</v>
      </c>
      <c r="H1435" s="225">
        <f t="shared" si="22"/>
        <v>83.13</v>
      </c>
    </row>
    <row r="1436" spans="1:8" x14ac:dyDescent="0.3">
      <c r="A1436" s="401"/>
      <c r="B1436" s="709">
        <v>12719</v>
      </c>
      <c r="C1436" s="710" t="s">
        <v>9813</v>
      </c>
      <c r="D1436" s="709" t="s">
        <v>136</v>
      </c>
      <c r="E1436" s="709" t="s">
        <v>8432</v>
      </c>
      <c r="F1436" s="716"/>
      <c r="G1436" s="716">
        <v>131.97</v>
      </c>
      <c r="H1436" s="225">
        <f t="shared" si="22"/>
        <v>131.97</v>
      </c>
    </row>
    <row r="1437" spans="1:8" x14ac:dyDescent="0.3">
      <c r="A1437" s="401"/>
      <c r="B1437" s="709">
        <v>12720</v>
      </c>
      <c r="C1437" s="710" t="s">
        <v>9814</v>
      </c>
      <c r="D1437" s="709" t="s">
        <v>136</v>
      </c>
      <c r="E1437" s="709" t="s">
        <v>8432</v>
      </c>
      <c r="F1437" s="716"/>
      <c r="G1437" s="716">
        <v>459.52</v>
      </c>
      <c r="H1437" s="225">
        <f t="shared" si="22"/>
        <v>459.52</v>
      </c>
    </row>
    <row r="1438" spans="1:8" x14ac:dyDescent="0.3">
      <c r="A1438" s="401"/>
      <c r="B1438" s="709">
        <v>12721</v>
      </c>
      <c r="C1438" s="710" t="s">
        <v>9815</v>
      </c>
      <c r="D1438" s="709" t="s">
        <v>136</v>
      </c>
      <c r="E1438" s="709" t="s">
        <v>8432</v>
      </c>
      <c r="F1438" s="716"/>
      <c r="G1438" s="716">
        <v>440.64</v>
      </c>
      <c r="H1438" s="225">
        <f t="shared" si="22"/>
        <v>440.64</v>
      </c>
    </row>
    <row r="1439" spans="1:8" x14ac:dyDescent="0.3">
      <c r="A1439" s="401"/>
      <c r="B1439" s="709">
        <v>3468</v>
      </c>
      <c r="C1439" s="710" t="s">
        <v>9816</v>
      </c>
      <c r="D1439" s="709" t="s">
        <v>136</v>
      </c>
      <c r="E1439" s="709" t="s">
        <v>8432</v>
      </c>
      <c r="F1439" s="716">
        <v>33.72</v>
      </c>
      <c r="G1439" s="716">
        <v>45.98</v>
      </c>
      <c r="H1439" s="225">
        <f t="shared" si="22"/>
        <v>33.72</v>
      </c>
    </row>
    <row r="1440" spans="1:8" x14ac:dyDescent="0.3">
      <c r="A1440" s="401"/>
      <c r="B1440" s="709">
        <v>3465</v>
      </c>
      <c r="C1440" s="710" t="s">
        <v>9817</v>
      </c>
      <c r="D1440" s="709" t="s">
        <v>136</v>
      </c>
      <c r="E1440" s="709" t="s">
        <v>8432</v>
      </c>
      <c r="F1440" s="716">
        <v>33.71</v>
      </c>
      <c r="G1440" s="716">
        <v>45.97</v>
      </c>
      <c r="H1440" s="225">
        <f t="shared" si="22"/>
        <v>33.71</v>
      </c>
    </row>
    <row r="1441" spans="1:8" x14ac:dyDescent="0.3">
      <c r="A1441" s="401"/>
      <c r="B1441" s="709">
        <v>12403</v>
      </c>
      <c r="C1441" s="710" t="s">
        <v>9818</v>
      </c>
      <c r="D1441" s="709" t="s">
        <v>136</v>
      </c>
      <c r="E1441" s="709" t="s">
        <v>8432</v>
      </c>
      <c r="F1441" s="716">
        <v>24.03</v>
      </c>
      <c r="G1441" s="716">
        <v>32.770000000000003</v>
      </c>
      <c r="H1441" s="225">
        <f t="shared" si="22"/>
        <v>24.03</v>
      </c>
    </row>
    <row r="1442" spans="1:8" x14ac:dyDescent="0.3">
      <c r="A1442" s="401"/>
      <c r="B1442" s="709">
        <v>3463</v>
      </c>
      <c r="C1442" s="710" t="s">
        <v>9819</v>
      </c>
      <c r="D1442" s="709" t="s">
        <v>136</v>
      </c>
      <c r="E1442" s="709" t="s">
        <v>8432</v>
      </c>
      <c r="F1442" s="716">
        <v>14.04</v>
      </c>
      <c r="G1442" s="716">
        <v>19.14</v>
      </c>
      <c r="H1442" s="225">
        <f t="shared" si="22"/>
        <v>14.04</v>
      </c>
    </row>
    <row r="1443" spans="1:8" x14ac:dyDescent="0.3">
      <c r="A1443" s="401"/>
      <c r="B1443" s="709">
        <v>3464</v>
      </c>
      <c r="C1443" s="710" t="s">
        <v>9820</v>
      </c>
      <c r="D1443" s="709" t="s">
        <v>136</v>
      </c>
      <c r="E1443" s="709" t="s">
        <v>8432</v>
      </c>
      <c r="F1443" s="716">
        <v>14.04</v>
      </c>
      <c r="G1443" s="716">
        <v>19.14</v>
      </c>
      <c r="H1443" s="225">
        <f t="shared" si="22"/>
        <v>14.04</v>
      </c>
    </row>
    <row r="1444" spans="1:8" x14ac:dyDescent="0.3">
      <c r="A1444" s="401"/>
      <c r="B1444" s="709">
        <v>3466</v>
      </c>
      <c r="C1444" s="710" t="s">
        <v>9821</v>
      </c>
      <c r="D1444" s="709" t="s">
        <v>136</v>
      </c>
      <c r="E1444" s="709" t="s">
        <v>8432</v>
      </c>
      <c r="F1444" s="716">
        <v>85.63</v>
      </c>
      <c r="G1444" s="716">
        <v>116.76</v>
      </c>
      <c r="H1444" s="225">
        <f t="shared" si="22"/>
        <v>85.63</v>
      </c>
    </row>
    <row r="1445" spans="1:8" x14ac:dyDescent="0.3">
      <c r="A1445" s="401"/>
      <c r="B1445" s="709">
        <v>3467</v>
      </c>
      <c r="C1445" s="710" t="s">
        <v>9822</v>
      </c>
      <c r="D1445" s="709" t="s">
        <v>136</v>
      </c>
      <c r="E1445" s="709" t="s">
        <v>8432</v>
      </c>
      <c r="F1445" s="716">
        <v>48.36</v>
      </c>
      <c r="G1445" s="716">
        <v>65.94</v>
      </c>
      <c r="H1445" s="225">
        <f t="shared" si="22"/>
        <v>48.36</v>
      </c>
    </row>
    <row r="1446" spans="1:8" x14ac:dyDescent="0.3">
      <c r="A1446" s="401"/>
      <c r="B1446" s="709">
        <v>3462</v>
      </c>
      <c r="C1446" s="710" t="s">
        <v>9823</v>
      </c>
      <c r="D1446" s="709" t="s">
        <v>136</v>
      </c>
      <c r="E1446" s="709" t="s">
        <v>8432</v>
      </c>
      <c r="F1446" s="716">
        <v>9.26</v>
      </c>
      <c r="G1446" s="716">
        <v>12.63</v>
      </c>
      <c r="H1446" s="225">
        <f t="shared" si="22"/>
        <v>9.26</v>
      </c>
    </row>
    <row r="1447" spans="1:8" x14ac:dyDescent="0.3">
      <c r="A1447" s="401"/>
      <c r="B1447" s="709">
        <v>43917</v>
      </c>
      <c r="C1447" s="710" t="s">
        <v>9824</v>
      </c>
      <c r="D1447" s="709" t="s">
        <v>136</v>
      </c>
      <c r="E1447" s="709" t="s">
        <v>8432</v>
      </c>
      <c r="F1447" s="716">
        <v>277.12</v>
      </c>
      <c r="G1447" s="716">
        <v>247.14</v>
      </c>
      <c r="H1447" s="225">
        <f t="shared" si="22"/>
        <v>277.12</v>
      </c>
    </row>
    <row r="1448" spans="1:8" x14ac:dyDescent="0.3">
      <c r="A1448" s="401"/>
      <c r="B1448" s="709">
        <v>41808</v>
      </c>
      <c r="C1448" s="710" t="s">
        <v>9825</v>
      </c>
      <c r="D1448" s="709" t="s">
        <v>136</v>
      </c>
      <c r="E1448" s="709" t="s">
        <v>8432</v>
      </c>
      <c r="F1448" s="716">
        <v>20.149999999999999</v>
      </c>
      <c r="G1448" s="716">
        <v>17.97</v>
      </c>
      <c r="H1448" s="225">
        <f t="shared" si="22"/>
        <v>20.149999999999999</v>
      </c>
    </row>
    <row r="1449" spans="1:8" x14ac:dyDescent="0.3">
      <c r="A1449" s="401"/>
      <c r="B1449" s="709">
        <v>41817</v>
      </c>
      <c r="C1449" s="710" t="s">
        <v>9826</v>
      </c>
      <c r="D1449" s="709" t="s">
        <v>136</v>
      </c>
      <c r="E1449" s="709" t="s">
        <v>8432</v>
      </c>
      <c r="F1449" s="716">
        <v>229.05</v>
      </c>
      <c r="G1449" s="716">
        <v>204.26</v>
      </c>
      <c r="H1449" s="225">
        <f t="shared" si="22"/>
        <v>229.05</v>
      </c>
    </row>
    <row r="1450" spans="1:8" x14ac:dyDescent="0.3">
      <c r="A1450" s="401"/>
      <c r="B1450" s="709">
        <v>41819</v>
      </c>
      <c r="C1450" s="710" t="s">
        <v>9827</v>
      </c>
      <c r="D1450" s="709" t="s">
        <v>136</v>
      </c>
      <c r="E1450" s="709" t="s">
        <v>8432</v>
      </c>
      <c r="F1450" s="716">
        <v>344.58</v>
      </c>
      <c r="G1450" s="716">
        <v>307.29000000000002</v>
      </c>
      <c r="H1450" s="225">
        <f t="shared" si="22"/>
        <v>344.58</v>
      </c>
    </row>
    <row r="1451" spans="1:8" x14ac:dyDescent="0.3">
      <c r="A1451" s="401"/>
      <c r="B1451" s="709">
        <v>41815</v>
      </c>
      <c r="C1451" s="710" t="s">
        <v>9828</v>
      </c>
      <c r="D1451" s="709" t="s">
        <v>136</v>
      </c>
      <c r="E1451" s="709" t="s">
        <v>8432</v>
      </c>
      <c r="F1451" s="716">
        <v>101.86</v>
      </c>
      <c r="G1451" s="716">
        <v>90.83</v>
      </c>
      <c r="H1451" s="225">
        <f t="shared" si="22"/>
        <v>101.86</v>
      </c>
    </row>
    <row r="1452" spans="1:8" x14ac:dyDescent="0.3">
      <c r="A1452" s="401"/>
      <c r="B1452" s="709">
        <v>41816</v>
      </c>
      <c r="C1452" s="710" t="s">
        <v>9829</v>
      </c>
      <c r="D1452" s="709" t="s">
        <v>136</v>
      </c>
      <c r="E1452" s="709" t="s">
        <v>8432</v>
      </c>
      <c r="F1452" s="716">
        <v>169.91</v>
      </c>
      <c r="G1452" s="716">
        <v>151.52000000000001</v>
      </c>
      <c r="H1452" s="225">
        <f t="shared" si="22"/>
        <v>169.91</v>
      </c>
    </row>
    <row r="1453" spans="1:8" x14ac:dyDescent="0.3">
      <c r="A1453" s="401"/>
      <c r="B1453" s="709">
        <v>41812</v>
      </c>
      <c r="C1453" s="710" t="s">
        <v>9830</v>
      </c>
      <c r="D1453" s="709" t="s">
        <v>136</v>
      </c>
      <c r="E1453" s="709" t="s">
        <v>8432</v>
      </c>
      <c r="F1453" s="716">
        <v>49.41</v>
      </c>
      <c r="G1453" s="716">
        <v>44.06</v>
      </c>
      <c r="H1453" s="225">
        <f t="shared" si="22"/>
        <v>49.41</v>
      </c>
    </row>
    <row r="1454" spans="1:8" x14ac:dyDescent="0.3">
      <c r="A1454" s="401"/>
      <c r="B1454" s="709">
        <v>41813</v>
      </c>
      <c r="C1454" s="710" t="s">
        <v>9831</v>
      </c>
      <c r="D1454" s="709" t="s">
        <v>136</v>
      </c>
      <c r="E1454" s="709" t="s">
        <v>8432</v>
      </c>
      <c r="F1454" s="716">
        <v>72.69</v>
      </c>
      <c r="G1454" s="716">
        <v>64.83</v>
      </c>
      <c r="H1454" s="225">
        <f t="shared" si="22"/>
        <v>72.69</v>
      </c>
    </row>
    <row r="1455" spans="1:8" x14ac:dyDescent="0.3">
      <c r="A1455" s="401"/>
      <c r="B1455" s="709">
        <v>41806</v>
      </c>
      <c r="C1455" s="710" t="s">
        <v>9832</v>
      </c>
      <c r="D1455" s="709" t="s">
        <v>136</v>
      </c>
      <c r="E1455" s="709" t="s">
        <v>8432</v>
      </c>
      <c r="F1455" s="716">
        <v>13.11</v>
      </c>
      <c r="G1455" s="716">
        <v>11.69</v>
      </c>
      <c r="H1455" s="225">
        <f t="shared" si="22"/>
        <v>13.11</v>
      </c>
    </row>
    <row r="1456" spans="1:8" x14ac:dyDescent="0.3">
      <c r="A1456" s="401"/>
      <c r="B1456" s="709">
        <v>41807</v>
      </c>
      <c r="C1456" s="710" t="s">
        <v>9833</v>
      </c>
      <c r="D1456" s="709" t="s">
        <v>136</v>
      </c>
      <c r="E1456" s="709" t="s">
        <v>8432</v>
      </c>
      <c r="F1456" s="716">
        <v>14.62</v>
      </c>
      <c r="G1456" s="716">
        <v>13.04</v>
      </c>
      <c r="H1456" s="225">
        <f t="shared" si="22"/>
        <v>14.62</v>
      </c>
    </row>
    <row r="1457" spans="1:8" x14ac:dyDescent="0.3">
      <c r="A1457" s="401"/>
      <c r="B1457" s="709">
        <v>41809</v>
      </c>
      <c r="C1457" s="710" t="s">
        <v>9834</v>
      </c>
      <c r="D1457" s="709" t="s">
        <v>136</v>
      </c>
      <c r="E1457" s="709" t="s">
        <v>8432</v>
      </c>
      <c r="F1457" s="716">
        <v>23.93</v>
      </c>
      <c r="G1457" s="716">
        <v>21.34</v>
      </c>
      <c r="H1457" s="225">
        <f t="shared" si="22"/>
        <v>23.93</v>
      </c>
    </row>
    <row r="1458" spans="1:8" x14ac:dyDescent="0.3">
      <c r="A1458" s="401"/>
      <c r="B1458" s="709">
        <v>41811</v>
      </c>
      <c r="C1458" s="710" t="s">
        <v>9835</v>
      </c>
      <c r="D1458" s="709" t="s">
        <v>136</v>
      </c>
      <c r="E1458" s="709" t="s">
        <v>8432</v>
      </c>
      <c r="F1458" s="716">
        <v>30.65</v>
      </c>
      <c r="G1458" s="716">
        <v>27.33</v>
      </c>
      <c r="H1458" s="225">
        <f t="shared" si="22"/>
        <v>30.65</v>
      </c>
    </row>
    <row r="1459" spans="1:8" x14ac:dyDescent="0.3">
      <c r="A1459" s="401"/>
      <c r="B1459" s="709">
        <v>41814</v>
      </c>
      <c r="C1459" s="710" t="s">
        <v>9836</v>
      </c>
      <c r="D1459" s="709" t="s">
        <v>136</v>
      </c>
      <c r="E1459" s="709" t="s">
        <v>8432</v>
      </c>
      <c r="F1459" s="716">
        <v>9.01</v>
      </c>
      <c r="G1459" s="716">
        <v>8.0299999999999994</v>
      </c>
      <c r="H1459" s="225">
        <f t="shared" si="22"/>
        <v>9.01</v>
      </c>
    </row>
    <row r="1460" spans="1:8" x14ac:dyDescent="0.3">
      <c r="A1460" s="401"/>
      <c r="B1460" s="709">
        <v>41818</v>
      </c>
      <c r="C1460" s="710" t="s">
        <v>9837</v>
      </c>
      <c r="D1460" s="709" t="s">
        <v>136</v>
      </c>
      <c r="E1460" s="709" t="s">
        <v>8432</v>
      </c>
      <c r="F1460" s="716">
        <v>10.1</v>
      </c>
      <c r="G1460" s="716">
        <v>9.01</v>
      </c>
      <c r="H1460" s="225">
        <f t="shared" si="22"/>
        <v>10.1</v>
      </c>
    </row>
    <row r="1461" spans="1:8" x14ac:dyDescent="0.3">
      <c r="A1461" s="401"/>
      <c r="B1461" s="709">
        <v>43919</v>
      </c>
      <c r="C1461" s="710" t="s">
        <v>9838</v>
      </c>
      <c r="D1461" s="709" t="s">
        <v>136</v>
      </c>
      <c r="E1461" s="709" t="s">
        <v>8432</v>
      </c>
      <c r="F1461" s="716">
        <v>344.58</v>
      </c>
      <c r="G1461" s="716">
        <v>307.29000000000002</v>
      </c>
      <c r="H1461" s="225">
        <f t="shared" si="22"/>
        <v>344.58</v>
      </c>
    </row>
    <row r="1462" spans="1:8" x14ac:dyDescent="0.3">
      <c r="A1462" s="401"/>
      <c r="B1462" s="709">
        <v>43914</v>
      </c>
      <c r="C1462" s="710" t="s">
        <v>9839</v>
      </c>
      <c r="D1462" s="709" t="s">
        <v>136</v>
      </c>
      <c r="E1462" s="709" t="s">
        <v>8432</v>
      </c>
      <c r="F1462" s="716">
        <v>109.14</v>
      </c>
      <c r="G1462" s="716">
        <v>97.33</v>
      </c>
      <c r="H1462" s="225">
        <f t="shared" si="22"/>
        <v>109.14</v>
      </c>
    </row>
    <row r="1463" spans="1:8" x14ac:dyDescent="0.3">
      <c r="A1463" s="401"/>
      <c r="B1463" s="709">
        <v>43916</v>
      </c>
      <c r="C1463" s="710" t="s">
        <v>9840</v>
      </c>
      <c r="D1463" s="709" t="s">
        <v>136</v>
      </c>
      <c r="E1463" s="709" t="s">
        <v>8432</v>
      </c>
      <c r="F1463" s="716">
        <v>154.13</v>
      </c>
      <c r="G1463" s="716">
        <v>137.44999999999999</v>
      </c>
      <c r="H1463" s="225">
        <f t="shared" si="22"/>
        <v>154.13</v>
      </c>
    </row>
    <row r="1464" spans="1:8" x14ac:dyDescent="0.3">
      <c r="A1464" s="401"/>
      <c r="B1464" s="709">
        <v>43912</v>
      </c>
      <c r="C1464" s="710" t="s">
        <v>9841</v>
      </c>
      <c r="D1464" s="709" t="s">
        <v>136</v>
      </c>
      <c r="E1464" s="709" t="s">
        <v>8432</v>
      </c>
      <c r="F1464" s="716">
        <v>49.41</v>
      </c>
      <c r="G1464" s="716">
        <v>44.06</v>
      </c>
      <c r="H1464" s="225">
        <f t="shared" si="22"/>
        <v>49.41</v>
      </c>
    </row>
    <row r="1465" spans="1:8" x14ac:dyDescent="0.3">
      <c r="A1465" s="401"/>
      <c r="B1465" s="709">
        <v>43913</v>
      </c>
      <c r="C1465" s="710" t="s">
        <v>9842</v>
      </c>
      <c r="D1465" s="709" t="s">
        <v>136</v>
      </c>
      <c r="E1465" s="709" t="s">
        <v>8432</v>
      </c>
      <c r="F1465" s="716">
        <v>72.69</v>
      </c>
      <c r="G1465" s="716">
        <v>64.83</v>
      </c>
      <c r="H1465" s="225">
        <f t="shared" si="22"/>
        <v>72.69</v>
      </c>
    </row>
    <row r="1466" spans="1:8" x14ac:dyDescent="0.3">
      <c r="A1466" s="401"/>
      <c r="B1466" s="709">
        <v>43908</v>
      </c>
      <c r="C1466" s="710" t="s">
        <v>9843</v>
      </c>
      <c r="D1466" s="709" t="s">
        <v>136</v>
      </c>
      <c r="E1466" s="709" t="s">
        <v>8432</v>
      </c>
      <c r="F1466" s="716">
        <v>14.06</v>
      </c>
      <c r="G1466" s="716">
        <v>12.54</v>
      </c>
      <c r="H1466" s="225">
        <f t="shared" si="22"/>
        <v>14.06</v>
      </c>
    </row>
    <row r="1467" spans="1:8" x14ac:dyDescent="0.3">
      <c r="A1467" s="401"/>
      <c r="B1467" s="709">
        <v>43909</v>
      </c>
      <c r="C1467" s="710" t="s">
        <v>9844</v>
      </c>
      <c r="D1467" s="709" t="s">
        <v>136</v>
      </c>
      <c r="E1467" s="709" t="s">
        <v>8432</v>
      </c>
      <c r="F1467" s="716">
        <v>16.309999999999999</v>
      </c>
      <c r="G1467" s="716">
        <v>14.55</v>
      </c>
      <c r="H1467" s="225">
        <f t="shared" si="22"/>
        <v>16.309999999999999</v>
      </c>
    </row>
    <row r="1468" spans="1:8" x14ac:dyDescent="0.3">
      <c r="A1468" s="401"/>
      <c r="B1468" s="709">
        <v>43910</v>
      </c>
      <c r="C1468" s="710" t="s">
        <v>9845</v>
      </c>
      <c r="D1468" s="709" t="s">
        <v>136</v>
      </c>
      <c r="E1468" s="709" t="s">
        <v>8432</v>
      </c>
      <c r="F1468" s="716">
        <v>23.93</v>
      </c>
      <c r="G1468" s="716">
        <v>21.34</v>
      </c>
      <c r="H1468" s="225">
        <f t="shared" si="22"/>
        <v>23.93</v>
      </c>
    </row>
    <row r="1469" spans="1:8" x14ac:dyDescent="0.3">
      <c r="A1469" s="401"/>
      <c r="B1469" s="709">
        <v>43911</v>
      </c>
      <c r="C1469" s="710" t="s">
        <v>9846</v>
      </c>
      <c r="D1469" s="709" t="s">
        <v>136</v>
      </c>
      <c r="E1469" s="709" t="s">
        <v>8432</v>
      </c>
      <c r="F1469" s="716">
        <v>30.65</v>
      </c>
      <c r="G1469" s="716">
        <v>27.33</v>
      </c>
      <c r="H1469" s="225">
        <f t="shared" si="22"/>
        <v>30.65</v>
      </c>
    </row>
    <row r="1470" spans="1:8" x14ac:dyDescent="0.3">
      <c r="A1470" s="401"/>
      <c r="B1470" s="709">
        <v>43915</v>
      </c>
      <c r="C1470" s="710" t="s">
        <v>9847</v>
      </c>
      <c r="D1470" s="709" t="s">
        <v>136</v>
      </c>
      <c r="E1470" s="709" t="s">
        <v>8432</v>
      </c>
      <c r="F1470" s="716">
        <v>7.76</v>
      </c>
      <c r="G1470" s="716">
        <v>6.92</v>
      </c>
      <c r="H1470" s="225">
        <f t="shared" si="22"/>
        <v>7.76</v>
      </c>
    </row>
    <row r="1471" spans="1:8" x14ac:dyDescent="0.3">
      <c r="A1471" s="401"/>
      <c r="B1471" s="709">
        <v>43918</v>
      </c>
      <c r="C1471" s="710" t="s">
        <v>9848</v>
      </c>
      <c r="D1471" s="709" t="s">
        <v>136</v>
      </c>
      <c r="E1471" s="709" t="s">
        <v>8432</v>
      </c>
      <c r="F1471" s="716">
        <v>9.59</v>
      </c>
      <c r="G1471" s="716">
        <v>8.5500000000000007</v>
      </c>
      <c r="H1471" s="225">
        <f t="shared" si="22"/>
        <v>9.59</v>
      </c>
    </row>
    <row r="1472" spans="1:8" x14ac:dyDescent="0.3">
      <c r="A1472" s="401"/>
      <c r="B1472" s="709">
        <v>43907</v>
      </c>
      <c r="C1472" s="710" t="s">
        <v>9849</v>
      </c>
      <c r="D1472" s="709" t="s">
        <v>136</v>
      </c>
      <c r="E1472" s="709" t="s">
        <v>8432</v>
      </c>
      <c r="F1472" s="716">
        <v>13.11</v>
      </c>
      <c r="G1472" s="716">
        <v>11.69</v>
      </c>
      <c r="H1472" s="225">
        <f t="shared" si="22"/>
        <v>13.11</v>
      </c>
    </row>
    <row r="1473" spans="1:8" x14ac:dyDescent="0.3">
      <c r="A1473" s="401"/>
      <c r="B1473" s="709">
        <v>37416</v>
      </c>
      <c r="C1473" s="710" t="s">
        <v>9850</v>
      </c>
      <c r="D1473" s="709" t="s">
        <v>136</v>
      </c>
      <c r="E1473" s="709" t="s">
        <v>8432</v>
      </c>
      <c r="F1473" s="716">
        <v>6.06</v>
      </c>
      <c r="G1473" s="716">
        <v>4.1399999999999997</v>
      </c>
      <c r="H1473" s="225">
        <f t="shared" si="22"/>
        <v>6.06</v>
      </c>
    </row>
    <row r="1474" spans="1:8" x14ac:dyDescent="0.3">
      <c r="A1474" s="401"/>
      <c r="B1474" s="709">
        <v>37417</v>
      </c>
      <c r="C1474" s="710" t="s">
        <v>9851</v>
      </c>
      <c r="D1474" s="709" t="s">
        <v>136</v>
      </c>
      <c r="E1474" s="709" t="s">
        <v>8432</v>
      </c>
      <c r="F1474" s="716">
        <v>8.7100000000000009</v>
      </c>
      <c r="G1474" s="716">
        <v>5.96</v>
      </c>
      <c r="H1474" s="225">
        <f t="shared" si="22"/>
        <v>8.7100000000000009</v>
      </c>
    </row>
    <row r="1475" spans="1:8" x14ac:dyDescent="0.3">
      <c r="A1475" s="401"/>
      <c r="B1475" s="709">
        <v>37413</v>
      </c>
      <c r="C1475" s="710" t="s">
        <v>9852</v>
      </c>
      <c r="D1475" s="709" t="s">
        <v>136</v>
      </c>
      <c r="E1475" s="709" t="s">
        <v>8432</v>
      </c>
      <c r="F1475" s="716">
        <v>6.47</v>
      </c>
      <c r="G1475" s="716">
        <v>4.43</v>
      </c>
      <c r="H1475" s="225">
        <f t="shared" si="22"/>
        <v>6.47</v>
      </c>
    </row>
    <row r="1476" spans="1:8" x14ac:dyDescent="0.3">
      <c r="A1476" s="401"/>
      <c r="B1476" s="709">
        <v>37414</v>
      </c>
      <c r="C1476" s="710" t="s">
        <v>9853</v>
      </c>
      <c r="D1476" s="709" t="s">
        <v>136</v>
      </c>
      <c r="E1476" s="709" t="s">
        <v>8432</v>
      </c>
      <c r="F1476" s="716">
        <v>7.35</v>
      </c>
      <c r="G1476" s="716">
        <v>5.03</v>
      </c>
      <c r="H1476" s="225">
        <f t="shared" si="22"/>
        <v>7.35</v>
      </c>
    </row>
    <row r="1477" spans="1:8" x14ac:dyDescent="0.3">
      <c r="A1477" s="401"/>
      <c r="B1477" s="709">
        <v>37415</v>
      </c>
      <c r="C1477" s="710" t="s">
        <v>9854</v>
      </c>
      <c r="D1477" s="709" t="s">
        <v>136</v>
      </c>
      <c r="E1477" s="709" t="s">
        <v>8432</v>
      </c>
      <c r="F1477" s="716">
        <v>13.36</v>
      </c>
      <c r="G1477" s="716">
        <v>9.14</v>
      </c>
      <c r="H1477" s="225">
        <f t="shared" si="22"/>
        <v>13.36</v>
      </c>
    </row>
    <row r="1478" spans="1:8" x14ac:dyDescent="0.3">
      <c r="A1478" s="401"/>
      <c r="B1478" s="709">
        <v>43590</v>
      </c>
      <c r="C1478" s="710" t="s">
        <v>9855</v>
      </c>
      <c r="D1478" s="709" t="s">
        <v>136</v>
      </c>
      <c r="E1478" s="709" t="s">
        <v>8432</v>
      </c>
      <c r="F1478" s="716">
        <v>184.53</v>
      </c>
      <c r="G1478" s="716">
        <v>152.66</v>
      </c>
      <c r="H1478" s="225">
        <f t="shared" si="22"/>
        <v>184.53</v>
      </c>
    </row>
    <row r="1479" spans="1:8" x14ac:dyDescent="0.3">
      <c r="A1479" s="401"/>
      <c r="B1479" s="709">
        <v>43589</v>
      </c>
      <c r="C1479" s="710" t="s">
        <v>9856</v>
      </c>
      <c r="D1479" s="709" t="s">
        <v>136</v>
      </c>
      <c r="E1479" s="709" t="s">
        <v>8432</v>
      </c>
      <c r="F1479" s="716">
        <v>33.380000000000003</v>
      </c>
      <c r="G1479" s="716">
        <v>27.62</v>
      </c>
      <c r="H1479" s="225">
        <f t="shared" si="22"/>
        <v>33.380000000000003</v>
      </c>
    </row>
    <row r="1480" spans="1:8" x14ac:dyDescent="0.3">
      <c r="A1480" s="401"/>
      <c r="B1480" s="709">
        <v>34519</v>
      </c>
      <c r="C1480" s="710" t="s">
        <v>9857</v>
      </c>
      <c r="D1480" s="709" t="s">
        <v>136</v>
      </c>
      <c r="E1480" s="709" t="s">
        <v>8432</v>
      </c>
      <c r="F1480" s="716">
        <v>113.13</v>
      </c>
      <c r="G1480" s="716">
        <v>92.37</v>
      </c>
      <c r="H1480" s="225">
        <f t="shared" si="22"/>
        <v>113.13</v>
      </c>
    </row>
    <row r="1481" spans="1:8" x14ac:dyDescent="0.3">
      <c r="A1481" s="401"/>
      <c r="B1481" s="709">
        <v>1649</v>
      </c>
      <c r="C1481" s="710" t="s">
        <v>9858</v>
      </c>
      <c r="D1481" s="709" t="s">
        <v>136</v>
      </c>
      <c r="E1481" s="709" t="s">
        <v>8432</v>
      </c>
      <c r="F1481" s="716">
        <v>60.93</v>
      </c>
      <c r="G1481" s="716">
        <v>83.08</v>
      </c>
      <c r="H1481" s="225">
        <f t="shared" si="22"/>
        <v>60.93</v>
      </c>
    </row>
    <row r="1482" spans="1:8" x14ac:dyDescent="0.3">
      <c r="A1482" s="401"/>
      <c r="B1482" s="709">
        <v>1653</v>
      </c>
      <c r="C1482" s="710" t="s">
        <v>9859</v>
      </c>
      <c r="D1482" s="709" t="s">
        <v>136</v>
      </c>
      <c r="E1482" s="709" t="s">
        <v>8432</v>
      </c>
      <c r="F1482" s="716">
        <v>47.73</v>
      </c>
      <c r="G1482" s="716">
        <v>65.08</v>
      </c>
      <c r="H1482" s="225">
        <f t="shared" si="22"/>
        <v>47.73</v>
      </c>
    </row>
    <row r="1483" spans="1:8" x14ac:dyDescent="0.3">
      <c r="A1483" s="401"/>
      <c r="B1483" s="709">
        <v>1648</v>
      </c>
      <c r="C1483" s="710" t="s">
        <v>9860</v>
      </c>
      <c r="D1483" s="709" t="s">
        <v>136</v>
      </c>
      <c r="E1483" s="709" t="s">
        <v>8432</v>
      </c>
      <c r="F1483" s="716">
        <v>32.82</v>
      </c>
      <c r="G1483" s="716">
        <v>44.75</v>
      </c>
      <c r="H1483" s="225">
        <f t="shared" ref="H1483:H1546" si="23">IF(F1483&gt;0,F1483,G1483)</f>
        <v>32.82</v>
      </c>
    </row>
    <row r="1484" spans="1:8" x14ac:dyDescent="0.3">
      <c r="A1484" s="401"/>
      <c r="B1484" s="709">
        <v>1647</v>
      </c>
      <c r="C1484" s="710" t="s">
        <v>9861</v>
      </c>
      <c r="D1484" s="709" t="s">
        <v>136</v>
      </c>
      <c r="E1484" s="709" t="s">
        <v>8432</v>
      </c>
      <c r="F1484" s="716">
        <v>17.09</v>
      </c>
      <c r="G1484" s="716">
        <v>23.3</v>
      </c>
      <c r="H1484" s="225">
        <f t="shared" si="23"/>
        <v>17.09</v>
      </c>
    </row>
    <row r="1485" spans="1:8" x14ac:dyDescent="0.3">
      <c r="A1485" s="401"/>
      <c r="B1485" s="709">
        <v>1651</v>
      </c>
      <c r="C1485" s="710" t="s">
        <v>9862</v>
      </c>
      <c r="D1485" s="709" t="s">
        <v>136</v>
      </c>
      <c r="E1485" s="709" t="s">
        <v>8432</v>
      </c>
      <c r="F1485" s="716">
        <v>152.24</v>
      </c>
      <c r="G1485" s="716">
        <v>207.58</v>
      </c>
      <c r="H1485" s="225">
        <f t="shared" si="23"/>
        <v>152.24</v>
      </c>
    </row>
    <row r="1486" spans="1:8" x14ac:dyDescent="0.3">
      <c r="A1486" s="401"/>
      <c r="B1486" s="709">
        <v>1650</v>
      </c>
      <c r="C1486" s="710" t="s">
        <v>9863</v>
      </c>
      <c r="D1486" s="709" t="s">
        <v>136</v>
      </c>
      <c r="E1486" s="709" t="s">
        <v>8432</v>
      </c>
      <c r="F1486" s="716">
        <v>84.15</v>
      </c>
      <c r="G1486" s="716">
        <v>114.74</v>
      </c>
      <c r="H1486" s="225">
        <f t="shared" si="23"/>
        <v>84.15</v>
      </c>
    </row>
    <row r="1487" spans="1:8" x14ac:dyDescent="0.3">
      <c r="A1487" s="401"/>
      <c r="B1487" s="709">
        <v>1652</v>
      </c>
      <c r="C1487" s="710" t="s">
        <v>9864</v>
      </c>
      <c r="D1487" s="709" t="s">
        <v>136</v>
      </c>
      <c r="E1487" s="709" t="s">
        <v>8432</v>
      </c>
      <c r="F1487" s="716">
        <v>218.5</v>
      </c>
      <c r="G1487" s="716">
        <v>297.93</v>
      </c>
      <c r="H1487" s="225">
        <f t="shared" si="23"/>
        <v>218.5</v>
      </c>
    </row>
    <row r="1488" spans="1:8" x14ac:dyDescent="0.3">
      <c r="A1488" s="401"/>
      <c r="B1488" s="709">
        <v>1654</v>
      </c>
      <c r="C1488" s="710" t="s">
        <v>9865</v>
      </c>
      <c r="D1488" s="709" t="s">
        <v>136</v>
      </c>
      <c r="E1488" s="709" t="s">
        <v>8432</v>
      </c>
      <c r="F1488" s="716">
        <v>23.46</v>
      </c>
      <c r="G1488" s="716">
        <v>31.99</v>
      </c>
      <c r="H1488" s="225">
        <f t="shared" si="23"/>
        <v>23.46</v>
      </c>
    </row>
    <row r="1489" spans="1:8" x14ac:dyDescent="0.3">
      <c r="A1489" s="401"/>
      <c r="B1489" s="709">
        <v>10510</v>
      </c>
      <c r="C1489" s="710" t="s">
        <v>9866</v>
      </c>
      <c r="D1489" s="709" t="s">
        <v>136</v>
      </c>
      <c r="E1489" s="709" t="s">
        <v>8432</v>
      </c>
      <c r="F1489" s="716">
        <v>239.92</v>
      </c>
      <c r="G1489" s="716">
        <v>169.07</v>
      </c>
      <c r="H1489" s="225">
        <f t="shared" si="23"/>
        <v>239.92</v>
      </c>
    </row>
    <row r="1490" spans="1:8" x14ac:dyDescent="0.3">
      <c r="A1490" s="401"/>
      <c r="B1490" s="709">
        <v>1744</v>
      </c>
      <c r="C1490" s="710" t="s">
        <v>9867</v>
      </c>
      <c r="D1490" s="709" t="s">
        <v>136</v>
      </c>
      <c r="E1490" s="709" t="s">
        <v>8432</v>
      </c>
      <c r="F1490" s="716">
        <v>148.63</v>
      </c>
      <c r="G1490" s="716">
        <v>138.07</v>
      </c>
      <c r="H1490" s="225">
        <f t="shared" si="23"/>
        <v>148.63</v>
      </c>
    </row>
    <row r="1491" spans="1:8" x14ac:dyDescent="0.3">
      <c r="A1491" s="401"/>
      <c r="B1491" s="709">
        <v>1743</v>
      </c>
      <c r="C1491" s="710" t="s">
        <v>9868</v>
      </c>
      <c r="D1491" s="709" t="s">
        <v>136</v>
      </c>
      <c r="E1491" s="709" t="s">
        <v>8432</v>
      </c>
      <c r="F1491" s="716">
        <v>195.17</v>
      </c>
      <c r="G1491" s="716">
        <v>181.31</v>
      </c>
      <c r="H1491" s="225">
        <f t="shared" si="23"/>
        <v>195.17</v>
      </c>
    </row>
    <row r="1492" spans="1:8" x14ac:dyDescent="0.3">
      <c r="A1492" s="401"/>
      <c r="B1492" s="709">
        <v>1747</v>
      </c>
      <c r="C1492" s="710" t="s">
        <v>9869</v>
      </c>
      <c r="D1492" s="709" t="s">
        <v>136</v>
      </c>
      <c r="E1492" s="709" t="s">
        <v>8432</v>
      </c>
      <c r="F1492" s="716">
        <v>214.57</v>
      </c>
      <c r="G1492" s="716">
        <v>199.34</v>
      </c>
      <c r="H1492" s="225">
        <f t="shared" si="23"/>
        <v>214.57</v>
      </c>
    </row>
    <row r="1493" spans="1:8" x14ac:dyDescent="0.3">
      <c r="A1493" s="401"/>
      <c r="B1493" s="709">
        <v>39640</v>
      </c>
      <c r="C1493" s="710" t="s">
        <v>9870</v>
      </c>
      <c r="D1493" s="709" t="s">
        <v>136</v>
      </c>
      <c r="E1493" s="709" t="s">
        <v>8432</v>
      </c>
      <c r="F1493" s="716">
        <v>14.04</v>
      </c>
      <c r="G1493" s="716">
        <v>12.11</v>
      </c>
      <c r="H1493" s="225">
        <f t="shared" si="23"/>
        <v>14.04</v>
      </c>
    </row>
    <row r="1494" spans="1:8" x14ac:dyDescent="0.3">
      <c r="A1494" s="401"/>
      <c r="B1494" s="709">
        <v>7216</v>
      </c>
      <c r="C1494" s="710" t="s">
        <v>9871</v>
      </c>
      <c r="D1494" s="709" t="s">
        <v>136</v>
      </c>
      <c r="E1494" s="709" t="s">
        <v>8432</v>
      </c>
      <c r="F1494" s="716">
        <v>75.430000000000007</v>
      </c>
      <c r="G1494" s="716">
        <v>65.05</v>
      </c>
      <c r="H1494" s="225">
        <f t="shared" si="23"/>
        <v>75.430000000000007</v>
      </c>
    </row>
    <row r="1495" spans="1:8" x14ac:dyDescent="0.3">
      <c r="A1495" s="401"/>
      <c r="B1495" s="709">
        <v>20235</v>
      </c>
      <c r="C1495" s="710" t="s">
        <v>9872</v>
      </c>
      <c r="D1495" s="709" t="s">
        <v>136</v>
      </c>
      <c r="E1495" s="709" t="s">
        <v>8432</v>
      </c>
      <c r="F1495" s="716">
        <v>60.65</v>
      </c>
      <c r="G1495" s="716">
        <v>52.3</v>
      </c>
      <c r="H1495" s="225">
        <f t="shared" si="23"/>
        <v>60.65</v>
      </c>
    </row>
    <row r="1496" spans="1:8" x14ac:dyDescent="0.3">
      <c r="A1496" s="401"/>
      <c r="B1496" s="709">
        <v>7181</v>
      </c>
      <c r="C1496" s="710" t="s">
        <v>9873</v>
      </c>
      <c r="D1496" s="709" t="s">
        <v>136</v>
      </c>
      <c r="E1496" s="709" t="s">
        <v>8432</v>
      </c>
      <c r="F1496" s="716">
        <v>8.16</v>
      </c>
      <c r="G1496" s="716">
        <v>9.19</v>
      </c>
      <c r="H1496" s="225">
        <f t="shared" si="23"/>
        <v>8.16</v>
      </c>
    </row>
    <row r="1497" spans="1:8" x14ac:dyDescent="0.3">
      <c r="A1497" s="401"/>
      <c r="B1497" s="709">
        <v>40742</v>
      </c>
      <c r="C1497" s="710" t="s">
        <v>9874</v>
      </c>
      <c r="D1497" s="709" t="s">
        <v>136</v>
      </c>
      <c r="E1497" s="709" t="s">
        <v>8432</v>
      </c>
      <c r="F1497" s="716">
        <v>14.85</v>
      </c>
      <c r="G1497" s="716">
        <v>12.72</v>
      </c>
      <c r="H1497" s="225">
        <f t="shared" si="23"/>
        <v>14.85</v>
      </c>
    </row>
    <row r="1498" spans="1:8" x14ac:dyDescent="0.3">
      <c r="A1498" s="401"/>
      <c r="B1498" s="709">
        <v>7214</v>
      </c>
      <c r="C1498" s="710" t="s">
        <v>9875</v>
      </c>
      <c r="D1498" s="709" t="s">
        <v>136</v>
      </c>
      <c r="E1498" s="709" t="s">
        <v>8432</v>
      </c>
      <c r="F1498" s="716">
        <v>73.66</v>
      </c>
      <c r="G1498" s="716">
        <v>63.52</v>
      </c>
      <c r="H1498" s="225">
        <f t="shared" si="23"/>
        <v>73.66</v>
      </c>
    </row>
    <row r="1499" spans="1:8" x14ac:dyDescent="0.3">
      <c r="A1499" s="401"/>
      <c r="B1499" s="709">
        <v>7219</v>
      </c>
      <c r="C1499" s="710" t="s">
        <v>9876</v>
      </c>
      <c r="D1499" s="709" t="s">
        <v>136</v>
      </c>
      <c r="E1499" s="709" t="s">
        <v>8432</v>
      </c>
      <c r="F1499" s="716">
        <v>65.34</v>
      </c>
      <c r="G1499" s="716">
        <v>56.34</v>
      </c>
      <c r="H1499" s="225">
        <f t="shared" si="23"/>
        <v>65.34</v>
      </c>
    </row>
    <row r="1500" spans="1:8" x14ac:dyDescent="0.3">
      <c r="A1500" s="401"/>
      <c r="B1500" s="709">
        <v>2628</v>
      </c>
      <c r="C1500" s="710" t="s">
        <v>9877</v>
      </c>
      <c r="D1500" s="709" t="s">
        <v>136</v>
      </c>
      <c r="E1500" s="709" t="s">
        <v>8432</v>
      </c>
      <c r="F1500" s="716">
        <v>278.05</v>
      </c>
      <c r="G1500" s="716">
        <v>204.81</v>
      </c>
      <c r="H1500" s="225">
        <f t="shared" si="23"/>
        <v>278.05</v>
      </c>
    </row>
    <row r="1501" spans="1:8" x14ac:dyDescent="0.3">
      <c r="A1501" s="401"/>
      <c r="B1501" s="709">
        <v>2622</v>
      </c>
      <c r="C1501" s="710" t="s">
        <v>9878</v>
      </c>
      <c r="D1501" s="709" t="s">
        <v>136</v>
      </c>
      <c r="E1501" s="709" t="s">
        <v>8432</v>
      </c>
      <c r="F1501" s="716">
        <v>6.6</v>
      </c>
      <c r="G1501" s="716">
        <v>4.8600000000000003</v>
      </c>
      <c r="H1501" s="225">
        <f t="shared" si="23"/>
        <v>6.6</v>
      </c>
    </row>
    <row r="1502" spans="1:8" x14ac:dyDescent="0.3">
      <c r="A1502" s="401"/>
      <c r="B1502" s="709">
        <v>2623</v>
      </c>
      <c r="C1502" s="710" t="s">
        <v>9879</v>
      </c>
      <c r="D1502" s="709" t="s">
        <v>136</v>
      </c>
      <c r="E1502" s="709" t="s">
        <v>8432</v>
      </c>
      <c r="F1502" s="716">
        <v>7.95</v>
      </c>
      <c r="G1502" s="716">
        <v>5.85</v>
      </c>
      <c r="H1502" s="225">
        <f t="shared" si="23"/>
        <v>7.95</v>
      </c>
    </row>
    <row r="1503" spans="1:8" x14ac:dyDescent="0.3">
      <c r="A1503" s="401"/>
      <c r="B1503" s="709">
        <v>2624</v>
      </c>
      <c r="C1503" s="710" t="s">
        <v>9880</v>
      </c>
      <c r="D1503" s="709" t="s">
        <v>136</v>
      </c>
      <c r="E1503" s="709" t="s">
        <v>8432</v>
      </c>
      <c r="F1503" s="716">
        <v>12.64</v>
      </c>
      <c r="G1503" s="716">
        <v>9.31</v>
      </c>
      <c r="H1503" s="225">
        <f t="shared" si="23"/>
        <v>12.64</v>
      </c>
    </row>
    <row r="1504" spans="1:8" x14ac:dyDescent="0.3">
      <c r="A1504" s="401"/>
      <c r="B1504" s="709">
        <v>2625</v>
      </c>
      <c r="C1504" s="710" t="s">
        <v>9881</v>
      </c>
      <c r="D1504" s="709" t="s">
        <v>136</v>
      </c>
      <c r="E1504" s="709" t="s">
        <v>8432</v>
      </c>
      <c r="F1504" s="716">
        <v>26.68</v>
      </c>
      <c r="G1504" s="716">
        <v>19.649999999999999</v>
      </c>
      <c r="H1504" s="225">
        <f t="shared" si="23"/>
        <v>26.68</v>
      </c>
    </row>
    <row r="1505" spans="1:8" x14ac:dyDescent="0.3">
      <c r="A1505" s="401"/>
      <c r="B1505" s="709">
        <v>2626</v>
      </c>
      <c r="C1505" s="710" t="s">
        <v>9882</v>
      </c>
      <c r="D1505" s="709" t="s">
        <v>136</v>
      </c>
      <c r="E1505" s="709" t="s">
        <v>8432</v>
      </c>
      <c r="F1505" s="716">
        <v>39.090000000000003</v>
      </c>
      <c r="G1505" s="716">
        <v>28.79</v>
      </c>
      <c r="H1505" s="225">
        <f t="shared" si="23"/>
        <v>39.090000000000003</v>
      </c>
    </row>
    <row r="1506" spans="1:8" x14ac:dyDescent="0.3">
      <c r="A1506" s="401"/>
      <c r="B1506" s="709">
        <v>2630</v>
      </c>
      <c r="C1506" s="710" t="s">
        <v>9883</v>
      </c>
      <c r="D1506" s="709" t="s">
        <v>136</v>
      </c>
      <c r="E1506" s="709" t="s">
        <v>8432</v>
      </c>
      <c r="F1506" s="716">
        <v>59.45</v>
      </c>
      <c r="G1506" s="716">
        <v>43.79</v>
      </c>
      <c r="H1506" s="225">
        <f t="shared" si="23"/>
        <v>59.45</v>
      </c>
    </row>
    <row r="1507" spans="1:8" x14ac:dyDescent="0.3">
      <c r="A1507" s="401"/>
      <c r="B1507" s="709">
        <v>2627</v>
      </c>
      <c r="C1507" s="710" t="s">
        <v>9884</v>
      </c>
      <c r="D1507" s="709" t="s">
        <v>136</v>
      </c>
      <c r="E1507" s="709" t="s">
        <v>8432</v>
      </c>
      <c r="F1507" s="716">
        <v>104.73</v>
      </c>
      <c r="G1507" s="716">
        <v>77.14</v>
      </c>
      <c r="H1507" s="225">
        <f t="shared" si="23"/>
        <v>104.73</v>
      </c>
    </row>
    <row r="1508" spans="1:8" x14ac:dyDescent="0.3">
      <c r="A1508" s="401"/>
      <c r="B1508" s="709">
        <v>2629</v>
      </c>
      <c r="C1508" s="710" t="s">
        <v>9885</v>
      </c>
      <c r="D1508" s="709" t="s">
        <v>136</v>
      </c>
      <c r="E1508" s="709" t="s">
        <v>8432</v>
      </c>
      <c r="F1508" s="716">
        <v>141.65</v>
      </c>
      <c r="G1508" s="716">
        <v>104.34</v>
      </c>
      <c r="H1508" s="225">
        <f t="shared" si="23"/>
        <v>141.65</v>
      </c>
    </row>
    <row r="1509" spans="1:8" x14ac:dyDescent="0.3">
      <c r="A1509" s="401"/>
      <c r="B1509" s="709">
        <v>1880</v>
      </c>
      <c r="C1509" s="710" t="s">
        <v>9886</v>
      </c>
      <c r="D1509" s="709" t="s">
        <v>136</v>
      </c>
      <c r="E1509" s="709" t="s">
        <v>8432</v>
      </c>
      <c r="F1509" s="716">
        <v>4.1900000000000004</v>
      </c>
      <c r="G1509" s="716">
        <v>2.76</v>
      </c>
      <c r="H1509" s="225">
        <f t="shared" si="23"/>
        <v>4.1900000000000004</v>
      </c>
    </row>
    <row r="1510" spans="1:8" x14ac:dyDescent="0.3">
      <c r="A1510" s="401"/>
      <c r="B1510" s="709">
        <v>39274</v>
      </c>
      <c r="C1510" s="710" t="s">
        <v>9887</v>
      </c>
      <c r="D1510" s="709" t="s">
        <v>136</v>
      </c>
      <c r="E1510" s="709" t="s">
        <v>8432</v>
      </c>
      <c r="F1510" s="716">
        <v>3.25</v>
      </c>
      <c r="G1510" s="716">
        <v>2.14</v>
      </c>
      <c r="H1510" s="225">
        <f t="shared" si="23"/>
        <v>3.25</v>
      </c>
    </row>
    <row r="1511" spans="1:8" x14ac:dyDescent="0.3">
      <c r="A1511" s="401"/>
      <c r="B1511" s="709">
        <v>12033</v>
      </c>
      <c r="C1511" s="710" t="s">
        <v>9888</v>
      </c>
      <c r="D1511" s="709" t="s">
        <v>136</v>
      </c>
      <c r="E1511" s="709" t="s">
        <v>8432</v>
      </c>
      <c r="F1511" s="716">
        <v>13.39</v>
      </c>
      <c r="G1511" s="716">
        <v>8.82</v>
      </c>
      <c r="H1511" s="225">
        <f t="shared" si="23"/>
        <v>13.39</v>
      </c>
    </row>
    <row r="1512" spans="1:8" x14ac:dyDescent="0.3">
      <c r="A1512" s="401"/>
      <c r="B1512" s="709">
        <v>40408</v>
      </c>
      <c r="C1512" s="710" t="s">
        <v>9889</v>
      </c>
      <c r="D1512" s="709" t="s">
        <v>136</v>
      </c>
      <c r="E1512" s="709" t="s">
        <v>8432</v>
      </c>
      <c r="F1512" s="716">
        <v>8.8000000000000007</v>
      </c>
      <c r="G1512" s="716">
        <v>5.79</v>
      </c>
      <c r="H1512" s="225">
        <f t="shared" si="23"/>
        <v>8.8000000000000007</v>
      </c>
    </row>
    <row r="1513" spans="1:8" x14ac:dyDescent="0.3">
      <c r="A1513" s="401"/>
      <c r="B1513" s="709">
        <v>39276</v>
      </c>
      <c r="C1513" s="710" t="s">
        <v>9890</v>
      </c>
      <c r="D1513" s="709" t="s">
        <v>136</v>
      </c>
      <c r="E1513" s="709" t="s">
        <v>8432</v>
      </c>
      <c r="F1513" s="716">
        <v>7.93</v>
      </c>
      <c r="G1513" s="716">
        <v>5.22</v>
      </c>
      <c r="H1513" s="225">
        <f t="shared" si="23"/>
        <v>7.93</v>
      </c>
    </row>
    <row r="1514" spans="1:8" x14ac:dyDescent="0.3">
      <c r="A1514" s="401"/>
      <c r="B1514" s="709">
        <v>40409</v>
      </c>
      <c r="C1514" s="710" t="s">
        <v>9891</v>
      </c>
      <c r="D1514" s="709" t="s">
        <v>136</v>
      </c>
      <c r="E1514" s="709" t="s">
        <v>8432</v>
      </c>
      <c r="F1514" s="716">
        <v>3.11</v>
      </c>
      <c r="G1514" s="716">
        <v>2.0499999999999998</v>
      </c>
      <c r="H1514" s="225">
        <f t="shared" si="23"/>
        <v>3.11</v>
      </c>
    </row>
    <row r="1515" spans="1:8" x14ac:dyDescent="0.3">
      <c r="A1515" s="401"/>
      <c r="B1515" s="709">
        <v>39277</v>
      </c>
      <c r="C1515" s="710" t="s">
        <v>9892</v>
      </c>
      <c r="D1515" s="709" t="s">
        <v>136</v>
      </c>
      <c r="E1515" s="709" t="s">
        <v>8432</v>
      </c>
      <c r="F1515" s="716">
        <v>21.4</v>
      </c>
      <c r="G1515" s="716">
        <v>14.1</v>
      </c>
      <c r="H1515" s="225">
        <f t="shared" si="23"/>
        <v>21.4</v>
      </c>
    </row>
    <row r="1516" spans="1:8" x14ac:dyDescent="0.3">
      <c r="A1516" s="401"/>
      <c r="B1516" s="709">
        <v>12034</v>
      </c>
      <c r="C1516" s="710" t="s">
        <v>9893</v>
      </c>
      <c r="D1516" s="709" t="s">
        <v>136</v>
      </c>
      <c r="E1516" s="709" t="s">
        <v>8432</v>
      </c>
      <c r="F1516" s="716">
        <v>6.06</v>
      </c>
      <c r="G1516" s="716">
        <v>3.99</v>
      </c>
      <c r="H1516" s="225">
        <f t="shared" si="23"/>
        <v>6.06</v>
      </c>
    </row>
    <row r="1517" spans="1:8" x14ac:dyDescent="0.3">
      <c r="A1517" s="401"/>
      <c r="B1517" s="709">
        <v>39879</v>
      </c>
      <c r="C1517" s="710" t="s">
        <v>9894</v>
      </c>
      <c r="D1517" s="709" t="s">
        <v>136</v>
      </c>
      <c r="E1517" s="709" t="s">
        <v>8432</v>
      </c>
      <c r="F1517" s="716"/>
      <c r="G1517" s="716">
        <v>7.06</v>
      </c>
      <c r="H1517" s="225">
        <f t="shared" si="23"/>
        <v>7.06</v>
      </c>
    </row>
    <row r="1518" spans="1:8" x14ac:dyDescent="0.3">
      <c r="A1518" s="401"/>
      <c r="B1518" s="709">
        <v>39880</v>
      </c>
      <c r="C1518" s="710" t="s">
        <v>9895</v>
      </c>
      <c r="D1518" s="709" t="s">
        <v>136</v>
      </c>
      <c r="E1518" s="709" t="s">
        <v>8432</v>
      </c>
      <c r="F1518" s="716"/>
      <c r="G1518" s="716">
        <v>15.64</v>
      </c>
      <c r="H1518" s="225">
        <f t="shared" si="23"/>
        <v>15.64</v>
      </c>
    </row>
    <row r="1519" spans="1:8" x14ac:dyDescent="0.3">
      <c r="A1519" s="401"/>
      <c r="B1519" s="709">
        <v>39881</v>
      </c>
      <c r="C1519" s="710" t="s">
        <v>9896</v>
      </c>
      <c r="D1519" s="709" t="s">
        <v>136</v>
      </c>
      <c r="E1519" s="709" t="s">
        <v>8432</v>
      </c>
      <c r="F1519" s="716"/>
      <c r="G1519" s="716">
        <v>25.11</v>
      </c>
      <c r="H1519" s="225">
        <f t="shared" si="23"/>
        <v>25.11</v>
      </c>
    </row>
    <row r="1520" spans="1:8" x14ac:dyDescent="0.3">
      <c r="A1520" s="401"/>
      <c r="B1520" s="709">
        <v>39882</v>
      </c>
      <c r="C1520" s="710" t="s">
        <v>9897</v>
      </c>
      <c r="D1520" s="709" t="s">
        <v>136</v>
      </c>
      <c r="E1520" s="709" t="s">
        <v>8432</v>
      </c>
      <c r="F1520" s="716"/>
      <c r="G1520" s="716">
        <v>66.150000000000006</v>
      </c>
      <c r="H1520" s="225">
        <f t="shared" si="23"/>
        <v>66.150000000000006</v>
      </c>
    </row>
    <row r="1521" spans="1:8" x14ac:dyDescent="0.3">
      <c r="A1521" s="401"/>
      <c r="B1521" s="709">
        <v>39883</v>
      </c>
      <c r="C1521" s="710" t="s">
        <v>9898</v>
      </c>
      <c r="D1521" s="709" t="s">
        <v>136</v>
      </c>
      <c r="E1521" s="709" t="s">
        <v>8432</v>
      </c>
      <c r="F1521" s="716"/>
      <c r="G1521" s="716">
        <v>105.63</v>
      </c>
      <c r="H1521" s="225">
        <f t="shared" si="23"/>
        <v>105.63</v>
      </c>
    </row>
    <row r="1522" spans="1:8" x14ac:dyDescent="0.3">
      <c r="A1522" s="401"/>
      <c r="B1522" s="709">
        <v>39884</v>
      </c>
      <c r="C1522" s="710" t="s">
        <v>9899</v>
      </c>
      <c r="D1522" s="709" t="s">
        <v>136</v>
      </c>
      <c r="E1522" s="709" t="s">
        <v>8432</v>
      </c>
      <c r="F1522" s="716"/>
      <c r="G1522" s="716">
        <v>156.88999999999999</v>
      </c>
      <c r="H1522" s="225">
        <f t="shared" si="23"/>
        <v>156.88999999999999</v>
      </c>
    </row>
    <row r="1523" spans="1:8" x14ac:dyDescent="0.3">
      <c r="A1523" s="401"/>
      <c r="B1523" s="709">
        <v>39885</v>
      </c>
      <c r="C1523" s="710" t="s">
        <v>9900</v>
      </c>
      <c r="D1523" s="709" t="s">
        <v>136</v>
      </c>
      <c r="E1523" s="709" t="s">
        <v>8432</v>
      </c>
      <c r="F1523" s="716"/>
      <c r="G1523" s="716">
        <v>372.87</v>
      </c>
      <c r="H1523" s="225">
        <f t="shared" si="23"/>
        <v>372.87</v>
      </c>
    </row>
    <row r="1524" spans="1:8" x14ac:dyDescent="0.3">
      <c r="A1524" s="401"/>
      <c r="B1524" s="709">
        <v>1777</v>
      </c>
      <c r="C1524" s="710" t="s">
        <v>9901</v>
      </c>
      <c r="D1524" s="709" t="s">
        <v>136</v>
      </c>
      <c r="E1524" s="709" t="s">
        <v>8432</v>
      </c>
      <c r="F1524" s="716">
        <v>65.7</v>
      </c>
      <c r="G1524" s="716">
        <v>89.58</v>
      </c>
      <c r="H1524" s="225">
        <f t="shared" si="23"/>
        <v>65.7</v>
      </c>
    </row>
    <row r="1525" spans="1:8" x14ac:dyDescent="0.3">
      <c r="A1525" s="401"/>
      <c r="B1525" s="709">
        <v>1819</v>
      </c>
      <c r="C1525" s="710" t="s">
        <v>9902</v>
      </c>
      <c r="D1525" s="709" t="s">
        <v>136</v>
      </c>
      <c r="E1525" s="709" t="s">
        <v>8432</v>
      </c>
      <c r="F1525" s="716">
        <v>47.8</v>
      </c>
      <c r="G1525" s="716">
        <v>65.17</v>
      </c>
      <c r="H1525" s="225">
        <f t="shared" si="23"/>
        <v>47.8</v>
      </c>
    </row>
    <row r="1526" spans="1:8" x14ac:dyDescent="0.3">
      <c r="A1526" s="401"/>
      <c r="B1526" s="709">
        <v>1776</v>
      </c>
      <c r="C1526" s="710" t="s">
        <v>9903</v>
      </c>
      <c r="D1526" s="709" t="s">
        <v>136</v>
      </c>
      <c r="E1526" s="709" t="s">
        <v>8432</v>
      </c>
      <c r="F1526" s="716">
        <v>38.89</v>
      </c>
      <c r="G1526" s="716">
        <v>53.03</v>
      </c>
      <c r="H1526" s="225">
        <f t="shared" si="23"/>
        <v>38.89</v>
      </c>
    </row>
    <row r="1527" spans="1:8" x14ac:dyDescent="0.3">
      <c r="A1527" s="401"/>
      <c r="B1527" s="709">
        <v>1775</v>
      </c>
      <c r="C1527" s="710" t="s">
        <v>9904</v>
      </c>
      <c r="D1527" s="709" t="s">
        <v>136</v>
      </c>
      <c r="E1527" s="709" t="s">
        <v>8432</v>
      </c>
      <c r="F1527" s="716">
        <v>14.29</v>
      </c>
      <c r="G1527" s="716">
        <v>19.489999999999998</v>
      </c>
      <c r="H1527" s="225">
        <f t="shared" si="23"/>
        <v>14.29</v>
      </c>
    </row>
    <row r="1528" spans="1:8" x14ac:dyDescent="0.3">
      <c r="A1528" s="401"/>
      <c r="B1528" s="709">
        <v>1778</v>
      </c>
      <c r="C1528" s="710" t="s">
        <v>9905</v>
      </c>
      <c r="D1528" s="709" t="s">
        <v>136</v>
      </c>
      <c r="E1528" s="709" t="s">
        <v>8432</v>
      </c>
      <c r="F1528" s="716">
        <v>159.03</v>
      </c>
      <c r="G1528" s="716">
        <v>216.84</v>
      </c>
      <c r="H1528" s="225">
        <f t="shared" si="23"/>
        <v>159.03</v>
      </c>
    </row>
    <row r="1529" spans="1:8" x14ac:dyDescent="0.3">
      <c r="A1529" s="401"/>
      <c r="B1529" s="709">
        <v>1818</v>
      </c>
      <c r="C1529" s="710" t="s">
        <v>9906</v>
      </c>
      <c r="D1529" s="709" t="s">
        <v>136</v>
      </c>
      <c r="E1529" s="709" t="s">
        <v>8432</v>
      </c>
      <c r="F1529" s="716">
        <v>105.56</v>
      </c>
      <c r="G1529" s="716">
        <v>143.93</v>
      </c>
      <c r="H1529" s="225">
        <f t="shared" si="23"/>
        <v>105.56</v>
      </c>
    </row>
    <row r="1530" spans="1:8" x14ac:dyDescent="0.3">
      <c r="A1530" s="401"/>
      <c r="B1530" s="709">
        <v>1779</v>
      </c>
      <c r="C1530" s="710" t="s">
        <v>9907</v>
      </c>
      <c r="D1530" s="709" t="s">
        <v>136</v>
      </c>
      <c r="E1530" s="709" t="s">
        <v>8432</v>
      </c>
      <c r="F1530" s="716">
        <v>231.28</v>
      </c>
      <c r="G1530" s="716">
        <v>315.36</v>
      </c>
      <c r="H1530" s="225">
        <f t="shared" si="23"/>
        <v>231.28</v>
      </c>
    </row>
    <row r="1531" spans="1:8" x14ac:dyDescent="0.3">
      <c r="A1531" s="401"/>
      <c r="B1531" s="709">
        <v>1820</v>
      </c>
      <c r="C1531" s="710" t="s">
        <v>9908</v>
      </c>
      <c r="D1531" s="709" t="s">
        <v>136</v>
      </c>
      <c r="E1531" s="709" t="s">
        <v>8432</v>
      </c>
      <c r="F1531" s="716">
        <v>20.64</v>
      </c>
      <c r="G1531" s="716">
        <v>28.15</v>
      </c>
      <c r="H1531" s="225">
        <f t="shared" si="23"/>
        <v>20.64</v>
      </c>
    </row>
    <row r="1532" spans="1:8" x14ac:dyDescent="0.3">
      <c r="A1532" s="401"/>
      <c r="B1532" s="709">
        <v>1780</v>
      </c>
      <c r="C1532" s="710" t="s">
        <v>9909</v>
      </c>
      <c r="D1532" s="709" t="s">
        <v>136</v>
      </c>
      <c r="E1532" s="709" t="s">
        <v>8432</v>
      </c>
      <c r="F1532" s="716">
        <v>476.79</v>
      </c>
      <c r="G1532" s="716">
        <v>650.12</v>
      </c>
      <c r="H1532" s="225">
        <f t="shared" si="23"/>
        <v>476.79</v>
      </c>
    </row>
    <row r="1533" spans="1:8" x14ac:dyDescent="0.3">
      <c r="A1533" s="401"/>
      <c r="B1533" s="709">
        <v>1783</v>
      </c>
      <c r="C1533" s="710" t="s">
        <v>9910</v>
      </c>
      <c r="D1533" s="709" t="s">
        <v>136</v>
      </c>
      <c r="E1533" s="709" t="s">
        <v>8432</v>
      </c>
      <c r="F1533" s="716">
        <v>50.41</v>
      </c>
      <c r="G1533" s="716">
        <v>68.739999999999995</v>
      </c>
      <c r="H1533" s="225">
        <f t="shared" si="23"/>
        <v>50.41</v>
      </c>
    </row>
    <row r="1534" spans="1:8" x14ac:dyDescent="0.3">
      <c r="A1534" s="401"/>
      <c r="B1534" s="709">
        <v>1782</v>
      </c>
      <c r="C1534" s="710" t="s">
        <v>9911</v>
      </c>
      <c r="D1534" s="709" t="s">
        <v>136</v>
      </c>
      <c r="E1534" s="709" t="s">
        <v>8432</v>
      </c>
      <c r="F1534" s="716">
        <v>39.86</v>
      </c>
      <c r="G1534" s="716">
        <v>54.35</v>
      </c>
      <c r="H1534" s="225">
        <f t="shared" si="23"/>
        <v>39.86</v>
      </c>
    </row>
    <row r="1535" spans="1:8" x14ac:dyDescent="0.3">
      <c r="A1535" s="401"/>
      <c r="B1535" s="709">
        <v>1781</v>
      </c>
      <c r="C1535" s="710" t="s">
        <v>9912</v>
      </c>
      <c r="D1535" s="709" t="s">
        <v>136</v>
      </c>
      <c r="E1535" s="709" t="s">
        <v>8432</v>
      </c>
      <c r="F1535" s="716">
        <v>25.97</v>
      </c>
      <c r="G1535" s="716">
        <v>35.409999999999997</v>
      </c>
      <c r="H1535" s="225">
        <f t="shared" si="23"/>
        <v>25.97</v>
      </c>
    </row>
    <row r="1536" spans="1:8" x14ac:dyDescent="0.3">
      <c r="A1536" s="401"/>
      <c r="B1536" s="709">
        <v>1817</v>
      </c>
      <c r="C1536" s="710" t="s">
        <v>9913</v>
      </c>
      <c r="D1536" s="709" t="s">
        <v>136</v>
      </c>
      <c r="E1536" s="709" t="s">
        <v>8432</v>
      </c>
      <c r="F1536" s="716">
        <v>11.87</v>
      </c>
      <c r="G1536" s="716">
        <v>16.190000000000001</v>
      </c>
      <c r="H1536" s="225">
        <f t="shared" si="23"/>
        <v>11.87</v>
      </c>
    </row>
    <row r="1537" spans="1:8" x14ac:dyDescent="0.3">
      <c r="A1537" s="401"/>
      <c r="B1537" s="709">
        <v>1784</v>
      </c>
      <c r="C1537" s="710" t="s">
        <v>9914</v>
      </c>
      <c r="D1537" s="709" t="s">
        <v>136</v>
      </c>
      <c r="E1537" s="709" t="s">
        <v>8432</v>
      </c>
      <c r="F1537" s="716">
        <v>142.35</v>
      </c>
      <c r="G1537" s="716">
        <v>194.1</v>
      </c>
      <c r="H1537" s="225">
        <f t="shared" si="23"/>
        <v>142.35</v>
      </c>
    </row>
    <row r="1538" spans="1:8" x14ac:dyDescent="0.3">
      <c r="A1538" s="401"/>
      <c r="B1538" s="709">
        <v>1810</v>
      </c>
      <c r="C1538" s="710" t="s">
        <v>9915</v>
      </c>
      <c r="D1538" s="709" t="s">
        <v>136</v>
      </c>
      <c r="E1538" s="709" t="s">
        <v>8432</v>
      </c>
      <c r="F1538" s="716">
        <v>78.95</v>
      </c>
      <c r="G1538" s="716">
        <v>107.66</v>
      </c>
      <c r="H1538" s="225">
        <f t="shared" si="23"/>
        <v>78.95</v>
      </c>
    </row>
    <row r="1539" spans="1:8" x14ac:dyDescent="0.3">
      <c r="A1539" s="401"/>
      <c r="B1539" s="709">
        <v>1812</v>
      </c>
      <c r="C1539" s="710" t="s">
        <v>9916</v>
      </c>
      <c r="D1539" s="709" t="s">
        <v>136</v>
      </c>
      <c r="E1539" s="709" t="s">
        <v>8432</v>
      </c>
      <c r="F1539" s="716">
        <v>199.32</v>
      </c>
      <c r="G1539" s="716">
        <v>271.77</v>
      </c>
      <c r="H1539" s="225">
        <f t="shared" si="23"/>
        <v>199.32</v>
      </c>
    </row>
    <row r="1540" spans="1:8" x14ac:dyDescent="0.3">
      <c r="A1540" s="401"/>
      <c r="B1540" s="709">
        <v>1811</v>
      </c>
      <c r="C1540" s="710" t="s">
        <v>9917</v>
      </c>
      <c r="D1540" s="709" t="s">
        <v>136</v>
      </c>
      <c r="E1540" s="709" t="s">
        <v>8432</v>
      </c>
      <c r="F1540" s="716">
        <v>17.079999999999998</v>
      </c>
      <c r="G1540" s="716">
        <v>23.29</v>
      </c>
      <c r="H1540" s="225">
        <f t="shared" si="23"/>
        <v>17.079999999999998</v>
      </c>
    </row>
    <row r="1541" spans="1:8" x14ac:dyDescent="0.3">
      <c r="A1541" s="401"/>
      <c r="B1541" s="709">
        <v>40386</v>
      </c>
      <c r="C1541" s="710" t="s">
        <v>9918</v>
      </c>
      <c r="D1541" s="709" t="s">
        <v>136</v>
      </c>
      <c r="E1541" s="709" t="s">
        <v>8432</v>
      </c>
      <c r="F1541" s="716">
        <v>123.74</v>
      </c>
      <c r="G1541" s="716">
        <v>89.73</v>
      </c>
      <c r="H1541" s="225">
        <f t="shared" si="23"/>
        <v>123.74</v>
      </c>
    </row>
    <row r="1542" spans="1:8" x14ac:dyDescent="0.3">
      <c r="A1542" s="401"/>
      <c r="B1542" s="709">
        <v>40384</v>
      </c>
      <c r="C1542" s="710" t="s">
        <v>9919</v>
      </c>
      <c r="D1542" s="709" t="s">
        <v>136</v>
      </c>
      <c r="E1542" s="709" t="s">
        <v>8432</v>
      </c>
      <c r="F1542" s="716">
        <v>84.72</v>
      </c>
      <c r="G1542" s="716">
        <v>61.43</v>
      </c>
      <c r="H1542" s="225">
        <f t="shared" si="23"/>
        <v>84.72</v>
      </c>
    </row>
    <row r="1543" spans="1:8" x14ac:dyDescent="0.3">
      <c r="A1543" s="401"/>
      <c r="B1543" s="709">
        <v>40423</v>
      </c>
      <c r="C1543" s="710" t="s">
        <v>9920</v>
      </c>
      <c r="D1543" s="709" t="s">
        <v>136</v>
      </c>
      <c r="E1543" s="709" t="s">
        <v>8432</v>
      </c>
      <c r="F1543" s="716">
        <v>55.43</v>
      </c>
      <c r="G1543" s="716">
        <v>40.19</v>
      </c>
      <c r="H1543" s="225">
        <f t="shared" si="23"/>
        <v>55.43</v>
      </c>
    </row>
    <row r="1544" spans="1:8" x14ac:dyDescent="0.3">
      <c r="A1544" s="401"/>
      <c r="B1544" s="709">
        <v>40379</v>
      </c>
      <c r="C1544" s="710" t="s">
        <v>9921</v>
      </c>
      <c r="D1544" s="709" t="s">
        <v>136</v>
      </c>
      <c r="E1544" s="709" t="s">
        <v>8432</v>
      </c>
      <c r="F1544" s="716">
        <v>29.29</v>
      </c>
      <c r="G1544" s="716">
        <v>21.24</v>
      </c>
      <c r="H1544" s="225">
        <f t="shared" si="23"/>
        <v>29.29</v>
      </c>
    </row>
    <row r="1545" spans="1:8" x14ac:dyDescent="0.3">
      <c r="A1545" s="401"/>
      <c r="B1545" s="709">
        <v>40389</v>
      </c>
      <c r="C1545" s="710" t="s">
        <v>9922</v>
      </c>
      <c r="D1545" s="709" t="s">
        <v>136</v>
      </c>
      <c r="E1545" s="709" t="s">
        <v>8432</v>
      </c>
      <c r="F1545" s="716">
        <v>351.48</v>
      </c>
      <c r="G1545" s="716">
        <v>254.88</v>
      </c>
      <c r="H1545" s="225">
        <f t="shared" si="23"/>
        <v>351.48</v>
      </c>
    </row>
    <row r="1546" spans="1:8" x14ac:dyDescent="0.3">
      <c r="A1546" s="401"/>
      <c r="B1546" s="709">
        <v>40388</v>
      </c>
      <c r="C1546" s="710" t="s">
        <v>9923</v>
      </c>
      <c r="D1546" s="709" t="s">
        <v>136</v>
      </c>
      <c r="E1546" s="709" t="s">
        <v>8432</v>
      </c>
      <c r="F1546" s="716">
        <v>175.93</v>
      </c>
      <c r="G1546" s="716">
        <v>127.58</v>
      </c>
      <c r="H1546" s="225">
        <f t="shared" si="23"/>
        <v>175.93</v>
      </c>
    </row>
    <row r="1547" spans="1:8" x14ac:dyDescent="0.3">
      <c r="A1547" s="401"/>
      <c r="B1547" s="709">
        <v>40391</v>
      </c>
      <c r="C1547" s="710" t="s">
        <v>9924</v>
      </c>
      <c r="D1547" s="709" t="s">
        <v>136</v>
      </c>
      <c r="E1547" s="709" t="s">
        <v>8432</v>
      </c>
      <c r="F1547" s="716">
        <v>912.28</v>
      </c>
      <c r="G1547" s="716">
        <v>661.54</v>
      </c>
      <c r="H1547" s="225">
        <f t="shared" ref="H1547:H1610" si="24">IF(F1547&gt;0,F1547,G1547)</f>
        <v>912.28</v>
      </c>
    </row>
    <row r="1548" spans="1:8" x14ac:dyDescent="0.3">
      <c r="A1548" s="401"/>
      <c r="B1548" s="709">
        <v>40381</v>
      </c>
      <c r="C1548" s="710" t="s">
        <v>9925</v>
      </c>
      <c r="D1548" s="709" t="s">
        <v>136</v>
      </c>
      <c r="E1548" s="709" t="s">
        <v>8432</v>
      </c>
      <c r="F1548" s="716">
        <v>39.049999999999997</v>
      </c>
      <c r="G1548" s="716">
        <v>28.32</v>
      </c>
      <c r="H1548" s="225">
        <f t="shared" si="24"/>
        <v>39.049999999999997</v>
      </c>
    </row>
    <row r="1549" spans="1:8" x14ac:dyDescent="0.3">
      <c r="A1549" s="401"/>
      <c r="B1549" s="709">
        <v>2609</v>
      </c>
      <c r="C1549" s="710" t="s">
        <v>9926</v>
      </c>
      <c r="D1549" s="709" t="s">
        <v>136</v>
      </c>
      <c r="E1549" s="709" t="s">
        <v>8432</v>
      </c>
      <c r="F1549" s="716">
        <v>6.2</v>
      </c>
      <c r="G1549" s="716">
        <v>4.57</v>
      </c>
      <c r="H1549" s="225">
        <f t="shared" si="24"/>
        <v>6.2</v>
      </c>
    </row>
    <row r="1550" spans="1:8" x14ac:dyDescent="0.3">
      <c r="A1550" s="401"/>
      <c r="B1550" s="709">
        <v>2634</v>
      </c>
      <c r="C1550" s="710" t="s">
        <v>9927</v>
      </c>
      <c r="D1550" s="709" t="s">
        <v>136</v>
      </c>
      <c r="E1550" s="709" t="s">
        <v>8432</v>
      </c>
      <c r="F1550" s="716">
        <v>8.15</v>
      </c>
      <c r="G1550" s="716">
        <v>6</v>
      </c>
      <c r="H1550" s="225">
        <f t="shared" si="24"/>
        <v>8.15</v>
      </c>
    </row>
    <row r="1551" spans="1:8" x14ac:dyDescent="0.3">
      <c r="A1551" s="401"/>
      <c r="B1551" s="709">
        <v>2611</v>
      </c>
      <c r="C1551" s="710" t="s">
        <v>9928</v>
      </c>
      <c r="D1551" s="709" t="s">
        <v>136</v>
      </c>
      <c r="E1551" s="709" t="s">
        <v>8432</v>
      </c>
      <c r="F1551" s="716">
        <v>22.96</v>
      </c>
      <c r="G1551" s="716">
        <v>16.91</v>
      </c>
      <c r="H1551" s="225">
        <f t="shared" si="24"/>
        <v>22.96</v>
      </c>
    </row>
    <row r="1552" spans="1:8" x14ac:dyDescent="0.3">
      <c r="A1552" s="401"/>
      <c r="B1552" s="709">
        <v>40414</v>
      </c>
      <c r="C1552" s="710" t="s">
        <v>9929</v>
      </c>
      <c r="D1552" s="709" t="s">
        <v>136</v>
      </c>
      <c r="E1552" s="709" t="s">
        <v>8432</v>
      </c>
      <c r="F1552" s="716"/>
      <c r="G1552" s="716">
        <v>20.010000000000002</v>
      </c>
      <c r="H1552" s="225">
        <f t="shared" si="24"/>
        <v>20.010000000000002</v>
      </c>
    </row>
    <row r="1553" spans="1:8" x14ac:dyDescent="0.3">
      <c r="A1553" s="401"/>
      <c r="B1553" s="709">
        <v>40416</v>
      </c>
      <c r="C1553" s="710" t="s">
        <v>9930</v>
      </c>
      <c r="D1553" s="709" t="s">
        <v>136</v>
      </c>
      <c r="E1553" s="709" t="s">
        <v>8432</v>
      </c>
      <c r="F1553" s="716"/>
      <c r="G1553" s="716">
        <v>27.66</v>
      </c>
      <c r="H1553" s="225">
        <f t="shared" si="24"/>
        <v>27.66</v>
      </c>
    </row>
    <row r="1554" spans="1:8" x14ac:dyDescent="0.3">
      <c r="A1554" s="401"/>
      <c r="B1554" s="709">
        <v>40418</v>
      </c>
      <c r="C1554" s="710" t="s">
        <v>9931</v>
      </c>
      <c r="D1554" s="709" t="s">
        <v>136</v>
      </c>
      <c r="E1554" s="709" t="s">
        <v>8432</v>
      </c>
      <c r="F1554" s="716"/>
      <c r="G1554" s="716">
        <v>32.99</v>
      </c>
      <c r="H1554" s="225">
        <f t="shared" si="24"/>
        <v>32.99</v>
      </c>
    </row>
    <row r="1555" spans="1:8" x14ac:dyDescent="0.3">
      <c r="A1555" s="401"/>
      <c r="B1555" s="709">
        <v>34359</v>
      </c>
      <c r="C1555" s="710" t="s">
        <v>9932</v>
      </c>
      <c r="D1555" s="709" t="s">
        <v>136</v>
      </c>
      <c r="E1555" s="709" t="s">
        <v>8432</v>
      </c>
      <c r="F1555" s="716">
        <v>12.53</v>
      </c>
      <c r="G1555" s="716">
        <v>12.05</v>
      </c>
      <c r="H1555" s="225">
        <f t="shared" si="24"/>
        <v>12.53</v>
      </c>
    </row>
    <row r="1556" spans="1:8" x14ac:dyDescent="0.3">
      <c r="A1556" s="401"/>
      <c r="B1556" s="709">
        <v>1789</v>
      </c>
      <c r="C1556" s="710" t="s">
        <v>9933</v>
      </c>
      <c r="D1556" s="709" t="s">
        <v>136</v>
      </c>
      <c r="E1556" s="709" t="s">
        <v>8432</v>
      </c>
      <c r="F1556" s="716">
        <v>63.05</v>
      </c>
      <c r="G1556" s="716">
        <v>85.98</v>
      </c>
      <c r="H1556" s="225">
        <f t="shared" si="24"/>
        <v>63.05</v>
      </c>
    </row>
    <row r="1557" spans="1:8" x14ac:dyDescent="0.3">
      <c r="A1557" s="401"/>
      <c r="B1557" s="709">
        <v>1788</v>
      </c>
      <c r="C1557" s="710" t="s">
        <v>9934</v>
      </c>
      <c r="D1557" s="709" t="s">
        <v>136</v>
      </c>
      <c r="E1557" s="709" t="s">
        <v>8432</v>
      </c>
      <c r="F1557" s="716">
        <v>50.54</v>
      </c>
      <c r="G1557" s="716">
        <v>68.92</v>
      </c>
      <c r="H1557" s="225">
        <f t="shared" si="24"/>
        <v>50.54</v>
      </c>
    </row>
    <row r="1558" spans="1:8" x14ac:dyDescent="0.3">
      <c r="A1558" s="401"/>
      <c r="B1558" s="709">
        <v>1787</v>
      </c>
      <c r="C1558" s="710" t="s">
        <v>9935</v>
      </c>
      <c r="D1558" s="709" t="s">
        <v>136</v>
      </c>
      <c r="E1558" s="709" t="s">
        <v>8432</v>
      </c>
      <c r="F1558" s="716">
        <v>30.05</v>
      </c>
      <c r="G1558" s="716">
        <v>40.98</v>
      </c>
      <c r="H1558" s="225">
        <f t="shared" si="24"/>
        <v>30.05</v>
      </c>
    </row>
    <row r="1559" spans="1:8" x14ac:dyDescent="0.3">
      <c r="A1559" s="401"/>
      <c r="B1559" s="709">
        <v>1786</v>
      </c>
      <c r="C1559" s="710" t="s">
        <v>9936</v>
      </c>
      <c r="D1559" s="709" t="s">
        <v>136</v>
      </c>
      <c r="E1559" s="709" t="s">
        <v>8432</v>
      </c>
      <c r="F1559" s="716">
        <v>12.55</v>
      </c>
      <c r="G1559" s="716">
        <v>17.11</v>
      </c>
      <c r="H1559" s="225">
        <f t="shared" si="24"/>
        <v>12.55</v>
      </c>
    </row>
    <row r="1560" spans="1:8" x14ac:dyDescent="0.3">
      <c r="A1560" s="401"/>
      <c r="B1560" s="709">
        <v>1791</v>
      </c>
      <c r="C1560" s="710" t="s">
        <v>9937</v>
      </c>
      <c r="D1560" s="709" t="s">
        <v>136</v>
      </c>
      <c r="E1560" s="709" t="s">
        <v>8432</v>
      </c>
      <c r="F1560" s="716">
        <v>182.23</v>
      </c>
      <c r="G1560" s="716">
        <v>248.48</v>
      </c>
      <c r="H1560" s="225">
        <f t="shared" si="24"/>
        <v>182.23</v>
      </c>
    </row>
    <row r="1561" spans="1:8" x14ac:dyDescent="0.3">
      <c r="A1561" s="401"/>
      <c r="B1561" s="709">
        <v>1790</v>
      </c>
      <c r="C1561" s="710" t="s">
        <v>9938</v>
      </c>
      <c r="D1561" s="709" t="s">
        <v>136</v>
      </c>
      <c r="E1561" s="709" t="s">
        <v>8432</v>
      </c>
      <c r="F1561" s="716">
        <v>105.01</v>
      </c>
      <c r="G1561" s="716">
        <v>143.18</v>
      </c>
      <c r="H1561" s="225">
        <f t="shared" si="24"/>
        <v>105.01</v>
      </c>
    </row>
    <row r="1562" spans="1:8" x14ac:dyDescent="0.3">
      <c r="A1562" s="401"/>
      <c r="B1562" s="709">
        <v>1792</v>
      </c>
      <c r="C1562" s="710" t="s">
        <v>9939</v>
      </c>
      <c r="D1562" s="709" t="s">
        <v>136</v>
      </c>
      <c r="E1562" s="709" t="s">
        <v>8432</v>
      </c>
      <c r="F1562" s="716">
        <v>245.99</v>
      </c>
      <c r="G1562" s="716">
        <v>335.41</v>
      </c>
      <c r="H1562" s="225">
        <f t="shared" si="24"/>
        <v>245.99</v>
      </c>
    </row>
    <row r="1563" spans="1:8" x14ac:dyDescent="0.3">
      <c r="A1563" s="401"/>
      <c r="B1563" s="709">
        <v>1813</v>
      </c>
      <c r="C1563" s="710" t="s">
        <v>9940</v>
      </c>
      <c r="D1563" s="709" t="s">
        <v>136</v>
      </c>
      <c r="E1563" s="709" t="s">
        <v>8432</v>
      </c>
      <c r="F1563" s="716">
        <v>19.920000000000002</v>
      </c>
      <c r="G1563" s="716">
        <v>27.16</v>
      </c>
      <c r="H1563" s="225">
        <f t="shared" si="24"/>
        <v>19.920000000000002</v>
      </c>
    </row>
    <row r="1564" spans="1:8" x14ac:dyDescent="0.3">
      <c r="A1564" s="401"/>
      <c r="B1564" s="709">
        <v>1793</v>
      </c>
      <c r="C1564" s="710" t="s">
        <v>9941</v>
      </c>
      <c r="D1564" s="709" t="s">
        <v>136</v>
      </c>
      <c r="E1564" s="709" t="s">
        <v>8432</v>
      </c>
      <c r="F1564" s="716">
        <v>497.06</v>
      </c>
      <c r="G1564" s="716">
        <v>677.75</v>
      </c>
      <c r="H1564" s="225">
        <f t="shared" si="24"/>
        <v>497.06</v>
      </c>
    </row>
    <row r="1565" spans="1:8" x14ac:dyDescent="0.3">
      <c r="A1565" s="401"/>
      <c r="B1565" s="709">
        <v>1797</v>
      </c>
      <c r="C1565" s="710" t="s">
        <v>9942</v>
      </c>
      <c r="D1565" s="709" t="s">
        <v>136</v>
      </c>
      <c r="E1565" s="709" t="s">
        <v>8432</v>
      </c>
      <c r="F1565" s="716">
        <v>71.599999999999994</v>
      </c>
      <c r="G1565" s="716">
        <v>97.62</v>
      </c>
      <c r="H1565" s="225">
        <f t="shared" si="24"/>
        <v>71.599999999999994</v>
      </c>
    </row>
    <row r="1566" spans="1:8" x14ac:dyDescent="0.3">
      <c r="A1566" s="401"/>
      <c r="B1566" s="709">
        <v>1796</v>
      </c>
      <c r="C1566" s="710" t="s">
        <v>9943</v>
      </c>
      <c r="D1566" s="709" t="s">
        <v>136</v>
      </c>
      <c r="E1566" s="709" t="s">
        <v>8432</v>
      </c>
      <c r="F1566" s="716">
        <v>54.92</v>
      </c>
      <c r="G1566" s="716">
        <v>74.89</v>
      </c>
      <c r="H1566" s="225">
        <f t="shared" si="24"/>
        <v>54.92</v>
      </c>
    </row>
    <row r="1567" spans="1:8" x14ac:dyDescent="0.3">
      <c r="A1567" s="401"/>
      <c r="B1567" s="709">
        <v>1816</v>
      </c>
      <c r="C1567" s="710" t="s">
        <v>9944</v>
      </c>
      <c r="D1567" s="709" t="s">
        <v>136</v>
      </c>
      <c r="E1567" s="709" t="s">
        <v>8432</v>
      </c>
      <c r="F1567" s="716">
        <v>29.56</v>
      </c>
      <c r="G1567" s="716">
        <v>40.31</v>
      </c>
      <c r="H1567" s="225">
        <f t="shared" si="24"/>
        <v>29.56</v>
      </c>
    </row>
    <row r="1568" spans="1:8" x14ac:dyDescent="0.3">
      <c r="A1568" s="401"/>
      <c r="B1568" s="709">
        <v>1794</v>
      </c>
      <c r="C1568" s="710" t="s">
        <v>9945</v>
      </c>
      <c r="D1568" s="709" t="s">
        <v>136</v>
      </c>
      <c r="E1568" s="709" t="s">
        <v>8432</v>
      </c>
      <c r="F1568" s="716">
        <v>13.11</v>
      </c>
      <c r="G1568" s="716">
        <v>17.88</v>
      </c>
      <c r="H1568" s="225">
        <f t="shared" si="24"/>
        <v>13.11</v>
      </c>
    </row>
    <row r="1569" spans="1:8" x14ac:dyDescent="0.3">
      <c r="A1569" s="401"/>
      <c r="B1569" s="709">
        <v>1815</v>
      </c>
      <c r="C1569" s="710" t="s">
        <v>9946</v>
      </c>
      <c r="D1569" s="709" t="s">
        <v>136</v>
      </c>
      <c r="E1569" s="709" t="s">
        <v>8432</v>
      </c>
      <c r="F1569" s="716">
        <v>227.01</v>
      </c>
      <c r="G1569" s="716">
        <v>309.54000000000002</v>
      </c>
      <c r="H1569" s="225">
        <f t="shared" si="24"/>
        <v>227.01</v>
      </c>
    </row>
    <row r="1570" spans="1:8" x14ac:dyDescent="0.3">
      <c r="A1570" s="401"/>
      <c r="B1570" s="709">
        <v>1798</v>
      </c>
      <c r="C1570" s="710" t="s">
        <v>9947</v>
      </c>
      <c r="D1570" s="709" t="s">
        <v>136</v>
      </c>
      <c r="E1570" s="709" t="s">
        <v>8432</v>
      </c>
      <c r="F1570" s="716">
        <v>101.58</v>
      </c>
      <c r="G1570" s="716">
        <v>138.51</v>
      </c>
      <c r="H1570" s="225">
        <f t="shared" si="24"/>
        <v>101.58</v>
      </c>
    </row>
    <row r="1571" spans="1:8" x14ac:dyDescent="0.3">
      <c r="A1571" s="401"/>
      <c r="B1571" s="709">
        <v>1799</v>
      </c>
      <c r="C1571" s="710" t="s">
        <v>9948</v>
      </c>
      <c r="D1571" s="709" t="s">
        <v>136</v>
      </c>
      <c r="E1571" s="709" t="s">
        <v>8432</v>
      </c>
      <c r="F1571" s="716">
        <v>295.67</v>
      </c>
      <c r="G1571" s="716">
        <v>403.15</v>
      </c>
      <c r="H1571" s="225">
        <f t="shared" si="24"/>
        <v>295.67</v>
      </c>
    </row>
    <row r="1572" spans="1:8" x14ac:dyDescent="0.3">
      <c r="A1572" s="401"/>
      <c r="B1572" s="709">
        <v>1795</v>
      </c>
      <c r="C1572" s="710" t="s">
        <v>9949</v>
      </c>
      <c r="D1572" s="709" t="s">
        <v>136</v>
      </c>
      <c r="E1572" s="709" t="s">
        <v>8432</v>
      </c>
      <c r="F1572" s="716">
        <v>18.16</v>
      </c>
      <c r="G1572" s="716">
        <v>24.76</v>
      </c>
      <c r="H1572" s="225">
        <f t="shared" si="24"/>
        <v>18.16</v>
      </c>
    </row>
    <row r="1573" spans="1:8" x14ac:dyDescent="0.3">
      <c r="A1573" s="401"/>
      <c r="B1573" s="709">
        <v>1800</v>
      </c>
      <c r="C1573" s="710" t="s">
        <v>9950</v>
      </c>
      <c r="D1573" s="709" t="s">
        <v>136</v>
      </c>
      <c r="E1573" s="709" t="s">
        <v>8432</v>
      </c>
      <c r="F1573" s="716">
        <v>564.48</v>
      </c>
      <c r="G1573" s="716">
        <v>769.68</v>
      </c>
      <c r="H1573" s="225">
        <f t="shared" si="24"/>
        <v>564.48</v>
      </c>
    </row>
    <row r="1574" spans="1:8" x14ac:dyDescent="0.3">
      <c r="A1574" s="401"/>
      <c r="B1574" s="709">
        <v>1802</v>
      </c>
      <c r="C1574" s="710" t="s">
        <v>9951</v>
      </c>
      <c r="D1574" s="709" t="s">
        <v>136</v>
      </c>
      <c r="E1574" s="709" t="s">
        <v>8432</v>
      </c>
      <c r="F1574" s="716">
        <v>1411.98</v>
      </c>
      <c r="G1574" s="716">
        <v>1925.27</v>
      </c>
      <c r="H1574" s="225">
        <f t="shared" si="24"/>
        <v>1411.98</v>
      </c>
    </row>
    <row r="1575" spans="1:8" x14ac:dyDescent="0.3">
      <c r="A1575" s="401"/>
      <c r="B1575" s="709">
        <v>1809</v>
      </c>
      <c r="C1575" s="710" t="s">
        <v>9952</v>
      </c>
      <c r="D1575" s="709" t="s">
        <v>136</v>
      </c>
      <c r="E1575" s="709" t="s">
        <v>8432</v>
      </c>
      <c r="F1575" s="716">
        <v>59.11</v>
      </c>
      <c r="G1575" s="716">
        <v>80.61</v>
      </c>
      <c r="H1575" s="225">
        <f t="shared" si="24"/>
        <v>59.11</v>
      </c>
    </row>
    <row r="1576" spans="1:8" x14ac:dyDescent="0.3">
      <c r="A1576" s="401"/>
      <c r="B1576" s="709">
        <v>1814</v>
      </c>
      <c r="C1576" s="710" t="s">
        <v>9953</v>
      </c>
      <c r="D1576" s="709" t="s">
        <v>136</v>
      </c>
      <c r="E1576" s="709" t="s">
        <v>8432</v>
      </c>
      <c r="F1576" s="716">
        <v>48.56</v>
      </c>
      <c r="G1576" s="716">
        <v>66.22</v>
      </c>
      <c r="H1576" s="225">
        <f t="shared" si="24"/>
        <v>48.56</v>
      </c>
    </row>
    <row r="1577" spans="1:8" x14ac:dyDescent="0.3">
      <c r="A1577" s="401"/>
      <c r="B1577" s="709">
        <v>1805</v>
      </c>
      <c r="C1577" s="710" t="s">
        <v>9954</v>
      </c>
      <c r="D1577" s="709" t="s">
        <v>136</v>
      </c>
      <c r="E1577" s="709" t="s">
        <v>8432</v>
      </c>
      <c r="F1577" s="716">
        <v>28.18</v>
      </c>
      <c r="G1577" s="716">
        <v>38.43</v>
      </c>
      <c r="H1577" s="225">
        <f t="shared" si="24"/>
        <v>28.18</v>
      </c>
    </row>
    <row r="1578" spans="1:8" x14ac:dyDescent="0.3">
      <c r="A1578" s="401"/>
      <c r="B1578" s="709">
        <v>1803</v>
      </c>
      <c r="C1578" s="710" t="s">
        <v>9955</v>
      </c>
      <c r="D1578" s="709" t="s">
        <v>136</v>
      </c>
      <c r="E1578" s="709" t="s">
        <v>8432</v>
      </c>
      <c r="F1578" s="716">
        <v>12.27</v>
      </c>
      <c r="G1578" s="716">
        <v>16.739999999999998</v>
      </c>
      <c r="H1578" s="225">
        <f t="shared" si="24"/>
        <v>12.27</v>
      </c>
    </row>
    <row r="1579" spans="1:8" x14ac:dyDescent="0.3">
      <c r="A1579" s="401"/>
      <c r="B1579" s="709">
        <v>1821</v>
      </c>
      <c r="C1579" s="710" t="s">
        <v>9956</v>
      </c>
      <c r="D1579" s="709" t="s">
        <v>136</v>
      </c>
      <c r="E1579" s="709" t="s">
        <v>8432</v>
      </c>
      <c r="F1579" s="716">
        <v>166.5</v>
      </c>
      <c r="G1579" s="716">
        <v>227.02</v>
      </c>
      <c r="H1579" s="225">
        <f t="shared" si="24"/>
        <v>166.5</v>
      </c>
    </row>
    <row r="1580" spans="1:8" x14ac:dyDescent="0.3">
      <c r="A1580" s="401"/>
      <c r="B1580" s="709">
        <v>1806</v>
      </c>
      <c r="C1580" s="710" t="s">
        <v>9957</v>
      </c>
      <c r="D1580" s="709" t="s">
        <v>136</v>
      </c>
      <c r="E1580" s="709" t="s">
        <v>8432</v>
      </c>
      <c r="F1580" s="716">
        <v>99.1</v>
      </c>
      <c r="G1580" s="716">
        <v>135.13</v>
      </c>
      <c r="H1580" s="225">
        <f t="shared" si="24"/>
        <v>99.1</v>
      </c>
    </row>
    <row r="1581" spans="1:8" x14ac:dyDescent="0.3">
      <c r="A1581" s="401"/>
      <c r="B1581" s="709">
        <v>1807</v>
      </c>
      <c r="C1581" s="710" t="s">
        <v>9958</v>
      </c>
      <c r="D1581" s="709" t="s">
        <v>136</v>
      </c>
      <c r="E1581" s="709" t="s">
        <v>8432</v>
      </c>
      <c r="F1581" s="716">
        <v>238.12</v>
      </c>
      <c r="G1581" s="716">
        <v>324.68</v>
      </c>
      <c r="H1581" s="225">
        <f t="shared" si="24"/>
        <v>238.12</v>
      </c>
    </row>
    <row r="1582" spans="1:8" x14ac:dyDescent="0.3">
      <c r="A1582" s="401"/>
      <c r="B1582" s="709">
        <v>1804</v>
      </c>
      <c r="C1582" s="710" t="s">
        <v>9959</v>
      </c>
      <c r="D1582" s="709" t="s">
        <v>136</v>
      </c>
      <c r="E1582" s="709" t="s">
        <v>8432</v>
      </c>
      <c r="F1582" s="716">
        <v>17.47</v>
      </c>
      <c r="G1582" s="716">
        <v>23.82</v>
      </c>
      <c r="H1582" s="225">
        <f t="shared" si="24"/>
        <v>17.47</v>
      </c>
    </row>
    <row r="1583" spans="1:8" x14ac:dyDescent="0.3">
      <c r="A1583" s="401"/>
      <c r="B1583" s="709">
        <v>1808</v>
      </c>
      <c r="C1583" s="710" t="s">
        <v>9960</v>
      </c>
      <c r="D1583" s="709" t="s">
        <v>136</v>
      </c>
      <c r="E1583" s="709" t="s">
        <v>8432</v>
      </c>
      <c r="F1583" s="716">
        <v>477.38</v>
      </c>
      <c r="G1583" s="716">
        <v>650.91999999999996</v>
      </c>
      <c r="H1583" s="225">
        <f t="shared" si="24"/>
        <v>477.38</v>
      </c>
    </row>
    <row r="1584" spans="1:8" x14ac:dyDescent="0.3">
      <c r="A1584" s="401"/>
      <c r="B1584" s="709">
        <v>40385</v>
      </c>
      <c r="C1584" s="710" t="s">
        <v>9961</v>
      </c>
      <c r="D1584" s="709" t="s">
        <v>136</v>
      </c>
      <c r="E1584" s="709" t="s">
        <v>8432</v>
      </c>
      <c r="F1584" s="716">
        <v>123.74</v>
      </c>
      <c r="G1584" s="716">
        <v>89.73</v>
      </c>
      <c r="H1584" s="225">
        <f t="shared" si="24"/>
        <v>123.74</v>
      </c>
    </row>
    <row r="1585" spans="1:8" x14ac:dyDescent="0.3">
      <c r="A1585" s="401"/>
      <c r="B1585" s="709">
        <v>40383</v>
      </c>
      <c r="C1585" s="710" t="s">
        <v>9962</v>
      </c>
      <c r="D1585" s="709" t="s">
        <v>136</v>
      </c>
      <c r="E1585" s="709" t="s">
        <v>8432</v>
      </c>
      <c r="F1585" s="716">
        <v>84.72</v>
      </c>
      <c r="G1585" s="716">
        <v>61.43</v>
      </c>
      <c r="H1585" s="225">
        <f t="shared" si="24"/>
        <v>84.72</v>
      </c>
    </row>
    <row r="1586" spans="1:8" x14ac:dyDescent="0.3">
      <c r="A1586" s="401"/>
      <c r="B1586" s="709">
        <v>40382</v>
      </c>
      <c r="C1586" s="710" t="s">
        <v>9963</v>
      </c>
      <c r="D1586" s="709" t="s">
        <v>136</v>
      </c>
      <c r="E1586" s="709" t="s">
        <v>8432</v>
      </c>
      <c r="F1586" s="716">
        <v>55.43</v>
      </c>
      <c r="G1586" s="716">
        <v>40.19</v>
      </c>
      <c r="H1586" s="225">
        <f t="shared" si="24"/>
        <v>55.43</v>
      </c>
    </row>
    <row r="1587" spans="1:8" x14ac:dyDescent="0.3">
      <c r="A1587" s="401"/>
      <c r="B1587" s="709">
        <v>40378</v>
      </c>
      <c r="C1587" s="710" t="s">
        <v>9964</v>
      </c>
      <c r="D1587" s="709" t="s">
        <v>136</v>
      </c>
      <c r="E1587" s="709" t="s">
        <v>8432</v>
      </c>
      <c r="F1587" s="716">
        <v>29.29</v>
      </c>
      <c r="G1587" s="716">
        <v>21.24</v>
      </c>
      <c r="H1587" s="225">
        <f t="shared" si="24"/>
        <v>29.29</v>
      </c>
    </row>
    <row r="1588" spans="1:8" x14ac:dyDescent="0.3">
      <c r="A1588" s="401"/>
      <c r="B1588" s="709">
        <v>40422</v>
      </c>
      <c r="C1588" s="710" t="s">
        <v>9965</v>
      </c>
      <c r="D1588" s="709" t="s">
        <v>136</v>
      </c>
      <c r="E1588" s="709" t="s">
        <v>8432</v>
      </c>
      <c r="F1588" s="716">
        <v>377.58</v>
      </c>
      <c r="G1588" s="716">
        <v>273.8</v>
      </c>
      <c r="H1588" s="225">
        <f t="shared" si="24"/>
        <v>377.58</v>
      </c>
    </row>
    <row r="1589" spans="1:8" x14ac:dyDescent="0.3">
      <c r="A1589" s="401"/>
      <c r="B1589" s="709">
        <v>40387</v>
      </c>
      <c r="C1589" s="710" t="s">
        <v>9966</v>
      </c>
      <c r="D1589" s="709" t="s">
        <v>136</v>
      </c>
      <c r="E1589" s="709" t="s">
        <v>8432</v>
      </c>
      <c r="F1589" s="716">
        <v>192.25</v>
      </c>
      <c r="G1589" s="716">
        <v>139.41</v>
      </c>
      <c r="H1589" s="225">
        <f t="shared" si="24"/>
        <v>192.25</v>
      </c>
    </row>
    <row r="1590" spans="1:8" x14ac:dyDescent="0.3">
      <c r="A1590" s="401"/>
      <c r="B1590" s="709">
        <v>40390</v>
      </c>
      <c r="C1590" s="710" t="s">
        <v>9967</v>
      </c>
      <c r="D1590" s="709" t="s">
        <v>136</v>
      </c>
      <c r="E1590" s="709" t="s">
        <v>8432</v>
      </c>
      <c r="F1590" s="716">
        <v>795.22</v>
      </c>
      <c r="G1590" s="716">
        <v>576.65</v>
      </c>
      <c r="H1590" s="225">
        <f t="shared" si="24"/>
        <v>795.22</v>
      </c>
    </row>
    <row r="1591" spans="1:8" x14ac:dyDescent="0.3">
      <c r="A1591" s="401"/>
      <c r="B1591" s="709">
        <v>40380</v>
      </c>
      <c r="C1591" s="710" t="s">
        <v>9968</v>
      </c>
      <c r="D1591" s="709" t="s">
        <v>136</v>
      </c>
      <c r="E1591" s="709" t="s">
        <v>8432</v>
      </c>
      <c r="F1591" s="716">
        <v>39.049999999999997</v>
      </c>
      <c r="G1591" s="716">
        <v>28.32</v>
      </c>
      <c r="H1591" s="225">
        <f t="shared" si="24"/>
        <v>39.049999999999997</v>
      </c>
    </row>
    <row r="1592" spans="1:8" x14ac:dyDescent="0.3">
      <c r="A1592" s="401"/>
      <c r="B1592" s="709">
        <v>2621</v>
      </c>
      <c r="C1592" s="710" t="s">
        <v>9969</v>
      </c>
      <c r="D1592" s="709" t="s">
        <v>136</v>
      </c>
      <c r="E1592" s="709" t="s">
        <v>8432</v>
      </c>
      <c r="F1592" s="716">
        <v>196.45</v>
      </c>
      <c r="G1592" s="716">
        <v>144.69999999999999</v>
      </c>
      <c r="H1592" s="225">
        <f t="shared" si="24"/>
        <v>196.45</v>
      </c>
    </row>
    <row r="1593" spans="1:8" x14ac:dyDescent="0.3">
      <c r="A1593" s="401"/>
      <c r="B1593" s="709">
        <v>2616</v>
      </c>
      <c r="C1593" s="710" t="s">
        <v>9970</v>
      </c>
      <c r="D1593" s="709" t="s">
        <v>136</v>
      </c>
      <c r="E1593" s="709" t="s">
        <v>8432</v>
      </c>
      <c r="F1593" s="716">
        <v>5.56</v>
      </c>
      <c r="G1593" s="716">
        <v>4.09</v>
      </c>
      <c r="H1593" s="225">
        <f t="shared" si="24"/>
        <v>5.56</v>
      </c>
    </row>
    <row r="1594" spans="1:8" x14ac:dyDescent="0.3">
      <c r="A1594" s="401"/>
      <c r="B1594" s="709">
        <v>2633</v>
      </c>
      <c r="C1594" s="710" t="s">
        <v>9971</v>
      </c>
      <c r="D1594" s="709" t="s">
        <v>136</v>
      </c>
      <c r="E1594" s="709" t="s">
        <v>8432</v>
      </c>
      <c r="F1594" s="716">
        <v>6.29</v>
      </c>
      <c r="G1594" s="716">
        <v>4.63</v>
      </c>
      <c r="H1594" s="225">
        <f t="shared" si="24"/>
        <v>6.29</v>
      </c>
    </row>
    <row r="1595" spans="1:8" x14ac:dyDescent="0.3">
      <c r="A1595" s="401"/>
      <c r="B1595" s="709">
        <v>2617</v>
      </c>
      <c r="C1595" s="710" t="s">
        <v>9972</v>
      </c>
      <c r="D1595" s="709" t="s">
        <v>136</v>
      </c>
      <c r="E1595" s="709" t="s">
        <v>8432</v>
      </c>
      <c r="F1595" s="716">
        <v>8.5500000000000007</v>
      </c>
      <c r="G1595" s="716">
        <v>6.29</v>
      </c>
      <c r="H1595" s="225">
        <f t="shared" si="24"/>
        <v>8.5500000000000007</v>
      </c>
    </row>
    <row r="1596" spans="1:8" x14ac:dyDescent="0.3">
      <c r="A1596" s="401"/>
      <c r="B1596" s="709">
        <v>2618</v>
      </c>
      <c r="C1596" s="710" t="s">
        <v>9973</v>
      </c>
      <c r="D1596" s="709" t="s">
        <v>136</v>
      </c>
      <c r="E1596" s="709" t="s">
        <v>8432</v>
      </c>
      <c r="F1596" s="716">
        <v>19.46</v>
      </c>
      <c r="G1596" s="716">
        <v>14.33</v>
      </c>
      <c r="H1596" s="225">
        <f t="shared" si="24"/>
        <v>19.46</v>
      </c>
    </row>
    <row r="1597" spans="1:8" x14ac:dyDescent="0.3">
      <c r="A1597" s="401"/>
      <c r="B1597" s="709">
        <v>2632</v>
      </c>
      <c r="C1597" s="710" t="s">
        <v>9974</v>
      </c>
      <c r="D1597" s="709" t="s">
        <v>136</v>
      </c>
      <c r="E1597" s="709" t="s">
        <v>8432</v>
      </c>
      <c r="F1597" s="716">
        <v>23.73</v>
      </c>
      <c r="G1597" s="716">
        <v>17.48</v>
      </c>
      <c r="H1597" s="225">
        <f t="shared" si="24"/>
        <v>23.73</v>
      </c>
    </row>
    <row r="1598" spans="1:8" x14ac:dyDescent="0.3">
      <c r="A1598" s="401"/>
      <c r="B1598" s="709">
        <v>2631</v>
      </c>
      <c r="C1598" s="710" t="s">
        <v>9975</v>
      </c>
      <c r="D1598" s="709" t="s">
        <v>136</v>
      </c>
      <c r="E1598" s="709" t="s">
        <v>8432</v>
      </c>
      <c r="F1598" s="716">
        <v>34.840000000000003</v>
      </c>
      <c r="G1598" s="716">
        <v>25.66</v>
      </c>
      <c r="H1598" s="225">
        <f t="shared" si="24"/>
        <v>34.840000000000003</v>
      </c>
    </row>
    <row r="1599" spans="1:8" x14ac:dyDescent="0.3">
      <c r="A1599" s="401"/>
      <c r="B1599" s="709">
        <v>2619</v>
      </c>
      <c r="C1599" s="710" t="s">
        <v>9976</v>
      </c>
      <c r="D1599" s="709" t="s">
        <v>136</v>
      </c>
      <c r="E1599" s="709" t="s">
        <v>8432</v>
      </c>
      <c r="F1599" s="716">
        <v>88.23</v>
      </c>
      <c r="G1599" s="716">
        <v>64.989999999999995</v>
      </c>
      <c r="H1599" s="225">
        <f t="shared" si="24"/>
        <v>88.23</v>
      </c>
    </row>
    <row r="1600" spans="1:8" x14ac:dyDescent="0.3">
      <c r="A1600" s="401"/>
      <c r="B1600" s="709">
        <v>2620</v>
      </c>
      <c r="C1600" s="710" t="s">
        <v>9977</v>
      </c>
      <c r="D1600" s="709" t="s">
        <v>136</v>
      </c>
      <c r="E1600" s="709" t="s">
        <v>8432</v>
      </c>
      <c r="F1600" s="716">
        <v>115.83</v>
      </c>
      <c r="G1600" s="716">
        <v>85.32</v>
      </c>
      <c r="H1600" s="225">
        <f t="shared" si="24"/>
        <v>115.83</v>
      </c>
    </row>
    <row r="1601" spans="1:8" x14ac:dyDescent="0.3">
      <c r="A1601" s="401"/>
      <c r="B1601" s="709">
        <v>40413</v>
      </c>
      <c r="C1601" s="710" t="s">
        <v>9978</v>
      </c>
      <c r="D1601" s="709" t="s">
        <v>136</v>
      </c>
      <c r="E1601" s="709" t="s">
        <v>8432</v>
      </c>
      <c r="F1601" s="716"/>
      <c r="G1601" s="716">
        <v>21.74</v>
      </c>
      <c r="H1601" s="225">
        <f t="shared" si="24"/>
        <v>21.74</v>
      </c>
    </row>
    <row r="1602" spans="1:8" x14ac:dyDescent="0.3">
      <c r="A1602" s="401"/>
      <c r="B1602" s="709">
        <v>40415</v>
      </c>
      <c r="C1602" s="710" t="s">
        <v>9979</v>
      </c>
      <c r="D1602" s="709" t="s">
        <v>136</v>
      </c>
      <c r="E1602" s="709" t="s">
        <v>8432</v>
      </c>
      <c r="F1602" s="716"/>
      <c r="G1602" s="716">
        <v>30.98</v>
      </c>
      <c r="H1602" s="225">
        <f t="shared" si="24"/>
        <v>30.98</v>
      </c>
    </row>
    <row r="1603" spans="1:8" x14ac:dyDescent="0.3">
      <c r="A1603" s="401"/>
      <c r="B1603" s="709">
        <v>40417</v>
      </c>
      <c r="C1603" s="710" t="s">
        <v>9980</v>
      </c>
      <c r="D1603" s="709" t="s">
        <v>136</v>
      </c>
      <c r="E1603" s="709" t="s">
        <v>8432</v>
      </c>
      <c r="F1603" s="716"/>
      <c r="G1603" s="716">
        <v>36.549999999999997</v>
      </c>
      <c r="H1603" s="225">
        <f t="shared" si="24"/>
        <v>36.549999999999997</v>
      </c>
    </row>
    <row r="1604" spans="1:8" x14ac:dyDescent="0.3">
      <c r="A1604" s="401"/>
      <c r="B1604" s="709">
        <v>39273</v>
      </c>
      <c r="C1604" s="710" t="s">
        <v>9981</v>
      </c>
      <c r="D1604" s="709" t="s">
        <v>136</v>
      </c>
      <c r="E1604" s="709" t="s">
        <v>8432</v>
      </c>
      <c r="F1604" s="716">
        <v>4.58</v>
      </c>
      <c r="G1604" s="716">
        <v>3.02</v>
      </c>
      <c r="H1604" s="225">
        <f t="shared" si="24"/>
        <v>4.58</v>
      </c>
    </row>
    <row r="1605" spans="1:8" x14ac:dyDescent="0.3">
      <c r="A1605" s="401"/>
      <c r="B1605" s="709">
        <v>39271</v>
      </c>
      <c r="C1605" s="710" t="s">
        <v>9982</v>
      </c>
      <c r="D1605" s="709" t="s">
        <v>136</v>
      </c>
      <c r="E1605" s="709" t="s">
        <v>8432</v>
      </c>
      <c r="F1605" s="716">
        <v>2.7</v>
      </c>
      <c r="G1605" s="716">
        <v>1.77</v>
      </c>
      <c r="H1605" s="225">
        <f t="shared" si="24"/>
        <v>2.7</v>
      </c>
    </row>
    <row r="1606" spans="1:8" x14ac:dyDescent="0.3">
      <c r="A1606" s="401"/>
      <c r="B1606" s="709">
        <v>39272</v>
      </c>
      <c r="C1606" s="710" t="s">
        <v>9983</v>
      </c>
      <c r="D1606" s="709" t="s">
        <v>136</v>
      </c>
      <c r="E1606" s="709" t="s">
        <v>8432</v>
      </c>
      <c r="F1606" s="716">
        <v>3.31</v>
      </c>
      <c r="G1606" s="716">
        <v>2.1800000000000002</v>
      </c>
      <c r="H1606" s="225">
        <f t="shared" si="24"/>
        <v>3.31</v>
      </c>
    </row>
    <row r="1607" spans="1:8" x14ac:dyDescent="0.3">
      <c r="A1607" s="401"/>
      <c r="B1607" s="709">
        <v>1875</v>
      </c>
      <c r="C1607" s="710" t="s">
        <v>9984</v>
      </c>
      <c r="D1607" s="709" t="s">
        <v>136</v>
      </c>
      <c r="E1607" s="709" t="s">
        <v>8432</v>
      </c>
      <c r="F1607" s="716">
        <v>7.32</v>
      </c>
      <c r="G1607" s="716">
        <v>4.82</v>
      </c>
      <c r="H1607" s="225">
        <f t="shared" si="24"/>
        <v>7.32</v>
      </c>
    </row>
    <row r="1608" spans="1:8" x14ac:dyDescent="0.3">
      <c r="A1608" s="401"/>
      <c r="B1608" s="709">
        <v>1874</v>
      </c>
      <c r="C1608" s="710" t="s">
        <v>9985</v>
      </c>
      <c r="D1608" s="709" t="s">
        <v>136</v>
      </c>
      <c r="E1608" s="709" t="s">
        <v>8432</v>
      </c>
      <c r="F1608" s="716">
        <v>6.04</v>
      </c>
      <c r="G1608" s="716">
        <v>3.98</v>
      </c>
      <c r="H1608" s="225">
        <f t="shared" si="24"/>
        <v>6.04</v>
      </c>
    </row>
    <row r="1609" spans="1:8" x14ac:dyDescent="0.3">
      <c r="A1609" s="401"/>
      <c r="B1609" s="709">
        <v>1884</v>
      </c>
      <c r="C1609" s="710" t="s">
        <v>9986</v>
      </c>
      <c r="D1609" s="709" t="s">
        <v>136</v>
      </c>
      <c r="E1609" s="709" t="s">
        <v>8432</v>
      </c>
      <c r="F1609" s="716">
        <v>5.36</v>
      </c>
      <c r="G1609" s="716">
        <v>3.53</v>
      </c>
      <c r="H1609" s="225">
        <f t="shared" si="24"/>
        <v>5.36</v>
      </c>
    </row>
    <row r="1610" spans="1:8" x14ac:dyDescent="0.3">
      <c r="A1610" s="401"/>
      <c r="B1610" s="709">
        <v>1870</v>
      </c>
      <c r="C1610" s="710" t="s">
        <v>9987</v>
      </c>
      <c r="D1610" s="709" t="s">
        <v>136</v>
      </c>
      <c r="E1610" s="709" t="s">
        <v>8438</v>
      </c>
      <c r="F1610" s="716">
        <v>3.49</v>
      </c>
      <c r="G1610" s="716">
        <v>2.2999999999999998</v>
      </c>
      <c r="H1610" s="225">
        <f t="shared" si="24"/>
        <v>3.49</v>
      </c>
    </row>
    <row r="1611" spans="1:8" x14ac:dyDescent="0.3">
      <c r="A1611" s="401"/>
      <c r="B1611" s="709">
        <v>1887</v>
      </c>
      <c r="C1611" s="710" t="s">
        <v>9988</v>
      </c>
      <c r="D1611" s="709" t="s">
        <v>136</v>
      </c>
      <c r="E1611" s="709" t="s">
        <v>8432</v>
      </c>
      <c r="F1611" s="716">
        <v>30.34</v>
      </c>
      <c r="G1611" s="716">
        <v>20</v>
      </c>
      <c r="H1611" s="225">
        <f t="shared" ref="H1611:H1674" si="25">IF(F1611&gt;0,F1611,G1611)</f>
        <v>30.34</v>
      </c>
    </row>
    <row r="1612" spans="1:8" x14ac:dyDescent="0.3">
      <c r="A1612" s="401"/>
      <c r="B1612" s="709">
        <v>1876</v>
      </c>
      <c r="C1612" s="710" t="s">
        <v>9989</v>
      </c>
      <c r="D1612" s="709" t="s">
        <v>136</v>
      </c>
      <c r="E1612" s="709" t="s">
        <v>8432</v>
      </c>
      <c r="F1612" s="716">
        <v>11.89</v>
      </c>
      <c r="G1612" s="716">
        <v>7.84</v>
      </c>
      <c r="H1612" s="225">
        <f t="shared" si="25"/>
        <v>11.89</v>
      </c>
    </row>
    <row r="1613" spans="1:8" x14ac:dyDescent="0.3">
      <c r="A1613" s="401"/>
      <c r="B1613" s="709">
        <v>1877</v>
      </c>
      <c r="C1613" s="710" t="s">
        <v>9990</v>
      </c>
      <c r="D1613" s="709" t="s">
        <v>136</v>
      </c>
      <c r="E1613" s="709" t="s">
        <v>8432</v>
      </c>
      <c r="F1613" s="716">
        <v>30.38</v>
      </c>
      <c r="G1613" s="716">
        <v>20.02</v>
      </c>
      <c r="H1613" s="225">
        <f t="shared" si="25"/>
        <v>30.38</v>
      </c>
    </row>
    <row r="1614" spans="1:8" x14ac:dyDescent="0.3">
      <c r="A1614" s="401"/>
      <c r="B1614" s="709">
        <v>1879</v>
      </c>
      <c r="C1614" s="710" t="s">
        <v>9991</v>
      </c>
      <c r="D1614" s="709" t="s">
        <v>136</v>
      </c>
      <c r="E1614" s="709" t="s">
        <v>8432</v>
      </c>
      <c r="F1614" s="716">
        <v>3.54</v>
      </c>
      <c r="G1614" s="716">
        <v>2.33</v>
      </c>
      <c r="H1614" s="225">
        <f t="shared" si="25"/>
        <v>3.54</v>
      </c>
    </row>
    <row r="1615" spans="1:8" x14ac:dyDescent="0.3">
      <c r="A1615" s="401"/>
      <c r="B1615" s="709">
        <v>1878</v>
      </c>
      <c r="C1615" s="710" t="s">
        <v>9992</v>
      </c>
      <c r="D1615" s="709" t="s">
        <v>136</v>
      </c>
      <c r="E1615" s="709" t="s">
        <v>8432</v>
      </c>
      <c r="F1615" s="716">
        <v>61.04</v>
      </c>
      <c r="G1615" s="716">
        <v>40.229999999999997</v>
      </c>
      <c r="H1615" s="225">
        <f t="shared" si="25"/>
        <v>61.04</v>
      </c>
    </row>
    <row r="1616" spans="1:8" x14ac:dyDescent="0.3">
      <c r="A1616" s="401"/>
      <c r="B1616" s="709">
        <v>37971</v>
      </c>
      <c r="C1616" s="710" t="s">
        <v>9993</v>
      </c>
      <c r="D1616" s="709" t="s">
        <v>136</v>
      </c>
      <c r="E1616" s="709" t="s">
        <v>8432</v>
      </c>
      <c r="F1616" s="716">
        <v>7.28</v>
      </c>
      <c r="G1616" s="716">
        <v>5.32</v>
      </c>
      <c r="H1616" s="225">
        <f t="shared" si="25"/>
        <v>7.28</v>
      </c>
    </row>
    <row r="1617" spans="1:8" x14ac:dyDescent="0.3">
      <c r="A1617" s="401"/>
      <c r="B1617" s="709">
        <v>37972</v>
      </c>
      <c r="C1617" s="710" t="s">
        <v>9994</v>
      </c>
      <c r="D1617" s="709" t="s">
        <v>136</v>
      </c>
      <c r="E1617" s="709" t="s">
        <v>8432</v>
      </c>
      <c r="F1617" s="716">
        <v>10.32</v>
      </c>
      <c r="G1617" s="716">
        <v>7.55</v>
      </c>
      <c r="H1617" s="225">
        <f t="shared" si="25"/>
        <v>10.32</v>
      </c>
    </row>
    <row r="1618" spans="1:8" x14ac:dyDescent="0.3">
      <c r="A1618" s="401"/>
      <c r="B1618" s="709">
        <v>37973</v>
      </c>
      <c r="C1618" s="710" t="s">
        <v>9995</v>
      </c>
      <c r="D1618" s="709" t="s">
        <v>136</v>
      </c>
      <c r="E1618" s="709" t="s">
        <v>8432</v>
      </c>
      <c r="F1618" s="716">
        <v>19.399999999999999</v>
      </c>
      <c r="G1618" s="716">
        <v>14.18</v>
      </c>
      <c r="H1618" s="225">
        <f t="shared" si="25"/>
        <v>19.399999999999999</v>
      </c>
    </row>
    <row r="1619" spans="1:8" x14ac:dyDescent="0.3">
      <c r="A1619" s="401"/>
      <c r="B1619" s="709">
        <v>1926</v>
      </c>
      <c r="C1619" s="710" t="s">
        <v>9996</v>
      </c>
      <c r="D1619" s="709" t="s">
        <v>136</v>
      </c>
      <c r="E1619" s="709" t="s">
        <v>8432</v>
      </c>
      <c r="F1619" s="716">
        <v>2.7</v>
      </c>
      <c r="G1619" s="716">
        <v>2.75</v>
      </c>
      <c r="H1619" s="225">
        <f t="shared" si="25"/>
        <v>2.7</v>
      </c>
    </row>
    <row r="1620" spans="1:8" x14ac:dyDescent="0.3">
      <c r="A1620" s="401"/>
      <c r="B1620" s="709">
        <v>1927</v>
      </c>
      <c r="C1620" s="710" t="s">
        <v>9997</v>
      </c>
      <c r="D1620" s="709" t="s">
        <v>136</v>
      </c>
      <c r="E1620" s="709" t="s">
        <v>8432</v>
      </c>
      <c r="F1620" s="716">
        <v>3.02</v>
      </c>
      <c r="G1620" s="716">
        <v>3.08</v>
      </c>
      <c r="H1620" s="225">
        <f t="shared" si="25"/>
        <v>3.02</v>
      </c>
    </row>
    <row r="1621" spans="1:8" x14ac:dyDescent="0.3">
      <c r="A1621" s="401"/>
      <c r="B1621" s="709">
        <v>1923</v>
      </c>
      <c r="C1621" s="710" t="s">
        <v>9998</v>
      </c>
      <c r="D1621" s="709" t="s">
        <v>136</v>
      </c>
      <c r="E1621" s="709" t="s">
        <v>8432</v>
      </c>
      <c r="F1621" s="716">
        <v>5.51</v>
      </c>
      <c r="G1621" s="716">
        <v>5.62</v>
      </c>
      <c r="H1621" s="225">
        <f t="shared" si="25"/>
        <v>5.51</v>
      </c>
    </row>
    <row r="1622" spans="1:8" x14ac:dyDescent="0.3">
      <c r="A1622" s="401"/>
      <c r="B1622" s="709">
        <v>1929</v>
      </c>
      <c r="C1622" s="710" t="s">
        <v>9999</v>
      </c>
      <c r="D1622" s="709" t="s">
        <v>136</v>
      </c>
      <c r="E1622" s="709" t="s">
        <v>8432</v>
      </c>
      <c r="F1622" s="716">
        <v>6.68</v>
      </c>
      <c r="G1622" s="716">
        <v>6.81</v>
      </c>
      <c r="H1622" s="225">
        <f t="shared" si="25"/>
        <v>6.68</v>
      </c>
    </row>
    <row r="1623" spans="1:8" x14ac:dyDescent="0.3">
      <c r="A1623" s="401"/>
      <c r="B1623" s="709">
        <v>1930</v>
      </c>
      <c r="C1623" s="710" t="s">
        <v>10000</v>
      </c>
      <c r="D1623" s="709" t="s">
        <v>136</v>
      </c>
      <c r="E1623" s="709" t="s">
        <v>8432</v>
      </c>
      <c r="F1623" s="716">
        <v>11.43</v>
      </c>
      <c r="G1623" s="716">
        <v>11.66</v>
      </c>
      <c r="H1623" s="225">
        <f t="shared" si="25"/>
        <v>11.43</v>
      </c>
    </row>
    <row r="1624" spans="1:8" x14ac:dyDescent="0.3">
      <c r="A1624" s="401"/>
      <c r="B1624" s="709">
        <v>1924</v>
      </c>
      <c r="C1624" s="710" t="s">
        <v>10001</v>
      </c>
      <c r="D1624" s="709" t="s">
        <v>136</v>
      </c>
      <c r="E1624" s="709" t="s">
        <v>8432</v>
      </c>
      <c r="F1624" s="716">
        <v>18.45</v>
      </c>
      <c r="G1624" s="716">
        <v>18.809999999999999</v>
      </c>
      <c r="H1624" s="225">
        <f t="shared" si="25"/>
        <v>18.45</v>
      </c>
    </row>
    <row r="1625" spans="1:8" x14ac:dyDescent="0.3">
      <c r="A1625" s="401"/>
      <c r="B1625" s="709">
        <v>1922</v>
      </c>
      <c r="C1625" s="710" t="s">
        <v>10002</v>
      </c>
      <c r="D1625" s="709" t="s">
        <v>136</v>
      </c>
      <c r="E1625" s="709" t="s">
        <v>8432</v>
      </c>
      <c r="F1625" s="716">
        <v>38.159999999999997</v>
      </c>
      <c r="G1625" s="716">
        <v>38.909999999999997</v>
      </c>
      <c r="H1625" s="225">
        <f t="shared" si="25"/>
        <v>38.159999999999997</v>
      </c>
    </row>
    <row r="1626" spans="1:8" x14ac:dyDescent="0.3">
      <c r="A1626" s="401"/>
      <c r="B1626" s="709">
        <v>1953</v>
      </c>
      <c r="C1626" s="710" t="s">
        <v>10003</v>
      </c>
      <c r="D1626" s="709" t="s">
        <v>136</v>
      </c>
      <c r="E1626" s="709" t="s">
        <v>8432</v>
      </c>
      <c r="F1626" s="716">
        <v>46.59</v>
      </c>
      <c r="G1626" s="716">
        <v>47.5</v>
      </c>
      <c r="H1626" s="225">
        <f t="shared" si="25"/>
        <v>46.59</v>
      </c>
    </row>
    <row r="1627" spans="1:8" x14ac:dyDescent="0.3">
      <c r="A1627" s="401"/>
      <c r="B1627" s="709">
        <v>1962</v>
      </c>
      <c r="C1627" s="710" t="s">
        <v>10004</v>
      </c>
      <c r="D1627" s="709" t="s">
        <v>136</v>
      </c>
      <c r="E1627" s="709" t="s">
        <v>8432</v>
      </c>
      <c r="F1627" s="716">
        <v>226.33</v>
      </c>
      <c r="G1627" s="716">
        <v>230.75</v>
      </c>
      <c r="H1627" s="225">
        <f t="shared" si="25"/>
        <v>226.33</v>
      </c>
    </row>
    <row r="1628" spans="1:8" x14ac:dyDescent="0.3">
      <c r="A1628" s="401"/>
      <c r="B1628" s="709">
        <v>1955</v>
      </c>
      <c r="C1628" s="710" t="s">
        <v>10005</v>
      </c>
      <c r="D1628" s="709" t="s">
        <v>136</v>
      </c>
      <c r="E1628" s="709" t="s">
        <v>8432</v>
      </c>
      <c r="F1628" s="716">
        <v>2.6</v>
      </c>
      <c r="G1628" s="716">
        <v>2.65</v>
      </c>
      <c r="H1628" s="225">
        <f t="shared" si="25"/>
        <v>2.6</v>
      </c>
    </row>
    <row r="1629" spans="1:8" x14ac:dyDescent="0.3">
      <c r="A1629" s="401"/>
      <c r="B1629" s="709">
        <v>1956</v>
      </c>
      <c r="C1629" s="710" t="s">
        <v>10006</v>
      </c>
      <c r="D1629" s="709" t="s">
        <v>136</v>
      </c>
      <c r="E1629" s="709" t="s">
        <v>8432</v>
      </c>
      <c r="F1629" s="716">
        <v>3.68</v>
      </c>
      <c r="G1629" s="716">
        <v>3.75</v>
      </c>
      <c r="H1629" s="225">
        <f t="shared" si="25"/>
        <v>3.68</v>
      </c>
    </row>
    <row r="1630" spans="1:8" x14ac:dyDescent="0.3">
      <c r="A1630" s="401"/>
      <c r="B1630" s="709">
        <v>1957</v>
      </c>
      <c r="C1630" s="710" t="s">
        <v>10007</v>
      </c>
      <c r="D1630" s="709" t="s">
        <v>136</v>
      </c>
      <c r="E1630" s="709" t="s">
        <v>8432</v>
      </c>
      <c r="F1630" s="716">
        <v>7.96</v>
      </c>
      <c r="G1630" s="716">
        <v>8.1199999999999992</v>
      </c>
      <c r="H1630" s="225">
        <f t="shared" si="25"/>
        <v>7.96</v>
      </c>
    </row>
    <row r="1631" spans="1:8" x14ac:dyDescent="0.3">
      <c r="A1631" s="401"/>
      <c r="B1631" s="709">
        <v>1958</v>
      </c>
      <c r="C1631" s="710" t="s">
        <v>10008</v>
      </c>
      <c r="D1631" s="709" t="s">
        <v>136</v>
      </c>
      <c r="E1631" s="709" t="s">
        <v>8432</v>
      </c>
      <c r="F1631" s="716">
        <v>14.82</v>
      </c>
      <c r="G1631" s="716">
        <v>15.11</v>
      </c>
      <c r="H1631" s="225">
        <f t="shared" si="25"/>
        <v>14.82</v>
      </c>
    </row>
    <row r="1632" spans="1:8" x14ac:dyDescent="0.3">
      <c r="A1632" s="401"/>
      <c r="B1632" s="709">
        <v>1959</v>
      </c>
      <c r="C1632" s="710" t="s">
        <v>10009</v>
      </c>
      <c r="D1632" s="709" t="s">
        <v>136</v>
      </c>
      <c r="E1632" s="709" t="s">
        <v>8432</v>
      </c>
      <c r="F1632" s="716">
        <v>16.079999999999998</v>
      </c>
      <c r="G1632" s="716">
        <v>16.399999999999999</v>
      </c>
      <c r="H1632" s="225">
        <f t="shared" si="25"/>
        <v>16.079999999999998</v>
      </c>
    </row>
    <row r="1633" spans="1:8" x14ac:dyDescent="0.3">
      <c r="A1633" s="401"/>
      <c r="B1633" s="709">
        <v>1925</v>
      </c>
      <c r="C1633" s="710" t="s">
        <v>10010</v>
      </c>
      <c r="D1633" s="709" t="s">
        <v>136</v>
      </c>
      <c r="E1633" s="709" t="s">
        <v>8432</v>
      </c>
      <c r="F1633" s="716">
        <v>42.03</v>
      </c>
      <c r="G1633" s="716">
        <v>42.85</v>
      </c>
      <c r="H1633" s="225">
        <f t="shared" si="25"/>
        <v>42.03</v>
      </c>
    </row>
    <row r="1634" spans="1:8" x14ac:dyDescent="0.3">
      <c r="A1634" s="401"/>
      <c r="B1634" s="709">
        <v>1960</v>
      </c>
      <c r="C1634" s="710" t="s">
        <v>10011</v>
      </c>
      <c r="D1634" s="709" t="s">
        <v>136</v>
      </c>
      <c r="E1634" s="709" t="s">
        <v>8432</v>
      </c>
      <c r="F1634" s="716">
        <v>64.540000000000006</v>
      </c>
      <c r="G1634" s="716">
        <v>65.8</v>
      </c>
      <c r="H1634" s="225">
        <f t="shared" si="25"/>
        <v>64.540000000000006</v>
      </c>
    </row>
    <row r="1635" spans="1:8" x14ac:dyDescent="0.3">
      <c r="A1635" s="401"/>
      <c r="B1635" s="709">
        <v>1961</v>
      </c>
      <c r="C1635" s="710" t="s">
        <v>10012</v>
      </c>
      <c r="D1635" s="709" t="s">
        <v>136</v>
      </c>
      <c r="E1635" s="709" t="s">
        <v>8432</v>
      </c>
      <c r="F1635" s="716">
        <v>82.69</v>
      </c>
      <c r="G1635" s="716">
        <v>84.3</v>
      </c>
      <c r="H1635" s="225">
        <f t="shared" si="25"/>
        <v>82.69</v>
      </c>
    </row>
    <row r="1636" spans="1:8" x14ac:dyDescent="0.3">
      <c r="A1636" s="401"/>
      <c r="B1636" s="709">
        <v>38423</v>
      </c>
      <c r="C1636" s="710" t="s">
        <v>10013</v>
      </c>
      <c r="D1636" s="709" t="s">
        <v>136</v>
      </c>
      <c r="E1636" s="709" t="s">
        <v>8432</v>
      </c>
      <c r="F1636" s="716">
        <v>46.71</v>
      </c>
      <c r="G1636" s="716">
        <v>47.16</v>
      </c>
      <c r="H1636" s="225">
        <f t="shared" si="25"/>
        <v>46.71</v>
      </c>
    </row>
    <row r="1637" spans="1:8" x14ac:dyDescent="0.3">
      <c r="A1637" s="401"/>
      <c r="B1637" s="709">
        <v>39866</v>
      </c>
      <c r="C1637" s="710" t="s">
        <v>10014</v>
      </c>
      <c r="D1637" s="709" t="s">
        <v>136</v>
      </c>
      <c r="E1637" s="709" t="s">
        <v>8432</v>
      </c>
      <c r="F1637" s="716"/>
      <c r="G1637" s="716">
        <v>25.14</v>
      </c>
      <c r="H1637" s="225">
        <f t="shared" si="25"/>
        <v>25.14</v>
      </c>
    </row>
    <row r="1638" spans="1:8" x14ac:dyDescent="0.3">
      <c r="A1638" s="401"/>
      <c r="B1638" s="709">
        <v>39867</v>
      </c>
      <c r="C1638" s="710" t="s">
        <v>10015</v>
      </c>
      <c r="D1638" s="709" t="s">
        <v>136</v>
      </c>
      <c r="E1638" s="709" t="s">
        <v>8432</v>
      </c>
      <c r="F1638" s="716"/>
      <c r="G1638" s="716">
        <v>55.88</v>
      </c>
      <c r="H1638" s="225">
        <f t="shared" si="25"/>
        <v>55.88</v>
      </c>
    </row>
    <row r="1639" spans="1:8" x14ac:dyDescent="0.3">
      <c r="A1639" s="401"/>
      <c r="B1639" s="709">
        <v>39868</v>
      </c>
      <c r="C1639" s="710" t="s">
        <v>10016</v>
      </c>
      <c r="D1639" s="709" t="s">
        <v>136</v>
      </c>
      <c r="E1639" s="709" t="s">
        <v>8432</v>
      </c>
      <c r="F1639" s="716"/>
      <c r="G1639" s="716">
        <v>100.67</v>
      </c>
      <c r="H1639" s="225">
        <f t="shared" si="25"/>
        <v>100.67</v>
      </c>
    </row>
    <row r="1640" spans="1:8" x14ac:dyDescent="0.3">
      <c r="A1640" s="401"/>
      <c r="B1640" s="709">
        <v>37999</v>
      </c>
      <c r="C1640" s="710" t="s">
        <v>10017</v>
      </c>
      <c r="D1640" s="709" t="s">
        <v>136</v>
      </c>
      <c r="E1640" s="709" t="s">
        <v>8432</v>
      </c>
      <c r="F1640" s="716">
        <v>12.27</v>
      </c>
      <c r="G1640" s="716">
        <v>8.9700000000000006</v>
      </c>
      <c r="H1640" s="225">
        <f t="shared" si="25"/>
        <v>12.27</v>
      </c>
    </row>
    <row r="1641" spans="1:8" x14ac:dyDescent="0.3">
      <c r="A1641" s="401"/>
      <c r="B1641" s="709">
        <v>38000</v>
      </c>
      <c r="C1641" s="710" t="s">
        <v>10018</v>
      </c>
      <c r="D1641" s="709" t="s">
        <v>136</v>
      </c>
      <c r="E1641" s="709" t="s">
        <v>8432</v>
      </c>
      <c r="F1641" s="716">
        <v>14.33</v>
      </c>
      <c r="G1641" s="716">
        <v>10.47</v>
      </c>
      <c r="H1641" s="225">
        <f t="shared" si="25"/>
        <v>14.33</v>
      </c>
    </row>
    <row r="1642" spans="1:8" x14ac:dyDescent="0.3">
      <c r="A1642" s="401"/>
      <c r="B1642" s="709">
        <v>38129</v>
      </c>
      <c r="C1642" s="710" t="s">
        <v>10019</v>
      </c>
      <c r="D1642" s="709" t="s">
        <v>136</v>
      </c>
      <c r="E1642" s="709" t="s">
        <v>8432</v>
      </c>
      <c r="F1642" s="716">
        <v>6.07</v>
      </c>
      <c r="G1642" s="716">
        <v>6.19</v>
      </c>
      <c r="H1642" s="225">
        <f t="shared" si="25"/>
        <v>6.07</v>
      </c>
    </row>
    <row r="1643" spans="1:8" x14ac:dyDescent="0.3">
      <c r="A1643" s="401"/>
      <c r="B1643" s="709">
        <v>38025</v>
      </c>
      <c r="C1643" s="710" t="s">
        <v>10020</v>
      </c>
      <c r="D1643" s="709" t="s">
        <v>136</v>
      </c>
      <c r="E1643" s="709" t="s">
        <v>8432</v>
      </c>
      <c r="F1643" s="716">
        <v>8.24</v>
      </c>
      <c r="G1643" s="716">
        <v>8.4</v>
      </c>
      <c r="H1643" s="225">
        <f t="shared" si="25"/>
        <v>8.24</v>
      </c>
    </row>
    <row r="1644" spans="1:8" x14ac:dyDescent="0.3">
      <c r="A1644" s="401"/>
      <c r="B1644" s="709">
        <v>38026</v>
      </c>
      <c r="C1644" s="710" t="s">
        <v>10021</v>
      </c>
      <c r="D1644" s="709" t="s">
        <v>136</v>
      </c>
      <c r="E1644" s="709" t="s">
        <v>8432</v>
      </c>
      <c r="F1644" s="716">
        <v>20.34</v>
      </c>
      <c r="G1644" s="716">
        <v>20.74</v>
      </c>
      <c r="H1644" s="225">
        <f t="shared" si="25"/>
        <v>20.34</v>
      </c>
    </row>
    <row r="1645" spans="1:8" x14ac:dyDescent="0.3">
      <c r="A1645" s="401"/>
      <c r="B1645" s="709">
        <v>43955</v>
      </c>
      <c r="C1645" s="710" t="s">
        <v>10022</v>
      </c>
      <c r="D1645" s="709" t="s">
        <v>136</v>
      </c>
      <c r="E1645" s="709" t="s">
        <v>8432</v>
      </c>
      <c r="F1645" s="716">
        <v>272.32</v>
      </c>
      <c r="G1645" s="716">
        <v>242.85</v>
      </c>
      <c r="H1645" s="225">
        <f t="shared" si="25"/>
        <v>272.32</v>
      </c>
    </row>
    <row r="1646" spans="1:8" x14ac:dyDescent="0.3">
      <c r="A1646" s="401"/>
      <c r="B1646" s="709">
        <v>43957</v>
      </c>
      <c r="C1646" s="710" t="s">
        <v>10023</v>
      </c>
      <c r="D1646" s="709" t="s">
        <v>136</v>
      </c>
      <c r="E1646" s="709" t="s">
        <v>8432</v>
      </c>
      <c r="F1646" s="716">
        <v>320.73</v>
      </c>
      <c r="G1646" s="716">
        <v>286.02999999999997</v>
      </c>
      <c r="H1646" s="225">
        <f t="shared" si="25"/>
        <v>320.73</v>
      </c>
    </row>
    <row r="1647" spans="1:8" x14ac:dyDescent="0.3">
      <c r="A1647" s="401"/>
      <c r="B1647" s="709">
        <v>43950</v>
      </c>
      <c r="C1647" s="710" t="s">
        <v>10024</v>
      </c>
      <c r="D1647" s="709" t="s">
        <v>136</v>
      </c>
      <c r="E1647" s="709" t="s">
        <v>8432</v>
      </c>
      <c r="F1647" s="716">
        <v>145.97</v>
      </c>
      <c r="G1647" s="716">
        <v>130.16999999999999</v>
      </c>
      <c r="H1647" s="225">
        <f t="shared" si="25"/>
        <v>145.97</v>
      </c>
    </row>
    <row r="1648" spans="1:8" x14ac:dyDescent="0.3">
      <c r="A1648" s="401"/>
      <c r="B1648" s="709">
        <v>43954</v>
      </c>
      <c r="C1648" s="710" t="s">
        <v>10025</v>
      </c>
      <c r="D1648" s="709" t="s">
        <v>136</v>
      </c>
      <c r="E1648" s="709" t="s">
        <v>8432</v>
      </c>
      <c r="F1648" s="716">
        <v>185.58</v>
      </c>
      <c r="G1648" s="716">
        <v>165.5</v>
      </c>
      <c r="H1648" s="225">
        <f t="shared" si="25"/>
        <v>185.58</v>
      </c>
    </row>
    <row r="1649" spans="1:8" x14ac:dyDescent="0.3">
      <c r="A1649" s="401"/>
      <c r="B1649" s="709">
        <v>43945</v>
      </c>
      <c r="C1649" s="710" t="s">
        <v>10026</v>
      </c>
      <c r="D1649" s="709" t="s">
        <v>136</v>
      </c>
      <c r="E1649" s="709" t="s">
        <v>8432</v>
      </c>
      <c r="F1649" s="716">
        <v>65.709999999999994</v>
      </c>
      <c r="G1649" s="716">
        <v>58.6</v>
      </c>
      <c r="H1649" s="225">
        <f t="shared" si="25"/>
        <v>65.709999999999994</v>
      </c>
    </row>
    <row r="1650" spans="1:8" x14ac:dyDescent="0.3">
      <c r="A1650" s="401"/>
      <c r="B1650" s="709">
        <v>43947</v>
      </c>
      <c r="C1650" s="710" t="s">
        <v>10027</v>
      </c>
      <c r="D1650" s="709" t="s">
        <v>136</v>
      </c>
      <c r="E1650" s="709" t="s">
        <v>8432</v>
      </c>
      <c r="F1650" s="716">
        <v>93.14</v>
      </c>
      <c r="G1650" s="716">
        <v>83.06</v>
      </c>
      <c r="H1650" s="225">
        <f t="shared" si="25"/>
        <v>93.14</v>
      </c>
    </row>
    <row r="1651" spans="1:8" x14ac:dyDescent="0.3">
      <c r="A1651" s="401"/>
      <c r="B1651" s="709">
        <v>43920</v>
      </c>
      <c r="C1651" s="710" t="s">
        <v>10028</v>
      </c>
      <c r="D1651" s="709" t="s">
        <v>136</v>
      </c>
      <c r="E1651" s="709" t="s">
        <v>8432</v>
      </c>
      <c r="F1651" s="716">
        <v>17.809999999999999</v>
      </c>
      <c r="G1651" s="716">
        <v>15.88</v>
      </c>
      <c r="H1651" s="225">
        <f t="shared" si="25"/>
        <v>17.809999999999999</v>
      </c>
    </row>
    <row r="1652" spans="1:8" x14ac:dyDescent="0.3">
      <c r="A1652" s="401"/>
      <c r="B1652" s="709">
        <v>43921</v>
      </c>
      <c r="C1652" s="710" t="s">
        <v>10029</v>
      </c>
      <c r="D1652" s="709" t="s">
        <v>136</v>
      </c>
      <c r="E1652" s="709" t="s">
        <v>8432</v>
      </c>
      <c r="F1652" s="716">
        <v>17.21</v>
      </c>
      <c r="G1652" s="716">
        <v>15.35</v>
      </c>
      <c r="H1652" s="225">
        <f t="shared" si="25"/>
        <v>17.21</v>
      </c>
    </row>
    <row r="1653" spans="1:8" x14ac:dyDescent="0.3">
      <c r="A1653" s="401"/>
      <c r="B1653" s="709">
        <v>43922</v>
      </c>
      <c r="C1653" s="710" t="s">
        <v>10030</v>
      </c>
      <c r="D1653" s="709" t="s">
        <v>136</v>
      </c>
      <c r="E1653" s="709" t="s">
        <v>8432</v>
      </c>
      <c r="F1653" s="716">
        <v>29.09</v>
      </c>
      <c r="G1653" s="716">
        <v>25.94</v>
      </c>
      <c r="H1653" s="225">
        <f t="shared" si="25"/>
        <v>29.09</v>
      </c>
    </row>
    <row r="1654" spans="1:8" x14ac:dyDescent="0.3">
      <c r="A1654" s="401"/>
      <c r="B1654" s="709">
        <v>43923</v>
      </c>
      <c r="C1654" s="710" t="s">
        <v>10031</v>
      </c>
      <c r="D1654" s="709" t="s">
        <v>136</v>
      </c>
      <c r="E1654" s="709" t="s">
        <v>8432</v>
      </c>
      <c r="F1654" s="716">
        <v>39.39</v>
      </c>
      <c r="G1654" s="716">
        <v>35.130000000000003</v>
      </c>
      <c r="H1654" s="225">
        <f t="shared" si="25"/>
        <v>39.39</v>
      </c>
    </row>
    <row r="1655" spans="1:8" x14ac:dyDescent="0.3">
      <c r="A1655" s="401"/>
      <c r="B1655" s="709">
        <v>43924</v>
      </c>
      <c r="C1655" s="710" t="s">
        <v>10032</v>
      </c>
      <c r="D1655" s="709" t="s">
        <v>136</v>
      </c>
      <c r="E1655" s="709" t="s">
        <v>8432</v>
      </c>
      <c r="F1655" s="716">
        <v>36.4</v>
      </c>
      <c r="G1655" s="716">
        <v>32.46</v>
      </c>
      <c r="H1655" s="225">
        <f t="shared" si="25"/>
        <v>36.4</v>
      </c>
    </row>
    <row r="1656" spans="1:8" x14ac:dyDescent="0.3">
      <c r="A1656" s="401"/>
      <c r="B1656" s="709">
        <v>43952</v>
      </c>
      <c r="C1656" s="710" t="s">
        <v>10033</v>
      </c>
      <c r="D1656" s="709" t="s">
        <v>136</v>
      </c>
      <c r="E1656" s="709" t="s">
        <v>8432</v>
      </c>
      <c r="F1656" s="716">
        <v>11.78</v>
      </c>
      <c r="G1656" s="716">
        <v>10.51</v>
      </c>
      <c r="H1656" s="225">
        <f t="shared" si="25"/>
        <v>11.78</v>
      </c>
    </row>
    <row r="1657" spans="1:8" x14ac:dyDescent="0.3">
      <c r="A1657" s="401"/>
      <c r="B1657" s="709">
        <v>43956</v>
      </c>
      <c r="C1657" s="710" t="s">
        <v>10034</v>
      </c>
      <c r="D1657" s="709" t="s">
        <v>136</v>
      </c>
      <c r="E1657" s="709" t="s">
        <v>8432</v>
      </c>
      <c r="F1657" s="716">
        <v>14.54</v>
      </c>
      <c r="G1657" s="716">
        <v>12.97</v>
      </c>
      <c r="H1657" s="225">
        <f t="shared" si="25"/>
        <v>14.54</v>
      </c>
    </row>
    <row r="1658" spans="1:8" x14ac:dyDescent="0.3">
      <c r="A1658" s="401"/>
      <c r="B1658" s="709">
        <v>1858</v>
      </c>
      <c r="C1658" s="710" t="s">
        <v>10035</v>
      </c>
      <c r="D1658" s="709" t="s">
        <v>136</v>
      </c>
      <c r="E1658" s="709" t="s">
        <v>8432</v>
      </c>
      <c r="F1658" s="716">
        <v>72.38</v>
      </c>
      <c r="G1658" s="716">
        <v>73.08</v>
      </c>
      <c r="H1658" s="225">
        <f t="shared" si="25"/>
        <v>72.38</v>
      </c>
    </row>
    <row r="1659" spans="1:8" x14ac:dyDescent="0.3">
      <c r="A1659" s="401"/>
      <c r="B1659" s="709">
        <v>1844</v>
      </c>
      <c r="C1659" s="710" t="s">
        <v>10036</v>
      </c>
      <c r="D1659" s="709" t="s">
        <v>136</v>
      </c>
      <c r="E1659" s="709" t="s">
        <v>8432</v>
      </c>
      <c r="F1659" s="716">
        <v>165.75</v>
      </c>
      <c r="G1659" s="716">
        <v>167.36</v>
      </c>
      <c r="H1659" s="225">
        <f t="shared" si="25"/>
        <v>165.75</v>
      </c>
    </row>
    <row r="1660" spans="1:8" x14ac:dyDescent="0.3">
      <c r="A1660" s="401"/>
      <c r="B1660" s="709">
        <v>1863</v>
      </c>
      <c r="C1660" s="710" t="s">
        <v>10037</v>
      </c>
      <c r="D1660" s="709" t="s">
        <v>136</v>
      </c>
      <c r="E1660" s="709" t="s">
        <v>8432</v>
      </c>
      <c r="F1660" s="716">
        <v>77.02</v>
      </c>
      <c r="G1660" s="716">
        <v>77.77</v>
      </c>
      <c r="H1660" s="225">
        <f t="shared" si="25"/>
        <v>77.02</v>
      </c>
    </row>
    <row r="1661" spans="1:8" x14ac:dyDescent="0.3">
      <c r="A1661" s="401"/>
      <c r="B1661" s="709">
        <v>1865</v>
      </c>
      <c r="C1661" s="710" t="s">
        <v>10038</v>
      </c>
      <c r="D1661" s="709" t="s">
        <v>136</v>
      </c>
      <c r="E1661" s="709" t="s">
        <v>8432</v>
      </c>
      <c r="F1661" s="716">
        <v>200.68</v>
      </c>
      <c r="G1661" s="716">
        <v>202.62</v>
      </c>
      <c r="H1661" s="225">
        <f t="shared" si="25"/>
        <v>200.68</v>
      </c>
    </row>
    <row r="1662" spans="1:8" x14ac:dyDescent="0.3">
      <c r="A1662" s="401"/>
      <c r="B1662" s="709">
        <v>36355</v>
      </c>
      <c r="C1662" s="710" t="s">
        <v>10039</v>
      </c>
      <c r="D1662" s="709" t="s">
        <v>136</v>
      </c>
      <c r="E1662" s="709" t="s">
        <v>8432</v>
      </c>
      <c r="F1662" s="716">
        <v>11.01</v>
      </c>
      <c r="G1662" s="716">
        <v>12.34</v>
      </c>
      <c r="H1662" s="225">
        <f t="shared" si="25"/>
        <v>11.01</v>
      </c>
    </row>
    <row r="1663" spans="1:8" x14ac:dyDescent="0.3">
      <c r="A1663" s="401"/>
      <c r="B1663" s="709">
        <v>36356</v>
      </c>
      <c r="C1663" s="710" t="s">
        <v>10040</v>
      </c>
      <c r="D1663" s="709" t="s">
        <v>136</v>
      </c>
      <c r="E1663" s="709" t="s">
        <v>8432</v>
      </c>
      <c r="F1663" s="716">
        <v>17.7</v>
      </c>
      <c r="G1663" s="716">
        <v>19.850000000000001</v>
      </c>
      <c r="H1663" s="225">
        <f t="shared" si="25"/>
        <v>17.7</v>
      </c>
    </row>
    <row r="1664" spans="1:8" x14ac:dyDescent="0.3">
      <c r="A1664" s="401"/>
      <c r="B1664" s="709">
        <v>1940</v>
      </c>
      <c r="C1664" s="710" t="s">
        <v>10041</v>
      </c>
      <c r="D1664" s="709" t="s">
        <v>136</v>
      </c>
      <c r="E1664" s="709" t="s">
        <v>8432</v>
      </c>
      <c r="F1664" s="716">
        <v>41.07</v>
      </c>
      <c r="G1664" s="716">
        <v>41.87</v>
      </c>
      <c r="H1664" s="225">
        <f t="shared" si="25"/>
        <v>41.07</v>
      </c>
    </row>
    <row r="1665" spans="1:8" x14ac:dyDescent="0.3">
      <c r="A1665" s="401"/>
      <c r="B1665" s="709">
        <v>1939</v>
      </c>
      <c r="C1665" s="710" t="s">
        <v>10042</v>
      </c>
      <c r="D1665" s="709" t="s">
        <v>136</v>
      </c>
      <c r="E1665" s="709" t="s">
        <v>8432</v>
      </c>
      <c r="F1665" s="716">
        <v>11.26</v>
      </c>
      <c r="G1665" s="716">
        <v>11.48</v>
      </c>
      <c r="H1665" s="225">
        <f t="shared" si="25"/>
        <v>11.26</v>
      </c>
    </row>
    <row r="1666" spans="1:8" x14ac:dyDescent="0.3">
      <c r="A1666" s="401"/>
      <c r="B1666" s="709">
        <v>1937</v>
      </c>
      <c r="C1666" s="710" t="s">
        <v>10043</v>
      </c>
      <c r="D1666" s="709" t="s">
        <v>136</v>
      </c>
      <c r="E1666" s="709" t="s">
        <v>8432</v>
      </c>
      <c r="F1666" s="716">
        <v>6.93</v>
      </c>
      <c r="G1666" s="716">
        <v>7.07</v>
      </c>
      <c r="H1666" s="225">
        <f t="shared" si="25"/>
        <v>6.93</v>
      </c>
    </row>
    <row r="1667" spans="1:8" x14ac:dyDescent="0.3">
      <c r="A1667" s="401"/>
      <c r="B1667" s="709">
        <v>1938</v>
      </c>
      <c r="C1667" s="710" t="s">
        <v>10044</v>
      </c>
      <c r="D1667" s="709" t="s">
        <v>136</v>
      </c>
      <c r="E1667" s="709" t="s">
        <v>8432</v>
      </c>
      <c r="F1667" s="716">
        <v>7.88</v>
      </c>
      <c r="G1667" s="716">
        <v>8.0299999999999994</v>
      </c>
      <c r="H1667" s="225">
        <f t="shared" si="25"/>
        <v>7.88</v>
      </c>
    </row>
    <row r="1668" spans="1:8" x14ac:dyDescent="0.3">
      <c r="A1668" s="401"/>
      <c r="B1668" s="709">
        <v>1966</v>
      </c>
      <c r="C1668" s="710" t="s">
        <v>10045</v>
      </c>
      <c r="D1668" s="709" t="s">
        <v>136</v>
      </c>
      <c r="E1668" s="709" t="s">
        <v>8432</v>
      </c>
      <c r="F1668" s="716">
        <v>30.71</v>
      </c>
      <c r="G1668" s="716">
        <v>31.01</v>
      </c>
      <c r="H1668" s="225">
        <f t="shared" si="25"/>
        <v>30.71</v>
      </c>
    </row>
    <row r="1669" spans="1:8" x14ac:dyDescent="0.3">
      <c r="A1669" s="401"/>
      <c r="B1669" s="709">
        <v>1933</v>
      </c>
      <c r="C1669" s="710" t="s">
        <v>10046</v>
      </c>
      <c r="D1669" s="709" t="s">
        <v>136</v>
      </c>
      <c r="E1669" s="709" t="s">
        <v>8432</v>
      </c>
      <c r="F1669" s="716">
        <v>6.62</v>
      </c>
      <c r="G1669" s="716">
        <v>6.68</v>
      </c>
      <c r="H1669" s="225">
        <f t="shared" si="25"/>
        <v>6.62</v>
      </c>
    </row>
    <row r="1670" spans="1:8" x14ac:dyDescent="0.3">
      <c r="A1670" s="401"/>
      <c r="B1670" s="709">
        <v>1932</v>
      </c>
      <c r="C1670" s="710" t="s">
        <v>10047</v>
      </c>
      <c r="D1670" s="709" t="s">
        <v>136</v>
      </c>
      <c r="E1670" s="709" t="s">
        <v>8432</v>
      </c>
      <c r="F1670" s="716">
        <v>15.15</v>
      </c>
      <c r="G1670" s="716">
        <v>15.29</v>
      </c>
      <c r="H1670" s="225">
        <f t="shared" si="25"/>
        <v>15.15</v>
      </c>
    </row>
    <row r="1671" spans="1:8" x14ac:dyDescent="0.3">
      <c r="A1671" s="401"/>
      <c r="B1671" s="709">
        <v>1951</v>
      </c>
      <c r="C1671" s="710" t="s">
        <v>10048</v>
      </c>
      <c r="D1671" s="709" t="s">
        <v>136</v>
      </c>
      <c r="E1671" s="709" t="s">
        <v>8432</v>
      </c>
      <c r="F1671" s="716">
        <v>31.6</v>
      </c>
      <c r="G1671" s="716">
        <v>31.91</v>
      </c>
      <c r="H1671" s="225">
        <f t="shared" si="25"/>
        <v>31.6</v>
      </c>
    </row>
    <row r="1672" spans="1:8" x14ac:dyDescent="0.3">
      <c r="A1672" s="401"/>
      <c r="B1672" s="709">
        <v>1970</v>
      </c>
      <c r="C1672" s="710" t="s">
        <v>10049</v>
      </c>
      <c r="D1672" s="709" t="s">
        <v>136</v>
      </c>
      <c r="E1672" s="709" t="s">
        <v>8432</v>
      </c>
      <c r="F1672" s="716">
        <v>76.78</v>
      </c>
      <c r="G1672" s="716">
        <v>77.52</v>
      </c>
      <c r="H1672" s="225">
        <f t="shared" si="25"/>
        <v>76.78</v>
      </c>
    </row>
    <row r="1673" spans="1:8" x14ac:dyDescent="0.3">
      <c r="A1673" s="401"/>
      <c r="B1673" s="709">
        <v>1967</v>
      </c>
      <c r="C1673" s="710" t="s">
        <v>10050</v>
      </c>
      <c r="D1673" s="709" t="s">
        <v>136</v>
      </c>
      <c r="E1673" s="709" t="s">
        <v>8432</v>
      </c>
      <c r="F1673" s="716">
        <v>9.1199999999999992</v>
      </c>
      <c r="G1673" s="716">
        <v>9.1999999999999993</v>
      </c>
      <c r="H1673" s="225">
        <f t="shared" si="25"/>
        <v>9.1199999999999992</v>
      </c>
    </row>
    <row r="1674" spans="1:8" x14ac:dyDescent="0.3">
      <c r="A1674" s="401"/>
      <c r="B1674" s="709">
        <v>1968</v>
      </c>
      <c r="C1674" s="710" t="s">
        <v>10051</v>
      </c>
      <c r="D1674" s="709" t="s">
        <v>136</v>
      </c>
      <c r="E1674" s="709" t="s">
        <v>8432</v>
      </c>
      <c r="F1674" s="716">
        <v>18.02</v>
      </c>
      <c r="G1674" s="716">
        <v>18.190000000000001</v>
      </c>
      <c r="H1674" s="225">
        <f t="shared" si="25"/>
        <v>18.02</v>
      </c>
    </row>
    <row r="1675" spans="1:8" x14ac:dyDescent="0.3">
      <c r="A1675" s="401"/>
      <c r="B1675" s="709">
        <v>1969</v>
      </c>
      <c r="C1675" s="710" t="s">
        <v>10052</v>
      </c>
      <c r="D1675" s="709" t="s">
        <v>136</v>
      </c>
      <c r="E1675" s="709" t="s">
        <v>8432</v>
      </c>
      <c r="F1675" s="716">
        <v>58.66</v>
      </c>
      <c r="G1675" s="716">
        <v>59.22</v>
      </c>
      <c r="H1675" s="225">
        <f t="shared" ref="H1675:H1738" si="26">IF(F1675&gt;0,F1675,G1675)</f>
        <v>58.66</v>
      </c>
    </row>
    <row r="1676" spans="1:8" x14ac:dyDescent="0.3">
      <c r="A1676" s="401"/>
      <c r="B1676" s="709">
        <v>1827</v>
      </c>
      <c r="C1676" s="710" t="s">
        <v>10053</v>
      </c>
      <c r="D1676" s="709" t="s">
        <v>136</v>
      </c>
      <c r="E1676" s="709" t="s">
        <v>8432</v>
      </c>
      <c r="F1676" s="716"/>
      <c r="G1676" s="716">
        <v>148.19999999999999</v>
      </c>
      <c r="H1676" s="225">
        <f t="shared" si="26"/>
        <v>148.19999999999999</v>
      </c>
    </row>
    <row r="1677" spans="1:8" x14ac:dyDescent="0.3">
      <c r="A1677" s="401"/>
      <c r="B1677" s="709">
        <v>1831</v>
      </c>
      <c r="C1677" s="710" t="s">
        <v>10054</v>
      </c>
      <c r="D1677" s="709" t="s">
        <v>136</v>
      </c>
      <c r="E1677" s="709" t="s">
        <v>8432</v>
      </c>
      <c r="F1677" s="716"/>
      <c r="G1677" s="716">
        <v>32.35</v>
      </c>
      <c r="H1677" s="225">
        <f t="shared" si="26"/>
        <v>32.35</v>
      </c>
    </row>
    <row r="1678" spans="1:8" x14ac:dyDescent="0.3">
      <c r="A1678" s="401"/>
      <c r="B1678" s="709">
        <v>1825</v>
      </c>
      <c r="C1678" s="710" t="s">
        <v>10055</v>
      </c>
      <c r="D1678" s="709" t="s">
        <v>136</v>
      </c>
      <c r="E1678" s="709" t="s">
        <v>8432</v>
      </c>
      <c r="F1678" s="716"/>
      <c r="G1678" s="716">
        <v>79.84</v>
      </c>
      <c r="H1678" s="225">
        <f t="shared" si="26"/>
        <v>79.84</v>
      </c>
    </row>
    <row r="1679" spans="1:8" x14ac:dyDescent="0.3">
      <c r="A1679" s="401"/>
      <c r="B1679" s="709">
        <v>1828</v>
      </c>
      <c r="C1679" s="710" t="s">
        <v>10056</v>
      </c>
      <c r="D1679" s="709" t="s">
        <v>136</v>
      </c>
      <c r="E1679" s="709" t="s">
        <v>8432</v>
      </c>
      <c r="F1679" s="716"/>
      <c r="G1679" s="716">
        <v>180.85</v>
      </c>
      <c r="H1679" s="225">
        <f t="shared" si="26"/>
        <v>180.85</v>
      </c>
    </row>
    <row r="1680" spans="1:8" x14ac:dyDescent="0.3">
      <c r="A1680" s="401"/>
      <c r="B1680" s="709">
        <v>1845</v>
      </c>
      <c r="C1680" s="710" t="s">
        <v>10057</v>
      </c>
      <c r="D1680" s="709" t="s">
        <v>136</v>
      </c>
      <c r="E1680" s="709" t="s">
        <v>8432</v>
      </c>
      <c r="F1680" s="716"/>
      <c r="G1680" s="716">
        <v>40.54</v>
      </c>
      <c r="H1680" s="225">
        <f t="shared" si="26"/>
        <v>40.54</v>
      </c>
    </row>
    <row r="1681" spans="1:8" x14ac:dyDescent="0.3">
      <c r="A1681" s="401"/>
      <c r="B1681" s="709">
        <v>1824</v>
      </c>
      <c r="C1681" s="710" t="s">
        <v>10058</v>
      </c>
      <c r="D1681" s="709" t="s">
        <v>136</v>
      </c>
      <c r="E1681" s="709" t="s">
        <v>8432</v>
      </c>
      <c r="F1681" s="716"/>
      <c r="G1681" s="716">
        <v>95.72</v>
      </c>
      <c r="H1681" s="225">
        <f t="shared" si="26"/>
        <v>95.72</v>
      </c>
    </row>
    <row r="1682" spans="1:8" x14ac:dyDescent="0.3">
      <c r="A1682" s="401"/>
      <c r="B1682" s="709">
        <v>42693</v>
      </c>
      <c r="C1682" s="710" t="s">
        <v>10059</v>
      </c>
      <c r="D1682" s="709" t="s">
        <v>136</v>
      </c>
      <c r="E1682" s="709" t="s">
        <v>8432</v>
      </c>
      <c r="F1682" s="716">
        <v>563.74</v>
      </c>
      <c r="G1682" s="716">
        <v>569.19000000000005</v>
      </c>
      <c r="H1682" s="225">
        <f t="shared" si="26"/>
        <v>563.74</v>
      </c>
    </row>
    <row r="1683" spans="1:8" x14ac:dyDescent="0.3">
      <c r="A1683" s="401"/>
      <c r="B1683" s="709">
        <v>42695</v>
      </c>
      <c r="C1683" s="710" t="s">
        <v>10060</v>
      </c>
      <c r="D1683" s="709" t="s">
        <v>136</v>
      </c>
      <c r="E1683" s="709" t="s">
        <v>8432</v>
      </c>
      <c r="F1683" s="716">
        <v>393.85</v>
      </c>
      <c r="G1683" s="716">
        <v>397.67</v>
      </c>
      <c r="H1683" s="225">
        <f t="shared" si="26"/>
        <v>393.85</v>
      </c>
    </row>
    <row r="1684" spans="1:8" x14ac:dyDescent="0.3">
      <c r="A1684" s="401"/>
      <c r="B1684" s="709">
        <v>42694</v>
      </c>
      <c r="C1684" s="710" t="s">
        <v>10061</v>
      </c>
      <c r="D1684" s="709" t="s">
        <v>136</v>
      </c>
      <c r="E1684" s="709" t="s">
        <v>8432</v>
      </c>
      <c r="F1684" s="716">
        <v>754.4</v>
      </c>
      <c r="G1684" s="716">
        <v>761.7</v>
      </c>
      <c r="H1684" s="225">
        <f t="shared" si="26"/>
        <v>754.4</v>
      </c>
    </row>
    <row r="1685" spans="1:8" x14ac:dyDescent="0.3">
      <c r="A1685" s="401"/>
      <c r="B1685" s="709">
        <v>20097</v>
      </c>
      <c r="C1685" s="710" t="s">
        <v>10062</v>
      </c>
      <c r="D1685" s="709" t="s">
        <v>136</v>
      </c>
      <c r="E1685" s="709" t="s">
        <v>8432</v>
      </c>
      <c r="F1685" s="716">
        <v>32.71</v>
      </c>
      <c r="G1685" s="716">
        <v>33.03</v>
      </c>
      <c r="H1685" s="225">
        <f t="shared" si="26"/>
        <v>32.71</v>
      </c>
    </row>
    <row r="1686" spans="1:8" x14ac:dyDescent="0.3">
      <c r="A1686" s="401"/>
      <c r="B1686" s="709">
        <v>20098</v>
      </c>
      <c r="C1686" s="710" t="s">
        <v>10063</v>
      </c>
      <c r="D1686" s="709" t="s">
        <v>136</v>
      </c>
      <c r="E1686" s="709" t="s">
        <v>8432</v>
      </c>
      <c r="F1686" s="716">
        <v>133.69</v>
      </c>
      <c r="G1686" s="716">
        <v>134.97999999999999</v>
      </c>
      <c r="H1686" s="225">
        <f t="shared" si="26"/>
        <v>133.69</v>
      </c>
    </row>
    <row r="1687" spans="1:8" x14ac:dyDescent="0.3">
      <c r="A1687" s="401"/>
      <c r="B1687" s="709">
        <v>20096</v>
      </c>
      <c r="C1687" s="710" t="s">
        <v>10064</v>
      </c>
      <c r="D1687" s="709" t="s">
        <v>136</v>
      </c>
      <c r="E1687" s="709" t="s">
        <v>8432</v>
      </c>
      <c r="F1687" s="716">
        <v>33.86</v>
      </c>
      <c r="G1687" s="716">
        <v>34.19</v>
      </c>
      <c r="H1687" s="225">
        <f t="shared" si="26"/>
        <v>33.86</v>
      </c>
    </row>
    <row r="1688" spans="1:8" x14ac:dyDescent="0.3">
      <c r="A1688" s="401"/>
      <c r="B1688" s="709">
        <v>44472</v>
      </c>
      <c r="C1688" s="710" t="s">
        <v>10065</v>
      </c>
      <c r="D1688" s="709" t="s">
        <v>136</v>
      </c>
      <c r="E1688" s="709" t="s">
        <v>8432</v>
      </c>
      <c r="F1688" s="716"/>
      <c r="G1688" s="716">
        <v>56.34</v>
      </c>
      <c r="H1688" s="225">
        <f t="shared" si="26"/>
        <v>56.34</v>
      </c>
    </row>
    <row r="1689" spans="1:8" x14ac:dyDescent="0.3">
      <c r="A1689" s="401"/>
      <c r="B1689" s="709">
        <v>38369</v>
      </c>
      <c r="C1689" s="710" t="s">
        <v>10066</v>
      </c>
      <c r="D1689" s="709" t="s">
        <v>136</v>
      </c>
      <c r="E1689" s="709" t="s">
        <v>8432</v>
      </c>
      <c r="F1689" s="716">
        <v>20.52</v>
      </c>
      <c r="G1689" s="716">
        <v>20.18</v>
      </c>
      <c r="H1689" s="225">
        <f t="shared" si="26"/>
        <v>20.52</v>
      </c>
    </row>
    <row r="1690" spans="1:8" x14ac:dyDescent="0.3">
      <c r="A1690" s="401"/>
      <c r="B1690" s="709">
        <v>38370</v>
      </c>
      <c r="C1690" s="710" t="s">
        <v>10067</v>
      </c>
      <c r="D1690" s="709" t="s">
        <v>136</v>
      </c>
      <c r="E1690" s="709" t="s">
        <v>8432</v>
      </c>
      <c r="F1690" s="716">
        <v>13.84</v>
      </c>
      <c r="G1690" s="716">
        <v>13.61</v>
      </c>
      <c r="H1690" s="225">
        <f t="shared" si="26"/>
        <v>13.84</v>
      </c>
    </row>
    <row r="1691" spans="1:8" x14ac:dyDescent="0.3">
      <c r="A1691" s="401"/>
      <c r="B1691" s="709">
        <v>45199</v>
      </c>
      <c r="C1691" s="710" t="s">
        <v>10068</v>
      </c>
      <c r="D1691" s="709" t="s">
        <v>136</v>
      </c>
      <c r="E1691" s="709" t="s">
        <v>8432</v>
      </c>
      <c r="F1691" s="716">
        <v>32.700000000000003</v>
      </c>
      <c r="G1691" s="716">
        <v>37.04</v>
      </c>
      <c r="H1691" s="225">
        <f t="shared" si="26"/>
        <v>32.700000000000003</v>
      </c>
    </row>
    <row r="1692" spans="1:8" x14ac:dyDescent="0.3">
      <c r="A1692" s="401"/>
      <c r="B1692" s="709">
        <v>38372</v>
      </c>
      <c r="C1692" s="710" t="s">
        <v>10069</v>
      </c>
      <c r="D1692" s="709" t="s">
        <v>136</v>
      </c>
      <c r="E1692" s="709" t="s">
        <v>8432</v>
      </c>
      <c r="F1692" s="716">
        <v>11.43</v>
      </c>
      <c r="G1692" s="716">
        <v>12.25</v>
      </c>
      <c r="H1692" s="225">
        <f t="shared" si="26"/>
        <v>11.43</v>
      </c>
    </row>
    <row r="1693" spans="1:8" x14ac:dyDescent="0.3">
      <c r="A1693" s="401"/>
      <c r="B1693" s="709">
        <v>2358</v>
      </c>
      <c r="C1693" s="710" t="s">
        <v>10070</v>
      </c>
      <c r="D1693" s="709" t="s">
        <v>234</v>
      </c>
      <c r="E1693" s="709" t="s">
        <v>8432</v>
      </c>
      <c r="F1693" s="716">
        <v>37.53</v>
      </c>
      <c r="G1693" s="716">
        <v>64.650000000000006</v>
      </c>
      <c r="H1693" s="225">
        <f t="shared" si="26"/>
        <v>37.53</v>
      </c>
    </row>
    <row r="1694" spans="1:8" x14ac:dyDescent="0.3">
      <c r="A1694" s="401"/>
      <c r="B1694" s="709">
        <v>40807</v>
      </c>
      <c r="C1694" s="710" t="s">
        <v>10071</v>
      </c>
      <c r="D1694" s="709" t="s">
        <v>208</v>
      </c>
      <c r="E1694" s="709" t="s">
        <v>8432</v>
      </c>
      <c r="F1694" s="716">
        <v>6596.89</v>
      </c>
      <c r="G1694" s="716">
        <v>11326.62</v>
      </c>
      <c r="H1694" s="225">
        <f t="shared" si="26"/>
        <v>6596.89</v>
      </c>
    </row>
    <row r="1695" spans="1:8" x14ac:dyDescent="0.3">
      <c r="A1695" s="401"/>
      <c r="B1695" s="709">
        <v>44330</v>
      </c>
      <c r="C1695" s="710" t="s">
        <v>10072</v>
      </c>
      <c r="D1695" s="709" t="s">
        <v>8120</v>
      </c>
      <c r="E1695" s="709" t="s">
        <v>8432</v>
      </c>
      <c r="F1695" s="716">
        <v>10.9</v>
      </c>
      <c r="G1695" s="716">
        <v>12.86</v>
      </c>
      <c r="H1695" s="225">
        <f t="shared" si="26"/>
        <v>10.9</v>
      </c>
    </row>
    <row r="1696" spans="1:8" x14ac:dyDescent="0.3">
      <c r="A1696" s="401"/>
      <c r="B1696" s="709">
        <v>43144</v>
      </c>
      <c r="C1696" s="710" t="s">
        <v>10073</v>
      </c>
      <c r="D1696" s="709" t="s">
        <v>175</v>
      </c>
      <c r="E1696" s="709" t="s">
        <v>8432</v>
      </c>
      <c r="F1696" s="716">
        <v>39.51</v>
      </c>
      <c r="G1696" s="716">
        <v>36.21</v>
      </c>
      <c r="H1696" s="225">
        <f t="shared" si="26"/>
        <v>39.51</v>
      </c>
    </row>
    <row r="1697" spans="1:8" x14ac:dyDescent="0.3">
      <c r="A1697" s="401"/>
      <c r="B1697" s="709">
        <v>39397</v>
      </c>
      <c r="C1697" s="710" t="s">
        <v>10074</v>
      </c>
      <c r="D1697" s="709" t="s">
        <v>8120</v>
      </c>
      <c r="E1697" s="709" t="s">
        <v>8432</v>
      </c>
      <c r="F1697" s="716">
        <v>18</v>
      </c>
      <c r="G1697" s="716">
        <v>16.5</v>
      </c>
      <c r="H1697" s="225">
        <f t="shared" si="26"/>
        <v>18</v>
      </c>
    </row>
    <row r="1698" spans="1:8" x14ac:dyDescent="0.3">
      <c r="A1698" s="401"/>
      <c r="B1698" s="709">
        <v>2692</v>
      </c>
      <c r="C1698" s="710" t="s">
        <v>10075</v>
      </c>
      <c r="D1698" s="709" t="s">
        <v>8120</v>
      </c>
      <c r="E1698" s="709" t="s">
        <v>8432</v>
      </c>
      <c r="F1698" s="716">
        <v>7.26</v>
      </c>
      <c r="G1698" s="716">
        <v>6.66</v>
      </c>
      <c r="H1698" s="225">
        <f t="shared" si="26"/>
        <v>7.26</v>
      </c>
    </row>
    <row r="1699" spans="1:8" x14ac:dyDescent="0.3">
      <c r="A1699" s="401"/>
      <c r="B1699" s="709">
        <v>45299</v>
      </c>
      <c r="C1699" s="710" t="s">
        <v>10076</v>
      </c>
      <c r="D1699" s="709" t="s">
        <v>136</v>
      </c>
      <c r="E1699" s="709" t="s">
        <v>8432</v>
      </c>
      <c r="F1699" s="716">
        <v>92.15</v>
      </c>
      <c r="G1699" s="716">
        <v>77.989999999999995</v>
      </c>
      <c r="H1699" s="225">
        <f t="shared" si="26"/>
        <v>92.15</v>
      </c>
    </row>
    <row r="1700" spans="1:8" x14ac:dyDescent="0.3">
      <c r="A1700" s="401"/>
      <c r="B1700" s="709">
        <v>44329</v>
      </c>
      <c r="C1700" s="710" t="s">
        <v>10077</v>
      </c>
      <c r="D1700" s="709" t="s">
        <v>8120</v>
      </c>
      <c r="E1700" s="709" t="s">
        <v>8432</v>
      </c>
      <c r="F1700" s="716">
        <v>14.29</v>
      </c>
      <c r="G1700" s="716">
        <v>16.850000000000001</v>
      </c>
      <c r="H1700" s="225">
        <f t="shared" si="26"/>
        <v>14.29</v>
      </c>
    </row>
    <row r="1701" spans="1:8" x14ac:dyDescent="0.3">
      <c r="A1701" s="401"/>
      <c r="B1701" s="709">
        <v>5318</v>
      </c>
      <c r="C1701" s="710" t="s">
        <v>10078</v>
      </c>
      <c r="D1701" s="709" t="s">
        <v>8120</v>
      </c>
      <c r="E1701" s="709" t="s">
        <v>8438</v>
      </c>
      <c r="F1701" s="716">
        <v>23.1</v>
      </c>
      <c r="G1701" s="716">
        <v>27.25</v>
      </c>
      <c r="H1701" s="225">
        <f t="shared" si="26"/>
        <v>23.1</v>
      </c>
    </row>
    <row r="1702" spans="1:8" x14ac:dyDescent="0.3">
      <c r="A1702" s="401"/>
      <c r="B1702" s="709">
        <v>5330</v>
      </c>
      <c r="C1702" s="710" t="s">
        <v>10079</v>
      </c>
      <c r="D1702" s="709" t="s">
        <v>8120</v>
      </c>
      <c r="E1702" s="709" t="s">
        <v>8432</v>
      </c>
      <c r="F1702" s="716">
        <v>52.65</v>
      </c>
      <c r="G1702" s="716">
        <v>62.11</v>
      </c>
      <c r="H1702" s="225">
        <f t="shared" si="26"/>
        <v>52.65</v>
      </c>
    </row>
    <row r="1703" spans="1:8" x14ac:dyDescent="0.3">
      <c r="A1703" s="401"/>
      <c r="B1703" s="709">
        <v>44532</v>
      </c>
      <c r="C1703" s="710" t="s">
        <v>10080</v>
      </c>
      <c r="D1703" s="709" t="s">
        <v>136</v>
      </c>
      <c r="E1703" s="709" t="s">
        <v>8432</v>
      </c>
      <c r="F1703" s="716">
        <v>21.05</v>
      </c>
      <c r="G1703" s="716">
        <v>20.7</v>
      </c>
      <c r="H1703" s="225">
        <f t="shared" si="26"/>
        <v>21.05</v>
      </c>
    </row>
    <row r="1704" spans="1:8" x14ac:dyDescent="0.3">
      <c r="A1704" s="401"/>
      <c r="B1704" s="709">
        <v>44531</v>
      </c>
      <c r="C1704" s="710" t="s">
        <v>10081</v>
      </c>
      <c r="D1704" s="709" t="s">
        <v>136</v>
      </c>
      <c r="E1704" s="709" t="s">
        <v>8432</v>
      </c>
      <c r="F1704" s="716">
        <v>72.17</v>
      </c>
      <c r="G1704" s="716">
        <v>70.97</v>
      </c>
      <c r="H1704" s="225">
        <f t="shared" si="26"/>
        <v>72.17</v>
      </c>
    </row>
    <row r="1705" spans="1:8" x14ac:dyDescent="0.3">
      <c r="A1705" s="401"/>
      <c r="B1705" s="709">
        <v>13887</v>
      </c>
      <c r="C1705" s="710" t="s">
        <v>10082</v>
      </c>
      <c r="D1705" s="709" t="s">
        <v>136</v>
      </c>
      <c r="E1705" s="709" t="s">
        <v>8432</v>
      </c>
      <c r="F1705" s="716">
        <v>314.39</v>
      </c>
      <c r="G1705" s="716">
        <v>309.18</v>
      </c>
      <c r="H1705" s="225">
        <f t="shared" si="26"/>
        <v>314.39</v>
      </c>
    </row>
    <row r="1706" spans="1:8" x14ac:dyDescent="0.3">
      <c r="A1706" s="401"/>
      <c r="B1706" s="709">
        <v>38140</v>
      </c>
      <c r="C1706" s="710" t="s">
        <v>10083</v>
      </c>
      <c r="D1706" s="709" t="s">
        <v>136</v>
      </c>
      <c r="E1706" s="709" t="s">
        <v>8432</v>
      </c>
      <c r="F1706" s="716">
        <v>25.75</v>
      </c>
      <c r="G1706" s="716">
        <v>25.32</v>
      </c>
      <c r="H1706" s="225">
        <f t="shared" si="26"/>
        <v>25.75</v>
      </c>
    </row>
    <row r="1707" spans="1:8" x14ac:dyDescent="0.3">
      <c r="A1707" s="401"/>
      <c r="B1707" s="709">
        <v>44495</v>
      </c>
      <c r="C1707" s="710" t="s">
        <v>10084</v>
      </c>
      <c r="D1707" s="709" t="s">
        <v>136</v>
      </c>
      <c r="E1707" s="709" t="s">
        <v>8432</v>
      </c>
      <c r="F1707" s="716">
        <v>27.23</v>
      </c>
      <c r="G1707" s="716">
        <v>26.78</v>
      </c>
      <c r="H1707" s="225">
        <f t="shared" si="26"/>
        <v>27.23</v>
      </c>
    </row>
    <row r="1708" spans="1:8" x14ac:dyDescent="0.3">
      <c r="A1708" s="401"/>
      <c r="B1708" s="709">
        <v>44533</v>
      </c>
      <c r="C1708" s="710" t="s">
        <v>10085</v>
      </c>
      <c r="D1708" s="709" t="s">
        <v>136</v>
      </c>
      <c r="E1708" s="709" t="s">
        <v>8432</v>
      </c>
      <c r="F1708" s="716">
        <v>27.62</v>
      </c>
      <c r="G1708" s="716">
        <v>27.17</v>
      </c>
      <c r="H1708" s="225">
        <f t="shared" si="26"/>
        <v>27.62</v>
      </c>
    </row>
    <row r="1709" spans="1:8" x14ac:dyDescent="0.3">
      <c r="A1709" s="401"/>
      <c r="B1709" s="709">
        <v>44534</v>
      </c>
      <c r="C1709" s="710" t="s">
        <v>10086</v>
      </c>
      <c r="D1709" s="709" t="s">
        <v>136</v>
      </c>
      <c r="E1709" s="709" t="s">
        <v>8432</v>
      </c>
      <c r="F1709" s="716">
        <v>5.42</v>
      </c>
      <c r="G1709" s="716">
        <v>5.33</v>
      </c>
      <c r="H1709" s="225">
        <f t="shared" si="26"/>
        <v>5.42</v>
      </c>
    </row>
    <row r="1710" spans="1:8" x14ac:dyDescent="0.3">
      <c r="A1710" s="401"/>
      <c r="B1710" s="709">
        <v>34729</v>
      </c>
      <c r="C1710" s="710" t="s">
        <v>10087</v>
      </c>
      <c r="D1710" s="709" t="s">
        <v>136</v>
      </c>
      <c r="E1710" s="709" t="s">
        <v>8432</v>
      </c>
      <c r="F1710" s="716">
        <v>974.16</v>
      </c>
      <c r="G1710" s="716">
        <v>1095.8</v>
      </c>
      <c r="H1710" s="225">
        <f t="shared" si="26"/>
        <v>974.16</v>
      </c>
    </row>
    <row r="1711" spans="1:8" x14ac:dyDescent="0.3">
      <c r="A1711" s="401"/>
      <c r="B1711" s="709">
        <v>34734</v>
      </c>
      <c r="C1711" s="710" t="s">
        <v>10088</v>
      </c>
      <c r="D1711" s="709" t="s">
        <v>136</v>
      </c>
      <c r="E1711" s="709" t="s">
        <v>8432</v>
      </c>
      <c r="F1711" s="716">
        <v>1508.31</v>
      </c>
      <c r="G1711" s="716">
        <v>1696.65</v>
      </c>
      <c r="H1711" s="225">
        <f t="shared" si="26"/>
        <v>1508.31</v>
      </c>
    </row>
    <row r="1712" spans="1:8" x14ac:dyDescent="0.3">
      <c r="A1712" s="401"/>
      <c r="B1712" s="709">
        <v>34738</v>
      </c>
      <c r="C1712" s="710" t="s">
        <v>10089</v>
      </c>
      <c r="D1712" s="709" t="s">
        <v>136</v>
      </c>
      <c r="E1712" s="709" t="s">
        <v>8432</v>
      </c>
      <c r="F1712" s="716">
        <v>3523.88</v>
      </c>
      <c r="G1712" s="716">
        <v>3963.91</v>
      </c>
      <c r="H1712" s="225">
        <f t="shared" si="26"/>
        <v>3523.88</v>
      </c>
    </row>
    <row r="1713" spans="1:8" x14ac:dyDescent="0.3">
      <c r="A1713" s="401"/>
      <c r="B1713" s="709">
        <v>34623</v>
      </c>
      <c r="C1713" s="710" t="s">
        <v>10090</v>
      </c>
      <c r="D1713" s="709" t="s">
        <v>136</v>
      </c>
      <c r="E1713" s="709" t="s">
        <v>8432</v>
      </c>
      <c r="F1713" s="716">
        <v>42.23</v>
      </c>
      <c r="G1713" s="716">
        <v>47.5</v>
      </c>
      <c r="H1713" s="225">
        <f t="shared" si="26"/>
        <v>42.23</v>
      </c>
    </row>
    <row r="1714" spans="1:8" x14ac:dyDescent="0.3">
      <c r="A1714" s="401"/>
      <c r="B1714" s="709">
        <v>34616</v>
      </c>
      <c r="C1714" s="710" t="s">
        <v>10091</v>
      </c>
      <c r="D1714" s="709" t="s">
        <v>136</v>
      </c>
      <c r="E1714" s="709" t="s">
        <v>8432</v>
      </c>
      <c r="F1714" s="716">
        <v>42.88</v>
      </c>
      <c r="G1714" s="716">
        <v>48.24</v>
      </c>
      <c r="H1714" s="225">
        <f t="shared" si="26"/>
        <v>42.88</v>
      </c>
    </row>
    <row r="1715" spans="1:8" x14ac:dyDescent="0.3">
      <c r="A1715" s="401"/>
      <c r="B1715" s="709">
        <v>34628</v>
      </c>
      <c r="C1715" s="710" t="s">
        <v>10092</v>
      </c>
      <c r="D1715" s="709" t="s">
        <v>136</v>
      </c>
      <c r="E1715" s="709" t="s">
        <v>8432</v>
      </c>
      <c r="F1715" s="716">
        <v>60.48</v>
      </c>
      <c r="G1715" s="716">
        <v>68.040000000000006</v>
      </c>
      <c r="H1715" s="225">
        <f t="shared" si="26"/>
        <v>60.48</v>
      </c>
    </row>
    <row r="1716" spans="1:8" x14ac:dyDescent="0.3">
      <c r="A1716" s="401"/>
      <c r="B1716" s="709">
        <v>34686</v>
      </c>
      <c r="C1716" s="710" t="s">
        <v>10093</v>
      </c>
      <c r="D1716" s="709" t="s">
        <v>136</v>
      </c>
      <c r="E1716" s="709" t="s">
        <v>8432</v>
      </c>
      <c r="F1716" s="716">
        <v>11.09</v>
      </c>
      <c r="G1716" s="716">
        <v>12.48</v>
      </c>
      <c r="H1716" s="225">
        <f t="shared" si="26"/>
        <v>11.09</v>
      </c>
    </row>
    <row r="1717" spans="1:8" x14ac:dyDescent="0.3">
      <c r="A1717" s="401"/>
      <c r="B1717" s="709">
        <v>34653</v>
      </c>
      <c r="C1717" s="710" t="s">
        <v>10094</v>
      </c>
      <c r="D1717" s="709" t="s">
        <v>136</v>
      </c>
      <c r="E1717" s="709" t="s">
        <v>8432</v>
      </c>
      <c r="F1717" s="716">
        <v>7.48</v>
      </c>
      <c r="G1717" s="716">
        <v>8.41</v>
      </c>
      <c r="H1717" s="225">
        <f t="shared" si="26"/>
        <v>7.48</v>
      </c>
    </row>
    <row r="1718" spans="1:8" x14ac:dyDescent="0.3">
      <c r="A1718" s="401"/>
      <c r="B1718" s="709">
        <v>34688</v>
      </c>
      <c r="C1718" s="710" t="s">
        <v>10095</v>
      </c>
      <c r="D1718" s="709" t="s">
        <v>136</v>
      </c>
      <c r="E1718" s="709" t="s">
        <v>8432</v>
      </c>
      <c r="F1718" s="716">
        <v>13.56</v>
      </c>
      <c r="G1718" s="716">
        <v>15.25</v>
      </c>
      <c r="H1718" s="225">
        <f t="shared" si="26"/>
        <v>13.56</v>
      </c>
    </row>
    <row r="1719" spans="1:8" x14ac:dyDescent="0.3">
      <c r="A1719" s="401"/>
      <c r="B1719" s="709">
        <v>34709</v>
      </c>
      <c r="C1719" s="710" t="s">
        <v>10096</v>
      </c>
      <c r="D1719" s="709" t="s">
        <v>136</v>
      </c>
      <c r="E1719" s="709" t="s">
        <v>8432</v>
      </c>
      <c r="F1719" s="716">
        <v>52.54</v>
      </c>
      <c r="G1719" s="716">
        <v>59.1</v>
      </c>
      <c r="H1719" s="225">
        <f t="shared" si="26"/>
        <v>52.54</v>
      </c>
    </row>
    <row r="1720" spans="1:8" x14ac:dyDescent="0.3">
      <c r="A1720" s="401"/>
      <c r="B1720" s="709">
        <v>34714</v>
      </c>
      <c r="C1720" s="710" t="s">
        <v>10097</v>
      </c>
      <c r="D1720" s="709" t="s">
        <v>136</v>
      </c>
      <c r="E1720" s="709" t="s">
        <v>8432</v>
      </c>
      <c r="F1720" s="716">
        <v>62.75</v>
      </c>
      <c r="G1720" s="716">
        <v>70.59</v>
      </c>
      <c r="H1720" s="225">
        <f t="shared" si="26"/>
        <v>62.75</v>
      </c>
    </row>
    <row r="1721" spans="1:8" x14ac:dyDescent="0.3">
      <c r="A1721" s="401"/>
      <c r="B1721" s="709">
        <v>2391</v>
      </c>
      <c r="C1721" s="710" t="s">
        <v>10098</v>
      </c>
      <c r="D1721" s="709" t="s">
        <v>136</v>
      </c>
      <c r="E1721" s="709" t="s">
        <v>8432</v>
      </c>
      <c r="F1721" s="716">
        <v>286.60000000000002</v>
      </c>
      <c r="G1721" s="716">
        <v>322.39</v>
      </c>
      <c r="H1721" s="225">
        <f t="shared" si="26"/>
        <v>286.60000000000002</v>
      </c>
    </row>
    <row r="1722" spans="1:8" x14ac:dyDescent="0.3">
      <c r="A1722" s="401"/>
      <c r="B1722" s="709">
        <v>2374</v>
      </c>
      <c r="C1722" s="710" t="s">
        <v>10099</v>
      </c>
      <c r="D1722" s="709" t="s">
        <v>136</v>
      </c>
      <c r="E1722" s="709" t="s">
        <v>8432</v>
      </c>
      <c r="F1722" s="716">
        <v>325.14999999999998</v>
      </c>
      <c r="G1722" s="716">
        <v>365.75</v>
      </c>
      <c r="H1722" s="225">
        <f t="shared" si="26"/>
        <v>325.14999999999998</v>
      </c>
    </row>
    <row r="1723" spans="1:8" x14ac:dyDescent="0.3">
      <c r="A1723" s="401"/>
      <c r="B1723" s="709">
        <v>2377</v>
      </c>
      <c r="C1723" s="710" t="s">
        <v>10100</v>
      </c>
      <c r="D1723" s="709" t="s">
        <v>136</v>
      </c>
      <c r="E1723" s="709" t="s">
        <v>8432</v>
      </c>
      <c r="F1723" s="716">
        <v>456.31</v>
      </c>
      <c r="G1723" s="716">
        <v>513.29</v>
      </c>
      <c r="H1723" s="225">
        <f t="shared" si="26"/>
        <v>456.31</v>
      </c>
    </row>
    <row r="1724" spans="1:8" x14ac:dyDescent="0.3">
      <c r="A1724" s="401"/>
      <c r="B1724" s="709">
        <v>2393</v>
      </c>
      <c r="C1724" s="710" t="s">
        <v>10101</v>
      </c>
      <c r="D1724" s="709" t="s">
        <v>136</v>
      </c>
      <c r="E1724" s="709" t="s">
        <v>8432</v>
      </c>
      <c r="F1724" s="716">
        <v>764.15</v>
      </c>
      <c r="G1724" s="716">
        <v>859.57</v>
      </c>
      <c r="H1724" s="225">
        <f t="shared" si="26"/>
        <v>764.15</v>
      </c>
    </row>
    <row r="1725" spans="1:8" x14ac:dyDescent="0.3">
      <c r="A1725" s="401"/>
      <c r="B1725" s="709">
        <v>34705</v>
      </c>
      <c r="C1725" s="710" t="s">
        <v>10102</v>
      </c>
      <c r="D1725" s="709" t="s">
        <v>136</v>
      </c>
      <c r="E1725" s="709" t="s">
        <v>8432</v>
      </c>
      <c r="F1725" s="716">
        <v>668.36</v>
      </c>
      <c r="G1725" s="716">
        <v>751.82</v>
      </c>
      <c r="H1725" s="225">
        <f t="shared" si="26"/>
        <v>668.36</v>
      </c>
    </row>
    <row r="1726" spans="1:8" x14ac:dyDescent="0.3">
      <c r="A1726" s="401"/>
      <c r="B1726" s="709">
        <v>34707</v>
      </c>
      <c r="C1726" s="710" t="s">
        <v>10103</v>
      </c>
      <c r="D1726" s="709" t="s">
        <v>136</v>
      </c>
      <c r="E1726" s="709" t="s">
        <v>8432</v>
      </c>
      <c r="F1726" s="716">
        <v>1238.48</v>
      </c>
      <c r="G1726" s="716">
        <v>1393.13</v>
      </c>
      <c r="H1726" s="225">
        <f t="shared" si="26"/>
        <v>1238.48</v>
      </c>
    </row>
    <row r="1727" spans="1:8" x14ac:dyDescent="0.3">
      <c r="A1727" s="401"/>
      <c r="B1727" s="709">
        <v>34544</v>
      </c>
      <c r="C1727" s="710" t="s">
        <v>10104</v>
      </c>
      <c r="D1727" s="709" t="s">
        <v>136</v>
      </c>
      <c r="E1727" s="709" t="s">
        <v>8432</v>
      </c>
      <c r="F1727" s="716">
        <v>1238.3499999999999</v>
      </c>
      <c r="G1727" s="716">
        <v>1392.99</v>
      </c>
      <c r="H1727" s="225">
        <f t="shared" si="26"/>
        <v>1238.3499999999999</v>
      </c>
    </row>
    <row r="1728" spans="1:8" x14ac:dyDescent="0.3">
      <c r="A1728" s="401"/>
      <c r="B1728" s="709">
        <v>2378</v>
      </c>
      <c r="C1728" s="710" t="s">
        <v>10105</v>
      </c>
      <c r="D1728" s="709" t="s">
        <v>136</v>
      </c>
      <c r="E1728" s="709" t="s">
        <v>8432</v>
      </c>
      <c r="F1728" s="716">
        <v>1049.6600000000001</v>
      </c>
      <c r="G1728" s="716">
        <v>1180.74</v>
      </c>
      <c r="H1728" s="225">
        <f t="shared" si="26"/>
        <v>1049.6600000000001</v>
      </c>
    </row>
    <row r="1729" spans="1:8" x14ac:dyDescent="0.3">
      <c r="A1729" s="401"/>
      <c r="B1729" s="709">
        <v>2379</v>
      </c>
      <c r="C1729" s="710" t="s">
        <v>10106</v>
      </c>
      <c r="D1729" s="709" t="s">
        <v>136</v>
      </c>
      <c r="E1729" s="709" t="s">
        <v>8432</v>
      </c>
      <c r="F1729" s="716">
        <v>1049.6600000000001</v>
      </c>
      <c r="G1729" s="716">
        <v>1180.74</v>
      </c>
      <c r="H1729" s="225">
        <f t="shared" si="26"/>
        <v>1049.6600000000001</v>
      </c>
    </row>
    <row r="1730" spans="1:8" x14ac:dyDescent="0.3">
      <c r="A1730" s="401"/>
      <c r="B1730" s="709">
        <v>2376</v>
      </c>
      <c r="C1730" s="710" t="s">
        <v>10107</v>
      </c>
      <c r="D1730" s="709" t="s">
        <v>136</v>
      </c>
      <c r="E1730" s="709" t="s">
        <v>8432</v>
      </c>
      <c r="F1730" s="716">
        <v>1728.79</v>
      </c>
      <c r="G1730" s="716">
        <v>1944.67</v>
      </c>
      <c r="H1730" s="225">
        <f t="shared" si="26"/>
        <v>1728.79</v>
      </c>
    </row>
    <row r="1731" spans="1:8" x14ac:dyDescent="0.3">
      <c r="A1731" s="401"/>
      <c r="B1731" s="709">
        <v>2394</v>
      </c>
      <c r="C1731" s="710" t="s">
        <v>10108</v>
      </c>
      <c r="D1731" s="709" t="s">
        <v>136</v>
      </c>
      <c r="E1731" s="709" t="s">
        <v>8432</v>
      </c>
      <c r="F1731" s="716">
        <v>3695.84</v>
      </c>
      <c r="G1731" s="716">
        <v>4157.34</v>
      </c>
      <c r="H1731" s="225">
        <f t="shared" si="26"/>
        <v>3695.84</v>
      </c>
    </row>
    <row r="1732" spans="1:8" x14ac:dyDescent="0.3">
      <c r="A1732" s="401"/>
      <c r="B1732" s="709">
        <v>2388</v>
      </c>
      <c r="C1732" s="710" t="s">
        <v>10109</v>
      </c>
      <c r="D1732" s="709" t="s">
        <v>136</v>
      </c>
      <c r="E1732" s="709" t="s">
        <v>8432</v>
      </c>
      <c r="F1732" s="716">
        <v>52.15</v>
      </c>
      <c r="G1732" s="716">
        <v>58.66</v>
      </c>
      <c r="H1732" s="225">
        <f t="shared" si="26"/>
        <v>52.15</v>
      </c>
    </row>
    <row r="1733" spans="1:8" x14ac:dyDescent="0.3">
      <c r="A1733" s="401"/>
      <c r="B1733" s="709">
        <v>34606</v>
      </c>
      <c r="C1733" s="710" t="s">
        <v>10110</v>
      </c>
      <c r="D1733" s="709" t="s">
        <v>136</v>
      </c>
      <c r="E1733" s="709" t="s">
        <v>8432</v>
      </c>
      <c r="F1733" s="716">
        <v>79.989999999999995</v>
      </c>
      <c r="G1733" s="716">
        <v>89.98</v>
      </c>
      <c r="H1733" s="225">
        <f t="shared" si="26"/>
        <v>79.989999999999995</v>
      </c>
    </row>
    <row r="1734" spans="1:8" x14ac:dyDescent="0.3">
      <c r="A1734" s="401"/>
      <c r="B1734" s="709">
        <v>2370</v>
      </c>
      <c r="C1734" s="710" t="s">
        <v>10111</v>
      </c>
      <c r="D1734" s="709" t="s">
        <v>136</v>
      </c>
      <c r="E1734" s="709" t="s">
        <v>8438</v>
      </c>
      <c r="F1734" s="716">
        <v>9.69</v>
      </c>
      <c r="G1734" s="716">
        <v>10.9</v>
      </c>
      <c r="H1734" s="225">
        <f t="shared" si="26"/>
        <v>9.69</v>
      </c>
    </row>
    <row r="1735" spans="1:8" x14ac:dyDescent="0.3">
      <c r="A1735" s="401"/>
      <c r="B1735" s="709">
        <v>2386</v>
      </c>
      <c r="C1735" s="710" t="s">
        <v>10112</v>
      </c>
      <c r="D1735" s="709" t="s">
        <v>136</v>
      </c>
      <c r="E1735" s="709" t="s">
        <v>8432</v>
      </c>
      <c r="F1735" s="716">
        <v>16.25</v>
      </c>
      <c r="G1735" s="716">
        <v>18.28</v>
      </c>
      <c r="H1735" s="225">
        <f t="shared" si="26"/>
        <v>16.25</v>
      </c>
    </row>
    <row r="1736" spans="1:8" x14ac:dyDescent="0.3">
      <c r="A1736" s="401"/>
      <c r="B1736" s="709">
        <v>34689</v>
      </c>
      <c r="C1736" s="710" t="s">
        <v>10113</v>
      </c>
      <c r="D1736" s="709" t="s">
        <v>136</v>
      </c>
      <c r="E1736" s="709" t="s">
        <v>8432</v>
      </c>
      <c r="F1736" s="716">
        <v>25.47</v>
      </c>
      <c r="G1736" s="716">
        <v>28.65</v>
      </c>
      <c r="H1736" s="225">
        <f t="shared" si="26"/>
        <v>25.47</v>
      </c>
    </row>
    <row r="1737" spans="1:8" x14ac:dyDescent="0.3">
      <c r="A1737" s="401"/>
      <c r="B1737" s="709">
        <v>2392</v>
      </c>
      <c r="C1737" s="710" t="s">
        <v>10114</v>
      </c>
      <c r="D1737" s="709" t="s">
        <v>136</v>
      </c>
      <c r="E1737" s="709" t="s">
        <v>8432</v>
      </c>
      <c r="F1737" s="716">
        <v>65.040000000000006</v>
      </c>
      <c r="G1737" s="716">
        <v>73.17</v>
      </c>
      <c r="H1737" s="225">
        <f t="shared" si="26"/>
        <v>65.040000000000006</v>
      </c>
    </row>
    <row r="1738" spans="1:8" x14ac:dyDescent="0.3">
      <c r="A1738" s="401"/>
      <c r="B1738" s="709">
        <v>2373</v>
      </c>
      <c r="C1738" s="710" t="s">
        <v>10115</v>
      </c>
      <c r="D1738" s="709" t="s">
        <v>136</v>
      </c>
      <c r="E1738" s="709" t="s">
        <v>8432</v>
      </c>
      <c r="F1738" s="716">
        <v>91.64</v>
      </c>
      <c r="G1738" s="716">
        <v>103.09</v>
      </c>
      <c r="H1738" s="225">
        <f t="shared" si="26"/>
        <v>91.64</v>
      </c>
    </row>
    <row r="1739" spans="1:8" x14ac:dyDescent="0.3">
      <c r="A1739" s="401"/>
      <c r="B1739" s="709">
        <v>39465</v>
      </c>
      <c r="C1739" s="710" t="s">
        <v>10116</v>
      </c>
      <c r="D1739" s="709" t="s">
        <v>136</v>
      </c>
      <c r="E1739" s="709" t="s">
        <v>8432</v>
      </c>
      <c r="F1739" s="716">
        <v>55.98</v>
      </c>
      <c r="G1739" s="716">
        <v>62.97</v>
      </c>
      <c r="H1739" s="225">
        <f t="shared" ref="H1739:H1802" si="27">IF(F1739&gt;0,F1739,G1739)</f>
        <v>55.98</v>
      </c>
    </row>
    <row r="1740" spans="1:8" x14ac:dyDescent="0.3">
      <c r="A1740" s="401"/>
      <c r="B1740" s="709">
        <v>39466</v>
      </c>
      <c r="C1740" s="710" t="s">
        <v>10117</v>
      </c>
      <c r="D1740" s="709" t="s">
        <v>136</v>
      </c>
      <c r="E1740" s="709" t="s">
        <v>8432</v>
      </c>
      <c r="F1740" s="716">
        <v>62.98</v>
      </c>
      <c r="G1740" s="716">
        <v>70.849999999999994</v>
      </c>
      <c r="H1740" s="225">
        <f t="shared" si="27"/>
        <v>62.98</v>
      </c>
    </row>
    <row r="1741" spans="1:8" x14ac:dyDescent="0.3">
      <c r="A1741" s="401"/>
      <c r="B1741" s="709">
        <v>39467</v>
      </c>
      <c r="C1741" s="710" t="s">
        <v>10118</v>
      </c>
      <c r="D1741" s="709" t="s">
        <v>136</v>
      </c>
      <c r="E1741" s="709" t="s">
        <v>8432</v>
      </c>
      <c r="F1741" s="716">
        <v>80.56</v>
      </c>
      <c r="G1741" s="716">
        <v>90.62</v>
      </c>
      <c r="H1741" s="225">
        <f t="shared" si="27"/>
        <v>80.56</v>
      </c>
    </row>
    <row r="1742" spans="1:8" x14ac:dyDescent="0.3">
      <c r="A1742" s="401"/>
      <c r="B1742" s="709">
        <v>39468</v>
      </c>
      <c r="C1742" s="710" t="s">
        <v>10119</v>
      </c>
      <c r="D1742" s="709" t="s">
        <v>136</v>
      </c>
      <c r="E1742" s="709" t="s">
        <v>8432</v>
      </c>
      <c r="F1742" s="716">
        <v>143.19999999999999</v>
      </c>
      <c r="G1742" s="716">
        <v>161.08000000000001</v>
      </c>
      <c r="H1742" s="225">
        <f t="shared" si="27"/>
        <v>143.19999999999999</v>
      </c>
    </row>
    <row r="1743" spans="1:8" x14ac:dyDescent="0.3">
      <c r="A1743" s="401"/>
      <c r="B1743" s="709">
        <v>39469</v>
      </c>
      <c r="C1743" s="710" t="s">
        <v>10120</v>
      </c>
      <c r="D1743" s="709" t="s">
        <v>136</v>
      </c>
      <c r="E1743" s="709" t="s">
        <v>8432</v>
      </c>
      <c r="F1743" s="716">
        <v>58.33</v>
      </c>
      <c r="G1743" s="716">
        <v>65.61</v>
      </c>
      <c r="H1743" s="225">
        <f t="shared" si="27"/>
        <v>58.33</v>
      </c>
    </row>
    <row r="1744" spans="1:8" x14ac:dyDescent="0.3">
      <c r="A1744" s="401"/>
      <c r="B1744" s="709">
        <v>39470</v>
      </c>
      <c r="C1744" s="710" t="s">
        <v>10121</v>
      </c>
      <c r="D1744" s="709" t="s">
        <v>136</v>
      </c>
      <c r="E1744" s="709" t="s">
        <v>8432</v>
      </c>
      <c r="F1744" s="716">
        <v>71.67</v>
      </c>
      <c r="G1744" s="716">
        <v>80.62</v>
      </c>
      <c r="H1744" s="225">
        <f t="shared" si="27"/>
        <v>71.67</v>
      </c>
    </row>
    <row r="1745" spans="1:8" x14ac:dyDescent="0.3">
      <c r="A1745" s="401"/>
      <c r="B1745" s="709">
        <v>39471</v>
      </c>
      <c r="C1745" s="710" t="s">
        <v>10122</v>
      </c>
      <c r="D1745" s="709" t="s">
        <v>136</v>
      </c>
      <c r="E1745" s="709" t="s">
        <v>8432</v>
      </c>
      <c r="F1745" s="716">
        <v>86.13</v>
      </c>
      <c r="G1745" s="716">
        <v>96.88</v>
      </c>
      <c r="H1745" s="225">
        <f t="shared" si="27"/>
        <v>86.13</v>
      </c>
    </row>
    <row r="1746" spans="1:8" x14ac:dyDescent="0.3">
      <c r="A1746" s="401"/>
      <c r="B1746" s="709">
        <v>39472</v>
      </c>
      <c r="C1746" s="710" t="s">
        <v>10123</v>
      </c>
      <c r="D1746" s="709" t="s">
        <v>136</v>
      </c>
      <c r="E1746" s="709" t="s">
        <v>8432</v>
      </c>
      <c r="F1746" s="716">
        <v>149.65</v>
      </c>
      <c r="G1746" s="716">
        <v>168.34</v>
      </c>
      <c r="H1746" s="225">
        <f t="shared" si="27"/>
        <v>149.65</v>
      </c>
    </row>
    <row r="1747" spans="1:8" x14ac:dyDescent="0.3">
      <c r="A1747" s="401"/>
      <c r="B1747" s="709">
        <v>39473</v>
      </c>
      <c r="C1747" s="710" t="s">
        <v>10124</v>
      </c>
      <c r="D1747" s="709" t="s">
        <v>136</v>
      </c>
      <c r="E1747" s="709" t="s">
        <v>8432</v>
      </c>
      <c r="F1747" s="716">
        <v>96.67</v>
      </c>
      <c r="G1747" s="716">
        <v>108.75</v>
      </c>
      <c r="H1747" s="225">
        <f t="shared" si="27"/>
        <v>96.67</v>
      </c>
    </row>
    <row r="1748" spans="1:8" x14ac:dyDescent="0.3">
      <c r="A1748" s="401"/>
      <c r="B1748" s="709">
        <v>39474</v>
      </c>
      <c r="C1748" s="710" t="s">
        <v>10125</v>
      </c>
      <c r="D1748" s="709" t="s">
        <v>136</v>
      </c>
      <c r="E1748" s="709" t="s">
        <v>8432</v>
      </c>
      <c r="F1748" s="716">
        <v>103.06</v>
      </c>
      <c r="G1748" s="716">
        <v>115.93</v>
      </c>
      <c r="H1748" s="225">
        <f t="shared" si="27"/>
        <v>103.06</v>
      </c>
    </row>
    <row r="1749" spans="1:8" x14ac:dyDescent="0.3">
      <c r="A1749" s="401"/>
      <c r="B1749" s="709">
        <v>39475</v>
      </c>
      <c r="C1749" s="710" t="s">
        <v>10126</v>
      </c>
      <c r="D1749" s="709" t="s">
        <v>136</v>
      </c>
      <c r="E1749" s="709" t="s">
        <v>8432</v>
      </c>
      <c r="F1749" s="716">
        <v>116.93</v>
      </c>
      <c r="G1749" s="716">
        <v>131.53</v>
      </c>
      <c r="H1749" s="225">
        <f t="shared" si="27"/>
        <v>116.93</v>
      </c>
    </row>
    <row r="1750" spans="1:8" x14ac:dyDescent="0.3">
      <c r="A1750" s="401"/>
      <c r="B1750" s="709">
        <v>39476</v>
      </c>
      <c r="C1750" s="710" t="s">
        <v>10127</v>
      </c>
      <c r="D1750" s="709" t="s">
        <v>136</v>
      </c>
      <c r="E1750" s="709" t="s">
        <v>8432</v>
      </c>
      <c r="F1750" s="716">
        <v>220.12</v>
      </c>
      <c r="G1750" s="716">
        <v>247.61</v>
      </c>
      <c r="H1750" s="225">
        <f t="shared" si="27"/>
        <v>220.12</v>
      </c>
    </row>
    <row r="1751" spans="1:8" x14ac:dyDescent="0.3">
      <c r="A1751" s="401"/>
      <c r="B1751" s="709">
        <v>39477</v>
      </c>
      <c r="C1751" s="710" t="s">
        <v>10128</v>
      </c>
      <c r="D1751" s="709" t="s">
        <v>136</v>
      </c>
      <c r="E1751" s="709" t="s">
        <v>8432</v>
      </c>
      <c r="F1751" s="716">
        <v>107.85</v>
      </c>
      <c r="G1751" s="716">
        <v>121.32</v>
      </c>
      <c r="H1751" s="225">
        <f t="shared" si="27"/>
        <v>107.85</v>
      </c>
    </row>
    <row r="1752" spans="1:8" x14ac:dyDescent="0.3">
      <c r="A1752" s="401"/>
      <c r="B1752" s="709">
        <v>39478</v>
      </c>
      <c r="C1752" s="710" t="s">
        <v>10129</v>
      </c>
      <c r="D1752" s="709" t="s">
        <v>136</v>
      </c>
      <c r="E1752" s="709" t="s">
        <v>8432</v>
      </c>
      <c r="F1752" s="716">
        <v>111.19</v>
      </c>
      <c r="G1752" s="716">
        <v>125.07</v>
      </c>
      <c r="H1752" s="225">
        <f t="shared" si="27"/>
        <v>111.19</v>
      </c>
    </row>
    <row r="1753" spans="1:8" x14ac:dyDescent="0.3">
      <c r="A1753" s="401"/>
      <c r="B1753" s="709">
        <v>39479</v>
      </c>
      <c r="C1753" s="710" t="s">
        <v>10130</v>
      </c>
      <c r="D1753" s="709" t="s">
        <v>136</v>
      </c>
      <c r="E1753" s="709" t="s">
        <v>8432</v>
      </c>
      <c r="F1753" s="716">
        <v>131</v>
      </c>
      <c r="G1753" s="716">
        <v>147.36000000000001</v>
      </c>
      <c r="H1753" s="225">
        <f t="shared" si="27"/>
        <v>131</v>
      </c>
    </row>
    <row r="1754" spans="1:8" x14ac:dyDescent="0.3">
      <c r="A1754" s="401"/>
      <c r="B1754" s="709">
        <v>39480</v>
      </c>
      <c r="C1754" s="710" t="s">
        <v>10131</v>
      </c>
      <c r="D1754" s="709" t="s">
        <v>136</v>
      </c>
      <c r="E1754" s="709" t="s">
        <v>8432</v>
      </c>
      <c r="F1754" s="716">
        <v>270.32</v>
      </c>
      <c r="G1754" s="716">
        <v>304.08</v>
      </c>
      <c r="H1754" s="225">
        <f t="shared" si="27"/>
        <v>270.32</v>
      </c>
    </row>
    <row r="1755" spans="1:8" x14ac:dyDescent="0.3">
      <c r="A1755" s="401"/>
      <c r="B1755" s="709">
        <v>39459</v>
      </c>
      <c r="C1755" s="710" t="s">
        <v>10132</v>
      </c>
      <c r="D1755" s="709" t="s">
        <v>136</v>
      </c>
      <c r="E1755" s="709" t="s">
        <v>8432</v>
      </c>
      <c r="F1755" s="716">
        <v>229.44</v>
      </c>
      <c r="G1755" s="716">
        <v>258.08999999999997</v>
      </c>
      <c r="H1755" s="225">
        <f t="shared" si="27"/>
        <v>229.44</v>
      </c>
    </row>
    <row r="1756" spans="1:8" x14ac:dyDescent="0.3">
      <c r="A1756" s="401"/>
      <c r="B1756" s="709">
        <v>39445</v>
      </c>
      <c r="C1756" s="710" t="s">
        <v>10133</v>
      </c>
      <c r="D1756" s="709" t="s">
        <v>136</v>
      </c>
      <c r="E1756" s="709" t="s">
        <v>8432</v>
      </c>
      <c r="F1756" s="716">
        <v>115.2</v>
      </c>
      <c r="G1756" s="716">
        <v>129.58000000000001</v>
      </c>
      <c r="H1756" s="225">
        <f t="shared" si="27"/>
        <v>115.2</v>
      </c>
    </row>
    <row r="1757" spans="1:8" x14ac:dyDescent="0.3">
      <c r="A1757" s="401"/>
      <c r="B1757" s="709">
        <v>39446</v>
      </c>
      <c r="C1757" s="710" t="s">
        <v>10134</v>
      </c>
      <c r="D1757" s="709" t="s">
        <v>136</v>
      </c>
      <c r="E1757" s="709" t="s">
        <v>8432</v>
      </c>
      <c r="F1757" s="716">
        <v>117.25</v>
      </c>
      <c r="G1757" s="716">
        <v>131.88999999999999</v>
      </c>
      <c r="H1757" s="225">
        <f t="shared" si="27"/>
        <v>117.25</v>
      </c>
    </row>
    <row r="1758" spans="1:8" x14ac:dyDescent="0.3">
      <c r="A1758" s="401"/>
      <c r="B1758" s="709">
        <v>39447</v>
      </c>
      <c r="C1758" s="710" t="s">
        <v>10135</v>
      </c>
      <c r="D1758" s="709" t="s">
        <v>136</v>
      </c>
      <c r="E1758" s="709" t="s">
        <v>8432</v>
      </c>
      <c r="F1758" s="716">
        <v>125.38</v>
      </c>
      <c r="G1758" s="716">
        <v>141.04</v>
      </c>
      <c r="H1758" s="225">
        <f t="shared" si="27"/>
        <v>125.38</v>
      </c>
    </row>
    <row r="1759" spans="1:8" x14ac:dyDescent="0.3">
      <c r="A1759" s="401"/>
      <c r="B1759" s="709">
        <v>39448</v>
      </c>
      <c r="C1759" s="710" t="s">
        <v>10136</v>
      </c>
      <c r="D1759" s="709" t="s">
        <v>136</v>
      </c>
      <c r="E1759" s="709" t="s">
        <v>8432</v>
      </c>
      <c r="F1759" s="716">
        <v>213.8</v>
      </c>
      <c r="G1759" s="716">
        <v>240.5</v>
      </c>
      <c r="H1759" s="225">
        <f t="shared" si="27"/>
        <v>213.8</v>
      </c>
    </row>
    <row r="1760" spans="1:8" x14ac:dyDescent="0.3">
      <c r="A1760" s="401"/>
      <c r="B1760" s="709">
        <v>39450</v>
      </c>
      <c r="C1760" s="710" t="s">
        <v>10137</v>
      </c>
      <c r="D1760" s="709" t="s">
        <v>136</v>
      </c>
      <c r="E1760" s="709" t="s">
        <v>8432</v>
      </c>
      <c r="F1760" s="716">
        <v>130.44</v>
      </c>
      <c r="G1760" s="716">
        <v>146.72999999999999</v>
      </c>
      <c r="H1760" s="225">
        <f t="shared" si="27"/>
        <v>130.44</v>
      </c>
    </row>
    <row r="1761" spans="1:8" x14ac:dyDescent="0.3">
      <c r="A1761" s="401"/>
      <c r="B1761" s="709">
        <v>39451</v>
      </c>
      <c r="C1761" s="710" t="s">
        <v>10138</v>
      </c>
      <c r="D1761" s="709" t="s">
        <v>136</v>
      </c>
      <c r="E1761" s="709" t="s">
        <v>8432</v>
      </c>
      <c r="F1761" s="716">
        <v>142.28</v>
      </c>
      <c r="G1761" s="716">
        <v>160.04</v>
      </c>
      <c r="H1761" s="225">
        <f t="shared" si="27"/>
        <v>142.28</v>
      </c>
    </row>
    <row r="1762" spans="1:8" x14ac:dyDescent="0.3">
      <c r="A1762" s="401"/>
      <c r="B1762" s="709">
        <v>39452</v>
      </c>
      <c r="C1762" s="710" t="s">
        <v>10139</v>
      </c>
      <c r="D1762" s="709" t="s">
        <v>136</v>
      </c>
      <c r="E1762" s="709" t="s">
        <v>8432</v>
      </c>
      <c r="F1762" s="716">
        <v>143.13</v>
      </c>
      <c r="G1762" s="716">
        <v>161</v>
      </c>
      <c r="H1762" s="225">
        <f t="shared" si="27"/>
        <v>143.13</v>
      </c>
    </row>
    <row r="1763" spans="1:8" x14ac:dyDescent="0.3">
      <c r="A1763" s="401"/>
      <c r="B1763" s="709">
        <v>39523</v>
      </c>
      <c r="C1763" s="710" t="s">
        <v>10140</v>
      </c>
      <c r="D1763" s="709" t="s">
        <v>136</v>
      </c>
      <c r="E1763" s="709" t="s">
        <v>8432</v>
      </c>
      <c r="F1763" s="716">
        <v>239.52</v>
      </c>
      <c r="G1763" s="716">
        <v>269.43</v>
      </c>
      <c r="H1763" s="225">
        <f t="shared" si="27"/>
        <v>239.52</v>
      </c>
    </row>
    <row r="1764" spans="1:8" x14ac:dyDescent="0.3">
      <c r="A1764" s="401"/>
      <c r="B1764" s="709">
        <v>39449</v>
      </c>
      <c r="C1764" s="710" t="s">
        <v>10141</v>
      </c>
      <c r="D1764" s="709" t="s">
        <v>136</v>
      </c>
      <c r="E1764" s="709" t="s">
        <v>8432</v>
      </c>
      <c r="F1764" s="716">
        <v>265.25</v>
      </c>
      <c r="G1764" s="716">
        <v>298.38</v>
      </c>
      <c r="H1764" s="225">
        <f t="shared" si="27"/>
        <v>265.25</v>
      </c>
    </row>
    <row r="1765" spans="1:8" x14ac:dyDescent="0.3">
      <c r="A1765" s="401"/>
      <c r="B1765" s="709">
        <v>39455</v>
      </c>
      <c r="C1765" s="710" t="s">
        <v>10142</v>
      </c>
      <c r="D1765" s="709" t="s">
        <v>136</v>
      </c>
      <c r="E1765" s="709" t="s">
        <v>8432</v>
      </c>
      <c r="F1765" s="716">
        <v>131.25</v>
      </c>
      <c r="G1765" s="716">
        <v>147.63999999999999</v>
      </c>
      <c r="H1765" s="225">
        <f t="shared" si="27"/>
        <v>131.25</v>
      </c>
    </row>
    <row r="1766" spans="1:8" x14ac:dyDescent="0.3">
      <c r="A1766" s="401"/>
      <c r="B1766" s="709">
        <v>39456</v>
      </c>
      <c r="C1766" s="710" t="s">
        <v>10143</v>
      </c>
      <c r="D1766" s="709" t="s">
        <v>136</v>
      </c>
      <c r="E1766" s="709" t="s">
        <v>8432</v>
      </c>
      <c r="F1766" s="716">
        <v>131.35</v>
      </c>
      <c r="G1766" s="716">
        <v>147.75</v>
      </c>
      <c r="H1766" s="225">
        <f t="shared" si="27"/>
        <v>131.35</v>
      </c>
    </row>
    <row r="1767" spans="1:8" x14ac:dyDescent="0.3">
      <c r="A1767" s="401"/>
      <c r="B1767" s="709">
        <v>39457</v>
      </c>
      <c r="C1767" s="710" t="s">
        <v>10144</v>
      </c>
      <c r="D1767" s="709" t="s">
        <v>136</v>
      </c>
      <c r="E1767" s="709" t="s">
        <v>8432</v>
      </c>
      <c r="F1767" s="716">
        <v>143.19</v>
      </c>
      <c r="G1767" s="716">
        <v>161.07</v>
      </c>
      <c r="H1767" s="225">
        <f t="shared" si="27"/>
        <v>143.19</v>
      </c>
    </row>
    <row r="1768" spans="1:8" x14ac:dyDescent="0.3">
      <c r="A1768" s="401"/>
      <c r="B1768" s="709">
        <v>39458</v>
      </c>
      <c r="C1768" s="710" t="s">
        <v>10145</v>
      </c>
      <c r="D1768" s="709" t="s">
        <v>136</v>
      </c>
      <c r="E1768" s="709" t="s">
        <v>8432</v>
      </c>
      <c r="F1768" s="716">
        <v>267.20999999999998</v>
      </c>
      <c r="G1768" s="716">
        <v>300.57</v>
      </c>
      <c r="H1768" s="225">
        <f t="shared" si="27"/>
        <v>267.20999999999998</v>
      </c>
    </row>
    <row r="1769" spans="1:8" x14ac:dyDescent="0.3">
      <c r="A1769" s="401"/>
      <c r="B1769" s="709">
        <v>39464</v>
      </c>
      <c r="C1769" s="710" t="s">
        <v>10146</v>
      </c>
      <c r="D1769" s="709" t="s">
        <v>136</v>
      </c>
      <c r="E1769" s="709" t="s">
        <v>8432</v>
      </c>
      <c r="F1769" s="716">
        <v>429.69</v>
      </c>
      <c r="G1769" s="716">
        <v>483.35</v>
      </c>
      <c r="H1769" s="225">
        <f t="shared" si="27"/>
        <v>429.69</v>
      </c>
    </row>
    <row r="1770" spans="1:8" x14ac:dyDescent="0.3">
      <c r="A1770" s="401"/>
      <c r="B1770" s="709">
        <v>39460</v>
      </c>
      <c r="C1770" s="710" t="s">
        <v>10147</v>
      </c>
      <c r="D1770" s="709" t="s">
        <v>136</v>
      </c>
      <c r="E1770" s="709" t="s">
        <v>8432</v>
      </c>
      <c r="F1770" s="716">
        <v>162.97</v>
      </c>
      <c r="G1770" s="716">
        <v>183.32</v>
      </c>
      <c r="H1770" s="225">
        <f t="shared" si="27"/>
        <v>162.97</v>
      </c>
    </row>
    <row r="1771" spans="1:8" x14ac:dyDescent="0.3">
      <c r="A1771" s="401"/>
      <c r="B1771" s="709">
        <v>39461</v>
      </c>
      <c r="C1771" s="710" t="s">
        <v>10148</v>
      </c>
      <c r="D1771" s="709" t="s">
        <v>136</v>
      </c>
      <c r="E1771" s="709" t="s">
        <v>8432</v>
      </c>
      <c r="F1771" s="716">
        <v>190.96</v>
      </c>
      <c r="G1771" s="716">
        <v>214.81</v>
      </c>
      <c r="H1771" s="225">
        <f t="shared" si="27"/>
        <v>190.96</v>
      </c>
    </row>
    <row r="1772" spans="1:8" x14ac:dyDescent="0.3">
      <c r="A1772" s="401"/>
      <c r="B1772" s="709">
        <v>39462</v>
      </c>
      <c r="C1772" s="710" t="s">
        <v>10149</v>
      </c>
      <c r="D1772" s="709" t="s">
        <v>136</v>
      </c>
      <c r="E1772" s="709" t="s">
        <v>8432</v>
      </c>
      <c r="F1772" s="716">
        <v>184.04</v>
      </c>
      <c r="G1772" s="716">
        <v>207.02</v>
      </c>
      <c r="H1772" s="225">
        <f t="shared" si="27"/>
        <v>184.04</v>
      </c>
    </row>
    <row r="1773" spans="1:8" x14ac:dyDescent="0.3">
      <c r="A1773" s="401"/>
      <c r="B1773" s="709">
        <v>39463</v>
      </c>
      <c r="C1773" s="710" t="s">
        <v>10150</v>
      </c>
      <c r="D1773" s="709" t="s">
        <v>136</v>
      </c>
      <c r="E1773" s="709" t="s">
        <v>8432</v>
      </c>
      <c r="F1773" s="716">
        <v>426.36</v>
      </c>
      <c r="G1773" s="716">
        <v>479.6</v>
      </c>
      <c r="H1773" s="225">
        <f t="shared" si="27"/>
        <v>426.36</v>
      </c>
    </row>
    <row r="1774" spans="1:8" x14ac:dyDescent="0.3">
      <c r="A1774" s="401"/>
      <c r="B1774" s="709">
        <v>26039</v>
      </c>
      <c r="C1774" s="710" t="s">
        <v>10151</v>
      </c>
      <c r="D1774" s="709" t="s">
        <v>136</v>
      </c>
      <c r="E1774" s="709" t="s">
        <v>8432</v>
      </c>
      <c r="F1774" s="716"/>
      <c r="G1774" s="716">
        <v>445313.14</v>
      </c>
      <c r="H1774" s="225">
        <f t="shared" si="27"/>
        <v>445313.14</v>
      </c>
    </row>
    <row r="1775" spans="1:8" x14ac:dyDescent="0.3">
      <c r="A1775" s="401"/>
      <c r="B1775" s="709">
        <v>2401</v>
      </c>
      <c r="C1775" s="710" t="s">
        <v>10152</v>
      </c>
      <c r="D1775" s="709" t="s">
        <v>136</v>
      </c>
      <c r="E1775" s="709" t="s">
        <v>8432</v>
      </c>
      <c r="F1775" s="716"/>
      <c r="G1775" s="716">
        <v>102426.95</v>
      </c>
      <c r="H1775" s="225">
        <f t="shared" si="27"/>
        <v>102426.95</v>
      </c>
    </row>
    <row r="1776" spans="1:8" x14ac:dyDescent="0.3">
      <c r="A1776" s="401"/>
      <c r="B1776" s="709">
        <v>38870</v>
      </c>
      <c r="C1776" s="710" t="s">
        <v>10153</v>
      </c>
      <c r="D1776" s="709" t="s">
        <v>136</v>
      </c>
      <c r="E1776" s="709" t="s">
        <v>8432</v>
      </c>
      <c r="F1776" s="716">
        <v>55.18</v>
      </c>
      <c r="G1776" s="716">
        <v>34.49</v>
      </c>
      <c r="H1776" s="225">
        <f t="shared" si="27"/>
        <v>55.18</v>
      </c>
    </row>
    <row r="1777" spans="1:8" x14ac:dyDescent="0.3">
      <c r="A1777" s="401"/>
      <c r="B1777" s="709">
        <v>38869</v>
      </c>
      <c r="C1777" s="710" t="s">
        <v>10154</v>
      </c>
      <c r="D1777" s="709" t="s">
        <v>136</v>
      </c>
      <c r="E1777" s="709" t="s">
        <v>8432</v>
      </c>
      <c r="F1777" s="716">
        <v>37.24</v>
      </c>
      <c r="G1777" s="716">
        <v>23.28</v>
      </c>
      <c r="H1777" s="225">
        <f t="shared" si="27"/>
        <v>37.24</v>
      </c>
    </row>
    <row r="1778" spans="1:8" x14ac:dyDescent="0.3">
      <c r="A1778" s="401"/>
      <c r="B1778" s="709">
        <v>38872</v>
      </c>
      <c r="C1778" s="710" t="s">
        <v>10155</v>
      </c>
      <c r="D1778" s="709" t="s">
        <v>136</v>
      </c>
      <c r="E1778" s="709" t="s">
        <v>8432</v>
      </c>
      <c r="F1778" s="716">
        <v>70.31</v>
      </c>
      <c r="G1778" s="716">
        <v>43.94</v>
      </c>
      <c r="H1778" s="225">
        <f t="shared" si="27"/>
        <v>70.31</v>
      </c>
    </row>
    <row r="1779" spans="1:8" x14ac:dyDescent="0.3">
      <c r="A1779" s="401"/>
      <c r="B1779" s="709">
        <v>38871</v>
      </c>
      <c r="C1779" s="710" t="s">
        <v>10156</v>
      </c>
      <c r="D1779" s="709" t="s">
        <v>136</v>
      </c>
      <c r="E1779" s="709" t="s">
        <v>8432</v>
      </c>
      <c r="F1779" s="716">
        <v>48.6</v>
      </c>
      <c r="G1779" s="716">
        <v>30.37</v>
      </c>
      <c r="H1779" s="225">
        <f t="shared" si="27"/>
        <v>48.6</v>
      </c>
    </row>
    <row r="1780" spans="1:8" x14ac:dyDescent="0.3">
      <c r="A1780" s="401"/>
      <c r="B1780" s="709">
        <v>39283</v>
      </c>
      <c r="C1780" s="710" t="s">
        <v>10157</v>
      </c>
      <c r="D1780" s="709" t="s">
        <v>136</v>
      </c>
      <c r="E1780" s="709" t="s">
        <v>8432</v>
      </c>
      <c r="F1780" s="716">
        <v>227.72</v>
      </c>
      <c r="G1780" s="716">
        <v>142.32</v>
      </c>
      <c r="H1780" s="225">
        <f t="shared" si="27"/>
        <v>227.72</v>
      </c>
    </row>
    <row r="1781" spans="1:8" x14ac:dyDescent="0.3">
      <c r="A1781" s="401"/>
      <c r="B1781" s="709">
        <v>39285</v>
      </c>
      <c r="C1781" s="710" t="s">
        <v>10158</v>
      </c>
      <c r="D1781" s="709" t="s">
        <v>136</v>
      </c>
      <c r="E1781" s="709" t="s">
        <v>8432</v>
      </c>
      <c r="F1781" s="716">
        <v>260.25</v>
      </c>
      <c r="G1781" s="716">
        <v>162.66</v>
      </c>
      <c r="H1781" s="225">
        <f t="shared" si="27"/>
        <v>260.25</v>
      </c>
    </row>
    <row r="1782" spans="1:8" x14ac:dyDescent="0.3">
      <c r="A1782" s="401"/>
      <c r="B1782" s="709">
        <v>39286</v>
      </c>
      <c r="C1782" s="710" t="s">
        <v>10159</v>
      </c>
      <c r="D1782" s="709" t="s">
        <v>136</v>
      </c>
      <c r="E1782" s="709" t="s">
        <v>8432</v>
      </c>
      <c r="F1782" s="716">
        <v>249.43</v>
      </c>
      <c r="G1782" s="716">
        <v>155.88999999999999</v>
      </c>
      <c r="H1782" s="225">
        <f t="shared" si="27"/>
        <v>249.43</v>
      </c>
    </row>
    <row r="1783" spans="1:8" x14ac:dyDescent="0.3">
      <c r="A1783" s="401"/>
      <c r="B1783" s="709">
        <v>39288</v>
      </c>
      <c r="C1783" s="710" t="s">
        <v>10160</v>
      </c>
      <c r="D1783" s="709" t="s">
        <v>136</v>
      </c>
      <c r="E1783" s="709" t="s">
        <v>8432</v>
      </c>
      <c r="F1783" s="716">
        <v>303.60000000000002</v>
      </c>
      <c r="G1783" s="716">
        <v>189.75</v>
      </c>
      <c r="H1783" s="225">
        <f t="shared" si="27"/>
        <v>303.60000000000002</v>
      </c>
    </row>
    <row r="1784" spans="1:8" x14ac:dyDescent="0.3">
      <c r="A1784" s="401"/>
      <c r="B1784" s="709">
        <v>44476</v>
      </c>
      <c r="C1784" s="710" t="s">
        <v>10161</v>
      </c>
      <c r="D1784" s="709" t="s">
        <v>168</v>
      </c>
      <c r="E1784" s="709" t="s">
        <v>8432</v>
      </c>
      <c r="F1784" s="716">
        <v>803.01</v>
      </c>
      <c r="G1784" s="716">
        <v>744.46</v>
      </c>
      <c r="H1784" s="225">
        <f t="shared" si="27"/>
        <v>803.01</v>
      </c>
    </row>
    <row r="1785" spans="1:8" x14ac:dyDescent="0.3">
      <c r="A1785" s="401"/>
      <c r="B1785" s="709">
        <v>10629</v>
      </c>
      <c r="C1785" s="710" t="s">
        <v>10162</v>
      </c>
      <c r="D1785" s="709" t="s">
        <v>168</v>
      </c>
      <c r="E1785" s="709" t="s">
        <v>8432</v>
      </c>
      <c r="F1785" s="716">
        <v>932.87</v>
      </c>
      <c r="G1785" s="716">
        <v>864.53</v>
      </c>
      <c r="H1785" s="225">
        <f t="shared" si="27"/>
        <v>932.87</v>
      </c>
    </row>
    <row r="1786" spans="1:8" x14ac:dyDescent="0.3">
      <c r="A1786" s="401"/>
      <c r="B1786" s="709">
        <v>10698</v>
      </c>
      <c r="C1786" s="710" t="s">
        <v>10163</v>
      </c>
      <c r="D1786" s="709" t="s">
        <v>168</v>
      </c>
      <c r="E1786" s="709" t="s">
        <v>8432</v>
      </c>
      <c r="F1786" s="716"/>
      <c r="G1786" s="716">
        <v>264.95</v>
      </c>
      <c r="H1786" s="225">
        <f t="shared" si="27"/>
        <v>264.95</v>
      </c>
    </row>
    <row r="1787" spans="1:8" x14ac:dyDescent="0.3">
      <c r="A1787" s="401"/>
      <c r="B1787" s="709">
        <v>45658</v>
      </c>
      <c r="C1787" s="710" t="s">
        <v>10164</v>
      </c>
      <c r="D1787" s="709" t="s">
        <v>136</v>
      </c>
      <c r="E1787" s="709" t="s">
        <v>8432</v>
      </c>
      <c r="F1787" s="716">
        <v>176742.8</v>
      </c>
      <c r="G1787" s="716">
        <v>149584.51999999999</v>
      </c>
      <c r="H1787" s="225">
        <f t="shared" si="27"/>
        <v>176742.8</v>
      </c>
    </row>
    <row r="1788" spans="1:8" x14ac:dyDescent="0.3">
      <c r="A1788" s="401"/>
      <c r="B1788" s="709">
        <v>2432</v>
      </c>
      <c r="C1788" s="710" t="s">
        <v>10165</v>
      </c>
      <c r="D1788" s="709" t="s">
        <v>136</v>
      </c>
      <c r="E1788" s="709" t="s">
        <v>8432</v>
      </c>
      <c r="F1788" s="716">
        <v>32.31</v>
      </c>
      <c r="G1788" s="716">
        <v>28.93</v>
      </c>
      <c r="H1788" s="225">
        <f t="shared" si="27"/>
        <v>32.31</v>
      </c>
    </row>
    <row r="1789" spans="1:8" x14ac:dyDescent="0.3">
      <c r="A1789" s="401"/>
      <c r="B1789" s="709">
        <v>2418</v>
      </c>
      <c r="C1789" s="710" t="s">
        <v>10166</v>
      </c>
      <c r="D1789" s="709" t="s">
        <v>136</v>
      </c>
      <c r="E1789" s="709" t="s">
        <v>8438</v>
      </c>
      <c r="F1789" s="716">
        <v>14.99</v>
      </c>
      <c r="G1789" s="716">
        <v>13.42</v>
      </c>
      <c r="H1789" s="225">
        <f t="shared" si="27"/>
        <v>14.99</v>
      </c>
    </row>
    <row r="1790" spans="1:8" x14ac:dyDescent="0.3">
      <c r="A1790" s="401"/>
      <c r="B1790" s="709">
        <v>2433</v>
      </c>
      <c r="C1790" s="710" t="s">
        <v>10167</v>
      </c>
      <c r="D1790" s="709" t="s">
        <v>136</v>
      </c>
      <c r="E1790" s="709" t="s">
        <v>8432</v>
      </c>
      <c r="F1790" s="716">
        <v>10.95</v>
      </c>
      <c r="G1790" s="716">
        <v>9.8000000000000007</v>
      </c>
      <c r="H1790" s="225">
        <f t="shared" si="27"/>
        <v>10.95</v>
      </c>
    </row>
    <row r="1791" spans="1:8" x14ac:dyDescent="0.3">
      <c r="A1791" s="401"/>
      <c r="B1791" s="709">
        <v>2420</v>
      </c>
      <c r="C1791" s="710" t="s">
        <v>10168</v>
      </c>
      <c r="D1791" s="709" t="s">
        <v>136</v>
      </c>
      <c r="E1791" s="709" t="s">
        <v>8432</v>
      </c>
      <c r="F1791" s="716">
        <v>18.8</v>
      </c>
      <c r="G1791" s="716">
        <v>16.829999999999998</v>
      </c>
      <c r="H1791" s="225">
        <f t="shared" si="27"/>
        <v>18.8</v>
      </c>
    </row>
    <row r="1792" spans="1:8" x14ac:dyDescent="0.3">
      <c r="A1792" s="401"/>
      <c r="B1792" s="709">
        <v>11447</v>
      </c>
      <c r="C1792" s="710" t="s">
        <v>10169</v>
      </c>
      <c r="D1792" s="709" t="s">
        <v>136</v>
      </c>
      <c r="E1792" s="709" t="s">
        <v>8432</v>
      </c>
      <c r="F1792" s="716">
        <v>37.15</v>
      </c>
      <c r="G1792" s="716">
        <v>33.26</v>
      </c>
      <c r="H1792" s="225">
        <f t="shared" si="27"/>
        <v>37.15</v>
      </c>
    </row>
    <row r="1793" spans="1:8" x14ac:dyDescent="0.3">
      <c r="A1793" s="401"/>
      <c r="B1793" s="709">
        <v>11451</v>
      </c>
      <c r="C1793" s="710" t="s">
        <v>10170</v>
      </c>
      <c r="D1793" s="709" t="s">
        <v>136</v>
      </c>
      <c r="E1793" s="709" t="s">
        <v>8432</v>
      </c>
      <c r="F1793" s="716">
        <v>99.61</v>
      </c>
      <c r="G1793" s="716">
        <v>89.17</v>
      </c>
      <c r="H1793" s="225">
        <f t="shared" si="27"/>
        <v>99.61</v>
      </c>
    </row>
    <row r="1794" spans="1:8" x14ac:dyDescent="0.3">
      <c r="A1794" s="401"/>
      <c r="B1794" s="709">
        <v>11116</v>
      </c>
      <c r="C1794" s="710" t="s">
        <v>10171</v>
      </c>
      <c r="D1794" s="709" t="s">
        <v>136</v>
      </c>
      <c r="E1794" s="709" t="s">
        <v>8432</v>
      </c>
      <c r="F1794" s="716">
        <v>848.66</v>
      </c>
      <c r="G1794" s="716">
        <v>647.82000000000005</v>
      </c>
      <c r="H1794" s="225">
        <f t="shared" si="27"/>
        <v>848.66</v>
      </c>
    </row>
    <row r="1795" spans="1:8" x14ac:dyDescent="0.3">
      <c r="A1795" s="401"/>
      <c r="B1795" s="709">
        <v>38411</v>
      </c>
      <c r="C1795" s="710" t="s">
        <v>10172</v>
      </c>
      <c r="D1795" s="709" t="s">
        <v>136</v>
      </c>
      <c r="E1795" s="709" t="s">
        <v>8432</v>
      </c>
      <c r="F1795" s="716">
        <v>1620.1</v>
      </c>
      <c r="G1795" s="716">
        <v>1735.07</v>
      </c>
      <c r="H1795" s="225">
        <f t="shared" si="27"/>
        <v>1620.1</v>
      </c>
    </row>
    <row r="1796" spans="1:8" x14ac:dyDescent="0.3">
      <c r="A1796" s="401"/>
      <c r="B1796" s="709">
        <v>38189</v>
      </c>
      <c r="C1796" s="710" t="s">
        <v>10173</v>
      </c>
      <c r="D1796" s="709" t="s">
        <v>136</v>
      </c>
      <c r="E1796" s="709" t="s">
        <v>8432</v>
      </c>
      <c r="F1796" s="716">
        <v>331.03</v>
      </c>
      <c r="G1796" s="716">
        <v>169.11</v>
      </c>
      <c r="H1796" s="225">
        <f t="shared" si="27"/>
        <v>331.03</v>
      </c>
    </row>
    <row r="1797" spans="1:8" x14ac:dyDescent="0.3">
      <c r="A1797" s="401"/>
      <c r="B1797" s="709">
        <v>38190</v>
      </c>
      <c r="C1797" s="710" t="s">
        <v>10174</v>
      </c>
      <c r="D1797" s="709" t="s">
        <v>136</v>
      </c>
      <c r="E1797" s="709" t="s">
        <v>8432</v>
      </c>
      <c r="F1797" s="716">
        <v>697.38</v>
      </c>
      <c r="G1797" s="716">
        <v>356.27</v>
      </c>
      <c r="H1797" s="225">
        <f t="shared" si="27"/>
        <v>697.38</v>
      </c>
    </row>
    <row r="1798" spans="1:8" x14ac:dyDescent="0.3">
      <c r="A1798" s="401"/>
      <c r="B1798" s="709">
        <v>7608</v>
      </c>
      <c r="C1798" s="710" t="s">
        <v>10175</v>
      </c>
      <c r="D1798" s="709" t="s">
        <v>136</v>
      </c>
      <c r="E1798" s="709" t="s">
        <v>8432</v>
      </c>
      <c r="F1798" s="716">
        <v>17.760000000000002</v>
      </c>
      <c r="G1798" s="716">
        <v>14.3</v>
      </c>
      <c r="H1798" s="225">
        <f t="shared" si="27"/>
        <v>17.760000000000002</v>
      </c>
    </row>
    <row r="1799" spans="1:8" x14ac:dyDescent="0.3">
      <c r="A1799" s="401"/>
      <c r="B1799" s="709">
        <v>1370</v>
      </c>
      <c r="C1799" s="710" t="s">
        <v>10176</v>
      </c>
      <c r="D1799" s="709" t="s">
        <v>136</v>
      </c>
      <c r="E1799" s="709" t="s">
        <v>8432</v>
      </c>
      <c r="F1799" s="716">
        <v>126.52</v>
      </c>
      <c r="G1799" s="716">
        <v>153.58000000000001</v>
      </c>
      <c r="H1799" s="225">
        <f t="shared" si="27"/>
        <v>126.52</v>
      </c>
    </row>
    <row r="1800" spans="1:8" x14ac:dyDescent="0.3">
      <c r="A1800" s="401"/>
      <c r="B1800" s="709">
        <v>11649</v>
      </c>
      <c r="C1800" s="710" t="s">
        <v>10177</v>
      </c>
      <c r="D1800" s="709" t="s">
        <v>136</v>
      </c>
      <c r="E1800" s="709" t="s">
        <v>8432</v>
      </c>
      <c r="F1800" s="716"/>
      <c r="G1800" s="716">
        <v>413.05</v>
      </c>
      <c r="H1800" s="225">
        <f t="shared" si="27"/>
        <v>413.05</v>
      </c>
    </row>
    <row r="1801" spans="1:8" x14ac:dyDescent="0.3">
      <c r="A1801" s="401"/>
      <c r="B1801" s="709">
        <v>11650</v>
      </c>
      <c r="C1801" s="710" t="s">
        <v>10178</v>
      </c>
      <c r="D1801" s="709" t="s">
        <v>136</v>
      </c>
      <c r="E1801" s="709" t="s">
        <v>8432</v>
      </c>
      <c r="F1801" s="716"/>
      <c r="G1801" s="716">
        <v>560.07000000000005</v>
      </c>
      <c r="H1801" s="225">
        <f t="shared" si="27"/>
        <v>560.07000000000005</v>
      </c>
    </row>
    <row r="1802" spans="1:8" x14ac:dyDescent="0.3">
      <c r="A1802" s="401"/>
      <c r="B1802" s="709">
        <v>34777</v>
      </c>
      <c r="C1802" s="710" t="s">
        <v>10179</v>
      </c>
      <c r="D1802" s="709" t="s">
        <v>136</v>
      </c>
      <c r="E1802" s="709" t="s">
        <v>8432</v>
      </c>
      <c r="F1802" s="716">
        <v>3.43</v>
      </c>
      <c r="G1802" s="716">
        <v>3.25</v>
      </c>
      <c r="H1802" s="225">
        <f t="shared" si="27"/>
        <v>3.43</v>
      </c>
    </row>
    <row r="1803" spans="1:8" x14ac:dyDescent="0.3">
      <c r="A1803" s="401"/>
      <c r="B1803" s="709">
        <v>7272</v>
      </c>
      <c r="C1803" s="710" t="s">
        <v>10180</v>
      </c>
      <c r="D1803" s="709" t="s">
        <v>136</v>
      </c>
      <c r="E1803" s="709" t="s">
        <v>8432</v>
      </c>
      <c r="F1803" s="716">
        <v>2.58</v>
      </c>
      <c r="G1803" s="716">
        <v>2.44</v>
      </c>
      <c r="H1803" s="225">
        <f t="shared" ref="H1803:H1866" si="28">IF(F1803&gt;0,F1803,G1803)</f>
        <v>2.58</v>
      </c>
    </row>
    <row r="1804" spans="1:8" x14ac:dyDescent="0.3">
      <c r="A1804" s="401"/>
      <c r="B1804" s="709">
        <v>10605</v>
      </c>
      <c r="C1804" s="710" t="s">
        <v>10181</v>
      </c>
      <c r="D1804" s="709" t="s">
        <v>136</v>
      </c>
      <c r="E1804" s="709" t="s">
        <v>8432</v>
      </c>
      <c r="F1804" s="716">
        <v>6.95</v>
      </c>
      <c r="G1804" s="716">
        <v>5.95</v>
      </c>
      <c r="H1804" s="225">
        <f t="shared" si="28"/>
        <v>6.95</v>
      </c>
    </row>
    <row r="1805" spans="1:8" x14ac:dyDescent="0.3">
      <c r="A1805" s="401"/>
      <c r="B1805" s="709">
        <v>10604</v>
      </c>
      <c r="C1805" s="710" t="s">
        <v>10182</v>
      </c>
      <c r="D1805" s="709" t="s">
        <v>136</v>
      </c>
      <c r="E1805" s="709" t="s">
        <v>8432</v>
      </c>
      <c r="F1805" s="716">
        <v>16.2</v>
      </c>
      <c r="G1805" s="716">
        <v>13.87</v>
      </c>
      <c r="H1805" s="225">
        <f t="shared" si="28"/>
        <v>16.2</v>
      </c>
    </row>
    <row r="1806" spans="1:8" x14ac:dyDescent="0.3">
      <c r="A1806" s="401"/>
      <c r="B1806" s="709">
        <v>672</v>
      </c>
      <c r="C1806" s="710" t="s">
        <v>10183</v>
      </c>
      <c r="D1806" s="709" t="s">
        <v>136</v>
      </c>
      <c r="E1806" s="709" t="s">
        <v>8432</v>
      </c>
      <c r="F1806" s="716">
        <v>22.28</v>
      </c>
      <c r="G1806" s="716">
        <v>19.079999999999998</v>
      </c>
      <c r="H1806" s="225">
        <f t="shared" si="28"/>
        <v>22.28</v>
      </c>
    </row>
    <row r="1807" spans="1:8" x14ac:dyDescent="0.3">
      <c r="A1807" s="401"/>
      <c r="B1807" s="709">
        <v>668</v>
      </c>
      <c r="C1807" s="710" t="s">
        <v>10184</v>
      </c>
      <c r="D1807" s="709" t="s">
        <v>136</v>
      </c>
      <c r="E1807" s="709" t="s">
        <v>8432</v>
      </c>
      <c r="F1807" s="716">
        <v>26.89</v>
      </c>
      <c r="G1807" s="716">
        <v>23.03</v>
      </c>
      <c r="H1807" s="225">
        <f t="shared" si="28"/>
        <v>26.89</v>
      </c>
    </row>
    <row r="1808" spans="1:8" x14ac:dyDescent="0.3">
      <c r="A1808" s="401"/>
      <c r="B1808" s="709">
        <v>10578</v>
      </c>
      <c r="C1808" s="710" t="s">
        <v>10185</v>
      </c>
      <c r="D1808" s="709" t="s">
        <v>136</v>
      </c>
      <c r="E1808" s="709" t="s">
        <v>8432</v>
      </c>
      <c r="F1808" s="716">
        <v>31.32</v>
      </c>
      <c r="G1808" s="716">
        <v>26.82</v>
      </c>
      <c r="H1808" s="225">
        <f t="shared" si="28"/>
        <v>31.32</v>
      </c>
    </row>
    <row r="1809" spans="1:8" x14ac:dyDescent="0.3">
      <c r="A1809" s="401"/>
      <c r="B1809" s="709">
        <v>666</v>
      </c>
      <c r="C1809" s="710" t="s">
        <v>10186</v>
      </c>
      <c r="D1809" s="709" t="s">
        <v>136</v>
      </c>
      <c r="E1809" s="709" t="s">
        <v>8432</v>
      </c>
      <c r="F1809" s="716">
        <v>34.83</v>
      </c>
      <c r="G1809" s="716">
        <v>29.83</v>
      </c>
      <c r="H1809" s="225">
        <f t="shared" si="28"/>
        <v>34.83</v>
      </c>
    </row>
    <row r="1810" spans="1:8" x14ac:dyDescent="0.3">
      <c r="A1810" s="401"/>
      <c r="B1810" s="709">
        <v>665</v>
      </c>
      <c r="C1810" s="710" t="s">
        <v>10187</v>
      </c>
      <c r="D1810" s="709" t="s">
        <v>136</v>
      </c>
      <c r="E1810" s="709" t="s">
        <v>8432</v>
      </c>
      <c r="F1810" s="716">
        <v>46.58</v>
      </c>
      <c r="G1810" s="716">
        <v>39.89</v>
      </c>
      <c r="H1810" s="225">
        <f t="shared" si="28"/>
        <v>46.58</v>
      </c>
    </row>
    <row r="1811" spans="1:8" x14ac:dyDescent="0.3">
      <c r="A1811" s="401"/>
      <c r="B1811" s="709">
        <v>10577</v>
      </c>
      <c r="C1811" s="710" t="s">
        <v>10188</v>
      </c>
      <c r="D1811" s="709" t="s">
        <v>136</v>
      </c>
      <c r="E1811" s="709" t="s">
        <v>8432</v>
      </c>
      <c r="F1811" s="716">
        <v>41.32</v>
      </c>
      <c r="G1811" s="716">
        <v>35.380000000000003</v>
      </c>
      <c r="H1811" s="225">
        <f t="shared" si="28"/>
        <v>41.32</v>
      </c>
    </row>
    <row r="1812" spans="1:8" x14ac:dyDescent="0.3">
      <c r="A1812" s="401"/>
      <c r="B1812" s="709">
        <v>10583</v>
      </c>
      <c r="C1812" s="710" t="s">
        <v>10189</v>
      </c>
      <c r="D1812" s="709" t="s">
        <v>136</v>
      </c>
      <c r="E1812" s="709" t="s">
        <v>8432</v>
      </c>
      <c r="F1812" s="716">
        <v>21.47</v>
      </c>
      <c r="G1812" s="716">
        <v>18.38</v>
      </c>
      <c r="H1812" s="225">
        <f t="shared" si="28"/>
        <v>21.47</v>
      </c>
    </row>
    <row r="1813" spans="1:8" x14ac:dyDescent="0.3">
      <c r="A1813" s="401"/>
      <c r="B1813" s="709">
        <v>10579</v>
      </c>
      <c r="C1813" s="710" t="s">
        <v>10190</v>
      </c>
      <c r="D1813" s="709" t="s">
        <v>136</v>
      </c>
      <c r="E1813" s="709" t="s">
        <v>8432</v>
      </c>
      <c r="F1813" s="716">
        <v>37.409999999999997</v>
      </c>
      <c r="G1813" s="716">
        <v>32.04</v>
      </c>
      <c r="H1813" s="225">
        <f t="shared" si="28"/>
        <v>37.409999999999997</v>
      </c>
    </row>
    <row r="1814" spans="1:8" x14ac:dyDescent="0.3">
      <c r="A1814" s="401"/>
      <c r="B1814" s="709">
        <v>10582</v>
      </c>
      <c r="C1814" s="710" t="s">
        <v>10191</v>
      </c>
      <c r="D1814" s="709" t="s">
        <v>136</v>
      </c>
      <c r="E1814" s="709" t="s">
        <v>8432</v>
      </c>
      <c r="F1814" s="716">
        <v>18.899999999999999</v>
      </c>
      <c r="G1814" s="716">
        <v>16.190000000000001</v>
      </c>
      <c r="H1814" s="225">
        <f t="shared" si="28"/>
        <v>18.899999999999999</v>
      </c>
    </row>
    <row r="1815" spans="1:8" x14ac:dyDescent="0.3">
      <c r="A1815" s="401"/>
      <c r="B1815" s="709">
        <v>2436</v>
      </c>
      <c r="C1815" s="710" t="s">
        <v>10192</v>
      </c>
      <c r="D1815" s="709" t="s">
        <v>234</v>
      </c>
      <c r="E1815" s="709" t="s">
        <v>8438</v>
      </c>
      <c r="F1815" s="716">
        <v>24.35</v>
      </c>
      <c r="G1815" s="716">
        <v>34.590000000000003</v>
      </c>
      <c r="H1815" s="225">
        <f t="shared" si="28"/>
        <v>24.35</v>
      </c>
    </row>
    <row r="1816" spans="1:8" x14ac:dyDescent="0.3">
      <c r="A1816" s="401"/>
      <c r="B1816" s="709">
        <v>40918</v>
      </c>
      <c r="C1816" s="710" t="s">
        <v>10193</v>
      </c>
      <c r="D1816" s="709" t="s">
        <v>208</v>
      </c>
      <c r="E1816" s="709" t="s">
        <v>8432</v>
      </c>
      <c r="F1816" s="716">
        <v>4279.3100000000004</v>
      </c>
      <c r="G1816" s="716">
        <v>6059.42</v>
      </c>
      <c r="H1816" s="225">
        <f t="shared" si="28"/>
        <v>4279.3100000000004</v>
      </c>
    </row>
    <row r="1817" spans="1:8" x14ac:dyDescent="0.3">
      <c r="A1817" s="401"/>
      <c r="B1817" s="709">
        <v>44046</v>
      </c>
      <c r="C1817" s="710" t="s">
        <v>10194</v>
      </c>
      <c r="D1817" s="709" t="s">
        <v>159</v>
      </c>
      <c r="E1817" s="709" t="s">
        <v>8432</v>
      </c>
      <c r="F1817" s="716">
        <v>167.72</v>
      </c>
      <c r="G1817" s="716">
        <v>149.57</v>
      </c>
      <c r="H1817" s="225">
        <f t="shared" si="28"/>
        <v>167.72</v>
      </c>
    </row>
    <row r="1818" spans="1:8" x14ac:dyDescent="0.3">
      <c r="A1818" s="401"/>
      <c r="B1818" s="709">
        <v>44047</v>
      </c>
      <c r="C1818" s="710" t="s">
        <v>10195</v>
      </c>
      <c r="D1818" s="709" t="s">
        <v>159</v>
      </c>
      <c r="E1818" s="709" t="s">
        <v>8432</v>
      </c>
      <c r="F1818" s="716">
        <v>198.1</v>
      </c>
      <c r="G1818" s="716">
        <v>176.66</v>
      </c>
      <c r="H1818" s="225">
        <f t="shared" si="28"/>
        <v>198.1</v>
      </c>
    </row>
    <row r="1819" spans="1:8" x14ac:dyDescent="0.3">
      <c r="A1819" s="401"/>
      <c r="B1819" s="709">
        <v>44043</v>
      </c>
      <c r="C1819" s="710" t="s">
        <v>10196</v>
      </c>
      <c r="D1819" s="709" t="s">
        <v>159</v>
      </c>
      <c r="E1819" s="709" t="s">
        <v>8432</v>
      </c>
      <c r="F1819" s="716">
        <v>103.57</v>
      </c>
      <c r="G1819" s="716">
        <v>92.36</v>
      </c>
      <c r="H1819" s="225">
        <f t="shared" si="28"/>
        <v>103.57</v>
      </c>
    </row>
    <row r="1820" spans="1:8" x14ac:dyDescent="0.3">
      <c r="A1820" s="401"/>
      <c r="B1820" s="709">
        <v>44044</v>
      </c>
      <c r="C1820" s="710" t="s">
        <v>10197</v>
      </c>
      <c r="D1820" s="709" t="s">
        <v>159</v>
      </c>
      <c r="E1820" s="709" t="s">
        <v>8432</v>
      </c>
      <c r="F1820" s="716">
        <v>120.61</v>
      </c>
      <c r="G1820" s="716">
        <v>107.56</v>
      </c>
      <c r="H1820" s="225">
        <f t="shared" si="28"/>
        <v>120.61</v>
      </c>
    </row>
    <row r="1821" spans="1:8" x14ac:dyDescent="0.3">
      <c r="A1821" s="401"/>
      <c r="B1821" s="709">
        <v>44041</v>
      </c>
      <c r="C1821" s="710" t="s">
        <v>10198</v>
      </c>
      <c r="D1821" s="709" t="s">
        <v>159</v>
      </c>
      <c r="E1821" s="709" t="s">
        <v>8432</v>
      </c>
      <c r="F1821" s="716">
        <v>61.18</v>
      </c>
      <c r="G1821" s="716">
        <v>54.56</v>
      </c>
      <c r="H1821" s="225">
        <f t="shared" si="28"/>
        <v>61.18</v>
      </c>
    </row>
    <row r="1822" spans="1:8" x14ac:dyDescent="0.3">
      <c r="A1822" s="401"/>
      <c r="B1822" s="709">
        <v>44042</v>
      </c>
      <c r="C1822" s="710" t="s">
        <v>10199</v>
      </c>
      <c r="D1822" s="709" t="s">
        <v>159</v>
      </c>
      <c r="E1822" s="709" t="s">
        <v>8432</v>
      </c>
      <c r="F1822" s="716">
        <v>76.23</v>
      </c>
      <c r="G1822" s="716">
        <v>67.98</v>
      </c>
      <c r="H1822" s="225">
        <f t="shared" si="28"/>
        <v>76.23</v>
      </c>
    </row>
    <row r="1823" spans="1:8" x14ac:dyDescent="0.3">
      <c r="A1823" s="401"/>
      <c r="B1823" s="709">
        <v>43961</v>
      </c>
      <c r="C1823" s="710" t="s">
        <v>10200</v>
      </c>
      <c r="D1823" s="709" t="s">
        <v>159</v>
      </c>
      <c r="E1823" s="709" t="s">
        <v>8438</v>
      </c>
      <c r="F1823" s="716">
        <v>20.7</v>
      </c>
      <c r="G1823" s="716">
        <v>18.46</v>
      </c>
      <c r="H1823" s="225">
        <f t="shared" si="28"/>
        <v>20.7</v>
      </c>
    </row>
    <row r="1824" spans="1:8" x14ac:dyDescent="0.3">
      <c r="A1824" s="401"/>
      <c r="B1824" s="709">
        <v>43959</v>
      </c>
      <c r="C1824" s="710" t="s">
        <v>10201</v>
      </c>
      <c r="D1824" s="709" t="s">
        <v>159</v>
      </c>
      <c r="E1824" s="709" t="s">
        <v>8432</v>
      </c>
      <c r="F1824" s="716">
        <v>23.98</v>
      </c>
      <c r="G1824" s="716">
        <v>21.39</v>
      </c>
      <c r="H1824" s="225">
        <f t="shared" si="28"/>
        <v>23.98</v>
      </c>
    </row>
    <row r="1825" spans="1:8" x14ac:dyDescent="0.3">
      <c r="A1825" s="401"/>
      <c r="B1825" s="709">
        <v>43962</v>
      </c>
      <c r="C1825" s="710" t="s">
        <v>10202</v>
      </c>
      <c r="D1825" s="709" t="s">
        <v>159</v>
      </c>
      <c r="E1825" s="709" t="s">
        <v>8432</v>
      </c>
      <c r="F1825" s="716">
        <v>25.87</v>
      </c>
      <c r="G1825" s="716">
        <v>23.07</v>
      </c>
      <c r="H1825" s="225">
        <f t="shared" si="28"/>
        <v>25.87</v>
      </c>
    </row>
    <row r="1826" spans="1:8" x14ac:dyDescent="0.3">
      <c r="A1826" s="401"/>
      <c r="B1826" s="709">
        <v>43960</v>
      </c>
      <c r="C1826" s="710" t="s">
        <v>10203</v>
      </c>
      <c r="D1826" s="709" t="s">
        <v>159</v>
      </c>
      <c r="E1826" s="709" t="s">
        <v>8432</v>
      </c>
      <c r="F1826" s="716">
        <v>36.22</v>
      </c>
      <c r="G1826" s="716">
        <v>32.299999999999997</v>
      </c>
      <c r="H1826" s="225">
        <f t="shared" si="28"/>
        <v>36.22</v>
      </c>
    </row>
    <row r="1827" spans="1:8" x14ac:dyDescent="0.3">
      <c r="A1827" s="401"/>
      <c r="B1827" s="709">
        <v>43963</v>
      </c>
      <c r="C1827" s="710" t="s">
        <v>10204</v>
      </c>
      <c r="D1827" s="709" t="s">
        <v>159</v>
      </c>
      <c r="E1827" s="709" t="s">
        <v>8432</v>
      </c>
      <c r="F1827" s="716">
        <v>18.11</v>
      </c>
      <c r="G1827" s="716">
        <v>16.149999999999999</v>
      </c>
      <c r="H1827" s="225">
        <f t="shared" si="28"/>
        <v>18.11</v>
      </c>
    </row>
    <row r="1828" spans="1:8" x14ac:dyDescent="0.3">
      <c r="A1828" s="401"/>
      <c r="B1828" s="709">
        <v>43958</v>
      </c>
      <c r="C1828" s="710" t="s">
        <v>10205</v>
      </c>
      <c r="D1828" s="709" t="s">
        <v>159</v>
      </c>
      <c r="E1828" s="709" t="s">
        <v>8432</v>
      </c>
      <c r="F1828" s="716">
        <v>31.05</v>
      </c>
      <c r="G1828" s="716">
        <v>27.69</v>
      </c>
      <c r="H1828" s="225">
        <f t="shared" si="28"/>
        <v>31.05</v>
      </c>
    </row>
    <row r="1829" spans="1:8" x14ac:dyDescent="0.3">
      <c r="A1829" s="401"/>
      <c r="B1829" s="709">
        <v>41549</v>
      </c>
      <c r="C1829" s="710" t="s">
        <v>10206</v>
      </c>
      <c r="D1829" s="709" t="s">
        <v>159</v>
      </c>
      <c r="E1829" s="709" t="s">
        <v>8432</v>
      </c>
      <c r="F1829" s="716">
        <v>15.52</v>
      </c>
      <c r="G1829" s="716">
        <v>13.84</v>
      </c>
      <c r="H1829" s="225">
        <f t="shared" si="28"/>
        <v>15.52</v>
      </c>
    </row>
    <row r="1830" spans="1:8" x14ac:dyDescent="0.3">
      <c r="A1830" s="401"/>
      <c r="B1830" s="709">
        <v>10998</v>
      </c>
      <c r="C1830" s="710" t="s">
        <v>10207</v>
      </c>
      <c r="D1830" s="709" t="s">
        <v>175</v>
      </c>
      <c r="E1830" s="709" t="s">
        <v>8432</v>
      </c>
      <c r="F1830" s="716">
        <v>62.85</v>
      </c>
      <c r="G1830" s="716">
        <v>49.1</v>
      </c>
      <c r="H1830" s="225">
        <f t="shared" si="28"/>
        <v>62.85</v>
      </c>
    </row>
    <row r="1831" spans="1:8" x14ac:dyDescent="0.3">
      <c r="A1831" s="401"/>
      <c r="B1831" s="709">
        <v>11002</v>
      </c>
      <c r="C1831" s="710" t="s">
        <v>10208</v>
      </c>
      <c r="D1831" s="709" t="s">
        <v>175</v>
      </c>
      <c r="E1831" s="709" t="s">
        <v>8432</v>
      </c>
      <c r="F1831" s="716">
        <v>57.58</v>
      </c>
      <c r="G1831" s="716">
        <v>44.98</v>
      </c>
      <c r="H1831" s="225">
        <f t="shared" si="28"/>
        <v>57.58</v>
      </c>
    </row>
    <row r="1832" spans="1:8" x14ac:dyDescent="0.3">
      <c r="A1832" s="401"/>
      <c r="B1832" s="709">
        <v>10999</v>
      </c>
      <c r="C1832" s="710" t="s">
        <v>10209</v>
      </c>
      <c r="D1832" s="709" t="s">
        <v>175</v>
      </c>
      <c r="E1832" s="709" t="s">
        <v>8432</v>
      </c>
      <c r="F1832" s="716">
        <v>55.32</v>
      </c>
      <c r="G1832" s="716">
        <v>43.22</v>
      </c>
      <c r="H1832" s="225">
        <f t="shared" si="28"/>
        <v>55.32</v>
      </c>
    </row>
    <row r="1833" spans="1:8" x14ac:dyDescent="0.3">
      <c r="A1833" s="401"/>
      <c r="B1833" s="709">
        <v>10997</v>
      </c>
      <c r="C1833" s="710" t="s">
        <v>10210</v>
      </c>
      <c r="D1833" s="709" t="s">
        <v>175</v>
      </c>
      <c r="E1833" s="709" t="s">
        <v>8438</v>
      </c>
      <c r="F1833" s="716">
        <v>59.96</v>
      </c>
      <c r="G1833" s="716">
        <v>46.84</v>
      </c>
      <c r="H1833" s="225">
        <f t="shared" si="28"/>
        <v>59.96</v>
      </c>
    </row>
    <row r="1834" spans="1:8" x14ac:dyDescent="0.3">
      <c r="A1834" s="401"/>
      <c r="B1834" s="709">
        <v>2680</v>
      </c>
      <c r="C1834" s="710" t="s">
        <v>10211</v>
      </c>
      <c r="D1834" s="709" t="s">
        <v>159</v>
      </c>
      <c r="E1834" s="709" t="s">
        <v>8432</v>
      </c>
      <c r="F1834" s="716">
        <v>14.24</v>
      </c>
      <c r="G1834" s="716">
        <v>9.85</v>
      </c>
      <c r="H1834" s="225">
        <f t="shared" si="28"/>
        <v>14.24</v>
      </c>
    </row>
    <row r="1835" spans="1:8" x14ac:dyDescent="0.3">
      <c r="A1835" s="401"/>
      <c r="B1835" s="709">
        <v>2684</v>
      </c>
      <c r="C1835" s="710" t="s">
        <v>10212</v>
      </c>
      <c r="D1835" s="709" t="s">
        <v>159</v>
      </c>
      <c r="E1835" s="709" t="s">
        <v>8432</v>
      </c>
      <c r="F1835" s="716">
        <v>12.95</v>
      </c>
      <c r="G1835" s="716">
        <v>8.9600000000000009</v>
      </c>
      <c r="H1835" s="225">
        <f t="shared" si="28"/>
        <v>12.95</v>
      </c>
    </row>
    <row r="1836" spans="1:8" x14ac:dyDescent="0.3">
      <c r="A1836" s="401"/>
      <c r="B1836" s="709">
        <v>2685</v>
      </c>
      <c r="C1836" s="710" t="s">
        <v>10213</v>
      </c>
      <c r="D1836" s="709" t="s">
        <v>159</v>
      </c>
      <c r="E1836" s="709" t="s">
        <v>8432</v>
      </c>
      <c r="F1836" s="716">
        <v>9.73</v>
      </c>
      <c r="G1836" s="716">
        <v>6.73</v>
      </c>
      <c r="H1836" s="225">
        <f t="shared" si="28"/>
        <v>9.73</v>
      </c>
    </row>
    <row r="1837" spans="1:8" x14ac:dyDescent="0.3">
      <c r="A1837" s="401"/>
      <c r="B1837" s="709">
        <v>2673</v>
      </c>
      <c r="C1837" s="710" t="s">
        <v>10214</v>
      </c>
      <c r="D1837" s="709" t="s">
        <v>159</v>
      </c>
      <c r="E1837" s="709" t="s">
        <v>8438</v>
      </c>
      <c r="F1837" s="716">
        <v>5</v>
      </c>
      <c r="G1837" s="716">
        <v>3.46</v>
      </c>
      <c r="H1837" s="225">
        <f t="shared" si="28"/>
        <v>5</v>
      </c>
    </row>
    <row r="1838" spans="1:8" x14ac:dyDescent="0.3">
      <c r="A1838" s="401"/>
      <c r="B1838" s="709">
        <v>2682</v>
      </c>
      <c r="C1838" s="710" t="s">
        <v>10215</v>
      </c>
      <c r="D1838" s="709" t="s">
        <v>159</v>
      </c>
      <c r="E1838" s="709" t="s">
        <v>8432</v>
      </c>
      <c r="F1838" s="716">
        <v>33.94</v>
      </c>
      <c r="G1838" s="716">
        <v>23.49</v>
      </c>
      <c r="H1838" s="225">
        <f t="shared" si="28"/>
        <v>33.94</v>
      </c>
    </row>
    <row r="1839" spans="1:8" x14ac:dyDescent="0.3">
      <c r="A1839" s="401"/>
      <c r="B1839" s="709">
        <v>2681</v>
      </c>
      <c r="C1839" s="710" t="s">
        <v>10216</v>
      </c>
      <c r="D1839" s="709" t="s">
        <v>159</v>
      </c>
      <c r="E1839" s="709" t="s">
        <v>8432</v>
      </c>
      <c r="F1839" s="716">
        <v>23.27</v>
      </c>
      <c r="G1839" s="716">
        <v>16.100000000000001</v>
      </c>
      <c r="H1839" s="225">
        <f t="shared" si="28"/>
        <v>23.27</v>
      </c>
    </row>
    <row r="1840" spans="1:8" x14ac:dyDescent="0.3">
      <c r="A1840" s="401"/>
      <c r="B1840" s="709">
        <v>2686</v>
      </c>
      <c r="C1840" s="710" t="s">
        <v>10217</v>
      </c>
      <c r="D1840" s="709" t="s">
        <v>159</v>
      </c>
      <c r="E1840" s="709" t="s">
        <v>8432</v>
      </c>
      <c r="F1840" s="716">
        <v>42.57</v>
      </c>
      <c r="G1840" s="716">
        <v>29.45</v>
      </c>
      <c r="H1840" s="225">
        <f t="shared" si="28"/>
        <v>42.57</v>
      </c>
    </row>
    <row r="1841" spans="1:8" x14ac:dyDescent="0.3">
      <c r="A1841" s="401"/>
      <c r="B1841" s="709">
        <v>2674</v>
      </c>
      <c r="C1841" s="710" t="s">
        <v>10218</v>
      </c>
      <c r="D1841" s="709" t="s">
        <v>159</v>
      </c>
      <c r="E1841" s="709" t="s">
        <v>8432</v>
      </c>
      <c r="F1841" s="716">
        <v>6.22</v>
      </c>
      <c r="G1841" s="716">
        <v>4.3099999999999996</v>
      </c>
      <c r="H1841" s="225">
        <f t="shared" si="28"/>
        <v>6.22</v>
      </c>
    </row>
    <row r="1842" spans="1:8" x14ac:dyDescent="0.3">
      <c r="A1842" s="401"/>
      <c r="B1842" s="709">
        <v>2683</v>
      </c>
      <c r="C1842" s="710" t="s">
        <v>10219</v>
      </c>
      <c r="D1842" s="709" t="s">
        <v>159</v>
      </c>
      <c r="E1842" s="709" t="s">
        <v>8432</v>
      </c>
      <c r="F1842" s="716">
        <v>67.08</v>
      </c>
      <c r="G1842" s="716">
        <v>46.41</v>
      </c>
      <c r="H1842" s="225">
        <f t="shared" si="28"/>
        <v>67.08</v>
      </c>
    </row>
    <row r="1843" spans="1:8" x14ac:dyDescent="0.3">
      <c r="A1843" s="401"/>
      <c r="B1843" s="709">
        <v>2676</v>
      </c>
      <c r="C1843" s="710" t="s">
        <v>10220</v>
      </c>
      <c r="D1843" s="709" t="s">
        <v>159</v>
      </c>
      <c r="E1843" s="709" t="s">
        <v>8432</v>
      </c>
      <c r="F1843" s="716">
        <v>2.91</v>
      </c>
      <c r="G1843" s="716">
        <v>2.0099999999999998</v>
      </c>
      <c r="H1843" s="225">
        <f t="shared" si="28"/>
        <v>2.91</v>
      </c>
    </row>
    <row r="1844" spans="1:8" x14ac:dyDescent="0.3">
      <c r="A1844" s="401"/>
      <c r="B1844" s="709">
        <v>2678</v>
      </c>
      <c r="C1844" s="710" t="s">
        <v>10221</v>
      </c>
      <c r="D1844" s="709" t="s">
        <v>159</v>
      </c>
      <c r="E1844" s="709" t="s">
        <v>8432</v>
      </c>
      <c r="F1844" s="716">
        <v>3.64</v>
      </c>
      <c r="G1844" s="716">
        <v>2.52</v>
      </c>
      <c r="H1844" s="225">
        <f t="shared" si="28"/>
        <v>3.64</v>
      </c>
    </row>
    <row r="1845" spans="1:8" x14ac:dyDescent="0.3">
      <c r="A1845" s="401"/>
      <c r="B1845" s="709">
        <v>2679</v>
      </c>
      <c r="C1845" s="710" t="s">
        <v>10222</v>
      </c>
      <c r="D1845" s="709" t="s">
        <v>159</v>
      </c>
      <c r="E1845" s="709" t="s">
        <v>8432</v>
      </c>
      <c r="F1845" s="716">
        <v>5.61</v>
      </c>
      <c r="G1845" s="716">
        <v>3.88</v>
      </c>
      <c r="H1845" s="225">
        <f t="shared" si="28"/>
        <v>5.61</v>
      </c>
    </row>
    <row r="1846" spans="1:8" x14ac:dyDescent="0.3">
      <c r="A1846" s="401"/>
      <c r="B1846" s="709">
        <v>12070</v>
      </c>
      <c r="C1846" s="710" t="s">
        <v>10223</v>
      </c>
      <c r="D1846" s="709" t="s">
        <v>159</v>
      </c>
      <c r="E1846" s="709" t="s">
        <v>8432</v>
      </c>
      <c r="F1846" s="716">
        <v>7.81</v>
      </c>
      <c r="G1846" s="716">
        <v>5.4</v>
      </c>
      <c r="H1846" s="225">
        <f t="shared" si="28"/>
        <v>7.81</v>
      </c>
    </row>
    <row r="1847" spans="1:8" x14ac:dyDescent="0.3">
      <c r="A1847" s="401"/>
      <c r="B1847" s="709">
        <v>2675</v>
      </c>
      <c r="C1847" s="710" t="s">
        <v>10224</v>
      </c>
      <c r="D1847" s="709" t="s">
        <v>159</v>
      </c>
      <c r="E1847" s="709" t="s">
        <v>8432</v>
      </c>
      <c r="F1847" s="716">
        <v>10.16</v>
      </c>
      <c r="G1847" s="716">
        <v>7.03</v>
      </c>
      <c r="H1847" s="225">
        <f t="shared" si="28"/>
        <v>10.16</v>
      </c>
    </row>
    <row r="1848" spans="1:8" x14ac:dyDescent="0.3">
      <c r="A1848" s="401"/>
      <c r="B1848" s="709">
        <v>12067</v>
      </c>
      <c r="C1848" s="710" t="s">
        <v>10225</v>
      </c>
      <c r="D1848" s="709" t="s">
        <v>159</v>
      </c>
      <c r="E1848" s="709" t="s">
        <v>8432</v>
      </c>
      <c r="F1848" s="716">
        <v>13.78</v>
      </c>
      <c r="G1848" s="716">
        <v>9.5299999999999994</v>
      </c>
      <c r="H1848" s="225">
        <f t="shared" si="28"/>
        <v>13.78</v>
      </c>
    </row>
    <row r="1849" spans="1:8" x14ac:dyDescent="0.3">
      <c r="A1849" s="401"/>
      <c r="B1849" s="709">
        <v>21128</v>
      </c>
      <c r="C1849" s="710" t="s">
        <v>10226</v>
      </c>
      <c r="D1849" s="709" t="s">
        <v>159</v>
      </c>
      <c r="E1849" s="709" t="s">
        <v>8438</v>
      </c>
      <c r="F1849" s="716">
        <v>12.87</v>
      </c>
      <c r="G1849" s="716">
        <v>9.48</v>
      </c>
      <c r="H1849" s="225">
        <f t="shared" si="28"/>
        <v>12.87</v>
      </c>
    </row>
    <row r="1850" spans="1:8" x14ac:dyDescent="0.3">
      <c r="A1850" s="401"/>
      <c r="B1850" s="709">
        <v>40400</v>
      </c>
      <c r="C1850" s="710" t="s">
        <v>10227</v>
      </c>
      <c r="D1850" s="709" t="s">
        <v>159</v>
      </c>
      <c r="E1850" s="709" t="s">
        <v>8432</v>
      </c>
      <c r="F1850" s="716">
        <v>2.71</v>
      </c>
      <c r="G1850" s="716">
        <v>1.62</v>
      </c>
      <c r="H1850" s="225">
        <f t="shared" si="28"/>
        <v>2.71</v>
      </c>
    </row>
    <row r="1851" spans="1:8" x14ac:dyDescent="0.3">
      <c r="A1851" s="401"/>
      <c r="B1851" s="709">
        <v>40401</v>
      </c>
      <c r="C1851" s="710" t="s">
        <v>10228</v>
      </c>
      <c r="D1851" s="709" t="s">
        <v>159</v>
      </c>
      <c r="E1851" s="709" t="s">
        <v>8432</v>
      </c>
      <c r="F1851" s="716">
        <v>3.99</v>
      </c>
      <c r="G1851" s="716">
        <v>2.38</v>
      </c>
      <c r="H1851" s="225">
        <f t="shared" si="28"/>
        <v>3.99</v>
      </c>
    </row>
    <row r="1852" spans="1:8" x14ac:dyDescent="0.3">
      <c r="A1852" s="401"/>
      <c r="B1852" s="709">
        <v>40402</v>
      </c>
      <c r="C1852" s="710" t="s">
        <v>10229</v>
      </c>
      <c r="D1852" s="709" t="s">
        <v>159</v>
      </c>
      <c r="E1852" s="709" t="s">
        <v>8432</v>
      </c>
      <c r="F1852" s="716">
        <v>5.12</v>
      </c>
      <c r="G1852" s="716">
        <v>3.06</v>
      </c>
      <c r="H1852" s="225">
        <f t="shared" si="28"/>
        <v>5.12</v>
      </c>
    </row>
    <row r="1853" spans="1:8" x14ac:dyDescent="0.3">
      <c r="A1853" s="401"/>
      <c r="B1853" s="709">
        <v>21137</v>
      </c>
      <c r="C1853" s="710" t="s">
        <v>10230</v>
      </c>
      <c r="D1853" s="709" t="s">
        <v>159</v>
      </c>
      <c r="E1853" s="709" t="s">
        <v>8432</v>
      </c>
      <c r="F1853" s="716">
        <v>13.17</v>
      </c>
      <c r="G1853" s="716">
        <v>9.6999999999999993</v>
      </c>
      <c r="H1853" s="225">
        <f t="shared" si="28"/>
        <v>13.17</v>
      </c>
    </row>
    <row r="1854" spans="1:8" x14ac:dyDescent="0.3">
      <c r="A1854" s="401"/>
      <c r="B1854" s="709">
        <v>2504</v>
      </c>
      <c r="C1854" s="710" t="s">
        <v>10231</v>
      </c>
      <c r="D1854" s="709" t="s">
        <v>159</v>
      </c>
      <c r="E1854" s="709" t="s">
        <v>8432</v>
      </c>
      <c r="F1854" s="716">
        <v>14.28</v>
      </c>
      <c r="G1854" s="716">
        <v>10.52</v>
      </c>
      <c r="H1854" s="225">
        <f t="shared" si="28"/>
        <v>14.28</v>
      </c>
    </row>
    <row r="1855" spans="1:8" x14ac:dyDescent="0.3">
      <c r="A1855" s="401"/>
      <c r="B1855" s="709">
        <v>2501</v>
      </c>
      <c r="C1855" s="710" t="s">
        <v>10232</v>
      </c>
      <c r="D1855" s="709" t="s">
        <v>159</v>
      </c>
      <c r="E1855" s="709" t="s">
        <v>8432</v>
      </c>
      <c r="F1855" s="716">
        <v>18.73</v>
      </c>
      <c r="G1855" s="716">
        <v>13.79</v>
      </c>
      <c r="H1855" s="225">
        <f t="shared" si="28"/>
        <v>18.73</v>
      </c>
    </row>
    <row r="1856" spans="1:8" x14ac:dyDescent="0.3">
      <c r="A1856" s="401"/>
      <c r="B1856" s="709">
        <v>2502</v>
      </c>
      <c r="C1856" s="710" t="s">
        <v>10233</v>
      </c>
      <c r="D1856" s="709" t="s">
        <v>159</v>
      </c>
      <c r="E1856" s="709" t="s">
        <v>8432</v>
      </c>
      <c r="F1856" s="716">
        <v>28.26</v>
      </c>
      <c r="G1856" s="716">
        <v>20.81</v>
      </c>
      <c r="H1856" s="225">
        <f t="shared" si="28"/>
        <v>28.26</v>
      </c>
    </row>
    <row r="1857" spans="1:8" x14ac:dyDescent="0.3">
      <c r="A1857" s="401"/>
      <c r="B1857" s="709">
        <v>2503</v>
      </c>
      <c r="C1857" s="710" t="s">
        <v>10234</v>
      </c>
      <c r="D1857" s="709" t="s">
        <v>159</v>
      </c>
      <c r="E1857" s="709" t="s">
        <v>8432</v>
      </c>
      <c r="F1857" s="716">
        <v>36.369999999999997</v>
      </c>
      <c r="G1857" s="716">
        <v>26.79</v>
      </c>
      <c r="H1857" s="225">
        <f t="shared" si="28"/>
        <v>36.369999999999997</v>
      </c>
    </row>
    <row r="1858" spans="1:8" x14ac:dyDescent="0.3">
      <c r="A1858" s="401"/>
      <c r="B1858" s="709">
        <v>2500</v>
      </c>
      <c r="C1858" s="710" t="s">
        <v>10235</v>
      </c>
      <c r="D1858" s="709" t="s">
        <v>159</v>
      </c>
      <c r="E1858" s="709" t="s">
        <v>8432</v>
      </c>
      <c r="F1858" s="716">
        <v>48.44</v>
      </c>
      <c r="G1858" s="716">
        <v>35.68</v>
      </c>
      <c r="H1858" s="225">
        <f t="shared" si="28"/>
        <v>48.44</v>
      </c>
    </row>
    <row r="1859" spans="1:8" x14ac:dyDescent="0.3">
      <c r="A1859" s="401"/>
      <c r="B1859" s="709">
        <v>2505</v>
      </c>
      <c r="C1859" s="710" t="s">
        <v>10236</v>
      </c>
      <c r="D1859" s="709" t="s">
        <v>159</v>
      </c>
      <c r="E1859" s="709" t="s">
        <v>8432</v>
      </c>
      <c r="F1859" s="716">
        <v>75.489999999999995</v>
      </c>
      <c r="G1859" s="716">
        <v>55.61</v>
      </c>
      <c r="H1859" s="225">
        <f t="shared" si="28"/>
        <v>75.489999999999995</v>
      </c>
    </row>
    <row r="1860" spans="1:8" x14ac:dyDescent="0.3">
      <c r="A1860" s="401"/>
      <c r="B1860" s="709">
        <v>12056</v>
      </c>
      <c r="C1860" s="710" t="s">
        <v>10237</v>
      </c>
      <c r="D1860" s="709" t="s">
        <v>159</v>
      </c>
      <c r="E1860" s="709" t="s">
        <v>8432</v>
      </c>
      <c r="F1860" s="716">
        <v>30.5</v>
      </c>
      <c r="G1860" s="716">
        <v>22.47</v>
      </c>
      <c r="H1860" s="225">
        <f t="shared" si="28"/>
        <v>30.5</v>
      </c>
    </row>
    <row r="1861" spans="1:8" x14ac:dyDescent="0.3">
      <c r="A1861" s="401"/>
      <c r="B1861" s="709">
        <v>12057</v>
      </c>
      <c r="C1861" s="710" t="s">
        <v>10238</v>
      </c>
      <c r="D1861" s="709" t="s">
        <v>159</v>
      </c>
      <c r="E1861" s="709" t="s">
        <v>8432</v>
      </c>
      <c r="F1861" s="716">
        <v>25.91</v>
      </c>
      <c r="G1861" s="716">
        <v>19.079999999999998</v>
      </c>
      <c r="H1861" s="225">
        <f t="shared" si="28"/>
        <v>25.91</v>
      </c>
    </row>
    <row r="1862" spans="1:8" x14ac:dyDescent="0.3">
      <c r="A1862" s="401"/>
      <c r="B1862" s="709">
        <v>12058</v>
      </c>
      <c r="C1862" s="710" t="s">
        <v>10239</v>
      </c>
      <c r="D1862" s="709" t="s">
        <v>159</v>
      </c>
      <c r="E1862" s="709" t="s">
        <v>8432</v>
      </c>
      <c r="F1862" s="716">
        <v>16.149999999999999</v>
      </c>
      <c r="G1862" s="716">
        <v>11.89</v>
      </c>
      <c r="H1862" s="225">
        <f t="shared" si="28"/>
        <v>16.149999999999999</v>
      </c>
    </row>
    <row r="1863" spans="1:8" x14ac:dyDescent="0.3">
      <c r="A1863" s="401"/>
      <c r="B1863" s="709">
        <v>12059</v>
      </c>
      <c r="C1863" s="710" t="s">
        <v>10240</v>
      </c>
      <c r="D1863" s="709" t="s">
        <v>159</v>
      </c>
      <c r="E1863" s="709" t="s">
        <v>8432</v>
      </c>
      <c r="F1863" s="716">
        <v>9.09</v>
      </c>
      <c r="G1863" s="716">
        <v>6.69</v>
      </c>
      <c r="H1863" s="225">
        <f t="shared" si="28"/>
        <v>9.09</v>
      </c>
    </row>
    <row r="1864" spans="1:8" x14ac:dyDescent="0.3">
      <c r="A1864" s="401"/>
      <c r="B1864" s="709">
        <v>12060</v>
      </c>
      <c r="C1864" s="710" t="s">
        <v>10241</v>
      </c>
      <c r="D1864" s="709" t="s">
        <v>159</v>
      </c>
      <c r="E1864" s="709" t="s">
        <v>8432</v>
      </c>
      <c r="F1864" s="716">
        <v>67.319999999999993</v>
      </c>
      <c r="G1864" s="716">
        <v>49.58</v>
      </c>
      <c r="H1864" s="225">
        <f t="shared" si="28"/>
        <v>67.319999999999993</v>
      </c>
    </row>
    <row r="1865" spans="1:8" x14ac:dyDescent="0.3">
      <c r="A1865" s="401"/>
      <c r="B1865" s="709">
        <v>12061</v>
      </c>
      <c r="C1865" s="710" t="s">
        <v>10242</v>
      </c>
      <c r="D1865" s="709" t="s">
        <v>159</v>
      </c>
      <c r="E1865" s="709" t="s">
        <v>8432</v>
      </c>
      <c r="F1865" s="716">
        <v>41.1</v>
      </c>
      <c r="G1865" s="716">
        <v>30.27</v>
      </c>
      <c r="H1865" s="225">
        <f t="shared" si="28"/>
        <v>41.1</v>
      </c>
    </row>
    <row r="1866" spans="1:8" x14ac:dyDescent="0.3">
      <c r="A1866" s="401"/>
      <c r="B1866" s="709">
        <v>12062</v>
      </c>
      <c r="C1866" s="710" t="s">
        <v>10243</v>
      </c>
      <c r="D1866" s="709" t="s">
        <v>159</v>
      </c>
      <c r="E1866" s="709" t="s">
        <v>8432</v>
      </c>
      <c r="F1866" s="716">
        <v>75.8</v>
      </c>
      <c r="G1866" s="716">
        <v>55.83</v>
      </c>
      <c r="H1866" s="225">
        <f t="shared" si="28"/>
        <v>75.8</v>
      </c>
    </row>
    <row r="1867" spans="1:8" x14ac:dyDescent="0.3">
      <c r="A1867" s="401"/>
      <c r="B1867" s="709">
        <v>2687</v>
      </c>
      <c r="C1867" s="710" t="s">
        <v>10244</v>
      </c>
      <c r="D1867" s="709" t="s">
        <v>159</v>
      </c>
      <c r="E1867" s="709" t="s">
        <v>8432</v>
      </c>
      <c r="F1867" s="716">
        <v>2.54</v>
      </c>
      <c r="G1867" s="716">
        <v>1.75</v>
      </c>
      <c r="H1867" s="225">
        <f t="shared" ref="H1867:H1930" si="29">IF(F1867&gt;0,F1867,G1867)</f>
        <v>2.54</v>
      </c>
    </row>
    <row r="1868" spans="1:8" x14ac:dyDescent="0.3">
      <c r="A1868" s="401"/>
      <c r="B1868" s="709">
        <v>2689</v>
      </c>
      <c r="C1868" s="710" t="s">
        <v>10245</v>
      </c>
      <c r="D1868" s="709" t="s">
        <v>159</v>
      </c>
      <c r="E1868" s="709" t="s">
        <v>8432</v>
      </c>
      <c r="F1868" s="716">
        <v>3.02</v>
      </c>
      <c r="G1868" s="716">
        <v>2.09</v>
      </c>
      <c r="H1868" s="225">
        <f t="shared" si="29"/>
        <v>3.02</v>
      </c>
    </row>
    <row r="1869" spans="1:8" x14ac:dyDescent="0.3">
      <c r="A1869" s="401"/>
      <c r="B1869" s="709">
        <v>2688</v>
      </c>
      <c r="C1869" s="710" t="s">
        <v>10246</v>
      </c>
      <c r="D1869" s="709" t="s">
        <v>159</v>
      </c>
      <c r="E1869" s="709" t="s">
        <v>8432</v>
      </c>
      <c r="F1869" s="716">
        <v>3.27</v>
      </c>
      <c r="G1869" s="716">
        <v>2.2599999999999998</v>
      </c>
      <c r="H1869" s="225">
        <f t="shared" si="29"/>
        <v>3.27</v>
      </c>
    </row>
    <row r="1870" spans="1:8" x14ac:dyDescent="0.3">
      <c r="A1870" s="401"/>
      <c r="B1870" s="709">
        <v>2690</v>
      </c>
      <c r="C1870" s="710" t="s">
        <v>10247</v>
      </c>
      <c r="D1870" s="709" t="s">
        <v>159</v>
      </c>
      <c r="E1870" s="709" t="s">
        <v>8432</v>
      </c>
      <c r="F1870" s="716">
        <v>5.6</v>
      </c>
      <c r="G1870" s="716">
        <v>3.87</v>
      </c>
      <c r="H1870" s="225">
        <f t="shared" si="29"/>
        <v>5.6</v>
      </c>
    </row>
    <row r="1871" spans="1:8" x14ac:dyDescent="0.3">
      <c r="A1871" s="401"/>
      <c r="B1871" s="709">
        <v>39243</v>
      </c>
      <c r="C1871" s="710" t="s">
        <v>10248</v>
      </c>
      <c r="D1871" s="709" t="s">
        <v>159</v>
      </c>
      <c r="E1871" s="709" t="s">
        <v>8432</v>
      </c>
      <c r="F1871" s="716">
        <v>3.69</v>
      </c>
      <c r="G1871" s="716">
        <v>2.5499999999999998</v>
      </c>
      <c r="H1871" s="225">
        <f t="shared" si="29"/>
        <v>3.69</v>
      </c>
    </row>
    <row r="1872" spans="1:8" x14ac:dyDescent="0.3">
      <c r="A1872" s="401"/>
      <c r="B1872" s="709">
        <v>39244</v>
      </c>
      <c r="C1872" s="710" t="s">
        <v>10249</v>
      </c>
      <c r="D1872" s="709" t="s">
        <v>159</v>
      </c>
      <c r="E1872" s="709" t="s">
        <v>8432</v>
      </c>
      <c r="F1872" s="716">
        <v>4.99</v>
      </c>
      <c r="G1872" s="716">
        <v>3.45</v>
      </c>
      <c r="H1872" s="225">
        <f t="shared" si="29"/>
        <v>4.99</v>
      </c>
    </row>
    <row r="1873" spans="1:8" x14ac:dyDescent="0.3">
      <c r="A1873" s="401"/>
      <c r="B1873" s="709">
        <v>39245</v>
      </c>
      <c r="C1873" s="710" t="s">
        <v>10250</v>
      </c>
      <c r="D1873" s="709" t="s">
        <v>159</v>
      </c>
      <c r="E1873" s="709" t="s">
        <v>8432</v>
      </c>
      <c r="F1873" s="716">
        <v>9.6</v>
      </c>
      <c r="G1873" s="716">
        <v>6.64</v>
      </c>
      <c r="H1873" s="225">
        <f t="shared" si="29"/>
        <v>9.6</v>
      </c>
    </row>
    <row r="1874" spans="1:8" x14ac:dyDescent="0.3">
      <c r="A1874" s="401"/>
      <c r="B1874" s="709">
        <v>39255</v>
      </c>
      <c r="C1874" s="710" t="s">
        <v>10251</v>
      </c>
      <c r="D1874" s="709" t="s">
        <v>159</v>
      </c>
      <c r="E1874" s="709" t="s">
        <v>8432</v>
      </c>
      <c r="F1874" s="716">
        <v>26.57</v>
      </c>
      <c r="G1874" s="716">
        <v>18.39</v>
      </c>
      <c r="H1874" s="225">
        <f t="shared" si="29"/>
        <v>26.57</v>
      </c>
    </row>
    <row r="1875" spans="1:8" x14ac:dyDescent="0.3">
      <c r="A1875" s="401"/>
      <c r="B1875" s="709">
        <v>39254</v>
      </c>
      <c r="C1875" s="710" t="s">
        <v>10252</v>
      </c>
      <c r="D1875" s="709" t="s">
        <v>159</v>
      </c>
      <c r="E1875" s="709" t="s">
        <v>8432</v>
      </c>
      <c r="F1875" s="716">
        <v>14.36</v>
      </c>
      <c r="G1875" s="716">
        <v>9.94</v>
      </c>
      <c r="H1875" s="225">
        <f t="shared" si="29"/>
        <v>14.36</v>
      </c>
    </row>
    <row r="1876" spans="1:8" x14ac:dyDescent="0.3">
      <c r="A1876" s="401"/>
      <c r="B1876" s="709">
        <v>39253</v>
      </c>
      <c r="C1876" s="710" t="s">
        <v>10253</v>
      </c>
      <c r="D1876" s="709" t="s">
        <v>159</v>
      </c>
      <c r="E1876" s="709" t="s">
        <v>8432</v>
      </c>
      <c r="F1876" s="716">
        <v>18.3</v>
      </c>
      <c r="G1876" s="716">
        <v>12.66</v>
      </c>
      <c r="H1876" s="225">
        <f t="shared" si="29"/>
        <v>18.3</v>
      </c>
    </row>
    <row r="1877" spans="1:8" x14ac:dyDescent="0.3">
      <c r="A1877" s="401"/>
      <c r="B1877" s="709">
        <v>39246</v>
      </c>
      <c r="C1877" s="710" t="s">
        <v>10254</v>
      </c>
      <c r="D1877" s="709" t="s">
        <v>159</v>
      </c>
      <c r="E1877" s="709" t="s">
        <v>8432</v>
      </c>
      <c r="F1877" s="716">
        <v>6.93</v>
      </c>
      <c r="G1877" s="716">
        <v>4.1399999999999997</v>
      </c>
      <c r="H1877" s="225">
        <f t="shared" si="29"/>
        <v>6.93</v>
      </c>
    </row>
    <row r="1878" spans="1:8" x14ac:dyDescent="0.3">
      <c r="A1878" s="401"/>
      <c r="B1878" s="709">
        <v>39247</v>
      </c>
      <c r="C1878" s="710" t="s">
        <v>10255</v>
      </c>
      <c r="D1878" s="709" t="s">
        <v>159</v>
      </c>
      <c r="E1878" s="709" t="s">
        <v>8432</v>
      </c>
      <c r="F1878" s="716">
        <v>6.04</v>
      </c>
      <c r="G1878" s="716">
        <v>3.61</v>
      </c>
      <c r="H1878" s="225">
        <f t="shared" si="29"/>
        <v>6.04</v>
      </c>
    </row>
    <row r="1879" spans="1:8" x14ac:dyDescent="0.3">
      <c r="A1879" s="401"/>
      <c r="B1879" s="709">
        <v>2446</v>
      </c>
      <c r="C1879" s="710" t="s">
        <v>10256</v>
      </c>
      <c r="D1879" s="709" t="s">
        <v>159</v>
      </c>
      <c r="E1879" s="709" t="s">
        <v>8438</v>
      </c>
      <c r="F1879" s="716">
        <v>9.9499999999999993</v>
      </c>
      <c r="G1879" s="716">
        <v>5.95</v>
      </c>
      <c r="H1879" s="225">
        <f t="shared" si="29"/>
        <v>9.9499999999999993</v>
      </c>
    </row>
    <row r="1880" spans="1:8" x14ac:dyDescent="0.3">
      <c r="A1880" s="401"/>
      <c r="B1880" s="709">
        <v>2442</v>
      </c>
      <c r="C1880" s="710" t="s">
        <v>10257</v>
      </c>
      <c r="D1880" s="709" t="s">
        <v>159</v>
      </c>
      <c r="E1880" s="709" t="s">
        <v>8432</v>
      </c>
      <c r="F1880" s="716">
        <v>13.94</v>
      </c>
      <c r="G1880" s="716">
        <v>8.33</v>
      </c>
      <c r="H1880" s="225">
        <f t="shared" si="29"/>
        <v>13.94</v>
      </c>
    </row>
    <row r="1881" spans="1:8" x14ac:dyDescent="0.3">
      <c r="A1881" s="401"/>
      <c r="B1881" s="709">
        <v>39248</v>
      </c>
      <c r="C1881" s="710" t="s">
        <v>10258</v>
      </c>
      <c r="D1881" s="709" t="s">
        <v>159</v>
      </c>
      <c r="E1881" s="709" t="s">
        <v>8432</v>
      </c>
      <c r="F1881" s="716">
        <v>19.43</v>
      </c>
      <c r="G1881" s="716">
        <v>11.62</v>
      </c>
      <c r="H1881" s="225">
        <f t="shared" si="29"/>
        <v>19.43</v>
      </c>
    </row>
    <row r="1882" spans="1:8" x14ac:dyDescent="0.3">
      <c r="A1882" s="401"/>
      <c r="B1882" s="709">
        <v>2438</v>
      </c>
      <c r="C1882" s="710" t="s">
        <v>10259</v>
      </c>
      <c r="D1882" s="709" t="s">
        <v>234</v>
      </c>
      <c r="E1882" s="709" t="s">
        <v>8432</v>
      </c>
      <c r="F1882" s="716">
        <v>30.79</v>
      </c>
      <c r="G1882" s="716">
        <v>40.700000000000003</v>
      </c>
      <c r="H1882" s="225">
        <f t="shared" si="29"/>
        <v>30.79</v>
      </c>
    </row>
    <row r="1883" spans="1:8" x14ac:dyDescent="0.3">
      <c r="A1883" s="401"/>
      <c r="B1883" s="709">
        <v>40922</v>
      </c>
      <c r="C1883" s="710" t="s">
        <v>10260</v>
      </c>
      <c r="D1883" s="709" t="s">
        <v>208</v>
      </c>
      <c r="E1883" s="709" t="s">
        <v>8432</v>
      </c>
      <c r="F1883" s="716">
        <v>5414.57</v>
      </c>
      <c r="G1883" s="716">
        <v>7130.22</v>
      </c>
      <c r="H1883" s="225">
        <f t="shared" si="29"/>
        <v>5414.57</v>
      </c>
    </row>
    <row r="1884" spans="1:8" x14ac:dyDescent="0.3">
      <c r="A1884" s="401"/>
      <c r="B1884" s="709">
        <v>44342</v>
      </c>
      <c r="C1884" s="710" t="s">
        <v>10261</v>
      </c>
      <c r="D1884" s="709" t="s">
        <v>136</v>
      </c>
      <c r="E1884" s="709" t="s">
        <v>8432</v>
      </c>
      <c r="F1884" s="716">
        <v>24.82</v>
      </c>
      <c r="G1884" s="716">
        <v>22.13</v>
      </c>
      <c r="H1884" s="225">
        <f t="shared" si="29"/>
        <v>24.82</v>
      </c>
    </row>
    <row r="1885" spans="1:8" x14ac:dyDescent="0.3">
      <c r="A1885" s="401"/>
      <c r="B1885" s="709">
        <v>44343</v>
      </c>
      <c r="C1885" s="710" t="s">
        <v>10262</v>
      </c>
      <c r="D1885" s="709" t="s">
        <v>136</v>
      </c>
      <c r="E1885" s="709" t="s">
        <v>8432</v>
      </c>
      <c r="F1885" s="716">
        <v>26.89</v>
      </c>
      <c r="G1885" s="716">
        <v>23.98</v>
      </c>
      <c r="H1885" s="225">
        <f t="shared" si="29"/>
        <v>26.89</v>
      </c>
    </row>
    <row r="1886" spans="1:8" x14ac:dyDescent="0.3">
      <c r="A1886" s="401"/>
      <c r="B1886" s="709">
        <v>44340</v>
      </c>
      <c r="C1886" s="710" t="s">
        <v>10263</v>
      </c>
      <c r="D1886" s="709" t="s">
        <v>136</v>
      </c>
      <c r="E1886" s="709" t="s">
        <v>8432</v>
      </c>
      <c r="F1886" s="716">
        <v>17.54</v>
      </c>
      <c r="G1886" s="716">
        <v>15.64</v>
      </c>
      <c r="H1886" s="225">
        <f t="shared" si="29"/>
        <v>17.54</v>
      </c>
    </row>
    <row r="1887" spans="1:8" x14ac:dyDescent="0.3">
      <c r="A1887" s="401"/>
      <c r="B1887" s="709">
        <v>44341</v>
      </c>
      <c r="C1887" s="710" t="s">
        <v>10264</v>
      </c>
      <c r="D1887" s="709" t="s">
        <v>136</v>
      </c>
      <c r="E1887" s="709" t="s">
        <v>8432</v>
      </c>
      <c r="F1887" s="716">
        <v>20.3</v>
      </c>
      <c r="G1887" s="716">
        <v>18.100000000000001</v>
      </c>
      <c r="H1887" s="225">
        <f t="shared" si="29"/>
        <v>20.3</v>
      </c>
    </row>
    <row r="1888" spans="1:8" x14ac:dyDescent="0.3">
      <c r="A1888" s="401"/>
      <c r="B1888" s="709">
        <v>44338</v>
      </c>
      <c r="C1888" s="710" t="s">
        <v>10265</v>
      </c>
      <c r="D1888" s="709" t="s">
        <v>136</v>
      </c>
      <c r="E1888" s="709" t="s">
        <v>8432</v>
      </c>
      <c r="F1888" s="716">
        <v>10.039999999999999</v>
      </c>
      <c r="G1888" s="716">
        <v>8.9499999999999993</v>
      </c>
      <c r="H1888" s="225">
        <f t="shared" si="29"/>
        <v>10.039999999999999</v>
      </c>
    </row>
    <row r="1889" spans="1:8" x14ac:dyDescent="0.3">
      <c r="A1889" s="401"/>
      <c r="B1889" s="709">
        <v>44339</v>
      </c>
      <c r="C1889" s="710" t="s">
        <v>10266</v>
      </c>
      <c r="D1889" s="709" t="s">
        <v>136</v>
      </c>
      <c r="E1889" s="709" t="s">
        <v>8432</v>
      </c>
      <c r="F1889" s="716">
        <v>11.74</v>
      </c>
      <c r="G1889" s="716">
        <v>10.47</v>
      </c>
      <c r="H1889" s="225">
        <f t="shared" si="29"/>
        <v>11.74</v>
      </c>
    </row>
    <row r="1890" spans="1:8" x14ac:dyDescent="0.3">
      <c r="A1890" s="401"/>
      <c r="B1890" s="709">
        <v>44336</v>
      </c>
      <c r="C1890" s="710" t="s">
        <v>10267</v>
      </c>
      <c r="D1890" s="709" t="s">
        <v>136</v>
      </c>
      <c r="E1890" s="709" t="s">
        <v>8432</v>
      </c>
      <c r="F1890" s="716">
        <v>3.42</v>
      </c>
      <c r="G1890" s="716">
        <v>3.05</v>
      </c>
      <c r="H1890" s="225">
        <f t="shared" si="29"/>
        <v>3.42</v>
      </c>
    </row>
    <row r="1891" spans="1:8" x14ac:dyDescent="0.3">
      <c r="A1891" s="401"/>
      <c r="B1891" s="709">
        <v>41834</v>
      </c>
      <c r="C1891" s="710" t="s">
        <v>10268</v>
      </c>
      <c r="D1891" s="709" t="s">
        <v>136</v>
      </c>
      <c r="E1891" s="709" t="s">
        <v>8432</v>
      </c>
      <c r="F1891" s="716">
        <v>4.3099999999999996</v>
      </c>
      <c r="G1891" s="716">
        <v>3.84</v>
      </c>
      <c r="H1891" s="225">
        <f t="shared" si="29"/>
        <v>4.3099999999999996</v>
      </c>
    </row>
    <row r="1892" spans="1:8" x14ac:dyDescent="0.3">
      <c r="A1892" s="401"/>
      <c r="B1892" s="709">
        <v>44337</v>
      </c>
      <c r="C1892" s="710" t="s">
        <v>10269</v>
      </c>
      <c r="D1892" s="709" t="s">
        <v>136</v>
      </c>
      <c r="E1892" s="709" t="s">
        <v>8432</v>
      </c>
      <c r="F1892" s="716">
        <v>4.3099999999999996</v>
      </c>
      <c r="G1892" s="716">
        <v>3.84</v>
      </c>
      <c r="H1892" s="225">
        <f t="shared" si="29"/>
        <v>4.3099999999999996</v>
      </c>
    </row>
    <row r="1893" spans="1:8" x14ac:dyDescent="0.3">
      <c r="A1893" s="401"/>
      <c r="B1893" s="709">
        <v>43964</v>
      </c>
      <c r="C1893" s="710" t="s">
        <v>10270</v>
      </c>
      <c r="D1893" s="709" t="s">
        <v>136</v>
      </c>
      <c r="E1893" s="709" t="s">
        <v>8432</v>
      </c>
      <c r="F1893" s="716">
        <v>4.54</v>
      </c>
      <c r="G1893" s="716">
        <v>4.05</v>
      </c>
      <c r="H1893" s="225">
        <f t="shared" si="29"/>
        <v>4.54</v>
      </c>
    </row>
    <row r="1894" spans="1:8" x14ac:dyDescent="0.3">
      <c r="A1894" s="401"/>
      <c r="B1894" s="709">
        <v>44334</v>
      </c>
      <c r="C1894" s="710" t="s">
        <v>10271</v>
      </c>
      <c r="D1894" s="709" t="s">
        <v>136</v>
      </c>
      <c r="E1894" s="709" t="s">
        <v>8432</v>
      </c>
      <c r="F1894" s="716">
        <v>5.74</v>
      </c>
      <c r="G1894" s="716">
        <v>5.12</v>
      </c>
      <c r="H1894" s="225">
        <f t="shared" si="29"/>
        <v>5.74</v>
      </c>
    </row>
    <row r="1895" spans="1:8" x14ac:dyDescent="0.3">
      <c r="A1895" s="401"/>
      <c r="B1895" s="709">
        <v>44344</v>
      </c>
      <c r="C1895" s="710" t="s">
        <v>10272</v>
      </c>
      <c r="D1895" s="709" t="s">
        <v>136</v>
      </c>
      <c r="E1895" s="709" t="s">
        <v>8432</v>
      </c>
      <c r="F1895" s="716">
        <v>3.07</v>
      </c>
      <c r="G1895" s="716">
        <v>2.74</v>
      </c>
      <c r="H1895" s="225">
        <f t="shared" si="29"/>
        <v>3.07</v>
      </c>
    </row>
    <row r="1896" spans="1:8" x14ac:dyDescent="0.3">
      <c r="A1896" s="401"/>
      <c r="B1896" s="709">
        <v>44335</v>
      </c>
      <c r="C1896" s="710" t="s">
        <v>10273</v>
      </c>
      <c r="D1896" s="709" t="s">
        <v>136</v>
      </c>
      <c r="E1896" s="709" t="s">
        <v>8432</v>
      </c>
      <c r="F1896" s="716">
        <v>3.31</v>
      </c>
      <c r="G1896" s="716">
        <v>2.95</v>
      </c>
      <c r="H1896" s="225">
        <f t="shared" si="29"/>
        <v>3.31</v>
      </c>
    </row>
    <row r="1897" spans="1:8" x14ac:dyDescent="0.3">
      <c r="A1897" s="401"/>
      <c r="B1897" s="709">
        <v>12624</v>
      </c>
      <c r="C1897" s="710" t="s">
        <v>10274</v>
      </c>
      <c r="D1897" s="709" t="s">
        <v>136</v>
      </c>
      <c r="E1897" s="709" t="s">
        <v>8432</v>
      </c>
      <c r="F1897" s="716">
        <v>42.23</v>
      </c>
      <c r="G1897" s="716">
        <v>42.64</v>
      </c>
      <c r="H1897" s="225">
        <f t="shared" si="29"/>
        <v>42.23</v>
      </c>
    </row>
    <row r="1898" spans="1:8" x14ac:dyDescent="0.3">
      <c r="A1898" s="401"/>
      <c r="B1898" s="709">
        <v>517</v>
      </c>
      <c r="C1898" s="710" t="s">
        <v>10275</v>
      </c>
      <c r="D1898" s="709" t="s">
        <v>8120</v>
      </c>
      <c r="E1898" s="709" t="s">
        <v>8432</v>
      </c>
      <c r="F1898" s="716">
        <v>10.19</v>
      </c>
      <c r="G1898" s="716">
        <v>8.7200000000000006</v>
      </c>
      <c r="H1898" s="225">
        <f t="shared" si="29"/>
        <v>10.19</v>
      </c>
    </row>
    <row r="1899" spans="1:8" x14ac:dyDescent="0.3">
      <c r="A1899" s="401"/>
      <c r="B1899" s="709">
        <v>37534</v>
      </c>
      <c r="C1899" s="710" t="s">
        <v>10276</v>
      </c>
      <c r="D1899" s="709" t="s">
        <v>175</v>
      </c>
      <c r="E1899" s="709" t="s">
        <v>8432</v>
      </c>
      <c r="F1899" s="716"/>
      <c r="G1899" s="716">
        <v>30.2</v>
      </c>
      <c r="H1899" s="225">
        <f t="shared" si="29"/>
        <v>30.2</v>
      </c>
    </row>
    <row r="1900" spans="1:8" x14ac:dyDescent="0.3">
      <c r="A1900" s="401"/>
      <c r="B1900" s="709">
        <v>37535</v>
      </c>
      <c r="C1900" s="710" t="s">
        <v>10277</v>
      </c>
      <c r="D1900" s="709" t="s">
        <v>175</v>
      </c>
      <c r="E1900" s="709" t="s">
        <v>8432</v>
      </c>
      <c r="F1900" s="716"/>
      <c r="G1900" s="716">
        <v>30.2</v>
      </c>
      <c r="H1900" s="225">
        <f t="shared" si="29"/>
        <v>30.2</v>
      </c>
    </row>
    <row r="1901" spans="1:8" x14ac:dyDescent="0.3">
      <c r="A1901" s="401"/>
      <c r="B1901" s="709">
        <v>37533</v>
      </c>
      <c r="C1901" s="710" t="s">
        <v>10278</v>
      </c>
      <c r="D1901" s="709" t="s">
        <v>175</v>
      </c>
      <c r="E1901" s="709" t="s">
        <v>8432</v>
      </c>
      <c r="F1901" s="716"/>
      <c r="G1901" s="716">
        <v>30.2</v>
      </c>
      <c r="H1901" s="225">
        <f t="shared" si="29"/>
        <v>30.2</v>
      </c>
    </row>
    <row r="1902" spans="1:8" x14ac:dyDescent="0.3">
      <c r="A1902" s="401"/>
      <c r="B1902" s="709">
        <v>37537</v>
      </c>
      <c r="C1902" s="710" t="s">
        <v>10279</v>
      </c>
      <c r="D1902" s="709" t="s">
        <v>175</v>
      </c>
      <c r="E1902" s="709" t="s">
        <v>8432</v>
      </c>
      <c r="F1902" s="716"/>
      <c r="G1902" s="716">
        <v>22.85</v>
      </c>
      <c r="H1902" s="225">
        <f t="shared" si="29"/>
        <v>22.85</v>
      </c>
    </row>
    <row r="1903" spans="1:8" x14ac:dyDescent="0.3">
      <c r="A1903" s="401"/>
      <c r="B1903" s="709">
        <v>37536</v>
      </c>
      <c r="C1903" s="710" t="s">
        <v>10280</v>
      </c>
      <c r="D1903" s="709" t="s">
        <v>175</v>
      </c>
      <c r="E1903" s="709" t="s">
        <v>8432</v>
      </c>
      <c r="F1903" s="716"/>
      <c r="G1903" s="716">
        <v>22.85</v>
      </c>
      <c r="H1903" s="225">
        <f t="shared" si="29"/>
        <v>22.85</v>
      </c>
    </row>
    <row r="1904" spans="1:8" x14ac:dyDescent="0.3">
      <c r="A1904" s="401"/>
      <c r="B1904" s="709">
        <v>37532</v>
      </c>
      <c r="C1904" s="710" t="s">
        <v>10281</v>
      </c>
      <c r="D1904" s="709" t="s">
        <v>175</v>
      </c>
      <c r="E1904" s="709" t="s">
        <v>8438</v>
      </c>
      <c r="F1904" s="716"/>
      <c r="G1904" s="716">
        <v>22.85</v>
      </c>
      <c r="H1904" s="225">
        <f t="shared" si="29"/>
        <v>22.85</v>
      </c>
    </row>
    <row r="1905" spans="1:8" x14ac:dyDescent="0.3">
      <c r="A1905" s="401"/>
      <c r="B1905" s="709">
        <v>2696</v>
      </c>
      <c r="C1905" s="710" t="s">
        <v>10282</v>
      </c>
      <c r="D1905" s="709" t="s">
        <v>234</v>
      </c>
      <c r="E1905" s="709" t="s">
        <v>8438</v>
      </c>
      <c r="F1905" s="716">
        <v>24.16</v>
      </c>
      <c r="G1905" s="716">
        <v>31.62</v>
      </c>
      <c r="H1905" s="225">
        <f t="shared" si="29"/>
        <v>24.16</v>
      </c>
    </row>
    <row r="1906" spans="1:8" x14ac:dyDescent="0.3">
      <c r="A1906" s="401"/>
      <c r="B1906" s="709">
        <v>40928</v>
      </c>
      <c r="C1906" s="710" t="s">
        <v>10283</v>
      </c>
      <c r="D1906" s="709" t="s">
        <v>208</v>
      </c>
      <c r="E1906" s="709" t="s">
        <v>8432</v>
      </c>
      <c r="F1906" s="716">
        <v>4245.79</v>
      </c>
      <c r="G1906" s="716">
        <v>5539.72</v>
      </c>
      <c r="H1906" s="225">
        <f t="shared" si="29"/>
        <v>4245.79</v>
      </c>
    </row>
    <row r="1907" spans="1:8" x14ac:dyDescent="0.3">
      <c r="A1907" s="401"/>
      <c r="B1907" s="709">
        <v>4083</v>
      </c>
      <c r="C1907" s="710" t="s">
        <v>10284</v>
      </c>
      <c r="D1907" s="709" t="s">
        <v>234</v>
      </c>
      <c r="E1907" s="709" t="s">
        <v>8438</v>
      </c>
      <c r="F1907" s="716">
        <v>70.739999999999995</v>
      </c>
      <c r="G1907" s="716">
        <v>48.39</v>
      </c>
      <c r="H1907" s="225">
        <f t="shared" si="29"/>
        <v>70.739999999999995</v>
      </c>
    </row>
    <row r="1908" spans="1:8" x14ac:dyDescent="0.3">
      <c r="A1908" s="401"/>
      <c r="B1908" s="709">
        <v>40818</v>
      </c>
      <c r="C1908" s="710" t="s">
        <v>10285</v>
      </c>
      <c r="D1908" s="709" t="s">
        <v>208</v>
      </c>
      <c r="E1908" s="709" t="s">
        <v>8432</v>
      </c>
      <c r="F1908" s="716">
        <v>12431.98</v>
      </c>
      <c r="G1908" s="716">
        <v>8477.17</v>
      </c>
      <c r="H1908" s="225">
        <f t="shared" si="29"/>
        <v>12431.98</v>
      </c>
    </row>
    <row r="1909" spans="1:8" x14ac:dyDescent="0.3">
      <c r="A1909" s="401"/>
      <c r="B1909" s="709">
        <v>43146</v>
      </c>
      <c r="C1909" s="710" t="s">
        <v>10286</v>
      </c>
      <c r="D1909" s="709" t="s">
        <v>175</v>
      </c>
      <c r="E1909" s="709" t="s">
        <v>8432</v>
      </c>
      <c r="F1909" s="716">
        <v>9.3000000000000007</v>
      </c>
      <c r="G1909" s="716">
        <v>8.5299999999999994</v>
      </c>
      <c r="H1909" s="225">
        <f t="shared" si="29"/>
        <v>9.3000000000000007</v>
      </c>
    </row>
    <row r="1910" spans="1:8" x14ac:dyDescent="0.3">
      <c r="A1910" s="401"/>
      <c r="B1910" s="709">
        <v>2705</v>
      </c>
      <c r="C1910" s="710" t="s">
        <v>10287</v>
      </c>
      <c r="D1910" s="709" t="s">
        <v>10288</v>
      </c>
      <c r="E1910" s="709" t="s">
        <v>8432</v>
      </c>
      <c r="F1910" s="716">
        <v>1.05</v>
      </c>
      <c r="G1910" s="716">
        <v>0.87</v>
      </c>
      <c r="H1910" s="225">
        <f t="shared" si="29"/>
        <v>1.05</v>
      </c>
    </row>
    <row r="1911" spans="1:8" x14ac:dyDescent="0.3">
      <c r="A1911" s="401"/>
      <c r="B1911" s="709">
        <v>14250</v>
      </c>
      <c r="C1911" s="710" t="s">
        <v>10289</v>
      </c>
      <c r="D1911" s="709" t="s">
        <v>10288</v>
      </c>
      <c r="E1911" s="709" t="s">
        <v>8438</v>
      </c>
      <c r="F1911" s="716">
        <v>1.07</v>
      </c>
      <c r="G1911" s="716">
        <v>0.89</v>
      </c>
      <c r="H1911" s="225">
        <f t="shared" si="29"/>
        <v>1.07</v>
      </c>
    </row>
    <row r="1912" spans="1:8" x14ac:dyDescent="0.3">
      <c r="A1912" s="401"/>
      <c r="B1912" s="709">
        <v>11683</v>
      </c>
      <c r="C1912" s="710" t="s">
        <v>10290</v>
      </c>
      <c r="D1912" s="709" t="s">
        <v>136</v>
      </c>
      <c r="E1912" s="709" t="s">
        <v>8432</v>
      </c>
      <c r="F1912" s="716">
        <v>69.099999999999994</v>
      </c>
      <c r="G1912" s="716">
        <v>41.98</v>
      </c>
      <c r="H1912" s="225">
        <f t="shared" si="29"/>
        <v>69.099999999999994</v>
      </c>
    </row>
    <row r="1913" spans="1:8" x14ac:dyDescent="0.3">
      <c r="A1913" s="401"/>
      <c r="B1913" s="709">
        <v>11684</v>
      </c>
      <c r="C1913" s="710" t="s">
        <v>10291</v>
      </c>
      <c r="D1913" s="709" t="s">
        <v>136</v>
      </c>
      <c r="E1913" s="709" t="s">
        <v>8432</v>
      </c>
      <c r="F1913" s="716">
        <v>75.63</v>
      </c>
      <c r="G1913" s="716">
        <v>45.95</v>
      </c>
      <c r="H1913" s="225">
        <f t="shared" si="29"/>
        <v>75.63</v>
      </c>
    </row>
    <row r="1914" spans="1:8" x14ac:dyDescent="0.3">
      <c r="A1914" s="401"/>
      <c r="B1914" s="709">
        <v>6141</v>
      </c>
      <c r="C1914" s="710" t="s">
        <v>10292</v>
      </c>
      <c r="D1914" s="709" t="s">
        <v>136</v>
      </c>
      <c r="E1914" s="709" t="s">
        <v>8432</v>
      </c>
      <c r="F1914" s="716">
        <v>6.68</v>
      </c>
      <c r="G1914" s="716">
        <v>6.34</v>
      </c>
      <c r="H1914" s="225">
        <f t="shared" si="29"/>
        <v>6.68</v>
      </c>
    </row>
    <row r="1915" spans="1:8" x14ac:dyDescent="0.3">
      <c r="A1915" s="401"/>
      <c r="B1915" s="709">
        <v>11681</v>
      </c>
      <c r="C1915" s="710" t="s">
        <v>10293</v>
      </c>
      <c r="D1915" s="709" t="s">
        <v>136</v>
      </c>
      <c r="E1915" s="709" t="s">
        <v>8432</v>
      </c>
      <c r="F1915" s="716">
        <v>8.42</v>
      </c>
      <c r="G1915" s="716">
        <v>8</v>
      </c>
      <c r="H1915" s="225">
        <f t="shared" si="29"/>
        <v>8.42</v>
      </c>
    </row>
    <row r="1916" spans="1:8" x14ac:dyDescent="0.3">
      <c r="A1916" s="401"/>
      <c r="B1916" s="709">
        <v>2706</v>
      </c>
      <c r="C1916" s="710" t="s">
        <v>10294</v>
      </c>
      <c r="D1916" s="709" t="s">
        <v>234</v>
      </c>
      <c r="E1916" s="709" t="s">
        <v>8438</v>
      </c>
      <c r="F1916" s="716">
        <v>132.74</v>
      </c>
      <c r="G1916" s="716">
        <v>134.66</v>
      </c>
      <c r="H1916" s="225">
        <f t="shared" si="29"/>
        <v>132.74</v>
      </c>
    </row>
    <row r="1917" spans="1:8" x14ac:dyDescent="0.3">
      <c r="A1917" s="401"/>
      <c r="B1917" s="709">
        <v>40811</v>
      </c>
      <c r="C1917" s="710" t="s">
        <v>10295</v>
      </c>
      <c r="D1917" s="709" t="s">
        <v>208</v>
      </c>
      <c r="E1917" s="709" t="s">
        <v>8432</v>
      </c>
      <c r="F1917" s="716">
        <v>23325.79</v>
      </c>
      <c r="G1917" s="716">
        <v>23586.2</v>
      </c>
      <c r="H1917" s="225">
        <f t="shared" si="29"/>
        <v>23325.79</v>
      </c>
    </row>
    <row r="1918" spans="1:8" x14ac:dyDescent="0.3">
      <c r="A1918" s="401"/>
      <c r="B1918" s="709">
        <v>2707</v>
      </c>
      <c r="C1918" s="710" t="s">
        <v>10296</v>
      </c>
      <c r="D1918" s="709" t="s">
        <v>234</v>
      </c>
      <c r="E1918" s="709" t="s">
        <v>8432</v>
      </c>
      <c r="F1918" s="716">
        <v>139.9</v>
      </c>
      <c r="G1918" s="716">
        <v>136.97999999999999</v>
      </c>
      <c r="H1918" s="225">
        <f t="shared" si="29"/>
        <v>139.9</v>
      </c>
    </row>
    <row r="1919" spans="1:8" x14ac:dyDescent="0.3">
      <c r="A1919" s="401"/>
      <c r="B1919" s="709">
        <v>40813</v>
      </c>
      <c r="C1919" s="710" t="s">
        <v>10297</v>
      </c>
      <c r="D1919" s="709" t="s">
        <v>208</v>
      </c>
      <c r="E1919" s="709" t="s">
        <v>8432</v>
      </c>
      <c r="F1919" s="716">
        <v>24586.78</v>
      </c>
      <c r="G1919" s="716">
        <v>23993.37</v>
      </c>
      <c r="H1919" s="225">
        <f t="shared" si="29"/>
        <v>24586.78</v>
      </c>
    </row>
    <row r="1920" spans="1:8" x14ac:dyDescent="0.3">
      <c r="A1920" s="401"/>
      <c r="B1920" s="709">
        <v>2708</v>
      </c>
      <c r="C1920" s="710" t="s">
        <v>10298</v>
      </c>
      <c r="D1920" s="709" t="s">
        <v>234</v>
      </c>
      <c r="E1920" s="709" t="s">
        <v>8432</v>
      </c>
      <c r="F1920" s="716">
        <v>153.97999999999999</v>
      </c>
      <c r="G1920" s="716">
        <v>191.87</v>
      </c>
      <c r="H1920" s="225">
        <f t="shared" si="29"/>
        <v>153.97999999999999</v>
      </c>
    </row>
    <row r="1921" spans="1:8" x14ac:dyDescent="0.3">
      <c r="A1921" s="401"/>
      <c r="B1921" s="709">
        <v>40814</v>
      </c>
      <c r="C1921" s="710" t="s">
        <v>10299</v>
      </c>
      <c r="D1921" s="709" t="s">
        <v>208</v>
      </c>
      <c r="E1921" s="709" t="s">
        <v>8432</v>
      </c>
      <c r="F1921" s="716">
        <v>27059.65</v>
      </c>
      <c r="G1921" s="716">
        <v>33609.839999999997</v>
      </c>
      <c r="H1921" s="225">
        <f t="shared" si="29"/>
        <v>27059.65</v>
      </c>
    </row>
    <row r="1922" spans="1:8" x14ac:dyDescent="0.3">
      <c r="A1922" s="401"/>
      <c r="B1922" s="709">
        <v>38403</v>
      </c>
      <c r="C1922" s="710" t="s">
        <v>10300</v>
      </c>
      <c r="D1922" s="709" t="s">
        <v>136</v>
      </c>
      <c r="E1922" s="709" t="s">
        <v>8432</v>
      </c>
      <c r="F1922" s="716">
        <v>70.599999999999994</v>
      </c>
      <c r="G1922" s="716">
        <v>69.430000000000007</v>
      </c>
      <c r="H1922" s="225">
        <f t="shared" si="29"/>
        <v>70.599999999999994</v>
      </c>
    </row>
    <row r="1923" spans="1:8" x14ac:dyDescent="0.3">
      <c r="A1923" s="401"/>
      <c r="B1923" s="709">
        <v>43482</v>
      </c>
      <c r="C1923" s="710" t="s">
        <v>10301</v>
      </c>
      <c r="D1923" s="709" t="s">
        <v>234</v>
      </c>
      <c r="E1923" s="709" t="s">
        <v>8438</v>
      </c>
      <c r="F1923" s="716">
        <v>0.82</v>
      </c>
      <c r="G1923" s="716">
        <v>0.75</v>
      </c>
      <c r="H1923" s="225">
        <f t="shared" si="29"/>
        <v>0.82</v>
      </c>
    </row>
    <row r="1924" spans="1:8" x14ac:dyDescent="0.3">
      <c r="A1924" s="401"/>
      <c r="B1924" s="709">
        <v>43494</v>
      </c>
      <c r="C1924" s="710" t="s">
        <v>10302</v>
      </c>
      <c r="D1924" s="709" t="s">
        <v>208</v>
      </c>
      <c r="E1924" s="709" t="s">
        <v>8438</v>
      </c>
      <c r="F1924" s="716">
        <v>137.97</v>
      </c>
      <c r="G1924" s="716">
        <v>124.49</v>
      </c>
      <c r="H1924" s="225">
        <f t="shared" si="29"/>
        <v>137.97</v>
      </c>
    </row>
    <row r="1925" spans="1:8" x14ac:dyDescent="0.3">
      <c r="A1925" s="401"/>
      <c r="B1925" s="709">
        <v>43483</v>
      </c>
      <c r="C1925" s="710" t="s">
        <v>10303</v>
      </c>
      <c r="D1925" s="709" t="s">
        <v>234</v>
      </c>
      <c r="E1925" s="709" t="s">
        <v>8438</v>
      </c>
      <c r="F1925" s="716">
        <v>1.6</v>
      </c>
      <c r="G1925" s="716">
        <v>1.45</v>
      </c>
      <c r="H1925" s="225">
        <f t="shared" si="29"/>
        <v>1.6</v>
      </c>
    </row>
    <row r="1926" spans="1:8" x14ac:dyDescent="0.3">
      <c r="A1926" s="401"/>
      <c r="B1926" s="709">
        <v>43495</v>
      </c>
      <c r="C1926" s="710" t="s">
        <v>10304</v>
      </c>
      <c r="D1926" s="709" t="s">
        <v>208</v>
      </c>
      <c r="E1926" s="709" t="s">
        <v>8438</v>
      </c>
      <c r="F1926" s="716">
        <v>267.11</v>
      </c>
      <c r="G1926" s="716">
        <v>240.95</v>
      </c>
      <c r="H1926" s="225">
        <f t="shared" si="29"/>
        <v>267.11</v>
      </c>
    </row>
    <row r="1927" spans="1:8" x14ac:dyDescent="0.3">
      <c r="A1927" s="401"/>
      <c r="B1927" s="709">
        <v>43484</v>
      </c>
      <c r="C1927" s="710" t="s">
        <v>10305</v>
      </c>
      <c r="D1927" s="709" t="s">
        <v>234</v>
      </c>
      <c r="E1927" s="709" t="s">
        <v>8438</v>
      </c>
      <c r="F1927" s="716">
        <v>1.52</v>
      </c>
      <c r="G1927" s="716">
        <v>1.38</v>
      </c>
      <c r="H1927" s="225">
        <f t="shared" si="29"/>
        <v>1.52</v>
      </c>
    </row>
    <row r="1928" spans="1:8" x14ac:dyDescent="0.3">
      <c r="A1928" s="401"/>
      <c r="B1928" s="709">
        <v>43496</v>
      </c>
      <c r="C1928" s="710" t="s">
        <v>10306</v>
      </c>
      <c r="D1928" s="709" t="s">
        <v>208</v>
      </c>
      <c r="E1928" s="709" t="s">
        <v>8438</v>
      </c>
      <c r="F1928" s="716">
        <v>254.69</v>
      </c>
      <c r="G1928" s="716">
        <v>229.76</v>
      </c>
      <c r="H1928" s="225">
        <f t="shared" si="29"/>
        <v>254.69</v>
      </c>
    </row>
    <row r="1929" spans="1:8" x14ac:dyDescent="0.3">
      <c r="A1929" s="401"/>
      <c r="B1929" s="709">
        <v>43485</v>
      </c>
      <c r="C1929" s="710" t="s">
        <v>10307</v>
      </c>
      <c r="D1929" s="709" t="s">
        <v>234</v>
      </c>
      <c r="E1929" s="709" t="s">
        <v>8438</v>
      </c>
      <c r="F1929" s="716">
        <v>1.36</v>
      </c>
      <c r="G1929" s="716">
        <v>1.23</v>
      </c>
      <c r="H1929" s="225">
        <f t="shared" si="29"/>
        <v>1.36</v>
      </c>
    </row>
    <row r="1930" spans="1:8" x14ac:dyDescent="0.3">
      <c r="A1930" s="401"/>
      <c r="B1930" s="709">
        <v>43497</v>
      </c>
      <c r="C1930" s="710" t="s">
        <v>10308</v>
      </c>
      <c r="D1930" s="709" t="s">
        <v>208</v>
      </c>
      <c r="E1930" s="709" t="s">
        <v>8438</v>
      </c>
      <c r="F1930" s="716">
        <v>227.86</v>
      </c>
      <c r="G1930" s="716">
        <v>205.62</v>
      </c>
      <c r="H1930" s="225">
        <f t="shared" si="29"/>
        <v>227.86</v>
      </c>
    </row>
    <row r="1931" spans="1:8" x14ac:dyDescent="0.3">
      <c r="A1931" s="401"/>
      <c r="B1931" s="709">
        <v>43487</v>
      </c>
      <c r="C1931" s="710" t="s">
        <v>10309</v>
      </c>
      <c r="D1931" s="709" t="s">
        <v>234</v>
      </c>
      <c r="E1931" s="709" t="s">
        <v>8438</v>
      </c>
      <c r="F1931" s="716">
        <v>1.41</v>
      </c>
      <c r="G1931" s="716">
        <v>1.27</v>
      </c>
      <c r="H1931" s="225">
        <f t="shared" ref="H1931:H1994" si="30">IF(F1931&gt;0,F1931,G1931)</f>
        <v>1.41</v>
      </c>
    </row>
    <row r="1932" spans="1:8" x14ac:dyDescent="0.3">
      <c r="A1932" s="401"/>
      <c r="B1932" s="709">
        <v>43499</v>
      </c>
      <c r="C1932" s="710" t="s">
        <v>10310</v>
      </c>
      <c r="D1932" s="709" t="s">
        <v>208</v>
      </c>
      <c r="E1932" s="709" t="s">
        <v>8438</v>
      </c>
      <c r="F1932" s="716">
        <v>235.42</v>
      </c>
      <c r="G1932" s="716">
        <v>212.36</v>
      </c>
      <c r="H1932" s="225">
        <f t="shared" si="30"/>
        <v>235.42</v>
      </c>
    </row>
    <row r="1933" spans="1:8" x14ac:dyDescent="0.3">
      <c r="A1933" s="401"/>
      <c r="B1933" s="709">
        <v>43486</v>
      </c>
      <c r="C1933" s="710" t="s">
        <v>10311</v>
      </c>
      <c r="D1933" s="709" t="s">
        <v>234</v>
      </c>
      <c r="E1933" s="709" t="s">
        <v>8438</v>
      </c>
      <c r="F1933" s="716">
        <v>1.01</v>
      </c>
      <c r="G1933" s="716">
        <v>0.92</v>
      </c>
      <c r="H1933" s="225">
        <f t="shared" si="30"/>
        <v>1.01</v>
      </c>
    </row>
    <row r="1934" spans="1:8" x14ac:dyDescent="0.3">
      <c r="A1934" s="401"/>
      <c r="B1934" s="709">
        <v>43498</v>
      </c>
      <c r="C1934" s="710" t="s">
        <v>10312</v>
      </c>
      <c r="D1934" s="709" t="s">
        <v>208</v>
      </c>
      <c r="E1934" s="709" t="s">
        <v>8438</v>
      </c>
      <c r="F1934" s="716">
        <v>169.49</v>
      </c>
      <c r="G1934" s="716">
        <v>152.93</v>
      </c>
      <c r="H1934" s="225">
        <f t="shared" si="30"/>
        <v>169.49</v>
      </c>
    </row>
    <row r="1935" spans="1:8" x14ac:dyDescent="0.3">
      <c r="A1935" s="401"/>
      <c r="B1935" s="709">
        <v>43488</v>
      </c>
      <c r="C1935" s="710" t="s">
        <v>10313</v>
      </c>
      <c r="D1935" s="709" t="s">
        <v>234</v>
      </c>
      <c r="E1935" s="709" t="s">
        <v>8438</v>
      </c>
      <c r="F1935" s="716">
        <v>1.02</v>
      </c>
      <c r="G1935" s="716">
        <v>0.92</v>
      </c>
      <c r="H1935" s="225">
        <f t="shared" si="30"/>
        <v>1.02</v>
      </c>
    </row>
    <row r="1936" spans="1:8" x14ac:dyDescent="0.3">
      <c r="A1936" s="401"/>
      <c r="B1936" s="709">
        <v>43500</v>
      </c>
      <c r="C1936" s="710" t="s">
        <v>10314</v>
      </c>
      <c r="D1936" s="709" t="s">
        <v>208</v>
      </c>
      <c r="E1936" s="709" t="s">
        <v>8438</v>
      </c>
      <c r="F1936" s="716">
        <v>170.53</v>
      </c>
      <c r="G1936" s="716">
        <v>153.80000000000001</v>
      </c>
      <c r="H1936" s="225">
        <f t="shared" si="30"/>
        <v>170.53</v>
      </c>
    </row>
    <row r="1937" spans="1:8" x14ac:dyDescent="0.3">
      <c r="A1937" s="401"/>
      <c r="B1937" s="709">
        <v>43489</v>
      </c>
      <c r="C1937" s="710" t="s">
        <v>10315</v>
      </c>
      <c r="D1937" s="709" t="s">
        <v>234</v>
      </c>
      <c r="E1937" s="709" t="s">
        <v>8438</v>
      </c>
      <c r="F1937" s="716">
        <v>1.62</v>
      </c>
      <c r="G1937" s="716">
        <v>1.47</v>
      </c>
      <c r="H1937" s="225">
        <f t="shared" si="30"/>
        <v>1.62</v>
      </c>
    </row>
    <row r="1938" spans="1:8" x14ac:dyDescent="0.3">
      <c r="A1938" s="401"/>
      <c r="B1938" s="709">
        <v>43501</v>
      </c>
      <c r="C1938" s="710" t="s">
        <v>10316</v>
      </c>
      <c r="D1938" s="709" t="s">
        <v>208</v>
      </c>
      <c r="E1938" s="709" t="s">
        <v>8438</v>
      </c>
      <c r="F1938" s="716">
        <v>271.42</v>
      </c>
      <c r="G1938" s="716">
        <v>244.86</v>
      </c>
      <c r="H1938" s="225">
        <f t="shared" si="30"/>
        <v>271.42</v>
      </c>
    </row>
    <row r="1939" spans="1:8" x14ac:dyDescent="0.3">
      <c r="A1939" s="401"/>
      <c r="B1939" s="709">
        <v>43490</v>
      </c>
      <c r="C1939" s="710" t="s">
        <v>10317</v>
      </c>
      <c r="D1939" s="709" t="s">
        <v>234</v>
      </c>
      <c r="E1939" s="709" t="s">
        <v>8438</v>
      </c>
      <c r="F1939" s="716">
        <v>2.06</v>
      </c>
      <c r="G1939" s="716">
        <v>1.87</v>
      </c>
      <c r="H1939" s="225">
        <f t="shared" si="30"/>
        <v>2.06</v>
      </c>
    </row>
    <row r="1940" spans="1:8" x14ac:dyDescent="0.3">
      <c r="A1940" s="401"/>
      <c r="B1940" s="709">
        <v>43502</v>
      </c>
      <c r="C1940" s="710" t="s">
        <v>10318</v>
      </c>
      <c r="D1940" s="709" t="s">
        <v>208</v>
      </c>
      <c r="E1940" s="709" t="s">
        <v>8438</v>
      </c>
      <c r="F1940" s="716">
        <v>344.99</v>
      </c>
      <c r="G1940" s="716">
        <v>311.25</v>
      </c>
      <c r="H1940" s="225">
        <f t="shared" si="30"/>
        <v>344.99</v>
      </c>
    </row>
    <row r="1941" spans="1:8" x14ac:dyDescent="0.3">
      <c r="A1941" s="401"/>
      <c r="B1941" s="709">
        <v>43491</v>
      </c>
      <c r="C1941" s="710" t="s">
        <v>10319</v>
      </c>
      <c r="D1941" s="709" t="s">
        <v>234</v>
      </c>
      <c r="E1941" s="709" t="s">
        <v>8438</v>
      </c>
      <c r="F1941" s="716">
        <v>1.7</v>
      </c>
      <c r="G1941" s="716">
        <v>1.54</v>
      </c>
      <c r="H1941" s="225">
        <f t="shared" si="30"/>
        <v>1.7</v>
      </c>
    </row>
    <row r="1942" spans="1:8" x14ac:dyDescent="0.3">
      <c r="A1942" s="401"/>
      <c r="B1942" s="709">
        <v>43503</v>
      </c>
      <c r="C1942" s="710" t="s">
        <v>10320</v>
      </c>
      <c r="D1942" s="709" t="s">
        <v>208</v>
      </c>
      <c r="E1942" s="709" t="s">
        <v>8438</v>
      </c>
      <c r="F1942" s="716">
        <v>284.18</v>
      </c>
      <c r="G1942" s="716">
        <v>256.38</v>
      </c>
      <c r="H1942" s="225">
        <f t="shared" si="30"/>
        <v>284.18</v>
      </c>
    </row>
    <row r="1943" spans="1:8" x14ac:dyDescent="0.3">
      <c r="A1943" s="401"/>
      <c r="B1943" s="709">
        <v>43492</v>
      </c>
      <c r="C1943" s="710" t="s">
        <v>10321</v>
      </c>
      <c r="D1943" s="709" t="s">
        <v>234</v>
      </c>
      <c r="E1943" s="709" t="s">
        <v>8438</v>
      </c>
      <c r="F1943" s="716">
        <v>2.4700000000000002</v>
      </c>
      <c r="G1943" s="716">
        <v>2.2400000000000002</v>
      </c>
      <c r="H1943" s="225">
        <f t="shared" si="30"/>
        <v>2.4700000000000002</v>
      </c>
    </row>
    <row r="1944" spans="1:8" x14ac:dyDescent="0.3">
      <c r="A1944" s="401"/>
      <c r="B1944" s="709">
        <v>43504</v>
      </c>
      <c r="C1944" s="710" t="s">
        <v>10322</v>
      </c>
      <c r="D1944" s="709" t="s">
        <v>208</v>
      </c>
      <c r="E1944" s="709" t="s">
        <v>8438</v>
      </c>
      <c r="F1944" s="716">
        <v>413.53</v>
      </c>
      <c r="G1944" s="716">
        <v>373.09</v>
      </c>
      <c r="H1944" s="225">
        <f t="shared" si="30"/>
        <v>413.53</v>
      </c>
    </row>
    <row r="1945" spans="1:8" x14ac:dyDescent="0.3">
      <c r="A1945" s="401"/>
      <c r="B1945" s="709">
        <v>43493</v>
      </c>
      <c r="C1945" s="710" t="s">
        <v>10323</v>
      </c>
      <c r="D1945" s="709" t="s">
        <v>234</v>
      </c>
      <c r="E1945" s="709" t="s">
        <v>8438</v>
      </c>
      <c r="F1945" s="716">
        <v>0.82</v>
      </c>
      <c r="G1945" s="716">
        <v>0.75</v>
      </c>
      <c r="H1945" s="225">
        <f t="shared" si="30"/>
        <v>0.82</v>
      </c>
    </row>
    <row r="1946" spans="1:8" x14ac:dyDescent="0.3">
      <c r="A1946" s="401"/>
      <c r="B1946" s="709">
        <v>43505</v>
      </c>
      <c r="C1946" s="710" t="s">
        <v>10324</v>
      </c>
      <c r="D1946" s="709" t="s">
        <v>208</v>
      </c>
      <c r="E1946" s="709" t="s">
        <v>8438</v>
      </c>
      <c r="F1946" s="716">
        <v>137.97</v>
      </c>
      <c r="G1946" s="716">
        <v>124.49</v>
      </c>
      <c r="H1946" s="225">
        <f t="shared" si="30"/>
        <v>137.97</v>
      </c>
    </row>
    <row r="1947" spans="1:8" x14ac:dyDescent="0.3">
      <c r="A1947" s="401"/>
      <c r="B1947" s="709">
        <v>38476</v>
      </c>
      <c r="C1947" s="710" t="s">
        <v>10325</v>
      </c>
      <c r="D1947" s="709" t="s">
        <v>136</v>
      </c>
      <c r="E1947" s="709" t="s">
        <v>8432</v>
      </c>
      <c r="F1947" s="716">
        <v>270.19</v>
      </c>
      <c r="G1947" s="716">
        <v>265.72000000000003</v>
      </c>
      <c r="H1947" s="225">
        <f t="shared" si="30"/>
        <v>270.19</v>
      </c>
    </row>
    <row r="1948" spans="1:8" x14ac:dyDescent="0.3">
      <c r="A1948" s="401"/>
      <c r="B1948" s="709">
        <v>38477</v>
      </c>
      <c r="C1948" s="710" t="s">
        <v>10326</v>
      </c>
      <c r="D1948" s="709" t="s">
        <v>136</v>
      </c>
      <c r="E1948" s="709" t="s">
        <v>8432</v>
      </c>
      <c r="F1948" s="716">
        <v>716.44</v>
      </c>
      <c r="G1948" s="716">
        <v>704.58</v>
      </c>
      <c r="H1948" s="225">
        <f t="shared" si="30"/>
        <v>716.44</v>
      </c>
    </row>
    <row r="1949" spans="1:8" x14ac:dyDescent="0.3">
      <c r="A1949" s="401"/>
      <c r="B1949" s="709">
        <v>45112</v>
      </c>
      <c r="C1949" s="710" t="s">
        <v>10327</v>
      </c>
      <c r="D1949" s="709" t="s">
        <v>136</v>
      </c>
      <c r="E1949" s="709" t="s">
        <v>8432</v>
      </c>
      <c r="F1949" s="716">
        <v>1060723.72</v>
      </c>
      <c r="G1949" s="716">
        <v>1106276.27</v>
      </c>
      <c r="H1949" s="225">
        <f t="shared" si="30"/>
        <v>1060723.72</v>
      </c>
    </row>
    <row r="1950" spans="1:8" x14ac:dyDescent="0.3">
      <c r="A1950" s="401"/>
      <c r="B1950" s="709">
        <v>14525</v>
      </c>
      <c r="C1950" s="710" t="s">
        <v>10328</v>
      </c>
      <c r="D1950" s="709" t="s">
        <v>136</v>
      </c>
      <c r="E1950" s="709" t="s">
        <v>8432</v>
      </c>
      <c r="F1950" s="716">
        <v>922198.17</v>
      </c>
      <c r="G1950" s="716">
        <v>961801.77</v>
      </c>
      <c r="H1950" s="225">
        <f t="shared" si="30"/>
        <v>922198.17</v>
      </c>
    </row>
    <row r="1951" spans="1:8" x14ac:dyDescent="0.3">
      <c r="A1951" s="401"/>
      <c r="B1951" s="709">
        <v>10685</v>
      </c>
      <c r="C1951" s="710" t="s">
        <v>10329</v>
      </c>
      <c r="D1951" s="709" t="s">
        <v>136</v>
      </c>
      <c r="E1951" s="709" t="s">
        <v>8438</v>
      </c>
      <c r="F1951" s="716">
        <v>815000</v>
      </c>
      <c r="G1951" s="716">
        <v>850000</v>
      </c>
      <c r="H1951" s="225">
        <f t="shared" si="30"/>
        <v>815000</v>
      </c>
    </row>
    <row r="1952" spans="1:8" x14ac:dyDescent="0.3">
      <c r="A1952" s="401"/>
      <c r="B1952" s="709">
        <v>40636</v>
      </c>
      <c r="C1952" s="710" t="s">
        <v>10330</v>
      </c>
      <c r="D1952" s="709" t="s">
        <v>136</v>
      </c>
      <c r="E1952" s="709" t="s">
        <v>8432</v>
      </c>
      <c r="F1952" s="716">
        <v>1128570.19</v>
      </c>
      <c r="G1952" s="716">
        <v>1177036.3899999999</v>
      </c>
      <c r="H1952" s="225">
        <f t="shared" si="30"/>
        <v>1128570.19</v>
      </c>
    </row>
    <row r="1953" spans="1:8" x14ac:dyDescent="0.3">
      <c r="A1953" s="401"/>
      <c r="B1953" s="709">
        <v>4111</v>
      </c>
      <c r="C1953" s="710" t="s">
        <v>10331</v>
      </c>
      <c r="D1953" s="709" t="s">
        <v>136</v>
      </c>
      <c r="E1953" s="709" t="s">
        <v>8432</v>
      </c>
      <c r="F1953" s="716">
        <v>61.18</v>
      </c>
      <c r="G1953" s="716">
        <v>50.81</v>
      </c>
      <c r="H1953" s="225">
        <f t="shared" si="30"/>
        <v>61.18</v>
      </c>
    </row>
    <row r="1954" spans="1:8" x14ac:dyDescent="0.3">
      <c r="A1954" s="401"/>
      <c r="B1954" s="709">
        <v>44538</v>
      </c>
      <c r="C1954" s="710" t="s">
        <v>10332</v>
      </c>
      <c r="D1954" s="709" t="s">
        <v>136</v>
      </c>
      <c r="E1954" s="709" t="s">
        <v>8432</v>
      </c>
      <c r="F1954" s="716">
        <v>59.44</v>
      </c>
      <c r="G1954" s="716">
        <v>58.46</v>
      </c>
      <c r="H1954" s="225">
        <f t="shared" si="30"/>
        <v>59.44</v>
      </c>
    </row>
    <row r="1955" spans="1:8" x14ac:dyDescent="0.3">
      <c r="A1955" s="401"/>
      <c r="B1955" s="709">
        <v>12</v>
      </c>
      <c r="C1955" s="710" t="s">
        <v>10333</v>
      </c>
      <c r="D1955" s="709" t="s">
        <v>136</v>
      </c>
      <c r="E1955" s="709" t="s">
        <v>8432</v>
      </c>
      <c r="F1955" s="716">
        <v>7.49</v>
      </c>
      <c r="G1955" s="716">
        <v>7.37</v>
      </c>
      <c r="H1955" s="225">
        <f t="shared" si="30"/>
        <v>7.49</v>
      </c>
    </row>
    <row r="1956" spans="1:8" x14ac:dyDescent="0.3">
      <c r="A1956" s="401"/>
      <c r="B1956" s="709">
        <v>37554</v>
      </c>
      <c r="C1956" s="710" t="s">
        <v>10334</v>
      </c>
      <c r="D1956" s="709" t="s">
        <v>136</v>
      </c>
      <c r="E1956" s="709" t="s">
        <v>8432</v>
      </c>
      <c r="F1956" s="716">
        <v>193.77</v>
      </c>
      <c r="G1956" s="716">
        <v>432.17</v>
      </c>
      <c r="H1956" s="225">
        <f t="shared" si="30"/>
        <v>193.77</v>
      </c>
    </row>
    <row r="1957" spans="1:8" x14ac:dyDescent="0.3">
      <c r="A1957" s="401"/>
      <c r="B1957" s="709">
        <v>37555</v>
      </c>
      <c r="C1957" s="710" t="s">
        <v>10335</v>
      </c>
      <c r="D1957" s="709" t="s">
        <v>136</v>
      </c>
      <c r="E1957" s="709" t="s">
        <v>8432</v>
      </c>
      <c r="F1957" s="716">
        <v>235.71</v>
      </c>
      <c r="G1957" s="716">
        <v>525.71</v>
      </c>
      <c r="H1957" s="225">
        <f t="shared" si="30"/>
        <v>235.71</v>
      </c>
    </row>
    <row r="1958" spans="1:8" x14ac:dyDescent="0.3">
      <c r="A1958" s="401"/>
      <c r="B1958" s="709">
        <v>10902</v>
      </c>
      <c r="C1958" s="710" t="s">
        <v>10336</v>
      </c>
      <c r="D1958" s="709" t="s">
        <v>136</v>
      </c>
      <c r="E1958" s="709" t="s">
        <v>8432</v>
      </c>
      <c r="F1958" s="716">
        <v>59.14</v>
      </c>
      <c r="G1958" s="716">
        <v>131.91</v>
      </c>
      <c r="H1958" s="225">
        <f t="shared" si="30"/>
        <v>59.14</v>
      </c>
    </row>
    <row r="1959" spans="1:8" x14ac:dyDescent="0.3">
      <c r="A1959" s="401"/>
      <c r="B1959" s="709">
        <v>20965</v>
      </c>
      <c r="C1959" s="710" t="s">
        <v>10337</v>
      </c>
      <c r="D1959" s="709" t="s">
        <v>136</v>
      </c>
      <c r="E1959" s="709" t="s">
        <v>8432</v>
      </c>
      <c r="F1959" s="716">
        <v>59.69</v>
      </c>
      <c r="G1959" s="716">
        <v>133.13999999999999</v>
      </c>
      <c r="H1959" s="225">
        <f t="shared" si="30"/>
        <v>59.69</v>
      </c>
    </row>
    <row r="1960" spans="1:8" x14ac:dyDescent="0.3">
      <c r="A1960" s="401"/>
      <c r="B1960" s="709">
        <v>20966</v>
      </c>
      <c r="C1960" s="710" t="s">
        <v>10338</v>
      </c>
      <c r="D1960" s="709" t="s">
        <v>136</v>
      </c>
      <c r="E1960" s="709" t="s">
        <v>8432</v>
      </c>
      <c r="F1960" s="716">
        <v>64.27</v>
      </c>
      <c r="G1960" s="716">
        <v>143.36000000000001</v>
      </c>
      <c r="H1960" s="225">
        <f t="shared" si="30"/>
        <v>64.27</v>
      </c>
    </row>
    <row r="1961" spans="1:8" x14ac:dyDescent="0.3">
      <c r="A1961" s="401"/>
      <c r="B1961" s="709">
        <v>10903</v>
      </c>
      <c r="C1961" s="710" t="s">
        <v>10339</v>
      </c>
      <c r="D1961" s="709" t="s">
        <v>136</v>
      </c>
      <c r="E1961" s="709" t="s">
        <v>8432</v>
      </c>
      <c r="F1961" s="716">
        <v>97.42</v>
      </c>
      <c r="G1961" s="716">
        <v>217.29</v>
      </c>
      <c r="H1961" s="225">
        <f t="shared" si="30"/>
        <v>97.42</v>
      </c>
    </row>
    <row r="1962" spans="1:8" x14ac:dyDescent="0.3">
      <c r="A1962" s="401"/>
      <c r="B1962" s="709">
        <v>20967</v>
      </c>
      <c r="C1962" s="710" t="s">
        <v>10340</v>
      </c>
      <c r="D1962" s="709" t="s">
        <v>136</v>
      </c>
      <c r="E1962" s="709" t="s">
        <v>8432</v>
      </c>
      <c r="F1962" s="716">
        <v>97.42</v>
      </c>
      <c r="G1962" s="716">
        <v>217.29</v>
      </c>
      <c r="H1962" s="225">
        <f t="shared" si="30"/>
        <v>97.42</v>
      </c>
    </row>
    <row r="1963" spans="1:8" x14ac:dyDescent="0.3">
      <c r="A1963" s="401"/>
      <c r="B1963" s="709">
        <v>20968</v>
      </c>
      <c r="C1963" s="710" t="s">
        <v>10341</v>
      </c>
      <c r="D1963" s="709" t="s">
        <v>136</v>
      </c>
      <c r="E1963" s="709" t="s">
        <v>8432</v>
      </c>
      <c r="F1963" s="716">
        <v>106.85</v>
      </c>
      <c r="G1963" s="716">
        <v>238.32</v>
      </c>
      <c r="H1963" s="225">
        <f t="shared" si="30"/>
        <v>106.85</v>
      </c>
    </row>
    <row r="1964" spans="1:8" x14ac:dyDescent="0.3">
      <c r="A1964" s="401"/>
      <c r="B1964" s="709">
        <v>39017</v>
      </c>
      <c r="C1964" s="710" t="s">
        <v>10342</v>
      </c>
      <c r="D1964" s="709" t="s">
        <v>136</v>
      </c>
      <c r="E1964" s="709" t="s">
        <v>8432</v>
      </c>
      <c r="F1964" s="716">
        <v>0.14000000000000001</v>
      </c>
      <c r="G1964" s="716">
        <v>0.22</v>
      </c>
      <c r="H1964" s="225">
        <f t="shared" si="30"/>
        <v>0.14000000000000001</v>
      </c>
    </row>
    <row r="1965" spans="1:8" x14ac:dyDescent="0.3">
      <c r="A1965" s="401"/>
      <c r="B1965" s="709">
        <v>39315</v>
      </c>
      <c r="C1965" s="710" t="s">
        <v>10343</v>
      </c>
      <c r="D1965" s="709" t="s">
        <v>136</v>
      </c>
      <c r="E1965" s="709" t="s">
        <v>8432</v>
      </c>
      <c r="F1965" s="716">
        <v>0.23</v>
      </c>
      <c r="G1965" s="716">
        <v>0.36</v>
      </c>
      <c r="H1965" s="225">
        <f t="shared" si="30"/>
        <v>0.23</v>
      </c>
    </row>
    <row r="1966" spans="1:8" x14ac:dyDescent="0.3">
      <c r="A1966" s="401"/>
      <c r="B1966" s="709">
        <v>39016</v>
      </c>
      <c r="C1966" s="710" t="s">
        <v>10344</v>
      </c>
      <c r="D1966" s="709" t="s">
        <v>136</v>
      </c>
      <c r="E1966" s="709" t="s">
        <v>8432</v>
      </c>
      <c r="F1966" s="716">
        <v>0.23</v>
      </c>
      <c r="G1966" s="716">
        <v>0.37</v>
      </c>
      <c r="H1966" s="225">
        <f t="shared" si="30"/>
        <v>0.23</v>
      </c>
    </row>
    <row r="1967" spans="1:8" x14ac:dyDescent="0.3">
      <c r="A1967" s="401"/>
      <c r="B1967" s="709">
        <v>39481</v>
      </c>
      <c r="C1967" s="710" t="s">
        <v>10345</v>
      </c>
      <c r="D1967" s="709" t="s">
        <v>136</v>
      </c>
      <c r="E1967" s="709" t="s">
        <v>8432</v>
      </c>
      <c r="F1967" s="716">
        <v>1.1499999999999999</v>
      </c>
      <c r="G1967" s="716">
        <v>1.79</v>
      </c>
      <c r="H1967" s="225">
        <f t="shared" si="30"/>
        <v>1.1499999999999999</v>
      </c>
    </row>
    <row r="1968" spans="1:8" x14ac:dyDescent="0.3">
      <c r="A1968" s="401"/>
      <c r="B1968" s="709">
        <v>39013</v>
      </c>
      <c r="C1968" s="710" t="s">
        <v>10346</v>
      </c>
      <c r="D1968" s="709" t="s">
        <v>136</v>
      </c>
      <c r="E1968" s="709" t="s">
        <v>8432</v>
      </c>
      <c r="F1968" s="716">
        <v>0.98</v>
      </c>
      <c r="G1968" s="716">
        <v>1.53</v>
      </c>
      <c r="H1968" s="225">
        <f t="shared" si="30"/>
        <v>0.98</v>
      </c>
    </row>
    <row r="1969" spans="1:8" x14ac:dyDescent="0.3">
      <c r="A1969" s="401"/>
      <c r="B1969" s="709">
        <v>44919</v>
      </c>
      <c r="C1969" s="710" t="s">
        <v>10347</v>
      </c>
      <c r="D1969" s="709" t="s">
        <v>136</v>
      </c>
      <c r="E1969" s="709" t="s">
        <v>8432</v>
      </c>
      <c r="F1969" s="716">
        <v>1.82</v>
      </c>
      <c r="G1969" s="716">
        <v>2.85</v>
      </c>
      <c r="H1969" s="225">
        <f t="shared" si="30"/>
        <v>1.82</v>
      </c>
    </row>
    <row r="1970" spans="1:8" x14ac:dyDescent="0.3">
      <c r="A1970" s="401"/>
      <c r="B1970" s="709">
        <v>40433</v>
      </c>
      <c r="C1970" s="710" t="s">
        <v>10348</v>
      </c>
      <c r="D1970" s="709" t="s">
        <v>136</v>
      </c>
      <c r="E1970" s="709" t="s">
        <v>8432</v>
      </c>
      <c r="F1970" s="716">
        <v>1.01</v>
      </c>
      <c r="G1970" s="716">
        <v>1.58</v>
      </c>
      <c r="H1970" s="225">
        <f t="shared" si="30"/>
        <v>1.01</v>
      </c>
    </row>
    <row r="1971" spans="1:8" x14ac:dyDescent="0.3">
      <c r="A1971" s="401"/>
      <c r="B1971" s="709">
        <v>20219</v>
      </c>
      <c r="C1971" s="710" t="s">
        <v>10349</v>
      </c>
      <c r="D1971" s="709" t="s">
        <v>136</v>
      </c>
      <c r="E1971" s="709" t="s">
        <v>8438</v>
      </c>
      <c r="F1971" s="716"/>
      <c r="G1971" s="716">
        <v>132030</v>
      </c>
      <c r="H1971" s="225">
        <f t="shared" si="30"/>
        <v>132030</v>
      </c>
    </row>
    <row r="1972" spans="1:8" x14ac:dyDescent="0.3">
      <c r="A1972" s="401"/>
      <c r="B1972" s="709">
        <v>36484</v>
      </c>
      <c r="C1972" s="710" t="s">
        <v>10350</v>
      </c>
      <c r="D1972" s="709" t="s">
        <v>136</v>
      </c>
      <c r="E1972" s="709" t="s">
        <v>8432</v>
      </c>
      <c r="F1972" s="716"/>
      <c r="G1972" s="716">
        <v>280275.64</v>
      </c>
      <c r="H1972" s="225">
        <f t="shared" si="30"/>
        <v>280275.64</v>
      </c>
    </row>
    <row r="1973" spans="1:8" x14ac:dyDescent="0.3">
      <c r="A1973" s="401"/>
      <c r="B1973" s="709">
        <v>38368</v>
      </c>
      <c r="C1973" s="710" t="s">
        <v>10351</v>
      </c>
      <c r="D1973" s="709" t="s">
        <v>136</v>
      </c>
      <c r="E1973" s="709" t="s">
        <v>8432</v>
      </c>
      <c r="F1973" s="716">
        <v>6.74</v>
      </c>
      <c r="G1973" s="716">
        <v>7.23</v>
      </c>
      <c r="H1973" s="225">
        <f t="shared" si="30"/>
        <v>6.74</v>
      </c>
    </row>
    <row r="1974" spans="1:8" x14ac:dyDescent="0.3">
      <c r="A1974" s="401"/>
      <c r="B1974" s="709">
        <v>38367</v>
      </c>
      <c r="C1974" s="710" t="s">
        <v>10352</v>
      </c>
      <c r="D1974" s="709" t="s">
        <v>136</v>
      </c>
      <c r="E1974" s="709" t="s">
        <v>8432</v>
      </c>
      <c r="F1974" s="716">
        <v>13.38</v>
      </c>
      <c r="G1974" s="716">
        <v>13.16</v>
      </c>
      <c r="H1974" s="225">
        <f t="shared" si="30"/>
        <v>13.38</v>
      </c>
    </row>
    <row r="1975" spans="1:8" x14ac:dyDescent="0.3">
      <c r="A1975" s="401"/>
      <c r="B1975" s="709">
        <v>38091</v>
      </c>
      <c r="C1975" s="710" t="s">
        <v>10353</v>
      </c>
      <c r="D1975" s="709" t="s">
        <v>136</v>
      </c>
      <c r="E1975" s="709" t="s">
        <v>8432</v>
      </c>
      <c r="F1975" s="716">
        <v>2.73</v>
      </c>
      <c r="G1975" s="716">
        <v>2.61</v>
      </c>
      <c r="H1975" s="225">
        <f t="shared" si="30"/>
        <v>2.73</v>
      </c>
    </row>
    <row r="1976" spans="1:8" x14ac:dyDescent="0.3">
      <c r="A1976" s="401"/>
      <c r="B1976" s="709">
        <v>38095</v>
      </c>
      <c r="C1976" s="710" t="s">
        <v>10354</v>
      </c>
      <c r="D1976" s="709" t="s">
        <v>136</v>
      </c>
      <c r="E1976" s="709" t="s">
        <v>8432</v>
      </c>
      <c r="F1976" s="716">
        <v>5.78</v>
      </c>
      <c r="G1976" s="716">
        <v>5.53</v>
      </c>
      <c r="H1976" s="225">
        <f t="shared" si="30"/>
        <v>5.78</v>
      </c>
    </row>
    <row r="1977" spans="1:8" x14ac:dyDescent="0.3">
      <c r="A1977" s="401"/>
      <c r="B1977" s="709">
        <v>38092</v>
      </c>
      <c r="C1977" s="710" t="s">
        <v>10355</v>
      </c>
      <c r="D1977" s="709" t="s">
        <v>136</v>
      </c>
      <c r="E1977" s="709" t="s">
        <v>8432</v>
      </c>
      <c r="F1977" s="716">
        <v>2.59</v>
      </c>
      <c r="G1977" s="716">
        <v>2.4700000000000002</v>
      </c>
      <c r="H1977" s="225">
        <f t="shared" si="30"/>
        <v>2.59</v>
      </c>
    </row>
    <row r="1978" spans="1:8" x14ac:dyDescent="0.3">
      <c r="A1978" s="401"/>
      <c r="B1978" s="709">
        <v>38093</v>
      </c>
      <c r="C1978" s="710" t="s">
        <v>10356</v>
      </c>
      <c r="D1978" s="709" t="s">
        <v>136</v>
      </c>
      <c r="E1978" s="709" t="s">
        <v>8432</v>
      </c>
      <c r="F1978" s="716">
        <v>2.68</v>
      </c>
      <c r="G1978" s="716">
        <v>2.56</v>
      </c>
      <c r="H1978" s="225">
        <f t="shared" si="30"/>
        <v>2.68</v>
      </c>
    </row>
    <row r="1979" spans="1:8" x14ac:dyDescent="0.3">
      <c r="A1979" s="401"/>
      <c r="B1979" s="709">
        <v>38096</v>
      </c>
      <c r="C1979" s="710" t="s">
        <v>10357</v>
      </c>
      <c r="D1979" s="709" t="s">
        <v>136</v>
      </c>
      <c r="E1979" s="709" t="s">
        <v>8432</v>
      </c>
      <c r="F1979" s="716">
        <v>6.21</v>
      </c>
      <c r="G1979" s="716">
        <v>5.94</v>
      </c>
      <c r="H1979" s="225">
        <f t="shared" si="30"/>
        <v>6.21</v>
      </c>
    </row>
    <row r="1980" spans="1:8" x14ac:dyDescent="0.3">
      <c r="A1980" s="401"/>
      <c r="B1980" s="709">
        <v>38094</v>
      </c>
      <c r="C1980" s="710" t="s">
        <v>10358</v>
      </c>
      <c r="D1980" s="709" t="s">
        <v>136</v>
      </c>
      <c r="E1980" s="709" t="s">
        <v>8432</v>
      </c>
      <c r="F1980" s="716">
        <v>3.28</v>
      </c>
      <c r="G1980" s="716">
        <v>3.14</v>
      </c>
      <c r="H1980" s="225">
        <f t="shared" si="30"/>
        <v>3.28</v>
      </c>
    </row>
    <row r="1981" spans="1:8" x14ac:dyDescent="0.3">
      <c r="A1981" s="401"/>
      <c r="B1981" s="709">
        <v>38097</v>
      </c>
      <c r="C1981" s="710" t="s">
        <v>10359</v>
      </c>
      <c r="D1981" s="709" t="s">
        <v>136</v>
      </c>
      <c r="E1981" s="709" t="s">
        <v>8432</v>
      </c>
      <c r="F1981" s="716">
        <v>6.66</v>
      </c>
      <c r="G1981" s="716">
        <v>6.37</v>
      </c>
      <c r="H1981" s="225">
        <f t="shared" si="30"/>
        <v>6.66</v>
      </c>
    </row>
    <row r="1982" spans="1:8" x14ac:dyDescent="0.3">
      <c r="A1982" s="401"/>
      <c r="B1982" s="709">
        <v>38098</v>
      </c>
      <c r="C1982" s="710" t="s">
        <v>10360</v>
      </c>
      <c r="D1982" s="709" t="s">
        <v>136</v>
      </c>
      <c r="E1982" s="709" t="s">
        <v>8432</v>
      </c>
      <c r="F1982" s="716">
        <v>6.66</v>
      </c>
      <c r="G1982" s="716">
        <v>6.37</v>
      </c>
      <c r="H1982" s="225">
        <f t="shared" si="30"/>
        <v>6.66</v>
      </c>
    </row>
    <row r="1983" spans="1:8" x14ac:dyDescent="0.3">
      <c r="A1983" s="401"/>
      <c r="B1983" s="709">
        <v>11186</v>
      </c>
      <c r="C1983" s="710" t="s">
        <v>10361</v>
      </c>
      <c r="D1983" s="709" t="s">
        <v>168</v>
      </c>
      <c r="E1983" s="709" t="s">
        <v>8432</v>
      </c>
      <c r="F1983" s="716">
        <v>343.57</v>
      </c>
      <c r="G1983" s="716">
        <v>431.43</v>
      </c>
      <c r="H1983" s="225">
        <f t="shared" si="30"/>
        <v>343.57</v>
      </c>
    </row>
    <row r="1984" spans="1:8" x14ac:dyDescent="0.3">
      <c r="A1984" s="401"/>
      <c r="B1984" s="709">
        <v>11558</v>
      </c>
      <c r="C1984" s="710" t="s">
        <v>10362</v>
      </c>
      <c r="D1984" s="709" t="s">
        <v>8808</v>
      </c>
      <c r="E1984" s="709" t="s">
        <v>8432</v>
      </c>
      <c r="F1984" s="716">
        <v>17.39</v>
      </c>
      <c r="G1984" s="716">
        <v>14.39</v>
      </c>
      <c r="H1984" s="225">
        <f t="shared" si="30"/>
        <v>17.39</v>
      </c>
    </row>
    <row r="1985" spans="1:8" x14ac:dyDescent="0.3">
      <c r="A1985" s="401"/>
      <c r="B1985" s="709">
        <v>11557</v>
      </c>
      <c r="C1985" s="710" t="s">
        <v>10363</v>
      </c>
      <c r="D1985" s="709" t="s">
        <v>8808</v>
      </c>
      <c r="E1985" s="709" t="s">
        <v>8432</v>
      </c>
      <c r="F1985" s="716">
        <v>44.02</v>
      </c>
      <c r="G1985" s="716">
        <v>36.42</v>
      </c>
      <c r="H1985" s="225">
        <f t="shared" si="30"/>
        <v>44.02</v>
      </c>
    </row>
    <row r="1986" spans="1:8" x14ac:dyDescent="0.3">
      <c r="A1986" s="401"/>
      <c r="B1986" s="709">
        <v>2759</v>
      </c>
      <c r="C1986" s="710" t="s">
        <v>10364</v>
      </c>
      <c r="D1986" s="709" t="s">
        <v>136</v>
      </c>
      <c r="E1986" s="709" t="s">
        <v>8438</v>
      </c>
      <c r="F1986" s="716"/>
      <c r="G1986" s="716">
        <v>11.37</v>
      </c>
      <c r="H1986" s="225">
        <f t="shared" si="30"/>
        <v>11.37</v>
      </c>
    </row>
    <row r="1987" spans="1:8" x14ac:dyDescent="0.3">
      <c r="A1987" s="401"/>
      <c r="B1987" s="709">
        <v>38124</v>
      </c>
      <c r="C1987" s="710" t="s">
        <v>10365</v>
      </c>
      <c r="D1987" s="709" t="s">
        <v>136</v>
      </c>
      <c r="E1987" s="709" t="s">
        <v>8438</v>
      </c>
      <c r="F1987" s="716">
        <v>27.49</v>
      </c>
      <c r="G1987" s="716">
        <v>27</v>
      </c>
      <c r="H1987" s="225">
        <f t="shared" si="30"/>
        <v>27.49</v>
      </c>
    </row>
    <row r="1988" spans="1:8" x14ac:dyDescent="0.3">
      <c r="A1988" s="401"/>
      <c r="B1988" s="709">
        <v>38380</v>
      </c>
      <c r="C1988" s="710" t="s">
        <v>10366</v>
      </c>
      <c r="D1988" s="709" t="s">
        <v>136</v>
      </c>
      <c r="E1988" s="709" t="s">
        <v>8432</v>
      </c>
      <c r="F1988" s="716">
        <v>22.26</v>
      </c>
      <c r="G1988" s="716">
        <v>21.89</v>
      </c>
      <c r="H1988" s="225">
        <f t="shared" si="30"/>
        <v>22.26</v>
      </c>
    </row>
    <row r="1989" spans="1:8" x14ac:dyDescent="0.3">
      <c r="A1989" s="401"/>
      <c r="B1989" s="709">
        <v>45278</v>
      </c>
      <c r="C1989" s="710" t="s">
        <v>10367</v>
      </c>
      <c r="D1989" s="709" t="s">
        <v>136</v>
      </c>
      <c r="E1989" s="709" t="s">
        <v>8432</v>
      </c>
      <c r="F1989" s="716">
        <v>132.81</v>
      </c>
      <c r="G1989" s="716">
        <v>120.09</v>
      </c>
      <c r="H1989" s="225">
        <f t="shared" si="30"/>
        <v>132.81</v>
      </c>
    </row>
    <row r="1990" spans="1:8" x14ac:dyDescent="0.3">
      <c r="A1990" s="401"/>
      <c r="B1990" s="709">
        <v>42429</v>
      </c>
      <c r="C1990" s="710" t="s">
        <v>10368</v>
      </c>
      <c r="D1990" s="709" t="s">
        <v>136</v>
      </c>
      <c r="E1990" s="709" t="s">
        <v>8432</v>
      </c>
      <c r="F1990" s="716"/>
      <c r="G1990" s="716">
        <v>6025.1</v>
      </c>
      <c r="H1990" s="225">
        <f t="shared" si="30"/>
        <v>6025.1</v>
      </c>
    </row>
    <row r="1991" spans="1:8" x14ac:dyDescent="0.3">
      <c r="A1991" s="401"/>
      <c r="B1991" s="709">
        <v>38538</v>
      </c>
      <c r="C1991" s="710" t="s">
        <v>10369</v>
      </c>
      <c r="D1991" s="709" t="s">
        <v>159</v>
      </c>
      <c r="E1991" s="709" t="s">
        <v>8438</v>
      </c>
      <c r="F1991" s="716"/>
      <c r="G1991" s="716">
        <v>86</v>
      </c>
      <c r="H1991" s="225">
        <f t="shared" si="30"/>
        <v>86</v>
      </c>
    </row>
    <row r="1992" spans="1:8" x14ac:dyDescent="0.3">
      <c r="A1992" s="401"/>
      <c r="B1992" s="709">
        <v>38539</v>
      </c>
      <c r="C1992" s="710" t="s">
        <v>10370</v>
      </c>
      <c r="D1992" s="709" t="s">
        <v>159</v>
      </c>
      <c r="E1992" s="709" t="s">
        <v>8432</v>
      </c>
      <c r="F1992" s="716"/>
      <c r="G1992" s="716">
        <v>116.95</v>
      </c>
      <c r="H1992" s="225">
        <f t="shared" si="30"/>
        <v>116.95</v>
      </c>
    </row>
    <row r="1993" spans="1:8" x14ac:dyDescent="0.3">
      <c r="A1993" s="401"/>
      <c r="B1993" s="709">
        <v>38540</v>
      </c>
      <c r="C1993" s="710" t="s">
        <v>10371</v>
      </c>
      <c r="D1993" s="709" t="s">
        <v>159</v>
      </c>
      <c r="E1993" s="709" t="s">
        <v>8432</v>
      </c>
      <c r="F1993" s="716"/>
      <c r="G1993" s="716">
        <v>299.70999999999998</v>
      </c>
      <c r="H1993" s="225">
        <f t="shared" si="30"/>
        <v>299.70999999999998</v>
      </c>
    </row>
    <row r="1994" spans="1:8" x14ac:dyDescent="0.3">
      <c r="A1994" s="401"/>
      <c r="B1994" s="709">
        <v>38384</v>
      </c>
      <c r="C1994" s="710" t="s">
        <v>10372</v>
      </c>
      <c r="D1994" s="709" t="s">
        <v>136</v>
      </c>
      <c r="E1994" s="709" t="s">
        <v>8432</v>
      </c>
      <c r="F1994" s="716">
        <v>16.03</v>
      </c>
      <c r="G1994" s="716">
        <v>15.76</v>
      </c>
      <c r="H1994" s="225">
        <f t="shared" si="30"/>
        <v>16.03</v>
      </c>
    </row>
    <row r="1995" spans="1:8" x14ac:dyDescent="0.3">
      <c r="A1995" s="401"/>
      <c r="B1995" s="709">
        <v>13</v>
      </c>
      <c r="C1995" s="710" t="s">
        <v>10373</v>
      </c>
      <c r="D1995" s="709" t="s">
        <v>175</v>
      </c>
      <c r="E1995" s="709" t="s">
        <v>8432</v>
      </c>
      <c r="F1995" s="716">
        <v>20.059999999999999</v>
      </c>
      <c r="G1995" s="716">
        <v>22.72</v>
      </c>
      <c r="H1995" s="225">
        <f t="shared" ref="H1995:H2058" si="31">IF(F1995&gt;0,F1995,G1995)</f>
        <v>20.059999999999999</v>
      </c>
    </row>
    <row r="1996" spans="1:8" x14ac:dyDescent="0.3">
      <c r="A1996" s="401"/>
      <c r="B1996" s="709">
        <v>2762</v>
      </c>
      <c r="C1996" s="710" t="s">
        <v>10374</v>
      </c>
      <c r="D1996" s="709" t="s">
        <v>159</v>
      </c>
      <c r="E1996" s="709" t="s">
        <v>8432</v>
      </c>
      <c r="F1996" s="716"/>
      <c r="G1996" s="716">
        <v>14.21</v>
      </c>
      <c r="H1996" s="225">
        <f t="shared" si="31"/>
        <v>14.21</v>
      </c>
    </row>
    <row r="1997" spans="1:8" x14ac:dyDescent="0.3">
      <c r="A1997" s="401"/>
      <c r="B1997" s="709">
        <v>21142</v>
      </c>
      <c r="C1997" s="710" t="s">
        <v>10375</v>
      </c>
      <c r="D1997" s="709" t="s">
        <v>136</v>
      </c>
      <c r="E1997" s="709" t="s">
        <v>8432</v>
      </c>
      <c r="F1997" s="716">
        <v>27.34</v>
      </c>
      <c r="G1997" s="716">
        <v>30.64</v>
      </c>
      <c r="H1997" s="225">
        <f t="shared" si="31"/>
        <v>27.34</v>
      </c>
    </row>
    <row r="1998" spans="1:8" x14ac:dyDescent="0.3">
      <c r="A1998" s="401"/>
      <c r="B1998" s="709">
        <v>37372</v>
      </c>
      <c r="C1998" s="710" t="s">
        <v>10376</v>
      </c>
      <c r="D1998" s="709" t="s">
        <v>234</v>
      </c>
      <c r="E1998" s="709" t="s">
        <v>8438</v>
      </c>
      <c r="F1998" s="716">
        <v>1.36</v>
      </c>
      <c r="G1998" s="716">
        <v>1.43</v>
      </c>
      <c r="H1998" s="225">
        <f t="shared" si="31"/>
        <v>1.36</v>
      </c>
    </row>
    <row r="1999" spans="1:8" x14ac:dyDescent="0.3">
      <c r="A1999" s="401"/>
      <c r="B1999" s="709">
        <v>40863</v>
      </c>
      <c r="C1999" s="710" t="s">
        <v>10377</v>
      </c>
      <c r="D1999" s="709" t="s">
        <v>208</v>
      </c>
      <c r="E1999" s="709" t="s">
        <v>8438</v>
      </c>
      <c r="F1999" s="716">
        <v>227.2</v>
      </c>
      <c r="G1999" s="716">
        <v>237.03</v>
      </c>
      <c r="H1999" s="225">
        <f t="shared" si="31"/>
        <v>227.2</v>
      </c>
    </row>
    <row r="2000" spans="1:8" x14ac:dyDescent="0.3">
      <c r="A2000" s="401"/>
      <c r="B2000" s="709">
        <v>38475</v>
      </c>
      <c r="C2000" s="710" t="s">
        <v>10378</v>
      </c>
      <c r="D2000" s="709" t="s">
        <v>136</v>
      </c>
      <c r="E2000" s="709" t="s">
        <v>8432</v>
      </c>
      <c r="F2000" s="716">
        <v>70.13</v>
      </c>
      <c r="G2000" s="716">
        <v>63.42</v>
      </c>
      <c r="H2000" s="225">
        <f t="shared" si="31"/>
        <v>70.13</v>
      </c>
    </row>
    <row r="2001" spans="1:8" x14ac:dyDescent="0.3">
      <c r="A2001" s="401"/>
      <c r="B2001" s="709">
        <v>38474</v>
      </c>
      <c r="C2001" s="710" t="s">
        <v>10379</v>
      </c>
      <c r="D2001" s="709" t="s">
        <v>136</v>
      </c>
      <c r="E2001" s="709" t="s">
        <v>8432</v>
      </c>
      <c r="F2001" s="716">
        <v>71.11</v>
      </c>
      <c r="G2001" s="716">
        <v>64.3</v>
      </c>
      <c r="H2001" s="225">
        <f t="shared" si="31"/>
        <v>71.11</v>
      </c>
    </row>
    <row r="2002" spans="1:8" x14ac:dyDescent="0.3">
      <c r="A2002" s="401"/>
      <c r="B2002" s="709">
        <v>10886</v>
      </c>
      <c r="C2002" s="710" t="s">
        <v>10380</v>
      </c>
      <c r="D2002" s="709" t="s">
        <v>136</v>
      </c>
      <c r="E2002" s="709" t="s">
        <v>8432</v>
      </c>
      <c r="F2002" s="716">
        <v>199.14</v>
      </c>
      <c r="G2002" s="716">
        <v>210.96</v>
      </c>
      <c r="H2002" s="225">
        <f t="shared" si="31"/>
        <v>199.14</v>
      </c>
    </row>
    <row r="2003" spans="1:8" x14ac:dyDescent="0.3">
      <c r="A2003" s="401"/>
      <c r="B2003" s="709">
        <v>10888</v>
      </c>
      <c r="C2003" s="710" t="s">
        <v>10381</v>
      </c>
      <c r="D2003" s="709" t="s">
        <v>136</v>
      </c>
      <c r="E2003" s="709" t="s">
        <v>8432</v>
      </c>
      <c r="F2003" s="716">
        <v>630.24</v>
      </c>
      <c r="G2003" s="716">
        <v>667.66</v>
      </c>
      <c r="H2003" s="225">
        <f t="shared" si="31"/>
        <v>630.24</v>
      </c>
    </row>
    <row r="2004" spans="1:8" x14ac:dyDescent="0.3">
      <c r="A2004" s="401"/>
      <c r="B2004" s="709">
        <v>10889</v>
      </c>
      <c r="C2004" s="710" t="s">
        <v>10382</v>
      </c>
      <c r="D2004" s="709" t="s">
        <v>136</v>
      </c>
      <c r="E2004" s="709" t="s">
        <v>8432</v>
      </c>
      <c r="F2004" s="716">
        <v>682.77</v>
      </c>
      <c r="G2004" s="716">
        <v>723.3</v>
      </c>
      <c r="H2004" s="225">
        <f t="shared" si="31"/>
        <v>682.77</v>
      </c>
    </row>
    <row r="2005" spans="1:8" x14ac:dyDescent="0.3">
      <c r="A2005" s="401"/>
      <c r="B2005" s="709">
        <v>10890</v>
      </c>
      <c r="C2005" s="710" t="s">
        <v>10383</v>
      </c>
      <c r="D2005" s="709" t="s">
        <v>136</v>
      </c>
      <c r="E2005" s="709" t="s">
        <v>8432</v>
      </c>
      <c r="F2005" s="716">
        <v>315.12</v>
      </c>
      <c r="G2005" s="716">
        <v>333.83</v>
      </c>
      <c r="H2005" s="225">
        <f t="shared" si="31"/>
        <v>315.12</v>
      </c>
    </row>
    <row r="2006" spans="1:8" x14ac:dyDescent="0.3">
      <c r="A2006" s="401"/>
      <c r="B2006" s="709">
        <v>10891</v>
      </c>
      <c r="C2006" s="710" t="s">
        <v>10384</v>
      </c>
      <c r="D2006" s="709" t="s">
        <v>136</v>
      </c>
      <c r="E2006" s="709" t="s">
        <v>8432</v>
      </c>
      <c r="F2006" s="716">
        <v>192.57</v>
      </c>
      <c r="G2006" s="716">
        <v>204</v>
      </c>
      <c r="H2006" s="225">
        <f t="shared" si="31"/>
        <v>192.57</v>
      </c>
    </row>
    <row r="2007" spans="1:8" x14ac:dyDescent="0.3">
      <c r="A2007" s="401"/>
      <c r="B2007" s="709">
        <v>10892</v>
      </c>
      <c r="C2007" s="710" t="s">
        <v>10385</v>
      </c>
      <c r="D2007" s="709" t="s">
        <v>136</v>
      </c>
      <c r="E2007" s="709" t="s">
        <v>8438</v>
      </c>
      <c r="F2007" s="716">
        <v>227.59</v>
      </c>
      <c r="G2007" s="716">
        <v>241.1</v>
      </c>
      <c r="H2007" s="225">
        <f t="shared" si="31"/>
        <v>227.59</v>
      </c>
    </row>
    <row r="2008" spans="1:8" x14ac:dyDescent="0.3">
      <c r="A2008" s="401"/>
      <c r="B2008" s="709">
        <v>20977</v>
      </c>
      <c r="C2008" s="710" t="s">
        <v>10386</v>
      </c>
      <c r="D2008" s="709" t="s">
        <v>136</v>
      </c>
      <c r="E2008" s="709" t="s">
        <v>8432</v>
      </c>
      <c r="F2008" s="716">
        <v>271.35000000000002</v>
      </c>
      <c r="G2008" s="716">
        <v>287.45999999999998</v>
      </c>
      <c r="H2008" s="225">
        <f t="shared" si="31"/>
        <v>271.35000000000002</v>
      </c>
    </row>
    <row r="2009" spans="1:8" x14ac:dyDescent="0.3">
      <c r="A2009" s="401"/>
      <c r="B2009" s="709">
        <v>3073</v>
      </c>
      <c r="C2009" s="710" t="s">
        <v>10387</v>
      </c>
      <c r="D2009" s="709" t="s">
        <v>136</v>
      </c>
      <c r="E2009" s="709" t="s">
        <v>8432</v>
      </c>
      <c r="F2009" s="716"/>
      <c r="G2009" s="716">
        <v>217.97</v>
      </c>
      <c r="H2009" s="225">
        <f t="shared" si="31"/>
        <v>217.97</v>
      </c>
    </row>
    <row r="2010" spans="1:8" x14ac:dyDescent="0.3">
      <c r="A2010" s="401"/>
      <c r="B2010" s="709">
        <v>3074</v>
      </c>
      <c r="C2010" s="710" t="s">
        <v>10388</v>
      </c>
      <c r="D2010" s="709" t="s">
        <v>136</v>
      </c>
      <c r="E2010" s="709" t="s">
        <v>8432</v>
      </c>
      <c r="F2010" s="716"/>
      <c r="G2010" s="716">
        <v>137.61000000000001</v>
      </c>
      <c r="H2010" s="225">
        <f t="shared" si="31"/>
        <v>137.61000000000001</v>
      </c>
    </row>
    <row r="2011" spans="1:8" x14ac:dyDescent="0.3">
      <c r="A2011" s="401"/>
      <c r="B2011" s="709">
        <v>3076</v>
      </c>
      <c r="C2011" s="710" t="s">
        <v>10389</v>
      </c>
      <c r="D2011" s="709" t="s">
        <v>136</v>
      </c>
      <c r="E2011" s="709" t="s">
        <v>8432</v>
      </c>
      <c r="F2011" s="716"/>
      <c r="G2011" s="716">
        <v>179.19</v>
      </c>
      <c r="H2011" s="225">
        <f t="shared" si="31"/>
        <v>179.19</v>
      </c>
    </row>
    <row r="2012" spans="1:8" x14ac:dyDescent="0.3">
      <c r="A2012" s="401"/>
      <c r="B2012" s="709">
        <v>3075</v>
      </c>
      <c r="C2012" s="710" t="s">
        <v>10390</v>
      </c>
      <c r="D2012" s="709" t="s">
        <v>136</v>
      </c>
      <c r="E2012" s="709" t="s">
        <v>8432</v>
      </c>
      <c r="F2012" s="716"/>
      <c r="G2012" s="716">
        <v>113.24</v>
      </c>
      <c r="H2012" s="225">
        <f t="shared" si="31"/>
        <v>113.24</v>
      </c>
    </row>
    <row r="2013" spans="1:8" x14ac:dyDescent="0.3">
      <c r="A2013" s="401"/>
      <c r="B2013" s="709">
        <v>10781</v>
      </c>
      <c r="C2013" s="710" t="s">
        <v>10391</v>
      </c>
      <c r="D2013" s="709" t="s">
        <v>136</v>
      </c>
      <c r="E2013" s="709" t="s">
        <v>8432</v>
      </c>
      <c r="F2013" s="716"/>
      <c r="G2013" s="716">
        <v>15.35</v>
      </c>
      <c r="H2013" s="225">
        <f t="shared" si="31"/>
        <v>15.35</v>
      </c>
    </row>
    <row r="2014" spans="1:8" x14ac:dyDescent="0.3">
      <c r="A2014" s="401"/>
      <c r="B2014" s="709">
        <v>11480</v>
      </c>
      <c r="C2014" s="710" t="s">
        <v>10392</v>
      </c>
      <c r="D2014" s="709" t="s">
        <v>9722</v>
      </c>
      <c r="E2014" s="709" t="s">
        <v>8432</v>
      </c>
      <c r="F2014" s="716">
        <v>168.44</v>
      </c>
      <c r="G2014" s="716">
        <v>148.88999999999999</v>
      </c>
      <c r="H2014" s="225">
        <f t="shared" si="31"/>
        <v>168.44</v>
      </c>
    </row>
    <row r="2015" spans="1:8" x14ac:dyDescent="0.3">
      <c r="A2015" s="401"/>
      <c r="B2015" s="709">
        <v>43612</v>
      </c>
      <c r="C2015" s="710" t="s">
        <v>10393</v>
      </c>
      <c r="D2015" s="709" t="s">
        <v>9722</v>
      </c>
      <c r="E2015" s="709" t="s">
        <v>8432</v>
      </c>
      <c r="F2015" s="716">
        <v>132.58000000000001</v>
      </c>
      <c r="G2015" s="716">
        <v>117.19</v>
      </c>
      <c r="H2015" s="225">
        <f t="shared" si="31"/>
        <v>132.58000000000001</v>
      </c>
    </row>
    <row r="2016" spans="1:8" x14ac:dyDescent="0.3">
      <c r="A2016" s="401"/>
      <c r="B2016" s="709">
        <v>43613</v>
      </c>
      <c r="C2016" s="710" t="s">
        <v>10394</v>
      </c>
      <c r="D2016" s="709" t="s">
        <v>9722</v>
      </c>
      <c r="E2016" s="709" t="s">
        <v>8432</v>
      </c>
      <c r="F2016" s="716">
        <v>109.76</v>
      </c>
      <c r="G2016" s="716">
        <v>97.02</v>
      </c>
      <c r="H2016" s="225">
        <f t="shared" si="31"/>
        <v>109.76</v>
      </c>
    </row>
    <row r="2017" spans="1:8" x14ac:dyDescent="0.3">
      <c r="A2017" s="401"/>
      <c r="B2017" s="709">
        <v>11469</v>
      </c>
      <c r="C2017" s="710" t="s">
        <v>10395</v>
      </c>
      <c r="D2017" s="709" t="s">
        <v>136</v>
      </c>
      <c r="E2017" s="709" t="s">
        <v>8432</v>
      </c>
      <c r="F2017" s="716">
        <v>17.98</v>
      </c>
      <c r="G2017" s="716">
        <v>15.89</v>
      </c>
      <c r="H2017" s="225">
        <f t="shared" si="31"/>
        <v>17.98</v>
      </c>
    </row>
    <row r="2018" spans="1:8" x14ac:dyDescent="0.3">
      <c r="A2018" s="401"/>
      <c r="B2018" s="709">
        <v>11468</v>
      </c>
      <c r="C2018" s="710" t="s">
        <v>10396</v>
      </c>
      <c r="D2018" s="709" t="s">
        <v>136</v>
      </c>
      <c r="E2018" s="709" t="s">
        <v>8432</v>
      </c>
      <c r="F2018" s="716">
        <v>17.989999999999998</v>
      </c>
      <c r="G2018" s="716">
        <v>15.9</v>
      </c>
      <c r="H2018" s="225">
        <f t="shared" si="31"/>
        <v>17.989999999999998</v>
      </c>
    </row>
    <row r="2019" spans="1:8" x14ac:dyDescent="0.3">
      <c r="A2019" s="401"/>
      <c r="B2019" s="709">
        <v>11484</v>
      </c>
      <c r="C2019" s="710" t="s">
        <v>10397</v>
      </c>
      <c r="D2019" s="709" t="s">
        <v>136</v>
      </c>
      <c r="E2019" s="709" t="s">
        <v>8432</v>
      </c>
      <c r="F2019" s="716">
        <v>79.02</v>
      </c>
      <c r="G2019" s="716">
        <v>69.849999999999994</v>
      </c>
      <c r="H2019" s="225">
        <f t="shared" si="31"/>
        <v>79.02</v>
      </c>
    </row>
    <row r="2020" spans="1:8" x14ac:dyDescent="0.3">
      <c r="A2020" s="401"/>
      <c r="B2020" s="709">
        <v>38155</v>
      </c>
      <c r="C2020" s="710" t="s">
        <v>10398</v>
      </c>
      <c r="D2020" s="709" t="s">
        <v>136</v>
      </c>
      <c r="E2020" s="709" t="s">
        <v>8432</v>
      </c>
      <c r="F2020" s="716">
        <v>122.69</v>
      </c>
      <c r="G2020" s="716">
        <v>108.45</v>
      </c>
      <c r="H2020" s="225">
        <f t="shared" si="31"/>
        <v>122.69</v>
      </c>
    </row>
    <row r="2021" spans="1:8" x14ac:dyDescent="0.3">
      <c r="A2021" s="401"/>
      <c r="B2021" s="709">
        <v>11467</v>
      </c>
      <c r="C2021" s="710" t="s">
        <v>10399</v>
      </c>
      <c r="D2021" s="709" t="s">
        <v>136</v>
      </c>
      <c r="E2021" s="709" t="s">
        <v>8432</v>
      </c>
      <c r="F2021" s="716">
        <v>28.03</v>
      </c>
      <c r="G2021" s="716">
        <v>24.78</v>
      </c>
      <c r="H2021" s="225">
        <f t="shared" si="31"/>
        <v>28.03</v>
      </c>
    </row>
    <row r="2022" spans="1:8" x14ac:dyDescent="0.3">
      <c r="A2022" s="401"/>
      <c r="B2022" s="709">
        <v>38153</v>
      </c>
      <c r="C2022" s="710" t="s">
        <v>10400</v>
      </c>
      <c r="D2022" s="709" t="s">
        <v>9722</v>
      </c>
      <c r="E2022" s="709" t="s">
        <v>8432</v>
      </c>
      <c r="F2022" s="716">
        <v>71.61</v>
      </c>
      <c r="G2022" s="716">
        <v>63.3</v>
      </c>
      <c r="H2022" s="225">
        <f t="shared" si="31"/>
        <v>71.61</v>
      </c>
    </row>
    <row r="2023" spans="1:8" x14ac:dyDescent="0.3">
      <c r="A2023" s="401"/>
      <c r="B2023" s="709">
        <v>43607</v>
      </c>
      <c r="C2023" s="710" t="s">
        <v>10401</v>
      </c>
      <c r="D2023" s="709" t="s">
        <v>9722</v>
      </c>
      <c r="E2023" s="709" t="s">
        <v>8432</v>
      </c>
      <c r="F2023" s="716">
        <v>135.44999999999999</v>
      </c>
      <c r="G2023" s="716">
        <v>119.73</v>
      </c>
      <c r="H2023" s="225">
        <f t="shared" si="31"/>
        <v>135.44999999999999</v>
      </c>
    </row>
    <row r="2024" spans="1:8" x14ac:dyDescent="0.3">
      <c r="A2024" s="401"/>
      <c r="B2024" s="709">
        <v>3080</v>
      </c>
      <c r="C2024" s="710" t="s">
        <v>10402</v>
      </c>
      <c r="D2024" s="709" t="s">
        <v>9722</v>
      </c>
      <c r="E2024" s="709" t="s">
        <v>8438</v>
      </c>
      <c r="F2024" s="716">
        <v>91.07</v>
      </c>
      <c r="G2024" s="716">
        <v>80.5</v>
      </c>
      <c r="H2024" s="225">
        <f t="shared" si="31"/>
        <v>91.07</v>
      </c>
    </row>
    <row r="2025" spans="1:8" x14ac:dyDescent="0.3">
      <c r="A2025" s="401"/>
      <c r="B2025" s="709">
        <v>3081</v>
      </c>
      <c r="C2025" s="710" t="s">
        <v>10403</v>
      </c>
      <c r="D2025" s="709" t="s">
        <v>9722</v>
      </c>
      <c r="E2025" s="709" t="s">
        <v>8432</v>
      </c>
      <c r="F2025" s="716">
        <v>180.18</v>
      </c>
      <c r="G2025" s="716">
        <v>159.27000000000001</v>
      </c>
      <c r="H2025" s="225">
        <f t="shared" si="31"/>
        <v>180.18</v>
      </c>
    </row>
    <row r="2026" spans="1:8" x14ac:dyDescent="0.3">
      <c r="A2026" s="401"/>
      <c r="B2026" s="709">
        <v>3090</v>
      </c>
      <c r="C2026" s="710" t="s">
        <v>10404</v>
      </c>
      <c r="D2026" s="709" t="s">
        <v>9722</v>
      </c>
      <c r="E2026" s="709" t="s">
        <v>8432</v>
      </c>
      <c r="F2026" s="716">
        <v>81.28</v>
      </c>
      <c r="G2026" s="716">
        <v>71.849999999999994</v>
      </c>
      <c r="H2026" s="225">
        <f t="shared" si="31"/>
        <v>81.28</v>
      </c>
    </row>
    <row r="2027" spans="1:8" x14ac:dyDescent="0.3">
      <c r="A2027" s="401"/>
      <c r="B2027" s="709">
        <v>43611</v>
      </c>
      <c r="C2027" s="710" t="s">
        <v>10405</v>
      </c>
      <c r="D2027" s="709" t="s">
        <v>9722</v>
      </c>
      <c r="E2027" s="709" t="s">
        <v>8432</v>
      </c>
      <c r="F2027" s="716">
        <v>134.88</v>
      </c>
      <c r="G2027" s="716">
        <v>119.23</v>
      </c>
      <c r="H2027" s="225">
        <f t="shared" si="31"/>
        <v>134.88</v>
      </c>
    </row>
    <row r="2028" spans="1:8" x14ac:dyDescent="0.3">
      <c r="A2028" s="401"/>
      <c r="B2028" s="709">
        <v>3103</v>
      </c>
      <c r="C2028" s="710" t="s">
        <v>10406</v>
      </c>
      <c r="D2028" s="709" t="s">
        <v>136</v>
      </c>
      <c r="E2028" s="709" t="s">
        <v>8432</v>
      </c>
      <c r="F2028" s="716">
        <v>67.400000000000006</v>
      </c>
      <c r="G2028" s="716">
        <v>59.57</v>
      </c>
      <c r="H2028" s="225">
        <f t="shared" si="31"/>
        <v>67.400000000000006</v>
      </c>
    </row>
    <row r="2029" spans="1:8" x14ac:dyDescent="0.3">
      <c r="A2029" s="401"/>
      <c r="B2029" s="709">
        <v>3097</v>
      </c>
      <c r="C2029" s="710" t="s">
        <v>10407</v>
      </c>
      <c r="D2029" s="709" t="s">
        <v>9722</v>
      </c>
      <c r="E2029" s="709" t="s">
        <v>8432</v>
      </c>
      <c r="F2029" s="716">
        <v>101.97</v>
      </c>
      <c r="G2029" s="716">
        <v>90.13</v>
      </c>
      <c r="H2029" s="225">
        <f t="shared" si="31"/>
        <v>101.97</v>
      </c>
    </row>
    <row r="2030" spans="1:8" x14ac:dyDescent="0.3">
      <c r="A2030" s="401"/>
      <c r="B2030" s="709">
        <v>3099</v>
      </c>
      <c r="C2030" s="710" t="s">
        <v>10408</v>
      </c>
      <c r="D2030" s="709" t="s">
        <v>9722</v>
      </c>
      <c r="E2030" s="709" t="s">
        <v>8432</v>
      </c>
      <c r="F2030" s="716">
        <v>163.27000000000001</v>
      </c>
      <c r="G2030" s="716">
        <v>144.32</v>
      </c>
      <c r="H2030" s="225">
        <f t="shared" si="31"/>
        <v>163.27000000000001</v>
      </c>
    </row>
    <row r="2031" spans="1:8" x14ac:dyDescent="0.3">
      <c r="A2031" s="401"/>
      <c r="B2031" s="709">
        <v>38151</v>
      </c>
      <c r="C2031" s="710" t="s">
        <v>10409</v>
      </c>
      <c r="D2031" s="709" t="s">
        <v>9722</v>
      </c>
      <c r="E2031" s="709" t="s">
        <v>8432</v>
      </c>
      <c r="F2031" s="716">
        <v>118.36</v>
      </c>
      <c r="G2031" s="716">
        <v>104.63</v>
      </c>
      <c r="H2031" s="225">
        <f t="shared" si="31"/>
        <v>118.36</v>
      </c>
    </row>
    <row r="2032" spans="1:8" x14ac:dyDescent="0.3">
      <c r="A2032" s="401"/>
      <c r="B2032" s="709">
        <v>38152</v>
      </c>
      <c r="C2032" s="710" t="s">
        <v>10410</v>
      </c>
      <c r="D2032" s="709" t="s">
        <v>9722</v>
      </c>
      <c r="E2032" s="709" t="s">
        <v>8432</v>
      </c>
      <c r="F2032" s="716">
        <v>190.94</v>
      </c>
      <c r="G2032" s="716">
        <v>168.78</v>
      </c>
      <c r="H2032" s="225">
        <f t="shared" si="31"/>
        <v>190.94</v>
      </c>
    </row>
    <row r="2033" spans="1:8" x14ac:dyDescent="0.3">
      <c r="A2033" s="401"/>
      <c r="B2033" s="709">
        <v>43610</v>
      </c>
      <c r="C2033" s="710" t="s">
        <v>10411</v>
      </c>
      <c r="D2033" s="709" t="s">
        <v>9722</v>
      </c>
      <c r="E2033" s="709" t="s">
        <v>8432</v>
      </c>
      <c r="F2033" s="716">
        <v>101.17</v>
      </c>
      <c r="G2033" s="716">
        <v>89.43</v>
      </c>
      <c r="H2033" s="225">
        <f t="shared" si="31"/>
        <v>101.17</v>
      </c>
    </row>
    <row r="2034" spans="1:8" x14ac:dyDescent="0.3">
      <c r="A2034" s="401"/>
      <c r="B2034" s="709">
        <v>3093</v>
      </c>
      <c r="C2034" s="710" t="s">
        <v>10412</v>
      </c>
      <c r="D2034" s="709" t="s">
        <v>9722</v>
      </c>
      <c r="E2034" s="709" t="s">
        <v>8432</v>
      </c>
      <c r="F2034" s="716">
        <v>163.27000000000001</v>
      </c>
      <c r="G2034" s="716">
        <v>144.32</v>
      </c>
      <c r="H2034" s="225">
        <f t="shared" si="31"/>
        <v>163.27000000000001</v>
      </c>
    </row>
    <row r="2035" spans="1:8" x14ac:dyDescent="0.3">
      <c r="A2035" s="401"/>
      <c r="B2035" s="709">
        <v>38165</v>
      </c>
      <c r="C2035" s="710" t="s">
        <v>10413</v>
      </c>
      <c r="D2035" s="709" t="s">
        <v>9722</v>
      </c>
      <c r="E2035" s="709" t="s">
        <v>8432</v>
      </c>
      <c r="F2035" s="716">
        <v>83.66</v>
      </c>
      <c r="G2035" s="716">
        <v>69.209999999999994</v>
      </c>
      <c r="H2035" s="225">
        <f t="shared" si="31"/>
        <v>83.66</v>
      </c>
    </row>
    <row r="2036" spans="1:8" x14ac:dyDescent="0.3">
      <c r="A2036" s="401"/>
      <c r="B2036" s="709">
        <v>38177</v>
      </c>
      <c r="C2036" s="710" t="s">
        <v>10414</v>
      </c>
      <c r="D2036" s="709" t="s">
        <v>136</v>
      </c>
      <c r="E2036" s="709" t="s">
        <v>8432</v>
      </c>
      <c r="F2036" s="716">
        <v>24.86</v>
      </c>
      <c r="G2036" s="716">
        <v>20.56</v>
      </c>
      <c r="H2036" s="225">
        <f t="shared" si="31"/>
        <v>24.86</v>
      </c>
    </row>
    <row r="2037" spans="1:8" x14ac:dyDescent="0.3">
      <c r="A2037" s="401"/>
      <c r="B2037" s="709">
        <v>11458</v>
      </c>
      <c r="C2037" s="710" t="s">
        <v>10415</v>
      </c>
      <c r="D2037" s="709" t="s">
        <v>136</v>
      </c>
      <c r="E2037" s="709" t="s">
        <v>8432</v>
      </c>
      <c r="F2037" s="716">
        <v>29.68</v>
      </c>
      <c r="G2037" s="716">
        <v>24.55</v>
      </c>
      <c r="H2037" s="225">
        <f t="shared" si="31"/>
        <v>29.68</v>
      </c>
    </row>
    <row r="2038" spans="1:8" x14ac:dyDescent="0.3">
      <c r="A2038" s="401"/>
      <c r="B2038" s="709">
        <v>3108</v>
      </c>
      <c r="C2038" s="710" t="s">
        <v>10416</v>
      </c>
      <c r="D2038" s="709" t="s">
        <v>136</v>
      </c>
      <c r="E2038" s="709" t="s">
        <v>8432</v>
      </c>
      <c r="F2038" s="716">
        <v>126.17</v>
      </c>
      <c r="G2038" s="716">
        <v>104.38</v>
      </c>
      <c r="H2038" s="225">
        <f t="shared" si="31"/>
        <v>126.17</v>
      </c>
    </row>
    <row r="2039" spans="1:8" x14ac:dyDescent="0.3">
      <c r="A2039" s="401"/>
      <c r="B2039" s="709">
        <v>3105</v>
      </c>
      <c r="C2039" s="710" t="s">
        <v>10417</v>
      </c>
      <c r="D2039" s="709" t="s">
        <v>136</v>
      </c>
      <c r="E2039" s="709" t="s">
        <v>8432</v>
      </c>
      <c r="F2039" s="716">
        <v>165.02</v>
      </c>
      <c r="G2039" s="716">
        <v>136.52000000000001</v>
      </c>
      <c r="H2039" s="225">
        <f t="shared" si="31"/>
        <v>165.02</v>
      </c>
    </row>
    <row r="2040" spans="1:8" x14ac:dyDescent="0.3">
      <c r="A2040" s="401"/>
      <c r="B2040" s="709">
        <v>38178</v>
      </c>
      <c r="C2040" s="710" t="s">
        <v>10418</v>
      </c>
      <c r="D2040" s="709" t="s">
        <v>136</v>
      </c>
      <c r="E2040" s="709" t="s">
        <v>8432</v>
      </c>
      <c r="F2040" s="716">
        <v>27.35</v>
      </c>
      <c r="G2040" s="716">
        <v>22.63</v>
      </c>
      <c r="H2040" s="225">
        <f t="shared" si="31"/>
        <v>27.35</v>
      </c>
    </row>
    <row r="2041" spans="1:8" x14ac:dyDescent="0.3">
      <c r="A2041" s="401"/>
      <c r="B2041" s="709">
        <v>43575</v>
      </c>
      <c r="C2041" s="710" t="s">
        <v>10419</v>
      </c>
      <c r="D2041" s="709" t="s">
        <v>136</v>
      </c>
      <c r="E2041" s="709" t="s">
        <v>8432</v>
      </c>
      <c r="F2041" s="716">
        <v>59.26</v>
      </c>
      <c r="G2041" s="716">
        <v>49.03</v>
      </c>
      <c r="H2041" s="225">
        <f t="shared" si="31"/>
        <v>59.26</v>
      </c>
    </row>
    <row r="2042" spans="1:8" x14ac:dyDescent="0.3">
      <c r="A2042" s="401"/>
      <c r="B2042" s="709">
        <v>43577</v>
      </c>
      <c r="C2042" s="710" t="s">
        <v>10420</v>
      </c>
      <c r="D2042" s="709" t="s">
        <v>136</v>
      </c>
      <c r="E2042" s="709" t="s">
        <v>8432</v>
      </c>
      <c r="F2042" s="716">
        <v>103.04</v>
      </c>
      <c r="G2042" s="716">
        <v>85.24</v>
      </c>
      <c r="H2042" s="225">
        <f t="shared" si="31"/>
        <v>103.04</v>
      </c>
    </row>
    <row r="2043" spans="1:8" x14ac:dyDescent="0.3">
      <c r="A2043" s="401"/>
      <c r="B2043" s="709">
        <v>43458</v>
      </c>
      <c r="C2043" s="710" t="s">
        <v>10421</v>
      </c>
      <c r="D2043" s="709" t="s">
        <v>234</v>
      </c>
      <c r="E2043" s="709" t="s">
        <v>8438</v>
      </c>
      <c r="F2043" s="716">
        <v>0.05</v>
      </c>
      <c r="G2043" s="716">
        <v>0.05</v>
      </c>
      <c r="H2043" s="225">
        <f t="shared" si="31"/>
        <v>0.05</v>
      </c>
    </row>
    <row r="2044" spans="1:8" x14ac:dyDescent="0.3">
      <c r="A2044" s="401"/>
      <c r="B2044" s="709">
        <v>43470</v>
      </c>
      <c r="C2044" s="710" t="s">
        <v>10422</v>
      </c>
      <c r="D2044" s="709" t="s">
        <v>208</v>
      </c>
      <c r="E2044" s="709" t="s">
        <v>8438</v>
      </c>
      <c r="F2044" s="716">
        <v>9.7100000000000009</v>
      </c>
      <c r="G2044" s="716">
        <v>9.52</v>
      </c>
      <c r="H2044" s="225">
        <f t="shared" si="31"/>
        <v>9.7100000000000009</v>
      </c>
    </row>
    <row r="2045" spans="1:8" x14ac:dyDescent="0.3">
      <c r="A2045" s="401"/>
      <c r="B2045" s="709">
        <v>43459</v>
      </c>
      <c r="C2045" s="710" t="s">
        <v>10423</v>
      </c>
      <c r="D2045" s="709" t="s">
        <v>234</v>
      </c>
      <c r="E2045" s="709" t="s">
        <v>8438</v>
      </c>
      <c r="F2045" s="716">
        <v>0.3</v>
      </c>
      <c r="G2045" s="716">
        <v>0.28999999999999998</v>
      </c>
      <c r="H2045" s="225">
        <f t="shared" si="31"/>
        <v>0.3</v>
      </c>
    </row>
    <row r="2046" spans="1:8" x14ac:dyDescent="0.3">
      <c r="A2046" s="401"/>
      <c r="B2046" s="709">
        <v>43471</v>
      </c>
      <c r="C2046" s="710" t="s">
        <v>10424</v>
      </c>
      <c r="D2046" s="709" t="s">
        <v>208</v>
      </c>
      <c r="E2046" s="709" t="s">
        <v>8438</v>
      </c>
      <c r="F2046" s="716">
        <v>50.36</v>
      </c>
      <c r="G2046" s="716">
        <v>49.31</v>
      </c>
      <c r="H2046" s="225">
        <f t="shared" si="31"/>
        <v>50.36</v>
      </c>
    </row>
    <row r="2047" spans="1:8" x14ac:dyDescent="0.3">
      <c r="A2047" s="401"/>
      <c r="B2047" s="709">
        <v>43460</v>
      </c>
      <c r="C2047" s="710" t="s">
        <v>10425</v>
      </c>
      <c r="D2047" s="709" t="s">
        <v>234</v>
      </c>
      <c r="E2047" s="709" t="s">
        <v>8438</v>
      </c>
      <c r="F2047" s="716">
        <v>0.91</v>
      </c>
      <c r="G2047" s="716">
        <v>0.83</v>
      </c>
      <c r="H2047" s="225">
        <f t="shared" si="31"/>
        <v>0.91</v>
      </c>
    </row>
    <row r="2048" spans="1:8" x14ac:dyDescent="0.3">
      <c r="A2048" s="401"/>
      <c r="B2048" s="709">
        <v>43472</v>
      </c>
      <c r="C2048" s="710" t="s">
        <v>10426</v>
      </c>
      <c r="D2048" s="709" t="s">
        <v>208</v>
      </c>
      <c r="E2048" s="709" t="s">
        <v>8438</v>
      </c>
      <c r="F2048" s="716">
        <v>152.44</v>
      </c>
      <c r="G2048" s="716">
        <v>139.4</v>
      </c>
      <c r="H2048" s="225">
        <f t="shared" si="31"/>
        <v>152.44</v>
      </c>
    </row>
    <row r="2049" spans="1:8" x14ac:dyDescent="0.3">
      <c r="A2049" s="401"/>
      <c r="B2049" s="709">
        <v>43461</v>
      </c>
      <c r="C2049" s="710" t="s">
        <v>10427</v>
      </c>
      <c r="D2049" s="709" t="s">
        <v>234</v>
      </c>
      <c r="E2049" s="709" t="s">
        <v>8438</v>
      </c>
      <c r="F2049" s="716">
        <v>0.47</v>
      </c>
      <c r="G2049" s="716">
        <v>0.42</v>
      </c>
      <c r="H2049" s="225">
        <f t="shared" si="31"/>
        <v>0.47</v>
      </c>
    </row>
    <row r="2050" spans="1:8" x14ac:dyDescent="0.3">
      <c r="A2050" s="401"/>
      <c r="B2050" s="709">
        <v>43473</v>
      </c>
      <c r="C2050" s="710" t="s">
        <v>10428</v>
      </c>
      <c r="D2050" s="709" t="s">
        <v>208</v>
      </c>
      <c r="E2050" s="709" t="s">
        <v>8438</v>
      </c>
      <c r="F2050" s="716">
        <v>79.92</v>
      </c>
      <c r="G2050" s="716">
        <v>70.760000000000005</v>
      </c>
      <c r="H2050" s="225">
        <f t="shared" si="31"/>
        <v>79.92</v>
      </c>
    </row>
    <row r="2051" spans="1:8" x14ac:dyDescent="0.3">
      <c r="A2051" s="401"/>
      <c r="B2051" s="709">
        <v>43463</v>
      </c>
      <c r="C2051" s="710" t="s">
        <v>10429</v>
      </c>
      <c r="D2051" s="709" t="s">
        <v>234</v>
      </c>
      <c r="E2051" s="709" t="s">
        <v>8438</v>
      </c>
      <c r="F2051" s="716">
        <v>0.12</v>
      </c>
      <c r="G2051" s="716">
        <v>0.12</v>
      </c>
      <c r="H2051" s="225">
        <f t="shared" si="31"/>
        <v>0.12</v>
      </c>
    </row>
    <row r="2052" spans="1:8" x14ac:dyDescent="0.3">
      <c r="A2052" s="401"/>
      <c r="B2052" s="709">
        <v>43475</v>
      </c>
      <c r="C2052" s="710" t="s">
        <v>10430</v>
      </c>
      <c r="D2052" s="709" t="s">
        <v>208</v>
      </c>
      <c r="E2052" s="709" t="s">
        <v>8438</v>
      </c>
      <c r="F2052" s="716">
        <v>21.01</v>
      </c>
      <c r="G2052" s="716">
        <v>21.33</v>
      </c>
      <c r="H2052" s="225">
        <f t="shared" si="31"/>
        <v>21.01</v>
      </c>
    </row>
    <row r="2053" spans="1:8" x14ac:dyDescent="0.3">
      <c r="A2053" s="401"/>
      <c r="B2053" s="709">
        <v>43462</v>
      </c>
      <c r="C2053" s="710" t="s">
        <v>10431</v>
      </c>
      <c r="D2053" s="709" t="s">
        <v>234</v>
      </c>
      <c r="E2053" s="709" t="s">
        <v>8438</v>
      </c>
      <c r="F2053" s="716">
        <v>0.02</v>
      </c>
      <c r="G2053" s="716">
        <v>0.02</v>
      </c>
      <c r="H2053" s="225">
        <f t="shared" si="31"/>
        <v>0.02</v>
      </c>
    </row>
    <row r="2054" spans="1:8" x14ac:dyDescent="0.3">
      <c r="A2054" s="401"/>
      <c r="B2054" s="709">
        <v>43474</v>
      </c>
      <c r="C2054" s="710" t="s">
        <v>10432</v>
      </c>
      <c r="D2054" s="709" t="s">
        <v>208</v>
      </c>
      <c r="E2054" s="709" t="s">
        <v>8438</v>
      </c>
      <c r="F2054" s="716">
        <v>4.41</v>
      </c>
      <c r="G2054" s="716">
        <v>4.33</v>
      </c>
      <c r="H2054" s="225">
        <f t="shared" si="31"/>
        <v>4.41</v>
      </c>
    </row>
    <row r="2055" spans="1:8" x14ac:dyDescent="0.3">
      <c r="A2055" s="401"/>
      <c r="B2055" s="709">
        <v>43464</v>
      </c>
      <c r="C2055" s="710" t="s">
        <v>10433</v>
      </c>
      <c r="D2055" s="709" t="s">
        <v>234</v>
      </c>
      <c r="E2055" s="709" t="s">
        <v>8438</v>
      </c>
      <c r="F2055" s="716">
        <v>0.03</v>
      </c>
      <c r="G2055" s="716">
        <v>0.02</v>
      </c>
      <c r="H2055" s="225">
        <f t="shared" si="31"/>
        <v>0.03</v>
      </c>
    </row>
    <row r="2056" spans="1:8" x14ac:dyDescent="0.3">
      <c r="A2056" s="401"/>
      <c r="B2056" s="709">
        <v>43476</v>
      </c>
      <c r="C2056" s="710" t="s">
        <v>10434</v>
      </c>
      <c r="D2056" s="709" t="s">
        <v>208</v>
      </c>
      <c r="E2056" s="709" t="s">
        <v>8438</v>
      </c>
      <c r="F2056" s="716">
        <v>5.04</v>
      </c>
      <c r="G2056" s="716">
        <v>4.95</v>
      </c>
      <c r="H2056" s="225">
        <f t="shared" si="31"/>
        <v>5.04</v>
      </c>
    </row>
    <row r="2057" spans="1:8" x14ac:dyDescent="0.3">
      <c r="A2057" s="401"/>
      <c r="B2057" s="709">
        <v>43465</v>
      </c>
      <c r="C2057" s="710" t="s">
        <v>10435</v>
      </c>
      <c r="D2057" s="709" t="s">
        <v>234</v>
      </c>
      <c r="E2057" s="709" t="s">
        <v>8438</v>
      </c>
      <c r="F2057" s="716">
        <v>0.71</v>
      </c>
      <c r="G2057" s="716">
        <v>0.73</v>
      </c>
      <c r="H2057" s="225">
        <f t="shared" si="31"/>
        <v>0.71</v>
      </c>
    </row>
    <row r="2058" spans="1:8" x14ac:dyDescent="0.3">
      <c r="A2058" s="401"/>
      <c r="B2058" s="709">
        <v>43477</v>
      </c>
      <c r="C2058" s="710" t="s">
        <v>10436</v>
      </c>
      <c r="D2058" s="709" t="s">
        <v>208</v>
      </c>
      <c r="E2058" s="709" t="s">
        <v>8438</v>
      </c>
      <c r="F2058" s="716">
        <v>118.86</v>
      </c>
      <c r="G2058" s="716">
        <v>122.35</v>
      </c>
      <c r="H2058" s="225">
        <f t="shared" si="31"/>
        <v>118.86</v>
      </c>
    </row>
    <row r="2059" spans="1:8" x14ac:dyDescent="0.3">
      <c r="A2059" s="401"/>
      <c r="B2059" s="709">
        <v>43466</v>
      </c>
      <c r="C2059" s="710" t="s">
        <v>10437</v>
      </c>
      <c r="D2059" s="709" t="s">
        <v>234</v>
      </c>
      <c r="E2059" s="709" t="s">
        <v>8438</v>
      </c>
      <c r="F2059" s="716">
        <v>2.13</v>
      </c>
      <c r="G2059" s="716">
        <v>2.08</v>
      </c>
      <c r="H2059" s="225">
        <f t="shared" ref="H2059:H2122" si="32">IF(F2059&gt;0,F2059,G2059)</f>
        <v>2.13</v>
      </c>
    </row>
    <row r="2060" spans="1:8" x14ac:dyDescent="0.3">
      <c r="A2060" s="401"/>
      <c r="B2060" s="709">
        <v>43478</v>
      </c>
      <c r="C2060" s="710" t="s">
        <v>10438</v>
      </c>
      <c r="D2060" s="709" t="s">
        <v>208</v>
      </c>
      <c r="E2060" s="709" t="s">
        <v>8438</v>
      </c>
      <c r="F2060" s="716">
        <v>356.54</v>
      </c>
      <c r="G2060" s="716">
        <v>346.31</v>
      </c>
      <c r="H2060" s="225">
        <f t="shared" si="32"/>
        <v>356.54</v>
      </c>
    </row>
    <row r="2061" spans="1:8" x14ac:dyDescent="0.3">
      <c r="A2061" s="401"/>
      <c r="B2061" s="709">
        <v>43467</v>
      </c>
      <c r="C2061" s="710" t="s">
        <v>10439</v>
      </c>
      <c r="D2061" s="709" t="s">
        <v>234</v>
      </c>
      <c r="E2061" s="709" t="s">
        <v>8438</v>
      </c>
      <c r="F2061" s="716">
        <v>0.56999999999999995</v>
      </c>
      <c r="G2061" s="716">
        <v>0.56999999999999995</v>
      </c>
      <c r="H2061" s="225">
        <f t="shared" si="32"/>
        <v>0.56999999999999995</v>
      </c>
    </row>
    <row r="2062" spans="1:8" x14ac:dyDescent="0.3">
      <c r="A2062" s="401"/>
      <c r="B2062" s="709">
        <v>43479</v>
      </c>
      <c r="C2062" s="710" t="s">
        <v>10440</v>
      </c>
      <c r="D2062" s="709" t="s">
        <v>208</v>
      </c>
      <c r="E2062" s="709" t="s">
        <v>8438</v>
      </c>
      <c r="F2062" s="716">
        <v>96.38</v>
      </c>
      <c r="G2062" s="716">
        <v>95.69</v>
      </c>
      <c r="H2062" s="225">
        <f t="shared" si="32"/>
        <v>96.38</v>
      </c>
    </row>
    <row r="2063" spans="1:8" x14ac:dyDescent="0.3">
      <c r="A2063" s="401"/>
      <c r="B2063" s="709">
        <v>43468</v>
      </c>
      <c r="C2063" s="710" t="s">
        <v>10441</v>
      </c>
      <c r="D2063" s="709" t="s">
        <v>234</v>
      </c>
      <c r="E2063" s="709" t="s">
        <v>8438</v>
      </c>
      <c r="F2063" s="716">
        <v>1.34</v>
      </c>
      <c r="G2063" s="716">
        <v>1.24</v>
      </c>
      <c r="H2063" s="225">
        <f t="shared" si="32"/>
        <v>1.34</v>
      </c>
    </row>
    <row r="2064" spans="1:8" x14ac:dyDescent="0.3">
      <c r="A2064" s="401"/>
      <c r="B2064" s="709">
        <v>43480</v>
      </c>
      <c r="C2064" s="710" t="s">
        <v>10442</v>
      </c>
      <c r="D2064" s="709" t="s">
        <v>208</v>
      </c>
      <c r="E2064" s="709" t="s">
        <v>8438</v>
      </c>
      <c r="F2064" s="716">
        <v>223.82</v>
      </c>
      <c r="G2064" s="716">
        <v>206.14</v>
      </c>
      <c r="H2064" s="225">
        <f t="shared" si="32"/>
        <v>223.82</v>
      </c>
    </row>
    <row r="2065" spans="1:8" x14ac:dyDescent="0.3">
      <c r="A2065" s="401"/>
      <c r="B2065" s="709">
        <v>43469</v>
      </c>
      <c r="C2065" s="710" t="s">
        <v>10443</v>
      </c>
      <c r="D2065" s="709" t="s">
        <v>234</v>
      </c>
      <c r="E2065" s="709" t="s">
        <v>8438</v>
      </c>
      <c r="F2065" s="716">
        <v>0.08</v>
      </c>
      <c r="G2065" s="716">
        <v>0.08</v>
      </c>
      <c r="H2065" s="225">
        <f t="shared" si="32"/>
        <v>0.08</v>
      </c>
    </row>
    <row r="2066" spans="1:8" x14ac:dyDescent="0.3">
      <c r="A2066" s="401"/>
      <c r="B2066" s="709">
        <v>43481</v>
      </c>
      <c r="C2066" s="710" t="s">
        <v>10444</v>
      </c>
      <c r="D2066" s="709" t="s">
        <v>208</v>
      </c>
      <c r="E2066" s="709" t="s">
        <v>8438</v>
      </c>
      <c r="F2066" s="716">
        <v>13.77</v>
      </c>
      <c r="G2066" s="716">
        <v>14.27</v>
      </c>
      <c r="H2066" s="225">
        <f t="shared" si="32"/>
        <v>13.77</v>
      </c>
    </row>
    <row r="2067" spans="1:8" x14ac:dyDescent="0.3">
      <c r="A2067" s="401"/>
      <c r="B2067" s="709">
        <v>45204</v>
      </c>
      <c r="C2067" s="710" t="s">
        <v>10445</v>
      </c>
      <c r="D2067" s="709" t="s">
        <v>136</v>
      </c>
      <c r="E2067" s="709" t="s">
        <v>8432</v>
      </c>
      <c r="F2067" s="716">
        <v>51.89</v>
      </c>
      <c r="G2067" s="716">
        <v>46.92</v>
      </c>
      <c r="H2067" s="225">
        <f t="shared" si="32"/>
        <v>51.89</v>
      </c>
    </row>
    <row r="2068" spans="1:8" x14ac:dyDescent="0.3">
      <c r="A2068" s="401"/>
      <c r="B2068" s="709">
        <v>3119</v>
      </c>
      <c r="C2068" s="710" t="s">
        <v>10446</v>
      </c>
      <c r="D2068" s="709" t="s">
        <v>136</v>
      </c>
      <c r="E2068" s="709" t="s">
        <v>8432</v>
      </c>
      <c r="F2068" s="716">
        <v>3.21</v>
      </c>
      <c r="G2068" s="716">
        <v>2.65</v>
      </c>
      <c r="H2068" s="225">
        <f t="shared" si="32"/>
        <v>3.21</v>
      </c>
    </row>
    <row r="2069" spans="1:8" x14ac:dyDescent="0.3">
      <c r="A2069" s="401"/>
      <c r="B2069" s="709">
        <v>3122</v>
      </c>
      <c r="C2069" s="710" t="s">
        <v>10447</v>
      </c>
      <c r="D2069" s="709" t="s">
        <v>136</v>
      </c>
      <c r="E2069" s="709" t="s">
        <v>8432</v>
      </c>
      <c r="F2069" s="716">
        <v>6.54</v>
      </c>
      <c r="G2069" s="716">
        <v>5.41</v>
      </c>
      <c r="H2069" s="225">
        <f t="shared" si="32"/>
        <v>6.54</v>
      </c>
    </row>
    <row r="2070" spans="1:8" x14ac:dyDescent="0.3">
      <c r="A2070" s="401"/>
      <c r="B2070" s="709">
        <v>3121</v>
      </c>
      <c r="C2070" s="710" t="s">
        <v>10448</v>
      </c>
      <c r="D2070" s="709" t="s">
        <v>136</v>
      </c>
      <c r="E2070" s="709" t="s">
        <v>8432</v>
      </c>
      <c r="F2070" s="716">
        <v>7.41</v>
      </c>
      <c r="G2070" s="716">
        <v>6.13</v>
      </c>
      <c r="H2070" s="225">
        <f t="shared" si="32"/>
        <v>7.41</v>
      </c>
    </row>
    <row r="2071" spans="1:8" x14ac:dyDescent="0.3">
      <c r="A2071" s="401"/>
      <c r="B2071" s="709">
        <v>3120</v>
      </c>
      <c r="C2071" s="710" t="s">
        <v>10449</v>
      </c>
      <c r="D2071" s="709" t="s">
        <v>136</v>
      </c>
      <c r="E2071" s="709" t="s">
        <v>8432</v>
      </c>
      <c r="F2071" s="716">
        <v>14.05</v>
      </c>
      <c r="G2071" s="716">
        <v>11.62</v>
      </c>
      <c r="H2071" s="225">
        <f t="shared" si="32"/>
        <v>14.05</v>
      </c>
    </row>
    <row r="2072" spans="1:8" x14ac:dyDescent="0.3">
      <c r="A2072" s="401"/>
      <c r="B2072" s="709">
        <v>11455</v>
      </c>
      <c r="C2072" s="710" t="s">
        <v>10450</v>
      </c>
      <c r="D2072" s="709" t="s">
        <v>136</v>
      </c>
      <c r="E2072" s="709" t="s">
        <v>8432</v>
      </c>
      <c r="F2072" s="716">
        <v>20.32</v>
      </c>
      <c r="G2072" s="716">
        <v>16.809999999999999</v>
      </c>
      <c r="H2072" s="225">
        <f t="shared" si="32"/>
        <v>20.32</v>
      </c>
    </row>
    <row r="2073" spans="1:8" x14ac:dyDescent="0.3">
      <c r="A2073" s="401"/>
      <c r="B2073" s="709">
        <v>11456</v>
      </c>
      <c r="C2073" s="710" t="s">
        <v>10451</v>
      </c>
      <c r="D2073" s="709" t="s">
        <v>136</v>
      </c>
      <c r="E2073" s="709" t="s">
        <v>8432</v>
      </c>
      <c r="F2073" s="716">
        <v>24.29</v>
      </c>
      <c r="G2073" s="716">
        <v>20.09</v>
      </c>
      <c r="H2073" s="225">
        <f t="shared" si="32"/>
        <v>24.29</v>
      </c>
    </row>
    <row r="2074" spans="1:8" x14ac:dyDescent="0.3">
      <c r="A2074" s="401"/>
      <c r="B2074" s="709">
        <v>3107</v>
      </c>
      <c r="C2074" s="710" t="s">
        <v>10452</v>
      </c>
      <c r="D2074" s="709" t="s">
        <v>136</v>
      </c>
      <c r="E2074" s="709" t="s">
        <v>8432</v>
      </c>
      <c r="F2074" s="716">
        <v>10.24</v>
      </c>
      <c r="G2074" s="716">
        <v>8.4700000000000006</v>
      </c>
      <c r="H2074" s="225">
        <f t="shared" si="32"/>
        <v>10.24</v>
      </c>
    </row>
    <row r="2075" spans="1:8" x14ac:dyDescent="0.3">
      <c r="A2075" s="401"/>
      <c r="B2075" s="709">
        <v>43583</v>
      </c>
      <c r="C2075" s="710" t="s">
        <v>10453</v>
      </c>
      <c r="D2075" s="709" t="s">
        <v>136</v>
      </c>
      <c r="E2075" s="709" t="s">
        <v>8432</v>
      </c>
      <c r="F2075" s="716">
        <v>11.55</v>
      </c>
      <c r="G2075" s="716">
        <v>9.56</v>
      </c>
      <c r="H2075" s="225">
        <f t="shared" si="32"/>
        <v>11.55</v>
      </c>
    </row>
    <row r="2076" spans="1:8" x14ac:dyDescent="0.3">
      <c r="A2076" s="401"/>
      <c r="B2076" s="709">
        <v>43586</v>
      </c>
      <c r="C2076" s="710" t="s">
        <v>10454</v>
      </c>
      <c r="D2076" s="709" t="s">
        <v>136</v>
      </c>
      <c r="E2076" s="709" t="s">
        <v>8432</v>
      </c>
      <c r="F2076" s="716">
        <v>11.84</v>
      </c>
      <c r="G2076" s="716">
        <v>9.7899999999999991</v>
      </c>
      <c r="H2076" s="225">
        <f t="shared" si="32"/>
        <v>11.84</v>
      </c>
    </row>
    <row r="2077" spans="1:8" x14ac:dyDescent="0.3">
      <c r="A2077" s="401"/>
      <c r="B2077" s="709">
        <v>11461</v>
      </c>
      <c r="C2077" s="710" t="s">
        <v>10455</v>
      </c>
      <c r="D2077" s="709" t="s">
        <v>136</v>
      </c>
      <c r="E2077" s="709" t="s">
        <v>8432</v>
      </c>
      <c r="F2077" s="716">
        <v>12.9</v>
      </c>
      <c r="G2077" s="716">
        <v>10.67</v>
      </c>
      <c r="H2077" s="225">
        <f t="shared" si="32"/>
        <v>12.9</v>
      </c>
    </row>
    <row r="2078" spans="1:8" x14ac:dyDescent="0.3">
      <c r="A2078" s="401"/>
      <c r="B2078" s="709">
        <v>43587</v>
      </c>
      <c r="C2078" s="710" t="s">
        <v>10456</v>
      </c>
      <c r="D2078" s="709" t="s">
        <v>136</v>
      </c>
      <c r="E2078" s="709" t="s">
        <v>8432</v>
      </c>
      <c r="F2078" s="716">
        <v>14.89</v>
      </c>
      <c r="G2078" s="716">
        <v>12.32</v>
      </c>
      <c r="H2078" s="225">
        <f t="shared" si="32"/>
        <v>14.89</v>
      </c>
    </row>
    <row r="2079" spans="1:8" x14ac:dyDescent="0.3">
      <c r="A2079" s="401"/>
      <c r="B2079" s="709">
        <v>3106</v>
      </c>
      <c r="C2079" s="710" t="s">
        <v>10457</v>
      </c>
      <c r="D2079" s="709" t="s">
        <v>136</v>
      </c>
      <c r="E2079" s="709" t="s">
        <v>8432</v>
      </c>
      <c r="F2079" s="716">
        <v>18.89</v>
      </c>
      <c r="G2079" s="716">
        <v>15.63</v>
      </c>
      <c r="H2079" s="225">
        <f t="shared" si="32"/>
        <v>18.89</v>
      </c>
    </row>
    <row r="2080" spans="1:8" x14ac:dyDescent="0.3">
      <c r="A2080" s="401"/>
      <c r="B2080" s="709">
        <v>44539</v>
      </c>
      <c r="C2080" s="710" t="s">
        <v>10458</v>
      </c>
      <c r="D2080" s="709" t="s">
        <v>175</v>
      </c>
      <c r="E2080" s="709" t="s">
        <v>8432</v>
      </c>
      <c r="F2080" s="716">
        <v>3.08</v>
      </c>
      <c r="G2080" s="716">
        <v>3.43</v>
      </c>
      <c r="H2080" s="225">
        <f t="shared" si="32"/>
        <v>3.08</v>
      </c>
    </row>
    <row r="2081" spans="1:8" x14ac:dyDescent="0.3">
      <c r="A2081" s="401"/>
      <c r="B2081" s="709">
        <v>3123</v>
      </c>
      <c r="C2081" s="710" t="s">
        <v>10459</v>
      </c>
      <c r="D2081" s="709" t="s">
        <v>175</v>
      </c>
      <c r="E2081" s="709" t="s">
        <v>8438</v>
      </c>
      <c r="F2081" s="716">
        <v>2.87</v>
      </c>
      <c r="G2081" s="716">
        <v>3.2</v>
      </c>
      <c r="H2081" s="225">
        <f t="shared" si="32"/>
        <v>2.87</v>
      </c>
    </row>
    <row r="2082" spans="1:8" x14ac:dyDescent="0.3">
      <c r="A2082" s="401"/>
      <c r="B2082" s="709">
        <v>38125</v>
      </c>
      <c r="C2082" s="710" t="s">
        <v>10460</v>
      </c>
      <c r="D2082" s="709" t="s">
        <v>175</v>
      </c>
      <c r="E2082" s="709" t="s">
        <v>8432</v>
      </c>
      <c r="F2082" s="716">
        <v>1.61</v>
      </c>
      <c r="G2082" s="716">
        <v>1.88</v>
      </c>
      <c r="H2082" s="225">
        <f t="shared" si="32"/>
        <v>1.61</v>
      </c>
    </row>
    <row r="2083" spans="1:8" x14ac:dyDescent="0.3">
      <c r="A2083" s="401"/>
      <c r="B2083" s="709">
        <v>39014</v>
      </c>
      <c r="C2083" s="710" t="s">
        <v>10461</v>
      </c>
      <c r="D2083" s="709" t="s">
        <v>175</v>
      </c>
      <c r="E2083" s="709" t="s">
        <v>8432</v>
      </c>
      <c r="F2083" s="716">
        <v>10.58</v>
      </c>
      <c r="G2083" s="716">
        <v>9.66</v>
      </c>
      <c r="H2083" s="225">
        <f t="shared" si="32"/>
        <v>10.58</v>
      </c>
    </row>
    <row r="2084" spans="1:8" x14ac:dyDescent="0.3">
      <c r="A2084" s="401"/>
      <c r="B2084" s="709">
        <v>39365</v>
      </c>
      <c r="C2084" s="710" t="s">
        <v>10462</v>
      </c>
      <c r="D2084" s="709" t="s">
        <v>136</v>
      </c>
      <c r="E2084" s="709" t="s">
        <v>8432</v>
      </c>
      <c r="F2084" s="716">
        <v>2143.6999999999998</v>
      </c>
      <c r="G2084" s="716">
        <v>2156.3000000000002</v>
      </c>
      <c r="H2084" s="225">
        <f t="shared" si="32"/>
        <v>2143.6999999999998</v>
      </c>
    </row>
    <row r="2085" spans="1:8" x14ac:dyDescent="0.3">
      <c r="A2085" s="401"/>
      <c r="B2085" s="709">
        <v>39366</v>
      </c>
      <c r="C2085" s="710" t="s">
        <v>10463</v>
      </c>
      <c r="D2085" s="709" t="s">
        <v>136</v>
      </c>
      <c r="E2085" s="709" t="s">
        <v>8432</v>
      </c>
      <c r="F2085" s="716">
        <v>3252.34</v>
      </c>
      <c r="G2085" s="716">
        <v>3271.47</v>
      </c>
      <c r="H2085" s="225">
        <f t="shared" si="32"/>
        <v>3252.34</v>
      </c>
    </row>
    <row r="2086" spans="1:8" x14ac:dyDescent="0.3">
      <c r="A2086" s="401"/>
      <c r="B2086" s="709">
        <v>39367</v>
      </c>
      <c r="C2086" s="710" t="s">
        <v>10464</v>
      </c>
      <c r="D2086" s="709" t="s">
        <v>136</v>
      </c>
      <c r="E2086" s="709" t="s">
        <v>8432</v>
      </c>
      <c r="F2086" s="716">
        <v>5572.66</v>
      </c>
      <c r="G2086" s="716">
        <v>5605.44</v>
      </c>
      <c r="H2086" s="225">
        <f t="shared" si="32"/>
        <v>5572.66</v>
      </c>
    </row>
    <row r="2087" spans="1:8" x14ac:dyDescent="0.3">
      <c r="A2087" s="401"/>
      <c r="B2087" s="709">
        <v>45263</v>
      </c>
      <c r="C2087" s="710" t="s">
        <v>10465</v>
      </c>
      <c r="D2087" s="709" t="s">
        <v>136</v>
      </c>
      <c r="E2087" s="709" t="s">
        <v>8432</v>
      </c>
      <c r="F2087" s="716">
        <v>20.05</v>
      </c>
      <c r="G2087" s="716">
        <v>19.66</v>
      </c>
      <c r="H2087" s="225">
        <f t="shared" si="32"/>
        <v>20.05</v>
      </c>
    </row>
    <row r="2088" spans="1:8" x14ac:dyDescent="0.3">
      <c r="A2088" s="401"/>
      <c r="B2088" s="709">
        <v>37394</v>
      </c>
      <c r="C2088" s="710" t="s">
        <v>10466</v>
      </c>
      <c r="D2088" s="709" t="s">
        <v>10467</v>
      </c>
      <c r="E2088" s="709" t="s">
        <v>8432</v>
      </c>
      <c r="F2088" s="716">
        <v>42.9</v>
      </c>
      <c r="G2088" s="716">
        <v>49.22</v>
      </c>
      <c r="H2088" s="225">
        <f t="shared" si="32"/>
        <v>42.9</v>
      </c>
    </row>
    <row r="2089" spans="1:8" x14ac:dyDescent="0.3">
      <c r="A2089" s="401"/>
      <c r="B2089" s="709">
        <v>14146</v>
      </c>
      <c r="C2089" s="710" t="s">
        <v>10468</v>
      </c>
      <c r="D2089" s="709" t="s">
        <v>10467</v>
      </c>
      <c r="E2089" s="709" t="s">
        <v>8438</v>
      </c>
      <c r="F2089" s="716">
        <v>69</v>
      </c>
      <c r="G2089" s="716">
        <v>79.150000000000006</v>
      </c>
      <c r="H2089" s="225">
        <f t="shared" si="32"/>
        <v>69</v>
      </c>
    </row>
    <row r="2090" spans="1:8" x14ac:dyDescent="0.3">
      <c r="A2090" s="401"/>
      <c r="B2090" s="709">
        <v>938</v>
      </c>
      <c r="C2090" s="710" t="s">
        <v>10469</v>
      </c>
      <c r="D2090" s="709" t="s">
        <v>159</v>
      </c>
      <c r="E2090" s="709" t="s">
        <v>8432</v>
      </c>
      <c r="F2090" s="716">
        <v>1.79</v>
      </c>
      <c r="G2090" s="716">
        <v>1.89</v>
      </c>
      <c r="H2090" s="225">
        <f t="shared" si="32"/>
        <v>1.79</v>
      </c>
    </row>
    <row r="2091" spans="1:8" x14ac:dyDescent="0.3">
      <c r="A2091" s="401"/>
      <c r="B2091" s="709">
        <v>937</v>
      </c>
      <c r="C2091" s="710" t="s">
        <v>10470</v>
      </c>
      <c r="D2091" s="709" t="s">
        <v>159</v>
      </c>
      <c r="E2091" s="709" t="s">
        <v>8432</v>
      </c>
      <c r="F2091" s="716">
        <v>10.46</v>
      </c>
      <c r="G2091" s="716">
        <v>11.02</v>
      </c>
      <c r="H2091" s="225">
        <f t="shared" si="32"/>
        <v>10.46</v>
      </c>
    </row>
    <row r="2092" spans="1:8" x14ac:dyDescent="0.3">
      <c r="A2092" s="401"/>
      <c r="B2092" s="709">
        <v>939</v>
      </c>
      <c r="C2092" s="710" t="s">
        <v>10471</v>
      </c>
      <c r="D2092" s="709" t="s">
        <v>159</v>
      </c>
      <c r="E2092" s="709" t="s">
        <v>8432</v>
      </c>
      <c r="F2092" s="716">
        <v>2.9</v>
      </c>
      <c r="G2092" s="716">
        <v>3.06</v>
      </c>
      <c r="H2092" s="225">
        <f t="shared" si="32"/>
        <v>2.9</v>
      </c>
    </row>
    <row r="2093" spans="1:8" x14ac:dyDescent="0.3">
      <c r="A2093" s="401"/>
      <c r="B2093" s="709">
        <v>944</v>
      </c>
      <c r="C2093" s="710" t="s">
        <v>10472</v>
      </c>
      <c r="D2093" s="709" t="s">
        <v>159</v>
      </c>
      <c r="E2093" s="709" t="s">
        <v>8432</v>
      </c>
      <c r="F2093" s="716">
        <v>4.58</v>
      </c>
      <c r="G2093" s="716">
        <v>4.83</v>
      </c>
      <c r="H2093" s="225">
        <f t="shared" si="32"/>
        <v>4.58</v>
      </c>
    </row>
    <row r="2094" spans="1:8" x14ac:dyDescent="0.3">
      <c r="A2094" s="401"/>
      <c r="B2094" s="709">
        <v>940</v>
      </c>
      <c r="C2094" s="710" t="s">
        <v>10473</v>
      </c>
      <c r="D2094" s="709" t="s">
        <v>159</v>
      </c>
      <c r="E2094" s="709" t="s">
        <v>8432</v>
      </c>
      <c r="F2094" s="716">
        <v>6.62</v>
      </c>
      <c r="G2094" s="716">
        <v>6.97</v>
      </c>
      <c r="H2094" s="225">
        <f t="shared" si="32"/>
        <v>6.62</v>
      </c>
    </row>
    <row r="2095" spans="1:8" x14ac:dyDescent="0.3">
      <c r="A2095" s="401"/>
      <c r="B2095" s="709">
        <v>44397</v>
      </c>
      <c r="C2095" s="710" t="s">
        <v>10474</v>
      </c>
      <c r="D2095" s="709" t="s">
        <v>159</v>
      </c>
      <c r="E2095" s="709" t="s">
        <v>8432</v>
      </c>
      <c r="F2095" s="716">
        <v>3.03</v>
      </c>
      <c r="G2095" s="716">
        <v>3.88</v>
      </c>
      <c r="H2095" s="225">
        <f t="shared" si="32"/>
        <v>3.03</v>
      </c>
    </row>
    <row r="2096" spans="1:8" x14ac:dyDescent="0.3">
      <c r="A2096" s="401"/>
      <c r="B2096" s="709">
        <v>406</v>
      </c>
      <c r="C2096" s="710" t="s">
        <v>10475</v>
      </c>
      <c r="D2096" s="709" t="s">
        <v>136</v>
      </c>
      <c r="E2096" s="709" t="s">
        <v>8432</v>
      </c>
      <c r="F2096" s="716">
        <v>92.72</v>
      </c>
      <c r="G2096" s="716">
        <v>86.14</v>
      </c>
      <c r="H2096" s="225">
        <f t="shared" si="32"/>
        <v>92.72</v>
      </c>
    </row>
    <row r="2097" spans="1:8" x14ac:dyDescent="0.3">
      <c r="A2097" s="401"/>
      <c r="B2097" s="709">
        <v>43728</v>
      </c>
      <c r="C2097" s="710" t="s">
        <v>14814</v>
      </c>
      <c r="D2097" s="709" t="s">
        <v>159</v>
      </c>
      <c r="E2097" s="709" t="s">
        <v>8432</v>
      </c>
      <c r="F2097" s="716">
        <v>0.19</v>
      </c>
      <c r="G2097" s="716">
        <v>0.2</v>
      </c>
      <c r="H2097" s="225">
        <f t="shared" si="32"/>
        <v>0.19</v>
      </c>
    </row>
    <row r="2098" spans="1:8" x14ac:dyDescent="0.3">
      <c r="A2098" s="401"/>
      <c r="B2098" s="709">
        <v>42529</v>
      </c>
      <c r="C2098" s="710" t="s">
        <v>10476</v>
      </c>
      <c r="D2098" s="709" t="s">
        <v>159</v>
      </c>
      <c r="E2098" s="709" t="s">
        <v>8432</v>
      </c>
      <c r="F2098" s="716">
        <v>0.92</v>
      </c>
      <c r="G2098" s="716">
        <v>1.36</v>
      </c>
      <c r="H2098" s="225">
        <f t="shared" si="32"/>
        <v>0.92</v>
      </c>
    </row>
    <row r="2099" spans="1:8" x14ac:dyDescent="0.3">
      <c r="A2099" s="401"/>
      <c r="B2099" s="709">
        <v>39634</v>
      </c>
      <c r="C2099" s="710" t="s">
        <v>10477</v>
      </c>
      <c r="D2099" s="709" t="s">
        <v>159</v>
      </c>
      <c r="E2099" s="709" t="s">
        <v>8432</v>
      </c>
      <c r="F2099" s="716">
        <v>3.72</v>
      </c>
      <c r="G2099" s="716">
        <v>3.87</v>
      </c>
      <c r="H2099" s="225">
        <f t="shared" si="32"/>
        <v>3.72</v>
      </c>
    </row>
    <row r="2100" spans="1:8" x14ac:dyDescent="0.3">
      <c r="A2100" s="401"/>
      <c r="B2100" s="709">
        <v>39701</v>
      </c>
      <c r="C2100" s="710" t="s">
        <v>10478</v>
      </c>
      <c r="D2100" s="709" t="s">
        <v>136</v>
      </c>
      <c r="E2100" s="709" t="s">
        <v>8432</v>
      </c>
      <c r="F2100" s="716">
        <v>108.98</v>
      </c>
      <c r="G2100" s="716">
        <v>106.82</v>
      </c>
      <c r="H2100" s="225">
        <f t="shared" si="32"/>
        <v>108.98</v>
      </c>
    </row>
    <row r="2101" spans="1:8" x14ac:dyDescent="0.3">
      <c r="A2101" s="401"/>
      <c r="B2101" s="709">
        <v>12815</v>
      </c>
      <c r="C2101" s="710" t="s">
        <v>10479</v>
      </c>
      <c r="D2101" s="709" t="s">
        <v>136</v>
      </c>
      <c r="E2101" s="709" t="s">
        <v>8432</v>
      </c>
      <c r="F2101" s="716">
        <v>14.1</v>
      </c>
      <c r="G2101" s="716">
        <v>15.97</v>
      </c>
      <c r="H2101" s="225">
        <f t="shared" si="32"/>
        <v>14.1</v>
      </c>
    </row>
    <row r="2102" spans="1:8" x14ac:dyDescent="0.3">
      <c r="A2102" s="401"/>
      <c r="B2102" s="709">
        <v>39431</v>
      </c>
      <c r="C2102" s="710" t="s">
        <v>10480</v>
      </c>
      <c r="D2102" s="709" t="s">
        <v>159</v>
      </c>
      <c r="E2102" s="709" t="s">
        <v>8432</v>
      </c>
      <c r="F2102" s="716">
        <v>0.41</v>
      </c>
      <c r="G2102" s="716">
        <v>0.32</v>
      </c>
      <c r="H2102" s="225">
        <f t="shared" si="32"/>
        <v>0.41</v>
      </c>
    </row>
    <row r="2103" spans="1:8" x14ac:dyDescent="0.3">
      <c r="A2103" s="401"/>
      <c r="B2103" s="709">
        <v>39432</v>
      </c>
      <c r="C2103" s="710" t="s">
        <v>10481</v>
      </c>
      <c r="D2103" s="709" t="s">
        <v>159</v>
      </c>
      <c r="E2103" s="709" t="s">
        <v>8432</v>
      </c>
      <c r="F2103" s="716">
        <v>3.63</v>
      </c>
      <c r="G2103" s="716">
        <v>2.86</v>
      </c>
      <c r="H2103" s="225">
        <f t="shared" si="32"/>
        <v>3.63</v>
      </c>
    </row>
    <row r="2104" spans="1:8" x14ac:dyDescent="0.3">
      <c r="A2104" s="401"/>
      <c r="B2104" s="709">
        <v>43727</v>
      </c>
      <c r="C2104" s="710" t="s">
        <v>14815</v>
      </c>
      <c r="D2104" s="709" t="s">
        <v>159</v>
      </c>
      <c r="E2104" s="709" t="s">
        <v>8432</v>
      </c>
      <c r="F2104" s="716">
        <v>1.49</v>
      </c>
      <c r="G2104" s="716">
        <v>1.55</v>
      </c>
      <c r="H2104" s="225">
        <f t="shared" si="32"/>
        <v>1.49</v>
      </c>
    </row>
    <row r="2105" spans="1:8" x14ac:dyDescent="0.3">
      <c r="A2105" s="401"/>
      <c r="B2105" s="709">
        <v>20111</v>
      </c>
      <c r="C2105" s="710" t="s">
        <v>10482</v>
      </c>
      <c r="D2105" s="709" t="s">
        <v>136</v>
      </c>
      <c r="E2105" s="709" t="s">
        <v>8432</v>
      </c>
      <c r="F2105" s="716">
        <v>21.99</v>
      </c>
      <c r="G2105" s="716">
        <v>22.93</v>
      </c>
      <c r="H2105" s="225">
        <f t="shared" si="32"/>
        <v>21.99</v>
      </c>
    </row>
    <row r="2106" spans="1:8" x14ac:dyDescent="0.3">
      <c r="A2106" s="401"/>
      <c r="B2106" s="709">
        <v>21127</v>
      </c>
      <c r="C2106" s="710" t="s">
        <v>10483</v>
      </c>
      <c r="D2106" s="709" t="s">
        <v>136</v>
      </c>
      <c r="E2106" s="709" t="s">
        <v>8432</v>
      </c>
      <c r="F2106" s="716">
        <v>6.41</v>
      </c>
      <c r="G2106" s="716">
        <v>6.69</v>
      </c>
      <c r="H2106" s="225">
        <f t="shared" si="32"/>
        <v>6.41</v>
      </c>
    </row>
    <row r="2107" spans="1:8" x14ac:dyDescent="0.3">
      <c r="A2107" s="401"/>
      <c r="B2107" s="709">
        <v>404</v>
      </c>
      <c r="C2107" s="710" t="s">
        <v>10484</v>
      </c>
      <c r="D2107" s="709" t="s">
        <v>159</v>
      </c>
      <c r="E2107" s="709" t="s">
        <v>8438</v>
      </c>
      <c r="F2107" s="716">
        <v>4.2</v>
      </c>
      <c r="G2107" s="716">
        <v>4.38</v>
      </c>
      <c r="H2107" s="225">
        <f t="shared" si="32"/>
        <v>4.2</v>
      </c>
    </row>
    <row r="2108" spans="1:8" x14ac:dyDescent="0.3">
      <c r="A2108" s="401"/>
      <c r="B2108" s="709">
        <v>14151</v>
      </c>
      <c r="C2108" s="710" t="s">
        <v>10485</v>
      </c>
      <c r="D2108" s="709" t="s">
        <v>136</v>
      </c>
      <c r="E2108" s="709" t="s">
        <v>8432</v>
      </c>
      <c r="F2108" s="716">
        <v>49.59</v>
      </c>
      <c r="G2108" s="716">
        <v>56.88</v>
      </c>
      <c r="H2108" s="225">
        <f t="shared" si="32"/>
        <v>49.59</v>
      </c>
    </row>
    <row r="2109" spans="1:8" x14ac:dyDescent="0.3">
      <c r="A2109" s="401"/>
      <c r="B2109" s="709">
        <v>14153</v>
      </c>
      <c r="C2109" s="710" t="s">
        <v>10486</v>
      </c>
      <c r="D2109" s="709" t="s">
        <v>136</v>
      </c>
      <c r="E2109" s="709" t="s">
        <v>8432</v>
      </c>
      <c r="F2109" s="716">
        <v>56.06</v>
      </c>
      <c r="G2109" s="716">
        <v>64.3</v>
      </c>
      <c r="H2109" s="225">
        <f t="shared" si="32"/>
        <v>56.06</v>
      </c>
    </row>
    <row r="2110" spans="1:8" x14ac:dyDescent="0.3">
      <c r="A2110" s="401"/>
      <c r="B2110" s="709">
        <v>14152</v>
      </c>
      <c r="C2110" s="710" t="s">
        <v>10487</v>
      </c>
      <c r="D2110" s="709" t="s">
        <v>136</v>
      </c>
      <c r="E2110" s="709" t="s">
        <v>8432</v>
      </c>
      <c r="F2110" s="716">
        <v>43.03</v>
      </c>
      <c r="G2110" s="716">
        <v>49.36</v>
      </c>
      <c r="H2110" s="225">
        <f t="shared" si="32"/>
        <v>43.03</v>
      </c>
    </row>
    <row r="2111" spans="1:8" x14ac:dyDescent="0.3">
      <c r="A2111" s="401"/>
      <c r="B2111" s="709">
        <v>14154</v>
      </c>
      <c r="C2111" s="710" t="s">
        <v>10488</v>
      </c>
      <c r="D2111" s="709" t="s">
        <v>136</v>
      </c>
      <c r="E2111" s="709" t="s">
        <v>8432</v>
      </c>
      <c r="F2111" s="716">
        <v>150.63</v>
      </c>
      <c r="G2111" s="716">
        <v>172.79</v>
      </c>
      <c r="H2111" s="225">
        <f t="shared" si="32"/>
        <v>150.63</v>
      </c>
    </row>
    <row r="2112" spans="1:8" x14ac:dyDescent="0.3">
      <c r="A2112" s="401"/>
      <c r="B2112" s="709">
        <v>43729</v>
      </c>
      <c r="C2112" s="710" t="s">
        <v>14816</v>
      </c>
      <c r="D2112" s="709" t="s">
        <v>159</v>
      </c>
      <c r="E2112" s="709" t="s">
        <v>8432</v>
      </c>
      <c r="F2112" s="716">
        <v>0.14000000000000001</v>
      </c>
      <c r="G2112" s="716">
        <v>0.15</v>
      </c>
      <c r="H2112" s="225">
        <f t="shared" si="32"/>
        <v>0.14000000000000001</v>
      </c>
    </row>
    <row r="2113" spans="1:8" x14ac:dyDescent="0.3">
      <c r="A2113" s="401"/>
      <c r="B2113" s="709">
        <v>41956</v>
      </c>
      <c r="C2113" s="710" t="s">
        <v>14817</v>
      </c>
      <c r="D2113" s="709" t="s">
        <v>159</v>
      </c>
      <c r="E2113" s="709" t="s">
        <v>8432</v>
      </c>
      <c r="F2113" s="716">
        <v>7.0000000000000007E-2</v>
      </c>
      <c r="G2113" s="716">
        <v>0.08</v>
      </c>
      <c r="H2113" s="225">
        <f t="shared" si="32"/>
        <v>7.0000000000000007E-2</v>
      </c>
    </row>
    <row r="2114" spans="1:8" x14ac:dyDescent="0.3">
      <c r="A2114" s="401"/>
      <c r="B2114" s="709">
        <v>3146</v>
      </c>
      <c r="C2114" s="710" t="s">
        <v>10489</v>
      </c>
      <c r="D2114" s="709" t="s">
        <v>136</v>
      </c>
      <c r="E2114" s="709" t="s">
        <v>8432</v>
      </c>
      <c r="F2114" s="716">
        <v>4.09</v>
      </c>
      <c r="G2114" s="716">
        <v>4.26</v>
      </c>
      <c r="H2114" s="225">
        <f t="shared" si="32"/>
        <v>4.09</v>
      </c>
    </row>
    <row r="2115" spans="1:8" x14ac:dyDescent="0.3">
      <c r="A2115" s="401"/>
      <c r="B2115" s="709">
        <v>3143</v>
      </c>
      <c r="C2115" s="710" t="s">
        <v>10490</v>
      </c>
      <c r="D2115" s="709" t="s">
        <v>136</v>
      </c>
      <c r="E2115" s="709" t="s">
        <v>8432</v>
      </c>
      <c r="F2115" s="716">
        <v>7.47</v>
      </c>
      <c r="G2115" s="716">
        <v>7.79</v>
      </c>
      <c r="H2115" s="225">
        <f t="shared" si="32"/>
        <v>7.47</v>
      </c>
    </row>
    <row r="2116" spans="1:8" x14ac:dyDescent="0.3">
      <c r="A2116" s="401"/>
      <c r="B2116" s="709">
        <v>3148</v>
      </c>
      <c r="C2116" s="710" t="s">
        <v>10491</v>
      </c>
      <c r="D2116" s="709" t="s">
        <v>136</v>
      </c>
      <c r="E2116" s="709" t="s">
        <v>8432</v>
      </c>
      <c r="F2116" s="716">
        <v>16.07</v>
      </c>
      <c r="G2116" s="716">
        <v>16.760000000000002</v>
      </c>
      <c r="H2116" s="225">
        <f t="shared" si="32"/>
        <v>16.07</v>
      </c>
    </row>
    <row r="2117" spans="1:8" x14ac:dyDescent="0.3">
      <c r="A2117" s="401"/>
      <c r="B2117" s="709">
        <v>4310</v>
      </c>
      <c r="C2117" s="710" t="s">
        <v>10492</v>
      </c>
      <c r="D2117" s="709" t="s">
        <v>136</v>
      </c>
      <c r="E2117" s="709" t="s">
        <v>8432</v>
      </c>
      <c r="F2117" s="716">
        <v>2.61</v>
      </c>
      <c r="G2117" s="716">
        <v>2.93</v>
      </c>
      <c r="H2117" s="225">
        <f t="shared" si="32"/>
        <v>2.61</v>
      </c>
    </row>
    <row r="2118" spans="1:8" x14ac:dyDescent="0.3">
      <c r="A2118" s="401"/>
      <c r="B2118" s="709">
        <v>4311</v>
      </c>
      <c r="C2118" s="710" t="s">
        <v>10493</v>
      </c>
      <c r="D2118" s="709" t="s">
        <v>136</v>
      </c>
      <c r="E2118" s="709" t="s">
        <v>8432</v>
      </c>
      <c r="F2118" s="716">
        <v>1.84</v>
      </c>
      <c r="G2118" s="716">
        <v>2.06</v>
      </c>
      <c r="H2118" s="225">
        <f t="shared" si="32"/>
        <v>1.84</v>
      </c>
    </row>
    <row r="2119" spans="1:8" x14ac:dyDescent="0.3">
      <c r="A2119" s="401"/>
      <c r="B2119" s="709">
        <v>4312</v>
      </c>
      <c r="C2119" s="710" t="s">
        <v>10494</v>
      </c>
      <c r="D2119" s="709" t="s">
        <v>136</v>
      </c>
      <c r="E2119" s="709" t="s">
        <v>8432</v>
      </c>
      <c r="F2119" s="716">
        <v>2.57</v>
      </c>
      <c r="G2119" s="716">
        <v>2.88</v>
      </c>
      <c r="H2119" s="225">
        <f t="shared" si="32"/>
        <v>2.57</v>
      </c>
    </row>
    <row r="2120" spans="1:8" x14ac:dyDescent="0.3">
      <c r="A2120" s="401"/>
      <c r="B2120" s="709">
        <v>13261</v>
      </c>
      <c r="C2120" s="710" t="s">
        <v>10495</v>
      </c>
      <c r="D2120" s="709" t="s">
        <v>136</v>
      </c>
      <c r="E2120" s="709" t="s">
        <v>8432</v>
      </c>
      <c r="F2120" s="716">
        <v>2.5499999999999998</v>
      </c>
      <c r="G2120" s="716">
        <v>2.89</v>
      </c>
      <c r="H2120" s="225">
        <f t="shared" si="32"/>
        <v>2.5499999999999998</v>
      </c>
    </row>
    <row r="2121" spans="1:8" x14ac:dyDescent="0.3">
      <c r="A2121" s="401"/>
      <c r="B2121" s="709">
        <v>3272</v>
      </c>
      <c r="C2121" s="710" t="s">
        <v>10496</v>
      </c>
      <c r="D2121" s="709" t="s">
        <v>136</v>
      </c>
      <c r="E2121" s="709" t="s">
        <v>8432</v>
      </c>
      <c r="F2121" s="716">
        <v>42.01</v>
      </c>
      <c r="G2121" s="716">
        <v>57.28</v>
      </c>
      <c r="H2121" s="225">
        <f t="shared" si="32"/>
        <v>42.01</v>
      </c>
    </row>
    <row r="2122" spans="1:8" x14ac:dyDescent="0.3">
      <c r="A2122" s="401"/>
      <c r="B2122" s="709">
        <v>3265</v>
      </c>
      <c r="C2122" s="710" t="s">
        <v>10497</v>
      </c>
      <c r="D2122" s="709" t="s">
        <v>136</v>
      </c>
      <c r="E2122" s="709" t="s">
        <v>8432</v>
      </c>
      <c r="F2122" s="716">
        <v>33.380000000000003</v>
      </c>
      <c r="G2122" s="716">
        <v>45.51</v>
      </c>
      <c r="H2122" s="225">
        <f t="shared" si="32"/>
        <v>33.380000000000003</v>
      </c>
    </row>
    <row r="2123" spans="1:8" x14ac:dyDescent="0.3">
      <c r="A2123" s="401"/>
      <c r="B2123" s="709">
        <v>3264</v>
      </c>
      <c r="C2123" s="710" t="s">
        <v>10498</v>
      </c>
      <c r="D2123" s="709" t="s">
        <v>136</v>
      </c>
      <c r="E2123" s="709" t="s">
        <v>8432</v>
      </c>
      <c r="F2123" s="716">
        <v>24</v>
      </c>
      <c r="G2123" s="716">
        <v>32.72</v>
      </c>
      <c r="H2123" s="225">
        <f t="shared" ref="H2123:H2186" si="33">IF(F2123&gt;0,F2123,G2123)</f>
        <v>24</v>
      </c>
    </row>
    <row r="2124" spans="1:8" x14ac:dyDescent="0.3">
      <c r="A2124" s="401"/>
      <c r="B2124" s="709">
        <v>3262</v>
      </c>
      <c r="C2124" s="710" t="s">
        <v>10499</v>
      </c>
      <c r="D2124" s="709" t="s">
        <v>136</v>
      </c>
      <c r="E2124" s="709" t="s">
        <v>8432</v>
      </c>
      <c r="F2124" s="716">
        <v>14.61</v>
      </c>
      <c r="G2124" s="716">
        <v>19.920000000000002</v>
      </c>
      <c r="H2124" s="225">
        <f t="shared" si="33"/>
        <v>14.61</v>
      </c>
    </row>
    <row r="2125" spans="1:8" x14ac:dyDescent="0.3">
      <c r="A2125" s="401"/>
      <c r="B2125" s="709">
        <v>3267</v>
      </c>
      <c r="C2125" s="710" t="s">
        <v>10500</v>
      </c>
      <c r="D2125" s="709" t="s">
        <v>136</v>
      </c>
      <c r="E2125" s="709" t="s">
        <v>8432</v>
      </c>
      <c r="F2125" s="716">
        <v>78.38</v>
      </c>
      <c r="G2125" s="716">
        <v>106.88</v>
      </c>
      <c r="H2125" s="225">
        <f t="shared" si="33"/>
        <v>78.38</v>
      </c>
    </row>
    <row r="2126" spans="1:8" x14ac:dyDescent="0.3">
      <c r="A2126" s="401"/>
      <c r="B2126" s="709">
        <v>3266</v>
      </c>
      <c r="C2126" s="710" t="s">
        <v>10501</v>
      </c>
      <c r="D2126" s="709" t="s">
        <v>136</v>
      </c>
      <c r="E2126" s="709" t="s">
        <v>8432</v>
      </c>
      <c r="F2126" s="716">
        <v>49.87</v>
      </c>
      <c r="G2126" s="716">
        <v>68</v>
      </c>
      <c r="H2126" s="225">
        <f t="shared" si="33"/>
        <v>49.87</v>
      </c>
    </row>
    <row r="2127" spans="1:8" x14ac:dyDescent="0.3">
      <c r="A2127" s="401"/>
      <c r="B2127" s="709">
        <v>3268</v>
      </c>
      <c r="C2127" s="710" t="s">
        <v>10502</v>
      </c>
      <c r="D2127" s="709" t="s">
        <v>136</v>
      </c>
      <c r="E2127" s="709" t="s">
        <v>8432</v>
      </c>
      <c r="F2127" s="716">
        <v>105.98</v>
      </c>
      <c r="G2127" s="716">
        <v>144.51</v>
      </c>
      <c r="H2127" s="225">
        <f t="shared" si="33"/>
        <v>105.98</v>
      </c>
    </row>
    <row r="2128" spans="1:8" x14ac:dyDescent="0.3">
      <c r="A2128" s="401"/>
      <c r="B2128" s="709">
        <v>3263</v>
      </c>
      <c r="C2128" s="710" t="s">
        <v>10503</v>
      </c>
      <c r="D2128" s="709" t="s">
        <v>136</v>
      </c>
      <c r="E2128" s="709" t="s">
        <v>8432</v>
      </c>
      <c r="F2128" s="716">
        <v>19.96</v>
      </c>
      <c r="G2128" s="716">
        <v>27.21</v>
      </c>
      <c r="H2128" s="225">
        <f t="shared" si="33"/>
        <v>19.96</v>
      </c>
    </row>
    <row r="2129" spans="1:8" x14ac:dyDescent="0.3">
      <c r="A2129" s="401"/>
      <c r="B2129" s="709">
        <v>3271</v>
      </c>
      <c r="C2129" s="710" t="s">
        <v>10504</v>
      </c>
      <c r="D2129" s="709" t="s">
        <v>136</v>
      </c>
      <c r="E2129" s="709" t="s">
        <v>8432</v>
      </c>
      <c r="F2129" s="716">
        <v>156.68</v>
      </c>
      <c r="G2129" s="716">
        <v>213.64</v>
      </c>
      <c r="H2129" s="225">
        <f t="shared" si="33"/>
        <v>156.68</v>
      </c>
    </row>
    <row r="2130" spans="1:8" x14ac:dyDescent="0.3">
      <c r="A2130" s="401"/>
      <c r="B2130" s="709">
        <v>3270</v>
      </c>
      <c r="C2130" s="710" t="s">
        <v>10505</v>
      </c>
      <c r="D2130" s="709" t="s">
        <v>136</v>
      </c>
      <c r="E2130" s="709" t="s">
        <v>8432</v>
      </c>
      <c r="F2130" s="716">
        <v>263.23</v>
      </c>
      <c r="G2130" s="716">
        <v>358.93</v>
      </c>
      <c r="H2130" s="225">
        <f t="shared" si="33"/>
        <v>263.23</v>
      </c>
    </row>
    <row r="2131" spans="1:8" x14ac:dyDescent="0.3">
      <c r="A2131" s="401"/>
      <c r="B2131" s="709">
        <v>45256</v>
      </c>
      <c r="C2131" s="710" t="s">
        <v>10506</v>
      </c>
      <c r="D2131" s="709" t="s">
        <v>136</v>
      </c>
      <c r="E2131" s="709" t="s">
        <v>8432</v>
      </c>
      <c r="F2131" s="716">
        <v>27.89</v>
      </c>
      <c r="G2131" s="716">
        <v>27.43</v>
      </c>
      <c r="H2131" s="225">
        <f t="shared" si="33"/>
        <v>27.89</v>
      </c>
    </row>
    <row r="2132" spans="1:8" x14ac:dyDescent="0.3">
      <c r="A2132" s="401"/>
      <c r="B2132" s="709">
        <v>3275</v>
      </c>
      <c r="C2132" s="710" t="s">
        <v>10507</v>
      </c>
      <c r="D2132" s="709" t="s">
        <v>168</v>
      </c>
      <c r="E2132" s="709" t="s">
        <v>8432</v>
      </c>
      <c r="F2132" s="716">
        <v>171.51</v>
      </c>
      <c r="G2132" s="716">
        <v>155.24</v>
      </c>
      <c r="H2132" s="225">
        <f t="shared" si="33"/>
        <v>171.51</v>
      </c>
    </row>
    <row r="2133" spans="1:8" x14ac:dyDescent="0.3">
      <c r="A2133" s="401"/>
      <c r="B2133" s="709">
        <v>39512</v>
      </c>
      <c r="C2133" s="710" t="s">
        <v>10508</v>
      </c>
      <c r="D2133" s="709" t="s">
        <v>168</v>
      </c>
      <c r="E2133" s="709" t="s">
        <v>8432</v>
      </c>
      <c r="F2133" s="716">
        <v>83.34</v>
      </c>
      <c r="G2133" s="716">
        <v>126.31</v>
      </c>
      <c r="H2133" s="225">
        <f t="shared" si="33"/>
        <v>83.34</v>
      </c>
    </row>
    <row r="2134" spans="1:8" x14ac:dyDescent="0.3">
      <c r="A2134" s="401"/>
      <c r="B2134" s="709">
        <v>39511</v>
      </c>
      <c r="C2134" s="710" t="s">
        <v>10509</v>
      </c>
      <c r="D2134" s="709" t="s">
        <v>168</v>
      </c>
      <c r="E2134" s="709" t="s">
        <v>8432</v>
      </c>
      <c r="F2134" s="716">
        <v>90.9</v>
      </c>
      <c r="G2134" s="716">
        <v>137.77000000000001</v>
      </c>
      <c r="H2134" s="225">
        <f t="shared" si="33"/>
        <v>90.9</v>
      </c>
    </row>
    <row r="2135" spans="1:8" x14ac:dyDescent="0.3">
      <c r="A2135" s="401"/>
      <c r="B2135" s="709">
        <v>39513</v>
      </c>
      <c r="C2135" s="710" t="s">
        <v>10510</v>
      </c>
      <c r="D2135" s="709" t="s">
        <v>168</v>
      </c>
      <c r="E2135" s="709" t="s">
        <v>8432</v>
      </c>
      <c r="F2135" s="716">
        <v>97.5</v>
      </c>
      <c r="G2135" s="716">
        <v>147.77000000000001</v>
      </c>
      <c r="H2135" s="225">
        <f t="shared" si="33"/>
        <v>97.5</v>
      </c>
    </row>
    <row r="2136" spans="1:8" x14ac:dyDescent="0.3">
      <c r="A2136" s="401"/>
      <c r="B2136" s="709">
        <v>3286</v>
      </c>
      <c r="C2136" s="710" t="s">
        <v>10511</v>
      </c>
      <c r="D2136" s="709" t="s">
        <v>168</v>
      </c>
      <c r="E2136" s="709" t="s">
        <v>8432</v>
      </c>
      <c r="F2136" s="716">
        <v>105.88</v>
      </c>
      <c r="G2136" s="716">
        <v>100.58</v>
      </c>
      <c r="H2136" s="225">
        <f t="shared" si="33"/>
        <v>105.88</v>
      </c>
    </row>
    <row r="2137" spans="1:8" x14ac:dyDescent="0.3">
      <c r="A2137" s="401"/>
      <c r="B2137" s="709">
        <v>3287</v>
      </c>
      <c r="C2137" s="710" t="s">
        <v>10512</v>
      </c>
      <c r="D2137" s="709" t="s">
        <v>168</v>
      </c>
      <c r="E2137" s="709" t="s">
        <v>8432</v>
      </c>
      <c r="F2137" s="716">
        <v>160</v>
      </c>
      <c r="G2137" s="716">
        <v>152</v>
      </c>
      <c r="H2137" s="225">
        <f t="shared" si="33"/>
        <v>160</v>
      </c>
    </row>
    <row r="2138" spans="1:8" x14ac:dyDescent="0.3">
      <c r="A2138" s="401"/>
      <c r="B2138" s="709">
        <v>3283</v>
      </c>
      <c r="C2138" s="710" t="s">
        <v>10513</v>
      </c>
      <c r="D2138" s="709" t="s">
        <v>168</v>
      </c>
      <c r="E2138" s="709" t="s">
        <v>8432</v>
      </c>
      <c r="F2138" s="716">
        <v>33.61</v>
      </c>
      <c r="G2138" s="716">
        <v>31.93</v>
      </c>
      <c r="H2138" s="225">
        <f t="shared" si="33"/>
        <v>33.61</v>
      </c>
    </row>
    <row r="2139" spans="1:8" x14ac:dyDescent="0.3">
      <c r="A2139" s="401"/>
      <c r="B2139" s="709">
        <v>11587</v>
      </c>
      <c r="C2139" s="710" t="s">
        <v>10514</v>
      </c>
      <c r="D2139" s="709" t="s">
        <v>168</v>
      </c>
      <c r="E2139" s="709" t="s">
        <v>8432</v>
      </c>
      <c r="F2139" s="716">
        <v>117.61</v>
      </c>
      <c r="G2139" s="716">
        <v>106.45</v>
      </c>
      <c r="H2139" s="225">
        <f t="shared" si="33"/>
        <v>117.61</v>
      </c>
    </row>
    <row r="2140" spans="1:8" x14ac:dyDescent="0.3">
      <c r="A2140" s="401"/>
      <c r="B2140" s="709">
        <v>36225</v>
      </c>
      <c r="C2140" s="710" t="s">
        <v>10515</v>
      </c>
      <c r="D2140" s="709" t="s">
        <v>168</v>
      </c>
      <c r="E2140" s="709" t="s">
        <v>8432</v>
      </c>
      <c r="F2140" s="716">
        <v>47.78</v>
      </c>
      <c r="G2140" s="716">
        <v>43.24</v>
      </c>
      <c r="H2140" s="225">
        <f t="shared" si="33"/>
        <v>47.78</v>
      </c>
    </row>
    <row r="2141" spans="1:8" x14ac:dyDescent="0.3">
      <c r="A2141" s="401"/>
      <c r="B2141" s="709">
        <v>36230</v>
      </c>
      <c r="C2141" s="710" t="s">
        <v>10516</v>
      </c>
      <c r="D2141" s="709" t="s">
        <v>168</v>
      </c>
      <c r="E2141" s="709" t="s">
        <v>8438</v>
      </c>
      <c r="F2141" s="716">
        <v>35.1</v>
      </c>
      <c r="G2141" s="716">
        <v>31.77</v>
      </c>
      <c r="H2141" s="225">
        <f t="shared" si="33"/>
        <v>35.1</v>
      </c>
    </row>
    <row r="2142" spans="1:8" x14ac:dyDescent="0.3">
      <c r="A2142" s="401"/>
      <c r="B2142" s="709">
        <v>36238</v>
      </c>
      <c r="C2142" s="710" t="s">
        <v>10517</v>
      </c>
      <c r="D2142" s="709" t="s">
        <v>168</v>
      </c>
      <c r="E2142" s="709" t="s">
        <v>8432</v>
      </c>
      <c r="F2142" s="716">
        <v>34.299999999999997</v>
      </c>
      <c r="G2142" s="716">
        <v>31.04</v>
      </c>
      <c r="H2142" s="225">
        <f t="shared" si="33"/>
        <v>34.299999999999997</v>
      </c>
    </row>
    <row r="2143" spans="1:8" x14ac:dyDescent="0.3">
      <c r="A2143" s="401"/>
      <c r="B2143" s="709">
        <v>39363</v>
      </c>
      <c r="C2143" s="710" t="s">
        <v>10518</v>
      </c>
      <c r="D2143" s="709" t="s">
        <v>136</v>
      </c>
      <c r="E2143" s="709" t="s">
        <v>8432</v>
      </c>
      <c r="F2143" s="716">
        <v>6318.89</v>
      </c>
      <c r="G2143" s="716">
        <v>6356.05</v>
      </c>
      <c r="H2143" s="225">
        <f t="shared" si="33"/>
        <v>6318.89</v>
      </c>
    </row>
    <row r="2144" spans="1:8" x14ac:dyDescent="0.3">
      <c r="A2144" s="401"/>
      <c r="B2144" s="709">
        <v>39361</v>
      </c>
      <c r="C2144" s="710" t="s">
        <v>10519</v>
      </c>
      <c r="D2144" s="709" t="s">
        <v>136</v>
      </c>
      <c r="E2144" s="709" t="s">
        <v>8432</v>
      </c>
      <c r="F2144" s="716">
        <v>1930.46</v>
      </c>
      <c r="G2144" s="716">
        <v>1941.81</v>
      </c>
      <c r="H2144" s="225">
        <f t="shared" si="33"/>
        <v>1930.46</v>
      </c>
    </row>
    <row r="2145" spans="1:8" x14ac:dyDescent="0.3">
      <c r="A2145" s="401"/>
      <c r="B2145" s="709">
        <v>39362</v>
      </c>
      <c r="C2145" s="710" t="s">
        <v>10520</v>
      </c>
      <c r="D2145" s="709" t="s">
        <v>136</v>
      </c>
      <c r="E2145" s="709" t="s">
        <v>8432</v>
      </c>
      <c r="F2145" s="716">
        <v>3410.26</v>
      </c>
      <c r="G2145" s="716">
        <v>3430.32</v>
      </c>
      <c r="H2145" s="225">
        <f t="shared" si="33"/>
        <v>3410.26</v>
      </c>
    </row>
    <row r="2146" spans="1:8" x14ac:dyDescent="0.3">
      <c r="A2146" s="401"/>
      <c r="B2146" s="709">
        <v>39364</v>
      </c>
      <c r="C2146" s="710" t="s">
        <v>10521</v>
      </c>
      <c r="D2146" s="709" t="s">
        <v>136</v>
      </c>
      <c r="E2146" s="709" t="s">
        <v>8432</v>
      </c>
      <c r="F2146" s="716">
        <v>13328.2</v>
      </c>
      <c r="G2146" s="716">
        <v>13406.59</v>
      </c>
      <c r="H2146" s="225">
        <f t="shared" si="33"/>
        <v>13328.2</v>
      </c>
    </row>
    <row r="2147" spans="1:8" x14ac:dyDescent="0.3">
      <c r="A2147" s="401"/>
      <c r="B2147" s="709">
        <v>14576</v>
      </c>
      <c r="C2147" s="710" t="s">
        <v>10522</v>
      </c>
      <c r="D2147" s="709" t="s">
        <v>136</v>
      </c>
      <c r="E2147" s="709" t="s">
        <v>8432</v>
      </c>
      <c r="F2147" s="716"/>
      <c r="G2147" s="716">
        <v>6166718.79</v>
      </c>
      <c r="H2147" s="225">
        <f t="shared" si="33"/>
        <v>6166718.79</v>
      </c>
    </row>
    <row r="2148" spans="1:8" x14ac:dyDescent="0.3">
      <c r="A2148" s="401"/>
      <c r="B2148" s="709">
        <v>13877</v>
      </c>
      <c r="C2148" s="710" t="s">
        <v>10523</v>
      </c>
      <c r="D2148" s="709" t="s">
        <v>136</v>
      </c>
      <c r="E2148" s="709" t="s">
        <v>8432</v>
      </c>
      <c r="F2148" s="716"/>
      <c r="G2148" s="716">
        <v>2639880.33</v>
      </c>
      <c r="H2148" s="225">
        <f t="shared" si="33"/>
        <v>2639880.33</v>
      </c>
    </row>
    <row r="2149" spans="1:8" x14ac:dyDescent="0.3">
      <c r="A2149" s="401"/>
      <c r="B2149" s="709">
        <v>7307</v>
      </c>
      <c r="C2149" s="710" t="s">
        <v>10524</v>
      </c>
      <c r="D2149" s="709" t="s">
        <v>8120</v>
      </c>
      <c r="E2149" s="709" t="s">
        <v>8432</v>
      </c>
      <c r="F2149" s="716">
        <v>45.84</v>
      </c>
      <c r="G2149" s="716">
        <v>45.27</v>
      </c>
      <c r="H2149" s="225">
        <f t="shared" si="33"/>
        <v>45.84</v>
      </c>
    </row>
    <row r="2150" spans="1:8" x14ac:dyDescent="0.3">
      <c r="A2150" s="401"/>
      <c r="B2150" s="709">
        <v>38122</v>
      </c>
      <c r="C2150" s="710" t="s">
        <v>10525</v>
      </c>
      <c r="D2150" s="709" t="s">
        <v>8120</v>
      </c>
      <c r="E2150" s="709" t="s">
        <v>8432</v>
      </c>
      <c r="F2150" s="716">
        <v>15.82</v>
      </c>
      <c r="G2150" s="716">
        <v>20.3</v>
      </c>
      <c r="H2150" s="225">
        <f t="shared" si="33"/>
        <v>15.82</v>
      </c>
    </row>
    <row r="2151" spans="1:8" x14ac:dyDescent="0.3">
      <c r="A2151" s="401"/>
      <c r="B2151" s="709">
        <v>43653</v>
      </c>
      <c r="C2151" s="710" t="s">
        <v>10526</v>
      </c>
      <c r="D2151" s="709" t="s">
        <v>8120</v>
      </c>
      <c r="E2151" s="709" t="s">
        <v>8432</v>
      </c>
      <c r="F2151" s="716">
        <v>43.28</v>
      </c>
      <c r="G2151" s="716">
        <v>39.25</v>
      </c>
      <c r="H2151" s="225">
        <f t="shared" si="33"/>
        <v>43.28</v>
      </c>
    </row>
    <row r="2152" spans="1:8" x14ac:dyDescent="0.3">
      <c r="A2152" s="401"/>
      <c r="B2152" s="709">
        <v>45301</v>
      </c>
      <c r="C2152" s="710" t="s">
        <v>10527</v>
      </c>
      <c r="D2152" s="709" t="s">
        <v>136</v>
      </c>
      <c r="E2152" s="709" t="s">
        <v>8432</v>
      </c>
      <c r="F2152" s="716">
        <v>289.97000000000003</v>
      </c>
      <c r="G2152" s="716">
        <v>245.41</v>
      </c>
      <c r="H2152" s="225">
        <f t="shared" si="33"/>
        <v>289.97000000000003</v>
      </c>
    </row>
    <row r="2153" spans="1:8" x14ac:dyDescent="0.3">
      <c r="A2153" s="401"/>
      <c r="B2153" s="709">
        <v>45334</v>
      </c>
      <c r="C2153" s="710" t="s">
        <v>10528</v>
      </c>
      <c r="D2153" s="709" t="s">
        <v>136</v>
      </c>
      <c r="E2153" s="709" t="s">
        <v>8432</v>
      </c>
      <c r="F2153" s="716">
        <v>32.619999999999997</v>
      </c>
      <c r="G2153" s="716">
        <v>30.23</v>
      </c>
      <c r="H2153" s="225">
        <f t="shared" si="33"/>
        <v>32.619999999999997</v>
      </c>
    </row>
    <row r="2154" spans="1:8" x14ac:dyDescent="0.3">
      <c r="A2154" s="401"/>
      <c r="B2154" s="709">
        <v>34802</v>
      </c>
      <c r="C2154" s="710" t="s">
        <v>10529</v>
      </c>
      <c r="D2154" s="709" t="s">
        <v>136</v>
      </c>
      <c r="E2154" s="709" t="s">
        <v>8432</v>
      </c>
      <c r="F2154" s="716">
        <v>1223.81</v>
      </c>
      <c r="G2154" s="716">
        <v>1262.8699999999999</v>
      </c>
      <c r="H2154" s="225">
        <f t="shared" si="33"/>
        <v>1223.81</v>
      </c>
    </row>
    <row r="2155" spans="1:8" x14ac:dyDescent="0.3">
      <c r="A2155" s="401"/>
      <c r="B2155" s="709">
        <v>11588</v>
      </c>
      <c r="C2155" s="710" t="s">
        <v>10530</v>
      </c>
      <c r="D2155" s="709" t="s">
        <v>136</v>
      </c>
      <c r="E2155" s="709" t="s">
        <v>8432</v>
      </c>
      <c r="F2155" s="716">
        <v>1320.29</v>
      </c>
      <c r="G2155" s="716">
        <v>1362.43</v>
      </c>
      <c r="H2155" s="225">
        <f t="shared" si="33"/>
        <v>1320.29</v>
      </c>
    </row>
    <row r="2156" spans="1:8" x14ac:dyDescent="0.3">
      <c r="A2156" s="401"/>
      <c r="B2156" s="709">
        <v>34383</v>
      </c>
      <c r="C2156" s="710" t="s">
        <v>10531</v>
      </c>
      <c r="D2156" s="709" t="s">
        <v>136</v>
      </c>
      <c r="E2156" s="709" t="s">
        <v>8432</v>
      </c>
      <c r="F2156" s="716">
        <v>1452.41</v>
      </c>
      <c r="G2156" s="716">
        <v>1498.78</v>
      </c>
      <c r="H2156" s="225">
        <f t="shared" si="33"/>
        <v>1452.41</v>
      </c>
    </row>
    <row r="2157" spans="1:8" x14ac:dyDescent="0.3">
      <c r="A2157" s="401"/>
      <c r="B2157" s="709">
        <v>40451</v>
      </c>
      <c r="C2157" s="710" t="s">
        <v>10532</v>
      </c>
      <c r="D2157" s="709" t="s">
        <v>168</v>
      </c>
      <c r="E2157" s="709" t="s">
        <v>8432</v>
      </c>
      <c r="F2157" s="716">
        <v>117.4</v>
      </c>
      <c r="G2157" s="716">
        <v>121.15</v>
      </c>
      <c r="H2157" s="225">
        <f t="shared" si="33"/>
        <v>117.4</v>
      </c>
    </row>
    <row r="2158" spans="1:8" x14ac:dyDescent="0.3">
      <c r="A2158" s="401"/>
      <c r="B2158" s="709">
        <v>40453</v>
      </c>
      <c r="C2158" s="710" t="s">
        <v>10533</v>
      </c>
      <c r="D2158" s="709" t="s">
        <v>168</v>
      </c>
      <c r="E2158" s="709" t="s">
        <v>8432</v>
      </c>
      <c r="F2158" s="716">
        <v>127.03</v>
      </c>
      <c r="G2158" s="716">
        <v>131.08000000000001</v>
      </c>
      <c r="H2158" s="225">
        <f t="shared" si="33"/>
        <v>127.03</v>
      </c>
    </row>
    <row r="2159" spans="1:8" x14ac:dyDescent="0.3">
      <c r="A2159" s="401"/>
      <c r="B2159" s="709">
        <v>40452</v>
      </c>
      <c r="C2159" s="710" t="s">
        <v>10534</v>
      </c>
      <c r="D2159" s="709" t="s">
        <v>168</v>
      </c>
      <c r="E2159" s="709" t="s">
        <v>8432</v>
      </c>
      <c r="F2159" s="716">
        <v>139.34</v>
      </c>
      <c r="G2159" s="716">
        <v>143.78</v>
      </c>
      <c r="H2159" s="225">
        <f t="shared" si="33"/>
        <v>139.34</v>
      </c>
    </row>
    <row r="2160" spans="1:8" x14ac:dyDescent="0.3">
      <c r="A2160" s="401"/>
      <c r="B2160" s="709">
        <v>11594</v>
      </c>
      <c r="C2160" s="710" t="s">
        <v>10535</v>
      </c>
      <c r="D2160" s="709" t="s">
        <v>136</v>
      </c>
      <c r="E2160" s="709" t="s">
        <v>8432</v>
      </c>
      <c r="F2160" s="716">
        <v>420.81</v>
      </c>
      <c r="G2160" s="716">
        <v>434.25</v>
      </c>
      <c r="H2160" s="225">
        <f t="shared" si="33"/>
        <v>420.81</v>
      </c>
    </row>
    <row r="2161" spans="1:8" x14ac:dyDescent="0.3">
      <c r="A2161" s="401"/>
      <c r="B2161" s="709">
        <v>3311</v>
      </c>
      <c r="C2161" s="710" t="s">
        <v>10536</v>
      </c>
      <c r="D2161" s="709" t="s">
        <v>170</v>
      </c>
      <c r="E2161" s="709" t="s">
        <v>8432</v>
      </c>
      <c r="F2161" s="716">
        <v>420.81</v>
      </c>
      <c r="G2161" s="716">
        <v>434.25</v>
      </c>
      <c r="H2161" s="225">
        <f t="shared" si="33"/>
        <v>420.81</v>
      </c>
    </row>
    <row r="2162" spans="1:8" x14ac:dyDescent="0.3">
      <c r="A2162" s="401"/>
      <c r="B2162" s="709">
        <v>11599</v>
      </c>
      <c r="C2162" s="710" t="s">
        <v>10537</v>
      </c>
      <c r="D2162" s="709" t="s">
        <v>136</v>
      </c>
      <c r="E2162" s="709" t="s">
        <v>8432</v>
      </c>
      <c r="F2162" s="716">
        <v>559.63</v>
      </c>
      <c r="G2162" s="716">
        <v>577.5</v>
      </c>
      <c r="H2162" s="225">
        <f t="shared" si="33"/>
        <v>559.63</v>
      </c>
    </row>
    <row r="2163" spans="1:8" x14ac:dyDescent="0.3">
      <c r="A2163" s="401"/>
      <c r="B2163" s="709">
        <v>11593</v>
      </c>
      <c r="C2163" s="710" t="s">
        <v>10538</v>
      </c>
      <c r="D2163" s="709" t="s">
        <v>136</v>
      </c>
      <c r="E2163" s="709" t="s">
        <v>8432</v>
      </c>
      <c r="F2163" s="716">
        <v>784.57</v>
      </c>
      <c r="G2163" s="716">
        <v>809.62</v>
      </c>
      <c r="H2163" s="225">
        <f t="shared" si="33"/>
        <v>784.57</v>
      </c>
    </row>
    <row r="2164" spans="1:8" x14ac:dyDescent="0.3">
      <c r="A2164" s="401"/>
      <c r="B2164" s="709">
        <v>3314</v>
      </c>
      <c r="C2164" s="710" t="s">
        <v>10539</v>
      </c>
      <c r="D2164" s="709" t="s">
        <v>170</v>
      </c>
      <c r="E2164" s="709" t="s">
        <v>8432</v>
      </c>
      <c r="F2164" s="716">
        <v>561.13</v>
      </c>
      <c r="G2164" s="716">
        <v>579.04</v>
      </c>
      <c r="H2164" s="225">
        <f t="shared" si="33"/>
        <v>561.13</v>
      </c>
    </row>
    <row r="2165" spans="1:8" x14ac:dyDescent="0.3">
      <c r="A2165" s="401"/>
      <c r="B2165" s="709">
        <v>11597</v>
      </c>
      <c r="C2165" s="710" t="s">
        <v>10540</v>
      </c>
      <c r="D2165" s="709" t="s">
        <v>136</v>
      </c>
      <c r="E2165" s="709" t="s">
        <v>8432</v>
      </c>
      <c r="F2165" s="716">
        <v>652.52</v>
      </c>
      <c r="G2165" s="716">
        <v>673.35</v>
      </c>
      <c r="H2165" s="225">
        <f t="shared" si="33"/>
        <v>652.52</v>
      </c>
    </row>
    <row r="2166" spans="1:8" x14ac:dyDescent="0.3">
      <c r="A2166" s="401"/>
      <c r="B2166" s="709">
        <v>3309</v>
      </c>
      <c r="C2166" s="710" t="s">
        <v>10541</v>
      </c>
      <c r="D2166" s="709" t="s">
        <v>170</v>
      </c>
      <c r="E2166" s="709" t="s">
        <v>8432</v>
      </c>
      <c r="F2166" s="716">
        <v>445.61</v>
      </c>
      <c r="G2166" s="716">
        <v>459.84</v>
      </c>
      <c r="H2166" s="225">
        <f t="shared" si="33"/>
        <v>445.61</v>
      </c>
    </row>
    <row r="2167" spans="1:8" x14ac:dyDescent="0.3">
      <c r="A2167" s="401"/>
      <c r="B2167" s="709">
        <v>40440</v>
      </c>
      <c r="C2167" s="710" t="s">
        <v>10542</v>
      </c>
      <c r="D2167" s="709" t="s">
        <v>170</v>
      </c>
      <c r="E2167" s="709" t="s">
        <v>8432</v>
      </c>
      <c r="F2167" s="716">
        <v>584.47</v>
      </c>
      <c r="G2167" s="716">
        <v>603.13</v>
      </c>
      <c r="H2167" s="225">
        <f t="shared" si="33"/>
        <v>584.47</v>
      </c>
    </row>
    <row r="2168" spans="1:8" x14ac:dyDescent="0.3">
      <c r="A2168" s="401"/>
      <c r="B2168" s="709">
        <v>40441</v>
      </c>
      <c r="C2168" s="710" t="s">
        <v>10543</v>
      </c>
      <c r="D2168" s="709" t="s">
        <v>170</v>
      </c>
      <c r="E2168" s="709" t="s">
        <v>8432</v>
      </c>
      <c r="F2168" s="716">
        <v>373.15</v>
      </c>
      <c r="G2168" s="716">
        <v>385.06</v>
      </c>
      <c r="H2168" s="225">
        <f t="shared" si="33"/>
        <v>373.15</v>
      </c>
    </row>
    <row r="2169" spans="1:8" x14ac:dyDescent="0.3">
      <c r="A2169" s="401"/>
      <c r="B2169" s="709">
        <v>34612</v>
      </c>
      <c r="C2169" s="710" t="s">
        <v>10544</v>
      </c>
      <c r="D2169" s="709" t="s">
        <v>136</v>
      </c>
      <c r="E2169" s="709" t="s">
        <v>8432</v>
      </c>
      <c r="F2169" s="716">
        <v>807.06</v>
      </c>
      <c r="G2169" s="716">
        <v>832.82</v>
      </c>
      <c r="H2169" s="225">
        <f t="shared" si="33"/>
        <v>807.06</v>
      </c>
    </row>
    <row r="2170" spans="1:8" x14ac:dyDescent="0.3">
      <c r="A2170" s="401"/>
      <c r="B2170" s="709">
        <v>34635</v>
      </c>
      <c r="C2170" s="710" t="s">
        <v>10545</v>
      </c>
      <c r="D2170" s="709" t="s">
        <v>136</v>
      </c>
      <c r="E2170" s="709" t="s">
        <v>8432</v>
      </c>
      <c r="F2170" s="716">
        <v>1037.8399999999999</v>
      </c>
      <c r="G2170" s="716">
        <v>1070.97</v>
      </c>
      <c r="H2170" s="225">
        <f t="shared" si="33"/>
        <v>1037.8399999999999</v>
      </c>
    </row>
    <row r="2171" spans="1:8" x14ac:dyDescent="0.3">
      <c r="A2171" s="401"/>
      <c r="B2171" s="709">
        <v>34633</v>
      </c>
      <c r="C2171" s="710" t="s">
        <v>10546</v>
      </c>
      <c r="D2171" s="709" t="s">
        <v>136</v>
      </c>
      <c r="E2171" s="709" t="s">
        <v>8432</v>
      </c>
      <c r="F2171" s="716">
        <v>1143.97</v>
      </c>
      <c r="G2171" s="716">
        <v>1180.49</v>
      </c>
      <c r="H2171" s="225">
        <f t="shared" si="33"/>
        <v>1143.97</v>
      </c>
    </row>
    <row r="2172" spans="1:8" x14ac:dyDescent="0.3">
      <c r="A2172" s="401"/>
      <c r="B2172" s="709">
        <v>40449</v>
      </c>
      <c r="C2172" s="710" t="s">
        <v>10547</v>
      </c>
      <c r="D2172" s="709" t="s">
        <v>170</v>
      </c>
      <c r="E2172" s="709" t="s">
        <v>8432</v>
      </c>
      <c r="F2172" s="716">
        <v>313.7</v>
      </c>
      <c r="G2172" s="716">
        <v>323.70999999999998</v>
      </c>
      <c r="H2172" s="225">
        <f t="shared" si="33"/>
        <v>313.7</v>
      </c>
    </row>
    <row r="2173" spans="1:8" x14ac:dyDescent="0.3">
      <c r="A2173" s="401"/>
      <c r="B2173" s="709">
        <v>11592</v>
      </c>
      <c r="C2173" s="710" t="s">
        <v>10548</v>
      </c>
      <c r="D2173" s="709" t="s">
        <v>136</v>
      </c>
      <c r="E2173" s="709" t="s">
        <v>8432</v>
      </c>
      <c r="F2173" s="716">
        <v>561.13</v>
      </c>
      <c r="G2173" s="716">
        <v>579.04</v>
      </c>
      <c r="H2173" s="225">
        <f t="shared" si="33"/>
        <v>561.13</v>
      </c>
    </row>
    <row r="2174" spans="1:8" x14ac:dyDescent="0.3">
      <c r="A2174" s="401"/>
      <c r="B2174" s="709">
        <v>34800</v>
      </c>
      <c r="C2174" s="710" t="s">
        <v>10549</v>
      </c>
      <c r="D2174" s="709" t="s">
        <v>170</v>
      </c>
      <c r="E2174" s="709" t="s">
        <v>8432</v>
      </c>
      <c r="F2174" s="716">
        <v>392.28</v>
      </c>
      <c r="G2174" s="716">
        <v>404.8</v>
      </c>
      <c r="H2174" s="225">
        <f t="shared" si="33"/>
        <v>392.28</v>
      </c>
    </row>
    <row r="2175" spans="1:8" x14ac:dyDescent="0.3">
      <c r="A2175" s="401"/>
      <c r="B2175" s="709">
        <v>11596</v>
      </c>
      <c r="C2175" s="710" t="s">
        <v>10550</v>
      </c>
      <c r="D2175" s="709" t="s">
        <v>136</v>
      </c>
      <c r="E2175" s="709" t="s">
        <v>8432</v>
      </c>
      <c r="F2175" s="716">
        <v>445.61</v>
      </c>
      <c r="G2175" s="716">
        <v>459.84</v>
      </c>
      <c r="H2175" s="225">
        <f t="shared" si="33"/>
        <v>445.61</v>
      </c>
    </row>
    <row r="2176" spans="1:8" x14ac:dyDescent="0.3">
      <c r="A2176" s="401"/>
      <c r="B2176" s="709">
        <v>40438</v>
      </c>
      <c r="C2176" s="710" t="s">
        <v>10551</v>
      </c>
      <c r="D2176" s="709" t="s">
        <v>170</v>
      </c>
      <c r="E2176" s="709" t="s">
        <v>8432</v>
      </c>
      <c r="F2176" s="716">
        <v>261.35000000000002</v>
      </c>
      <c r="G2176" s="716">
        <v>269.69</v>
      </c>
      <c r="H2176" s="225">
        <f t="shared" si="33"/>
        <v>261.35000000000002</v>
      </c>
    </row>
    <row r="2177" spans="1:8" x14ac:dyDescent="0.3">
      <c r="A2177" s="401"/>
      <c r="B2177" s="709">
        <v>40436</v>
      </c>
      <c r="C2177" s="710" t="s">
        <v>10552</v>
      </c>
      <c r="D2177" s="709" t="s">
        <v>170</v>
      </c>
      <c r="E2177" s="709" t="s">
        <v>8432</v>
      </c>
      <c r="F2177" s="716">
        <v>325.88</v>
      </c>
      <c r="G2177" s="716">
        <v>336.28</v>
      </c>
      <c r="H2177" s="225">
        <f t="shared" si="33"/>
        <v>325.88</v>
      </c>
    </row>
    <row r="2178" spans="1:8" x14ac:dyDescent="0.3">
      <c r="A2178" s="401"/>
      <c r="B2178" s="709">
        <v>4315</v>
      </c>
      <c r="C2178" s="710" t="s">
        <v>10553</v>
      </c>
      <c r="D2178" s="709" t="s">
        <v>136</v>
      </c>
      <c r="E2178" s="709" t="s">
        <v>8432</v>
      </c>
      <c r="F2178" s="716">
        <v>1.89</v>
      </c>
      <c r="G2178" s="716">
        <v>2.12</v>
      </c>
      <c r="H2178" s="225">
        <f t="shared" si="33"/>
        <v>1.89</v>
      </c>
    </row>
    <row r="2179" spans="1:8" x14ac:dyDescent="0.3">
      <c r="A2179" s="401"/>
      <c r="B2179" s="709">
        <v>402</v>
      </c>
      <c r="C2179" s="710" t="s">
        <v>10554</v>
      </c>
      <c r="D2179" s="709" t="s">
        <v>136</v>
      </c>
      <c r="E2179" s="709" t="s">
        <v>8432</v>
      </c>
      <c r="F2179" s="716"/>
      <c r="G2179" s="716">
        <v>12.11</v>
      </c>
      <c r="H2179" s="225">
        <f t="shared" si="33"/>
        <v>12.11</v>
      </c>
    </row>
    <row r="2180" spans="1:8" x14ac:dyDescent="0.3">
      <c r="A2180" s="401"/>
      <c r="B2180" s="709">
        <v>4226</v>
      </c>
      <c r="C2180" s="710" t="s">
        <v>10555</v>
      </c>
      <c r="D2180" s="709" t="s">
        <v>175</v>
      </c>
      <c r="E2180" s="709" t="s">
        <v>8438</v>
      </c>
      <c r="F2180" s="716">
        <v>9.02</v>
      </c>
      <c r="G2180" s="716">
        <v>8.94</v>
      </c>
      <c r="H2180" s="225">
        <f t="shared" si="33"/>
        <v>9.02</v>
      </c>
    </row>
    <row r="2181" spans="1:8" x14ac:dyDescent="0.3">
      <c r="A2181" s="401"/>
      <c r="B2181" s="709">
        <v>4222</v>
      </c>
      <c r="C2181" s="710" t="s">
        <v>10556</v>
      </c>
      <c r="D2181" s="709" t="s">
        <v>8120</v>
      </c>
      <c r="E2181" s="709" t="s">
        <v>8438</v>
      </c>
      <c r="F2181" s="716">
        <v>6.23</v>
      </c>
      <c r="G2181" s="716">
        <v>6.43</v>
      </c>
      <c r="H2181" s="225">
        <f t="shared" si="33"/>
        <v>6.23</v>
      </c>
    </row>
    <row r="2182" spans="1:8" x14ac:dyDescent="0.3">
      <c r="A2182" s="401"/>
      <c r="B2182" s="709">
        <v>34804</v>
      </c>
      <c r="C2182" s="710" t="s">
        <v>10557</v>
      </c>
      <c r="D2182" s="709" t="s">
        <v>168</v>
      </c>
      <c r="E2182" s="709" t="s">
        <v>8432</v>
      </c>
      <c r="F2182" s="716">
        <v>47.37</v>
      </c>
      <c r="G2182" s="716">
        <v>48.88</v>
      </c>
      <c r="H2182" s="225">
        <f t="shared" si="33"/>
        <v>47.37</v>
      </c>
    </row>
    <row r="2183" spans="1:8" x14ac:dyDescent="0.3">
      <c r="A2183" s="401"/>
      <c r="B2183" s="709">
        <v>4013</v>
      </c>
      <c r="C2183" s="710" t="s">
        <v>10558</v>
      </c>
      <c r="D2183" s="709" t="s">
        <v>168</v>
      </c>
      <c r="E2183" s="709" t="s">
        <v>8432</v>
      </c>
      <c r="F2183" s="716">
        <v>7.68</v>
      </c>
      <c r="G2183" s="716">
        <v>7.53</v>
      </c>
      <c r="H2183" s="225">
        <f t="shared" si="33"/>
        <v>7.68</v>
      </c>
    </row>
    <row r="2184" spans="1:8" x14ac:dyDescent="0.3">
      <c r="A2184" s="401"/>
      <c r="B2184" s="709">
        <v>4011</v>
      </c>
      <c r="C2184" s="710" t="s">
        <v>10559</v>
      </c>
      <c r="D2184" s="709" t="s">
        <v>168</v>
      </c>
      <c r="E2184" s="709" t="s">
        <v>8432</v>
      </c>
      <c r="F2184" s="716">
        <v>8.58</v>
      </c>
      <c r="G2184" s="716">
        <v>8.41</v>
      </c>
      <c r="H2184" s="225">
        <f t="shared" si="33"/>
        <v>8.58</v>
      </c>
    </row>
    <row r="2185" spans="1:8" x14ac:dyDescent="0.3">
      <c r="A2185" s="401"/>
      <c r="B2185" s="709">
        <v>4021</v>
      </c>
      <c r="C2185" s="710" t="s">
        <v>10560</v>
      </c>
      <c r="D2185" s="709" t="s">
        <v>168</v>
      </c>
      <c r="E2185" s="709" t="s">
        <v>8432</v>
      </c>
      <c r="F2185" s="716">
        <v>10.71</v>
      </c>
      <c r="G2185" s="716">
        <v>10.49</v>
      </c>
      <c r="H2185" s="225">
        <f t="shared" si="33"/>
        <v>10.71</v>
      </c>
    </row>
    <row r="2186" spans="1:8" x14ac:dyDescent="0.3">
      <c r="A2186" s="401"/>
      <c r="B2186" s="709">
        <v>4019</v>
      </c>
      <c r="C2186" s="710" t="s">
        <v>10561</v>
      </c>
      <c r="D2186" s="709" t="s">
        <v>168</v>
      </c>
      <c r="E2186" s="709" t="s">
        <v>8432</v>
      </c>
      <c r="F2186" s="716">
        <v>12.85</v>
      </c>
      <c r="G2186" s="716">
        <v>12.6</v>
      </c>
      <c r="H2186" s="225">
        <f t="shared" si="33"/>
        <v>12.85</v>
      </c>
    </row>
    <row r="2187" spans="1:8" x14ac:dyDescent="0.3">
      <c r="A2187" s="401"/>
      <c r="B2187" s="709">
        <v>4012</v>
      </c>
      <c r="C2187" s="710" t="s">
        <v>10562</v>
      </c>
      <c r="D2187" s="709" t="s">
        <v>168</v>
      </c>
      <c r="E2187" s="709" t="s">
        <v>8432</v>
      </c>
      <c r="F2187" s="716">
        <v>17.22</v>
      </c>
      <c r="G2187" s="716">
        <v>16.88</v>
      </c>
      <c r="H2187" s="225">
        <f t="shared" ref="H2187:H2250" si="34">IF(F2187&gt;0,F2187,G2187)</f>
        <v>17.22</v>
      </c>
    </row>
    <row r="2188" spans="1:8" x14ac:dyDescent="0.3">
      <c r="A2188" s="401"/>
      <c r="B2188" s="709">
        <v>4020</v>
      </c>
      <c r="C2188" s="710" t="s">
        <v>10563</v>
      </c>
      <c r="D2188" s="709" t="s">
        <v>168</v>
      </c>
      <c r="E2188" s="709" t="s">
        <v>8432</v>
      </c>
      <c r="F2188" s="716">
        <v>21.57</v>
      </c>
      <c r="G2188" s="716">
        <v>21.14</v>
      </c>
      <c r="H2188" s="225">
        <f t="shared" si="34"/>
        <v>21.57</v>
      </c>
    </row>
    <row r="2189" spans="1:8" x14ac:dyDescent="0.3">
      <c r="A2189" s="401"/>
      <c r="B2189" s="709">
        <v>4018</v>
      </c>
      <c r="C2189" s="710" t="s">
        <v>10564</v>
      </c>
      <c r="D2189" s="709" t="s">
        <v>168</v>
      </c>
      <c r="E2189" s="709" t="s">
        <v>8432</v>
      </c>
      <c r="F2189" s="716">
        <v>25.84</v>
      </c>
      <c r="G2189" s="716">
        <v>25.32</v>
      </c>
      <c r="H2189" s="225">
        <f t="shared" si="34"/>
        <v>25.84</v>
      </c>
    </row>
    <row r="2190" spans="1:8" x14ac:dyDescent="0.3">
      <c r="A2190" s="401"/>
      <c r="B2190" s="709">
        <v>36498</v>
      </c>
      <c r="C2190" s="710" t="s">
        <v>10565</v>
      </c>
      <c r="D2190" s="709" t="s">
        <v>136</v>
      </c>
      <c r="E2190" s="709" t="s">
        <v>8432</v>
      </c>
      <c r="F2190" s="716">
        <v>8929.52</v>
      </c>
      <c r="G2190" s="716">
        <v>6736.99</v>
      </c>
      <c r="H2190" s="225">
        <f t="shared" si="34"/>
        <v>8929.52</v>
      </c>
    </row>
    <row r="2191" spans="1:8" x14ac:dyDescent="0.3">
      <c r="A2191" s="401"/>
      <c r="B2191" s="709">
        <v>12872</v>
      </c>
      <c r="C2191" s="710" t="s">
        <v>10566</v>
      </c>
      <c r="D2191" s="709" t="s">
        <v>234</v>
      </c>
      <c r="E2191" s="709" t="s">
        <v>8432</v>
      </c>
      <c r="F2191" s="716">
        <v>23.97</v>
      </c>
      <c r="G2191" s="716">
        <v>27.39</v>
      </c>
      <c r="H2191" s="225">
        <f t="shared" si="34"/>
        <v>23.97</v>
      </c>
    </row>
    <row r="2192" spans="1:8" x14ac:dyDescent="0.3">
      <c r="A2192" s="401"/>
      <c r="B2192" s="709">
        <v>41075</v>
      </c>
      <c r="C2192" s="710" t="s">
        <v>10567</v>
      </c>
      <c r="D2192" s="709" t="s">
        <v>208</v>
      </c>
      <c r="E2192" s="709" t="s">
        <v>8432</v>
      </c>
      <c r="F2192" s="716">
        <v>4212.2700000000004</v>
      </c>
      <c r="G2192" s="716">
        <v>4797.83</v>
      </c>
      <c r="H2192" s="225">
        <f t="shared" si="34"/>
        <v>4212.2700000000004</v>
      </c>
    </row>
    <row r="2193" spans="1:8" x14ac:dyDescent="0.3">
      <c r="A2193" s="401"/>
      <c r="B2193" s="709">
        <v>44324</v>
      </c>
      <c r="C2193" s="710" t="s">
        <v>10568</v>
      </c>
      <c r="D2193" s="709" t="s">
        <v>175</v>
      </c>
      <c r="E2193" s="709" t="s">
        <v>8432</v>
      </c>
      <c r="F2193" s="716">
        <v>3.6</v>
      </c>
      <c r="G2193" s="716">
        <v>2.84</v>
      </c>
      <c r="H2193" s="225">
        <f t="shared" si="34"/>
        <v>3.6</v>
      </c>
    </row>
    <row r="2194" spans="1:8" x14ac:dyDescent="0.3">
      <c r="A2194" s="401"/>
      <c r="B2194" s="709">
        <v>3315</v>
      </c>
      <c r="C2194" s="710" t="s">
        <v>10569</v>
      </c>
      <c r="D2194" s="709" t="s">
        <v>175</v>
      </c>
      <c r="E2194" s="709" t="s">
        <v>8432</v>
      </c>
      <c r="F2194" s="716">
        <v>1.04</v>
      </c>
      <c r="G2194" s="716">
        <v>0.82</v>
      </c>
      <c r="H2194" s="225">
        <f t="shared" si="34"/>
        <v>1.04</v>
      </c>
    </row>
    <row r="2195" spans="1:8" x14ac:dyDescent="0.3">
      <c r="A2195" s="401"/>
      <c r="B2195" s="709">
        <v>36870</v>
      </c>
      <c r="C2195" s="710" t="s">
        <v>10570</v>
      </c>
      <c r="D2195" s="709" t="s">
        <v>175</v>
      </c>
      <c r="E2195" s="709" t="s">
        <v>8432</v>
      </c>
      <c r="F2195" s="716">
        <v>0.8</v>
      </c>
      <c r="G2195" s="716">
        <v>0.63</v>
      </c>
      <c r="H2195" s="225">
        <f t="shared" si="34"/>
        <v>0.8</v>
      </c>
    </row>
    <row r="2196" spans="1:8" x14ac:dyDescent="0.3">
      <c r="A2196" s="401"/>
      <c r="B2196" s="709">
        <v>5092</v>
      </c>
      <c r="C2196" s="710" t="s">
        <v>10571</v>
      </c>
      <c r="D2196" s="709" t="s">
        <v>8808</v>
      </c>
      <c r="E2196" s="709" t="s">
        <v>8432</v>
      </c>
      <c r="F2196" s="716">
        <v>21.28</v>
      </c>
      <c r="G2196" s="716">
        <v>17.61</v>
      </c>
      <c r="H2196" s="225">
        <f t="shared" si="34"/>
        <v>21.28</v>
      </c>
    </row>
    <row r="2197" spans="1:8" x14ac:dyDescent="0.3">
      <c r="A2197" s="401"/>
      <c r="B2197" s="709">
        <v>11462</v>
      </c>
      <c r="C2197" s="710" t="s">
        <v>10572</v>
      </c>
      <c r="D2197" s="709" t="s">
        <v>8808</v>
      </c>
      <c r="E2197" s="709" t="s">
        <v>8432</v>
      </c>
      <c r="F2197" s="716">
        <v>21.76</v>
      </c>
      <c r="G2197" s="716">
        <v>18.010000000000002</v>
      </c>
      <c r="H2197" s="225">
        <f t="shared" si="34"/>
        <v>21.76</v>
      </c>
    </row>
    <row r="2198" spans="1:8" x14ac:dyDescent="0.3">
      <c r="A2198" s="401"/>
      <c r="B2198" s="709">
        <v>36529</v>
      </c>
      <c r="C2198" s="710" t="s">
        <v>10573</v>
      </c>
      <c r="D2198" s="709" t="s">
        <v>136</v>
      </c>
      <c r="E2198" s="709" t="s">
        <v>8432</v>
      </c>
      <c r="F2198" s="716">
        <v>81692.33</v>
      </c>
      <c r="G2198" s="716">
        <v>65051.02</v>
      </c>
      <c r="H2198" s="225">
        <f t="shared" si="34"/>
        <v>81692.33</v>
      </c>
    </row>
    <row r="2199" spans="1:8" x14ac:dyDescent="0.3">
      <c r="A2199" s="401"/>
      <c r="B2199" s="709">
        <v>3318</v>
      </c>
      <c r="C2199" s="710" t="s">
        <v>10574</v>
      </c>
      <c r="D2199" s="709" t="s">
        <v>136</v>
      </c>
      <c r="E2199" s="709" t="s">
        <v>8438</v>
      </c>
      <c r="F2199" s="716">
        <v>64046.79</v>
      </c>
      <c r="G2199" s="716">
        <v>51000</v>
      </c>
      <c r="H2199" s="225">
        <f t="shared" si="34"/>
        <v>64046.79</v>
      </c>
    </row>
    <row r="2200" spans="1:8" x14ac:dyDescent="0.3">
      <c r="A2200" s="401"/>
      <c r="B2200" s="709">
        <v>3324</v>
      </c>
      <c r="C2200" s="710" t="s">
        <v>10575</v>
      </c>
      <c r="D2200" s="709" t="s">
        <v>168</v>
      </c>
      <c r="E2200" s="709" t="s">
        <v>8432</v>
      </c>
      <c r="F2200" s="716">
        <v>19.239999999999998</v>
      </c>
      <c r="G2200" s="716">
        <v>13.53</v>
      </c>
      <c r="H2200" s="225">
        <f t="shared" si="34"/>
        <v>19.239999999999998</v>
      </c>
    </row>
    <row r="2201" spans="1:8" x14ac:dyDescent="0.3">
      <c r="A2201" s="401"/>
      <c r="B2201" s="709">
        <v>3322</v>
      </c>
      <c r="C2201" s="710" t="s">
        <v>10576</v>
      </c>
      <c r="D2201" s="709" t="s">
        <v>168</v>
      </c>
      <c r="E2201" s="709" t="s">
        <v>8438</v>
      </c>
      <c r="F2201" s="716">
        <v>26.95</v>
      </c>
      <c r="G2201" s="716">
        <v>18.95</v>
      </c>
      <c r="H2201" s="225">
        <f t="shared" si="34"/>
        <v>26.95</v>
      </c>
    </row>
    <row r="2202" spans="1:8" x14ac:dyDescent="0.3">
      <c r="A2202" s="401"/>
      <c r="B2202" s="709">
        <v>5076</v>
      </c>
      <c r="C2202" s="710" t="s">
        <v>10577</v>
      </c>
      <c r="D2202" s="709" t="s">
        <v>175</v>
      </c>
      <c r="E2202" s="709" t="s">
        <v>8432</v>
      </c>
      <c r="F2202" s="716">
        <v>14.85</v>
      </c>
      <c r="G2202" s="716">
        <v>12</v>
      </c>
      <c r="H2202" s="225">
        <f t="shared" si="34"/>
        <v>14.85</v>
      </c>
    </row>
    <row r="2203" spans="1:8" x14ac:dyDescent="0.3">
      <c r="A2203" s="401"/>
      <c r="B2203" s="709">
        <v>5077</v>
      </c>
      <c r="C2203" s="710" t="s">
        <v>10578</v>
      </c>
      <c r="D2203" s="709" t="s">
        <v>175</v>
      </c>
      <c r="E2203" s="709" t="s">
        <v>8432</v>
      </c>
      <c r="F2203" s="716">
        <v>16.41</v>
      </c>
      <c r="G2203" s="716">
        <v>13.26</v>
      </c>
      <c r="H2203" s="225">
        <f t="shared" si="34"/>
        <v>16.41</v>
      </c>
    </row>
    <row r="2204" spans="1:8" x14ac:dyDescent="0.3">
      <c r="A2204" s="401"/>
      <c r="B2204" s="709">
        <v>45242</v>
      </c>
      <c r="C2204" s="710" t="s">
        <v>10579</v>
      </c>
      <c r="D2204" s="709" t="s">
        <v>136</v>
      </c>
      <c r="E2204" s="709" t="s">
        <v>8432</v>
      </c>
      <c r="F2204" s="716">
        <v>65.06</v>
      </c>
      <c r="G2204" s="716">
        <v>63.98</v>
      </c>
      <c r="H2204" s="225">
        <f t="shared" si="34"/>
        <v>65.06</v>
      </c>
    </row>
    <row r="2205" spans="1:8" x14ac:dyDescent="0.3">
      <c r="A2205" s="401"/>
      <c r="B2205" s="709">
        <v>11837</v>
      </c>
      <c r="C2205" s="710" t="s">
        <v>10580</v>
      </c>
      <c r="D2205" s="709" t="s">
        <v>136</v>
      </c>
      <c r="E2205" s="709" t="s">
        <v>8432</v>
      </c>
      <c r="F2205" s="716">
        <v>102.15</v>
      </c>
      <c r="G2205" s="716">
        <v>70.81</v>
      </c>
      <c r="H2205" s="225">
        <f t="shared" si="34"/>
        <v>102.15</v>
      </c>
    </row>
    <row r="2206" spans="1:8" x14ac:dyDescent="0.3">
      <c r="A2206" s="401"/>
      <c r="B2206" s="709">
        <v>415</v>
      </c>
      <c r="C2206" s="710" t="s">
        <v>10581</v>
      </c>
      <c r="D2206" s="709" t="s">
        <v>136</v>
      </c>
      <c r="E2206" s="709" t="s">
        <v>8432</v>
      </c>
      <c r="F2206" s="716">
        <v>41.89</v>
      </c>
      <c r="G2206" s="716">
        <v>29.03</v>
      </c>
      <c r="H2206" s="225">
        <f t="shared" si="34"/>
        <v>41.89</v>
      </c>
    </row>
    <row r="2207" spans="1:8" x14ac:dyDescent="0.3">
      <c r="A2207" s="401"/>
      <c r="B2207" s="709">
        <v>38055</v>
      </c>
      <c r="C2207" s="710" t="s">
        <v>10582</v>
      </c>
      <c r="D2207" s="709" t="s">
        <v>136</v>
      </c>
      <c r="E2207" s="709" t="s">
        <v>8432</v>
      </c>
      <c r="F2207" s="716">
        <v>9.27</v>
      </c>
      <c r="G2207" s="716">
        <v>6.42</v>
      </c>
      <c r="H2207" s="225">
        <f t="shared" si="34"/>
        <v>9.27</v>
      </c>
    </row>
    <row r="2208" spans="1:8" x14ac:dyDescent="0.3">
      <c r="A2208" s="401"/>
      <c r="B2208" s="709">
        <v>416</v>
      </c>
      <c r="C2208" s="710" t="s">
        <v>10583</v>
      </c>
      <c r="D2208" s="709" t="s">
        <v>136</v>
      </c>
      <c r="E2208" s="709" t="s">
        <v>8432</v>
      </c>
      <c r="F2208" s="716">
        <v>15.33</v>
      </c>
      <c r="G2208" s="716">
        <v>10.63</v>
      </c>
      <c r="H2208" s="225">
        <f t="shared" si="34"/>
        <v>15.33</v>
      </c>
    </row>
    <row r="2209" spans="1:8" x14ac:dyDescent="0.3">
      <c r="A2209" s="401"/>
      <c r="B2209" s="709">
        <v>425</v>
      </c>
      <c r="C2209" s="710" t="s">
        <v>10584</v>
      </c>
      <c r="D2209" s="709" t="s">
        <v>136</v>
      </c>
      <c r="E2209" s="709" t="s">
        <v>8432</v>
      </c>
      <c r="F2209" s="716">
        <v>9.5</v>
      </c>
      <c r="G2209" s="716">
        <v>6.59</v>
      </c>
      <c r="H2209" s="225">
        <f t="shared" si="34"/>
        <v>9.5</v>
      </c>
    </row>
    <row r="2210" spans="1:8" x14ac:dyDescent="0.3">
      <c r="A2210" s="401"/>
      <c r="B2210" s="709">
        <v>426</v>
      </c>
      <c r="C2210" s="710" t="s">
        <v>10585</v>
      </c>
      <c r="D2210" s="709" t="s">
        <v>136</v>
      </c>
      <c r="E2210" s="709" t="s">
        <v>8432</v>
      </c>
      <c r="F2210" s="716">
        <v>52.35</v>
      </c>
      <c r="G2210" s="716">
        <v>36.29</v>
      </c>
      <c r="H2210" s="225">
        <f t="shared" si="34"/>
        <v>52.35</v>
      </c>
    </row>
    <row r="2211" spans="1:8" x14ac:dyDescent="0.3">
      <c r="A2211" s="401"/>
      <c r="B2211" s="709">
        <v>38056</v>
      </c>
      <c r="C2211" s="710" t="s">
        <v>10586</v>
      </c>
      <c r="D2211" s="709" t="s">
        <v>136</v>
      </c>
      <c r="E2211" s="709" t="s">
        <v>8432</v>
      </c>
      <c r="F2211" s="716">
        <v>51.12</v>
      </c>
      <c r="G2211" s="716">
        <v>35.44</v>
      </c>
      <c r="H2211" s="225">
        <f t="shared" si="34"/>
        <v>51.12</v>
      </c>
    </row>
    <row r="2212" spans="1:8" x14ac:dyDescent="0.3">
      <c r="A2212" s="401"/>
      <c r="B2212" s="709">
        <v>1564</v>
      </c>
      <c r="C2212" s="710" t="s">
        <v>10587</v>
      </c>
      <c r="D2212" s="709" t="s">
        <v>136</v>
      </c>
      <c r="E2212" s="709" t="s">
        <v>8432</v>
      </c>
      <c r="F2212" s="716">
        <v>19.510000000000002</v>
      </c>
      <c r="G2212" s="716">
        <v>13.52</v>
      </c>
      <c r="H2212" s="225">
        <f t="shared" si="34"/>
        <v>19.510000000000002</v>
      </c>
    </row>
    <row r="2213" spans="1:8" x14ac:dyDescent="0.3">
      <c r="A2213" s="401"/>
      <c r="B2213" s="709">
        <v>11032</v>
      </c>
      <c r="C2213" s="710" t="s">
        <v>10588</v>
      </c>
      <c r="D2213" s="709" t="s">
        <v>136</v>
      </c>
      <c r="E2213" s="709" t="s">
        <v>8432</v>
      </c>
      <c r="F2213" s="716">
        <v>10.67</v>
      </c>
      <c r="G2213" s="716">
        <v>11.96</v>
      </c>
      <c r="H2213" s="225">
        <f t="shared" si="34"/>
        <v>10.67</v>
      </c>
    </row>
    <row r="2214" spans="1:8" x14ac:dyDescent="0.3">
      <c r="A2214" s="401"/>
      <c r="B2214" s="709">
        <v>36786</v>
      </c>
      <c r="C2214" s="710" t="s">
        <v>10589</v>
      </c>
      <c r="D2214" s="709" t="s">
        <v>10590</v>
      </c>
      <c r="E2214" s="709" t="s">
        <v>8432</v>
      </c>
      <c r="F2214" s="716"/>
      <c r="G2214" s="716">
        <v>136.94</v>
      </c>
      <c r="H2214" s="225">
        <f t="shared" si="34"/>
        <v>136.94</v>
      </c>
    </row>
    <row r="2215" spans="1:8" x14ac:dyDescent="0.3">
      <c r="A2215" s="401"/>
      <c r="B2215" s="709">
        <v>36785</v>
      </c>
      <c r="C2215" s="710" t="s">
        <v>10591</v>
      </c>
      <c r="D2215" s="709" t="s">
        <v>10590</v>
      </c>
      <c r="E2215" s="709" t="s">
        <v>8432</v>
      </c>
      <c r="F2215" s="716"/>
      <c r="G2215" s="716">
        <v>119</v>
      </c>
      <c r="H2215" s="225">
        <f t="shared" si="34"/>
        <v>119</v>
      </c>
    </row>
    <row r="2216" spans="1:8" x14ac:dyDescent="0.3">
      <c r="A2216" s="401"/>
      <c r="B2216" s="709">
        <v>36782</v>
      </c>
      <c r="C2216" s="710" t="s">
        <v>10592</v>
      </c>
      <c r="D2216" s="709" t="s">
        <v>10590</v>
      </c>
      <c r="E2216" s="709" t="s">
        <v>8432</v>
      </c>
      <c r="F2216" s="716"/>
      <c r="G2216" s="716">
        <v>142.04</v>
      </c>
      <c r="H2216" s="225">
        <f t="shared" si="34"/>
        <v>142.04</v>
      </c>
    </row>
    <row r="2217" spans="1:8" x14ac:dyDescent="0.3">
      <c r="A2217" s="401"/>
      <c r="B2217" s="709">
        <v>44481</v>
      </c>
      <c r="C2217" s="710" t="s">
        <v>10593</v>
      </c>
      <c r="D2217" s="709" t="s">
        <v>10590</v>
      </c>
      <c r="E2217" s="709" t="s">
        <v>8438</v>
      </c>
      <c r="F2217" s="716"/>
      <c r="G2217" s="716">
        <v>160</v>
      </c>
      <c r="H2217" s="225">
        <f t="shared" si="34"/>
        <v>160</v>
      </c>
    </row>
    <row r="2218" spans="1:8" x14ac:dyDescent="0.3">
      <c r="A2218" s="401"/>
      <c r="B2218" s="709">
        <v>4824</v>
      </c>
      <c r="C2218" s="710" t="s">
        <v>10594</v>
      </c>
      <c r="D2218" s="709" t="s">
        <v>175</v>
      </c>
      <c r="E2218" s="709" t="s">
        <v>8432</v>
      </c>
      <c r="F2218" s="716">
        <v>0.87</v>
      </c>
      <c r="G2218" s="716">
        <v>0.8</v>
      </c>
      <c r="H2218" s="225">
        <f t="shared" si="34"/>
        <v>0.87</v>
      </c>
    </row>
    <row r="2219" spans="1:8" x14ac:dyDescent="0.3">
      <c r="A2219" s="401"/>
      <c r="B2219" s="709">
        <v>11795</v>
      </c>
      <c r="C2219" s="710" t="s">
        <v>10595</v>
      </c>
      <c r="D2219" s="709" t="s">
        <v>168</v>
      </c>
      <c r="E2219" s="709" t="s">
        <v>8432</v>
      </c>
      <c r="F2219" s="716">
        <v>724.52</v>
      </c>
      <c r="G2219" s="716">
        <v>671.69</v>
      </c>
      <c r="H2219" s="225">
        <f t="shared" si="34"/>
        <v>724.52</v>
      </c>
    </row>
    <row r="2220" spans="1:8" x14ac:dyDescent="0.3">
      <c r="A2220" s="401"/>
      <c r="B2220" s="709">
        <v>134</v>
      </c>
      <c r="C2220" s="710" t="s">
        <v>10596</v>
      </c>
      <c r="D2220" s="709" t="s">
        <v>175</v>
      </c>
      <c r="E2220" s="709" t="s">
        <v>8432</v>
      </c>
      <c r="F2220" s="716">
        <v>1.78</v>
      </c>
      <c r="G2220" s="716">
        <v>1.63</v>
      </c>
      <c r="H2220" s="225">
        <f t="shared" si="34"/>
        <v>1.78</v>
      </c>
    </row>
    <row r="2221" spans="1:8" x14ac:dyDescent="0.3">
      <c r="A2221" s="401"/>
      <c r="B2221" s="709">
        <v>4229</v>
      </c>
      <c r="C2221" s="710" t="s">
        <v>10597</v>
      </c>
      <c r="D2221" s="709" t="s">
        <v>175</v>
      </c>
      <c r="E2221" s="709" t="s">
        <v>8432</v>
      </c>
      <c r="F2221" s="716">
        <v>48.04</v>
      </c>
      <c r="G2221" s="716">
        <v>49.01</v>
      </c>
      <c r="H2221" s="225">
        <f t="shared" si="34"/>
        <v>48.04</v>
      </c>
    </row>
    <row r="2222" spans="1:8" x14ac:dyDescent="0.3">
      <c r="A2222" s="401"/>
      <c r="B2222" s="709">
        <v>11731</v>
      </c>
      <c r="C2222" s="710" t="s">
        <v>10598</v>
      </c>
      <c r="D2222" s="709" t="s">
        <v>136</v>
      </c>
      <c r="E2222" s="709" t="s">
        <v>8432</v>
      </c>
      <c r="F2222" s="716">
        <v>14.82</v>
      </c>
      <c r="G2222" s="716">
        <v>11.94</v>
      </c>
      <c r="H2222" s="225">
        <f t="shared" si="34"/>
        <v>14.82</v>
      </c>
    </row>
    <row r="2223" spans="1:8" x14ac:dyDescent="0.3">
      <c r="A2223" s="401"/>
      <c r="B2223" s="709">
        <v>11732</v>
      </c>
      <c r="C2223" s="710" t="s">
        <v>10599</v>
      </c>
      <c r="D2223" s="709" t="s">
        <v>136</v>
      </c>
      <c r="E2223" s="709" t="s">
        <v>8432</v>
      </c>
      <c r="F2223" s="716">
        <v>38.85</v>
      </c>
      <c r="G2223" s="716">
        <v>31.28</v>
      </c>
      <c r="H2223" s="225">
        <f t="shared" si="34"/>
        <v>38.85</v>
      </c>
    </row>
    <row r="2224" spans="1:8" x14ac:dyDescent="0.3">
      <c r="A2224" s="401"/>
      <c r="B2224" s="709">
        <v>11244</v>
      </c>
      <c r="C2224" s="710" t="s">
        <v>10600</v>
      </c>
      <c r="D2224" s="709" t="s">
        <v>136</v>
      </c>
      <c r="E2224" s="709" t="s">
        <v>8432</v>
      </c>
      <c r="F2224" s="716"/>
      <c r="G2224" s="716">
        <v>237.7</v>
      </c>
      <c r="H2224" s="225">
        <f t="shared" si="34"/>
        <v>237.7</v>
      </c>
    </row>
    <row r="2225" spans="1:8" x14ac:dyDescent="0.3">
      <c r="A2225" s="401"/>
      <c r="B2225" s="709">
        <v>11235</v>
      </c>
      <c r="C2225" s="710" t="s">
        <v>10601</v>
      </c>
      <c r="D2225" s="709" t="s">
        <v>136</v>
      </c>
      <c r="E2225" s="709" t="s">
        <v>8432</v>
      </c>
      <c r="F2225" s="716"/>
      <c r="G2225" s="716">
        <v>181.39</v>
      </c>
      <c r="H2225" s="225">
        <f t="shared" si="34"/>
        <v>181.39</v>
      </c>
    </row>
    <row r="2226" spans="1:8" x14ac:dyDescent="0.3">
      <c r="A2226" s="401"/>
      <c r="B2226" s="709">
        <v>11236</v>
      </c>
      <c r="C2226" s="710" t="s">
        <v>10602</v>
      </c>
      <c r="D2226" s="709" t="s">
        <v>136</v>
      </c>
      <c r="E2226" s="709" t="s">
        <v>8432</v>
      </c>
      <c r="F2226" s="716"/>
      <c r="G2226" s="716">
        <v>230.52</v>
      </c>
      <c r="H2226" s="225">
        <f t="shared" si="34"/>
        <v>230.52</v>
      </c>
    </row>
    <row r="2227" spans="1:8" x14ac:dyDescent="0.3">
      <c r="A2227" s="401"/>
      <c r="B2227" s="709">
        <v>11245</v>
      </c>
      <c r="C2227" s="710" t="s">
        <v>10603</v>
      </c>
      <c r="D2227" s="709" t="s">
        <v>136</v>
      </c>
      <c r="E2227" s="709" t="s">
        <v>8432</v>
      </c>
      <c r="F2227" s="716"/>
      <c r="G2227" s="716">
        <v>328.77</v>
      </c>
      <c r="H2227" s="225">
        <f t="shared" si="34"/>
        <v>328.77</v>
      </c>
    </row>
    <row r="2228" spans="1:8" x14ac:dyDescent="0.3">
      <c r="A2228" s="401"/>
      <c r="B2228" s="709">
        <v>36494</v>
      </c>
      <c r="C2228" s="710" t="s">
        <v>10604</v>
      </c>
      <c r="D2228" s="709" t="s">
        <v>136</v>
      </c>
      <c r="E2228" s="709" t="s">
        <v>8432</v>
      </c>
      <c r="F2228" s="716">
        <v>726590.62</v>
      </c>
      <c r="G2228" s="716">
        <v>740761.71</v>
      </c>
      <c r="H2228" s="225">
        <f t="shared" si="34"/>
        <v>726590.62</v>
      </c>
    </row>
    <row r="2229" spans="1:8" x14ac:dyDescent="0.3">
      <c r="A2229" s="401"/>
      <c r="B2229" s="709">
        <v>36493</v>
      </c>
      <c r="C2229" s="710" t="s">
        <v>10605</v>
      </c>
      <c r="D2229" s="709" t="s">
        <v>136</v>
      </c>
      <c r="E2229" s="709" t="s">
        <v>8432</v>
      </c>
      <c r="F2229" s="716">
        <v>823197.66</v>
      </c>
      <c r="G2229" s="716">
        <v>839252.93</v>
      </c>
      <c r="H2229" s="225">
        <f t="shared" si="34"/>
        <v>823197.66</v>
      </c>
    </row>
    <row r="2230" spans="1:8" x14ac:dyDescent="0.3">
      <c r="A2230" s="401"/>
      <c r="B2230" s="709">
        <v>13333</v>
      </c>
      <c r="C2230" s="710" t="s">
        <v>10606</v>
      </c>
      <c r="D2230" s="709" t="s">
        <v>136</v>
      </c>
      <c r="E2230" s="709" t="s">
        <v>8432</v>
      </c>
      <c r="F2230" s="716">
        <v>247278.97</v>
      </c>
      <c r="G2230" s="716">
        <v>186562.68</v>
      </c>
      <c r="H2230" s="225">
        <f t="shared" si="34"/>
        <v>247278.97</v>
      </c>
    </row>
    <row r="2231" spans="1:8" x14ac:dyDescent="0.3">
      <c r="A2231" s="401"/>
      <c r="B2231" s="709">
        <v>39588</v>
      </c>
      <c r="C2231" s="710" t="s">
        <v>10607</v>
      </c>
      <c r="D2231" s="709" t="s">
        <v>136</v>
      </c>
      <c r="E2231" s="709" t="s">
        <v>8432</v>
      </c>
      <c r="F2231" s="716">
        <v>264112.52</v>
      </c>
      <c r="G2231" s="716">
        <v>199262.95</v>
      </c>
      <c r="H2231" s="225">
        <f t="shared" si="34"/>
        <v>264112.52</v>
      </c>
    </row>
    <row r="2232" spans="1:8" x14ac:dyDescent="0.3">
      <c r="A2232" s="401"/>
      <c r="B2232" s="709">
        <v>14254</v>
      </c>
      <c r="C2232" s="710" t="s">
        <v>10608</v>
      </c>
      <c r="D2232" s="709" t="s">
        <v>136</v>
      </c>
      <c r="E2232" s="709" t="s">
        <v>8438</v>
      </c>
      <c r="F2232" s="716">
        <v>129655.24</v>
      </c>
      <c r="G2232" s="716">
        <v>97820</v>
      </c>
      <c r="H2232" s="225">
        <f t="shared" si="34"/>
        <v>129655.24</v>
      </c>
    </row>
    <row r="2233" spans="1:8" x14ac:dyDescent="0.3">
      <c r="A2233" s="401"/>
      <c r="B2233" s="709">
        <v>25019</v>
      </c>
      <c r="C2233" s="710" t="s">
        <v>10609</v>
      </c>
      <c r="D2233" s="709" t="s">
        <v>136</v>
      </c>
      <c r="E2233" s="709" t="s">
        <v>8432</v>
      </c>
      <c r="F2233" s="716">
        <v>185591.11</v>
      </c>
      <c r="G2233" s="716">
        <v>140021.51</v>
      </c>
      <c r="H2233" s="225">
        <f t="shared" si="34"/>
        <v>185591.11</v>
      </c>
    </row>
    <row r="2234" spans="1:8" x14ac:dyDescent="0.3">
      <c r="A2234" s="401"/>
      <c r="B2234" s="709">
        <v>36501</v>
      </c>
      <c r="C2234" s="710" t="s">
        <v>10610</v>
      </c>
      <c r="D2234" s="709" t="s">
        <v>136</v>
      </c>
      <c r="E2234" s="709" t="s">
        <v>8432</v>
      </c>
      <c r="F2234" s="716">
        <v>165240.04999999999</v>
      </c>
      <c r="G2234" s="716">
        <v>124667.4</v>
      </c>
      <c r="H2234" s="225">
        <f t="shared" si="34"/>
        <v>165240.04999999999</v>
      </c>
    </row>
    <row r="2235" spans="1:8" x14ac:dyDescent="0.3">
      <c r="A2235" s="401"/>
      <c r="B2235" s="709">
        <v>36500</v>
      </c>
      <c r="C2235" s="710" t="s">
        <v>10611</v>
      </c>
      <c r="D2235" s="709" t="s">
        <v>136</v>
      </c>
      <c r="E2235" s="709" t="s">
        <v>8432</v>
      </c>
      <c r="F2235" s="716">
        <v>116770.63</v>
      </c>
      <c r="G2235" s="716">
        <v>88099.04</v>
      </c>
      <c r="H2235" s="225">
        <f t="shared" si="34"/>
        <v>116770.63</v>
      </c>
    </row>
    <row r="2236" spans="1:8" x14ac:dyDescent="0.3">
      <c r="A2236" s="401"/>
      <c r="B2236" s="709">
        <v>20017</v>
      </c>
      <c r="C2236" s="710" t="s">
        <v>10612</v>
      </c>
      <c r="D2236" s="709" t="s">
        <v>159</v>
      </c>
      <c r="E2236" s="709" t="s">
        <v>8432</v>
      </c>
      <c r="F2236" s="716">
        <v>10.89</v>
      </c>
      <c r="G2236" s="716">
        <v>8.7200000000000006</v>
      </c>
      <c r="H2236" s="225">
        <f t="shared" si="34"/>
        <v>10.89</v>
      </c>
    </row>
    <row r="2237" spans="1:8" x14ac:dyDescent="0.3">
      <c r="A2237" s="401"/>
      <c r="B2237" s="709">
        <v>20007</v>
      </c>
      <c r="C2237" s="710" t="s">
        <v>10613</v>
      </c>
      <c r="D2237" s="709" t="s">
        <v>159</v>
      </c>
      <c r="E2237" s="709" t="s">
        <v>8432</v>
      </c>
      <c r="F2237" s="716">
        <v>6.5</v>
      </c>
      <c r="G2237" s="716">
        <v>5.21</v>
      </c>
      <c r="H2237" s="225">
        <f t="shared" si="34"/>
        <v>6.5</v>
      </c>
    </row>
    <row r="2238" spans="1:8" x14ac:dyDescent="0.3">
      <c r="A2238" s="401"/>
      <c r="B2238" s="709">
        <v>39831</v>
      </c>
      <c r="C2238" s="710" t="s">
        <v>10614</v>
      </c>
      <c r="D2238" s="709" t="s">
        <v>8843</v>
      </c>
      <c r="E2238" s="709" t="s">
        <v>8432</v>
      </c>
      <c r="F2238" s="716">
        <v>270.79000000000002</v>
      </c>
      <c r="G2238" s="716">
        <v>326.26</v>
      </c>
      <c r="H2238" s="225">
        <f t="shared" si="34"/>
        <v>270.79000000000002</v>
      </c>
    </row>
    <row r="2239" spans="1:8" x14ac:dyDescent="0.3">
      <c r="A2239" s="401"/>
      <c r="B2239" s="709">
        <v>36888</v>
      </c>
      <c r="C2239" s="710" t="s">
        <v>10615</v>
      </c>
      <c r="D2239" s="709" t="s">
        <v>159</v>
      </c>
      <c r="E2239" s="709" t="s">
        <v>8432</v>
      </c>
      <c r="F2239" s="716">
        <v>35.92</v>
      </c>
      <c r="G2239" s="716">
        <v>29.47</v>
      </c>
      <c r="H2239" s="225">
        <f t="shared" si="34"/>
        <v>35.92</v>
      </c>
    </row>
    <row r="2240" spans="1:8" x14ac:dyDescent="0.3">
      <c r="A2240" s="401"/>
      <c r="B2240" s="709">
        <v>39836</v>
      </c>
      <c r="C2240" s="710" t="s">
        <v>10616</v>
      </c>
      <c r="D2240" s="709" t="s">
        <v>8843</v>
      </c>
      <c r="E2240" s="709" t="s">
        <v>8432</v>
      </c>
      <c r="F2240" s="716">
        <v>237.94</v>
      </c>
      <c r="G2240" s="716">
        <v>286.68</v>
      </c>
      <c r="H2240" s="225">
        <f t="shared" si="34"/>
        <v>237.94</v>
      </c>
    </row>
    <row r="2241" spans="1:8" x14ac:dyDescent="0.3">
      <c r="A2241" s="401"/>
      <c r="B2241" s="709">
        <v>39830</v>
      </c>
      <c r="C2241" s="710" t="s">
        <v>10617</v>
      </c>
      <c r="D2241" s="709" t="s">
        <v>8843</v>
      </c>
      <c r="E2241" s="709" t="s">
        <v>8432</v>
      </c>
      <c r="F2241" s="716">
        <v>271.36</v>
      </c>
      <c r="G2241" s="716">
        <v>326.95999999999998</v>
      </c>
      <c r="H2241" s="225">
        <f t="shared" si="34"/>
        <v>271.36</v>
      </c>
    </row>
    <row r="2242" spans="1:8" x14ac:dyDescent="0.3">
      <c r="A2242" s="401"/>
      <c r="B2242" s="709">
        <v>36487</v>
      </c>
      <c r="C2242" s="710" t="s">
        <v>10618</v>
      </c>
      <c r="D2242" s="709" t="s">
        <v>136</v>
      </c>
      <c r="E2242" s="709" t="s">
        <v>8432</v>
      </c>
      <c r="F2242" s="716">
        <v>3746.93</v>
      </c>
      <c r="G2242" s="716">
        <v>3666.91</v>
      </c>
      <c r="H2242" s="225">
        <f t="shared" si="34"/>
        <v>3746.93</v>
      </c>
    </row>
    <row r="2243" spans="1:8" x14ac:dyDescent="0.3">
      <c r="A2243" s="401"/>
      <c r="B2243" s="709">
        <v>44475</v>
      </c>
      <c r="C2243" s="710" t="s">
        <v>10619</v>
      </c>
      <c r="D2243" s="709" t="s">
        <v>136</v>
      </c>
      <c r="E2243" s="709" t="s">
        <v>8432</v>
      </c>
      <c r="F2243" s="716">
        <v>1270555.4099999999</v>
      </c>
      <c r="G2243" s="716">
        <v>1295335.74</v>
      </c>
      <c r="H2243" s="225">
        <f t="shared" si="34"/>
        <v>1270555.4099999999</v>
      </c>
    </row>
    <row r="2244" spans="1:8" x14ac:dyDescent="0.3">
      <c r="A2244" s="401"/>
      <c r="B2244" s="709">
        <v>44474</v>
      </c>
      <c r="C2244" s="710" t="s">
        <v>10620</v>
      </c>
      <c r="D2244" s="709" t="s">
        <v>136</v>
      </c>
      <c r="E2244" s="709" t="s">
        <v>8432</v>
      </c>
      <c r="F2244" s="716">
        <v>2443375.7799999998</v>
      </c>
      <c r="G2244" s="716">
        <v>2491030.2799999998</v>
      </c>
      <c r="H2244" s="225">
        <f t="shared" si="34"/>
        <v>2443375.7799999998</v>
      </c>
    </row>
    <row r="2245" spans="1:8" x14ac:dyDescent="0.3">
      <c r="A2245" s="401"/>
      <c r="B2245" s="709">
        <v>37775</v>
      </c>
      <c r="C2245" s="710" t="s">
        <v>10621</v>
      </c>
      <c r="D2245" s="709" t="s">
        <v>136</v>
      </c>
      <c r="E2245" s="709" t="s">
        <v>8432</v>
      </c>
      <c r="F2245" s="716">
        <v>400968.75</v>
      </c>
      <c r="G2245" s="716">
        <v>408789.06</v>
      </c>
      <c r="H2245" s="225">
        <f t="shared" si="34"/>
        <v>400968.75</v>
      </c>
    </row>
    <row r="2246" spans="1:8" x14ac:dyDescent="0.3">
      <c r="A2246" s="401"/>
      <c r="B2246" s="709">
        <v>10712</v>
      </c>
      <c r="C2246" s="710" t="s">
        <v>10622</v>
      </c>
      <c r="D2246" s="709" t="s">
        <v>136</v>
      </c>
      <c r="E2246" s="709" t="s">
        <v>8432</v>
      </c>
      <c r="F2246" s="716">
        <v>100242.18</v>
      </c>
      <c r="G2246" s="716">
        <v>102197.26</v>
      </c>
      <c r="H2246" s="225">
        <f t="shared" si="34"/>
        <v>100242.18</v>
      </c>
    </row>
    <row r="2247" spans="1:8" x14ac:dyDescent="0.3">
      <c r="A2247" s="401"/>
      <c r="B2247" s="709">
        <v>3363</v>
      </c>
      <c r="C2247" s="710" t="s">
        <v>10623</v>
      </c>
      <c r="D2247" s="709" t="s">
        <v>136</v>
      </c>
      <c r="E2247" s="709" t="s">
        <v>8438</v>
      </c>
      <c r="F2247" s="716">
        <v>141000</v>
      </c>
      <c r="G2247" s="716">
        <v>143750</v>
      </c>
      <c r="H2247" s="225">
        <f t="shared" si="34"/>
        <v>141000</v>
      </c>
    </row>
    <row r="2248" spans="1:8" x14ac:dyDescent="0.3">
      <c r="A2248" s="401"/>
      <c r="B2248" s="709">
        <v>3365</v>
      </c>
      <c r="C2248" s="710" t="s">
        <v>10624</v>
      </c>
      <c r="D2248" s="709" t="s">
        <v>136</v>
      </c>
      <c r="E2248" s="709" t="s">
        <v>8432</v>
      </c>
      <c r="F2248" s="716">
        <v>329587.5</v>
      </c>
      <c r="G2248" s="716">
        <v>336015.62</v>
      </c>
      <c r="H2248" s="225">
        <f t="shared" si="34"/>
        <v>329587.5</v>
      </c>
    </row>
    <row r="2249" spans="1:8" x14ac:dyDescent="0.3">
      <c r="A2249" s="401"/>
      <c r="B2249" s="709">
        <v>7569</v>
      </c>
      <c r="C2249" s="710" t="s">
        <v>10625</v>
      </c>
      <c r="D2249" s="709" t="s">
        <v>136</v>
      </c>
      <c r="E2249" s="709" t="s">
        <v>8432</v>
      </c>
      <c r="F2249" s="716"/>
      <c r="G2249" s="716">
        <v>56.58</v>
      </c>
      <c r="H2249" s="225">
        <f t="shared" si="34"/>
        <v>56.58</v>
      </c>
    </row>
    <row r="2250" spans="1:8" x14ac:dyDescent="0.3">
      <c r="A2250" s="401"/>
      <c r="B2250" s="709">
        <v>3378</v>
      </c>
      <c r="C2250" s="710" t="s">
        <v>10626</v>
      </c>
      <c r="D2250" s="709" t="s">
        <v>136</v>
      </c>
      <c r="E2250" s="709" t="s">
        <v>8432</v>
      </c>
      <c r="F2250" s="716">
        <v>148.27000000000001</v>
      </c>
      <c r="G2250" s="716">
        <v>102.78</v>
      </c>
      <c r="H2250" s="225">
        <f t="shared" si="34"/>
        <v>148.27000000000001</v>
      </c>
    </row>
    <row r="2251" spans="1:8" x14ac:dyDescent="0.3">
      <c r="A2251" s="401"/>
      <c r="B2251" s="709">
        <v>3380</v>
      </c>
      <c r="C2251" s="710" t="s">
        <v>10627</v>
      </c>
      <c r="D2251" s="709" t="s">
        <v>136</v>
      </c>
      <c r="E2251" s="709" t="s">
        <v>8438</v>
      </c>
      <c r="F2251" s="716">
        <v>103.79</v>
      </c>
      <c r="G2251" s="716">
        <v>71.95</v>
      </c>
      <c r="H2251" s="225">
        <f t="shared" ref="H2251:H2314" si="35">IF(F2251&gt;0,F2251,G2251)</f>
        <v>103.79</v>
      </c>
    </row>
    <row r="2252" spans="1:8" x14ac:dyDescent="0.3">
      <c r="A2252" s="401"/>
      <c r="B2252" s="709">
        <v>3379</v>
      </c>
      <c r="C2252" s="710" t="s">
        <v>10628</v>
      </c>
      <c r="D2252" s="709" t="s">
        <v>136</v>
      </c>
      <c r="E2252" s="709" t="s">
        <v>8432</v>
      </c>
      <c r="F2252" s="716">
        <v>100.21</v>
      </c>
      <c r="G2252" s="716">
        <v>69.459999999999994</v>
      </c>
      <c r="H2252" s="225">
        <f t="shared" si="35"/>
        <v>100.21</v>
      </c>
    </row>
    <row r="2253" spans="1:8" x14ac:dyDescent="0.3">
      <c r="A2253" s="401"/>
      <c r="B2253" s="709">
        <v>11991</v>
      </c>
      <c r="C2253" s="710" t="s">
        <v>10629</v>
      </c>
      <c r="D2253" s="709" t="s">
        <v>136</v>
      </c>
      <c r="E2253" s="709" t="s">
        <v>8432</v>
      </c>
      <c r="F2253" s="716">
        <v>116.35</v>
      </c>
      <c r="G2253" s="716">
        <v>80.650000000000006</v>
      </c>
      <c r="H2253" s="225">
        <f t="shared" si="35"/>
        <v>116.35</v>
      </c>
    </row>
    <row r="2254" spans="1:8" x14ac:dyDescent="0.3">
      <c r="A2254" s="401"/>
      <c r="B2254" s="709">
        <v>44305</v>
      </c>
      <c r="C2254" s="710" t="s">
        <v>10630</v>
      </c>
      <c r="D2254" s="709" t="s">
        <v>136</v>
      </c>
      <c r="E2254" s="709" t="s">
        <v>8432</v>
      </c>
      <c r="F2254" s="716">
        <v>1832.69</v>
      </c>
      <c r="G2254" s="716">
        <v>1911.39</v>
      </c>
      <c r="H2254" s="225">
        <f t="shared" si="35"/>
        <v>1832.69</v>
      </c>
    </row>
    <row r="2255" spans="1:8" x14ac:dyDescent="0.3">
      <c r="A2255" s="401"/>
      <c r="B2255" s="709">
        <v>34349</v>
      </c>
      <c r="C2255" s="710" t="s">
        <v>10631</v>
      </c>
      <c r="D2255" s="709" t="s">
        <v>136</v>
      </c>
      <c r="E2255" s="709" t="s">
        <v>8432</v>
      </c>
      <c r="F2255" s="716">
        <v>26.91</v>
      </c>
      <c r="G2255" s="716">
        <v>27.77</v>
      </c>
      <c r="H2255" s="225">
        <f t="shared" si="35"/>
        <v>26.91</v>
      </c>
    </row>
    <row r="2256" spans="1:8" x14ac:dyDescent="0.3">
      <c r="A2256" s="401"/>
      <c r="B2256" s="709">
        <v>11029</v>
      </c>
      <c r="C2256" s="710" t="s">
        <v>10632</v>
      </c>
      <c r="D2256" s="709" t="s">
        <v>9722</v>
      </c>
      <c r="E2256" s="709" t="s">
        <v>8432</v>
      </c>
      <c r="F2256" s="716">
        <v>1.63</v>
      </c>
      <c r="G2256" s="716">
        <v>1.83</v>
      </c>
      <c r="H2256" s="225">
        <f t="shared" si="35"/>
        <v>1.63</v>
      </c>
    </row>
    <row r="2257" spans="1:8" x14ac:dyDescent="0.3">
      <c r="A2257" s="401"/>
      <c r="B2257" s="709">
        <v>4316</v>
      </c>
      <c r="C2257" s="710" t="s">
        <v>10633</v>
      </c>
      <c r="D2257" s="709" t="s">
        <v>136</v>
      </c>
      <c r="E2257" s="709" t="s">
        <v>8432</v>
      </c>
      <c r="F2257" s="716">
        <v>1.65</v>
      </c>
      <c r="G2257" s="716">
        <v>1.85</v>
      </c>
      <c r="H2257" s="225">
        <f t="shared" si="35"/>
        <v>1.65</v>
      </c>
    </row>
    <row r="2258" spans="1:8" x14ac:dyDescent="0.3">
      <c r="A2258" s="401"/>
      <c r="B2258" s="709">
        <v>4313</v>
      </c>
      <c r="C2258" s="710" t="s">
        <v>10634</v>
      </c>
      <c r="D2258" s="709" t="s">
        <v>9722</v>
      </c>
      <c r="E2258" s="709" t="s">
        <v>8432</v>
      </c>
      <c r="F2258" s="716">
        <v>2.37</v>
      </c>
      <c r="G2258" s="716">
        <v>2.66</v>
      </c>
      <c r="H2258" s="225">
        <f t="shared" si="35"/>
        <v>2.37</v>
      </c>
    </row>
    <row r="2259" spans="1:8" x14ac:dyDescent="0.3">
      <c r="A2259" s="401"/>
      <c r="B2259" s="709">
        <v>4317</v>
      </c>
      <c r="C2259" s="710" t="s">
        <v>10635</v>
      </c>
      <c r="D2259" s="709" t="s">
        <v>136</v>
      </c>
      <c r="E2259" s="709" t="s">
        <v>8432</v>
      </c>
      <c r="F2259" s="716">
        <v>2.7</v>
      </c>
      <c r="G2259" s="716">
        <v>3.03</v>
      </c>
      <c r="H2259" s="225">
        <f t="shared" si="35"/>
        <v>2.7</v>
      </c>
    </row>
    <row r="2260" spans="1:8" x14ac:dyDescent="0.3">
      <c r="A2260" s="401"/>
      <c r="B2260" s="709">
        <v>4314</v>
      </c>
      <c r="C2260" s="710" t="s">
        <v>10636</v>
      </c>
      <c r="D2260" s="709" t="s">
        <v>9722</v>
      </c>
      <c r="E2260" s="709" t="s">
        <v>8432</v>
      </c>
      <c r="F2260" s="716">
        <v>3.16</v>
      </c>
      <c r="G2260" s="716">
        <v>3.54</v>
      </c>
      <c r="H2260" s="225">
        <f t="shared" si="35"/>
        <v>3.16</v>
      </c>
    </row>
    <row r="2261" spans="1:8" x14ac:dyDescent="0.3">
      <c r="A2261" s="401"/>
      <c r="B2261" s="709">
        <v>10921</v>
      </c>
      <c r="C2261" s="710" t="s">
        <v>10637</v>
      </c>
      <c r="D2261" s="709" t="s">
        <v>136</v>
      </c>
      <c r="E2261" s="709" t="s">
        <v>8438</v>
      </c>
      <c r="F2261" s="716"/>
      <c r="G2261" s="716">
        <v>5911</v>
      </c>
      <c r="H2261" s="225">
        <f t="shared" si="35"/>
        <v>5911</v>
      </c>
    </row>
    <row r="2262" spans="1:8" x14ac:dyDescent="0.3">
      <c r="A2262" s="401"/>
      <c r="B2262" s="709">
        <v>10922</v>
      </c>
      <c r="C2262" s="710" t="s">
        <v>10638</v>
      </c>
      <c r="D2262" s="709" t="s">
        <v>136</v>
      </c>
      <c r="E2262" s="709" t="s">
        <v>8432</v>
      </c>
      <c r="F2262" s="716"/>
      <c r="G2262" s="716">
        <v>5354.03</v>
      </c>
      <c r="H2262" s="225">
        <f t="shared" si="35"/>
        <v>5354.03</v>
      </c>
    </row>
    <row r="2263" spans="1:8" x14ac:dyDescent="0.3">
      <c r="A2263" s="401"/>
      <c r="B2263" s="709">
        <v>10923</v>
      </c>
      <c r="C2263" s="710" t="s">
        <v>10639</v>
      </c>
      <c r="D2263" s="709" t="s">
        <v>136</v>
      </c>
      <c r="E2263" s="709" t="s">
        <v>8432</v>
      </c>
      <c r="F2263" s="716"/>
      <c r="G2263" s="716">
        <v>3164.46</v>
      </c>
      <c r="H2263" s="225">
        <f t="shared" si="35"/>
        <v>3164.46</v>
      </c>
    </row>
    <row r="2264" spans="1:8" x14ac:dyDescent="0.3">
      <c r="A2264" s="401"/>
      <c r="B2264" s="709">
        <v>10924</v>
      </c>
      <c r="C2264" s="710" t="s">
        <v>10640</v>
      </c>
      <c r="D2264" s="709" t="s">
        <v>136</v>
      </c>
      <c r="E2264" s="709" t="s">
        <v>8432</v>
      </c>
      <c r="F2264" s="716"/>
      <c r="G2264" s="716">
        <v>3332.79</v>
      </c>
      <c r="H2264" s="225">
        <f t="shared" si="35"/>
        <v>3332.79</v>
      </c>
    </row>
    <row r="2265" spans="1:8" x14ac:dyDescent="0.3">
      <c r="A2265" s="401"/>
      <c r="B2265" s="709">
        <v>12772</v>
      </c>
      <c r="C2265" s="710" t="s">
        <v>10641</v>
      </c>
      <c r="D2265" s="709" t="s">
        <v>136</v>
      </c>
      <c r="E2265" s="709" t="s">
        <v>8432</v>
      </c>
      <c r="F2265" s="716">
        <v>1592.91</v>
      </c>
      <c r="G2265" s="716">
        <v>936.62</v>
      </c>
      <c r="H2265" s="225">
        <f t="shared" si="35"/>
        <v>1592.91</v>
      </c>
    </row>
    <row r="2266" spans="1:8" x14ac:dyDescent="0.3">
      <c r="A2266" s="401"/>
      <c r="B2266" s="709">
        <v>12770</v>
      </c>
      <c r="C2266" s="710" t="s">
        <v>10642</v>
      </c>
      <c r="D2266" s="709" t="s">
        <v>136</v>
      </c>
      <c r="E2266" s="709" t="s">
        <v>8432</v>
      </c>
      <c r="F2266" s="716">
        <v>958.44</v>
      </c>
      <c r="G2266" s="716">
        <v>563.55999999999995</v>
      </c>
      <c r="H2266" s="225">
        <f t="shared" si="35"/>
        <v>958.44</v>
      </c>
    </row>
    <row r="2267" spans="1:8" x14ac:dyDescent="0.3">
      <c r="A2267" s="401"/>
      <c r="B2267" s="709">
        <v>12775</v>
      </c>
      <c r="C2267" s="710" t="s">
        <v>10643</v>
      </c>
      <c r="D2267" s="709" t="s">
        <v>136</v>
      </c>
      <c r="E2267" s="709" t="s">
        <v>8432</v>
      </c>
      <c r="F2267" s="716">
        <v>701.96</v>
      </c>
      <c r="G2267" s="716">
        <v>412.74</v>
      </c>
      <c r="H2267" s="225">
        <f t="shared" si="35"/>
        <v>701.96</v>
      </c>
    </row>
    <row r="2268" spans="1:8" x14ac:dyDescent="0.3">
      <c r="A2268" s="401"/>
      <c r="B2268" s="709">
        <v>12768</v>
      </c>
      <c r="C2268" s="710" t="s">
        <v>10644</v>
      </c>
      <c r="D2268" s="709" t="s">
        <v>136</v>
      </c>
      <c r="E2268" s="709" t="s">
        <v>8432</v>
      </c>
      <c r="F2268" s="716">
        <v>2240.87</v>
      </c>
      <c r="G2268" s="716">
        <v>1317.62</v>
      </c>
      <c r="H2268" s="225">
        <f t="shared" si="35"/>
        <v>2240.87</v>
      </c>
    </row>
    <row r="2269" spans="1:8" x14ac:dyDescent="0.3">
      <c r="A2269" s="401"/>
      <c r="B2269" s="709">
        <v>12769</v>
      </c>
      <c r="C2269" s="710" t="s">
        <v>10645</v>
      </c>
      <c r="D2269" s="709" t="s">
        <v>136</v>
      </c>
      <c r="E2269" s="709" t="s">
        <v>8438</v>
      </c>
      <c r="F2269" s="716">
        <v>183.59</v>
      </c>
      <c r="G2269" s="716">
        <v>107.95</v>
      </c>
      <c r="H2269" s="225">
        <f t="shared" si="35"/>
        <v>183.59</v>
      </c>
    </row>
    <row r="2270" spans="1:8" x14ac:dyDescent="0.3">
      <c r="A2270" s="401"/>
      <c r="B2270" s="709">
        <v>12773</v>
      </c>
      <c r="C2270" s="710" t="s">
        <v>10646</v>
      </c>
      <c r="D2270" s="709" t="s">
        <v>136</v>
      </c>
      <c r="E2270" s="709" t="s">
        <v>8432</v>
      </c>
      <c r="F2270" s="716">
        <v>197.08</v>
      </c>
      <c r="G2270" s="716">
        <v>115.88</v>
      </c>
      <c r="H2270" s="225">
        <f t="shared" si="35"/>
        <v>197.08</v>
      </c>
    </row>
    <row r="2271" spans="1:8" x14ac:dyDescent="0.3">
      <c r="A2271" s="401"/>
      <c r="B2271" s="709">
        <v>12774</v>
      </c>
      <c r="C2271" s="710" t="s">
        <v>10647</v>
      </c>
      <c r="D2271" s="709" t="s">
        <v>136</v>
      </c>
      <c r="E2271" s="709" t="s">
        <v>8432</v>
      </c>
      <c r="F2271" s="716">
        <v>242.98</v>
      </c>
      <c r="G2271" s="716">
        <v>142.87</v>
      </c>
      <c r="H2271" s="225">
        <f t="shared" si="35"/>
        <v>242.98</v>
      </c>
    </row>
    <row r="2272" spans="1:8" x14ac:dyDescent="0.3">
      <c r="A2272" s="401"/>
      <c r="B2272" s="709">
        <v>12776</v>
      </c>
      <c r="C2272" s="710" t="s">
        <v>10648</v>
      </c>
      <c r="D2272" s="709" t="s">
        <v>136</v>
      </c>
      <c r="E2272" s="709" t="s">
        <v>8432</v>
      </c>
      <c r="F2272" s="716">
        <v>3617.8</v>
      </c>
      <c r="G2272" s="716">
        <v>2127.25</v>
      </c>
      <c r="H2272" s="225">
        <f t="shared" si="35"/>
        <v>3617.8</v>
      </c>
    </row>
    <row r="2273" spans="1:8" x14ac:dyDescent="0.3">
      <c r="A2273" s="401"/>
      <c r="B2273" s="709">
        <v>12777</v>
      </c>
      <c r="C2273" s="710" t="s">
        <v>10649</v>
      </c>
      <c r="D2273" s="709" t="s">
        <v>136</v>
      </c>
      <c r="E2273" s="709" t="s">
        <v>8432</v>
      </c>
      <c r="F2273" s="716">
        <v>4724.74</v>
      </c>
      <c r="G2273" s="716">
        <v>2778.12</v>
      </c>
      <c r="H2273" s="225">
        <f t="shared" si="35"/>
        <v>4724.74</v>
      </c>
    </row>
    <row r="2274" spans="1:8" x14ac:dyDescent="0.3">
      <c r="A2274" s="401"/>
      <c r="B2274" s="709">
        <v>12873</v>
      </c>
      <c r="C2274" s="710" t="s">
        <v>10650</v>
      </c>
      <c r="D2274" s="709" t="s">
        <v>234</v>
      </c>
      <c r="E2274" s="709" t="s">
        <v>8432</v>
      </c>
      <c r="F2274" s="716">
        <v>25.6</v>
      </c>
      <c r="G2274" s="716">
        <v>27.39</v>
      </c>
      <c r="H2274" s="225">
        <f t="shared" si="35"/>
        <v>25.6</v>
      </c>
    </row>
    <row r="2275" spans="1:8" x14ac:dyDescent="0.3">
      <c r="A2275" s="401"/>
      <c r="B2275" s="709">
        <v>41076</v>
      </c>
      <c r="C2275" s="710" t="s">
        <v>10651</v>
      </c>
      <c r="D2275" s="709" t="s">
        <v>208</v>
      </c>
      <c r="E2275" s="709" t="s">
        <v>8432</v>
      </c>
      <c r="F2275" s="716">
        <v>4501.5</v>
      </c>
      <c r="G2275" s="716">
        <v>4797.83</v>
      </c>
      <c r="H2275" s="225">
        <f t="shared" si="35"/>
        <v>4501.5</v>
      </c>
    </row>
    <row r="2276" spans="1:8" x14ac:dyDescent="0.3">
      <c r="A2276" s="401"/>
      <c r="B2276" s="709">
        <v>140</v>
      </c>
      <c r="C2276" s="710" t="s">
        <v>10652</v>
      </c>
      <c r="D2276" s="709" t="s">
        <v>175</v>
      </c>
      <c r="E2276" s="709" t="s">
        <v>8432</v>
      </c>
      <c r="F2276" s="716">
        <v>19.87</v>
      </c>
      <c r="G2276" s="716">
        <v>18.22</v>
      </c>
      <c r="H2276" s="225">
        <f t="shared" si="35"/>
        <v>19.87</v>
      </c>
    </row>
    <row r="2277" spans="1:8" x14ac:dyDescent="0.3">
      <c r="A2277" s="401"/>
      <c r="B2277" s="709">
        <v>151</v>
      </c>
      <c r="C2277" s="710" t="s">
        <v>10653</v>
      </c>
      <c r="D2277" s="709" t="s">
        <v>8120</v>
      </c>
      <c r="E2277" s="709" t="s">
        <v>8432</v>
      </c>
      <c r="F2277" s="716">
        <v>29.33</v>
      </c>
      <c r="G2277" s="716">
        <v>26.89</v>
      </c>
      <c r="H2277" s="225">
        <f t="shared" si="35"/>
        <v>29.33</v>
      </c>
    </row>
    <row r="2278" spans="1:8" x14ac:dyDescent="0.3">
      <c r="A2278" s="401"/>
      <c r="B2278" s="709">
        <v>7340</v>
      </c>
      <c r="C2278" s="710" t="s">
        <v>10654</v>
      </c>
      <c r="D2278" s="709" t="s">
        <v>8120</v>
      </c>
      <c r="E2278" s="709" t="s">
        <v>8432</v>
      </c>
      <c r="F2278" s="716">
        <v>30.9</v>
      </c>
      <c r="G2278" s="716">
        <v>28.97</v>
      </c>
      <c r="H2278" s="225">
        <f t="shared" si="35"/>
        <v>30.9</v>
      </c>
    </row>
    <row r="2279" spans="1:8" x14ac:dyDescent="0.3">
      <c r="A2279" s="401"/>
      <c r="B2279" s="709">
        <v>40929</v>
      </c>
      <c r="C2279" s="710" t="s">
        <v>10655</v>
      </c>
      <c r="D2279" s="709" t="s">
        <v>208</v>
      </c>
      <c r="E2279" s="709" t="s">
        <v>8432</v>
      </c>
      <c r="F2279" s="716">
        <v>5955.06</v>
      </c>
      <c r="G2279" s="716">
        <v>6112.59</v>
      </c>
      <c r="H2279" s="225">
        <f t="shared" si="35"/>
        <v>5955.06</v>
      </c>
    </row>
    <row r="2280" spans="1:8" x14ac:dyDescent="0.3">
      <c r="A2280" s="401"/>
      <c r="B2280" s="709">
        <v>2701</v>
      </c>
      <c r="C2280" s="710" t="s">
        <v>10656</v>
      </c>
      <c r="D2280" s="709" t="s">
        <v>234</v>
      </c>
      <c r="E2280" s="709" t="s">
        <v>8432</v>
      </c>
      <c r="F2280" s="716">
        <v>33.86</v>
      </c>
      <c r="G2280" s="716">
        <v>34.89</v>
      </c>
      <c r="H2280" s="225">
        <f t="shared" si="35"/>
        <v>33.86</v>
      </c>
    </row>
    <row r="2281" spans="1:8" x14ac:dyDescent="0.3">
      <c r="A2281" s="401"/>
      <c r="B2281" s="709">
        <v>38064</v>
      </c>
      <c r="C2281" s="710" t="s">
        <v>10657</v>
      </c>
      <c r="D2281" s="709" t="s">
        <v>136</v>
      </c>
      <c r="E2281" s="709" t="s">
        <v>8432</v>
      </c>
      <c r="F2281" s="716">
        <v>22.42</v>
      </c>
      <c r="G2281" s="716">
        <v>21.45</v>
      </c>
      <c r="H2281" s="225">
        <f t="shared" si="35"/>
        <v>22.42</v>
      </c>
    </row>
    <row r="2282" spans="1:8" x14ac:dyDescent="0.3">
      <c r="A2282" s="401"/>
      <c r="B2282" s="709">
        <v>38114</v>
      </c>
      <c r="C2282" s="710" t="s">
        <v>10658</v>
      </c>
      <c r="D2282" s="709" t="s">
        <v>136</v>
      </c>
      <c r="E2282" s="709" t="s">
        <v>8432</v>
      </c>
      <c r="F2282" s="716">
        <v>20.05</v>
      </c>
      <c r="G2282" s="716">
        <v>19.18</v>
      </c>
      <c r="H2282" s="225">
        <f t="shared" si="35"/>
        <v>20.05</v>
      </c>
    </row>
    <row r="2283" spans="1:8" x14ac:dyDescent="0.3">
      <c r="A2283" s="401"/>
      <c r="B2283" s="709">
        <v>38115</v>
      </c>
      <c r="C2283" s="710" t="s">
        <v>10659</v>
      </c>
      <c r="D2283" s="709" t="s">
        <v>136</v>
      </c>
      <c r="E2283" s="709" t="s">
        <v>8432</v>
      </c>
      <c r="F2283" s="716">
        <v>21.41</v>
      </c>
      <c r="G2283" s="716">
        <v>20.48</v>
      </c>
      <c r="H2283" s="225">
        <f t="shared" si="35"/>
        <v>21.41</v>
      </c>
    </row>
    <row r="2284" spans="1:8" x14ac:dyDescent="0.3">
      <c r="A2284" s="401"/>
      <c r="B2284" s="709">
        <v>38065</v>
      </c>
      <c r="C2284" s="710" t="s">
        <v>10660</v>
      </c>
      <c r="D2284" s="709" t="s">
        <v>136</v>
      </c>
      <c r="E2284" s="709" t="s">
        <v>8432</v>
      </c>
      <c r="F2284" s="716">
        <v>31.81</v>
      </c>
      <c r="G2284" s="716">
        <v>30.43</v>
      </c>
      <c r="H2284" s="225">
        <f t="shared" si="35"/>
        <v>31.81</v>
      </c>
    </row>
    <row r="2285" spans="1:8" x14ac:dyDescent="0.3">
      <c r="A2285" s="401"/>
      <c r="B2285" s="709">
        <v>38078</v>
      </c>
      <c r="C2285" s="710" t="s">
        <v>10661</v>
      </c>
      <c r="D2285" s="709" t="s">
        <v>136</v>
      </c>
      <c r="E2285" s="709" t="s">
        <v>8432</v>
      </c>
      <c r="F2285" s="716">
        <v>18.559999999999999</v>
      </c>
      <c r="G2285" s="716">
        <v>17.75</v>
      </c>
      <c r="H2285" s="225">
        <f t="shared" si="35"/>
        <v>18.559999999999999</v>
      </c>
    </row>
    <row r="2286" spans="1:8" x14ac:dyDescent="0.3">
      <c r="A2286" s="401"/>
      <c r="B2286" s="709">
        <v>38113</v>
      </c>
      <c r="C2286" s="710" t="s">
        <v>10662</v>
      </c>
      <c r="D2286" s="709" t="s">
        <v>136</v>
      </c>
      <c r="E2286" s="709" t="s">
        <v>8432</v>
      </c>
      <c r="F2286" s="716">
        <v>10.08</v>
      </c>
      <c r="G2286" s="716">
        <v>9.64</v>
      </c>
      <c r="H2286" s="225">
        <f t="shared" si="35"/>
        <v>10.08</v>
      </c>
    </row>
    <row r="2287" spans="1:8" x14ac:dyDescent="0.3">
      <c r="A2287" s="401"/>
      <c r="B2287" s="709">
        <v>38063</v>
      </c>
      <c r="C2287" s="710" t="s">
        <v>10663</v>
      </c>
      <c r="D2287" s="709" t="s">
        <v>136</v>
      </c>
      <c r="E2287" s="709" t="s">
        <v>8432</v>
      </c>
      <c r="F2287" s="716">
        <v>10.82</v>
      </c>
      <c r="G2287" s="716">
        <v>10.34</v>
      </c>
      <c r="H2287" s="225">
        <f t="shared" si="35"/>
        <v>10.82</v>
      </c>
    </row>
    <row r="2288" spans="1:8" x14ac:dyDescent="0.3">
      <c r="A2288" s="401"/>
      <c r="B2288" s="709">
        <v>38073</v>
      </c>
      <c r="C2288" s="710" t="s">
        <v>10664</v>
      </c>
      <c r="D2288" s="709" t="s">
        <v>136</v>
      </c>
      <c r="E2288" s="709" t="s">
        <v>8432</v>
      </c>
      <c r="F2288" s="716">
        <v>26.24</v>
      </c>
      <c r="G2288" s="716">
        <v>25.1</v>
      </c>
      <c r="H2288" s="225">
        <f t="shared" si="35"/>
        <v>26.24</v>
      </c>
    </row>
    <row r="2289" spans="1:8" x14ac:dyDescent="0.3">
      <c r="A2289" s="401"/>
      <c r="B2289" s="709">
        <v>38080</v>
      </c>
      <c r="C2289" s="710" t="s">
        <v>10665</v>
      </c>
      <c r="D2289" s="709" t="s">
        <v>136</v>
      </c>
      <c r="E2289" s="709" t="s">
        <v>8432</v>
      </c>
      <c r="F2289" s="716">
        <v>32.229999999999997</v>
      </c>
      <c r="G2289" s="716">
        <v>30.83</v>
      </c>
      <c r="H2289" s="225">
        <f t="shared" si="35"/>
        <v>32.229999999999997</v>
      </c>
    </row>
    <row r="2290" spans="1:8" x14ac:dyDescent="0.3">
      <c r="A2290" s="401"/>
      <c r="B2290" s="709">
        <v>38069</v>
      </c>
      <c r="C2290" s="710" t="s">
        <v>10666</v>
      </c>
      <c r="D2290" s="709" t="s">
        <v>136</v>
      </c>
      <c r="E2290" s="709" t="s">
        <v>8432</v>
      </c>
      <c r="F2290" s="716">
        <v>17.63</v>
      </c>
      <c r="G2290" s="716">
        <v>16.86</v>
      </c>
      <c r="H2290" s="225">
        <f t="shared" si="35"/>
        <v>17.63</v>
      </c>
    </row>
    <row r="2291" spans="1:8" x14ac:dyDescent="0.3">
      <c r="A2291" s="401"/>
      <c r="B2291" s="709">
        <v>38077</v>
      </c>
      <c r="C2291" s="710" t="s">
        <v>10667</v>
      </c>
      <c r="D2291" s="709" t="s">
        <v>136</v>
      </c>
      <c r="E2291" s="709" t="s">
        <v>8432</v>
      </c>
      <c r="F2291" s="716">
        <v>17.23</v>
      </c>
      <c r="G2291" s="716">
        <v>16.48</v>
      </c>
      <c r="H2291" s="225">
        <f t="shared" si="35"/>
        <v>17.23</v>
      </c>
    </row>
    <row r="2292" spans="1:8" x14ac:dyDescent="0.3">
      <c r="A2292" s="401"/>
      <c r="B2292" s="709">
        <v>38112</v>
      </c>
      <c r="C2292" s="710" t="s">
        <v>10668</v>
      </c>
      <c r="D2292" s="709" t="s">
        <v>136</v>
      </c>
      <c r="E2292" s="709" t="s">
        <v>8432</v>
      </c>
      <c r="F2292" s="716">
        <v>7.74</v>
      </c>
      <c r="G2292" s="716">
        <v>7.4</v>
      </c>
      <c r="H2292" s="225">
        <f t="shared" si="35"/>
        <v>7.74</v>
      </c>
    </row>
    <row r="2293" spans="1:8" x14ac:dyDescent="0.3">
      <c r="A2293" s="401"/>
      <c r="B2293" s="709">
        <v>38062</v>
      </c>
      <c r="C2293" s="710" t="s">
        <v>10669</v>
      </c>
      <c r="D2293" s="709" t="s">
        <v>136</v>
      </c>
      <c r="E2293" s="709" t="s">
        <v>8432</v>
      </c>
      <c r="F2293" s="716">
        <v>7.94</v>
      </c>
      <c r="G2293" s="716">
        <v>7.6</v>
      </c>
      <c r="H2293" s="225">
        <f t="shared" si="35"/>
        <v>7.94</v>
      </c>
    </row>
    <row r="2294" spans="1:8" x14ac:dyDescent="0.3">
      <c r="A2294" s="401"/>
      <c r="B2294" s="709">
        <v>12129</v>
      </c>
      <c r="C2294" s="710" t="s">
        <v>10670</v>
      </c>
      <c r="D2294" s="709" t="s">
        <v>136</v>
      </c>
      <c r="E2294" s="709" t="s">
        <v>8432</v>
      </c>
      <c r="F2294" s="716">
        <v>14.04</v>
      </c>
      <c r="G2294" s="716">
        <v>13.42</v>
      </c>
      <c r="H2294" s="225">
        <f t="shared" si="35"/>
        <v>14.04</v>
      </c>
    </row>
    <row r="2295" spans="1:8" x14ac:dyDescent="0.3">
      <c r="A2295" s="401"/>
      <c r="B2295" s="709">
        <v>12128</v>
      </c>
      <c r="C2295" s="710" t="s">
        <v>10671</v>
      </c>
      <c r="D2295" s="709" t="s">
        <v>136</v>
      </c>
      <c r="E2295" s="709" t="s">
        <v>8432</v>
      </c>
      <c r="F2295" s="716">
        <v>10.62</v>
      </c>
      <c r="G2295" s="716">
        <v>10.16</v>
      </c>
      <c r="H2295" s="225">
        <f t="shared" si="35"/>
        <v>10.62</v>
      </c>
    </row>
    <row r="2296" spans="1:8" x14ac:dyDescent="0.3">
      <c r="A2296" s="401"/>
      <c r="B2296" s="709">
        <v>38081</v>
      </c>
      <c r="C2296" s="710" t="s">
        <v>10672</v>
      </c>
      <c r="D2296" s="709" t="s">
        <v>136</v>
      </c>
      <c r="E2296" s="709" t="s">
        <v>8432</v>
      </c>
      <c r="F2296" s="716">
        <v>27.34</v>
      </c>
      <c r="G2296" s="716">
        <v>26.15</v>
      </c>
      <c r="H2296" s="225">
        <f t="shared" si="35"/>
        <v>27.34</v>
      </c>
    </row>
    <row r="2297" spans="1:8" x14ac:dyDescent="0.3">
      <c r="A2297" s="401"/>
      <c r="B2297" s="709">
        <v>38070</v>
      </c>
      <c r="C2297" s="710" t="s">
        <v>10673</v>
      </c>
      <c r="D2297" s="709" t="s">
        <v>136</v>
      </c>
      <c r="E2297" s="709" t="s">
        <v>8432</v>
      </c>
      <c r="F2297" s="716">
        <v>18.84</v>
      </c>
      <c r="G2297" s="716">
        <v>18.02</v>
      </c>
      <c r="H2297" s="225">
        <f t="shared" si="35"/>
        <v>18.84</v>
      </c>
    </row>
    <row r="2298" spans="1:8" x14ac:dyDescent="0.3">
      <c r="A2298" s="401"/>
      <c r="B2298" s="709">
        <v>38074</v>
      </c>
      <c r="C2298" s="710" t="s">
        <v>10674</v>
      </c>
      <c r="D2298" s="709" t="s">
        <v>136</v>
      </c>
      <c r="E2298" s="709" t="s">
        <v>8432</v>
      </c>
      <c r="F2298" s="716">
        <v>28.64</v>
      </c>
      <c r="G2298" s="716">
        <v>27.4</v>
      </c>
      <c r="H2298" s="225">
        <f t="shared" si="35"/>
        <v>28.64</v>
      </c>
    </row>
    <row r="2299" spans="1:8" x14ac:dyDescent="0.3">
      <c r="A2299" s="401"/>
      <c r="B2299" s="709">
        <v>38072</v>
      </c>
      <c r="C2299" s="710" t="s">
        <v>10675</v>
      </c>
      <c r="D2299" s="709" t="s">
        <v>136</v>
      </c>
      <c r="E2299" s="709" t="s">
        <v>8432</v>
      </c>
      <c r="F2299" s="716">
        <v>23.63</v>
      </c>
      <c r="G2299" s="716">
        <v>22.6</v>
      </c>
      <c r="H2299" s="225">
        <f t="shared" si="35"/>
        <v>23.63</v>
      </c>
    </row>
    <row r="2300" spans="1:8" x14ac:dyDescent="0.3">
      <c r="A2300" s="401"/>
      <c r="B2300" s="709">
        <v>38079</v>
      </c>
      <c r="C2300" s="710" t="s">
        <v>10676</v>
      </c>
      <c r="D2300" s="709" t="s">
        <v>136</v>
      </c>
      <c r="E2300" s="709" t="s">
        <v>8432</v>
      </c>
      <c r="F2300" s="716">
        <v>24.59</v>
      </c>
      <c r="G2300" s="716">
        <v>23.52</v>
      </c>
      <c r="H2300" s="225">
        <f t="shared" si="35"/>
        <v>24.59</v>
      </c>
    </row>
    <row r="2301" spans="1:8" x14ac:dyDescent="0.3">
      <c r="A2301" s="401"/>
      <c r="B2301" s="709">
        <v>38068</v>
      </c>
      <c r="C2301" s="710" t="s">
        <v>10677</v>
      </c>
      <c r="D2301" s="709" t="s">
        <v>136</v>
      </c>
      <c r="E2301" s="709" t="s">
        <v>8432</v>
      </c>
      <c r="F2301" s="716">
        <v>16.309999999999999</v>
      </c>
      <c r="G2301" s="716">
        <v>15.6</v>
      </c>
      <c r="H2301" s="225">
        <f t="shared" si="35"/>
        <v>16.309999999999999</v>
      </c>
    </row>
    <row r="2302" spans="1:8" x14ac:dyDescent="0.3">
      <c r="A2302" s="401"/>
      <c r="B2302" s="709">
        <v>38071</v>
      </c>
      <c r="C2302" s="710" t="s">
        <v>10678</v>
      </c>
      <c r="D2302" s="709" t="s">
        <v>136</v>
      </c>
      <c r="E2302" s="709" t="s">
        <v>8432</v>
      </c>
      <c r="F2302" s="716">
        <v>19.5</v>
      </c>
      <c r="G2302" s="716">
        <v>18.649999999999999</v>
      </c>
      <c r="H2302" s="225">
        <f t="shared" si="35"/>
        <v>19.5</v>
      </c>
    </row>
    <row r="2303" spans="1:8" x14ac:dyDescent="0.3">
      <c r="A2303" s="401"/>
      <c r="B2303" s="709">
        <v>45279</v>
      </c>
      <c r="C2303" s="710" t="s">
        <v>10679</v>
      </c>
      <c r="D2303" s="709" t="s">
        <v>136</v>
      </c>
      <c r="E2303" s="709" t="s">
        <v>8438</v>
      </c>
      <c r="F2303" s="716">
        <v>1149</v>
      </c>
      <c r="G2303" s="716">
        <v>1039</v>
      </c>
      <c r="H2303" s="225">
        <f t="shared" si="35"/>
        <v>1149</v>
      </c>
    </row>
    <row r="2304" spans="1:8" x14ac:dyDescent="0.3">
      <c r="A2304" s="401"/>
      <c r="B2304" s="709">
        <v>3405</v>
      </c>
      <c r="C2304" s="710" t="s">
        <v>10680</v>
      </c>
      <c r="D2304" s="709" t="s">
        <v>136</v>
      </c>
      <c r="E2304" s="709" t="s">
        <v>8432</v>
      </c>
      <c r="F2304" s="716"/>
      <c r="G2304" s="716">
        <v>86.8</v>
      </c>
      <c r="H2304" s="225">
        <f t="shared" si="35"/>
        <v>86.8</v>
      </c>
    </row>
    <row r="2305" spans="1:8" x14ac:dyDescent="0.3">
      <c r="A2305" s="401"/>
      <c r="B2305" s="709">
        <v>3394</v>
      </c>
      <c r="C2305" s="710" t="s">
        <v>10681</v>
      </c>
      <c r="D2305" s="709" t="s">
        <v>136</v>
      </c>
      <c r="E2305" s="709" t="s">
        <v>8432</v>
      </c>
      <c r="F2305" s="716"/>
      <c r="G2305" s="716">
        <v>458.21</v>
      </c>
      <c r="H2305" s="225">
        <f t="shared" si="35"/>
        <v>458.21</v>
      </c>
    </row>
    <row r="2306" spans="1:8" x14ac:dyDescent="0.3">
      <c r="A2306" s="401"/>
      <c r="B2306" s="709">
        <v>3393</v>
      </c>
      <c r="C2306" s="710" t="s">
        <v>10682</v>
      </c>
      <c r="D2306" s="709" t="s">
        <v>136</v>
      </c>
      <c r="E2306" s="709" t="s">
        <v>8432</v>
      </c>
      <c r="F2306" s="716"/>
      <c r="G2306" s="716">
        <v>780.15</v>
      </c>
      <c r="H2306" s="225">
        <f t="shared" si="35"/>
        <v>780.15</v>
      </c>
    </row>
    <row r="2307" spans="1:8" x14ac:dyDescent="0.3">
      <c r="A2307" s="401"/>
      <c r="B2307" s="709">
        <v>3406</v>
      </c>
      <c r="C2307" s="710" t="s">
        <v>10683</v>
      </c>
      <c r="D2307" s="709" t="s">
        <v>136</v>
      </c>
      <c r="E2307" s="709" t="s">
        <v>8438</v>
      </c>
      <c r="F2307" s="716"/>
      <c r="G2307" s="716">
        <v>26.57</v>
      </c>
      <c r="H2307" s="225">
        <f t="shared" si="35"/>
        <v>26.57</v>
      </c>
    </row>
    <row r="2308" spans="1:8" x14ac:dyDescent="0.3">
      <c r="A2308" s="401"/>
      <c r="B2308" s="709">
        <v>3395</v>
      </c>
      <c r="C2308" s="710" t="s">
        <v>10684</v>
      </c>
      <c r="D2308" s="709" t="s">
        <v>136</v>
      </c>
      <c r="E2308" s="709" t="s">
        <v>8432</v>
      </c>
      <c r="F2308" s="716"/>
      <c r="G2308" s="716">
        <v>112.08</v>
      </c>
      <c r="H2308" s="225">
        <f t="shared" si="35"/>
        <v>112.08</v>
      </c>
    </row>
    <row r="2309" spans="1:8" x14ac:dyDescent="0.3">
      <c r="A2309" s="401"/>
      <c r="B2309" s="709">
        <v>3398</v>
      </c>
      <c r="C2309" s="710" t="s">
        <v>10685</v>
      </c>
      <c r="D2309" s="709" t="s">
        <v>136</v>
      </c>
      <c r="E2309" s="709" t="s">
        <v>8432</v>
      </c>
      <c r="F2309" s="716"/>
      <c r="G2309" s="716">
        <v>5.32</v>
      </c>
      <c r="H2309" s="225">
        <f t="shared" si="35"/>
        <v>5.32</v>
      </c>
    </row>
    <row r="2310" spans="1:8" x14ac:dyDescent="0.3">
      <c r="A2310" s="401"/>
      <c r="B2310" s="709">
        <v>40662</v>
      </c>
      <c r="C2310" s="710" t="s">
        <v>10686</v>
      </c>
      <c r="D2310" s="709" t="s">
        <v>136</v>
      </c>
      <c r="E2310" s="709" t="s">
        <v>8432</v>
      </c>
      <c r="F2310" s="716"/>
      <c r="G2310" s="716">
        <v>216.4</v>
      </c>
      <c r="H2310" s="225">
        <f t="shared" si="35"/>
        <v>216.4</v>
      </c>
    </row>
    <row r="2311" spans="1:8" x14ac:dyDescent="0.3">
      <c r="A2311" s="401"/>
      <c r="B2311" s="709">
        <v>3437</v>
      </c>
      <c r="C2311" s="710" t="s">
        <v>10687</v>
      </c>
      <c r="D2311" s="709" t="s">
        <v>168</v>
      </c>
      <c r="E2311" s="709" t="s">
        <v>8432</v>
      </c>
      <c r="F2311" s="716"/>
      <c r="G2311" s="716">
        <v>601.13</v>
      </c>
      <c r="H2311" s="225">
        <f t="shared" si="35"/>
        <v>601.13</v>
      </c>
    </row>
    <row r="2312" spans="1:8" x14ac:dyDescent="0.3">
      <c r="A2312" s="401"/>
      <c r="B2312" s="709">
        <v>11190</v>
      </c>
      <c r="C2312" s="710" t="s">
        <v>10688</v>
      </c>
      <c r="D2312" s="709" t="s">
        <v>136</v>
      </c>
      <c r="E2312" s="709" t="s">
        <v>8438</v>
      </c>
      <c r="F2312" s="716"/>
      <c r="G2312" s="716">
        <v>153.69999999999999</v>
      </c>
      <c r="H2312" s="225">
        <f t="shared" si="35"/>
        <v>153.69999999999999</v>
      </c>
    </row>
    <row r="2313" spans="1:8" x14ac:dyDescent="0.3">
      <c r="A2313" s="401"/>
      <c r="B2313" s="709">
        <v>34377</v>
      </c>
      <c r="C2313" s="710" t="s">
        <v>10689</v>
      </c>
      <c r="D2313" s="709" t="s">
        <v>136</v>
      </c>
      <c r="E2313" s="709" t="s">
        <v>8432</v>
      </c>
      <c r="F2313" s="716">
        <v>252.94</v>
      </c>
      <c r="G2313" s="716">
        <v>207.53</v>
      </c>
      <c r="H2313" s="225">
        <f t="shared" si="35"/>
        <v>252.94</v>
      </c>
    </row>
    <row r="2314" spans="1:8" x14ac:dyDescent="0.3">
      <c r="A2314" s="401"/>
      <c r="B2314" s="709">
        <v>40659</v>
      </c>
      <c r="C2314" s="710" t="s">
        <v>10690</v>
      </c>
      <c r="D2314" s="709" t="s">
        <v>168</v>
      </c>
      <c r="E2314" s="709" t="s">
        <v>8432</v>
      </c>
      <c r="F2314" s="716"/>
      <c r="G2314" s="716">
        <v>850.51</v>
      </c>
      <c r="H2314" s="225">
        <f t="shared" si="35"/>
        <v>850.51</v>
      </c>
    </row>
    <row r="2315" spans="1:8" x14ac:dyDescent="0.3">
      <c r="A2315" s="401"/>
      <c r="B2315" s="709">
        <v>40660</v>
      </c>
      <c r="C2315" s="710" t="s">
        <v>10691</v>
      </c>
      <c r="D2315" s="709" t="s">
        <v>168</v>
      </c>
      <c r="E2315" s="709" t="s">
        <v>8432</v>
      </c>
      <c r="F2315" s="716"/>
      <c r="G2315" s="716">
        <v>1077.92</v>
      </c>
      <c r="H2315" s="225">
        <f t="shared" ref="H2315:H2378" si="36">IF(F2315&gt;0,F2315,G2315)</f>
        <v>1077.92</v>
      </c>
    </row>
    <row r="2316" spans="1:8" x14ac:dyDescent="0.3">
      <c r="A2316" s="401"/>
      <c r="B2316" s="709">
        <v>40661</v>
      </c>
      <c r="C2316" s="710" t="s">
        <v>10692</v>
      </c>
      <c r="D2316" s="709" t="s">
        <v>168</v>
      </c>
      <c r="E2316" s="709" t="s">
        <v>8432</v>
      </c>
      <c r="F2316" s="716"/>
      <c r="G2316" s="716">
        <v>662.73</v>
      </c>
      <c r="H2316" s="225">
        <f t="shared" si="36"/>
        <v>662.73</v>
      </c>
    </row>
    <row r="2317" spans="1:8" x14ac:dyDescent="0.3">
      <c r="A2317" s="401"/>
      <c r="B2317" s="709">
        <v>3428</v>
      </c>
      <c r="C2317" s="710" t="s">
        <v>10693</v>
      </c>
      <c r="D2317" s="709" t="s">
        <v>168</v>
      </c>
      <c r="E2317" s="709" t="s">
        <v>8438</v>
      </c>
      <c r="F2317" s="716"/>
      <c r="G2317" s="716">
        <v>891.67</v>
      </c>
      <c r="H2317" s="225">
        <f t="shared" si="36"/>
        <v>891.67</v>
      </c>
    </row>
    <row r="2318" spans="1:8" x14ac:dyDescent="0.3">
      <c r="A2318" s="401"/>
      <c r="B2318" s="709">
        <v>3429</v>
      </c>
      <c r="C2318" s="710" t="s">
        <v>10694</v>
      </c>
      <c r="D2318" s="709" t="s">
        <v>168</v>
      </c>
      <c r="E2318" s="709" t="s">
        <v>8432</v>
      </c>
      <c r="F2318" s="716"/>
      <c r="G2318" s="716">
        <v>509.45</v>
      </c>
      <c r="H2318" s="225">
        <f t="shared" si="36"/>
        <v>509.45</v>
      </c>
    </row>
    <row r="2319" spans="1:8" x14ac:dyDescent="0.3">
      <c r="A2319" s="401"/>
      <c r="B2319" s="709">
        <v>11199</v>
      </c>
      <c r="C2319" s="710" t="s">
        <v>10695</v>
      </c>
      <c r="D2319" s="709" t="s">
        <v>136</v>
      </c>
      <c r="E2319" s="709" t="s">
        <v>8432</v>
      </c>
      <c r="F2319" s="716"/>
      <c r="G2319" s="716">
        <v>848.85</v>
      </c>
      <c r="H2319" s="225">
        <f t="shared" si="36"/>
        <v>848.85</v>
      </c>
    </row>
    <row r="2320" spans="1:8" x14ac:dyDescent="0.3">
      <c r="A2320" s="401"/>
      <c r="B2320" s="709">
        <v>36896</v>
      </c>
      <c r="C2320" s="710" t="s">
        <v>10696</v>
      </c>
      <c r="D2320" s="709" t="s">
        <v>136</v>
      </c>
      <c r="E2320" s="709" t="s">
        <v>8438</v>
      </c>
      <c r="F2320" s="716">
        <v>489.9</v>
      </c>
      <c r="G2320" s="716">
        <v>401.95</v>
      </c>
      <c r="H2320" s="225">
        <f t="shared" si="36"/>
        <v>489.9</v>
      </c>
    </row>
    <row r="2321" spans="1:8" x14ac:dyDescent="0.3">
      <c r="A2321" s="401"/>
      <c r="B2321" s="709">
        <v>34367</v>
      </c>
      <c r="C2321" s="710" t="s">
        <v>10697</v>
      </c>
      <c r="D2321" s="709" t="s">
        <v>136</v>
      </c>
      <c r="E2321" s="709" t="s">
        <v>8432</v>
      </c>
      <c r="F2321" s="716">
        <v>631.4</v>
      </c>
      <c r="G2321" s="716">
        <v>518.04999999999995</v>
      </c>
      <c r="H2321" s="225">
        <f t="shared" si="36"/>
        <v>631.4</v>
      </c>
    </row>
    <row r="2322" spans="1:8" x14ac:dyDescent="0.3">
      <c r="A2322" s="401"/>
      <c r="B2322" s="709">
        <v>36897</v>
      </c>
      <c r="C2322" s="710" t="s">
        <v>10698</v>
      </c>
      <c r="D2322" s="709" t="s">
        <v>136</v>
      </c>
      <c r="E2322" s="709" t="s">
        <v>8432</v>
      </c>
      <c r="F2322" s="716">
        <v>764.48</v>
      </c>
      <c r="G2322" s="716">
        <v>627.23</v>
      </c>
      <c r="H2322" s="225">
        <f t="shared" si="36"/>
        <v>764.48</v>
      </c>
    </row>
    <row r="2323" spans="1:8" x14ac:dyDescent="0.3">
      <c r="A2323" s="401"/>
      <c r="B2323" s="709">
        <v>34369</v>
      </c>
      <c r="C2323" s="710" t="s">
        <v>10699</v>
      </c>
      <c r="D2323" s="709" t="s">
        <v>136</v>
      </c>
      <c r="E2323" s="709" t="s">
        <v>8432</v>
      </c>
      <c r="F2323" s="716">
        <v>879.77</v>
      </c>
      <c r="G2323" s="716">
        <v>721.83</v>
      </c>
      <c r="H2323" s="225">
        <f t="shared" si="36"/>
        <v>879.77</v>
      </c>
    </row>
    <row r="2324" spans="1:8" x14ac:dyDescent="0.3">
      <c r="A2324" s="401"/>
      <c r="B2324" s="709">
        <v>34364</v>
      </c>
      <c r="C2324" s="710" t="s">
        <v>10700</v>
      </c>
      <c r="D2324" s="709" t="s">
        <v>136</v>
      </c>
      <c r="E2324" s="709" t="s">
        <v>8432</v>
      </c>
      <c r="F2324" s="716">
        <v>829.96</v>
      </c>
      <c r="G2324" s="716">
        <v>680.96</v>
      </c>
      <c r="H2324" s="225">
        <f t="shared" si="36"/>
        <v>829.96</v>
      </c>
    </row>
    <row r="2325" spans="1:8" x14ac:dyDescent="0.3">
      <c r="A2325" s="401"/>
      <c r="B2325" s="709">
        <v>3421</v>
      </c>
      <c r="C2325" s="710" t="s">
        <v>10701</v>
      </c>
      <c r="D2325" s="709" t="s">
        <v>168</v>
      </c>
      <c r="E2325" s="709" t="s">
        <v>8432</v>
      </c>
      <c r="F2325" s="716"/>
      <c r="G2325" s="716">
        <v>667.8</v>
      </c>
      <c r="H2325" s="225">
        <f t="shared" si="36"/>
        <v>667.8</v>
      </c>
    </row>
    <row r="2326" spans="1:8" x14ac:dyDescent="0.3">
      <c r="A2326" s="401"/>
      <c r="B2326" s="709">
        <v>599</v>
      </c>
      <c r="C2326" s="710" t="s">
        <v>10702</v>
      </c>
      <c r="D2326" s="709" t="s">
        <v>168</v>
      </c>
      <c r="E2326" s="709" t="s">
        <v>8432</v>
      </c>
      <c r="F2326" s="716">
        <v>893.47</v>
      </c>
      <c r="G2326" s="716">
        <v>733.07</v>
      </c>
      <c r="H2326" s="225">
        <f t="shared" si="36"/>
        <v>893.47</v>
      </c>
    </row>
    <row r="2327" spans="1:8" x14ac:dyDescent="0.3">
      <c r="A2327" s="401"/>
      <c r="B2327" s="709">
        <v>44053</v>
      </c>
      <c r="C2327" s="710" t="s">
        <v>10703</v>
      </c>
      <c r="D2327" s="709" t="s">
        <v>136</v>
      </c>
      <c r="E2327" s="709" t="s">
        <v>8432</v>
      </c>
      <c r="F2327" s="716">
        <v>1983.09</v>
      </c>
      <c r="G2327" s="716">
        <v>1627.07</v>
      </c>
      <c r="H2327" s="225">
        <f t="shared" si="36"/>
        <v>1983.09</v>
      </c>
    </row>
    <row r="2328" spans="1:8" x14ac:dyDescent="0.3">
      <c r="A2328" s="401"/>
      <c r="B2328" s="709">
        <v>3423</v>
      </c>
      <c r="C2328" s="710" t="s">
        <v>10704</v>
      </c>
      <c r="D2328" s="709" t="s">
        <v>168</v>
      </c>
      <c r="E2328" s="709" t="s">
        <v>8432</v>
      </c>
      <c r="F2328" s="716"/>
      <c r="G2328" s="716">
        <v>941.76</v>
      </c>
      <c r="H2328" s="225">
        <f t="shared" si="36"/>
        <v>941.76</v>
      </c>
    </row>
    <row r="2329" spans="1:8" x14ac:dyDescent="0.3">
      <c r="A2329" s="401"/>
      <c r="B2329" s="709">
        <v>34797</v>
      </c>
      <c r="C2329" s="710" t="s">
        <v>10705</v>
      </c>
      <c r="D2329" s="709" t="s">
        <v>136</v>
      </c>
      <c r="E2329" s="709" t="s">
        <v>8432</v>
      </c>
      <c r="F2329" s="716"/>
      <c r="G2329" s="716">
        <v>334.78</v>
      </c>
      <c r="H2329" s="225">
        <f t="shared" si="36"/>
        <v>334.78</v>
      </c>
    </row>
    <row r="2330" spans="1:8" x14ac:dyDescent="0.3">
      <c r="A2330" s="401"/>
      <c r="B2330" s="709">
        <v>34381</v>
      </c>
      <c r="C2330" s="710" t="s">
        <v>10706</v>
      </c>
      <c r="D2330" s="709" t="s">
        <v>136</v>
      </c>
      <c r="E2330" s="709" t="s">
        <v>8432</v>
      </c>
      <c r="F2330" s="716">
        <v>360.76</v>
      </c>
      <c r="G2330" s="716">
        <v>296</v>
      </c>
      <c r="H2330" s="225">
        <f t="shared" si="36"/>
        <v>360.76</v>
      </c>
    </row>
    <row r="2331" spans="1:8" x14ac:dyDescent="0.3">
      <c r="A2331" s="401"/>
      <c r="B2331" s="709">
        <v>44054</v>
      </c>
      <c r="C2331" s="710" t="s">
        <v>10707</v>
      </c>
      <c r="D2331" s="709" t="s">
        <v>136</v>
      </c>
      <c r="E2331" s="709" t="s">
        <v>8432</v>
      </c>
      <c r="F2331" s="716">
        <v>711.41</v>
      </c>
      <c r="G2331" s="716">
        <v>583.69000000000005</v>
      </c>
      <c r="H2331" s="225">
        <f t="shared" si="36"/>
        <v>711.41</v>
      </c>
    </row>
    <row r="2332" spans="1:8" x14ac:dyDescent="0.3">
      <c r="A2332" s="401"/>
      <c r="B2332" s="709">
        <v>44399</v>
      </c>
      <c r="C2332" s="710" t="s">
        <v>10708</v>
      </c>
      <c r="D2332" s="709" t="s">
        <v>136</v>
      </c>
      <c r="E2332" s="709" t="s">
        <v>8432</v>
      </c>
      <c r="F2332" s="716">
        <v>972.02</v>
      </c>
      <c r="G2332" s="716">
        <v>797.51</v>
      </c>
      <c r="H2332" s="225">
        <f t="shared" si="36"/>
        <v>972.02</v>
      </c>
    </row>
    <row r="2333" spans="1:8" x14ac:dyDescent="0.3">
      <c r="A2333" s="401"/>
      <c r="B2333" s="709">
        <v>44503</v>
      </c>
      <c r="C2333" s="710" t="s">
        <v>10709</v>
      </c>
      <c r="D2333" s="709" t="s">
        <v>234</v>
      </c>
      <c r="E2333" s="709" t="s">
        <v>8432</v>
      </c>
      <c r="F2333" s="716">
        <v>20.190000000000001</v>
      </c>
      <c r="G2333" s="716">
        <v>24.12</v>
      </c>
      <c r="H2333" s="225">
        <f t="shared" si="36"/>
        <v>20.190000000000001</v>
      </c>
    </row>
    <row r="2334" spans="1:8" x14ac:dyDescent="0.3">
      <c r="A2334" s="401"/>
      <c r="B2334" s="709">
        <v>41077</v>
      </c>
      <c r="C2334" s="710" t="s">
        <v>10710</v>
      </c>
      <c r="D2334" s="709" t="s">
        <v>208</v>
      </c>
      <c r="E2334" s="709" t="s">
        <v>8432</v>
      </c>
      <c r="F2334" s="716">
        <v>3549.55</v>
      </c>
      <c r="G2334" s="716">
        <v>4227.08</v>
      </c>
      <c r="H2334" s="225">
        <f t="shared" si="36"/>
        <v>3549.55</v>
      </c>
    </row>
    <row r="2335" spans="1:8" x14ac:dyDescent="0.3">
      <c r="A2335" s="401"/>
      <c r="B2335" s="709">
        <v>37963</v>
      </c>
      <c r="C2335" s="710" t="s">
        <v>10711</v>
      </c>
      <c r="D2335" s="709" t="s">
        <v>136</v>
      </c>
      <c r="E2335" s="709" t="s">
        <v>8432</v>
      </c>
      <c r="F2335" s="716">
        <v>6.36</v>
      </c>
      <c r="G2335" s="716">
        <v>4.6500000000000004</v>
      </c>
      <c r="H2335" s="225">
        <f t="shared" si="36"/>
        <v>6.36</v>
      </c>
    </row>
    <row r="2336" spans="1:8" x14ac:dyDescent="0.3">
      <c r="A2336" s="401"/>
      <c r="B2336" s="709">
        <v>37964</v>
      </c>
      <c r="C2336" s="710" t="s">
        <v>10712</v>
      </c>
      <c r="D2336" s="709" t="s">
        <v>136</v>
      </c>
      <c r="E2336" s="709" t="s">
        <v>8432</v>
      </c>
      <c r="F2336" s="716">
        <v>8.5</v>
      </c>
      <c r="G2336" s="716">
        <v>6.21</v>
      </c>
      <c r="H2336" s="225">
        <f t="shared" si="36"/>
        <v>8.5</v>
      </c>
    </row>
    <row r="2337" spans="1:8" x14ac:dyDescent="0.3">
      <c r="A2337" s="401"/>
      <c r="B2337" s="709">
        <v>37965</v>
      </c>
      <c r="C2337" s="710" t="s">
        <v>10713</v>
      </c>
      <c r="D2337" s="709" t="s">
        <v>136</v>
      </c>
      <c r="E2337" s="709" t="s">
        <v>8432</v>
      </c>
      <c r="F2337" s="716">
        <v>12.26</v>
      </c>
      <c r="G2337" s="716">
        <v>8.9600000000000009</v>
      </c>
      <c r="H2337" s="225">
        <f t="shared" si="36"/>
        <v>12.26</v>
      </c>
    </row>
    <row r="2338" spans="1:8" x14ac:dyDescent="0.3">
      <c r="A2338" s="401"/>
      <c r="B2338" s="709">
        <v>37966</v>
      </c>
      <c r="C2338" s="710" t="s">
        <v>10714</v>
      </c>
      <c r="D2338" s="709" t="s">
        <v>136</v>
      </c>
      <c r="E2338" s="709" t="s">
        <v>8432</v>
      </c>
      <c r="F2338" s="716">
        <v>21.52</v>
      </c>
      <c r="G2338" s="716">
        <v>15.74</v>
      </c>
      <c r="H2338" s="225">
        <f t="shared" si="36"/>
        <v>21.52</v>
      </c>
    </row>
    <row r="2339" spans="1:8" x14ac:dyDescent="0.3">
      <c r="A2339" s="401"/>
      <c r="B2339" s="709">
        <v>37967</v>
      </c>
      <c r="C2339" s="710" t="s">
        <v>10715</v>
      </c>
      <c r="D2339" s="709" t="s">
        <v>136</v>
      </c>
      <c r="E2339" s="709" t="s">
        <v>8432</v>
      </c>
      <c r="F2339" s="716">
        <v>36.159999999999997</v>
      </c>
      <c r="G2339" s="716">
        <v>26.45</v>
      </c>
      <c r="H2339" s="225">
        <f t="shared" si="36"/>
        <v>36.159999999999997</v>
      </c>
    </row>
    <row r="2340" spans="1:8" x14ac:dyDescent="0.3">
      <c r="A2340" s="401"/>
      <c r="B2340" s="709">
        <v>37968</v>
      </c>
      <c r="C2340" s="710" t="s">
        <v>10716</v>
      </c>
      <c r="D2340" s="709" t="s">
        <v>136</v>
      </c>
      <c r="E2340" s="709" t="s">
        <v>8432</v>
      </c>
      <c r="F2340" s="716">
        <v>76.790000000000006</v>
      </c>
      <c r="G2340" s="716">
        <v>56.15</v>
      </c>
      <c r="H2340" s="225">
        <f t="shared" si="36"/>
        <v>76.790000000000006</v>
      </c>
    </row>
    <row r="2341" spans="1:8" x14ac:dyDescent="0.3">
      <c r="A2341" s="401"/>
      <c r="B2341" s="709">
        <v>37969</v>
      </c>
      <c r="C2341" s="710" t="s">
        <v>10717</v>
      </c>
      <c r="D2341" s="709" t="s">
        <v>136</v>
      </c>
      <c r="E2341" s="709" t="s">
        <v>8432</v>
      </c>
      <c r="F2341" s="716">
        <v>194.03</v>
      </c>
      <c r="G2341" s="716">
        <v>141.88999999999999</v>
      </c>
      <c r="H2341" s="225">
        <f t="shared" si="36"/>
        <v>194.03</v>
      </c>
    </row>
    <row r="2342" spans="1:8" x14ac:dyDescent="0.3">
      <c r="A2342" s="401"/>
      <c r="B2342" s="709">
        <v>37970</v>
      </c>
      <c r="C2342" s="710" t="s">
        <v>10718</v>
      </c>
      <c r="D2342" s="709" t="s">
        <v>136</v>
      </c>
      <c r="E2342" s="709" t="s">
        <v>8432</v>
      </c>
      <c r="F2342" s="716">
        <v>280.70999999999998</v>
      </c>
      <c r="G2342" s="716">
        <v>205.28</v>
      </c>
      <c r="H2342" s="225">
        <f t="shared" si="36"/>
        <v>280.70999999999998</v>
      </c>
    </row>
    <row r="2343" spans="1:8" x14ac:dyDescent="0.3">
      <c r="A2343" s="401"/>
      <c r="B2343" s="709">
        <v>44251</v>
      </c>
      <c r="C2343" s="710" t="s">
        <v>10719</v>
      </c>
      <c r="D2343" s="709" t="s">
        <v>136</v>
      </c>
      <c r="E2343" s="709" t="s">
        <v>8432</v>
      </c>
      <c r="F2343" s="716">
        <v>324.24</v>
      </c>
      <c r="G2343" s="716">
        <v>237.11</v>
      </c>
      <c r="H2343" s="225">
        <f t="shared" si="36"/>
        <v>324.24</v>
      </c>
    </row>
    <row r="2344" spans="1:8" x14ac:dyDescent="0.3">
      <c r="A2344" s="401"/>
      <c r="B2344" s="709">
        <v>21118</v>
      </c>
      <c r="C2344" s="710" t="s">
        <v>10720</v>
      </c>
      <c r="D2344" s="709" t="s">
        <v>136</v>
      </c>
      <c r="E2344" s="709" t="s">
        <v>8432</v>
      </c>
      <c r="F2344" s="716">
        <v>5.05</v>
      </c>
      <c r="G2344" s="716">
        <v>3.69</v>
      </c>
      <c r="H2344" s="225">
        <f t="shared" si="36"/>
        <v>5.05</v>
      </c>
    </row>
    <row r="2345" spans="1:8" x14ac:dyDescent="0.3">
      <c r="A2345" s="401"/>
      <c r="B2345" s="709">
        <v>37956</v>
      </c>
      <c r="C2345" s="710" t="s">
        <v>10721</v>
      </c>
      <c r="D2345" s="709" t="s">
        <v>136</v>
      </c>
      <c r="E2345" s="709" t="s">
        <v>8432</v>
      </c>
      <c r="F2345" s="716">
        <v>6.21</v>
      </c>
      <c r="G2345" s="716">
        <v>4.54</v>
      </c>
      <c r="H2345" s="225">
        <f t="shared" si="36"/>
        <v>6.21</v>
      </c>
    </row>
    <row r="2346" spans="1:8" x14ac:dyDescent="0.3">
      <c r="A2346" s="401"/>
      <c r="B2346" s="709">
        <v>37957</v>
      </c>
      <c r="C2346" s="710" t="s">
        <v>10722</v>
      </c>
      <c r="D2346" s="709" t="s">
        <v>136</v>
      </c>
      <c r="E2346" s="709" t="s">
        <v>8432</v>
      </c>
      <c r="F2346" s="716">
        <v>13.2</v>
      </c>
      <c r="G2346" s="716">
        <v>9.65</v>
      </c>
      <c r="H2346" s="225">
        <f t="shared" si="36"/>
        <v>13.2</v>
      </c>
    </row>
    <row r="2347" spans="1:8" x14ac:dyDescent="0.3">
      <c r="A2347" s="401"/>
      <c r="B2347" s="709">
        <v>37958</v>
      </c>
      <c r="C2347" s="710" t="s">
        <v>10723</v>
      </c>
      <c r="D2347" s="709" t="s">
        <v>136</v>
      </c>
      <c r="E2347" s="709" t="s">
        <v>8432</v>
      </c>
      <c r="F2347" s="716">
        <v>23.87</v>
      </c>
      <c r="G2347" s="716">
        <v>17.45</v>
      </c>
      <c r="H2347" s="225">
        <f t="shared" si="36"/>
        <v>23.87</v>
      </c>
    </row>
    <row r="2348" spans="1:8" x14ac:dyDescent="0.3">
      <c r="A2348" s="401"/>
      <c r="B2348" s="709">
        <v>37959</v>
      </c>
      <c r="C2348" s="710" t="s">
        <v>10724</v>
      </c>
      <c r="D2348" s="709" t="s">
        <v>136</v>
      </c>
      <c r="E2348" s="709" t="s">
        <v>8432</v>
      </c>
      <c r="F2348" s="716">
        <v>36.74</v>
      </c>
      <c r="G2348" s="716">
        <v>26.87</v>
      </c>
      <c r="H2348" s="225">
        <f t="shared" si="36"/>
        <v>36.74</v>
      </c>
    </row>
    <row r="2349" spans="1:8" x14ac:dyDescent="0.3">
      <c r="A2349" s="401"/>
      <c r="B2349" s="709">
        <v>37960</v>
      </c>
      <c r="C2349" s="710" t="s">
        <v>10725</v>
      </c>
      <c r="D2349" s="709" t="s">
        <v>136</v>
      </c>
      <c r="E2349" s="709" t="s">
        <v>8432</v>
      </c>
      <c r="F2349" s="716">
        <v>93.88</v>
      </c>
      <c r="G2349" s="716">
        <v>68.650000000000006</v>
      </c>
      <c r="H2349" s="225">
        <f t="shared" si="36"/>
        <v>93.88</v>
      </c>
    </row>
    <row r="2350" spans="1:8" x14ac:dyDescent="0.3">
      <c r="A2350" s="401"/>
      <c r="B2350" s="709">
        <v>37961</v>
      </c>
      <c r="C2350" s="710" t="s">
        <v>10726</v>
      </c>
      <c r="D2350" s="709" t="s">
        <v>136</v>
      </c>
      <c r="E2350" s="709" t="s">
        <v>8432</v>
      </c>
      <c r="F2350" s="716">
        <v>201.76</v>
      </c>
      <c r="G2350" s="716">
        <v>147.55000000000001</v>
      </c>
      <c r="H2350" s="225">
        <f t="shared" si="36"/>
        <v>201.76</v>
      </c>
    </row>
    <row r="2351" spans="1:8" x14ac:dyDescent="0.3">
      <c r="A2351" s="401"/>
      <c r="B2351" s="709">
        <v>37962</v>
      </c>
      <c r="C2351" s="710" t="s">
        <v>10727</v>
      </c>
      <c r="D2351" s="709" t="s">
        <v>136</v>
      </c>
      <c r="E2351" s="709" t="s">
        <v>8432</v>
      </c>
      <c r="F2351" s="716">
        <v>232.6</v>
      </c>
      <c r="G2351" s="716">
        <v>170.1</v>
      </c>
      <c r="H2351" s="225">
        <f t="shared" si="36"/>
        <v>232.6</v>
      </c>
    </row>
    <row r="2352" spans="1:8" x14ac:dyDescent="0.3">
      <c r="A2352" s="401"/>
      <c r="B2352" s="709">
        <v>3533</v>
      </c>
      <c r="C2352" s="710" t="s">
        <v>10728</v>
      </c>
      <c r="D2352" s="709" t="s">
        <v>136</v>
      </c>
      <c r="E2352" s="709" t="s">
        <v>8432</v>
      </c>
      <c r="F2352" s="716">
        <v>3.37</v>
      </c>
      <c r="G2352" s="716">
        <v>3.44</v>
      </c>
      <c r="H2352" s="225">
        <f t="shared" si="36"/>
        <v>3.37</v>
      </c>
    </row>
    <row r="2353" spans="1:8" x14ac:dyDescent="0.3">
      <c r="A2353" s="401"/>
      <c r="B2353" s="709">
        <v>3538</v>
      </c>
      <c r="C2353" s="710" t="s">
        <v>10729</v>
      </c>
      <c r="D2353" s="709" t="s">
        <v>136</v>
      </c>
      <c r="E2353" s="709" t="s">
        <v>8432</v>
      </c>
      <c r="F2353" s="716">
        <v>6.38</v>
      </c>
      <c r="G2353" s="716">
        <v>6.51</v>
      </c>
      <c r="H2353" s="225">
        <f t="shared" si="36"/>
        <v>6.38</v>
      </c>
    </row>
    <row r="2354" spans="1:8" x14ac:dyDescent="0.3">
      <c r="A2354" s="401"/>
      <c r="B2354" s="709">
        <v>3498</v>
      </c>
      <c r="C2354" s="710" t="s">
        <v>10730</v>
      </c>
      <c r="D2354" s="709" t="s">
        <v>136</v>
      </c>
      <c r="E2354" s="709" t="s">
        <v>8432</v>
      </c>
      <c r="F2354" s="716">
        <v>6.19</v>
      </c>
      <c r="G2354" s="716">
        <v>6.31</v>
      </c>
      <c r="H2354" s="225">
        <f t="shared" si="36"/>
        <v>6.19</v>
      </c>
    </row>
    <row r="2355" spans="1:8" x14ac:dyDescent="0.3">
      <c r="A2355" s="401"/>
      <c r="B2355" s="709">
        <v>3496</v>
      </c>
      <c r="C2355" s="710" t="s">
        <v>10731</v>
      </c>
      <c r="D2355" s="709" t="s">
        <v>136</v>
      </c>
      <c r="E2355" s="709" t="s">
        <v>8432</v>
      </c>
      <c r="F2355" s="716">
        <v>4.1399999999999997</v>
      </c>
      <c r="G2355" s="716">
        <v>4.22</v>
      </c>
      <c r="H2355" s="225">
        <f t="shared" si="36"/>
        <v>4.1399999999999997</v>
      </c>
    </row>
    <row r="2356" spans="1:8" x14ac:dyDescent="0.3">
      <c r="A2356" s="401"/>
      <c r="B2356" s="709">
        <v>38429</v>
      </c>
      <c r="C2356" s="710" t="s">
        <v>10732</v>
      </c>
      <c r="D2356" s="709" t="s">
        <v>136</v>
      </c>
      <c r="E2356" s="709" t="s">
        <v>8432</v>
      </c>
      <c r="F2356" s="716">
        <v>17.18</v>
      </c>
      <c r="G2356" s="716">
        <v>12.56</v>
      </c>
      <c r="H2356" s="225">
        <f t="shared" si="36"/>
        <v>17.18</v>
      </c>
    </row>
    <row r="2357" spans="1:8" x14ac:dyDescent="0.3">
      <c r="A2357" s="401"/>
      <c r="B2357" s="709">
        <v>38431</v>
      </c>
      <c r="C2357" s="710" t="s">
        <v>10733</v>
      </c>
      <c r="D2357" s="709" t="s">
        <v>136</v>
      </c>
      <c r="E2357" s="709" t="s">
        <v>8432</v>
      </c>
      <c r="F2357" s="716">
        <v>21.55</v>
      </c>
      <c r="G2357" s="716">
        <v>15.76</v>
      </c>
      <c r="H2357" s="225">
        <f t="shared" si="36"/>
        <v>21.55</v>
      </c>
    </row>
    <row r="2358" spans="1:8" x14ac:dyDescent="0.3">
      <c r="A2358" s="401"/>
      <c r="B2358" s="709">
        <v>38430</v>
      </c>
      <c r="C2358" s="710" t="s">
        <v>10734</v>
      </c>
      <c r="D2358" s="709" t="s">
        <v>136</v>
      </c>
      <c r="E2358" s="709" t="s">
        <v>8432</v>
      </c>
      <c r="F2358" s="716">
        <v>33.409999999999997</v>
      </c>
      <c r="G2358" s="716">
        <v>24.43</v>
      </c>
      <c r="H2358" s="225">
        <f t="shared" si="36"/>
        <v>33.409999999999997</v>
      </c>
    </row>
    <row r="2359" spans="1:8" x14ac:dyDescent="0.3">
      <c r="A2359" s="401"/>
      <c r="B2359" s="709">
        <v>36348</v>
      </c>
      <c r="C2359" s="710" t="s">
        <v>10735</v>
      </c>
      <c r="D2359" s="709" t="s">
        <v>136</v>
      </c>
      <c r="E2359" s="709" t="s">
        <v>8432</v>
      </c>
      <c r="F2359" s="716">
        <v>2.2799999999999998</v>
      </c>
      <c r="G2359" s="716">
        <v>2.5499999999999998</v>
      </c>
      <c r="H2359" s="225">
        <f t="shared" si="36"/>
        <v>2.2799999999999998</v>
      </c>
    </row>
    <row r="2360" spans="1:8" x14ac:dyDescent="0.3">
      <c r="A2360" s="401"/>
      <c r="B2360" s="709">
        <v>36349</v>
      </c>
      <c r="C2360" s="710" t="s">
        <v>10736</v>
      </c>
      <c r="D2360" s="709" t="s">
        <v>136</v>
      </c>
      <c r="E2360" s="709" t="s">
        <v>8432</v>
      </c>
      <c r="F2360" s="716">
        <v>3.14</v>
      </c>
      <c r="G2360" s="716">
        <v>3.52</v>
      </c>
      <c r="H2360" s="225">
        <f t="shared" si="36"/>
        <v>3.14</v>
      </c>
    </row>
    <row r="2361" spans="1:8" x14ac:dyDescent="0.3">
      <c r="A2361" s="401"/>
      <c r="B2361" s="709">
        <v>38987</v>
      </c>
      <c r="C2361" s="710" t="s">
        <v>10737</v>
      </c>
      <c r="D2361" s="709" t="s">
        <v>136</v>
      </c>
      <c r="E2361" s="709" t="s">
        <v>8432</v>
      </c>
      <c r="F2361" s="716">
        <v>15.1</v>
      </c>
      <c r="G2361" s="716">
        <v>16.93</v>
      </c>
      <c r="H2361" s="225">
        <f t="shared" si="36"/>
        <v>15.1</v>
      </c>
    </row>
    <row r="2362" spans="1:8" x14ac:dyDescent="0.3">
      <c r="A2362" s="401"/>
      <c r="B2362" s="709">
        <v>38988</v>
      </c>
      <c r="C2362" s="710" t="s">
        <v>10738</v>
      </c>
      <c r="D2362" s="709" t="s">
        <v>136</v>
      </c>
      <c r="E2362" s="709" t="s">
        <v>8432</v>
      </c>
      <c r="F2362" s="716">
        <v>24.6</v>
      </c>
      <c r="G2362" s="716">
        <v>27.59</v>
      </c>
      <c r="H2362" s="225">
        <f t="shared" si="36"/>
        <v>24.6</v>
      </c>
    </row>
    <row r="2363" spans="1:8" x14ac:dyDescent="0.3">
      <c r="A2363" s="401"/>
      <c r="B2363" s="709">
        <v>38989</v>
      </c>
      <c r="C2363" s="710" t="s">
        <v>10739</v>
      </c>
      <c r="D2363" s="709" t="s">
        <v>136</v>
      </c>
      <c r="E2363" s="709" t="s">
        <v>8432</v>
      </c>
      <c r="F2363" s="716">
        <v>41.4</v>
      </c>
      <c r="G2363" s="716">
        <v>46.42</v>
      </c>
      <c r="H2363" s="225">
        <f t="shared" si="36"/>
        <v>41.4</v>
      </c>
    </row>
    <row r="2364" spans="1:8" x14ac:dyDescent="0.3">
      <c r="A2364" s="401"/>
      <c r="B2364" s="709">
        <v>38990</v>
      </c>
      <c r="C2364" s="710" t="s">
        <v>10740</v>
      </c>
      <c r="D2364" s="709" t="s">
        <v>136</v>
      </c>
      <c r="E2364" s="709" t="s">
        <v>8432</v>
      </c>
      <c r="F2364" s="716">
        <v>82.73</v>
      </c>
      <c r="G2364" s="716">
        <v>92.76</v>
      </c>
      <c r="H2364" s="225">
        <f t="shared" si="36"/>
        <v>82.73</v>
      </c>
    </row>
    <row r="2365" spans="1:8" x14ac:dyDescent="0.3">
      <c r="A2365" s="401"/>
      <c r="B2365" s="709">
        <v>38991</v>
      </c>
      <c r="C2365" s="710" t="s">
        <v>10741</v>
      </c>
      <c r="D2365" s="709" t="s">
        <v>136</v>
      </c>
      <c r="E2365" s="709" t="s">
        <v>8432</v>
      </c>
      <c r="F2365" s="716">
        <v>148.87</v>
      </c>
      <c r="G2365" s="716">
        <v>166.91</v>
      </c>
      <c r="H2365" s="225">
        <f t="shared" si="36"/>
        <v>148.87</v>
      </c>
    </row>
    <row r="2366" spans="1:8" x14ac:dyDescent="0.3">
      <c r="A2366" s="401"/>
      <c r="B2366" s="709">
        <v>38433</v>
      </c>
      <c r="C2366" s="710" t="s">
        <v>10742</v>
      </c>
      <c r="D2366" s="709" t="s">
        <v>136</v>
      </c>
      <c r="E2366" s="709" t="s">
        <v>8432</v>
      </c>
      <c r="F2366" s="716">
        <v>7.7</v>
      </c>
      <c r="G2366" s="716">
        <v>8.6300000000000008</v>
      </c>
      <c r="H2366" s="225">
        <f t="shared" si="36"/>
        <v>7.7</v>
      </c>
    </row>
    <row r="2367" spans="1:8" x14ac:dyDescent="0.3">
      <c r="A2367" s="401"/>
      <c r="B2367" s="709">
        <v>38440</v>
      </c>
      <c r="C2367" s="710" t="s">
        <v>10743</v>
      </c>
      <c r="D2367" s="709" t="s">
        <v>136</v>
      </c>
      <c r="E2367" s="709" t="s">
        <v>8432</v>
      </c>
      <c r="F2367" s="716">
        <v>324.45</v>
      </c>
      <c r="G2367" s="716">
        <v>363.76</v>
      </c>
      <c r="H2367" s="225">
        <f t="shared" si="36"/>
        <v>324.45</v>
      </c>
    </row>
    <row r="2368" spans="1:8" x14ac:dyDescent="0.3">
      <c r="A2368" s="401"/>
      <c r="B2368" s="709">
        <v>36359</v>
      </c>
      <c r="C2368" s="710" t="s">
        <v>10744</v>
      </c>
      <c r="D2368" s="709" t="s">
        <v>136</v>
      </c>
      <c r="E2368" s="709" t="s">
        <v>8432</v>
      </c>
      <c r="F2368" s="716">
        <v>2.02</v>
      </c>
      <c r="G2368" s="716">
        <v>2.27</v>
      </c>
      <c r="H2368" s="225">
        <f t="shared" si="36"/>
        <v>2.02</v>
      </c>
    </row>
    <row r="2369" spans="1:8" x14ac:dyDescent="0.3">
      <c r="A2369" s="401"/>
      <c r="B2369" s="709">
        <v>36360</v>
      </c>
      <c r="C2369" s="710" t="s">
        <v>10745</v>
      </c>
      <c r="D2369" s="709" t="s">
        <v>136</v>
      </c>
      <c r="E2369" s="709" t="s">
        <v>8432</v>
      </c>
      <c r="F2369" s="716">
        <v>2.72</v>
      </c>
      <c r="G2369" s="716">
        <v>3.05</v>
      </c>
      <c r="H2369" s="225">
        <f t="shared" si="36"/>
        <v>2.72</v>
      </c>
    </row>
    <row r="2370" spans="1:8" x14ac:dyDescent="0.3">
      <c r="A2370" s="401"/>
      <c r="B2370" s="709">
        <v>38434</v>
      </c>
      <c r="C2370" s="710" t="s">
        <v>10746</v>
      </c>
      <c r="D2370" s="709" t="s">
        <v>136</v>
      </c>
      <c r="E2370" s="709" t="s">
        <v>8432</v>
      </c>
      <c r="F2370" s="716">
        <v>4.1500000000000004</v>
      </c>
      <c r="G2370" s="716">
        <v>4.6500000000000004</v>
      </c>
      <c r="H2370" s="225">
        <f t="shared" si="36"/>
        <v>4.1500000000000004</v>
      </c>
    </row>
    <row r="2371" spans="1:8" x14ac:dyDescent="0.3">
      <c r="A2371" s="401"/>
      <c r="B2371" s="709">
        <v>38435</v>
      </c>
      <c r="C2371" s="710" t="s">
        <v>10747</v>
      </c>
      <c r="D2371" s="709" t="s">
        <v>136</v>
      </c>
      <c r="E2371" s="709" t="s">
        <v>8432</v>
      </c>
      <c r="F2371" s="716">
        <v>9.33</v>
      </c>
      <c r="G2371" s="716">
        <v>10.46</v>
      </c>
      <c r="H2371" s="225">
        <f t="shared" si="36"/>
        <v>9.33</v>
      </c>
    </row>
    <row r="2372" spans="1:8" x14ac:dyDescent="0.3">
      <c r="A2372" s="401"/>
      <c r="B2372" s="709">
        <v>38436</v>
      </c>
      <c r="C2372" s="710" t="s">
        <v>10748</v>
      </c>
      <c r="D2372" s="709" t="s">
        <v>136</v>
      </c>
      <c r="E2372" s="709" t="s">
        <v>8432</v>
      </c>
      <c r="F2372" s="716">
        <v>15.47</v>
      </c>
      <c r="G2372" s="716">
        <v>17.34</v>
      </c>
      <c r="H2372" s="225">
        <f t="shared" si="36"/>
        <v>15.47</v>
      </c>
    </row>
    <row r="2373" spans="1:8" x14ac:dyDescent="0.3">
      <c r="A2373" s="401"/>
      <c r="B2373" s="709">
        <v>38437</v>
      </c>
      <c r="C2373" s="710" t="s">
        <v>10749</v>
      </c>
      <c r="D2373" s="709" t="s">
        <v>136</v>
      </c>
      <c r="E2373" s="709" t="s">
        <v>8432</v>
      </c>
      <c r="F2373" s="716">
        <v>25.09</v>
      </c>
      <c r="G2373" s="716">
        <v>28.13</v>
      </c>
      <c r="H2373" s="225">
        <f t="shared" si="36"/>
        <v>25.09</v>
      </c>
    </row>
    <row r="2374" spans="1:8" x14ac:dyDescent="0.3">
      <c r="A2374" s="401"/>
      <c r="B2374" s="709">
        <v>38438</v>
      </c>
      <c r="C2374" s="710" t="s">
        <v>10750</v>
      </c>
      <c r="D2374" s="709" t="s">
        <v>136</v>
      </c>
      <c r="E2374" s="709" t="s">
        <v>8432</v>
      </c>
      <c r="F2374" s="716">
        <v>72.78</v>
      </c>
      <c r="G2374" s="716">
        <v>81.599999999999994</v>
      </c>
      <c r="H2374" s="225">
        <f t="shared" si="36"/>
        <v>72.78</v>
      </c>
    </row>
    <row r="2375" spans="1:8" x14ac:dyDescent="0.3">
      <c r="A2375" s="401"/>
      <c r="B2375" s="709">
        <v>38439</v>
      </c>
      <c r="C2375" s="710" t="s">
        <v>10751</v>
      </c>
      <c r="D2375" s="709" t="s">
        <v>136</v>
      </c>
      <c r="E2375" s="709" t="s">
        <v>8432</v>
      </c>
      <c r="F2375" s="716">
        <v>92.49</v>
      </c>
      <c r="G2375" s="716">
        <v>103.7</v>
      </c>
      <c r="H2375" s="225">
        <f t="shared" si="36"/>
        <v>92.49</v>
      </c>
    </row>
    <row r="2376" spans="1:8" x14ac:dyDescent="0.3">
      <c r="A2376" s="401"/>
      <c r="B2376" s="709">
        <v>10836</v>
      </c>
      <c r="C2376" s="710" t="s">
        <v>10752</v>
      </c>
      <c r="D2376" s="709" t="s">
        <v>136</v>
      </c>
      <c r="E2376" s="709" t="s">
        <v>8432</v>
      </c>
      <c r="F2376" s="716">
        <v>26.74</v>
      </c>
      <c r="G2376" s="716">
        <v>27</v>
      </c>
      <c r="H2376" s="225">
        <f t="shared" si="36"/>
        <v>26.74</v>
      </c>
    </row>
    <row r="2377" spans="1:8" x14ac:dyDescent="0.3">
      <c r="A2377" s="401"/>
      <c r="B2377" s="709">
        <v>3510</v>
      </c>
      <c r="C2377" s="710" t="s">
        <v>10753</v>
      </c>
      <c r="D2377" s="709" t="s">
        <v>136</v>
      </c>
      <c r="E2377" s="709" t="s">
        <v>8432</v>
      </c>
      <c r="F2377" s="716">
        <v>15.54</v>
      </c>
      <c r="G2377" s="716">
        <v>15.84</v>
      </c>
      <c r="H2377" s="225">
        <f t="shared" si="36"/>
        <v>15.54</v>
      </c>
    </row>
    <row r="2378" spans="1:8" x14ac:dyDescent="0.3">
      <c r="A2378" s="401"/>
      <c r="B2378" s="709">
        <v>10835</v>
      </c>
      <c r="C2378" s="710" t="s">
        <v>10754</v>
      </c>
      <c r="D2378" s="709" t="s">
        <v>136</v>
      </c>
      <c r="E2378" s="709" t="s">
        <v>8432</v>
      </c>
      <c r="F2378" s="716">
        <v>7.47</v>
      </c>
      <c r="G2378" s="716">
        <v>7.54</v>
      </c>
      <c r="H2378" s="225">
        <f t="shared" si="36"/>
        <v>7.47</v>
      </c>
    </row>
    <row r="2379" spans="1:8" x14ac:dyDescent="0.3">
      <c r="A2379" s="401"/>
      <c r="B2379" s="709">
        <v>3485</v>
      </c>
      <c r="C2379" s="710" t="s">
        <v>10755</v>
      </c>
      <c r="D2379" s="709" t="s">
        <v>136</v>
      </c>
      <c r="E2379" s="709" t="s">
        <v>8432</v>
      </c>
      <c r="F2379" s="716">
        <v>16.34</v>
      </c>
      <c r="G2379" s="716">
        <v>16.66</v>
      </c>
      <c r="H2379" s="225">
        <f t="shared" ref="H2379:H2442" si="37">IF(F2379&gt;0,F2379,G2379)</f>
        <v>16.34</v>
      </c>
    </row>
    <row r="2380" spans="1:8" x14ac:dyDescent="0.3">
      <c r="A2380" s="401"/>
      <c r="B2380" s="709">
        <v>3475</v>
      </c>
      <c r="C2380" s="710" t="s">
        <v>10756</v>
      </c>
      <c r="D2380" s="709" t="s">
        <v>136</v>
      </c>
      <c r="E2380" s="709" t="s">
        <v>8432</v>
      </c>
      <c r="F2380" s="716">
        <v>5.91</v>
      </c>
      <c r="G2380" s="716">
        <v>6.03</v>
      </c>
      <c r="H2380" s="225">
        <f t="shared" si="37"/>
        <v>5.91</v>
      </c>
    </row>
    <row r="2381" spans="1:8" x14ac:dyDescent="0.3">
      <c r="A2381" s="401"/>
      <c r="B2381" s="709">
        <v>3534</v>
      </c>
      <c r="C2381" s="710" t="s">
        <v>10757</v>
      </c>
      <c r="D2381" s="709" t="s">
        <v>136</v>
      </c>
      <c r="E2381" s="709" t="s">
        <v>8432</v>
      </c>
      <c r="F2381" s="716">
        <v>9.3699999999999992</v>
      </c>
      <c r="G2381" s="716">
        <v>9.5500000000000007</v>
      </c>
      <c r="H2381" s="225">
        <f t="shared" si="37"/>
        <v>9.3699999999999992</v>
      </c>
    </row>
    <row r="2382" spans="1:8" x14ac:dyDescent="0.3">
      <c r="A2382" s="401"/>
      <c r="B2382" s="709">
        <v>3482</v>
      </c>
      <c r="C2382" s="710" t="s">
        <v>10758</v>
      </c>
      <c r="D2382" s="709" t="s">
        <v>136</v>
      </c>
      <c r="E2382" s="709" t="s">
        <v>8432</v>
      </c>
      <c r="F2382" s="716">
        <v>6.7</v>
      </c>
      <c r="G2382" s="716">
        <v>6.83</v>
      </c>
      <c r="H2382" s="225">
        <f t="shared" si="37"/>
        <v>6.7</v>
      </c>
    </row>
    <row r="2383" spans="1:8" x14ac:dyDescent="0.3">
      <c r="A2383" s="401"/>
      <c r="B2383" s="709">
        <v>3543</v>
      </c>
      <c r="C2383" s="710" t="s">
        <v>10759</v>
      </c>
      <c r="D2383" s="709" t="s">
        <v>136</v>
      </c>
      <c r="E2383" s="709" t="s">
        <v>8432</v>
      </c>
      <c r="F2383" s="716">
        <v>2.17</v>
      </c>
      <c r="G2383" s="716">
        <v>2.2200000000000002</v>
      </c>
      <c r="H2383" s="225">
        <f t="shared" si="37"/>
        <v>2.17</v>
      </c>
    </row>
    <row r="2384" spans="1:8" x14ac:dyDescent="0.3">
      <c r="A2384" s="401"/>
      <c r="B2384" s="709">
        <v>3505</v>
      </c>
      <c r="C2384" s="710" t="s">
        <v>10760</v>
      </c>
      <c r="D2384" s="709" t="s">
        <v>136</v>
      </c>
      <c r="E2384" s="709" t="s">
        <v>8432</v>
      </c>
      <c r="F2384" s="716">
        <v>3.23</v>
      </c>
      <c r="G2384" s="716">
        <v>3.3</v>
      </c>
      <c r="H2384" s="225">
        <f t="shared" si="37"/>
        <v>3.23</v>
      </c>
    </row>
    <row r="2385" spans="1:8" x14ac:dyDescent="0.3">
      <c r="A2385" s="401"/>
      <c r="B2385" s="709">
        <v>3521</v>
      </c>
      <c r="C2385" s="710" t="s">
        <v>10761</v>
      </c>
      <c r="D2385" s="709" t="s">
        <v>136</v>
      </c>
      <c r="E2385" s="709" t="s">
        <v>8432</v>
      </c>
      <c r="F2385" s="716">
        <v>2.44</v>
      </c>
      <c r="G2385" s="716">
        <v>2.48</v>
      </c>
      <c r="H2385" s="225">
        <f t="shared" si="37"/>
        <v>2.44</v>
      </c>
    </row>
    <row r="2386" spans="1:8" x14ac:dyDescent="0.3">
      <c r="A2386" s="401"/>
      <c r="B2386" s="709">
        <v>3531</v>
      </c>
      <c r="C2386" s="710" t="s">
        <v>10762</v>
      </c>
      <c r="D2386" s="709" t="s">
        <v>136</v>
      </c>
      <c r="E2386" s="709" t="s">
        <v>8432</v>
      </c>
      <c r="F2386" s="716">
        <v>4.6399999999999997</v>
      </c>
      <c r="G2386" s="716">
        <v>4.7300000000000004</v>
      </c>
      <c r="H2386" s="225">
        <f t="shared" si="37"/>
        <v>4.6399999999999997</v>
      </c>
    </row>
    <row r="2387" spans="1:8" x14ac:dyDescent="0.3">
      <c r="A2387" s="401"/>
      <c r="B2387" s="709">
        <v>3522</v>
      </c>
      <c r="C2387" s="710" t="s">
        <v>10763</v>
      </c>
      <c r="D2387" s="709" t="s">
        <v>136</v>
      </c>
      <c r="E2387" s="709" t="s">
        <v>8432</v>
      </c>
      <c r="F2387" s="716">
        <v>2.99</v>
      </c>
      <c r="G2387" s="716">
        <v>3.05</v>
      </c>
      <c r="H2387" s="225">
        <f t="shared" si="37"/>
        <v>2.99</v>
      </c>
    </row>
    <row r="2388" spans="1:8" x14ac:dyDescent="0.3">
      <c r="A2388" s="401"/>
      <c r="B2388" s="709">
        <v>3527</v>
      </c>
      <c r="C2388" s="710" t="s">
        <v>10764</v>
      </c>
      <c r="D2388" s="709" t="s">
        <v>136</v>
      </c>
      <c r="E2388" s="709" t="s">
        <v>8432</v>
      </c>
      <c r="F2388" s="716">
        <v>15.74</v>
      </c>
      <c r="G2388" s="716">
        <v>16.05</v>
      </c>
      <c r="H2388" s="225">
        <f t="shared" si="37"/>
        <v>15.74</v>
      </c>
    </row>
    <row r="2389" spans="1:8" x14ac:dyDescent="0.3">
      <c r="A2389" s="401"/>
      <c r="B2389" s="709">
        <v>3530</v>
      </c>
      <c r="C2389" s="710" t="s">
        <v>10765</v>
      </c>
      <c r="D2389" s="709" t="s">
        <v>136</v>
      </c>
      <c r="E2389" s="709" t="s">
        <v>8432</v>
      </c>
      <c r="F2389" s="716">
        <v>254.97</v>
      </c>
      <c r="G2389" s="716">
        <v>259.95</v>
      </c>
      <c r="H2389" s="225">
        <f t="shared" si="37"/>
        <v>254.97</v>
      </c>
    </row>
    <row r="2390" spans="1:8" x14ac:dyDescent="0.3">
      <c r="A2390" s="401"/>
      <c r="B2390" s="709">
        <v>3542</v>
      </c>
      <c r="C2390" s="710" t="s">
        <v>10766</v>
      </c>
      <c r="D2390" s="709" t="s">
        <v>136</v>
      </c>
      <c r="E2390" s="709" t="s">
        <v>8432</v>
      </c>
      <c r="F2390" s="716">
        <v>0.73</v>
      </c>
      <c r="G2390" s="716">
        <v>0.74</v>
      </c>
      <c r="H2390" s="225">
        <f t="shared" si="37"/>
        <v>0.73</v>
      </c>
    </row>
    <row r="2391" spans="1:8" x14ac:dyDescent="0.3">
      <c r="A2391" s="401"/>
      <c r="B2391" s="709">
        <v>3529</v>
      </c>
      <c r="C2391" s="710" t="s">
        <v>10767</v>
      </c>
      <c r="D2391" s="709" t="s">
        <v>136</v>
      </c>
      <c r="E2391" s="709" t="s">
        <v>8432</v>
      </c>
      <c r="F2391" s="716">
        <v>0.9</v>
      </c>
      <c r="G2391" s="716">
        <v>0.91</v>
      </c>
      <c r="H2391" s="225">
        <f t="shared" si="37"/>
        <v>0.9</v>
      </c>
    </row>
    <row r="2392" spans="1:8" x14ac:dyDescent="0.3">
      <c r="A2392" s="401"/>
      <c r="B2392" s="709">
        <v>3536</v>
      </c>
      <c r="C2392" s="710" t="s">
        <v>10768</v>
      </c>
      <c r="D2392" s="709" t="s">
        <v>136</v>
      </c>
      <c r="E2392" s="709" t="s">
        <v>8432</v>
      </c>
      <c r="F2392" s="716">
        <v>2.99</v>
      </c>
      <c r="G2392" s="716">
        <v>3.05</v>
      </c>
      <c r="H2392" s="225">
        <f t="shared" si="37"/>
        <v>2.99</v>
      </c>
    </row>
    <row r="2393" spans="1:8" x14ac:dyDescent="0.3">
      <c r="A2393" s="401"/>
      <c r="B2393" s="709">
        <v>3535</v>
      </c>
      <c r="C2393" s="710" t="s">
        <v>10769</v>
      </c>
      <c r="D2393" s="709" t="s">
        <v>136</v>
      </c>
      <c r="E2393" s="709" t="s">
        <v>8432</v>
      </c>
      <c r="F2393" s="716">
        <v>7.28</v>
      </c>
      <c r="G2393" s="716">
        <v>7.42</v>
      </c>
      <c r="H2393" s="225">
        <f t="shared" si="37"/>
        <v>7.28</v>
      </c>
    </row>
    <row r="2394" spans="1:8" x14ac:dyDescent="0.3">
      <c r="A2394" s="401"/>
      <c r="B2394" s="709">
        <v>3540</v>
      </c>
      <c r="C2394" s="710" t="s">
        <v>10770</v>
      </c>
      <c r="D2394" s="709" t="s">
        <v>136</v>
      </c>
      <c r="E2394" s="709" t="s">
        <v>8432</v>
      </c>
      <c r="F2394" s="716">
        <v>6.16</v>
      </c>
      <c r="G2394" s="716">
        <v>6.28</v>
      </c>
      <c r="H2394" s="225">
        <f t="shared" si="37"/>
        <v>6.16</v>
      </c>
    </row>
    <row r="2395" spans="1:8" x14ac:dyDescent="0.3">
      <c r="A2395" s="401"/>
      <c r="B2395" s="709">
        <v>3539</v>
      </c>
      <c r="C2395" s="710" t="s">
        <v>10771</v>
      </c>
      <c r="D2395" s="709" t="s">
        <v>136</v>
      </c>
      <c r="E2395" s="709" t="s">
        <v>8432</v>
      </c>
      <c r="F2395" s="716">
        <v>35.69</v>
      </c>
      <c r="G2395" s="716">
        <v>36.380000000000003</v>
      </c>
      <c r="H2395" s="225">
        <f t="shared" si="37"/>
        <v>35.69</v>
      </c>
    </row>
    <row r="2396" spans="1:8" x14ac:dyDescent="0.3">
      <c r="A2396" s="401"/>
      <c r="B2396" s="709">
        <v>3513</v>
      </c>
      <c r="C2396" s="710" t="s">
        <v>10772</v>
      </c>
      <c r="D2396" s="709" t="s">
        <v>136</v>
      </c>
      <c r="E2396" s="709" t="s">
        <v>8432</v>
      </c>
      <c r="F2396" s="716">
        <v>125.83</v>
      </c>
      <c r="G2396" s="716">
        <v>128.29</v>
      </c>
      <c r="H2396" s="225">
        <f t="shared" si="37"/>
        <v>125.83</v>
      </c>
    </row>
    <row r="2397" spans="1:8" x14ac:dyDescent="0.3">
      <c r="A2397" s="401"/>
      <c r="B2397" s="709">
        <v>3516</v>
      </c>
      <c r="C2397" s="710" t="s">
        <v>10773</v>
      </c>
      <c r="D2397" s="709" t="s">
        <v>136</v>
      </c>
      <c r="E2397" s="709" t="s">
        <v>8432</v>
      </c>
      <c r="F2397" s="716">
        <v>3.08</v>
      </c>
      <c r="G2397" s="716">
        <v>3.11</v>
      </c>
      <c r="H2397" s="225">
        <f t="shared" si="37"/>
        <v>3.08</v>
      </c>
    </row>
    <row r="2398" spans="1:8" x14ac:dyDescent="0.3">
      <c r="A2398" s="401"/>
      <c r="B2398" s="709">
        <v>3517</v>
      </c>
      <c r="C2398" s="710" t="s">
        <v>10774</v>
      </c>
      <c r="D2398" s="709" t="s">
        <v>136</v>
      </c>
      <c r="E2398" s="709" t="s">
        <v>8432</v>
      </c>
      <c r="F2398" s="716">
        <v>2.78</v>
      </c>
      <c r="G2398" s="716">
        <v>2.81</v>
      </c>
      <c r="H2398" s="225">
        <f t="shared" si="37"/>
        <v>2.78</v>
      </c>
    </row>
    <row r="2399" spans="1:8" x14ac:dyDescent="0.3">
      <c r="A2399" s="401"/>
      <c r="B2399" s="709">
        <v>3515</v>
      </c>
      <c r="C2399" s="710" t="s">
        <v>10775</v>
      </c>
      <c r="D2399" s="709" t="s">
        <v>136</v>
      </c>
      <c r="E2399" s="709" t="s">
        <v>8432</v>
      </c>
      <c r="F2399" s="716">
        <v>8.0299999999999994</v>
      </c>
      <c r="G2399" s="716">
        <v>8.19</v>
      </c>
      <c r="H2399" s="225">
        <f t="shared" si="37"/>
        <v>8.0299999999999994</v>
      </c>
    </row>
    <row r="2400" spans="1:8" x14ac:dyDescent="0.3">
      <c r="A2400" s="401"/>
      <c r="B2400" s="709">
        <v>20147</v>
      </c>
      <c r="C2400" s="710" t="s">
        <v>10776</v>
      </c>
      <c r="D2400" s="709" t="s">
        <v>136</v>
      </c>
      <c r="E2400" s="709" t="s">
        <v>8432</v>
      </c>
      <c r="F2400" s="716">
        <v>6.6</v>
      </c>
      <c r="G2400" s="716">
        <v>6.73</v>
      </c>
      <c r="H2400" s="225">
        <f t="shared" si="37"/>
        <v>6.6</v>
      </c>
    </row>
    <row r="2401" spans="1:8" x14ac:dyDescent="0.3">
      <c r="A2401" s="401"/>
      <c r="B2401" s="709">
        <v>3524</v>
      </c>
      <c r="C2401" s="710" t="s">
        <v>10777</v>
      </c>
      <c r="D2401" s="709" t="s">
        <v>136</v>
      </c>
      <c r="E2401" s="709" t="s">
        <v>8432</v>
      </c>
      <c r="F2401" s="716">
        <v>9.94</v>
      </c>
      <c r="G2401" s="716">
        <v>10.130000000000001</v>
      </c>
      <c r="H2401" s="225">
        <f t="shared" si="37"/>
        <v>9.94</v>
      </c>
    </row>
    <row r="2402" spans="1:8" x14ac:dyDescent="0.3">
      <c r="A2402" s="401"/>
      <c r="B2402" s="709">
        <v>3532</v>
      </c>
      <c r="C2402" s="710" t="s">
        <v>10778</v>
      </c>
      <c r="D2402" s="709" t="s">
        <v>136</v>
      </c>
      <c r="E2402" s="709" t="s">
        <v>8432</v>
      </c>
      <c r="F2402" s="716">
        <v>22.96</v>
      </c>
      <c r="G2402" s="716">
        <v>23.41</v>
      </c>
      <c r="H2402" s="225">
        <f t="shared" si="37"/>
        <v>22.96</v>
      </c>
    </row>
    <row r="2403" spans="1:8" x14ac:dyDescent="0.3">
      <c r="A2403" s="401"/>
      <c r="B2403" s="709">
        <v>3528</v>
      </c>
      <c r="C2403" s="710" t="s">
        <v>10779</v>
      </c>
      <c r="D2403" s="709" t="s">
        <v>136</v>
      </c>
      <c r="E2403" s="709" t="s">
        <v>8432</v>
      </c>
      <c r="F2403" s="716">
        <v>12.04</v>
      </c>
      <c r="G2403" s="716">
        <v>12.16</v>
      </c>
      <c r="H2403" s="225">
        <f t="shared" si="37"/>
        <v>12.04</v>
      </c>
    </row>
    <row r="2404" spans="1:8" x14ac:dyDescent="0.3">
      <c r="A2404" s="401"/>
      <c r="B2404" s="709">
        <v>37952</v>
      </c>
      <c r="C2404" s="710" t="s">
        <v>10780</v>
      </c>
      <c r="D2404" s="709" t="s">
        <v>136</v>
      </c>
      <c r="E2404" s="709" t="s">
        <v>8432</v>
      </c>
      <c r="F2404" s="716">
        <v>86.3</v>
      </c>
      <c r="G2404" s="716">
        <v>87.13</v>
      </c>
      <c r="H2404" s="225">
        <f t="shared" si="37"/>
        <v>86.3</v>
      </c>
    </row>
    <row r="2405" spans="1:8" x14ac:dyDescent="0.3">
      <c r="A2405" s="401"/>
      <c r="B2405" s="709">
        <v>37951</v>
      </c>
      <c r="C2405" s="710" t="s">
        <v>10781</v>
      </c>
      <c r="D2405" s="709" t="s">
        <v>136</v>
      </c>
      <c r="E2405" s="709" t="s">
        <v>8432</v>
      </c>
      <c r="F2405" s="716">
        <v>3.25</v>
      </c>
      <c r="G2405" s="716">
        <v>3.28</v>
      </c>
      <c r="H2405" s="225">
        <f t="shared" si="37"/>
        <v>3.25</v>
      </c>
    </row>
    <row r="2406" spans="1:8" x14ac:dyDescent="0.3">
      <c r="A2406" s="401"/>
      <c r="B2406" s="709">
        <v>3518</v>
      </c>
      <c r="C2406" s="710" t="s">
        <v>10782</v>
      </c>
      <c r="D2406" s="709" t="s">
        <v>136</v>
      </c>
      <c r="E2406" s="709" t="s">
        <v>8432</v>
      </c>
      <c r="F2406" s="716">
        <v>4.99</v>
      </c>
      <c r="G2406" s="716">
        <v>5.04</v>
      </c>
      <c r="H2406" s="225">
        <f t="shared" si="37"/>
        <v>4.99</v>
      </c>
    </row>
    <row r="2407" spans="1:8" x14ac:dyDescent="0.3">
      <c r="A2407" s="401"/>
      <c r="B2407" s="709">
        <v>3519</v>
      </c>
      <c r="C2407" s="710" t="s">
        <v>10783</v>
      </c>
      <c r="D2407" s="709" t="s">
        <v>136</v>
      </c>
      <c r="E2407" s="709" t="s">
        <v>8432</v>
      </c>
      <c r="F2407" s="716">
        <v>10.44</v>
      </c>
      <c r="G2407" s="716">
        <v>10.54</v>
      </c>
      <c r="H2407" s="225">
        <f t="shared" si="37"/>
        <v>10.44</v>
      </c>
    </row>
    <row r="2408" spans="1:8" x14ac:dyDescent="0.3">
      <c r="A2408" s="401"/>
      <c r="B2408" s="709">
        <v>3520</v>
      </c>
      <c r="C2408" s="710" t="s">
        <v>10784</v>
      </c>
      <c r="D2408" s="709" t="s">
        <v>136</v>
      </c>
      <c r="E2408" s="709" t="s">
        <v>8432</v>
      </c>
      <c r="F2408" s="716">
        <v>10.94</v>
      </c>
      <c r="G2408" s="716">
        <v>11.05</v>
      </c>
      <c r="H2408" s="225">
        <f t="shared" si="37"/>
        <v>10.94</v>
      </c>
    </row>
    <row r="2409" spans="1:8" x14ac:dyDescent="0.3">
      <c r="A2409" s="401"/>
      <c r="B2409" s="709">
        <v>37950</v>
      </c>
      <c r="C2409" s="710" t="s">
        <v>10785</v>
      </c>
      <c r="D2409" s="709" t="s">
        <v>136</v>
      </c>
      <c r="E2409" s="709" t="s">
        <v>8432</v>
      </c>
      <c r="F2409" s="716">
        <v>79.45</v>
      </c>
      <c r="G2409" s="716">
        <v>80.209999999999994</v>
      </c>
      <c r="H2409" s="225">
        <f t="shared" si="37"/>
        <v>79.45</v>
      </c>
    </row>
    <row r="2410" spans="1:8" x14ac:dyDescent="0.3">
      <c r="A2410" s="401"/>
      <c r="B2410" s="709">
        <v>37949</v>
      </c>
      <c r="C2410" s="710" t="s">
        <v>10786</v>
      </c>
      <c r="D2410" s="709" t="s">
        <v>136</v>
      </c>
      <c r="E2410" s="709" t="s">
        <v>8432</v>
      </c>
      <c r="F2410" s="716">
        <v>2.93</v>
      </c>
      <c r="G2410" s="716">
        <v>2.96</v>
      </c>
      <c r="H2410" s="225">
        <f t="shared" si="37"/>
        <v>2.93</v>
      </c>
    </row>
    <row r="2411" spans="1:8" x14ac:dyDescent="0.3">
      <c r="A2411" s="401"/>
      <c r="B2411" s="709">
        <v>3526</v>
      </c>
      <c r="C2411" s="710" t="s">
        <v>10787</v>
      </c>
      <c r="D2411" s="709" t="s">
        <v>136</v>
      </c>
      <c r="E2411" s="709" t="s">
        <v>8432</v>
      </c>
      <c r="F2411" s="716">
        <v>4.03</v>
      </c>
      <c r="G2411" s="716">
        <v>4.07</v>
      </c>
      <c r="H2411" s="225">
        <f t="shared" si="37"/>
        <v>4.03</v>
      </c>
    </row>
    <row r="2412" spans="1:8" x14ac:dyDescent="0.3">
      <c r="A2412" s="401"/>
      <c r="B2412" s="709">
        <v>3509</v>
      </c>
      <c r="C2412" s="710" t="s">
        <v>10788</v>
      </c>
      <c r="D2412" s="709" t="s">
        <v>136</v>
      </c>
      <c r="E2412" s="709" t="s">
        <v>8432</v>
      </c>
      <c r="F2412" s="716">
        <v>9.16</v>
      </c>
      <c r="G2412" s="716">
        <v>9.25</v>
      </c>
      <c r="H2412" s="225">
        <f t="shared" si="37"/>
        <v>9.16</v>
      </c>
    </row>
    <row r="2413" spans="1:8" x14ac:dyDescent="0.3">
      <c r="A2413" s="401"/>
      <c r="B2413" s="709">
        <v>20151</v>
      </c>
      <c r="C2413" s="710" t="s">
        <v>10789</v>
      </c>
      <c r="D2413" s="709" t="s">
        <v>136</v>
      </c>
      <c r="E2413" s="709" t="s">
        <v>8432</v>
      </c>
      <c r="F2413" s="716">
        <v>26.91</v>
      </c>
      <c r="G2413" s="716">
        <v>27.17</v>
      </c>
      <c r="H2413" s="225">
        <f t="shared" si="37"/>
        <v>26.91</v>
      </c>
    </row>
    <row r="2414" spans="1:8" x14ac:dyDescent="0.3">
      <c r="A2414" s="401"/>
      <c r="B2414" s="709">
        <v>20152</v>
      </c>
      <c r="C2414" s="710" t="s">
        <v>10790</v>
      </c>
      <c r="D2414" s="709" t="s">
        <v>136</v>
      </c>
      <c r="E2414" s="709" t="s">
        <v>8432</v>
      </c>
      <c r="F2414" s="716">
        <v>97.38</v>
      </c>
      <c r="G2414" s="716">
        <v>98.32</v>
      </c>
      <c r="H2414" s="225">
        <f t="shared" si="37"/>
        <v>97.38</v>
      </c>
    </row>
    <row r="2415" spans="1:8" x14ac:dyDescent="0.3">
      <c r="A2415" s="401"/>
      <c r="B2415" s="709">
        <v>20148</v>
      </c>
      <c r="C2415" s="710" t="s">
        <v>10791</v>
      </c>
      <c r="D2415" s="709" t="s">
        <v>136</v>
      </c>
      <c r="E2415" s="709" t="s">
        <v>8432</v>
      </c>
      <c r="F2415" s="716">
        <v>5.29</v>
      </c>
      <c r="G2415" s="716">
        <v>5.34</v>
      </c>
      <c r="H2415" s="225">
        <f t="shared" si="37"/>
        <v>5.29</v>
      </c>
    </row>
    <row r="2416" spans="1:8" x14ac:dyDescent="0.3">
      <c r="A2416" s="401"/>
      <c r="B2416" s="709">
        <v>20149</v>
      </c>
      <c r="C2416" s="710" t="s">
        <v>10792</v>
      </c>
      <c r="D2416" s="709" t="s">
        <v>136</v>
      </c>
      <c r="E2416" s="709" t="s">
        <v>8432</v>
      </c>
      <c r="F2416" s="716">
        <v>8.84</v>
      </c>
      <c r="G2416" s="716">
        <v>8.92</v>
      </c>
      <c r="H2416" s="225">
        <f t="shared" si="37"/>
        <v>8.84</v>
      </c>
    </row>
    <row r="2417" spans="1:8" x14ac:dyDescent="0.3">
      <c r="A2417" s="401"/>
      <c r="B2417" s="709">
        <v>20150</v>
      </c>
      <c r="C2417" s="710" t="s">
        <v>10793</v>
      </c>
      <c r="D2417" s="709" t="s">
        <v>136</v>
      </c>
      <c r="E2417" s="709" t="s">
        <v>8432</v>
      </c>
      <c r="F2417" s="716">
        <v>22.77</v>
      </c>
      <c r="G2417" s="716">
        <v>23</v>
      </c>
      <c r="H2417" s="225">
        <f t="shared" si="37"/>
        <v>22.77</v>
      </c>
    </row>
    <row r="2418" spans="1:8" x14ac:dyDescent="0.3">
      <c r="A2418" s="401"/>
      <c r="B2418" s="709">
        <v>20157</v>
      </c>
      <c r="C2418" s="710" t="s">
        <v>10794</v>
      </c>
      <c r="D2418" s="709" t="s">
        <v>136</v>
      </c>
      <c r="E2418" s="709" t="s">
        <v>8432</v>
      </c>
      <c r="F2418" s="716">
        <v>25.56</v>
      </c>
      <c r="G2418" s="716">
        <v>25.81</v>
      </c>
      <c r="H2418" s="225">
        <f t="shared" si="37"/>
        <v>25.56</v>
      </c>
    </row>
    <row r="2419" spans="1:8" x14ac:dyDescent="0.3">
      <c r="A2419" s="401"/>
      <c r="B2419" s="709">
        <v>20158</v>
      </c>
      <c r="C2419" s="710" t="s">
        <v>10795</v>
      </c>
      <c r="D2419" s="709" t="s">
        <v>136</v>
      </c>
      <c r="E2419" s="709" t="s">
        <v>8432</v>
      </c>
      <c r="F2419" s="716">
        <v>101.51</v>
      </c>
      <c r="G2419" s="716">
        <v>102.49</v>
      </c>
      <c r="H2419" s="225">
        <f t="shared" si="37"/>
        <v>101.51</v>
      </c>
    </row>
    <row r="2420" spans="1:8" x14ac:dyDescent="0.3">
      <c r="A2420" s="401"/>
      <c r="B2420" s="709">
        <v>20154</v>
      </c>
      <c r="C2420" s="710" t="s">
        <v>10796</v>
      </c>
      <c r="D2420" s="709" t="s">
        <v>136</v>
      </c>
      <c r="E2420" s="709" t="s">
        <v>8432</v>
      </c>
      <c r="F2420" s="716">
        <v>5.18</v>
      </c>
      <c r="G2420" s="716">
        <v>5.23</v>
      </c>
      <c r="H2420" s="225">
        <f t="shared" si="37"/>
        <v>5.18</v>
      </c>
    </row>
    <row r="2421" spans="1:8" x14ac:dyDescent="0.3">
      <c r="A2421" s="401"/>
      <c r="B2421" s="709">
        <v>20155</v>
      </c>
      <c r="C2421" s="710" t="s">
        <v>10797</v>
      </c>
      <c r="D2421" s="709" t="s">
        <v>136</v>
      </c>
      <c r="E2421" s="709" t="s">
        <v>8432</v>
      </c>
      <c r="F2421" s="716">
        <v>7.89</v>
      </c>
      <c r="G2421" s="716">
        <v>7.97</v>
      </c>
      <c r="H2421" s="225">
        <f t="shared" si="37"/>
        <v>7.89</v>
      </c>
    </row>
    <row r="2422" spans="1:8" x14ac:dyDescent="0.3">
      <c r="A2422" s="401"/>
      <c r="B2422" s="709">
        <v>20156</v>
      </c>
      <c r="C2422" s="710" t="s">
        <v>10798</v>
      </c>
      <c r="D2422" s="709" t="s">
        <v>136</v>
      </c>
      <c r="E2422" s="709" t="s">
        <v>8432</v>
      </c>
      <c r="F2422" s="716">
        <v>22.17</v>
      </c>
      <c r="G2422" s="716">
        <v>22.39</v>
      </c>
      <c r="H2422" s="225">
        <f t="shared" si="37"/>
        <v>22.17</v>
      </c>
    </row>
    <row r="2423" spans="1:8" x14ac:dyDescent="0.3">
      <c r="A2423" s="401"/>
      <c r="B2423" s="709">
        <v>3499</v>
      </c>
      <c r="C2423" s="710" t="s">
        <v>10799</v>
      </c>
      <c r="D2423" s="709" t="s">
        <v>136</v>
      </c>
      <c r="E2423" s="709" t="s">
        <v>8432</v>
      </c>
      <c r="F2423" s="716">
        <v>1.4</v>
      </c>
      <c r="G2423" s="716">
        <v>1.42</v>
      </c>
      <c r="H2423" s="225">
        <f t="shared" si="37"/>
        <v>1.4</v>
      </c>
    </row>
    <row r="2424" spans="1:8" x14ac:dyDescent="0.3">
      <c r="A2424" s="401"/>
      <c r="B2424" s="709">
        <v>3500</v>
      </c>
      <c r="C2424" s="710" t="s">
        <v>10800</v>
      </c>
      <c r="D2424" s="709" t="s">
        <v>136</v>
      </c>
      <c r="E2424" s="709" t="s">
        <v>8432</v>
      </c>
      <c r="F2424" s="716">
        <v>1.85</v>
      </c>
      <c r="G2424" s="716">
        <v>1.89</v>
      </c>
      <c r="H2424" s="225">
        <f t="shared" si="37"/>
        <v>1.85</v>
      </c>
    </row>
    <row r="2425" spans="1:8" x14ac:dyDescent="0.3">
      <c r="A2425" s="401"/>
      <c r="B2425" s="709">
        <v>3501</v>
      </c>
      <c r="C2425" s="710" t="s">
        <v>10801</v>
      </c>
      <c r="D2425" s="709" t="s">
        <v>136</v>
      </c>
      <c r="E2425" s="709" t="s">
        <v>8432</v>
      </c>
      <c r="F2425" s="716">
        <v>5.1100000000000003</v>
      </c>
      <c r="G2425" s="716">
        <v>5.21</v>
      </c>
      <c r="H2425" s="225">
        <f t="shared" si="37"/>
        <v>5.1100000000000003</v>
      </c>
    </row>
    <row r="2426" spans="1:8" x14ac:dyDescent="0.3">
      <c r="A2426" s="401"/>
      <c r="B2426" s="709">
        <v>3502</v>
      </c>
      <c r="C2426" s="710" t="s">
        <v>10802</v>
      </c>
      <c r="D2426" s="709" t="s">
        <v>136</v>
      </c>
      <c r="E2426" s="709" t="s">
        <v>8432</v>
      </c>
      <c r="F2426" s="716">
        <v>7.35</v>
      </c>
      <c r="G2426" s="716">
        <v>7.49</v>
      </c>
      <c r="H2426" s="225">
        <f t="shared" si="37"/>
        <v>7.35</v>
      </c>
    </row>
    <row r="2427" spans="1:8" x14ac:dyDescent="0.3">
      <c r="A2427" s="401"/>
      <c r="B2427" s="709">
        <v>3503</v>
      </c>
      <c r="C2427" s="710" t="s">
        <v>10803</v>
      </c>
      <c r="D2427" s="709" t="s">
        <v>136</v>
      </c>
      <c r="E2427" s="709" t="s">
        <v>8432</v>
      </c>
      <c r="F2427" s="716">
        <v>9.23</v>
      </c>
      <c r="G2427" s="716">
        <v>9.41</v>
      </c>
      <c r="H2427" s="225">
        <f t="shared" si="37"/>
        <v>9.23</v>
      </c>
    </row>
    <row r="2428" spans="1:8" x14ac:dyDescent="0.3">
      <c r="A2428" s="401"/>
      <c r="B2428" s="709">
        <v>3477</v>
      </c>
      <c r="C2428" s="710" t="s">
        <v>10804</v>
      </c>
      <c r="D2428" s="709" t="s">
        <v>136</v>
      </c>
      <c r="E2428" s="709" t="s">
        <v>8432</v>
      </c>
      <c r="F2428" s="716">
        <v>33.53</v>
      </c>
      <c r="G2428" s="716">
        <v>34.19</v>
      </c>
      <c r="H2428" s="225">
        <f t="shared" si="37"/>
        <v>33.53</v>
      </c>
    </row>
    <row r="2429" spans="1:8" x14ac:dyDescent="0.3">
      <c r="A2429" s="401"/>
      <c r="B2429" s="709">
        <v>3478</v>
      </c>
      <c r="C2429" s="710" t="s">
        <v>10805</v>
      </c>
      <c r="D2429" s="709" t="s">
        <v>136</v>
      </c>
      <c r="E2429" s="709" t="s">
        <v>8432</v>
      </c>
      <c r="F2429" s="716">
        <v>80.400000000000006</v>
      </c>
      <c r="G2429" s="716">
        <v>81.97</v>
      </c>
      <c r="H2429" s="225">
        <f t="shared" si="37"/>
        <v>80.400000000000006</v>
      </c>
    </row>
    <row r="2430" spans="1:8" x14ac:dyDescent="0.3">
      <c r="A2430" s="401"/>
      <c r="B2430" s="709">
        <v>3525</v>
      </c>
      <c r="C2430" s="710" t="s">
        <v>10806</v>
      </c>
      <c r="D2430" s="709" t="s">
        <v>136</v>
      </c>
      <c r="E2430" s="709" t="s">
        <v>8432</v>
      </c>
      <c r="F2430" s="716">
        <v>99.23</v>
      </c>
      <c r="G2430" s="716">
        <v>101.16</v>
      </c>
      <c r="H2430" s="225">
        <f t="shared" si="37"/>
        <v>99.23</v>
      </c>
    </row>
    <row r="2431" spans="1:8" x14ac:dyDescent="0.3">
      <c r="A2431" s="401"/>
      <c r="B2431" s="709">
        <v>3511</v>
      </c>
      <c r="C2431" s="710" t="s">
        <v>10807</v>
      </c>
      <c r="D2431" s="709" t="s">
        <v>136</v>
      </c>
      <c r="E2431" s="709" t="s">
        <v>8432</v>
      </c>
      <c r="F2431" s="716">
        <v>105.25</v>
      </c>
      <c r="G2431" s="716">
        <v>107.3</v>
      </c>
      <c r="H2431" s="225">
        <f t="shared" si="37"/>
        <v>105.25</v>
      </c>
    </row>
    <row r="2432" spans="1:8" x14ac:dyDescent="0.3">
      <c r="A2432" s="401"/>
      <c r="B2432" s="709">
        <v>38913</v>
      </c>
      <c r="C2432" s="710" t="s">
        <v>10808</v>
      </c>
      <c r="D2432" s="709" t="s">
        <v>136</v>
      </c>
      <c r="E2432" s="709" t="s">
        <v>8432</v>
      </c>
      <c r="F2432" s="716">
        <v>17.62</v>
      </c>
      <c r="G2432" s="716">
        <v>11.01</v>
      </c>
      <c r="H2432" s="225">
        <f t="shared" si="37"/>
        <v>17.62</v>
      </c>
    </row>
    <row r="2433" spans="1:8" x14ac:dyDescent="0.3">
      <c r="A2433" s="401"/>
      <c r="B2433" s="709">
        <v>38914</v>
      </c>
      <c r="C2433" s="710" t="s">
        <v>10809</v>
      </c>
      <c r="D2433" s="709" t="s">
        <v>136</v>
      </c>
      <c r="E2433" s="709" t="s">
        <v>8432</v>
      </c>
      <c r="F2433" s="716">
        <v>21.63</v>
      </c>
      <c r="G2433" s="716">
        <v>13.52</v>
      </c>
      <c r="H2433" s="225">
        <f t="shared" si="37"/>
        <v>21.63</v>
      </c>
    </row>
    <row r="2434" spans="1:8" x14ac:dyDescent="0.3">
      <c r="A2434" s="401"/>
      <c r="B2434" s="709">
        <v>38915</v>
      </c>
      <c r="C2434" s="710" t="s">
        <v>10810</v>
      </c>
      <c r="D2434" s="709" t="s">
        <v>136</v>
      </c>
      <c r="E2434" s="709" t="s">
        <v>8432</v>
      </c>
      <c r="F2434" s="716">
        <v>41.69</v>
      </c>
      <c r="G2434" s="716">
        <v>26.06</v>
      </c>
      <c r="H2434" s="225">
        <f t="shared" si="37"/>
        <v>41.69</v>
      </c>
    </row>
    <row r="2435" spans="1:8" x14ac:dyDescent="0.3">
      <c r="A2435" s="401"/>
      <c r="B2435" s="709">
        <v>38916</v>
      </c>
      <c r="C2435" s="710" t="s">
        <v>10811</v>
      </c>
      <c r="D2435" s="709" t="s">
        <v>136</v>
      </c>
      <c r="E2435" s="709" t="s">
        <v>8432</v>
      </c>
      <c r="F2435" s="716">
        <v>57.7</v>
      </c>
      <c r="G2435" s="716">
        <v>36.06</v>
      </c>
      <c r="H2435" s="225">
        <f t="shared" si="37"/>
        <v>57.7</v>
      </c>
    </row>
    <row r="2436" spans="1:8" x14ac:dyDescent="0.3">
      <c r="A2436" s="401"/>
      <c r="B2436" s="709">
        <v>39300</v>
      </c>
      <c r="C2436" s="710" t="s">
        <v>10812</v>
      </c>
      <c r="D2436" s="709" t="s">
        <v>136</v>
      </c>
      <c r="E2436" s="709" t="s">
        <v>8432</v>
      </c>
      <c r="F2436" s="716">
        <v>15.73</v>
      </c>
      <c r="G2436" s="716">
        <v>9.83</v>
      </c>
      <c r="H2436" s="225">
        <f t="shared" si="37"/>
        <v>15.73</v>
      </c>
    </row>
    <row r="2437" spans="1:8" x14ac:dyDescent="0.3">
      <c r="A2437" s="401"/>
      <c r="B2437" s="709">
        <v>39301</v>
      </c>
      <c r="C2437" s="710" t="s">
        <v>10813</v>
      </c>
      <c r="D2437" s="709" t="s">
        <v>136</v>
      </c>
      <c r="E2437" s="709" t="s">
        <v>8432</v>
      </c>
      <c r="F2437" s="716">
        <v>21.07</v>
      </c>
      <c r="G2437" s="716">
        <v>13.16</v>
      </c>
      <c r="H2437" s="225">
        <f t="shared" si="37"/>
        <v>21.07</v>
      </c>
    </row>
    <row r="2438" spans="1:8" x14ac:dyDescent="0.3">
      <c r="A2438" s="401"/>
      <c r="B2438" s="709">
        <v>39302</v>
      </c>
      <c r="C2438" s="710" t="s">
        <v>10814</v>
      </c>
      <c r="D2438" s="709" t="s">
        <v>136</v>
      </c>
      <c r="E2438" s="709" t="s">
        <v>8432</v>
      </c>
      <c r="F2438" s="716">
        <v>38.29</v>
      </c>
      <c r="G2438" s="716">
        <v>23.93</v>
      </c>
      <c r="H2438" s="225">
        <f t="shared" si="37"/>
        <v>38.29</v>
      </c>
    </row>
    <row r="2439" spans="1:8" x14ac:dyDescent="0.3">
      <c r="A2439" s="401"/>
      <c r="B2439" s="709">
        <v>38941</v>
      </c>
      <c r="C2439" s="710" t="s">
        <v>10815</v>
      </c>
      <c r="D2439" s="709" t="s">
        <v>136</v>
      </c>
      <c r="E2439" s="709" t="s">
        <v>8432</v>
      </c>
      <c r="F2439" s="716">
        <v>28.43</v>
      </c>
      <c r="G2439" s="716">
        <v>17.77</v>
      </c>
      <c r="H2439" s="225">
        <f t="shared" si="37"/>
        <v>28.43</v>
      </c>
    </row>
    <row r="2440" spans="1:8" x14ac:dyDescent="0.3">
      <c r="A2440" s="401"/>
      <c r="B2440" s="709">
        <v>38923</v>
      </c>
      <c r="C2440" s="710" t="s">
        <v>10816</v>
      </c>
      <c r="D2440" s="709" t="s">
        <v>136</v>
      </c>
      <c r="E2440" s="709" t="s">
        <v>8432</v>
      </c>
      <c r="F2440" s="716">
        <v>18.86</v>
      </c>
      <c r="G2440" s="716">
        <v>11.78</v>
      </c>
      <c r="H2440" s="225">
        <f t="shared" si="37"/>
        <v>18.86</v>
      </c>
    </row>
    <row r="2441" spans="1:8" x14ac:dyDescent="0.3">
      <c r="A2441" s="401"/>
      <c r="B2441" s="709">
        <v>38925</v>
      </c>
      <c r="C2441" s="710" t="s">
        <v>10817</v>
      </c>
      <c r="D2441" s="709" t="s">
        <v>136</v>
      </c>
      <c r="E2441" s="709" t="s">
        <v>8432</v>
      </c>
      <c r="F2441" s="716">
        <v>21.88</v>
      </c>
      <c r="G2441" s="716">
        <v>13.67</v>
      </c>
      <c r="H2441" s="225">
        <f t="shared" si="37"/>
        <v>21.88</v>
      </c>
    </row>
    <row r="2442" spans="1:8" x14ac:dyDescent="0.3">
      <c r="A2442" s="401"/>
      <c r="B2442" s="709">
        <v>38926</v>
      </c>
      <c r="C2442" s="710" t="s">
        <v>10818</v>
      </c>
      <c r="D2442" s="709" t="s">
        <v>136</v>
      </c>
      <c r="E2442" s="709" t="s">
        <v>8432</v>
      </c>
      <c r="F2442" s="716">
        <v>25.95</v>
      </c>
      <c r="G2442" s="716">
        <v>16.22</v>
      </c>
      <c r="H2442" s="225">
        <f t="shared" si="37"/>
        <v>25.95</v>
      </c>
    </row>
    <row r="2443" spans="1:8" x14ac:dyDescent="0.3">
      <c r="A2443" s="401"/>
      <c r="B2443" s="709">
        <v>38927</v>
      </c>
      <c r="C2443" s="710" t="s">
        <v>10819</v>
      </c>
      <c r="D2443" s="709" t="s">
        <v>136</v>
      </c>
      <c r="E2443" s="709" t="s">
        <v>8432</v>
      </c>
      <c r="F2443" s="716">
        <v>32.770000000000003</v>
      </c>
      <c r="G2443" s="716">
        <v>20.48</v>
      </c>
      <c r="H2443" s="225">
        <f t="shared" ref="H2443:H2506" si="38">IF(F2443&gt;0,F2443,G2443)</f>
        <v>32.770000000000003</v>
      </c>
    </row>
    <row r="2444" spans="1:8" x14ac:dyDescent="0.3">
      <c r="A2444" s="401"/>
      <c r="B2444" s="709">
        <v>39304</v>
      </c>
      <c r="C2444" s="710" t="s">
        <v>10820</v>
      </c>
      <c r="D2444" s="709" t="s">
        <v>136</v>
      </c>
      <c r="E2444" s="709" t="s">
        <v>8432</v>
      </c>
      <c r="F2444" s="716">
        <v>18.62</v>
      </c>
      <c r="G2444" s="716">
        <v>11.63</v>
      </c>
      <c r="H2444" s="225">
        <f t="shared" si="38"/>
        <v>18.62</v>
      </c>
    </row>
    <row r="2445" spans="1:8" x14ac:dyDescent="0.3">
      <c r="A2445" s="401"/>
      <c r="B2445" s="709">
        <v>39305</v>
      </c>
      <c r="C2445" s="710" t="s">
        <v>10821</v>
      </c>
      <c r="D2445" s="709" t="s">
        <v>136</v>
      </c>
      <c r="E2445" s="709" t="s">
        <v>8432</v>
      </c>
      <c r="F2445" s="716">
        <v>20.420000000000002</v>
      </c>
      <c r="G2445" s="716">
        <v>12.76</v>
      </c>
      <c r="H2445" s="225">
        <f t="shared" si="38"/>
        <v>20.420000000000002</v>
      </c>
    </row>
    <row r="2446" spans="1:8" x14ac:dyDescent="0.3">
      <c r="A2446" s="401"/>
      <c r="B2446" s="709">
        <v>39306</v>
      </c>
      <c r="C2446" s="710" t="s">
        <v>10822</v>
      </c>
      <c r="D2446" s="709" t="s">
        <v>136</v>
      </c>
      <c r="E2446" s="709" t="s">
        <v>8432</v>
      </c>
      <c r="F2446" s="716">
        <v>27.44</v>
      </c>
      <c r="G2446" s="716">
        <v>17.149999999999999</v>
      </c>
      <c r="H2446" s="225">
        <f t="shared" si="38"/>
        <v>27.44</v>
      </c>
    </row>
    <row r="2447" spans="1:8" x14ac:dyDescent="0.3">
      <c r="A2447" s="401"/>
      <c r="B2447" s="709">
        <v>38928</v>
      </c>
      <c r="C2447" s="710" t="s">
        <v>10823</v>
      </c>
      <c r="D2447" s="709" t="s">
        <v>136</v>
      </c>
      <c r="E2447" s="709" t="s">
        <v>8432</v>
      </c>
      <c r="F2447" s="716">
        <v>36.270000000000003</v>
      </c>
      <c r="G2447" s="716">
        <v>22.67</v>
      </c>
      <c r="H2447" s="225">
        <f t="shared" si="38"/>
        <v>36.270000000000003</v>
      </c>
    </row>
    <row r="2448" spans="1:8" x14ac:dyDescent="0.3">
      <c r="A2448" s="401"/>
      <c r="B2448" s="709">
        <v>38917</v>
      </c>
      <c r="C2448" s="710" t="s">
        <v>10824</v>
      </c>
      <c r="D2448" s="709" t="s">
        <v>136</v>
      </c>
      <c r="E2448" s="709" t="s">
        <v>8432</v>
      </c>
      <c r="F2448" s="716">
        <v>20.27</v>
      </c>
      <c r="G2448" s="716">
        <v>12.67</v>
      </c>
      <c r="H2448" s="225">
        <f t="shared" si="38"/>
        <v>20.27</v>
      </c>
    </row>
    <row r="2449" spans="1:8" x14ac:dyDescent="0.3">
      <c r="A2449" s="401"/>
      <c r="B2449" s="709">
        <v>38919</v>
      </c>
      <c r="C2449" s="710" t="s">
        <v>10825</v>
      </c>
      <c r="D2449" s="709" t="s">
        <v>136</v>
      </c>
      <c r="E2449" s="709" t="s">
        <v>8432</v>
      </c>
      <c r="F2449" s="716">
        <v>23.8</v>
      </c>
      <c r="G2449" s="716">
        <v>14.87</v>
      </c>
      <c r="H2449" s="225">
        <f t="shared" si="38"/>
        <v>23.8</v>
      </c>
    </row>
    <row r="2450" spans="1:8" x14ac:dyDescent="0.3">
      <c r="A2450" s="401"/>
      <c r="B2450" s="709">
        <v>38922</v>
      </c>
      <c r="C2450" s="710" t="s">
        <v>10826</v>
      </c>
      <c r="D2450" s="709" t="s">
        <v>136</v>
      </c>
      <c r="E2450" s="709" t="s">
        <v>8432</v>
      </c>
      <c r="F2450" s="716">
        <v>31.93</v>
      </c>
      <c r="G2450" s="716">
        <v>19.95</v>
      </c>
      <c r="H2450" s="225">
        <f t="shared" si="38"/>
        <v>31.93</v>
      </c>
    </row>
    <row r="2451" spans="1:8" x14ac:dyDescent="0.3">
      <c r="A2451" s="401"/>
      <c r="B2451" s="709">
        <v>45198</v>
      </c>
      <c r="C2451" s="710" t="s">
        <v>10827</v>
      </c>
      <c r="D2451" s="709" t="s">
        <v>136</v>
      </c>
      <c r="E2451" s="709" t="s">
        <v>8432</v>
      </c>
      <c r="F2451" s="716">
        <v>53.18</v>
      </c>
      <c r="G2451" s="716">
        <v>52.29</v>
      </c>
      <c r="H2451" s="225">
        <f t="shared" si="38"/>
        <v>53.18</v>
      </c>
    </row>
    <row r="2452" spans="1:8" x14ac:dyDescent="0.3">
      <c r="A2452" s="401"/>
      <c r="B2452" s="709">
        <v>45196</v>
      </c>
      <c r="C2452" s="710" t="s">
        <v>10828</v>
      </c>
      <c r="D2452" s="709" t="s">
        <v>136</v>
      </c>
      <c r="E2452" s="709" t="s">
        <v>8432</v>
      </c>
      <c r="F2452" s="716">
        <v>109.64</v>
      </c>
      <c r="G2452" s="716">
        <v>107.83</v>
      </c>
      <c r="H2452" s="225">
        <f t="shared" si="38"/>
        <v>109.64</v>
      </c>
    </row>
    <row r="2453" spans="1:8" x14ac:dyDescent="0.3">
      <c r="A2453" s="401"/>
      <c r="B2453" s="709">
        <v>12032</v>
      </c>
      <c r="C2453" s="710" t="s">
        <v>10829</v>
      </c>
      <c r="D2453" s="709" t="s">
        <v>8843</v>
      </c>
      <c r="E2453" s="709" t="s">
        <v>8432</v>
      </c>
      <c r="F2453" s="716">
        <v>66.25</v>
      </c>
      <c r="G2453" s="716">
        <v>54.8</v>
      </c>
      <c r="H2453" s="225">
        <f t="shared" si="38"/>
        <v>66.25</v>
      </c>
    </row>
    <row r="2454" spans="1:8" x14ac:dyDescent="0.3">
      <c r="A2454" s="401"/>
      <c r="B2454" s="709">
        <v>12030</v>
      </c>
      <c r="C2454" s="710" t="s">
        <v>10830</v>
      </c>
      <c r="D2454" s="709" t="s">
        <v>8843</v>
      </c>
      <c r="E2454" s="709" t="s">
        <v>8432</v>
      </c>
      <c r="F2454" s="716">
        <v>62.25</v>
      </c>
      <c r="G2454" s="716">
        <v>51.49</v>
      </c>
      <c r="H2454" s="225">
        <f t="shared" si="38"/>
        <v>62.25</v>
      </c>
    </row>
    <row r="2455" spans="1:8" x14ac:dyDescent="0.3">
      <c r="A2455" s="401"/>
      <c r="B2455" s="709">
        <v>45207</v>
      </c>
      <c r="C2455" s="710" t="s">
        <v>10831</v>
      </c>
      <c r="D2455" s="709" t="s">
        <v>136</v>
      </c>
      <c r="E2455" s="709" t="s">
        <v>8432</v>
      </c>
      <c r="F2455" s="716">
        <v>350.23</v>
      </c>
      <c r="G2455" s="716">
        <v>344.43</v>
      </c>
      <c r="H2455" s="225">
        <f t="shared" si="38"/>
        <v>350.23</v>
      </c>
    </row>
    <row r="2456" spans="1:8" x14ac:dyDescent="0.3">
      <c r="A2456" s="401"/>
      <c r="B2456" s="709">
        <v>14157</v>
      </c>
      <c r="C2456" s="710" t="s">
        <v>10832</v>
      </c>
      <c r="D2456" s="709" t="s">
        <v>136</v>
      </c>
      <c r="E2456" s="709" t="s">
        <v>8432</v>
      </c>
      <c r="F2456" s="716">
        <v>1.28</v>
      </c>
      <c r="G2456" s="716">
        <v>1.47</v>
      </c>
      <c r="H2456" s="225">
        <f t="shared" si="38"/>
        <v>1.28</v>
      </c>
    </row>
    <row r="2457" spans="1:8" x14ac:dyDescent="0.3">
      <c r="A2457" s="401"/>
      <c r="B2457" s="709">
        <v>10908</v>
      </c>
      <c r="C2457" s="710" t="s">
        <v>10833</v>
      </c>
      <c r="D2457" s="709" t="s">
        <v>136</v>
      </c>
      <c r="E2457" s="709" t="s">
        <v>8432</v>
      </c>
      <c r="F2457" s="716">
        <v>25.13</v>
      </c>
      <c r="G2457" s="716">
        <v>25.37</v>
      </c>
      <c r="H2457" s="225">
        <f t="shared" si="38"/>
        <v>25.13</v>
      </c>
    </row>
    <row r="2458" spans="1:8" x14ac:dyDescent="0.3">
      <c r="A2458" s="401"/>
      <c r="B2458" s="709">
        <v>10909</v>
      </c>
      <c r="C2458" s="710" t="s">
        <v>10834</v>
      </c>
      <c r="D2458" s="709" t="s">
        <v>136</v>
      </c>
      <c r="E2458" s="709" t="s">
        <v>8432</v>
      </c>
      <c r="F2458" s="716">
        <v>29.23</v>
      </c>
      <c r="G2458" s="716">
        <v>29.51</v>
      </c>
      <c r="H2458" s="225">
        <f t="shared" si="38"/>
        <v>29.23</v>
      </c>
    </row>
    <row r="2459" spans="1:8" x14ac:dyDescent="0.3">
      <c r="A2459" s="401"/>
      <c r="B2459" s="709">
        <v>3669</v>
      </c>
      <c r="C2459" s="710" t="s">
        <v>10835</v>
      </c>
      <c r="D2459" s="709" t="s">
        <v>136</v>
      </c>
      <c r="E2459" s="709" t="s">
        <v>8432</v>
      </c>
      <c r="F2459" s="716">
        <v>17.96</v>
      </c>
      <c r="G2459" s="716">
        <v>18.13</v>
      </c>
      <c r="H2459" s="225">
        <f t="shared" si="38"/>
        <v>17.96</v>
      </c>
    </row>
    <row r="2460" spans="1:8" x14ac:dyDescent="0.3">
      <c r="A2460" s="401"/>
      <c r="B2460" s="709">
        <v>20139</v>
      </c>
      <c r="C2460" s="710" t="s">
        <v>10836</v>
      </c>
      <c r="D2460" s="709" t="s">
        <v>136</v>
      </c>
      <c r="E2460" s="709" t="s">
        <v>8432</v>
      </c>
      <c r="F2460" s="716">
        <v>154.44</v>
      </c>
      <c r="G2460" s="716">
        <v>155.93</v>
      </c>
      <c r="H2460" s="225">
        <f t="shared" si="38"/>
        <v>154.44</v>
      </c>
    </row>
    <row r="2461" spans="1:8" x14ac:dyDescent="0.3">
      <c r="A2461" s="401"/>
      <c r="B2461" s="709">
        <v>3668</v>
      </c>
      <c r="C2461" s="710" t="s">
        <v>10837</v>
      </c>
      <c r="D2461" s="709" t="s">
        <v>136</v>
      </c>
      <c r="E2461" s="709" t="s">
        <v>8432</v>
      </c>
      <c r="F2461" s="716">
        <v>55.17</v>
      </c>
      <c r="G2461" s="716">
        <v>55.7</v>
      </c>
      <c r="H2461" s="225">
        <f t="shared" si="38"/>
        <v>55.17</v>
      </c>
    </row>
    <row r="2462" spans="1:8" x14ac:dyDescent="0.3">
      <c r="A2462" s="401"/>
      <c r="B2462" s="709">
        <v>10911</v>
      </c>
      <c r="C2462" s="710" t="s">
        <v>10838</v>
      </c>
      <c r="D2462" s="709" t="s">
        <v>136</v>
      </c>
      <c r="E2462" s="709" t="s">
        <v>8432</v>
      </c>
      <c r="F2462" s="716">
        <v>24.18</v>
      </c>
      <c r="G2462" s="716">
        <v>24.42</v>
      </c>
      <c r="H2462" s="225">
        <f t="shared" si="38"/>
        <v>24.18</v>
      </c>
    </row>
    <row r="2463" spans="1:8" x14ac:dyDescent="0.3">
      <c r="A2463" s="401"/>
      <c r="B2463" s="709">
        <v>3659</v>
      </c>
      <c r="C2463" s="710" t="s">
        <v>10839</v>
      </c>
      <c r="D2463" s="709" t="s">
        <v>136</v>
      </c>
      <c r="E2463" s="709" t="s">
        <v>8432</v>
      </c>
      <c r="F2463" s="716">
        <v>24.64</v>
      </c>
      <c r="G2463" s="716">
        <v>24.88</v>
      </c>
      <c r="H2463" s="225">
        <f t="shared" si="38"/>
        <v>24.64</v>
      </c>
    </row>
    <row r="2464" spans="1:8" x14ac:dyDescent="0.3">
      <c r="A2464" s="401"/>
      <c r="B2464" s="709">
        <v>3660</v>
      </c>
      <c r="C2464" s="710" t="s">
        <v>10840</v>
      </c>
      <c r="D2464" s="709" t="s">
        <v>136</v>
      </c>
      <c r="E2464" s="709" t="s">
        <v>8432</v>
      </c>
      <c r="F2464" s="716">
        <v>31.86</v>
      </c>
      <c r="G2464" s="716">
        <v>32.17</v>
      </c>
      <c r="H2464" s="225">
        <f t="shared" si="38"/>
        <v>31.86</v>
      </c>
    </row>
    <row r="2465" spans="1:8" x14ac:dyDescent="0.3">
      <c r="A2465" s="401"/>
      <c r="B2465" s="709">
        <v>20144</v>
      </c>
      <c r="C2465" s="710" t="s">
        <v>10841</v>
      </c>
      <c r="D2465" s="709" t="s">
        <v>136</v>
      </c>
      <c r="E2465" s="709" t="s">
        <v>8432</v>
      </c>
      <c r="F2465" s="716">
        <v>71.36</v>
      </c>
      <c r="G2465" s="716">
        <v>72.05</v>
      </c>
      <c r="H2465" s="225">
        <f t="shared" si="38"/>
        <v>71.36</v>
      </c>
    </row>
    <row r="2466" spans="1:8" x14ac:dyDescent="0.3">
      <c r="A2466" s="401"/>
      <c r="B2466" s="709">
        <v>20143</v>
      </c>
      <c r="C2466" s="710" t="s">
        <v>10842</v>
      </c>
      <c r="D2466" s="709" t="s">
        <v>136</v>
      </c>
      <c r="E2466" s="709" t="s">
        <v>8432</v>
      </c>
      <c r="F2466" s="716">
        <v>91.29</v>
      </c>
      <c r="G2466" s="716">
        <v>92.18</v>
      </c>
      <c r="H2466" s="225">
        <f t="shared" si="38"/>
        <v>91.29</v>
      </c>
    </row>
    <row r="2467" spans="1:8" x14ac:dyDescent="0.3">
      <c r="A2467" s="401"/>
      <c r="B2467" s="709">
        <v>20145</v>
      </c>
      <c r="C2467" s="710" t="s">
        <v>10843</v>
      </c>
      <c r="D2467" s="709" t="s">
        <v>136</v>
      </c>
      <c r="E2467" s="709" t="s">
        <v>8432</v>
      </c>
      <c r="F2467" s="716">
        <v>176.1</v>
      </c>
      <c r="G2467" s="716">
        <v>177.81</v>
      </c>
      <c r="H2467" s="225">
        <f t="shared" si="38"/>
        <v>176.1</v>
      </c>
    </row>
    <row r="2468" spans="1:8" x14ac:dyDescent="0.3">
      <c r="A2468" s="401"/>
      <c r="B2468" s="709">
        <v>20146</v>
      </c>
      <c r="C2468" s="710" t="s">
        <v>10844</v>
      </c>
      <c r="D2468" s="709" t="s">
        <v>136</v>
      </c>
      <c r="E2468" s="709" t="s">
        <v>8432</v>
      </c>
      <c r="F2468" s="716">
        <v>240.73</v>
      </c>
      <c r="G2468" s="716">
        <v>243.06</v>
      </c>
      <c r="H2468" s="225">
        <f t="shared" si="38"/>
        <v>240.73</v>
      </c>
    </row>
    <row r="2469" spans="1:8" x14ac:dyDescent="0.3">
      <c r="A2469" s="401"/>
      <c r="B2469" s="709">
        <v>20140</v>
      </c>
      <c r="C2469" s="710" t="s">
        <v>10845</v>
      </c>
      <c r="D2469" s="709" t="s">
        <v>136</v>
      </c>
      <c r="E2469" s="709" t="s">
        <v>8432</v>
      </c>
      <c r="F2469" s="716">
        <v>11.29</v>
      </c>
      <c r="G2469" s="716">
        <v>11.4</v>
      </c>
      <c r="H2469" s="225">
        <f t="shared" si="38"/>
        <v>11.29</v>
      </c>
    </row>
    <row r="2470" spans="1:8" x14ac:dyDescent="0.3">
      <c r="A2470" s="401"/>
      <c r="B2470" s="709">
        <v>20141</v>
      </c>
      <c r="C2470" s="710" t="s">
        <v>10846</v>
      </c>
      <c r="D2470" s="709" t="s">
        <v>136</v>
      </c>
      <c r="E2470" s="709" t="s">
        <v>8432</v>
      </c>
      <c r="F2470" s="716">
        <v>27.66</v>
      </c>
      <c r="G2470" s="716">
        <v>27.93</v>
      </c>
      <c r="H2470" s="225">
        <f t="shared" si="38"/>
        <v>27.66</v>
      </c>
    </row>
    <row r="2471" spans="1:8" x14ac:dyDescent="0.3">
      <c r="A2471" s="401"/>
      <c r="B2471" s="709">
        <v>20142</v>
      </c>
      <c r="C2471" s="710" t="s">
        <v>10847</v>
      </c>
      <c r="D2471" s="709" t="s">
        <v>136</v>
      </c>
      <c r="E2471" s="709" t="s">
        <v>8432</v>
      </c>
      <c r="F2471" s="716">
        <v>48.65</v>
      </c>
      <c r="G2471" s="716">
        <v>49.13</v>
      </c>
      <c r="H2471" s="225">
        <f t="shared" si="38"/>
        <v>48.65</v>
      </c>
    </row>
    <row r="2472" spans="1:8" x14ac:dyDescent="0.3">
      <c r="A2472" s="401"/>
      <c r="B2472" s="709">
        <v>3670</v>
      </c>
      <c r="C2472" s="710" t="s">
        <v>10848</v>
      </c>
      <c r="D2472" s="709" t="s">
        <v>136</v>
      </c>
      <c r="E2472" s="709" t="s">
        <v>8432</v>
      </c>
      <c r="F2472" s="716">
        <v>31.64</v>
      </c>
      <c r="G2472" s="716">
        <v>31.95</v>
      </c>
      <c r="H2472" s="225">
        <f t="shared" si="38"/>
        <v>31.64</v>
      </c>
    </row>
    <row r="2473" spans="1:8" x14ac:dyDescent="0.3">
      <c r="A2473" s="401"/>
      <c r="B2473" s="709">
        <v>3666</v>
      </c>
      <c r="C2473" s="710" t="s">
        <v>10849</v>
      </c>
      <c r="D2473" s="709" t="s">
        <v>136</v>
      </c>
      <c r="E2473" s="709" t="s">
        <v>8432</v>
      </c>
      <c r="F2473" s="716">
        <v>4.9800000000000004</v>
      </c>
      <c r="G2473" s="716">
        <v>5.03</v>
      </c>
      <c r="H2473" s="225">
        <f t="shared" si="38"/>
        <v>4.9800000000000004</v>
      </c>
    </row>
    <row r="2474" spans="1:8" x14ac:dyDescent="0.3">
      <c r="A2474" s="401"/>
      <c r="B2474" s="709">
        <v>3662</v>
      </c>
      <c r="C2474" s="710" t="s">
        <v>10850</v>
      </c>
      <c r="D2474" s="709" t="s">
        <v>136</v>
      </c>
      <c r="E2474" s="709" t="s">
        <v>8432</v>
      </c>
      <c r="F2474" s="716">
        <v>12.99</v>
      </c>
      <c r="G2474" s="716">
        <v>13.11</v>
      </c>
      <c r="H2474" s="225">
        <f t="shared" si="38"/>
        <v>12.99</v>
      </c>
    </row>
    <row r="2475" spans="1:8" x14ac:dyDescent="0.3">
      <c r="A2475" s="401"/>
      <c r="B2475" s="709">
        <v>3658</v>
      </c>
      <c r="C2475" s="710" t="s">
        <v>10851</v>
      </c>
      <c r="D2475" s="709" t="s">
        <v>136</v>
      </c>
      <c r="E2475" s="709" t="s">
        <v>8432</v>
      </c>
      <c r="F2475" s="716">
        <v>24.6</v>
      </c>
      <c r="G2475" s="716">
        <v>24.84</v>
      </c>
      <c r="H2475" s="225">
        <f t="shared" si="38"/>
        <v>24.6</v>
      </c>
    </row>
    <row r="2476" spans="1:8" x14ac:dyDescent="0.3">
      <c r="A2476" s="401"/>
      <c r="B2476" s="709">
        <v>42696</v>
      </c>
      <c r="C2476" s="710" t="s">
        <v>10852</v>
      </c>
      <c r="D2476" s="709" t="s">
        <v>136</v>
      </c>
      <c r="E2476" s="709" t="s">
        <v>8432</v>
      </c>
      <c r="F2476" s="716">
        <v>195.07</v>
      </c>
      <c r="G2476" s="716">
        <v>196.96</v>
      </c>
      <c r="H2476" s="225">
        <f t="shared" si="38"/>
        <v>195.07</v>
      </c>
    </row>
    <row r="2477" spans="1:8" x14ac:dyDescent="0.3">
      <c r="A2477" s="401"/>
      <c r="B2477" s="709">
        <v>39875</v>
      </c>
      <c r="C2477" s="710" t="s">
        <v>10853</v>
      </c>
      <c r="D2477" s="709" t="s">
        <v>136</v>
      </c>
      <c r="E2477" s="709" t="s">
        <v>8432</v>
      </c>
      <c r="F2477" s="716"/>
      <c r="G2477" s="716">
        <v>893.77</v>
      </c>
      <c r="H2477" s="225">
        <f t="shared" si="38"/>
        <v>893.77</v>
      </c>
    </row>
    <row r="2478" spans="1:8" x14ac:dyDescent="0.3">
      <c r="A2478" s="401"/>
      <c r="B2478" s="709">
        <v>39876</v>
      </c>
      <c r="C2478" s="710" t="s">
        <v>10854</v>
      </c>
      <c r="D2478" s="709" t="s">
        <v>136</v>
      </c>
      <c r="E2478" s="709" t="s">
        <v>8432</v>
      </c>
      <c r="F2478" s="716"/>
      <c r="G2478" s="716">
        <v>1118.99</v>
      </c>
      <c r="H2478" s="225">
        <f t="shared" si="38"/>
        <v>1118.99</v>
      </c>
    </row>
    <row r="2479" spans="1:8" x14ac:dyDescent="0.3">
      <c r="A2479" s="401"/>
      <c r="B2479" s="709">
        <v>39877</v>
      </c>
      <c r="C2479" s="710" t="s">
        <v>10855</v>
      </c>
      <c r="D2479" s="709" t="s">
        <v>136</v>
      </c>
      <c r="E2479" s="709" t="s">
        <v>8432</v>
      </c>
      <c r="F2479" s="716"/>
      <c r="G2479" s="716">
        <v>1552</v>
      </c>
      <c r="H2479" s="225">
        <f t="shared" si="38"/>
        <v>1552</v>
      </c>
    </row>
    <row r="2480" spans="1:8" x14ac:dyDescent="0.3">
      <c r="A2480" s="401"/>
      <c r="B2480" s="709">
        <v>39878</v>
      </c>
      <c r="C2480" s="710" t="s">
        <v>10856</v>
      </c>
      <c r="D2480" s="709" t="s">
        <v>136</v>
      </c>
      <c r="E2480" s="709" t="s">
        <v>8432</v>
      </c>
      <c r="F2480" s="716"/>
      <c r="G2480" s="716">
        <v>2049.9299999999998</v>
      </c>
      <c r="H2480" s="225">
        <f t="shared" si="38"/>
        <v>2049.9299999999998</v>
      </c>
    </row>
    <row r="2481" spans="1:8" x14ac:dyDescent="0.3">
      <c r="A2481" s="401"/>
      <c r="B2481" s="709">
        <v>39872</v>
      </c>
      <c r="C2481" s="710" t="s">
        <v>10857</v>
      </c>
      <c r="D2481" s="709" t="s">
        <v>136</v>
      </c>
      <c r="E2481" s="709" t="s">
        <v>8432</v>
      </c>
      <c r="F2481" s="716"/>
      <c r="G2481" s="716">
        <v>612.91999999999996</v>
      </c>
      <c r="H2481" s="225">
        <f t="shared" si="38"/>
        <v>612.91999999999996</v>
      </c>
    </row>
    <row r="2482" spans="1:8" x14ac:dyDescent="0.3">
      <c r="A2482" s="401"/>
      <c r="B2482" s="709">
        <v>39873</v>
      </c>
      <c r="C2482" s="710" t="s">
        <v>10858</v>
      </c>
      <c r="D2482" s="709" t="s">
        <v>136</v>
      </c>
      <c r="E2482" s="709" t="s">
        <v>8432</v>
      </c>
      <c r="F2482" s="716"/>
      <c r="G2482" s="716">
        <v>710.95</v>
      </c>
      <c r="H2482" s="225">
        <f t="shared" si="38"/>
        <v>710.95</v>
      </c>
    </row>
    <row r="2483" spans="1:8" x14ac:dyDescent="0.3">
      <c r="A2483" s="401"/>
      <c r="B2483" s="709">
        <v>39874</v>
      </c>
      <c r="C2483" s="710" t="s">
        <v>10859</v>
      </c>
      <c r="D2483" s="709" t="s">
        <v>136</v>
      </c>
      <c r="E2483" s="709" t="s">
        <v>8432</v>
      </c>
      <c r="F2483" s="716"/>
      <c r="G2483" s="716">
        <v>780.89</v>
      </c>
      <c r="H2483" s="225">
        <f t="shared" si="38"/>
        <v>780.89</v>
      </c>
    </row>
    <row r="2484" spans="1:8" x14ac:dyDescent="0.3">
      <c r="A2484" s="401"/>
      <c r="B2484" s="709">
        <v>3674</v>
      </c>
      <c r="C2484" s="710" t="s">
        <v>10860</v>
      </c>
      <c r="D2484" s="709" t="s">
        <v>159</v>
      </c>
      <c r="E2484" s="709" t="s">
        <v>8432</v>
      </c>
      <c r="F2484" s="716"/>
      <c r="G2484" s="716">
        <v>93.94</v>
      </c>
      <c r="H2484" s="225">
        <f t="shared" si="38"/>
        <v>93.94</v>
      </c>
    </row>
    <row r="2485" spans="1:8" x14ac:dyDescent="0.3">
      <c r="A2485" s="401"/>
      <c r="B2485" s="709">
        <v>3681</v>
      </c>
      <c r="C2485" s="710" t="s">
        <v>10861</v>
      </c>
      <c r="D2485" s="709" t="s">
        <v>159</v>
      </c>
      <c r="E2485" s="709" t="s">
        <v>8432</v>
      </c>
      <c r="F2485" s="716"/>
      <c r="G2485" s="716">
        <v>139.77000000000001</v>
      </c>
      <c r="H2485" s="225">
        <f t="shared" si="38"/>
        <v>139.77000000000001</v>
      </c>
    </row>
    <row r="2486" spans="1:8" x14ac:dyDescent="0.3">
      <c r="A2486" s="401"/>
      <c r="B2486" s="709">
        <v>3676</v>
      </c>
      <c r="C2486" s="710" t="s">
        <v>10862</v>
      </c>
      <c r="D2486" s="709" t="s">
        <v>159</v>
      </c>
      <c r="E2486" s="709" t="s">
        <v>8432</v>
      </c>
      <c r="F2486" s="716"/>
      <c r="G2486" s="716">
        <v>525.99</v>
      </c>
      <c r="H2486" s="225">
        <f t="shared" si="38"/>
        <v>525.99</v>
      </c>
    </row>
    <row r="2487" spans="1:8" x14ac:dyDescent="0.3">
      <c r="A2487" s="401"/>
      <c r="B2487" s="709">
        <v>3679</v>
      </c>
      <c r="C2487" s="710" t="s">
        <v>10863</v>
      </c>
      <c r="D2487" s="709" t="s">
        <v>159</v>
      </c>
      <c r="E2487" s="709" t="s">
        <v>8432</v>
      </c>
      <c r="F2487" s="716"/>
      <c r="G2487" s="716">
        <v>435.17</v>
      </c>
      <c r="H2487" s="225">
        <f t="shared" si="38"/>
        <v>435.17</v>
      </c>
    </row>
    <row r="2488" spans="1:8" x14ac:dyDescent="0.3">
      <c r="A2488" s="401"/>
      <c r="B2488" s="709">
        <v>3672</v>
      </c>
      <c r="C2488" s="710" t="s">
        <v>10864</v>
      </c>
      <c r="D2488" s="709" t="s">
        <v>159</v>
      </c>
      <c r="E2488" s="709" t="s">
        <v>8432</v>
      </c>
      <c r="F2488" s="716"/>
      <c r="G2488" s="716">
        <v>1.48</v>
      </c>
      <c r="H2488" s="225">
        <f t="shared" si="38"/>
        <v>1.48</v>
      </c>
    </row>
    <row r="2489" spans="1:8" x14ac:dyDescent="0.3">
      <c r="A2489" s="401"/>
      <c r="B2489" s="709">
        <v>3671</v>
      </c>
      <c r="C2489" s="710" t="s">
        <v>10865</v>
      </c>
      <c r="D2489" s="709" t="s">
        <v>159</v>
      </c>
      <c r="E2489" s="709" t="s">
        <v>8438</v>
      </c>
      <c r="F2489" s="716"/>
      <c r="G2489" s="716">
        <v>1.4</v>
      </c>
      <c r="H2489" s="225">
        <f t="shared" si="38"/>
        <v>1.4</v>
      </c>
    </row>
    <row r="2490" spans="1:8" x14ac:dyDescent="0.3">
      <c r="A2490" s="401"/>
      <c r="B2490" s="709">
        <v>3673</v>
      </c>
      <c r="C2490" s="710" t="s">
        <v>10866</v>
      </c>
      <c r="D2490" s="709" t="s">
        <v>159</v>
      </c>
      <c r="E2490" s="709" t="s">
        <v>8432</v>
      </c>
      <c r="F2490" s="716"/>
      <c r="G2490" s="716">
        <v>2.2000000000000002</v>
      </c>
      <c r="H2490" s="225">
        <f t="shared" si="38"/>
        <v>2.2000000000000002</v>
      </c>
    </row>
    <row r="2491" spans="1:8" x14ac:dyDescent="0.3">
      <c r="A2491" s="401"/>
      <c r="B2491" s="709">
        <v>38394</v>
      </c>
      <c r="C2491" s="710" t="s">
        <v>10867</v>
      </c>
      <c r="D2491" s="709" t="s">
        <v>136</v>
      </c>
      <c r="E2491" s="709" t="s">
        <v>8432</v>
      </c>
      <c r="F2491" s="716">
        <v>206.09</v>
      </c>
      <c r="G2491" s="716">
        <v>202.68</v>
      </c>
      <c r="H2491" s="225">
        <f t="shared" si="38"/>
        <v>206.09</v>
      </c>
    </row>
    <row r="2492" spans="1:8" x14ac:dyDescent="0.3">
      <c r="A2492" s="401"/>
      <c r="B2492" s="709">
        <v>3729</v>
      </c>
      <c r="C2492" s="710" t="s">
        <v>10868</v>
      </c>
      <c r="D2492" s="709" t="s">
        <v>136</v>
      </c>
      <c r="E2492" s="709" t="s">
        <v>8432</v>
      </c>
      <c r="F2492" s="716">
        <v>170.96</v>
      </c>
      <c r="G2492" s="716">
        <v>174.3</v>
      </c>
      <c r="H2492" s="225">
        <f t="shared" si="38"/>
        <v>170.96</v>
      </c>
    </row>
    <row r="2493" spans="1:8" x14ac:dyDescent="0.3">
      <c r="A2493" s="401"/>
      <c r="B2493" s="709">
        <v>39357</v>
      </c>
      <c r="C2493" s="710" t="s">
        <v>10869</v>
      </c>
      <c r="D2493" s="709" t="s">
        <v>136</v>
      </c>
      <c r="E2493" s="709" t="s">
        <v>8432</v>
      </c>
      <c r="F2493" s="716">
        <v>97.64</v>
      </c>
      <c r="G2493" s="716">
        <v>61.02</v>
      </c>
      <c r="H2493" s="225">
        <f t="shared" si="38"/>
        <v>97.64</v>
      </c>
    </row>
    <row r="2494" spans="1:8" x14ac:dyDescent="0.3">
      <c r="A2494" s="401"/>
      <c r="B2494" s="709">
        <v>39358</v>
      </c>
      <c r="C2494" s="710" t="s">
        <v>10870</v>
      </c>
      <c r="D2494" s="709" t="s">
        <v>136</v>
      </c>
      <c r="E2494" s="709" t="s">
        <v>8432</v>
      </c>
      <c r="F2494" s="716">
        <v>97.64</v>
      </c>
      <c r="G2494" s="716">
        <v>61.02</v>
      </c>
      <c r="H2494" s="225">
        <f t="shared" si="38"/>
        <v>97.64</v>
      </c>
    </row>
    <row r="2495" spans="1:8" x14ac:dyDescent="0.3">
      <c r="A2495" s="401"/>
      <c r="B2495" s="709">
        <v>39355</v>
      </c>
      <c r="C2495" s="710" t="s">
        <v>10871</v>
      </c>
      <c r="D2495" s="709" t="s">
        <v>136</v>
      </c>
      <c r="E2495" s="709" t="s">
        <v>8432</v>
      </c>
      <c r="F2495" s="716">
        <v>142.27000000000001</v>
      </c>
      <c r="G2495" s="716">
        <v>88.91</v>
      </c>
      <c r="H2495" s="225">
        <f t="shared" si="38"/>
        <v>142.27000000000001</v>
      </c>
    </row>
    <row r="2496" spans="1:8" x14ac:dyDescent="0.3">
      <c r="A2496" s="401"/>
      <c r="B2496" s="709">
        <v>39356</v>
      </c>
      <c r="C2496" s="710" t="s">
        <v>10872</v>
      </c>
      <c r="D2496" s="709" t="s">
        <v>136</v>
      </c>
      <c r="E2496" s="709" t="s">
        <v>8432</v>
      </c>
      <c r="F2496" s="716">
        <v>135.77000000000001</v>
      </c>
      <c r="G2496" s="716">
        <v>84.86</v>
      </c>
      <c r="H2496" s="225">
        <f t="shared" si="38"/>
        <v>135.77000000000001</v>
      </c>
    </row>
    <row r="2497" spans="1:8" x14ac:dyDescent="0.3">
      <c r="A2497" s="401"/>
      <c r="B2497" s="709">
        <v>39353</v>
      </c>
      <c r="C2497" s="710" t="s">
        <v>10873</v>
      </c>
      <c r="D2497" s="709" t="s">
        <v>136</v>
      </c>
      <c r="E2497" s="709" t="s">
        <v>8432</v>
      </c>
      <c r="F2497" s="716">
        <v>311.68</v>
      </c>
      <c r="G2497" s="716">
        <v>194.8</v>
      </c>
      <c r="H2497" s="225">
        <f t="shared" si="38"/>
        <v>311.68</v>
      </c>
    </row>
    <row r="2498" spans="1:8" x14ac:dyDescent="0.3">
      <c r="A2498" s="401"/>
      <c r="B2498" s="709">
        <v>39354</v>
      </c>
      <c r="C2498" s="710" t="s">
        <v>10874</v>
      </c>
      <c r="D2498" s="709" t="s">
        <v>136</v>
      </c>
      <c r="E2498" s="709" t="s">
        <v>8432</v>
      </c>
      <c r="F2498" s="716">
        <v>657.59</v>
      </c>
      <c r="G2498" s="716">
        <v>410.99</v>
      </c>
      <c r="H2498" s="225">
        <f t="shared" si="38"/>
        <v>657.59</v>
      </c>
    </row>
    <row r="2499" spans="1:8" x14ac:dyDescent="0.3">
      <c r="A2499" s="401"/>
      <c r="B2499" s="709">
        <v>39398</v>
      </c>
      <c r="C2499" s="710" t="s">
        <v>10875</v>
      </c>
      <c r="D2499" s="709" t="s">
        <v>136</v>
      </c>
      <c r="E2499" s="709" t="s">
        <v>8432</v>
      </c>
      <c r="F2499" s="716">
        <v>211.96</v>
      </c>
      <c r="G2499" s="716">
        <v>119.9</v>
      </c>
      <c r="H2499" s="225">
        <f t="shared" si="38"/>
        <v>211.96</v>
      </c>
    </row>
    <row r="2500" spans="1:8" x14ac:dyDescent="0.3">
      <c r="A2500" s="401"/>
      <c r="B2500" s="709">
        <v>13343</v>
      </c>
      <c r="C2500" s="710" t="s">
        <v>10876</v>
      </c>
      <c r="D2500" s="709" t="s">
        <v>136</v>
      </c>
      <c r="E2500" s="709" t="s">
        <v>8432</v>
      </c>
      <c r="F2500" s="716"/>
      <c r="G2500" s="716">
        <v>41.21</v>
      </c>
      <c r="H2500" s="225">
        <f t="shared" si="38"/>
        <v>41.21</v>
      </c>
    </row>
    <row r="2501" spans="1:8" x14ac:dyDescent="0.3">
      <c r="A2501" s="401"/>
      <c r="B2501" s="709">
        <v>12118</v>
      </c>
      <c r="C2501" s="710" t="s">
        <v>10877</v>
      </c>
      <c r="D2501" s="709" t="s">
        <v>136</v>
      </c>
      <c r="E2501" s="709" t="s">
        <v>8432</v>
      </c>
      <c r="F2501" s="716">
        <v>25.48</v>
      </c>
      <c r="G2501" s="716">
        <v>24.37</v>
      </c>
      <c r="H2501" s="225">
        <f t="shared" si="38"/>
        <v>25.48</v>
      </c>
    </row>
    <row r="2502" spans="1:8" x14ac:dyDescent="0.3">
      <c r="A2502" s="401"/>
      <c r="B2502" s="709">
        <v>39482</v>
      </c>
      <c r="C2502" s="710" t="s">
        <v>10878</v>
      </c>
      <c r="D2502" s="709" t="s">
        <v>136</v>
      </c>
      <c r="E2502" s="709" t="s">
        <v>8432</v>
      </c>
      <c r="F2502" s="716">
        <v>775.51</v>
      </c>
      <c r="G2502" s="716">
        <v>741.46</v>
      </c>
      <c r="H2502" s="225">
        <f t="shared" si="38"/>
        <v>775.51</v>
      </c>
    </row>
    <row r="2503" spans="1:8" x14ac:dyDescent="0.3">
      <c r="A2503" s="401"/>
      <c r="B2503" s="709">
        <v>39486</v>
      </c>
      <c r="C2503" s="710" t="s">
        <v>10879</v>
      </c>
      <c r="D2503" s="709" t="s">
        <v>136</v>
      </c>
      <c r="E2503" s="709" t="s">
        <v>8432</v>
      </c>
      <c r="F2503" s="716">
        <v>632.91999999999996</v>
      </c>
      <c r="G2503" s="716">
        <v>605.14</v>
      </c>
      <c r="H2503" s="225">
        <f t="shared" si="38"/>
        <v>632.91999999999996</v>
      </c>
    </row>
    <row r="2504" spans="1:8" x14ac:dyDescent="0.3">
      <c r="A2504" s="401"/>
      <c r="B2504" s="709">
        <v>39484</v>
      </c>
      <c r="C2504" s="710" t="s">
        <v>10880</v>
      </c>
      <c r="D2504" s="709" t="s">
        <v>136</v>
      </c>
      <c r="E2504" s="709" t="s">
        <v>8432</v>
      </c>
      <c r="F2504" s="716">
        <v>775.51</v>
      </c>
      <c r="G2504" s="716">
        <v>741.46</v>
      </c>
      <c r="H2504" s="225">
        <f t="shared" si="38"/>
        <v>775.51</v>
      </c>
    </row>
    <row r="2505" spans="1:8" x14ac:dyDescent="0.3">
      <c r="A2505" s="401"/>
      <c r="B2505" s="709">
        <v>39488</v>
      </c>
      <c r="C2505" s="710" t="s">
        <v>10881</v>
      </c>
      <c r="D2505" s="709" t="s">
        <v>136</v>
      </c>
      <c r="E2505" s="709" t="s">
        <v>8432</v>
      </c>
      <c r="F2505" s="716">
        <v>643.29</v>
      </c>
      <c r="G2505" s="716">
        <v>615.04</v>
      </c>
      <c r="H2505" s="225">
        <f t="shared" si="38"/>
        <v>643.29</v>
      </c>
    </row>
    <row r="2506" spans="1:8" x14ac:dyDescent="0.3">
      <c r="A2506" s="401"/>
      <c r="B2506" s="709">
        <v>39485</v>
      </c>
      <c r="C2506" s="710" t="s">
        <v>10882</v>
      </c>
      <c r="D2506" s="709" t="s">
        <v>136</v>
      </c>
      <c r="E2506" s="709" t="s">
        <v>8432</v>
      </c>
      <c r="F2506" s="716">
        <v>775.51</v>
      </c>
      <c r="G2506" s="716">
        <v>741.46</v>
      </c>
      <c r="H2506" s="225">
        <f t="shared" si="38"/>
        <v>775.51</v>
      </c>
    </row>
    <row r="2507" spans="1:8" x14ac:dyDescent="0.3">
      <c r="A2507" s="401"/>
      <c r="B2507" s="709">
        <v>39489</v>
      </c>
      <c r="C2507" s="710" t="s">
        <v>10883</v>
      </c>
      <c r="D2507" s="709" t="s">
        <v>136</v>
      </c>
      <c r="E2507" s="709" t="s">
        <v>8432</v>
      </c>
      <c r="F2507" s="716">
        <v>654.19000000000005</v>
      </c>
      <c r="G2507" s="716">
        <v>625.47</v>
      </c>
      <c r="H2507" s="225">
        <f t="shared" ref="H2507:H2570" si="39">IF(F2507&gt;0,F2507,G2507)</f>
        <v>654.19000000000005</v>
      </c>
    </row>
    <row r="2508" spans="1:8" x14ac:dyDescent="0.3">
      <c r="A2508" s="401"/>
      <c r="B2508" s="709">
        <v>39490</v>
      </c>
      <c r="C2508" s="710" t="s">
        <v>10884</v>
      </c>
      <c r="D2508" s="709" t="s">
        <v>136</v>
      </c>
      <c r="E2508" s="709" t="s">
        <v>8432</v>
      </c>
      <c r="F2508" s="716">
        <v>974.83</v>
      </c>
      <c r="G2508" s="716">
        <v>932.03</v>
      </c>
      <c r="H2508" s="225">
        <f t="shared" si="39"/>
        <v>974.83</v>
      </c>
    </row>
    <row r="2509" spans="1:8" x14ac:dyDescent="0.3">
      <c r="A2509" s="401"/>
      <c r="B2509" s="709">
        <v>39494</v>
      </c>
      <c r="C2509" s="710" t="s">
        <v>10885</v>
      </c>
      <c r="D2509" s="709" t="s">
        <v>136</v>
      </c>
      <c r="E2509" s="709" t="s">
        <v>8432</v>
      </c>
      <c r="F2509" s="716">
        <v>700.01</v>
      </c>
      <c r="G2509" s="716">
        <v>669.28</v>
      </c>
      <c r="H2509" s="225">
        <f t="shared" si="39"/>
        <v>700.01</v>
      </c>
    </row>
    <row r="2510" spans="1:8" x14ac:dyDescent="0.3">
      <c r="A2510" s="401"/>
      <c r="B2510" s="709">
        <v>39495</v>
      </c>
      <c r="C2510" s="710" t="s">
        <v>10886</v>
      </c>
      <c r="D2510" s="709" t="s">
        <v>136</v>
      </c>
      <c r="E2510" s="709" t="s">
        <v>8432</v>
      </c>
      <c r="F2510" s="716">
        <v>788.82</v>
      </c>
      <c r="G2510" s="716">
        <v>754.19</v>
      </c>
      <c r="H2510" s="225">
        <f t="shared" si="39"/>
        <v>788.82</v>
      </c>
    </row>
    <row r="2511" spans="1:8" x14ac:dyDescent="0.3">
      <c r="A2511" s="401"/>
      <c r="B2511" s="709">
        <v>39496</v>
      </c>
      <c r="C2511" s="710" t="s">
        <v>10887</v>
      </c>
      <c r="D2511" s="709" t="s">
        <v>136</v>
      </c>
      <c r="E2511" s="709" t="s">
        <v>8432</v>
      </c>
      <c r="F2511" s="716">
        <v>867.7</v>
      </c>
      <c r="G2511" s="716">
        <v>829.6</v>
      </c>
      <c r="H2511" s="225">
        <f t="shared" si="39"/>
        <v>867.7</v>
      </c>
    </row>
    <row r="2512" spans="1:8" x14ac:dyDescent="0.3">
      <c r="A2512" s="401"/>
      <c r="B2512" s="709">
        <v>39492</v>
      </c>
      <c r="C2512" s="710" t="s">
        <v>10888</v>
      </c>
      <c r="D2512" s="709" t="s">
        <v>136</v>
      </c>
      <c r="E2512" s="709" t="s">
        <v>8432</v>
      </c>
      <c r="F2512" s="716">
        <v>1004.56</v>
      </c>
      <c r="G2512" s="716">
        <v>960.45</v>
      </c>
      <c r="H2512" s="225">
        <f t="shared" si="39"/>
        <v>1004.56</v>
      </c>
    </row>
    <row r="2513" spans="1:8" x14ac:dyDescent="0.3">
      <c r="A2513" s="401"/>
      <c r="B2513" s="709">
        <v>39497</v>
      </c>
      <c r="C2513" s="710" t="s">
        <v>10889</v>
      </c>
      <c r="D2513" s="709" t="s">
        <v>136</v>
      </c>
      <c r="E2513" s="709" t="s">
        <v>8432</v>
      </c>
      <c r="F2513" s="716">
        <v>907.38</v>
      </c>
      <c r="G2513" s="716">
        <v>867.54</v>
      </c>
      <c r="H2513" s="225">
        <f t="shared" si="39"/>
        <v>907.38</v>
      </c>
    </row>
    <row r="2514" spans="1:8" x14ac:dyDescent="0.3">
      <c r="A2514" s="401"/>
      <c r="B2514" s="709">
        <v>39493</v>
      </c>
      <c r="C2514" s="710" t="s">
        <v>10890</v>
      </c>
      <c r="D2514" s="709" t="s">
        <v>136</v>
      </c>
      <c r="E2514" s="709" t="s">
        <v>8432</v>
      </c>
      <c r="F2514" s="716">
        <v>1077.49</v>
      </c>
      <c r="G2514" s="716">
        <v>1030.18</v>
      </c>
      <c r="H2514" s="225">
        <f t="shared" si="39"/>
        <v>1077.49</v>
      </c>
    </row>
    <row r="2515" spans="1:8" x14ac:dyDescent="0.3">
      <c r="A2515" s="401"/>
      <c r="B2515" s="709">
        <v>43628</v>
      </c>
      <c r="C2515" s="710" t="s">
        <v>10891</v>
      </c>
      <c r="D2515" s="709" t="s">
        <v>136</v>
      </c>
      <c r="E2515" s="709" t="s">
        <v>8432</v>
      </c>
      <c r="F2515" s="716">
        <v>1142.8599999999999</v>
      </c>
      <c r="G2515" s="716">
        <v>1092.68</v>
      </c>
      <c r="H2515" s="225">
        <f t="shared" si="39"/>
        <v>1142.8599999999999</v>
      </c>
    </row>
    <row r="2516" spans="1:8" x14ac:dyDescent="0.3">
      <c r="A2516" s="401"/>
      <c r="B2516" s="709">
        <v>39500</v>
      </c>
      <c r="C2516" s="710" t="s">
        <v>10892</v>
      </c>
      <c r="D2516" s="709" t="s">
        <v>136</v>
      </c>
      <c r="E2516" s="709" t="s">
        <v>8432</v>
      </c>
      <c r="F2516" s="716">
        <v>1175.6300000000001</v>
      </c>
      <c r="G2516" s="716">
        <v>1124.01</v>
      </c>
      <c r="H2516" s="225">
        <f t="shared" si="39"/>
        <v>1175.6300000000001</v>
      </c>
    </row>
    <row r="2517" spans="1:8" x14ac:dyDescent="0.3">
      <c r="A2517" s="401"/>
      <c r="B2517" s="709">
        <v>39498</v>
      </c>
      <c r="C2517" s="710" t="s">
        <v>10893</v>
      </c>
      <c r="D2517" s="709" t="s">
        <v>136</v>
      </c>
      <c r="E2517" s="709" t="s">
        <v>8432</v>
      </c>
      <c r="F2517" s="716">
        <v>1449.94</v>
      </c>
      <c r="G2517" s="716">
        <v>1386.28</v>
      </c>
      <c r="H2517" s="225">
        <f t="shared" si="39"/>
        <v>1449.94</v>
      </c>
    </row>
    <row r="2518" spans="1:8" x14ac:dyDescent="0.3">
      <c r="A2518" s="401"/>
      <c r="B2518" s="709">
        <v>43621</v>
      </c>
      <c r="C2518" s="710" t="s">
        <v>10894</v>
      </c>
      <c r="D2518" s="709" t="s">
        <v>136</v>
      </c>
      <c r="E2518" s="709" t="s">
        <v>8432</v>
      </c>
      <c r="F2518" s="716">
        <v>1214.29</v>
      </c>
      <c r="G2518" s="716">
        <v>1160.98</v>
      </c>
      <c r="H2518" s="225">
        <f t="shared" si="39"/>
        <v>1214.29</v>
      </c>
    </row>
    <row r="2519" spans="1:8" x14ac:dyDescent="0.3">
      <c r="A2519" s="401"/>
      <c r="B2519" s="709">
        <v>39501</v>
      </c>
      <c r="C2519" s="710" t="s">
        <v>10895</v>
      </c>
      <c r="D2519" s="709" t="s">
        <v>136</v>
      </c>
      <c r="E2519" s="709" t="s">
        <v>8432</v>
      </c>
      <c r="F2519" s="716">
        <v>1207.46</v>
      </c>
      <c r="G2519" s="716">
        <v>1154.45</v>
      </c>
      <c r="H2519" s="225">
        <f t="shared" si="39"/>
        <v>1207.46</v>
      </c>
    </row>
    <row r="2520" spans="1:8" x14ac:dyDescent="0.3">
      <c r="A2520" s="401"/>
      <c r="B2520" s="709">
        <v>39499</v>
      </c>
      <c r="C2520" s="710" t="s">
        <v>10896</v>
      </c>
      <c r="D2520" s="709" t="s">
        <v>136</v>
      </c>
      <c r="E2520" s="709" t="s">
        <v>8432</v>
      </c>
      <c r="F2520" s="716">
        <v>1470.53</v>
      </c>
      <c r="G2520" s="716">
        <v>1405.96</v>
      </c>
      <c r="H2520" s="225">
        <f t="shared" si="39"/>
        <v>1470.53</v>
      </c>
    </row>
    <row r="2521" spans="1:8" x14ac:dyDescent="0.3">
      <c r="A2521" s="401"/>
      <c r="B2521" s="709">
        <v>3733</v>
      </c>
      <c r="C2521" s="710" t="s">
        <v>10897</v>
      </c>
      <c r="D2521" s="709" t="s">
        <v>168</v>
      </c>
      <c r="E2521" s="709" t="s">
        <v>8432</v>
      </c>
      <c r="F2521" s="716">
        <v>82.21</v>
      </c>
      <c r="G2521" s="716">
        <v>121.22</v>
      </c>
      <c r="H2521" s="225">
        <f t="shared" si="39"/>
        <v>82.21</v>
      </c>
    </row>
    <row r="2522" spans="1:8" x14ac:dyDescent="0.3">
      <c r="A2522" s="401"/>
      <c r="B2522" s="709">
        <v>3731</v>
      </c>
      <c r="C2522" s="710" t="s">
        <v>10898</v>
      </c>
      <c r="D2522" s="709" t="s">
        <v>168</v>
      </c>
      <c r="E2522" s="709" t="s">
        <v>8432</v>
      </c>
      <c r="F2522" s="716">
        <v>73.55</v>
      </c>
      <c r="G2522" s="716">
        <v>108.46</v>
      </c>
      <c r="H2522" s="225">
        <f t="shared" si="39"/>
        <v>73.55</v>
      </c>
    </row>
    <row r="2523" spans="1:8" x14ac:dyDescent="0.3">
      <c r="A2523" s="401"/>
      <c r="B2523" s="709">
        <v>38137</v>
      </c>
      <c r="C2523" s="710" t="s">
        <v>10899</v>
      </c>
      <c r="D2523" s="709" t="s">
        <v>168</v>
      </c>
      <c r="E2523" s="709" t="s">
        <v>8432</v>
      </c>
      <c r="F2523" s="716">
        <v>87.98</v>
      </c>
      <c r="G2523" s="716">
        <v>129.72999999999999</v>
      </c>
      <c r="H2523" s="225">
        <f t="shared" si="39"/>
        <v>87.98</v>
      </c>
    </row>
    <row r="2524" spans="1:8" x14ac:dyDescent="0.3">
      <c r="A2524" s="401"/>
      <c r="B2524" s="709">
        <v>38138</v>
      </c>
      <c r="C2524" s="710" t="s">
        <v>10900</v>
      </c>
      <c r="D2524" s="709" t="s">
        <v>168</v>
      </c>
      <c r="E2524" s="709" t="s">
        <v>8432</v>
      </c>
      <c r="F2524" s="716">
        <v>91.34</v>
      </c>
      <c r="G2524" s="716">
        <v>134.69</v>
      </c>
      <c r="H2524" s="225">
        <f t="shared" si="39"/>
        <v>91.34</v>
      </c>
    </row>
    <row r="2525" spans="1:8" x14ac:dyDescent="0.3">
      <c r="A2525" s="401"/>
      <c r="B2525" s="709">
        <v>45318</v>
      </c>
      <c r="C2525" s="710" t="s">
        <v>14818</v>
      </c>
      <c r="D2525" s="709" t="s">
        <v>168</v>
      </c>
      <c r="E2525" s="709" t="s">
        <v>8432</v>
      </c>
      <c r="F2525" s="716"/>
      <c r="G2525" s="716">
        <v>152.41</v>
      </c>
      <c r="H2525" s="225">
        <f t="shared" si="39"/>
        <v>152.41</v>
      </c>
    </row>
    <row r="2526" spans="1:8" x14ac:dyDescent="0.3">
      <c r="A2526" s="401"/>
      <c r="B2526" s="709">
        <v>45319</v>
      </c>
      <c r="C2526" s="710" t="s">
        <v>14819</v>
      </c>
      <c r="D2526" s="709" t="s">
        <v>168</v>
      </c>
      <c r="E2526" s="709" t="s">
        <v>8432</v>
      </c>
      <c r="F2526" s="716"/>
      <c r="G2526" s="716">
        <v>171.47</v>
      </c>
      <c r="H2526" s="225">
        <f t="shared" si="39"/>
        <v>171.47</v>
      </c>
    </row>
    <row r="2527" spans="1:8" x14ac:dyDescent="0.3">
      <c r="A2527" s="401"/>
      <c r="B2527" s="709">
        <v>45320</v>
      </c>
      <c r="C2527" s="710" t="s">
        <v>14820</v>
      </c>
      <c r="D2527" s="709" t="s">
        <v>168</v>
      </c>
      <c r="E2527" s="709" t="s">
        <v>8432</v>
      </c>
      <c r="F2527" s="716"/>
      <c r="G2527" s="716">
        <v>222.16</v>
      </c>
      <c r="H2527" s="225">
        <f t="shared" si="39"/>
        <v>222.16</v>
      </c>
    </row>
    <row r="2528" spans="1:8" x14ac:dyDescent="0.3">
      <c r="A2528" s="401"/>
      <c r="B2528" s="709">
        <v>45315</v>
      </c>
      <c r="C2528" s="710" t="s">
        <v>14821</v>
      </c>
      <c r="D2528" s="709" t="s">
        <v>168</v>
      </c>
      <c r="E2528" s="709" t="s">
        <v>8432</v>
      </c>
      <c r="F2528" s="716"/>
      <c r="G2528" s="716">
        <v>100.31</v>
      </c>
      <c r="H2528" s="225">
        <f t="shared" si="39"/>
        <v>100.31</v>
      </c>
    </row>
    <row r="2529" spans="1:8" x14ac:dyDescent="0.3">
      <c r="A2529" s="401"/>
      <c r="B2529" s="709">
        <v>45316</v>
      </c>
      <c r="C2529" s="710" t="s">
        <v>14822</v>
      </c>
      <c r="D2529" s="709" t="s">
        <v>168</v>
      </c>
      <c r="E2529" s="709" t="s">
        <v>8432</v>
      </c>
      <c r="F2529" s="716"/>
      <c r="G2529" s="716">
        <v>115.06</v>
      </c>
      <c r="H2529" s="225">
        <f t="shared" si="39"/>
        <v>115.06</v>
      </c>
    </row>
    <row r="2530" spans="1:8" x14ac:dyDescent="0.3">
      <c r="A2530" s="401"/>
      <c r="B2530" s="709">
        <v>45317</v>
      </c>
      <c r="C2530" s="710" t="s">
        <v>14823</v>
      </c>
      <c r="D2530" s="709" t="s">
        <v>168</v>
      </c>
      <c r="E2530" s="709" t="s">
        <v>8432</v>
      </c>
      <c r="F2530" s="716"/>
      <c r="G2530" s="716">
        <v>136.54</v>
      </c>
      <c r="H2530" s="225">
        <f t="shared" si="39"/>
        <v>136.54</v>
      </c>
    </row>
    <row r="2531" spans="1:8" x14ac:dyDescent="0.3">
      <c r="A2531" s="401"/>
      <c r="B2531" s="709">
        <v>45313</v>
      </c>
      <c r="C2531" s="710" t="s">
        <v>14824</v>
      </c>
      <c r="D2531" s="709" t="s">
        <v>168</v>
      </c>
      <c r="E2531" s="709" t="s">
        <v>8432</v>
      </c>
      <c r="F2531" s="716"/>
      <c r="G2531" s="716">
        <v>131.58000000000001</v>
      </c>
      <c r="H2531" s="225">
        <f t="shared" si="39"/>
        <v>131.58000000000001</v>
      </c>
    </row>
    <row r="2532" spans="1:8" x14ac:dyDescent="0.3">
      <c r="A2532" s="401"/>
      <c r="B2532" s="709">
        <v>45314</v>
      </c>
      <c r="C2532" s="710" t="s">
        <v>14825</v>
      </c>
      <c r="D2532" s="709" t="s">
        <v>168</v>
      </c>
      <c r="E2532" s="709" t="s">
        <v>8432</v>
      </c>
      <c r="F2532" s="716"/>
      <c r="G2532" s="716">
        <v>184.92</v>
      </c>
      <c r="H2532" s="225">
        <f t="shared" si="39"/>
        <v>184.92</v>
      </c>
    </row>
    <row r="2533" spans="1:8" x14ac:dyDescent="0.3">
      <c r="A2533" s="401"/>
      <c r="B2533" s="709">
        <v>45309</v>
      </c>
      <c r="C2533" s="710" t="s">
        <v>14826</v>
      </c>
      <c r="D2533" s="709" t="s">
        <v>168</v>
      </c>
      <c r="E2533" s="709" t="s">
        <v>8432</v>
      </c>
      <c r="F2533" s="716"/>
      <c r="G2533" s="716">
        <v>92.64</v>
      </c>
      <c r="H2533" s="225">
        <f t="shared" si="39"/>
        <v>92.64</v>
      </c>
    </row>
    <row r="2534" spans="1:8" x14ac:dyDescent="0.3">
      <c r="A2534" s="401"/>
      <c r="B2534" s="709">
        <v>45310</v>
      </c>
      <c r="C2534" s="710" t="s">
        <v>14827</v>
      </c>
      <c r="D2534" s="709" t="s">
        <v>168</v>
      </c>
      <c r="E2534" s="709" t="s">
        <v>8432</v>
      </c>
      <c r="F2534" s="716"/>
      <c r="G2534" s="716">
        <v>107.83</v>
      </c>
      <c r="H2534" s="225">
        <f t="shared" si="39"/>
        <v>107.83</v>
      </c>
    </row>
    <row r="2535" spans="1:8" x14ac:dyDescent="0.3">
      <c r="A2535" s="401"/>
      <c r="B2535" s="709">
        <v>45311</v>
      </c>
      <c r="C2535" s="710" t="s">
        <v>14828</v>
      </c>
      <c r="D2535" s="709" t="s">
        <v>168</v>
      </c>
      <c r="E2535" s="709" t="s">
        <v>8432</v>
      </c>
      <c r="F2535" s="716"/>
      <c r="G2535" s="716">
        <v>117.42</v>
      </c>
      <c r="H2535" s="225">
        <f t="shared" si="39"/>
        <v>117.42</v>
      </c>
    </row>
    <row r="2536" spans="1:8" x14ac:dyDescent="0.3">
      <c r="A2536" s="401"/>
      <c r="B2536" s="709">
        <v>45312</v>
      </c>
      <c r="C2536" s="710" t="s">
        <v>14829</v>
      </c>
      <c r="D2536" s="709" t="s">
        <v>168</v>
      </c>
      <c r="E2536" s="709" t="s">
        <v>8432</v>
      </c>
      <c r="F2536" s="716"/>
      <c r="G2536" s="716">
        <v>142.1</v>
      </c>
      <c r="H2536" s="225">
        <f t="shared" si="39"/>
        <v>142.1</v>
      </c>
    </row>
    <row r="2537" spans="1:8" x14ac:dyDescent="0.3">
      <c r="A2537" s="401"/>
      <c r="B2537" s="709">
        <v>43342</v>
      </c>
      <c r="C2537" s="710" t="s">
        <v>14830</v>
      </c>
      <c r="D2537" s="709" t="s">
        <v>168</v>
      </c>
      <c r="E2537" s="709" t="s">
        <v>8432</v>
      </c>
      <c r="F2537" s="716"/>
      <c r="G2537" s="716">
        <v>100.31</v>
      </c>
      <c r="H2537" s="225">
        <f t="shared" si="39"/>
        <v>100.31</v>
      </c>
    </row>
    <row r="2538" spans="1:8" x14ac:dyDescent="0.3">
      <c r="A2538" s="401"/>
      <c r="B2538" s="709">
        <v>43343</v>
      </c>
      <c r="C2538" s="710" t="s">
        <v>14831</v>
      </c>
      <c r="D2538" s="709" t="s">
        <v>168</v>
      </c>
      <c r="E2538" s="709" t="s">
        <v>8432</v>
      </c>
      <c r="F2538" s="716"/>
      <c r="G2538" s="716">
        <v>105.03</v>
      </c>
      <c r="H2538" s="225">
        <f t="shared" si="39"/>
        <v>105.03</v>
      </c>
    </row>
    <row r="2539" spans="1:8" x14ac:dyDescent="0.3">
      <c r="A2539" s="401"/>
      <c r="B2539" s="709">
        <v>43344</v>
      </c>
      <c r="C2539" s="710" t="s">
        <v>14832</v>
      </c>
      <c r="D2539" s="709" t="s">
        <v>168</v>
      </c>
      <c r="E2539" s="709" t="s">
        <v>8432</v>
      </c>
      <c r="F2539" s="716"/>
      <c r="G2539" s="716">
        <v>126.57</v>
      </c>
      <c r="H2539" s="225">
        <f t="shared" si="39"/>
        <v>126.57</v>
      </c>
    </row>
    <row r="2540" spans="1:8" x14ac:dyDescent="0.3">
      <c r="A2540" s="401"/>
      <c r="B2540" s="709">
        <v>45307</v>
      </c>
      <c r="C2540" s="710" t="s">
        <v>14833</v>
      </c>
      <c r="D2540" s="709" t="s">
        <v>168</v>
      </c>
      <c r="E2540" s="709" t="s">
        <v>8432</v>
      </c>
      <c r="F2540" s="716"/>
      <c r="G2540" s="716">
        <v>135.71</v>
      </c>
      <c r="H2540" s="225">
        <f t="shared" si="39"/>
        <v>135.71</v>
      </c>
    </row>
    <row r="2541" spans="1:8" x14ac:dyDescent="0.3">
      <c r="A2541" s="401"/>
      <c r="B2541" s="709">
        <v>43345</v>
      </c>
      <c r="C2541" s="710" t="s">
        <v>14834</v>
      </c>
      <c r="D2541" s="709" t="s">
        <v>168</v>
      </c>
      <c r="E2541" s="709" t="s">
        <v>8432</v>
      </c>
      <c r="F2541" s="716"/>
      <c r="G2541" s="716">
        <v>95.44</v>
      </c>
      <c r="H2541" s="225">
        <f t="shared" si="39"/>
        <v>95.44</v>
      </c>
    </row>
    <row r="2542" spans="1:8" x14ac:dyDescent="0.3">
      <c r="A2542" s="401"/>
      <c r="B2542" s="709">
        <v>43346</v>
      </c>
      <c r="C2542" s="710" t="s">
        <v>14835</v>
      </c>
      <c r="D2542" s="709" t="s">
        <v>168</v>
      </c>
      <c r="E2542" s="709" t="s">
        <v>8432</v>
      </c>
      <c r="F2542" s="716"/>
      <c r="G2542" s="716">
        <v>97.36</v>
      </c>
      <c r="H2542" s="225">
        <f t="shared" si="39"/>
        <v>97.36</v>
      </c>
    </row>
    <row r="2543" spans="1:8" x14ac:dyDescent="0.3">
      <c r="A2543" s="401"/>
      <c r="B2543" s="709">
        <v>43347</v>
      </c>
      <c r="C2543" s="710" t="s">
        <v>14836</v>
      </c>
      <c r="D2543" s="709" t="s">
        <v>168</v>
      </c>
      <c r="E2543" s="709" t="s">
        <v>8432</v>
      </c>
      <c r="F2543" s="716"/>
      <c r="G2543" s="716">
        <v>109.75</v>
      </c>
      <c r="H2543" s="225">
        <f t="shared" si="39"/>
        <v>109.75</v>
      </c>
    </row>
    <row r="2544" spans="1:8" x14ac:dyDescent="0.3">
      <c r="A2544" s="401"/>
      <c r="B2544" s="709">
        <v>43348</v>
      </c>
      <c r="C2544" s="710" t="s">
        <v>14837</v>
      </c>
      <c r="D2544" s="709" t="s">
        <v>168</v>
      </c>
      <c r="E2544" s="709" t="s">
        <v>8432</v>
      </c>
      <c r="F2544" s="716"/>
      <c r="G2544" s="716">
        <v>121.89</v>
      </c>
      <c r="H2544" s="225">
        <f t="shared" si="39"/>
        <v>121.89</v>
      </c>
    </row>
    <row r="2545" spans="1:8" x14ac:dyDescent="0.3">
      <c r="A2545" s="401"/>
      <c r="B2545" s="709">
        <v>45308</v>
      </c>
      <c r="C2545" s="710" t="s">
        <v>14838</v>
      </c>
      <c r="D2545" s="709" t="s">
        <v>168</v>
      </c>
      <c r="E2545" s="709" t="s">
        <v>8432</v>
      </c>
      <c r="F2545" s="716"/>
      <c r="G2545" s="716">
        <v>135.71</v>
      </c>
      <c r="H2545" s="225">
        <f t="shared" si="39"/>
        <v>135.71</v>
      </c>
    </row>
    <row r="2546" spans="1:8" x14ac:dyDescent="0.3">
      <c r="A2546" s="401"/>
      <c r="B2546" s="709">
        <v>43349</v>
      </c>
      <c r="C2546" s="710" t="s">
        <v>14839</v>
      </c>
      <c r="D2546" s="709" t="s">
        <v>168</v>
      </c>
      <c r="E2546" s="709" t="s">
        <v>8432</v>
      </c>
      <c r="F2546" s="716"/>
      <c r="G2546" s="716">
        <v>83.82</v>
      </c>
      <c r="H2546" s="225">
        <f t="shared" si="39"/>
        <v>83.82</v>
      </c>
    </row>
    <row r="2547" spans="1:8" x14ac:dyDescent="0.3">
      <c r="A2547" s="401"/>
      <c r="B2547" s="709">
        <v>3736</v>
      </c>
      <c r="C2547" s="710" t="s">
        <v>10901</v>
      </c>
      <c r="D2547" s="709" t="s">
        <v>168</v>
      </c>
      <c r="E2547" s="709" t="s">
        <v>8432</v>
      </c>
      <c r="F2547" s="716"/>
      <c r="G2547" s="716">
        <v>43.66</v>
      </c>
      <c r="H2547" s="225">
        <f t="shared" si="39"/>
        <v>43.66</v>
      </c>
    </row>
    <row r="2548" spans="1:8" x14ac:dyDescent="0.3">
      <c r="A2548" s="401"/>
      <c r="B2548" s="709">
        <v>3741</v>
      </c>
      <c r="C2548" s="710" t="s">
        <v>10902</v>
      </c>
      <c r="D2548" s="709" t="s">
        <v>168</v>
      </c>
      <c r="E2548" s="709" t="s">
        <v>8432</v>
      </c>
      <c r="F2548" s="716"/>
      <c r="G2548" s="716">
        <v>47.2</v>
      </c>
      <c r="H2548" s="225">
        <f t="shared" si="39"/>
        <v>47.2</v>
      </c>
    </row>
    <row r="2549" spans="1:8" x14ac:dyDescent="0.3">
      <c r="A2549" s="401"/>
      <c r="B2549" s="709">
        <v>3737</v>
      </c>
      <c r="C2549" s="710" t="s">
        <v>10903</v>
      </c>
      <c r="D2549" s="709" t="s">
        <v>168</v>
      </c>
      <c r="E2549" s="709" t="s">
        <v>8432</v>
      </c>
      <c r="F2549" s="716"/>
      <c r="G2549" s="716">
        <v>64.31</v>
      </c>
      <c r="H2549" s="225">
        <f t="shared" si="39"/>
        <v>64.31</v>
      </c>
    </row>
    <row r="2550" spans="1:8" x14ac:dyDescent="0.3">
      <c r="A2550" s="401"/>
      <c r="B2550" s="709">
        <v>43353</v>
      </c>
      <c r="C2550" s="710" t="s">
        <v>14840</v>
      </c>
      <c r="D2550" s="709" t="s">
        <v>168</v>
      </c>
      <c r="E2550" s="709" t="s">
        <v>8432</v>
      </c>
      <c r="F2550" s="716"/>
      <c r="G2550" s="716">
        <v>70.8</v>
      </c>
      <c r="H2550" s="225">
        <f t="shared" si="39"/>
        <v>70.8</v>
      </c>
    </row>
    <row r="2551" spans="1:8" x14ac:dyDescent="0.3">
      <c r="A2551" s="401"/>
      <c r="B2551" s="709">
        <v>43350</v>
      </c>
      <c r="C2551" s="710" t="s">
        <v>14841</v>
      </c>
      <c r="D2551" s="709" t="s">
        <v>168</v>
      </c>
      <c r="E2551" s="709" t="s">
        <v>8432</v>
      </c>
      <c r="F2551" s="716"/>
      <c r="G2551" s="716">
        <v>88.51</v>
      </c>
      <c r="H2551" s="225">
        <f t="shared" si="39"/>
        <v>88.51</v>
      </c>
    </row>
    <row r="2552" spans="1:8" x14ac:dyDescent="0.3">
      <c r="A2552" s="401"/>
      <c r="B2552" s="709">
        <v>43351</v>
      </c>
      <c r="C2552" s="710" t="s">
        <v>14842</v>
      </c>
      <c r="D2552" s="709" t="s">
        <v>168</v>
      </c>
      <c r="E2552" s="709" t="s">
        <v>8432</v>
      </c>
      <c r="F2552" s="716"/>
      <c r="G2552" s="716">
        <v>97.71</v>
      </c>
      <c r="H2552" s="225">
        <f t="shared" si="39"/>
        <v>97.71</v>
      </c>
    </row>
    <row r="2553" spans="1:8" x14ac:dyDescent="0.3">
      <c r="A2553" s="401"/>
      <c r="B2553" s="709">
        <v>43352</v>
      </c>
      <c r="C2553" s="710" t="s">
        <v>14843</v>
      </c>
      <c r="D2553" s="709" t="s">
        <v>168</v>
      </c>
      <c r="E2553" s="709" t="s">
        <v>8432</v>
      </c>
      <c r="F2553" s="716"/>
      <c r="G2553" s="716">
        <v>119.19</v>
      </c>
      <c r="H2553" s="225">
        <f t="shared" si="39"/>
        <v>119.19</v>
      </c>
    </row>
    <row r="2554" spans="1:8" x14ac:dyDescent="0.3">
      <c r="A2554" s="401"/>
      <c r="B2554" s="709">
        <v>45306</v>
      </c>
      <c r="C2554" s="710" t="s">
        <v>14844</v>
      </c>
      <c r="D2554" s="709" t="s">
        <v>168</v>
      </c>
      <c r="E2554" s="709" t="s">
        <v>8432</v>
      </c>
      <c r="F2554" s="716"/>
      <c r="G2554" s="716">
        <v>154.6</v>
      </c>
      <c r="H2554" s="225">
        <f t="shared" si="39"/>
        <v>154.6</v>
      </c>
    </row>
    <row r="2555" spans="1:8" x14ac:dyDescent="0.3">
      <c r="A2555" s="401"/>
      <c r="B2555" s="709">
        <v>44379</v>
      </c>
      <c r="C2555" s="710" t="s">
        <v>14845</v>
      </c>
      <c r="D2555" s="709" t="s">
        <v>168</v>
      </c>
      <c r="E2555" s="709" t="s">
        <v>8432</v>
      </c>
      <c r="F2555" s="716"/>
      <c r="G2555" s="716">
        <v>100.31</v>
      </c>
      <c r="H2555" s="225">
        <f t="shared" si="39"/>
        <v>100.31</v>
      </c>
    </row>
    <row r="2556" spans="1:8" x14ac:dyDescent="0.3">
      <c r="A2556" s="401"/>
      <c r="B2556" s="709">
        <v>43355</v>
      </c>
      <c r="C2556" s="710" t="s">
        <v>14846</v>
      </c>
      <c r="D2556" s="709" t="s">
        <v>168</v>
      </c>
      <c r="E2556" s="709" t="s">
        <v>8432</v>
      </c>
      <c r="F2556" s="716"/>
      <c r="G2556" s="716">
        <v>116.51</v>
      </c>
      <c r="H2556" s="225">
        <f t="shared" si="39"/>
        <v>116.51</v>
      </c>
    </row>
    <row r="2557" spans="1:8" x14ac:dyDescent="0.3">
      <c r="A2557" s="401"/>
      <c r="B2557" s="709">
        <v>43356</v>
      </c>
      <c r="C2557" s="710" t="s">
        <v>14847</v>
      </c>
      <c r="D2557" s="709" t="s">
        <v>168</v>
      </c>
      <c r="E2557" s="709" t="s">
        <v>8432</v>
      </c>
      <c r="F2557" s="716"/>
      <c r="G2557" s="716">
        <v>137.07</v>
      </c>
      <c r="H2557" s="225">
        <f t="shared" si="39"/>
        <v>137.07</v>
      </c>
    </row>
    <row r="2558" spans="1:8" x14ac:dyDescent="0.3">
      <c r="A2558" s="401"/>
      <c r="B2558" s="709">
        <v>45305</v>
      </c>
      <c r="C2558" s="710" t="s">
        <v>14848</v>
      </c>
      <c r="D2558" s="709" t="s">
        <v>168</v>
      </c>
      <c r="E2558" s="709" t="s">
        <v>8432</v>
      </c>
      <c r="F2558" s="716"/>
      <c r="G2558" s="716">
        <v>167.16</v>
      </c>
      <c r="H2558" s="225">
        <f t="shared" si="39"/>
        <v>167.16</v>
      </c>
    </row>
    <row r="2559" spans="1:8" x14ac:dyDescent="0.3">
      <c r="A2559" s="401"/>
      <c r="B2559" s="709">
        <v>3742</v>
      </c>
      <c r="C2559" s="710" t="s">
        <v>10904</v>
      </c>
      <c r="D2559" s="709" t="s">
        <v>168</v>
      </c>
      <c r="E2559" s="709" t="s">
        <v>8432</v>
      </c>
      <c r="F2559" s="716"/>
      <c r="G2559" s="716">
        <v>62.87</v>
      </c>
      <c r="H2559" s="225">
        <f t="shared" si="39"/>
        <v>62.87</v>
      </c>
    </row>
    <row r="2560" spans="1:8" x14ac:dyDescent="0.3">
      <c r="A2560" s="401"/>
      <c r="B2560" s="709">
        <v>43357</v>
      </c>
      <c r="C2560" s="710" t="s">
        <v>14849</v>
      </c>
      <c r="D2560" s="709" t="s">
        <v>168</v>
      </c>
      <c r="E2560" s="709" t="s">
        <v>8438</v>
      </c>
      <c r="F2560" s="716"/>
      <c r="G2560" s="716">
        <v>77.3</v>
      </c>
      <c r="H2560" s="225">
        <f t="shared" si="39"/>
        <v>77.3</v>
      </c>
    </row>
    <row r="2561" spans="1:8" x14ac:dyDescent="0.3">
      <c r="A2561" s="401"/>
      <c r="B2561" s="709">
        <v>38194</v>
      </c>
      <c r="C2561" s="710" t="s">
        <v>10905</v>
      </c>
      <c r="D2561" s="709" t="s">
        <v>136</v>
      </c>
      <c r="E2561" s="709" t="s">
        <v>8438</v>
      </c>
      <c r="F2561" s="716">
        <v>4.29</v>
      </c>
      <c r="G2561" s="716">
        <v>3.99</v>
      </c>
      <c r="H2561" s="225">
        <f t="shared" si="39"/>
        <v>4.29</v>
      </c>
    </row>
    <row r="2562" spans="1:8" x14ac:dyDescent="0.3">
      <c r="A2562" s="401"/>
      <c r="B2562" s="709">
        <v>38193</v>
      </c>
      <c r="C2562" s="710" t="s">
        <v>10906</v>
      </c>
      <c r="D2562" s="709" t="s">
        <v>136</v>
      </c>
      <c r="E2562" s="709" t="s">
        <v>8432</v>
      </c>
      <c r="F2562" s="716">
        <v>3.72</v>
      </c>
      <c r="G2562" s="716">
        <v>3.46</v>
      </c>
      <c r="H2562" s="225">
        <f t="shared" si="39"/>
        <v>3.72</v>
      </c>
    </row>
    <row r="2563" spans="1:8" x14ac:dyDescent="0.3">
      <c r="A2563" s="401"/>
      <c r="B2563" s="709">
        <v>39388</v>
      </c>
      <c r="C2563" s="710" t="s">
        <v>10907</v>
      </c>
      <c r="D2563" s="709" t="s">
        <v>136</v>
      </c>
      <c r="E2563" s="709" t="s">
        <v>8432</v>
      </c>
      <c r="F2563" s="716">
        <v>5.27</v>
      </c>
      <c r="G2563" s="716">
        <v>4.9000000000000004</v>
      </c>
      <c r="H2563" s="225">
        <f t="shared" si="39"/>
        <v>5.27</v>
      </c>
    </row>
    <row r="2564" spans="1:8" x14ac:dyDescent="0.3">
      <c r="A2564" s="401"/>
      <c r="B2564" s="709">
        <v>39387</v>
      </c>
      <c r="C2564" s="710" t="s">
        <v>10908</v>
      </c>
      <c r="D2564" s="709" t="s">
        <v>136</v>
      </c>
      <c r="E2564" s="709" t="s">
        <v>8432</v>
      </c>
      <c r="F2564" s="716">
        <v>8.2200000000000006</v>
      </c>
      <c r="G2564" s="716">
        <v>7.65</v>
      </c>
      <c r="H2564" s="225">
        <f t="shared" si="39"/>
        <v>8.2200000000000006</v>
      </c>
    </row>
    <row r="2565" spans="1:8" x14ac:dyDescent="0.3">
      <c r="A2565" s="401"/>
      <c r="B2565" s="709">
        <v>39386</v>
      </c>
      <c r="C2565" s="710" t="s">
        <v>10909</v>
      </c>
      <c r="D2565" s="709" t="s">
        <v>136</v>
      </c>
      <c r="E2565" s="709" t="s">
        <v>8432</v>
      </c>
      <c r="F2565" s="716">
        <v>5.73</v>
      </c>
      <c r="G2565" s="716">
        <v>5.33</v>
      </c>
      <c r="H2565" s="225">
        <f t="shared" si="39"/>
        <v>5.73</v>
      </c>
    </row>
    <row r="2566" spans="1:8" x14ac:dyDescent="0.3">
      <c r="A2566" s="401"/>
      <c r="B2566" s="709">
        <v>45229</v>
      </c>
      <c r="C2566" s="710" t="s">
        <v>10910</v>
      </c>
      <c r="D2566" s="709" t="s">
        <v>136</v>
      </c>
      <c r="E2566" s="709" t="s">
        <v>8432</v>
      </c>
      <c r="F2566" s="716">
        <v>2.56</v>
      </c>
      <c r="G2566" s="716">
        <v>2.9</v>
      </c>
      <c r="H2566" s="225">
        <f t="shared" si="39"/>
        <v>2.56</v>
      </c>
    </row>
    <row r="2567" spans="1:8" x14ac:dyDescent="0.3">
      <c r="A2567" s="401"/>
      <c r="B2567" s="709">
        <v>746</v>
      </c>
      <c r="C2567" s="710" t="s">
        <v>10911</v>
      </c>
      <c r="D2567" s="709" t="s">
        <v>136</v>
      </c>
      <c r="E2567" s="709" t="s">
        <v>8438</v>
      </c>
      <c r="F2567" s="716">
        <v>2799</v>
      </c>
      <c r="G2567" s="716">
        <v>2175</v>
      </c>
      <c r="H2567" s="225">
        <f t="shared" si="39"/>
        <v>2799</v>
      </c>
    </row>
    <row r="2568" spans="1:8" x14ac:dyDescent="0.3">
      <c r="A2568" s="401"/>
      <c r="B2568" s="709">
        <v>20269</v>
      </c>
      <c r="C2568" s="710" t="s">
        <v>10912</v>
      </c>
      <c r="D2568" s="709" t="s">
        <v>136</v>
      </c>
      <c r="E2568" s="709" t="s">
        <v>8432</v>
      </c>
      <c r="F2568" s="716">
        <v>129.4</v>
      </c>
      <c r="G2568" s="716">
        <v>120.59</v>
      </c>
      <c r="H2568" s="225">
        <f t="shared" si="39"/>
        <v>129.4</v>
      </c>
    </row>
    <row r="2569" spans="1:8" x14ac:dyDescent="0.3">
      <c r="A2569" s="401"/>
      <c r="B2569" s="709">
        <v>20270</v>
      </c>
      <c r="C2569" s="710" t="s">
        <v>10913</v>
      </c>
      <c r="D2569" s="709" t="s">
        <v>136</v>
      </c>
      <c r="E2569" s="709" t="s">
        <v>8432</v>
      </c>
      <c r="F2569" s="716">
        <v>142.97999999999999</v>
      </c>
      <c r="G2569" s="716">
        <v>133.24</v>
      </c>
      <c r="H2569" s="225">
        <f t="shared" si="39"/>
        <v>142.97999999999999</v>
      </c>
    </row>
    <row r="2570" spans="1:8" x14ac:dyDescent="0.3">
      <c r="A2570" s="401"/>
      <c r="B2570" s="709">
        <v>11696</v>
      </c>
      <c r="C2570" s="710" t="s">
        <v>10914</v>
      </c>
      <c r="D2570" s="709" t="s">
        <v>136</v>
      </c>
      <c r="E2570" s="709" t="s">
        <v>8432</v>
      </c>
      <c r="F2570" s="716">
        <v>228.88</v>
      </c>
      <c r="G2570" s="716">
        <v>213.29</v>
      </c>
      <c r="H2570" s="225">
        <f t="shared" si="39"/>
        <v>228.88</v>
      </c>
    </row>
    <row r="2571" spans="1:8" x14ac:dyDescent="0.3">
      <c r="A2571" s="401"/>
      <c r="B2571" s="709">
        <v>10427</v>
      </c>
      <c r="C2571" s="710" t="s">
        <v>10915</v>
      </c>
      <c r="D2571" s="709" t="s">
        <v>136</v>
      </c>
      <c r="E2571" s="709" t="s">
        <v>8432</v>
      </c>
      <c r="F2571" s="716">
        <v>640.5</v>
      </c>
      <c r="G2571" s="716">
        <v>596.89</v>
      </c>
      <c r="H2571" s="225">
        <f t="shared" ref="H2571:H2634" si="40">IF(F2571&gt;0,F2571,G2571)</f>
        <v>640.5</v>
      </c>
    </row>
    <row r="2572" spans="1:8" x14ac:dyDescent="0.3">
      <c r="A2572" s="401"/>
      <c r="B2572" s="709">
        <v>10428</v>
      </c>
      <c r="C2572" s="710" t="s">
        <v>10916</v>
      </c>
      <c r="D2572" s="709" t="s">
        <v>136</v>
      </c>
      <c r="E2572" s="709" t="s">
        <v>8432</v>
      </c>
      <c r="F2572" s="716">
        <v>659.92</v>
      </c>
      <c r="G2572" s="716">
        <v>614.98</v>
      </c>
      <c r="H2572" s="225">
        <f t="shared" si="40"/>
        <v>659.92</v>
      </c>
    </row>
    <row r="2573" spans="1:8" x14ac:dyDescent="0.3">
      <c r="A2573" s="401"/>
      <c r="B2573" s="709">
        <v>36521</v>
      </c>
      <c r="C2573" s="710" t="s">
        <v>10917</v>
      </c>
      <c r="D2573" s="709" t="s">
        <v>136</v>
      </c>
      <c r="E2573" s="709" t="s">
        <v>8432</v>
      </c>
      <c r="F2573" s="716">
        <v>205.9</v>
      </c>
      <c r="G2573" s="716">
        <v>191.88</v>
      </c>
      <c r="H2573" s="225">
        <f t="shared" si="40"/>
        <v>205.9</v>
      </c>
    </row>
    <row r="2574" spans="1:8" x14ac:dyDescent="0.3">
      <c r="A2574" s="401"/>
      <c r="B2574" s="709">
        <v>36794</v>
      </c>
      <c r="C2574" s="710" t="s">
        <v>10918</v>
      </c>
      <c r="D2574" s="709" t="s">
        <v>136</v>
      </c>
      <c r="E2574" s="709" t="s">
        <v>8432</v>
      </c>
      <c r="F2574" s="716">
        <v>219.2</v>
      </c>
      <c r="G2574" s="716">
        <v>204.28</v>
      </c>
      <c r="H2574" s="225">
        <f t="shared" si="40"/>
        <v>219.2</v>
      </c>
    </row>
    <row r="2575" spans="1:8" x14ac:dyDescent="0.3">
      <c r="A2575" s="401"/>
      <c r="B2575" s="709">
        <v>10426</v>
      </c>
      <c r="C2575" s="710" t="s">
        <v>10919</v>
      </c>
      <c r="D2575" s="709" t="s">
        <v>136</v>
      </c>
      <c r="E2575" s="709" t="s">
        <v>8432</v>
      </c>
      <c r="F2575" s="716">
        <v>245.46</v>
      </c>
      <c r="G2575" s="716">
        <v>228.74</v>
      </c>
      <c r="H2575" s="225">
        <f t="shared" si="40"/>
        <v>245.46</v>
      </c>
    </row>
    <row r="2576" spans="1:8" x14ac:dyDescent="0.3">
      <c r="A2576" s="401"/>
      <c r="B2576" s="709">
        <v>10425</v>
      </c>
      <c r="C2576" s="710" t="s">
        <v>10920</v>
      </c>
      <c r="D2576" s="709" t="s">
        <v>136</v>
      </c>
      <c r="E2576" s="709" t="s">
        <v>8432</v>
      </c>
      <c r="F2576" s="716">
        <v>124.52</v>
      </c>
      <c r="G2576" s="716">
        <v>116.04</v>
      </c>
      <c r="H2576" s="225">
        <f t="shared" si="40"/>
        <v>124.52</v>
      </c>
    </row>
    <row r="2577" spans="1:8" x14ac:dyDescent="0.3">
      <c r="A2577" s="401"/>
      <c r="B2577" s="709">
        <v>10431</v>
      </c>
      <c r="C2577" s="710" t="s">
        <v>10921</v>
      </c>
      <c r="D2577" s="709" t="s">
        <v>136</v>
      </c>
      <c r="E2577" s="709" t="s">
        <v>8432</v>
      </c>
      <c r="F2577" s="716">
        <v>426.33</v>
      </c>
      <c r="G2577" s="716">
        <v>397.3</v>
      </c>
      <c r="H2577" s="225">
        <f t="shared" si="40"/>
        <v>426.33</v>
      </c>
    </row>
    <row r="2578" spans="1:8" x14ac:dyDescent="0.3">
      <c r="A2578" s="401"/>
      <c r="B2578" s="709">
        <v>10429</v>
      </c>
      <c r="C2578" s="710" t="s">
        <v>10922</v>
      </c>
      <c r="D2578" s="709" t="s">
        <v>136</v>
      </c>
      <c r="E2578" s="709" t="s">
        <v>8432</v>
      </c>
      <c r="F2578" s="716">
        <v>210.32</v>
      </c>
      <c r="G2578" s="716">
        <v>195.99</v>
      </c>
      <c r="H2578" s="225">
        <f t="shared" si="40"/>
        <v>210.32</v>
      </c>
    </row>
    <row r="2579" spans="1:8" x14ac:dyDescent="0.3">
      <c r="A2579" s="401"/>
      <c r="B2579" s="709">
        <v>10853</v>
      </c>
      <c r="C2579" s="710" t="s">
        <v>10923</v>
      </c>
      <c r="D2579" s="709" t="s">
        <v>136</v>
      </c>
      <c r="E2579" s="709" t="s">
        <v>8432</v>
      </c>
      <c r="F2579" s="716">
        <v>109.57</v>
      </c>
      <c r="G2579" s="716">
        <v>101.79</v>
      </c>
      <c r="H2579" s="225">
        <f t="shared" si="40"/>
        <v>109.57</v>
      </c>
    </row>
    <row r="2580" spans="1:8" x14ac:dyDescent="0.3">
      <c r="A2580" s="401"/>
      <c r="B2580" s="709">
        <v>5093</v>
      </c>
      <c r="C2580" s="710" t="s">
        <v>10924</v>
      </c>
      <c r="D2580" s="709" t="s">
        <v>8808</v>
      </c>
      <c r="E2580" s="709" t="s">
        <v>8432</v>
      </c>
      <c r="F2580" s="716">
        <v>21.05</v>
      </c>
      <c r="G2580" s="716">
        <v>17.420000000000002</v>
      </c>
      <c r="H2580" s="225">
        <f t="shared" si="40"/>
        <v>21.05</v>
      </c>
    </row>
    <row r="2581" spans="1:8" x14ac:dyDescent="0.3">
      <c r="A2581" s="401"/>
      <c r="B2581" s="709">
        <v>45254</v>
      </c>
      <c r="C2581" s="710" t="s">
        <v>10925</v>
      </c>
      <c r="D2581" s="709" t="s">
        <v>136</v>
      </c>
      <c r="E2581" s="709" t="s">
        <v>8432</v>
      </c>
      <c r="F2581" s="716">
        <v>33.020000000000003</v>
      </c>
      <c r="G2581" s="716">
        <v>32.47</v>
      </c>
      <c r="H2581" s="225">
        <f t="shared" si="40"/>
        <v>33.020000000000003</v>
      </c>
    </row>
    <row r="2582" spans="1:8" x14ac:dyDescent="0.3">
      <c r="A2582" s="401"/>
      <c r="B2582" s="709">
        <v>45253</v>
      </c>
      <c r="C2582" s="710" t="s">
        <v>10926</v>
      </c>
      <c r="D2582" s="709" t="s">
        <v>136</v>
      </c>
      <c r="E2582" s="709" t="s">
        <v>8432</v>
      </c>
      <c r="F2582" s="716">
        <v>42.79</v>
      </c>
      <c r="G2582" s="716">
        <v>42.08</v>
      </c>
      <c r="H2582" s="225">
        <f t="shared" si="40"/>
        <v>42.79</v>
      </c>
    </row>
    <row r="2583" spans="1:8" x14ac:dyDescent="0.3">
      <c r="A2583" s="401"/>
      <c r="B2583" s="709">
        <v>44331</v>
      </c>
      <c r="C2583" s="710" t="s">
        <v>10927</v>
      </c>
      <c r="D2583" s="709" t="s">
        <v>8120</v>
      </c>
      <c r="E2583" s="709" t="s">
        <v>8432</v>
      </c>
      <c r="F2583" s="716">
        <v>56.9</v>
      </c>
      <c r="G2583" s="716">
        <v>67.13</v>
      </c>
      <c r="H2583" s="225">
        <f t="shared" si="40"/>
        <v>56.9</v>
      </c>
    </row>
    <row r="2584" spans="1:8" x14ac:dyDescent="0.3">
      <c r="A2584" s="401"/>
      <c r="B2584" s="709">
        <v>37768</v>
      </c>
      <c r="C2584" s="710" t="s">
        <v>10928</v>
      </c>
      <c r="D2584" s="709" t="s">
        <v>136</v>
      </c>
      <c r="E2584" s="709" t="s">
        <v>8438</v>
      </c>
      <c r="F2584" s="716"/>
      <c r="G2584" s="716">
        <v>315650</v>
      </c>
      <c r="H2584" s="225">
        <f t="shared" si="40"/>
        <v>315650</v>
      </c>
    </row>
    <row r="2585" spans="1:8" x14ac:dyDescent="0.3">
      <c r="A2585" s="401"/>
      <c r="B2585" s="709">
        <v>38382</v>
      </c>
      <c r="C2585" s="710" t="s">
        <v>10929</v>
      </c>
      <c r="D2585" s="709" t="s">
        <v>136</v>
      </c>
      <c r="E2585" s="709" t="s">
        <v>8432</v>
      </c>
      <c r="F2585" s="716">
        <v>14.7</v>
      </c>
      <c r="G2585" s="716">
        <v>16.649999999999999</v>
      </c>
      <c r="H2585" s="225">
        <f t="shared" si="40"/>
        <v>14.7</v>
      </c>
    </row>
    <row r="2586" spans="1:8" x14ac:dyDescent="0.3">
      <c r="A2586" s="401"/>
      <c r="B2586" s="709">
        <v>38383</v>
      </c>
      <c r="C2586" s="710" t="s">
        <v>10930</v>
      </c>
      <c r="D2586" s="709" t="s">
        <v>136</v>
      </c>
      <c r="E2586" s="709" t="s">
        <v>8432</v>
      </c>
      <c r="F2586" s="716">
        <v>2.34</v>
      </c>
      <c r="G2586" s="716">
        <v>2.65</v>
      </c>
      <c r="H2586" s="225">
        <f t="shared" si="40"/>
        <v>2.34</v>
      </c>
    </row>
    <row r="2587" spans="1:8" x14ac:dyDescent="0.3">
      <c r="A2587" s="401"/>
      <c r="B2587" s="709">
        <v>3768</v>
      </c>
      <c r="C2587" s="710" t="s">
        <v>10931</v>
      </c>
      <c r="D2587" s="709" t="s">
        <v>136</v>
      </c>
      <c r="E2587" s="709" t="s">
        <v>8432</v>
      </c>
      <c r="F2587" s="716">
        <v>4.4400000000000004</v>
      </c>
      <c r="G2587" s="716">
        <v>4.03</v>
      </c>
      <c r="H2587" s="225">
        <f t="shared" si="40"/>
        <v>4.4400000000000004</v>
      </c>
    </row>
    <row r="2588" spans="1:8" x14ac:dyDescent="0.3">
      <c r="A2588" s="401"/>
      <c r="B2588" s="709">
        <v>3767</v>
      </c>
      <c r="C2588" s="710" t="s">
        <v>10932</v>
      </c>
      <c r="D2588" s="709" t="s">
        <v>136</v>
      </c>
      <c r="E2588" s="709" t="s">
        <v>8432</v>
      </c>
      <c r="F2588" s="716">
        <v>1.48</v>
      </c>
      <c r="G2588" s="716">
        <v>1.35</v>
      </c>
      <c r="H2588" s="225">
        <f t="shared" si="40"/>
        <v>1.48</v>
      </c>
    </row>
    <row r="2589" spans="1:8" x14ac:dyDescent="0.3">
      <c r="A2589" s="401"/>
      <c r="B2589" s="709">
        <v>42440</v>
      </c>
      <c r="C2589" s="710" t="s">
        <v>10933</v>
      </c>
      <c r="D2589" s="709" t="s">
        <v>136</v>
      </c>
      <c r="E2589" s="709" t="s">
        <v>8432</v>
      </c>
      <c r="F2589" s="716"/>
      <c r="G2589" s="716">
        <v>1235.9100000000001</v>
      </c>
      <c r="H2589" s="225">
        <f t="shared" si="40"/>
        <v>1235.9100000000001</v>
      </c>
    </row>
    <row r="2590" spans="1:8" x14ac:dyDescent="0.3">
      <c r="A2590" s="401"/>
      <c r="B2590" s="709">
        <v>20193</v>
      </c>
      <c r="C2590" s="710" t="s">
        <v>10934</v>
      </c>
      <c r="D2590" s="709" t="s">
        <v>10935</v>
      </c>
      <c r="E2590" s="709" t="s">
        <v>8432</v>
      </c>
      <c r="F2590" s="716">
        <v>22.5</v>
      </c>
      <c r="G2590" s="716">
        <v>21.75</v>
      </c>
      <c r="H2590" s="225">
        <f t="shared" si="40"/>
        <v>22.5</v>
      </c>
    </row>
    <row r="2591" spans="1:8" x14ac:dyDescent="0.3">
      <c r="A2591" s="401"/>
      <c r="B2591" s="709">
        <v>10527</v>
      </c>
      <c r="C2591" s="710" t="s">
        <v>10936</v>
      </c>
      <c r="D2591" s="709" t="s">
        <v>10937</v>
      </c>
      <c r="E2591" s="709" t="s">
        <v>8438</v>
      </c>
      <c r="F2591" s="716">
        <v>30</v>
      </c>
      <c r="G2591" s="716">
        <v>29</v>
      </c>
      <c r="H2591" s="225">
        <f t="shared" si="40"/>
        <v>30</v>
      </c>
    </row>
    <row r="2592" spans="1:8" x14ac:dyDescent="0.3">
      <c r="A2592" s="401"/>
      <c r="B2592" s="709">
        <v>41805</v>
      </c>
      <c r="C2592" s="710" t="s">
        <v>10938</v>
      </c>
      <c r="D2592" s="709" t="s">
        <v>208</v>
      </c>
      <c r="E2592" s="709" t="s">
        <v>8432</v>
      </c>
      <c r="F2592" s="716">
        <v>862.5</v>
      </c>
      <c r="G2592" s="716">
        <v>833.75</v>
      </c>
      <c r="H2592" s="225">
        <f t="shared" si="40"/>
        <v>862.5</v>
      </c>
    </row>
    <row r="2593" spans="1:8" x14ac:dyDescent="0.3">
      <c r="A2593" s="401"/>
      <c r="B2593" s="709">
        <v>40271</v>
      </c>
      <c r="C2593" s="710" t="s">
        <v>10939</v>
      </c>
      <c r="D2593" s="709" t="s">
        <v>10940</v>
      </c>
      <c r="E2593" s="709" t="s">
        <v>8432</v>
      </c>
      <c r="F2593" s="716">
        <v>22.96</v>
      </c>
      <c r="G2593" s="716">
        <v>22.19</v>
      </c>
      <c r="H2593" s="225">
        <f t="shared" si="40"/>
        <v>22.96</v>
      </c>
    </row>
    <row r="2594" spans="1:8" x14ac:dyDescent="0.3">
      <c r="A2594" s="401"/>
      <c r="B2594" s="709">
        <v>40287</v>
      </c>
      <c r="C2594" s="710" t="s">
        <v>10941</v>
      </c>
      <c r="D2594" s="709" t="s">
        <v>208</v>
      </c>
      <c r="E2594" s="709" t="s">
        <v>8432</v>
      </c>
      <c r="F2594" s="716">
        <v>8.84</v>
      </c>
      <c r="G2594" s="716">
        <v>8.5399999999999991</v>
      </c>
      <c r="H2594" s="225">
        <f t="shared" si="40"/>
        <v>8.84</v>
      </c>
    </row>
    <row r="2595" spans="1:8" x14ac:dyDescent="0.3">
      <c r="A2595" s="401"/>
      <c r="B2595" s="709">
        <v>10779</v>
      </c>
      <c r="C2595" s="710" t="s">
        <v>10942</v>
      </c>
      <c r="D2595" s="709" t="s">
        <v>208</v>
      </c>
      <c r="E2595" s="709" t="s">
        <v>8432</v>
      </c>
      <c r="F2595" s="716">
        <v>1453.12</v>
      </c>
      <c r="G2595" s="716">
        <v>1090.6199999999999</v>
      </c>
      <c r="H2595" s="225">
        <f t="shared" si="40"/>
        <v>1453.12</v>
      </c>
    </row>
    <row r="2596" spans="1:8" x14ac:dyDescent="0.3">
      <c r="A2596" s="401"/>
      <c r="B2596" s="709">
        <v>10777</v>
      </c>
      <c r="C2596" s="710" t="s">
        <v>207</v>
      </c>
      <c r="D2596" s="709" t="s">
        <v>208</v>
      </c>
      <c r="E2596" s="709" t="s">
        <v>8432</v>
      </c>
      <c r="F2596" s="716">
        <v>1319.92</v>
      </c>
      <c r="G2596" s="716">
        <v>990.65</v>
      </c>
      <c r="H2596" s="225">
        <f t="shared" si="40"/>
        <v>1319.92</v>
      </c>
    </row>
    <row r="2597" spans="1:8" x14ac:dyDescent="0.3">
      <c r="A2597" s="401"/>
      <c r="B2597" s="709">
        <v>10775</v>
      </c>
      <c r="C2597" s="710" t="s">
        <v>10943</v>
      </c>
      <c r="D2597" s="709" t="s">
        <v>208</v>
      </c>
      <c r="E2597" s="709" t="s">
        <v>8438</v>
      </c>
      <c r="F2597" s="716">
        <v>1162.5</v>
      </c>
      <c r="G2597" s="716">
        <v>872.5</v>
      </c>
      <c r="H2597" s="225">
        <f t="shared" si="40"/>
        <v>1162.5</v>
      </c>
    </row>
    <row r="2598" spans="1:8" x14ac:dyDescent="0.3">
      <c r="A2598" s="401"/>
      <c r="B2598" s="709">
        <v>10776</v>
      </c>
      <c r="C2598" s="710" t="s">
        <v>209</v>
      </c>
      <c r="D2598" s="709" t="s">
        <v>208</v>
      </c>
      <c r="E2598" s="709" t="s">
        <v>8432</v>
      </c>
      <c r="F2598" s="716">
        <v>908.2</v>
      </c>
      <c r="G2598" s="716">
        <v>681.64</v>
      </c>
      <c r="H2598" s="225">
        <f t="shared" si="40"/>
        <v>908.2</v>
      </c>
    </row>
    <row r="2599" spans="1:8" x14ac:dyDescent="0.3">
      <c r="A2599" s="401"/>
      <c r="B2599" s="709">
        <v>10778</v>
      </c>
      <c r="C2599" s="710" t="s">
        <v>10944</v>
      </c>
      <c r="D2599" s="709" t="s">
        <v>208</v>
      </c>
      <c r="E2599" s="709" t="s">
        <v>8432</v>
      </c>
      <c r="F2599" s="716">
        <v>1453.12</v>
      </c>
      <c r="G2599" s="716">
        <v>1090.6199999999999</v>
      </c>
      <c r="H2599" s="225">
        <f t="shared" si="40"/>
        <v>1453.12</v>
      </c>
    </row>
    <row r="2600" spans="1:8" x14ac:dyDescent="0.3">
      <c r="A2600" s="401"/>
      <c r="B2600" s="709">
        <v>40339</v>
      </c>
      <c r="C2600" s="710" t="s">
        <v>10945</v>
      </c>
      <c r="D2600" s="709" t="s">
        <v>10940</v>
      </c>
      <c r="E2600" s="709" t="s">
        <v>8432</v>
      </c>
      <c r="F2600" s="716">
        <v>8.0500000000000007</v>
      </c>
      <c r="G2600" s="716">
        <v>7.78</v>
      </c>
      <c r="H2600" s="225">
        <f t="shared" si="40"/>
        <v>8.0500000000000007</v>
      </c>
    </row>
    <row r="2601" spans="1:8" x14ac:dyDescent="0.3">
      <c r="A2601" s="401"/>
      <c r="B2601" s="709">
        <v>10749</v>
      </c>
      <c r="C2601" s="710" t="s">
        <v>10946</v>
      </c>
      <c r="D2601" s="709" t="s">
        <v>10940</v>
      </c>
      <c r="E2601" s="709" t="s">
        <v>8432</v>
      </c>
      <c r="F2601" s="716">
        <v>26.62</v>
      </c>
      <c r="G2601" s="716">
        <v>25.73</v>
      </c>
      <c r="H2601" s="225">
        <f t="shared" si="40"/>
        <v>26.62</v>
      </c>
    </row>
    <row r="2602" spans="1:8" x14ac:dyDescent="0.3">
      <c r="A2602" s="401"/>
      <c r="B2602" s="709">
        <v>40290</v>
      </c>
      <c r="C2602" s="710" t="s">
        <v>10947</v>
      </c>
      <c r="D2602" s="709" t="s">
        <v>10940</v>
      </c>
      <c r="E2602" s="709" t="s">
        <v>8432</v>
      </c>
      <c r="F2602" s="716">
        <v>14.4</v>
      </c>
      <c r="G2602" s="716">
        <v>13.92</v>
      </c>
      <c r="H2602" s="225">
        <f t="shared" si="40"/>
        <v>14.4</v>
      </c>
    </row>
    <row r="2603" spans="1:8" x14ac:dyDescent="0.3">
      <c r="A2603" s="401"/>
      <c r="B2603" s="709">
        <v>3346</v>
      </c>
      <c r="C2603" s="710" t="s">
        <v>10948</v>
      </c>
      <c r="D2603" s="709" t="s">
        <v>234</v>
      </c>
      <c r="E2603" s="709" t="s">
        <v>8438</v>
      </c>
      <c r="F2603" s="716">
        <v>23.89</v>
      </c>
      <c r="G2603" s="716">
        <v>26.98</v>
      </c>
      <c r="H2603" s="225">
        <f t="shared" si="40"/>
        <v>23.89</v>
      </c>
    </row>
    <row r="2604" spans="1:8" x14ac:dyDescent="0.3">
      <c r="A2604" s="401"/>
      <c r="B2604" s="709">
        <v>3348</v>
      </c>
      <c r="C2604" s="710" t="s">
        <v>10949</v>
      </c>
      <c r="D2604" s="709" t="s">
        <v>234</v>
      </c>
      <c r="E2604" s="709" t="s">
        <v>8432</v>
      </c>
      <c r="F2604" s="716">
        <v>28.58</v>
      </c>
      <c r="G2604" s="716">
        <v>32.270000000000003</v>
      </c>
      <c r="H2604" s="225">
        <f t="shared" si="40"/>
        <v>28.58</v>
      </c>
    </row>
    <row r="2605" spans="1:8" x14ac:dyDescent="0.3">
      <c r="A2605" s="401"/>
      <c r="B2605" s="709">
        <v>39833</v>
      </c>
      <c r="C2605" s="710" t="s">
        <v>10950</v>
      </c>
      <c r="D2605" s="709" t="s">
        <v>234</v>
      </c>
      <c r="E2605" s="709" t="s">
        <v>8432</v>
      </c>
      <c r="F2605" s="716">
        <v>39.14</v>
      </c>
      <c r="G2605" s="716">
        <v>44.21</v>
      </c>
      <c r="H2605" s="225">
        <f t="shared" si="40"/>
        <v>39.14</v>
      </c>
    </row>
    <row r="2606" spans="1:8" x14ac:dyDescent="0.3">
      <c r="A2606" s="401"/>
      <c r="B2606" s="709">
        <v>7252</v>
      </c>
      <c r="C2606" s="710" t="s">
        <v>10951</v>
      </c>
      <c r="D2606" s="709" t="s">
        <v>234</v>
      </c>
      <c r="E2606" s="709" t="s">
        <v>8432</v>
      </c>
      <c r="F2606" s="716"/>
      <c r="G2606" s="716">
        <v>2.81</v>
      </c>
      <c r="H2606" s="225">
        <f t="shared" si="40"/>
        <v>2.81</v>
      </c>
    </row>
    <row r="2607" spans="1:8" x14ac:dyDescent="0.3">
      <c r="A2607" s="401"/>
      <c r="B2607" s="709">
        <v>7247</v>
      </c>
      <c r="C2607" s="710" t="s">
        <v>10952</v>
      </c>
      <c r="D2607" s="709" t="s">
        <v>234</v>
      </c>
      <c r="E2607" s="709" t="s">
        <v>8438</v>
      </c>
      <c r="F2607" s="716"/>
      <c r="G2607" s="716">
        <v>2.81</v>
      </c>
      <c r="H2607" s="225">
        <f t="shared" si="40"/>
        <v>2.81</v>
      </c>
    </row>
    <row r="2608" spans="1:8" x14ac:dyDescent="0.3">
      <c r="A2608" s="401"/>
      <c r="B2608" s="709">
        <v>40291</v>
      </c>
      <c r="C2608" s="710" t="s">
        <v>10953</v>
      </c>
      <c r="D2608" s="709" t="s">
        <v>10940</v>
      </c>
      <c r="E2608" s="709" t="s">
        <v>8432</v>
      </c>
      <c r="F2608" s="716">
        <v>750</v>
      </c>
      <c r="G2608" s="716">
        <v>725</v>
      </c>
      <c r="H2608" s="225">
        <f t="shared" si="40"/>
        <v>750</v>
      </c>
    </row>
    <row r="2609" spans="1:8" x14ac:dyDescent="0.3">
      <c r="A2609" s="401"/>
      <c r="B2609" s="709">
        <v>40275</v>
      </c>
      <c r="C2609" s="710" t="s">
        <v>10954</v>
      </c>
      <c r="D2609" s="709" t="s">
        <v>10940</v>
      </c>
      <c r="E2609" s="709" t="s">
        <v>8432</v>
      </c>
      <c r="F2609" s="716">
        <v>24</v>
      </c>
      <c r="G2609" s="716">
        <v>23.2</v>
      </c>
      <c r="H2609" s="225">
        <f t="shared" si="40"/>
        <v>24</v>
      </c>
    </row>
    <row r="2610" spans="1:8" x14ac:dyDescent="0.3">
      <c r="A2610" s="401"/>
      <c r="B2610" s="709">
        <v>42408</v>
      </c>
      <c r="C2610" s="710" t="s">
        <v>10955</v>
      </c>
      <c r="D2610" s="709" t="s">
        <v>168</v>
      </c>
      <c r="E2610" s="709" t="s">
        <v>8432</v>
      </c>
      <c r="F2610" s="716">
        <v>2.2400000000000002</v>
      </c>
      <c r="G2610" s="716">
        <v>2.5299999999999998</v>
      </c>
      <c r="H2610" s="225">
        <f t="shared" si="40"/>
        <v>2.2400000000000002</v>
      </c>
    </row>
    <row r="2611" spans="1:8" x14ac:dyDescent="0.3">
      <c r="A2611" s="401"/>
      <c r="B2611" s="709">
        <v>3777</v>
      </c>
      <c r="C2611" s="710" t="s">
        <v>10956</v>
      </c>
      <c r="D2611" s="709" t="s">
        <v>168</v>
      </c>
      <c r="E2611" s="709" t="s">
        <v>8432</v>
      </c>
      <c r="F2611" s="716">
        <v>1.97</v>
      </c>
      <c r="G2611" s="716">
        <v>2.23</v>
      </c>
      <c r="H2611" s="225">
        <f t="shared" si="40"/>
        <v>1.97</v>
      </c>
    </row>
    <row r="2612" spans="1:8" x14ac:dyDescent="0.3">
      <c r="A2612" s="401"/>
      <c r="B2612" s="709">
        <v>44699</v>
      </c>
      <c r="C2612" s="710" t="s">
        <v>10957</v>
      </c>
      <c r="D2612" s="709" t="s">
        <v>175</v>
      </c>
      <c r="E2612" s="709" t="s">
        <v>8432</v>
      </c>
      <c r="F2612" s="716">
        <v>51.5</v>
      </c>
      <c r="G2612" s="716">
        <v>52.54</v>
      </c>
      <c r="H2612" s="225">
        <f t="shared" si="40"/>
        <v>51.5</v>
      </c>
    </row>
    <row r="2613" spans="1:8" x14ac:dyDescent="0.3">
      <c r="A2613" s="401"/>
      <c r="B2613" s="709">
        <v>3798</v>
      </c>
      <c r="C2613" s="710" t="s">
        <v>10958</v>
      </c>
      <c r="D2613" s="709" t="s">
        <v>136</v>
      </c>
      <c r="E2613" s="709" t="s">
        <v>8432</v>
      </c>
      <c r="F2613" s="716"/>
      <c r="G2613" s="716">
        <v>64.17</v>
      </c>
      <c r="H2613" s="225">
        <f t="shared" si="40"/>
        <v>64.17</v>
      </c>
    </row>
    <row r="2614" spans="1:8" x14ac:dyDescent="0.3">
      <c r="A2614" s="401"/>
      <c r="B2614" s="709">
        <v>38769</v>
      </c>
      <c r="C2614" s="710" t="s">
        <v>10959</v>
      </c>
      <c r="D2614" s="709" t="s">
        <v>136</v>
      </c>
      <c r="E2614" s="709" t="s">
        <v>8432</v>
      </c>
      <c r="F2614" s="716"/>
      <c r="G2614" s="716">
        <v>50.11</v>
      </c>
      <c r="H2614" s="225">
        <f t="shared" si="40"/>
        <v>50.11</v>
      </c>
    </row>
    <row r="2615" spans="1:8" x14ac:dyDescent="0.3">
      <c r="A2615" s="401"/>
      <c r="B2615" s="709">
        <v>38774</v>
      </c>
      <c r="C2615" s="710" t="s">
        <v>10960</v>
      </c>
      <c r="D2615" s="709" t="s">
        <v>136</v>
      </c>
      <c r="E2615" s="709" t="s">
        <v>8432</v>
      </c>
      <c r="F2615" s="716">
        <v>10.77</v>
      </c>
      <c r="G2615" s="716">
        <v>10.02</v>
      </c>
      <c r="H2615" s="225">
        <f t="shared" si="40"/>
        <v>10.77</v>
      </c>
    </row>
    <row r="2616" spans="1:8" x14ac:dyDescent="0.3">
      <c r="A2616" s="401"/>
      <c r="B2616" s="709">
        <v>42247</v>
      </c>
      <c r="C2616" s="710" t="s">
        <v>10961</v>
      </c>
      <c r="D2616" s="709" t="s">
        <v>136</v>
      </c>
      <c r="E2616" s="709" t="s">
        <v>8432</v>
      </c>
      <c r="F2616" s="716">
        <v>367.86</v>
      </c>
      <c r="G2616" s="716">
        <v>342.13</v>
      </c>
      <c r="H2616" s="225">
        <f t="shared" si="40"/>
        <v>367.86</v>
      </c>
    </row>
    <row r="2617" spans="1:8" x14ac:dyDescent="0.3">
      <c r="A2617" s="401"/>
      <c r="B2617" s="709">
        <v>42248</v>
      </c>
      <c r="C2617" s="710" t="s">
        <v>10962</v>
      </c>
      <c r="D2617" s="709" t="s">
        <v>136</v>
      </c>
      <c r="E2617" s="709" t="s">
        <v>8432</v>
      </c>
      <c r="F2617" s="716">
        <v>427.3</v>
      </c>
      <c r="G2617" s="716">
        <v>397.42</v>
      </c>
      <c r="H2617" s="225">
        <f t="shared" si="40"/>
        <v>427.3</v>
      </c>
    </row>
    <row r="2618" spans="1:8" x14ac:dyDescent="0.3">
      <c r="A2618" s="401"/>
      <c r="B2618" s="709">
        <v>42249</v>
      </c>
      <c r="C2618" s="710" t="s">
        <v>10963</v>
      </c>
      <c r="D2618" s="709" t="s">
        <v>136</v>
      </c>
      <c r="E2618" s="709" t="s">
        <v>8432</v>
      </c>
      <c r="F2618" s="716">
        <v>707.88</v>
      </c>
      <c r="G2618" s="716">
        <v>658.38</v>
      </c>
      <c r="H2618" s="225">
        <f t="shared" si="40"/>
        <v>707.88</v>
      </c>
    </row>
    <row r="2619" spans="1:8" x14ac:dyDescent="0.3">
      <c r="A2619" s="401"/>
      <c r="B2619" s="709">
        <v>42244</v>
      </c>
      <c r="C2619" s="710" t="s">
        <v>10964</v>
      </c>
      <c r="D2619" s="709" t="s">
        <v>136</v>
      </c>
      <c r="E2619" s="709" t="s">
        <v>8432</v>
      </c>
      <c r="F2619" s="716">
        <v>110.55</v>
      </c>
      <c r="G2619" s="716">
        <v>102.82</v>
      </c>
      <c r="H2619" s="225">
        <f t="shared" si="40"/>
        <v>110.55</v>
      </c>
    </row>
    <row r="2620" spans="1:8" x14ac:dyDescent="0.3">
      <c r="A2620" s="401"/>
      <c r="B2620" s="709">
        <v>42245</v>
      </c>
      <c r="C2620" s="710" t="s">
        <v>10965</v>
      </c>
      <c r="D2620" s="709" t="s">
        <v>136</v>
      </c>
      <c r="E2620" s="709" t="s">
        <v>8432</v>
      </c>
      <c r="F2620" s="716">
        <v>204</v>
      </c>
      <c r="G2620" s="716">
        <v>189.73</v>
      </c>
      <c r="H2620" s="225">
        <f t="shared" si="40"/>
        <v>204</v>
      </c>
    </row>
    <row r="2621" spans="1:8" x14ac:dyDescent="0.3">
      <c r="A2621" s="401"/>
      <c r="B2621" s="709">
        <v>42246</v>
      </c>
      <c r="C2621" s="710" t="s">
        <v>10966</v>
      </c>
      <c r="D2621" s="709" t="s">
        <v>136</v>
      </c>
      <c r="E2621" s="709" t="s">
        <v>8432</v>
      </c>
      <c r="F2621" s="716">
        <v>225.81</v>
      </c>
      <c r="G2621" s="716">
        <v>210.02</v>
      </c>
      <c r="H2621" s="225">
        <f t="shared" si="40"/>
        <v>225.81</v>
      </c>
    </row>
    <row r="2622" spans="1:8" x14ac:dyDescent="0.3">
      <c r="A2622" s="401"/>
      <c r="B2622" s="709">
        <v>42243</v>
      </c>
      <c r="C2622" s="710" t="s">
        <v>10967</v>
      </c>
      <c r="D2622" s="709" t="s">
        <v>136</v>
      </c>
      <c r="E2622" s="709" t="s">
        <v>8432</v>
      </c>
      <c r="F2622" s="716">
        <v>272.29000000000002</v>
      </c>
      <c r="G2622" s="716">
        <v>253.25</v>
      </c>
      <c r="H2622" s="225">
        <f t="shared" si="40"/>
        <v>272.29000000000002</v>
      </c>
    </row>
    <row r="2623" spans="1:8" x14ac:dyDescent="0.3">
      <c r="A2623" s="401"/>
      <c r="B2623" s="709">
        <v>38889</v>
      </c>
      <c r="C2623" s="710" t="s">
        <v>10968</v>
      </c>
      <c r="D2623" s="709" t="s">
        <v>136</v>
      </c>
      <c r="E2623" s="709" t="s">
        <v>8432</v>
      </c>
      <c r="F2623" s="716"/>
      <c r="G2623" s="716">
        <v>38.409999999999997</v>
      </c>
      <c r="H2623" s="225">
        <f t="shared" si="40"/>
        <v>38.409999999999997</v>
      </c>
    </row>
    <row r="2624" spans="1:8" x14ac:dyDescent="0.3">
      <c r="A2624" s="401"/>
      <c r="B2624" s="709">
        <v>38784</v>
      </c>
      <c r="C2624" s="710" t="s">
        <v>10969</v>
      </c>
      <c r="D2624" s="709" t="s">
        <v>136</v>
      </c>
      <c r="E2624" s="709" t="s">
        <v>8432</v>
      </c>
      <c r="F2624" s="716"/>
      <c r="G2624" s="716">
        <v>51.38</v>
      </c>
      <c r="H2624" s="225">
        <f t="shared" si="40"/>
        <v>51.38</v>
      </c>
    </row>
    <row r="2625" spans="1:8" x14ac:dyDescent="0.3">
      <c r="A2625" s="401"/>
      <c r="B2625" s="709">
        <v>3780</v>
      </c>
      <c r="C2625" s="710" t="s">
        <v>10970</v>
      </c>
      <c r="D2625" s="709" t="s">
        <v>136</v>
      </c>
      <c r="E2625" s="709" t="s">
        <v>8438</v>
      </c>
      <c r="F2625" s="716"/>
      <c r="G2625" s="716">
        <v>79.010000000000005</v>
      </c>
      <c r="H2625" s="225">
        <f t="shared" si="40"/>
        <v>79.010000000000005</v>
      </c>
    </row>
    <row r="2626" spans="1:8" x14ac:dyDescent="0.3">
      <c r="A2626" s="401"/>
      <c r="B2626" s="709">
        <v>38773</v>
      </c>
      <c r="C2626" s="710" t="s">
        <v>10971</v>
      </c>
      <c r="D2626" s="709" t="s">
        <v>136</v>
      </c>
      <c r="E2626" s="709" t="s">
        <v>8432</v>
      </c>
      <c r="F2626" s="716"/>
      <c r="G2626" s="716">
        <v>5.04</v>
      </c>
      <c r="H2626" s="225">
        <f t="shared" si="40"/>
        <v>5.04</v>
      </c>
    </row>
    <row r="2627" spans="1:8" x14ac:dyDescent="0.3">
      <c r="A2627" s="401"/>
      <c r="B2627" s="709">
        <v>12271</v>
      </c>
      <c r="C2627" s="710" t="s">
        <v>10972</v>
      </c>
      <c r="D2627" s="709" t="s">
        <v>136</v>
      </c>
      <c r="E2627" s="709" t="s">
        <v>8432</v>
      </c>
      <c r="F2627" s="716"/>
      <c r="G2627" s="716">
        <v>281.02</v>
      </c>
      <c r="H2627" s="225">
        <f t="shared" si="40"/>
        <v>281.02</v>
      </c>
    </row>
    <row r="2628" spans="1:8" x14ac:dyDescent="0.3">
      <c r="A2628" s="401"/>
      <c r="B2628" s="709">
        <v>39385</v>
      </c>
      <c r="C2628" s="710" t="s">
        <v>10973</v>
      </c>
      <c r="D2628" s="709" t="s">
        <v>136</v>
      </c>
      <c r="E2628" s="709" t="s">
        <v>8432</v>
      </c>
      <c r="F2628" s="716">
        <v>9.85</v>
      </c>
      <c r="G2628" s="716">
        <v>9.16</v>
      </c>
      <c r="H2628" s="225">
        <f t="shared" si="40"/>
        <v>9.85</v>
      </c>
    </row>
    <row r="2629" spans="1:8" x14ac:dyDescent="0.3">
      <c r="A2629" s="401"/>
      <c r="B2629" s="709">
        <v>39389</v>
      </c>
      <c r="C2629" s="710" t="s">
        <v>10974</v>
      </c>
      <c r="D2629" s="709" t="s">
        <v>136</v>
      </c>
      <c r="E2629" s="709" t="s">
        <v>8432</v>
      </c>
      <c r="F2629" s="716">
        <v>10.69</v>
      </c>
      <c r="G2629" s="716">
        <v>9.94</v>
      </c>
      <c r="H2629" s="225">
        <f t="shared" si="40"/>
        <v>10.69</v>
      </c>
    </row>
    <row r="2630" spans="1:8" x14ac:dyDescent="0.3">
      <c r="A2630" s="401"/>
      <c r="B2630" s="709">
        <v>39390</v>
      </c>
      <c r="C2630" s="710" t="s">
        <v>10975</v>
      </c>
      <c r="D2630" s="709" t="s">
        <v>136</v>
      </c>
      <c r="E2630" s="709" t="s">
        <v>8432</v>
      </c>
      <c r="F2630" s="716">
        <v>22.42</v>
      </c>
      <c r="G2630" s="716">
        <v>20.85</v>
      </c>
      <c r="H2630" s="225">
        <f t="shared" si="40"/>
        <v>22.42</v>
      </c>
    </row>
    <row r="2631" spans="1:8" x14ac:dyDescent="0.3">
      <c r="A2631" s="401"/>
      <c r="B2631" s="709">
        <v>39391</v>
      </c>
      <c r="C2631" s="710" t="s">
        <v>10976</v>
      </c>
      <c r="D2631" s="709" t="s">
        <v>136</v>
      </c>
      <c r="E2631" s="709" t="s">
        <v>8432</v>
      </c>
      <c r="F2631" s="716">
        <v>25.17</v>
      </c>
      <c r="G2631" s="716">
        <v>23.41</v>
      </c>
      <c r="H2631" s="225">
        <f t="shared" si="40"/>
        <v>25.17</v>
      </c>
    </row>
    <row r="2632" spans="1:8" x14ac:dyDescent="0.3">
      <c r="A2632" s="401"/>
      <c r="B2632" s="709">
        <v>3803</v>
      </c>
      <c r="C2632" s="710" t="s">
        <v>10977</v>
      </c>
      <c r="D2632" s="709" t="s">
        <v>136</v>
      </c>
      <c r="E2632" s="709" t="s">
        <v>8432</v>
      </c>
      <c r="F2632" s="716"/>
      <c r="G2632" s="716">
        <v>47.52</v>
      </c>
      <c r="H2632" s="225">
        <f t="shared" si="40"/>
        <v>47.52</v>
      </c>
    </row>
    <row r="2633" spans="1:8" x14ac:dyDescent="0.3">
      <c r="A2633" s="401"/>
      <c r="B2633" s="709">
        <v>38770</v>
      </c>
      <c r="C2633" s="710" t="s">
        <v>10978</v>
      </c>
      <c r="D2633" s="709" t="s">
        <v>136</v>
      </c>
      <c r="E2633" s="709" t="s">
        <v>8432</v>
      </c>
      <c r="F2633" s="716"/>
      <c r="G2633" s="716">
        <v>55.02</v>
      </c>
      <c r="H2633" s="225">
        <f t="shared" si="40"/>
        <v>55.02</v>
      </c>
    </row>
    <row r="2634" spans="1:8" x14ac:dyDescent="0.3">
      <c r="A2634" s="401"/>
      <c r="B2634" s="709">
        <v>12267</v>
      </c>
      <c r="C2634" s="710" t="s">
        <v>10979</v>
      </c>
      <c r="D2634" s="709" t="s">
        <v>136</v>
      </c>
      <c r="E2634" s="709" t="s">
        <v>8432</v>
      </c>
      <c r="F2634" s="716"/>
      <c r="G2634" s="716">
        <v>161.24</v>
      </c>
      <c r="H2634" s="225">
        <f t="shared" si="40"/>
        <v>161.24</v>
      </c>
    </row>
    <row r="2635" spans="1:8" x14ac:dyDescent="0.3">
      <c r="A2635" s="401"/>
      <c r="B2635" s="709">
        <v>43265</v>
      </c>
      <c r="C2635" s="710" t="s">
        <v>10980</v>
      </c>
      <c r="D2635" s="709" t="s">
        <v>136</v>
      </c>
      <c r="E2635" s="709" t="s">
        <v>8432</v>
      </c>
      <c r="F2635" s="716">
        <v>30.82</v>
      </c>
      <c r="G2635" s="716">
        <v>28.67</v>
      </c>
      <c r="H2635" s="225">
        <f t="shared" ref="H2635:H2698" si="41">IF(F2635&gt;0,F2635,G2635)</f>
        <v>30.82</v>
      </c>
    </row>
    <row r="2636" spans="1:8" x14ac:dyDescent="0.3">
      <c r="A2636" s="401"/>
      <c r="B2636" s="709">
        <v>12266</v>
      </c>
      <c r="C2636" s="710" t="s">
        <v>10981</v>
      </c>
      <c r="D2636" s="709" t="s">
        <v>136</v>
      </c>
      <c r="E2636" s="709" t="s">
        <v>8432</v>
      </c>
      <c r="F2636" s="716"/>
      <c r="G2636" s="716">
        <v>82.53</v>
      </c>
      <c r="H2636" s="225">
        <f t="shared" si="41"/>
        <v>82.53</v>
      </c>
    </row>
    <row r="2637" spans="1:8" x14ac:dyDescent="0.3">
      <c r="A2637" s="401"/>
      <c r="B2637" s="709">
        <v>39378</v>
      </c>
      <c r="C2637" s="710" t="s">
        <v>10982</v>
      </c>
      <c r="D2637" s="709" t="s">
        <v>136</v>
      </c>
      <c r="E2637" s="709" t="s">
        <v>8432</v>
      </c>
      <c r="F2637" s="716"/>
      <c r="G2637" s="716">
        <v>58.51</v>
      </c>
      <c r="H2637" s="225">
        <f t="shared" si="41"/>
        <v>58.51</v>
      </c>
    </row>
    <row r="2638" spans="1:8" x14ac:dyDescent="0.3">
      <c r="A2638" s="401"/>
      <c r="B2638" s="709">
        <v>43543</v>
      </c>
      <c r="C2638" s="710" t="s">
        <v>10983</v>
      </c>
      <c r="D2638" s="709" t="s">
        <v>136</v>
      </c>
      <c r="E2638" s="709" t="s">
        <v>8432</v>
      </c>
      <c r="F2638" s="716"/>
      <c r="G2638" s="716">
        <v>121.9</v>
      </c>
      <c r="H2638" s="225">
        <f t="shared" si="41"/>
        <v>121.9</v>
      </c>
    </row>
    <row r="2639" spans="1:8" x14ac:dyDescent="0.3">
      <c r="A2639" s="401"/>
      <c r="B2639" s="709">
        <v>38775</v>
      </c>
      <c r="C2639" s="710" t="s">
        <v>10984</v>
      </c>
      <c r="D2639" s="709" t="s">
        <v>136</v>
      </c>
      <c r="E2639" s="709" t="s">
        <v>8432</v>
      </c>
      <c r="F2639" s="716"/>
      <c r="G2639" s="716">
        <v>62.03</v>
      </c>
      <c r="H2639" s="225">
        <f t="shared" si="41"/>
        <v>62.03</v>
      </c>
    </row>
    <row r="2640" spans="1:8" x14ac:dyDescent="0.3">
      <c r="A2640" s="401"/>
      <c r="B2640" s="709">
        <v>44252</v>
      </c>
      <c r="C2640" s="710" t="s">
        <v>10985</v>
      </c>
      <c r="D2640" s="709" t="s">
        <v>136</v>
      </c>
      <c r="E2640" s="709" t="s">
        <v>8432</v>
      </c>
      <c r="F2640" s="716">
        <v>265.36</v>
      </c>
      <c r="G2640" s="716">
        <v>194.06</v>
      </c>
      <c r="H2640" s="225">
        <f t="shared" si="41"/>
        <v>265.36</v>
      </c>
    </row>
    <row r="2641" spans="1:8" x14ac:dyDescent="0.3">
      <c r="A2641" s="401"/>
      <c r="B2641" s="709">
        <v>21119</v>
      </c>
      <c r="C2641" s="710" t="s">
        <v>10986</v>
      </c>
      <c r="D2641" s="709" t="s">
        <v>136</v>
      </c>
      <c r="E2641" s="709" t="s">
        <v>8432</v>
      </c>
      <c r="F2641" s="716">
        <v>2.67</v>
      </c>
      <c r="G2641" s="716">
        <v>1.95</v>
      </c>
      <c r="H2641" s="225">
        <f t="shared" si="41"/>
        <v>2.67</v>
      </c>
    </row>
    <row r="2642" spans="1:8" x14ac:dyDescent="0.3">
      <c r="A2642" s="401"/>
      <c r="B2642" s="709">
        <v>37974</v>
      </c>
      <c r="C2642" s="710" t="s">
        <v>10987</v>
      </c>
      <c r="D2642" s="709" t="s">
        <v>136</v>
      </c>
      <c r="E2642" s="709" t="s">
        <v>8432</v>
      </c>
      <c r="F2642" s="716">
        <v>3.44</v>
      </c>
      <c r="G2642" s="716">
        <v>2.52</v>
      </c>
      <c r="H2642" s="225">
        <f t="shared" si="41"/>
        <v>3.44</v>
      </c>
    </row>
    <row r="2643" spans="1:8" x14ac:dyDescent="0.3">
      <c r="A2643" s="401"/>
      <c r="B2643" s="709">
        <v>37975</v>
      </c>
      <c r="C2643" s="710" t="s">
        <v>10988</v>
      </c>
      <c r="D2643" s="709" t="s">
        <v>136</v>
      </c>
      <c r="E2643" s="709" t="s">
        <v>8432</v>
      </c>
      <c r="F2643" s="716">
        <v>7.66</v>
      </c>
      <c r="G2643" s="716">
        <v>5.6</v>
      </c>
      <c r="H2643" s="225">
        <f t="shared" si="41"/>
        <v>7.66</v>
      </c>
    </row>
    <row r="2644" spans="1:8" x14ac:dyDescent="0.3">
      <c r="A2644" s="401"/>
      <c r="B2644" s="709">
        <v>37976</v>
      </c>
      <c r="C2644" s="710" t="s">
        <v>10989</v>
      </c>
      <c r="D2644" s="709" t="s">
        <v>136</v>
      </c>
      <c r="E2644" s="709" t="s">
        <v>8432</v>
      </c>
      <c r="F2644" s="716">
        <v>17.059999999999999</v>
      </c>
      <c r="G2644" s="716">
        <v>12.48</v>
      </c>
      <c r="H2644" s="225">
        <f t="shared" si="41"/>
        <v>17.059999999999999</v>
      </c>
    </row>
    <row r="2645" spans="1:8" x14ac:dyDescent="0.3">
      <c r="A2645" s="401"/>
      <c r="B2645" s="709">
        <v>37977</v>
      </c>
      <c r="C2645" s="710" t="s">
        <v>10990</v>
      </c>
      <c r="D2645" s="709" t="s">
        <v>136</v>
      </c>
      <c r="E2645" s="709" t="s">
        <v>8432</v>
      </c>
      <c r="F2645" s="716">
        <v>23.61</v>
      </c>
      <c r="G2645" s="716">
        <v>17.260000000000002</v>
      </c>
      <c r="H2645" s="225">
        <f t="shared" si="41"/>
        <v>23.61</v>
      </c>
    </row>
    <row r="2646" spans="1:8" x14ac:dyDescent="0.3">
      <c r="A2646" s="401"/>
      <c r="B2646" s="709">
        <v>37978</v>
      </c>
      <c r="C2646" s="710" t="s">
        <v>10991</v>
      </c>
      <c r="D2646" s="709" t="s">
        <v>136</v>
      </c>
      <c r="E2646" s="709" t="s">
        <v>8432</v>
      </c>
      <c r="F2646" s="716">
        <v>46.81</v>
      </c>
      <c r="G2646" s="716">
        <v>34.229999999999997</v>
      </c>
      <c r="H2646" s="225">
        <f t="shared" si="41"/>
        <v>46.81</v>
      </c>
    </row>
    <row r="2647" spans="1:8" x14ac:dyDescent="0.3">
      <c r="A2647" s="401"/>
      <c r="B2647" s="709">
        <v>37979</v>
      </c>
      <c r="C2647" s="710" t="s">
        <v>10992</v>
      </c>
      <c r="D2647" s="709" t="s">
        <v>136</v>
      </c>
      <c r="E2647" s="709" t="s">
        <v>8432</v>
      </c>
      <c r="F2647" s="716">
        <v>198.66</v>
      </c>
      <c r="G2647" s="716">
        <v>145.28</v>
      </c>
      <c r="H2647" s="225">
        <f t="shared" si="41"/>
        <v>198.66</v>
      </c>
    </row>
    <row r="2648" spans="1:8" x14ac:dyDescent="0.3">
      <c r="A2648" s="401"/>
      <c r="B2648" s="709">
        <v>37980</v>
      </c>
      <c r="C2648" s="710" t="s">
        <v>10993</v>
      </c>
      <c r="D2648" s="709" t="s">
        <v>136</v>
      </c>
      <c r="E2648" s="709" t="s">
        <v>8432</v>
      </c>
      <c r="F2648" s="716">
        <v>228.2</v>
      </c>
      <c r="G2648" s="716">
        <v>166.88</v>
      </c>
      <c r="H2648" s="225">
        <f t="shared" si="41"/>
        <v>228.2</v>
      </c>
    </row>
    <row r="2649" spans="1:8" x14ac:dyDescent="0.3">
      <c r="A2649" s="401"/>
      <c r="B2649" s="709">
        <v>36147</v>
      </c>
      <c r="C2649" s="710" t="s">
        <v>10994</v>
      </c>
      <c r="D2649" s="709" t="s">
        <v>8808</v>
      </c>
      <c r="E2649" s="709" t="s">
        <v>8432</v>
      </c>
      <c r="F2649" s="716">
        <v>307.01</v>
      </c>
      <c r="G2649" s="716">
        <v>301.11</v>
      </c>
      <c r="H2649" s="225">
        <f t="shared" si="41"/>
        <v>307.01</v>
      </c>
    </row>
    <row r="2650" spans="1:8" x14ac:dyDescent="0.3">
      <c r="A2650" s="401"/>
      <c r="B2650" s="709">
        <v>12731</v>
      </c>
      <c r="C2650" s="710" t="s">
        <v>10995</v>
      </c>
      <c r="D2650" s="709" t="s">
        <v>136</v>
      </c>
      <c r="E2650" s="709" t="s">
        <v>8432</v>
      </c>
      <c r="F2650" s="716"/>
      <c r="G2650" s="716">
        <v>510.07</v>
      </c>
      <c r="H2650" s="225">
        <f t="shared" si="41"/>
        <v>510.07</v>
      </c>
    </row>
    <row r="2651" spans="1:8" x14ac:dyDescent="0.3">
      <c r="A2651" s="401"/>
      <c r="B2651" s="709">
        <v>12723</v>
      </c>
      <c r="C2651" s="710" t="s">
        <v>10996</v>
      </c>
      <c r="D2651" s="709" t="s">
        <v>136</v>
      </c>
      <c r="E2651" s="709" t="s">
        <v>8432</v>
      </c>
      <c r="F2651" s="716"/>
      <c r="G2651" s="716">
        <v>3.95</v>
      </c>
      <c r="H2651" s="225">
        <f t="shared" si="41"/>
        <v>3.95</v>
      </c>
    </row>
    <row r="2652" spans="1:8" x14ac:dyDescent="0.3">
      <c r="A2652" s="401"/>
      <c r="B2652" s="709">
        <v>12724</v>
      </c>
      <c r="C2652" s="710" t="s">
        <v>10997</v>
      </c>
      <c r="D2652" s="709" t="s">
        <v>136</v>
      </c>
      <c r="E2652" s="709" t="s">
        <v>8432</v>
      </c>
      <c r="F2652" s="716"/>
      <c r="G2652" s="716">
        <v>7.6</v>
      </c>
      <c r="H2652" s="225">
        <f t="shared" si="41"/>
        <v>7.6</v>
      </c>
    </row>
    <row r="2653" spans="1:8" x14ac:dyDescent="0.3">
      <c r="A2653" s="401"/>
      <c r="B2653" s="709">
        <v>12725</v>
      </c>
      <c r="C2653" s="710" t="s">
        <v>10998</v>
      </c>
      <c r="D2653" s="709" t="s">
        <v>136</v>
      </c>
      <c r="E2653" s="709" t="s">
        <v>8432</v>
      </c>
      <c r="F2653" s="716"/>
      <c r="G2653" s="716">
        <v>15.24</v>
      </c>
      <c r="H2653" s="225">
        <f t="shared" si="41"/>
        <v>15.24</v>
      </c>
    </row>
    <row r="2654" spans="1:8" x14ac:dyDescent="0.3">
      <c r="A2654" s="401"/>
      <c r="B2654" s="709">
        <v>12726</v>
      </c>
      <c r="C2654" s="710" t="s">
        <v>10999</v>
      </c>
      <c r="D2654" s="709" t="s">
        <v>136</v>
      </c>
      <c r="E2654" s="709" t="s">
        <v>8432</v>
      </c>
      <c r="F2654" s="716"/>
      <c r="G2654" s="716">
        <v>33.65</v>
      </c>
      <c r="H2654" s="225">
        <f t="shared" si="41"/>
        <v>33.65</v>
      </c>
    </row>
    <row r="2655" spans="1:8" x14ac:dyDescent="0.3">
      <c r="A2655" s="401"/>
      <c r="B2655" s="709">
        <v>12727</v>
      </c>
      <c r="C2655" s="710" t="s">
        <v>11000</v>
      </c>
      <c r="D2655" s="709" t="s">
        <v>136</v>
      </c>
      <c r="E2655" s="709" t="s">
        <v>8432</v>
      </c>
      <c r="F2655" s="716"/>
      <c r="G2655" s="716">
        <v>42.68</v>
      </c>
      <c r="H2655" s="225">
        <f t="shared" si="41"/>
        <v>42.68</v>
      </c>
    </row>
    <row r="2656" spans="1:8" x14ac:dyDescent="0.3">
      <c r="A2656" s="401"/>
      <c r="B2656" s="709">
        <v>12728</v>
      </c>
      <c r="C2656" s="710" t="s">
        <v>11001</v>
      </c>
      <c r="D2656" s="709" t="s">
        <v>136</v>
      </c>
      <c r="E2656" s="709" t="s">
        <v>8432</v>
      </c>
      <c r="F2656" s="716"/>
      <c r="G2656" s="716">
        <v>69.709999999999994</v>
      </c>
      <c r="H2656" s="225">
        <f t="shared" si="41"/>
        <v>69.709999999999994</v>
      </c>
    </row>
    <row r="2657" spans="1:8" x14ac:dyDescent="0.3">
      <c r="A2657" s="401"/>
      <c r="B2657" s="709">
        <v>12729</v>
      </c>
      <c r="C2657" s="710" t="s">
        <v>11002</v>
      </c>
      <c r="D2657" s="709" t="s">
        <v>136</v>
      </c>
      <c r="E2657" s="709" t="s">
        <v>8432</v>
      </c>
      <c r="F2657" s="716"/>
      <c r="G2657" s="716">
        <v>228.47</v>
      </c>
      <c r="H2657" s="225">
        <f t="shared" si="41"/>
        <v>228.47</v>
      </c>
    </row>
    <row r="2658" spans="1:8" x14ac:dyDescent="0.3">
      <c r="A2658" s="401"/>
      <c r="B2658" s="709">
        <v>12730</v>
      </c>
      <c r="C2658" s="710" t="s">
        <v>11003</v>
      </c>
      <c r="D2658" s="709" t="s">
        <v>136</v>
      </c>
      <c r="E2658" s="709" t="s">
        <v>8432</v>
      </c>
      <c r="F2658" s="716"/>
      <c r="G2658" s="716">
        <v>349.79</v>
      </c>
      <c r="H2658" s="225">
        <f t="shared" si="41"/>
        <v>349.79</v>
      </c>
    </row>
    <row r="2659" spans="1:8" x14ac:dyDescent="0.3">
      <c r="A2659" s="401"/>
      <c r="B2659" s="709">
        <v>3840</v>
      </c>
      <c r="C2659" s="710" t="s">
        <v>11004</v>
      </c>
      <c r="D2659" s="709" t="s">
        <v>136</v>
      </c>
      <c r="E2659" s="709" t="s">
        <v>8432</v>
      </c>
      <c r="F2659" s="716"/>
      <c r="G2659" s="716">
        <v>57.3</v>
      </c>
      <c r="H2659" s="225">
        <f t="shared" si="41"/>
        <v>57.3</v>
      </c>
    </row>
    <row r="2660" spans="1:8" x14ac:dyDescent="0.3">
      <c r="A2660" s="401"/>
      <c r="B2660" s="709">
        <v>3838</v>
      </c>
      <c r="C2660" s="710" t="s">
        <v>11005</v>
      </c>
      <c r="D2660" s="709" t="s">
        <v>136</v>
      </c>
      <c r="E2660" s="709" t="s">
        <v>8432</v>
      </c>
      <c r="F2660" s="716"/>
      <c r="G2660" s="716">
        <v>126.46</v>
      </c>
      <c r="H2660" s="225">
        <f t="shared" si="41"/>
        <v>126.46</v>
      </c>
    </row>
    <row r="2661" spans="1:8" x14ac:dyDescent="0.3">
      <c r="A2661" s="401"/>
      <c r="B2661" s="709">
        <v>3844</v>
      </c>
      <c r="C2661" s="710" t="s">
        <v>11006</v>
      </c>
      <c r="D2661" s="709" t="s">
        <v>136</v>
      </c>
      <c r="E2661" s="709" t="s">
        <v>8432</v>
      </c>
      <c r="F2661" s="716"/>
      <c r="G2661" s="716">
        <v>225.58</v>
      </c>
      <c r="H2661" s="225">
        <f t="shared" si="41"/>
        <v>225.58</v>
      </c>
    </row>
    <row r="2662" spans="1:8" x14ac:dyDescent="0.3">
      <c r="A2662" s="401"/>
      <c r="B2662" s="709">
        <v>3839</v>
      </c>
      <c r="C2662" s="710" t="s">
        <v>11007</v>
      </c>
      <c r="D2662" s="709" t="s">
        <v>136</v>
      </c>
      <c r="E2662" s="709" t="s">
        <v>8432</v>
      </c>
      <c r="F2662" s="716"/>
      <c r="G2662" s="716">
        <v>410.88</v>
      </c>
      <c r="H2662" s="225">
        <f t="shared" si="41"/>
        <v>410.88</v>
      </c>
    </row>
    <row r="2663" spans="1:8" x14ac:dyDescent="0.3">
      <c r="A2663" s="401"/>
      <c r="B2663" s="709">
        <v>3843</v>
      </c>
      <c r="C2663" s="710" t="s">
        <v>11008</v>
      </c>
      <c r="D2663" s="709" t="s">
        <v>136</v>
      </c>
      <c r="E2663" s="709" t="s">
        <v>8432</v>
      </c>
      <c r="F2663" s="716"/>
      <c r="G2663" s="716">
        <v>563.94000000000005</v>
      </c>
      <c r="H2663" s="225">
        <f t="shared" si="41"/>
        <v>563.94000000000005</v>
      </c>
    </row>
    <row r="2664" spans="1:8" x14ac:dyDescent="0.3">
      <c r="A2664" s="401"/>
      <c r="B2664" s="709">
        <v>3900</v>
      </c>
      <c r="C2664" s="710" t="s">
        <v>11009</v>
      </c>
      <c r="D2664" s="709" t="s">
        <v>136</v>
      </c>
      <c r="E2664" s="709" t="s">
        <v>8432</v>
      </c>
      <c r="F2664" s="716">
        <v>57.48</v>
      </c>
      <c r="G2664" s="716">
        <v>58.61</v>
      </c>
      <c r="H2664" s="225">
        <f t="shared" si="41"/>
        <v>57.48</v>
      </c>
    </row>
    <row r="2665" spans="1:8" x14ac:dyDescent="0.3">
      <c r="A2665" s="401"/>
      <c r="B2665" s="709">
        <v>3846</v>
      </c>
      <c r="C2665" s="710" t="s">
        <v>11010</v>
      </c>
      <c r="D2665" s="709" t="s">
        <v>136</v>
      </c>
      <c r="E2665" s="709" t="s">
        <v>8432</v>
      </c>
      <c r="F2665" s="716">
        <v>17.27</v>
      </c>
      <c r="G2665" s="716">
        <v>17.61</v>
      </c>
      <c r="H2665" s="225">
        <f t="shared" si="41"/>
        <v>17.27</v>
      </c>
    </row>
    <row r="2666" spans="1:8" x14ac:dyDescent="0.3">
      <c r="A2666" s="401"/>
      <c r="B2666" s="709">
        <v>3886</v>
      </c>
      <c r="C2666" s="710" t="s">
        <v>11011</v>
      </c>
      <c r="D2666" s="709" t="s">
        <v>136</v>
      </c>
      <c r="E2666" s="709" t="s">
        <v>8432</v>
      </c>
      <c r="F2666" s="716">
        <v>22.93</v>
      </c>
      <c r="G2666" s="716">
        <v>23.38</v>
      </c>
      <c r="H2666" s="225">
        <f t="shared" si="41"/>
        <v>22.93</v>
      </c>
    </row>
    <row r="2667" spans="1:8" x14ac:dyDescent="0.3">
      <c r="A2667" s="401"/>
      <c r="B2667" s="709">
        <v>3854</v>
      </c>
      <c r="C2667" s="710" t="s">
        <v>11012</v>
      </c>
      <c r="D2667" s="709" t="s">
        <v>136</v>
      </c>
      <c r="E2667" s="709" t="s">
        <v>8432</v>
      </c>
      <c r="F2667" s="716">
        <v>13.07</v>
      </c>
      <c r="G2667" s="716">
        <v>13.33</v>
      </c>
      <c r="H2667" s="225">
        <f t="shared" si="41"/>
        <v>13.07</v>
      </c>
    </row>
    <row r="2668" spans="1:8" x14ac:dyDescent="0.3">
      <c r="A2668" s="401"/>
      <c r="B2668" s="709">
        <v>3873</v>
      </c>
      <c r="C2668" s="710" t="s">
        <v>11013</v>
      </c>
      <c r="D2668" s="709" t="s">
        <v>136</v>
      </c>
      <c r="E2668" s="709" t="s">
        <v>8432</v>
      </c>
      <c r="F2668" s="716">
        <v>15.21</v>
      </c>
      <c r="G2668" s="716">
        <v>15.51</v>
      </c>
      <c r="H2668" s="225">
        <f t="shared" si="41"/>
        <v>15.21</v>
      </c>
    </row>
    <row r="2669" spans="1:8" x14ac:dyDescent="0.3">
      <c r="A2669" s="401"/>
      <c r="B2669" s="709">
        <v>38021</v>
      </c>
      <c r="C2669" s="710" t="s">
        <v>11014</v>
      </c>
      <c r="D2669" s="709" t="s">
        <v>136</v>
      </c>
      <c r="E2669" s="709" t="s">
        <v>8432</v>
      </c>
      <c r="F2669" s="716">
        <v>27.01</v>
      </c>
      <c r="G2669" s="716">
        <v>27.54</v>
      </c>
      <c r="H2669" s="225">
        <f t="shared" si="41"/>
        <v>27.01</v>
      </c>
    </row>
    <row r="2670" spans="1:8" x14ac:dyDescent="0.3">
      <c r="A2670" s="401"/>
      <c r="B2670" s="709">
        <v>43838</v>
      </c>
      <c r="C2670" s="710" t="s">
        <v>11015</v>
      </c>
      <c r="D2670" s="709" t="s">
        <v>136</v>
      </c>
      <c r="E2670" s="709" t="s">
        <v>8432</v>
      </c>
      <c r="F2670" s="716">
        <v>34.92</v>
      </c>
      <c r="G2670" s="716">
        <v>35.6</v>
      </c>
      <c r="H2670" s="225">
        <f t="shared" si="41"/>
        <v>34.92</v>
      </c>
    </row>
    <row r="2671" spans="1:8" x14ac:dyDescent="0.3">
      <c r="A2671" s="401"/>
      <c r="B2671" s="709">
        <v>3847</v>
      </c>
      <c r="C2671" s="710" t="s">
        <v>11016</v>
      </c>
      <c r="D2671" s="709" t="s">
        <v>136</v>
      </c>
      <c r="E2671" s="709" t="s">
        <v>8432</v>
      </c>
      <c r="F2671" s="716">
        <v>35.21</v>
      </c>
      <c r="G2671" s="716">
        <v>35.9</v>
      </c>
      <c r="H2671" s="225">
        <f t="shared" si="41"/>
        <v>35.21</v>
      </c>
    </row>
    <row r="2672" spans="1:8" x14ac:dyDescent="0.3">
      <c r="A2672" s="401"/>
      <c r="B2672" s="709">
        <v>38022</v>
      </c>
      <c r="C2672" s="710" t="s">
        <v>11017</v>
      </c>
      <c r="D2672" s="709" t="s">
        <v>136</v>
      </c>
      <c r="E2672" s="709" t="s">
        <v>8432</v>
      </c>
      <c r="F2672" s="716">
        <v>48.39</v>
      </c>
      <c r="G2672" s="716">
        <v>49.34</v>
      </c>
      <c r="H2672" s="225">
        <f t="shared" si="41"/>
        <v>48.39</v>
      </c>
    </row>
    <row r="2673" spans="1:8" x14ac:dyDescent="0.3">
      <c r="A2673" s="401"/>
      <c r="B2673" s="709">
        <v>3826</v>
      </c>
      <c r="C2673" s="710" t="s">
        <v>11018</v>
      </c>
      <c r="D2673" s="709" t="s">
        <v>136</v>
      </c>
      <c r="E2673" s="709" t="s">
        <v>8432</v>
      </c>
      <c r="F2673" s="716"/>
      <c r="G2673" s="716">
        <v>56.86</v>
      </c>
      <c r="H2673" s="225">
        <f t="shared" si="41"/>
        <v>56.86</v>
      </c>
    </row>
    <row r="2674" spans="1:8" x14ac:dyDescent="0.3">
      <c r="A2674" s="401"/>
      <c r="B2674" s="709">
        <v>3825</v>
      </c>
      <c r="C2674" s="710" t="s">
        <v>11019</v>
      </c>
      <c r="D2674" s="709" t="s">
        <v>136</v>
      </c>
      <c r="E2674" s="709" t="s">
        <v>8432</v>
      </c>
      <c r="F2674" s="716"/>
      <c r="G2674" s="716">
        <v>16.350000000000001</v>
      </c>
      <c r="H2674" s="225">
        <f t="shared" si="41"/>
        <v>16.350000000000001</v>
      </c>
    </row>
    <row r="2675" spans="1:8" x14ac:dyDescent="0.3">
      <c r="A2675" s="401"/>
      <c r="B2675" s="709">
        <v>3827</v>
      </c>
      <c r="C2675" s="710" t="s">
        <v>11020</v>
      </c>
      <c r="D2675" s="709" t="s">
        <v>136</v>
      </c>
      <c r="E2675" s="709" t="s">
        <v>8432</v>
      </c>
      <c r="F2675" s="716"/>
      <c r="G2675" s="716">
        <v>35.72</v>
      </c>
      <c r="H2675" s="225">
        <f t="shared" si="41"/>
        <v>35.72</v>
      </c>
    </row>
    <row r="2676" spans="1:8" x14ac:dyDescent="0.3">
      <c r="A2676" s="401"/>
      <c r="B2676" s="709">
        <v>3830</v>
      </c>
      <c r="C2676" s="710" t="s">
        <v>11021</v>
      </c>
      <c r="D2676" s="709" t="s">
        <v>136</v>
      </c>
      <c r="E2676" s="709" t="s">
        <v>8432</v>
      </c>
      <c r="F2676" s="716">
        <v>260.36</v>
      </c>
      <c r="G2676" s="716">
        <v>262.88</v>
      </c>
      <c r="H2676" s="225">
        <f t="shared" si="41"/>
        <v>260.36</v>
      </c>
    </row>
    <row r="2677" spans="1:8" x14ac:dyDescent="0.3">
      <c r="A2677" s="401"/>
      <c r="B2677" s="709">
        <v>37981</v>
      </c>
      <c r="C2677" s="710" t="s">
        <v>11022</v>
      </c>
      <c r="D2677" s="709" t="s">
        <v>136</v>
      </c>
      <c r="E2677" s="709" t="s">
        <v>8432</v>
      </c>
      <c r="F2677" s="716">
        <v>9.94</v>
      </c>
      <c r="G2677" s="716">
        <v>7.27</v>
      </c>
      <c r="H2677" s="225">
        <f t="shared" si="41"/>
        <v>9.94</v>
      </c>
    </row>
    <row r="2678" spans="1:8" x14ac:dyDescent="0.3">
      <c r="A2678" s="401"/>
      <c r="B2678" s="709">
        <v>37982</v>
      </c>
      <c r="C2678" s="710" t="s">
        <v>11023</v>
      </c>
      <c r="D2678" s="709" t="s">
        <v>136</v>
      </c>
      <c r="E2678" s="709" t="s">
        <v>8432</v>
      </c>
      <c r="F2678" s="716">
        <v>14.43</v>
      </c>
      <c r="G2678" s="716">
        <v>10.55</v>
      </c>
      <c r="H2678" s="225">
        <f t="shared" si="41"/>
        <v>14.43</v>
      </c>
    </row>
    <row r="2679" spans="1:8" x14ac:dyDescent="0.3">
      <c r="A2679" s="401"/>
      <c r="B2679" s="709">
        <v>37983</v>
      </c>
      <c r="C2679" s="710" t="s">
        <v>11024</v>
      </c>
      <c r="D2679" s="709" t="s">
        <v>136</v>
      </c>
      <c r="E2679" s="709" t="s">
        <v>8432</v>
      </c>
      <c r="F2679" s="716">
        <v>21.32</v>
      </c>
      <c r="G2679" s="716">
        <v>15.59</v>
      </c>
      <c r="H2679" s="225">
        <f t="shared" si="41"/>
        <v>21.32</v>
      </c>
    </row>
    <row r="2680" spans="1:8" x14ac:dyDescent="0.3">
      <c r="A2680" s="401"/>
      <c r="B2680" s="709">
        <v>37984</v>
      </c>
      <c r="C2680" s="710" t="s">
        <v>11025</v>
      </c>
      <c r="D2680" s="709" t="s">
        <v>136</v>
      </c>
      <c r="E2680" s="709" t="s">
        <v>8432</v>
      </c>
      <c r="F2680" s="716">
        <v>29.95</v>
      </c>
      <c r="G2680" s="716">
        <v>21.9</v>
      </c>
      <c r="H2680" s="225">
        <f t="shared" si="41"/>
        <v>29.95</v>
      </c>
    </row>
    <row r="2681" spans="1:8" x14ac:dyDescent="0.3">
      <c r="A2681" s="401"/>
      <c r="B2681" s="709">
        <v>37985</v>
      </c>
      <c r="C2681" s="710" t="s">
        <v>11026</v>
      </c>
      <c r="D2681" s="709" t="s">
        <v>136</v>
      </c>
      <c r="E2681" s="709" t="s">
        <v>8432</v>
      </c>
      <c r="F2681" s="716">
        <v>42.56</v>
      </c>
      <c r="G2681" s="716">
        <v>31.12</v>
      </c>
      <c r="H2681" s="225">
        <f t="shared" si="41"/>
        <v>42.56</v>
      </c>
    </row>
    <row r="2682" spans="1:8" x14ac:dyDescent="0.3">
      <c r="A2682" s="401"/>
      <c r="B2682" s="709">
        <v>20165</v>
      </c>
      <c r="C2682" s="710" t="s">
        <v>11027</v>
      </c>
      <c r="D2682" s="709" t="s">
        <v>136</v>
      </c>
      <c r="E2682" s="709" t="s">
        <v>8432</v>
      </c>
      <c r="F2682" s="716">
        <v>32.270000000000003</v>
      </c>
      <c r="G2682" s="716">
        <v>32.590000000000003</v>
      </c>
      <c r="H2682" s="225">
        <f t="shared" si="41"/>
        <v>32.270000000000003</v>
      </c>
    </row>
    <row r="2683" spans="1:8" x14ac:dyDescent="0.3">
      <c r="A2683" s="401"/>
      <c r="B2683" s="709">
        <v>20166</v>
      </c>
      <c r="C2683" s="710" t="s">
        <v>11028</v>
      </c>
      <c r="D2683" s="709" t="s">
        <v>136</v>
      </c>
      <c r="E2683" s="709" t="s">
        <v>8432</v>
      </c>
      <c r="F2683" s="716">
        <v>98.57</v>
      </c>
      <c r="G2683" s="716">
        <v>99.53</v>
      </c>
      <c r="H2683" s="225">
        <f t="shared" si="41"/>
        <v>98.57</v>
      </c>
    </row>
    <row r="2684" spans="1:8" x14ac:dyDescent="0.3">
      <c r="A2684" s="401"/>
      <c r="B2684" s="709">
        <v>20164</v>
      </c>
      <c r="C2684" s="710" t="s">
        <v>11029</v>
      </c>
      <c r="D2684" s="709" t="s">
        <v>136</v>
      </c>
      <c r="E2684" s="709" t="s">
        <v>8432</v>
      </c>
      <c r="F2684" s="716">
        <v>15.5</v>
      </c>
      <c r="G2684" s="716">
        <v>15.66</v>
      </c>
      <c r="H2684" s="225">
        <f t="shared" si="41"/>
        <v>15.5</v>
      </c>
    </row>
    <row r="2685" spans="1:8" x14ac:dyDescent="0.3">
      <c r="A2685" s="401"/>
      <c r="B2685" s="709">
        <v>3893</v>
      </c>
      <c r="C2685" s="710" t="s">
        <v>11030</v>
      </c>
      <c r="D2685" s="709" t="s">
        <v>136</v>
      </c>
      <c r="E2685" s="709" t="s">
        <v>8432</v>
      </c>
      <c r="F2685" s="716">
        <v>24.3</v>
      </c>
      <c r="G2685" s="716">
        <v>24.54</v>
      </c>
      <c r="H2685" s="225">
        <f t="shared" si="41"/>
        <v>24.3</v>
      </c>
    </row>
    <row r="2686" spans="1:8" x14ac:dyDescent="0.3">
      <c r="A2686" s="401"/>
      <c r="B2686" s="709">
        <v>3848</v>
      </c>
      <c r="C2686" s="710" t="s">
        <v>11031</v>
      </c>
      <c r="D2686" s="709" t="s">
        <v>136</v>
      </c>
      <c r="E2686" s="709" t="s">
        <v>8432</v>
      </c>
      <c r="F2686" s="716">
        <v>14.82</v>
      </c>
      <c r="G2686" s="716">
        <v>14.96</v>
      </c>
      <c r="H2686" s="225">
        <f t="shared" si="41"/>
        <v>14.82</v>
      </c>
    </row>
    <row r="2687" spans="1:8" x14ac:dyDescent="0.3">
      <c r="A2687" s="401"/>
      <c r="B2687" s="709">
        <v>3895</v>
      </c>
      <c r="C2687" s="710" t="s">
        <v>11032</v>
      </c>
      <c r="D2687" s="709" t="s">
        <v>136</v>
      </c>
      <c r="E2687" s="709" t="s">
        <v>8432</v>
      </c>
      <c r="F2687" s="716">
        <v>16.46</v>
      </c>
      <c r="G2687" s="716">
        <v>16.62</v>
      </c>
      <c r="H2687" s="225">
        <f t="shared" si="41"/>
        <v>16.46</v>
      </c>
    </row>
    <row r="2688" spans="1:8" x14ac:dyDescent="0.3">
      <c r="A2688" s="401"/>
      <c r="B2688" s="709">
        <v>12404</v>
      </c>
      <c r="C2688" s="710" t="s">
        <v>11033</v>
      </c>
      <c r="D2688" s="709" t="s">
        <v>136</v>
      </c>
      <c r="E2688" s="709" t="s">
        <v>8432</v>
      </c>
      <c r="F2688" s="716">
        <v>8.84</v>
      </c>
      <c r="G2688" s="716">
        <v>12.06</v>
      </c>
      <c r="H2688" s="225">
        <f t="shared" si="41"/>
        <v>8.84</v>
      </c>
    </row>
    <row r="2689" spans="1:8" x14ac:dyDescent="0.3">
      <c r="A2689" s="401"/>
      <c r="B2689" s="709">
        <v>3939</v>
      </c>
      <c r="C2689" s="710" t="s">
        <v>11034</v>
      </c>
      <c r="D2689" s="709" t="s">
        <v>136</v>
      </c>
      <c r="E2689" s="709" t="s">
        <v>8432</v>
      </c>
      <c r="F2689" s="716">
        <v>18.22</v>
      </c>
      <c r="G2689" s="716">
        <v>24.85</v>
      </c>
      <c r="H2689" s="225">
        <f t="shared" si="41"/>
        <v>18.22</v>
      </c>
    </row>
    <row r="2690" spans="1:8" x14ac:dyDescent="0.3">
      <c r="A2690" s="401"/>
      <c r="B2690" s="709">
        <v>3911</v>
      </c>
      <c r="C2690" s="710" t="s">
        <v>11035</v>
      </c>
      <c r="D2690" s="709" t="s">
        <v>136</v>
      </c>
      <c r="E2690" s="709" t="s">
        <v>8432</v>
      </c>
      <c r="F2690" s="716">
        <v>14.88</v>
      </c>
      <c r="G2690" s="716">
        <v>20.3</v>
      </c>
      <c r="H2690" s="225">
        <f t="shared" si="41"/>
        <v>14.88</v>
      </c>
    </row>
    <row r="2691" spans="1:8" x14ac:dyDescent="0.3">
      <c r="A2691" s="401"/>
      <c r="B2691" s="709">
        <v>3910</v>
      </c>
      <c r="C2691" s="710" t="s">
        <v>11036</v>
      </c>
      <c r="D2691" s="709" t="s">
        <v>136</v>
      </c>
      <c r="E2691" s="709" t="s">
        <v>8432</v>
      </c>
      <c r="F2691" s="716">
        <v>10.65</v>
      </c>
      <c r="G2691" s="716">
        <v>14.52</v>
      </c>
      <c r="H2691" s="225">
        <f t="shared" si="41"/>
        <v>10.65</v>
      </c>
    </row>
    <row r="2692" spans="1:8" x14ac:dyDescent="0.3">
      <c r="A2692" s="401"/>
      <c r="B2692" s="709">
        <v>3908</v>
      </c>
      <c r="C2692" s="710" t="s">
        <v>11037</v>
      </c>
      <c r="D2692" s="709" t="s">
        <v>136</v>
      </c>
      <c r="E2692" s="709" t="s">
        <v>8432</v>
      </c>
      <c r="F2692" s="716">
        <v>4.8099999999999996</v>
      </c>
      <c r="G2692" s="716">
        <v>6.56</v>
      </c>
      <c r="H2692" s="225">
        <f t="shared" si="41"/>
        <v>4.8099999999999996</v>
      </c>
    </row>
    <row r="2693" spans="1:8" x14ac:dyDescent="0.3">
      <c r="A2693" s="401"/>
      <c r="B2693" s="709">
        <v>3913</v>
      </c>
      <c r="C2693" s="710" t="s">
        <v>11038</v>
      </c>
      <c r="D2693" s="709" t="s">
        <v>136</v>
      </c>
      <c r="E2693" s="709" t="s">
        <v>8432</v>
      </c>
      <c r="F2693" s="716">
        <v>50.91</v>
      </c>
      <c r="G2693" s="716">
        <v>69.42</v>
      </c>
      <c r="H2693" s="225">
        <f t="shared" si="41"/>
        <v>50.91</v>
      </c>
    </row>
    <row r="2694" spans="1:8" x14ac:dyDescent="0.3">
      <c r="A2694" s="401"/>
      <c r="B2694" s="709">
        <v>3912</v>
      </c>
      <c r="C2694" s="710" t="s">
        <v>11039</v>
      </c>
      <c r="D2694" s="709" t="s">
        <v>136</v>
      </c>
      <c r="E2694" s="709" t="s">
        <v>8432</v>
      </c>
      <c r="F2694" s="716">
        <v>27.91</v>
      </c>
      <c r="G2694" s="716">
        <v>38.049999999999997</v>
      </c>
      <c r="H2694" s="225">
        <f t="shared" si="41"/>
        <v>27.91</v>
      </c>
    </row>
    <row r="2695" spans="1:8" x14ac:dyDescent="0.3">
      <c r="A2695" s="401"/>
      <c r="B2695" s="709">
        <v>3914</v>
      </c>
      <c r="C2695" s="710" t="s">
        <v>11040</v>
      </c>
      <c r="D2695" s="709" t="s">
        <v>136</v>
      </c>
      <c r="E2695" s="709" t="s">
        <v>8432</v>
      </c>
      <c r="F2695" s="716">
        <v>76.8</v>
      </c>
      <c r="G2695" s="716">
        <v>104.72</v>
      </c>
      <c r="H2695" s="225">
        <f t="shared" si="41"/>
        <v>76.8</v>
      </c>
    </row>
    <row r="2696" spans="1:8" x14ac:dyDescent="0.3">
      <c r="A2696" s="401"/>
      <c r="B2696" s="709">
        <v>3909</v>
      </c>
      <c r="C2696" s="710" t="s">
        <v>11041</v>
      </c>
      <c r="D2696" s="709" t="s">
        <v>136</v>
      </c>
      <c r="E2696" s="709" t="s">
        <v>8432</v>
      </c>
      <c r="F2696" s="716">
        <v>6.55</v>
      </c>
      <c r="G2696" s="716">
        <v>8.93</v>
      </c>
      <c r="H2696" s="225">
        <f t="shared" si="41"/>
        <v>6.55</v>
      </c>
    </row>
    <row r="2697" spans="1:8" x14ac:dyDescent="0.3">
      <c r="A2697" s="401"/>
      <c r="B2697" s="709">
        <v>3915</v>
      </c>
      <c r="C2697" s="710" t="s">
        <v>11042</v>
      </c>
      <c r="D2697" s="709" t="s">
        <v>136</v>
      </c>
      <c r="E2697" s="709" t="s">
        <v>8432</v>
      </c>
      <c r="F2697" s="716">
        <v>121.11</v>
      </c>
      <c r="G2697" s="716">
        <v>165.14</v>
      </c>
      <c r="H2697" s="225">
        <f t="shared" si="41"/>
        <v>121.11</v>
      </c>
    </row>
    <row r="2698" spans="1:8" x14ac:dyDescent="0.3">
      <c r="A2698" s="401"/>
      <c r="B2698" s="709">
        <v>3916</v>
      </c>
      <c r="C2698" s="710" t="s">
        <v>11043</v>
      </c>
      <c r="D2698" s="709" t="s">
        <v>136</v>
      </c>
      <c r="E2698" s="709" t="s">
        <v>8432</v>
      </c>
      <c r="F2698" s="716">
        <v>220.65</v>
      </c>
      <c r="G2698" s="716">
        <v>300.86</v>
      </c>
      <c r="H2698" s="225">
        <f t="shared" si="41"/>
        <v>220.65</v>
      </c>
    </row>
    <row r="2699" spans="1:8" x14ac:dyDescent="0.3">
      <c r="A2699" s="401"/>
      <c r="B2699" s="709">
        <v>3917</v>
      </c>
      <c r="C2699" s="710" t="s">
        <v>11044</v>
      </c>
      <c r="D2699" s="709" t="s">
        <v>136</v>
      </c>
      <c r="E2699" s="709" t="s">
        <v>8432</v>
      </c>
      <c r="F2699" s="716">
        <v>363.93</v>
      </c>
      <c r="G2699" s="716">
        <v>496.23</v>
      </c>
      <c r="H2699" s="225">
        <f t="shared" ref="H2699:H2762" si="42">IF(F2699&gt;0,F2699,G2699)</f>
        <v>363.93</v>
      </c>
    </row>
    <row r="2700" spans="1:8" x14ac:dyDescent="0.3">
      <c r="A2700" s="401"/>
      <c r="B2700" s="709">
        <v>45266</v>
      </c>
      <c r="C2700" s="710" t="s">
        <v>11045</v>
      </c>
      <c r="D2700" s="709" t="s">
        <v>8808</v>
      </c>
      <c r="E2700" s="709" t="s">
        <v>8432</v>
      </c>
      <c r="F2700" s="716">
        <v>3.43</v>
      </c>
      <c r="G2700" s="716">
        <v>3.37</v>
      </c>
      <c r="H2700" s="225">
        <f t="shared" si="42"/>
        <v>3.43</v>
      </c>
    </row>
    <row r="2701" spans="1:8" x14ac:dyDescent="0.3">
      <c r="A2701" s="401"/>
      <c r="B2701" s="709">
        <v>1904</v>
      </c>
      <c r="C2701" s="710" t="s">
        <v>11046</v>
      </c>
      <c r="D2701" s="709" t="s">
        <v>136</v>
      </c>
      <c r="E2701" s="709" t="s">
        <v>8432</v>
      </c>
      <c r="F2701" s="716">
        <v>1.21</v>
      </c>
      <c r="G2701" s="716">
        <v>0.8</v>
      </c>
      <c r="H2701" s="225">
        <f t="shared" si="42"/>
        <v>1.21</v>
      </c>
    </row>
    <row r="2702" spans="1:8" x14ac:dyDescent="0.3">
      <c r="A2702" s="401"/>
      <c r="B2702" s="709">
        <v>1899</v>
      </c>
      <c r="C2702" s="710" t="s">
        <v>11047</v>
      </c>
      <c r="D2702" s="709" t="s">
        <v>136</v>
      </c>
      <c r="E2702" s="709" t="s">
        <v>8432</v>
      </c>
      <c r="F2702" s="716">
        <v>1.37</v>
      </c>
      <c r="G2702" s="716">
        <v>0.9</v>
      </c>
      <c r="H2702" s="225">
        <f t="shared" si="42"/>
        <v>1.37</v>
      </c>
    </row>
    <row r="2703" spans="1:8" x14ac:dyDescent="0.3">
      <c r="A2703" s="401"/>
      <c r="B2703" s="709">
        <v>1900</v>
      </c>
      <c r="C2703" s="710" t="s">
        <v>11048</v>
      </c>
      <c r="D2703" s="709" t="s">
        <v>136</v>
      </c>
      <c r="E2703" s="709" t="s">
        <v>8432</v>
      </c>
      <c r="F2703" s="716">
        <v>2.2200000000000002</v>
      </c>
      <c r="G2703" s="716">
        <v>1.46</v>
      </c>
      <c r="H2703" s="225">
        <f t="shared" si="42"/>
        <v>2.2200000000000002</v>
      </c>
    </row>
    <row r="2704" spans="1:8" x14ac:dyDescent="0.3">
      <c r="A2704" s="401"/>
      <c r="B2704" s="709">
        <v>12407</v>
      </c>
      <c r="C2704" s="710" t="s">
        <v>11049</v>
      </c>
      <c r="D2704" s="709" t="s">
        <v>136</v>
      </c>
      <c r="E2704" s="709" t="s">
        <v>8432</v>
      </c>
      <c r="F2704" s="716">
        <v>27.55</v>
      </c>
      <c r="G2704" s="716">
        <v>37.57</v>
      </c>
      <c r="H2704" s="225">
        <f t="shared" si="42"/>
        <v>27.55</v>
      </c>
    </row>
    <row r="2705" spans="1:8" x14ac:dyDescent="0.3">
      <c r="A2705" s="401"/>
      <c r="B2705" s="709">
        <v>12408</v>
      </c>
      <c r="C2705" s="710" t="s">
        <v>11050</v>
      </c>
      <c r="D2705" s="709" t="s">
        <v>136</v>
      </c>
      <c r="E2705" s="709" t="s">
        <v>8432</v>
      </c>
      <c r="F2705" s="716">
        <v>15.55</v>
      </c>
      <c r="G2705" s="716">
        <v>21.2</v>
      </c>
      <c r="H2705" s="225">
        <f t="shared" si="42"/>
        <v>15.55</v>
      </c>
    </row>
    <row r="2706" spans="1:8" x14ac:dyDescent="0.3">
      <c r="A2706" s="401"/>
      <c r="B2706" s="709">
        <v>12409</v>
      </c>
      <c r="C2706" s="710" t="s">
        <v>11051</v>
      </c>
      <c r="D2706" s="709" t="s">
        <v>136</v>
      </c>
      <c r="E2706" s="709" t="s">
        <v>8432</v>
      </c>
      <c r="F2706" s="716">
        <v>15.55</v>
      </c>
      <c r="G2706" s="716">
        <v>21.2</v>
      </c>
      <c r="H2706" s="225">
        <f t="shared" si="42"/>
        <v>15.55</v>
      </c>
    </row>
    <row r="2707" spans="1:8" x14ac:dyDescent="0.3">
      <c r="A2707" s="401"/>
      <c r="B2707" s="709">
        <v>12410</v>
      </c>
      <c r="C2707" s="710" t="s">
        <v>11052</v>
      </c>
      <c r="D2707" s="709" t="s">
        <v>136</v>
      </c>
      <c r="E2707" s="709" t="s">
        <v>8432</v>
      </c>
      <c r="F2707" s="716">
        <v>10.71</v>
      </c>
      <c r="G2707" s="716">
        <v>14.61</v>
      </c>
      <c r="H2707" s="225">
        <f t="shared" si="42"/>
        <v>10.71</v>
      </c>
    </row>
    <row r="2708" spans="1:8" x14ac:dyDescent="0.3">
      <c r="A2708" s="401"/>
      <c r="B2708" s="709">
        <v>3936</v>
      </c>
      <c r="C2708" s="710" t="s">
        <v>11053</v>
      </c>
      <c r="D2708" s="709" t="s">
        <v>136</v>
      </c>
      <c r="E2708" s="709" t="s">
        <v>8432</v>
      </c>
      <c r="F2708" s="716">
        <v>19.350000000000001</v>
      </c>
      <c r="G2708" s="716">
        <v>26.39</v>
      </c>
      <c r="H2708" s="225">
        <f t="shared" si="42"/>
        <v>19.350000000000001</v>
      </c>
    </row>
    <row r="2709" spans="1:8" x14ac:dyDescent="0.3">
      <c r="A2709" s="401"/>
      <c r="B2709" s="709">
        <v>3924</v>
      </c>
      <c r="C2709" s="710" t="s">
        <v>11054</v>
      </c>
      <c r="D2709" s="709" t="s">
        <v>136</v>
      </c>
      <c r="E2709" s="709" t="s">
        <v>8432</v>
      </c>
      <c r="F2709" s="716">
        <v>19.350000000000001</v>
      </c>
      <c r="G2709" s="716">
        <v>26.39</v>
      </c>
      <c r="H2709" s="225">
        <f t="shared" si="42"/>
        <v>19.350000000000001</v>
      </c>
    </row>
    <row r="2710" spans="1:8" x14ac:dyDescent="0.3">
      <c r="A2710" s="401"/>
      <c r="B2710" s="709">
        <v>3922</v>
      </c>
      <c r="C2710" s="710" t="s">
        <v>11055</v>
      </c>
      <c r="D2710" s="709" t="s">
        <v>136</v>
      </c>
      <c r="E2710" s="709" t="s">
        <v>8432</v>
      </c>
      <c r="F2710" s="716">
        <v>17.8</v>
      </c>
      <c r="G2710" s="716">
        <v>24.28</v>
      </c>
      <c r="H2710" s="225">
        <f t="shared" si="42"/>
        <v>17.8</v>
      </c>
    </row>
    <row r="2711" spans="1:8" x14ac:dyDescent="0.3">
      <c r="A2711" s="401"/>
      <c r="B2711" s="709">
        <v>3923</v>
      </c>
      <c r="C2711" s="710" t="s">
        <v>11056</v>
      </c>
      <c r="D2711" s="709" t="s">
        <v>136</v>
      </c>
      <c r="E2711" s="709" t="s">
        <v>8432</v>
      </c>
      <c r="F2711" s="716">
        <v>19.350000000000001</v>
      </c>
      <c r="G2711" s="716">
        <v>26.39</v>
      </c>
      <c r="H2711" s="225">
        <f t="shared" si="42"/>
        <v>19.350000000000001</v>
      </c>
    </row>
    <row r="2712" spans="1:8" x14ac:dyDescent="0.3">
      <c r="A2712" s="401"/>
      <c r="B2712" s="709">
        <v>3921</v>
      </c>
      <c r="C2712" s="710" t="s">
        <v>11057</v>
      </c>
      <c r="D2712" s="709" t="s">
        <v>136</v>
      </c>
      <c r="E2712" s="709" t="s">
        <v>8432</v>
      </c>
      <c r="F2712" s="716">
        <v>15.98</v>
      </c>
      <c r="G2712" s="716">
        <v>21.79</v>
      </c>
      <c r="H2712" s="225">
        <f t="shared" si="42"/>
        <v>15.98</v>
      </c>
    </row>
    <row r="2713" spans="1:8" x14ac:dyDescent="0.3">
      <c r="A2713" s="401"/>
      <c r="B2713" s="709">
        <v>3937</v>
      </c>
      <c r="C2713" s="710" t="s">
        <v>11058</v>
      </c>
      <c r="D2713" s="709" t="s">
        <v>136</v>
      </c>
      <c r="E2713" s="709" t="s">
        <v>8432</v>
      </c>
      <c r="F2713" s="716">
        <v>15.97</v>
      </c>
      <c r="G2713" s="716">
        <v>21.77</v>
      </c>
      <c r="H2713" s="225">
        <f t="shared" si="42"/>
        <v>15.97</v>
      </c>
    </row>
    <row r="2714" spans="1:8" x14ac:dyDescent="0.3">
      <c r="A2714" s="401"/>
      <c r="B2714" s="709">
        <v>3920</v>
      </c>
      <c r="C2714" s="710" t="s">
        <v>11059</v>
      </c>
      <c r="D2714" s="709" t="s">
        <v>136</v>
      </c>
      <c r="E2714" s="709" t="s">
        <v>8432</v>
      </c>
      <c r="F2714" s="716">
        <v>15.97</v>
      </c>
      <c r="G2714" s="716">
        <v>21.77</v>
      </c>
      <c r="H2714" s="225">
        <f t="shared" si="42"/>
        <v>15.97</v>
      </c>
    </row>
    <row r="2715" spans="1:8" x14ac:dyDescent="0.3">
      <c r="A2715" s="401"/>
      <c r="B2715" s="709">
        <v>3938</v>
      </c>
      <c r="C2715" s="710" t="s">
        <v>11060</v>
      </c>
      <c r="D2715" s="709" t="s">
        <v>136</v>
      </c>
      <c r="E2715" s="709" t="s">
        <v>8432</v>
      </c>
      <c r="F2715" s="716">
        <v>10.53</v>
      </c>
      <c r="G2715" s="716">
        <v>14.36</v>
      </c>
      <c r="H2715" s="225">
        <f t="shared" si="42"/>
        <v>10.53</v>
      </c>
    </row>
    <row r="2716" spans="1:8" x14ac:dyDescent="0.3">
      <c r="A2716" s="401"/>
      <c r="B2716" s="709">
        <v>3919</v>
      </c>
      <c r="C2716" s="710" t="s">
        <v>11061</v>
      </c>
      <c r="D2716" s="709" t="s">
        <v>136</v>
      </c>
      <c r="E2716" s="709" t="s">
        <v>8432</v>
      </c>
      <c r="F2716" s="716">
        <v>10.73</v>
      </c>
      <c r="G2716" s="716">
        <v>14.63</v>
      </c>
      <c r="H2716" s="225">
        <f t="shared" si="42"/>
        <v>10.73</v>
      </c>
    </row>
    <row r="2717" spans="1:8" x14ac:dyDescent="0.3">
      <c r="A2717" s="401"/>
      <c r="B2717" s="709">
        <v>3927</v>
      </c>
      <c r="C2717" s="710" t="s">
        <v>11062</v>
      </c>
      <c r="D2717" s="709" t="s">
        <v>136</v>
      </c>
      <c r="E2717" s="709" t="s">
        <v>8432</v>
      </c>
      <c r="F2717" s="716">
        <v>54.36</v>
      </c>
      <c r="G2717" s="716">
        <v>74.12</v>
      </c>
      <c r="H2717" s="225">
        <f t="shared" si="42"/>
        <v>54.36</v>
      </c>
    </row>
    <row r="2718" spans="1:8" x14ac:dyDescent="0.3">
      <c r="A2718" s="401"/>
      <c r="B2718" s="709">
        <v>3928</v>
      </c>
      <c r="C2718" s="710" t="s">
        <v>11063</v>
      </c>
      <c r="D2718" s="709" t="s">
        <v>136</v>
      </c>
      <c r="E2718" s="709" t="s">
        <v>8432</v>
      </c>
      <c r="F2718" s="716">
        <v>54.36</v>
      </c>
      <c r="G2718" s="716">
        <v>74.12</v>
      </c>
      <c r="H2718" s="225">
        <f t="shared" si="42"/>
        <v>54.36</v>
      </c>
    </row>
    <row r="2719" spans="1:8" x14ac:dyDescent="0.3">
      <c r="A2719" s="401"/>
      <c r="B2719" s="709">
        <v>3926</v>
      </c>
      <c r="C2719" s="710" t="s">
        <v>11064</v>
      </c>
      <c r="D2719" s="709" t="s">
        <v>136</v>
      </c>
      <c r="E2719" s="709" t="s">
        <v>8432</v>
      </c>
      <c r="F2719" s="716">
        <v>30.99</v>
      </c>
      <c r="G2719" s="716">
        <v>42.26</v>
      </c>
      <c r="H2719" s="225">
        <f t="shared" si="42"/>
        <v>30.99</v>
      </c>
    </row>
    <row r="2720" spans="1:8" x14ac:dyDescent="0.3">
      <c r="A2720" s="401"/>
      <c r="B2720" s="709">
        <v>3935</v>
      </c>
      <c r="C2720" s="710" t="s">
        <v>11065</v>
      </c>
      <c r="D2720" s="709" t="s">
        <v>136</v>
      </c>
      <c r="E2720" s="709" t="s">
        <v>8432</v>
      </c>
      <c r="F2720" s="716">
        <v>30.99</v>
      </c>
      <c r="G2720" s="716">
        <v>42.26</v>
      </c>
      <c r="H2720" s="225">
        <f t="shared" si="42"/>
        <v>30.99</v>
      </c>
    </row>
    <row r="2721" spans="1:8" x14ac:dyDescent="0.3">
      <c r="A2721" s="401"/>
      <c r="B2721" s="709">
        <v>3925</v>
      </c>
      <c r="C2721" s="710" t="s">
        <v>11066</v>
      </c>
      <c r="D2721" s="709" t="s">
        <v>136</v>
      </c>
      <c r="E2721" s="709" t="s">
        <v>8432</v>
      </c>
      <c r="F2721" s="716">
        <v>30.99</v>
      </c>
      <c r="G2721" s="716">
        <v>42.26</v>
      </c>
      <c r="H2721" s="225">
        <f t="shared" si="42"/>
        <v>30.99</v>
      </c>
    </row>
    <row r="2722" spans="1:8" x14ac:dyDescent="0.3">
      <c r="A2722" s="401"/>
      <c r="B2722" s="709">
        <v>3929</v>
      </c>
      <c r="C2722" s="710" t="s">
        <v>11067</v>
      </c>
      <c r="D2722" s="709" t="s">
        <v>136</v>
      </c>
      <c r="E2722" s="709" t="s">
        <v>8432</v>
      </c>
      <c r="F2722" s="716">
        <v>82.82</v>
      </c>
      <c r="G2722" s="716">
        <v>112.93</v>
      </c>
      <c r="H2722" s="225">
        <f t="shared" si="42"/>
        <v>82.82</v>
      </c>
    </row>
    <row r="2723" spans="1:8" x14ac:dyDescent="0.3">
      <c r="A2723" s="401"/>
      <c r="B2723" s="709">
        <v>3931</v>
      </c>
      <c r="C2723" s="710" t="s">
        <v>11068</v>
      </c>
      <c r="D2723" s="709" t="s">
        <v>136</v>
      </c>
      <c r="E2723" s="709" t="s">
        <v>8432</v>
      </c>
      <c r="F2723" s="716">
        <v>82.82</v>
      </c>
      <c r="G2723" s="716">
        <v>112.93</v>
      </c>
      <c r="H2723" s="225">
        <f t="shared" si="42"/>
        <v>82.82</v>
      </c>
    </row>
    <row r="2724" spans="1:8" x14ac:dyDescent="0.3">
      <c r="A2724" s="401"/>
      <c r="B2724" s="709">
        <v>3930</v>
      </c>
      <c r="C2724" s="710" t="s">
        <v>11069</v>
      </c>
      <c r="D2724" s="709" t="s">
        <v>136</v>
      </c>
      <c r="E2724" s="709" t="s">
        <v>8432</v>
      </c>
      <c r="F2724" s="716">
        <v>82.82</v>
      </c>
      <c r="G2724" s="716">
        <v>112.93</v>
      </c>
      <c r="H2724" s="225">
        <f t="shared" si="42"/>
        <v>82.82</v>
      </c>
    </row>
    <row r="2725" spans="1:8" x14ac:dyDescent="0.3">
      <c r="A2725" s="401"/>
      <c r="B2725" s="709">
        <v>12406</v>
      </c>
      <c r="C2725" s="710" t="s">
        <v>11070</v>
      </c>
      <c r="D2725" s="709" t="s">
        <v>136</v>
      </c>
      <c r="E2725" s="709" t="s">
        <v>8432</v>
      </c>
      <c r="F2725" s="716">
        <v>7.61</v>
      </c>
      <c r="G2725" s="716">
        <v>10.38</v>
      </c>
      <c r="H2725" s="225">
        <f t="shared" si="42"/>
        <v>7.61</v>
      </c>
    </row>
    <row r="2726" spans="1:8" x14ac:dyDescent="0.3">
      <c r="A2726" s="401"/>
      <c r="B2726" s="709">
        <v>3932</v>
      </c>
      <c r="C2726" s="710" t="s">
        <v>11071</v>
      </c>
      <c r="D2726" s="709" t="s">
        <v>136</v>
      </c>
      <c r="E2726" s="709" t="s">
        <v>8432</v>
      </c>
      <c r="F2726" s="716">
        <v>143.01</v>
      </c>
      <c r="G2726" s="716">
        <v>195</v>
      </c>
      <c r="H2726" s="225">
        <f t="shared" si="42"/>
        <v>143.01</v>
      </c>
    </row>
    <row r="2727" spans="1:8" x14ac:dyDescent="0.3">
      <c r="A2727" s="401"/>
      <c r="B2727" s="709">
        <v>3933</v>
      </c>
      <c r="C2727" s="710" t="s">
        <v>11072</v>
      </c>
      <c r="D2727" s="709" t="s">
        <v>136</v>
      </c>
      <c r="E2727" s="709" t="s">
        <v>8432</v>
      </c>
      <c r="F2727" s="716">
        <v>143.01</v>
      </c>
      <c r="G2727" s="716">
        <v>195</v>
      </c>
      <c r="H2727" s="225">
        <f t="shared" si="42"/>
        <v>143.01</v>
      </c>
    </row>
    <row r="2728" spans="1:8" x14ac:dyDescent="0.3">
      <c r="A2728" s="401"/>
      <c r="B2728" s="709">
        <v>3934</v>
      </c>
      <c r="C2728" s="710" t="s">
        <v>11073</v>
      </c>
      <c r="D2728" s="709" t="s">
        <v>136</v>
      </c>
      <c r="E2728" s="709" t="s">
        <v>8432</v>
      </c>
      <c r="F2728" s="716">
        <v>143.01</v>
      </c>
      <c r="G2728" s="716">
        <v>195</v>
      </c>
      <c r="H2728" s="225">
        <f t="shared" si="42"/>
        <v>143.01</v>
      </c>
    </row>
    <row r="2729" spans="1:8" x14ac:dyDescent="0.3">
      <c r="A2729" s="401"/>
      <c r="B2729" s="709">
        <v>40355</v>
      </c>
      <c r="C2729" s="710" t="s">
        <v>11074</v>
      </c>
      <c r="D2729" s="709" t="s">
        <v>136</v>
      </c>
      <c r="E2729" s="709" t="s">
        <v>8432</v>
      </c>
      <c r="F2729" s="716">
        <v>17.55</v>
      </c>
      <c r="G2729" s="716">
        <v>12.72</v>
      </c>
      <c r="H2729" s="225">
        <f t="shared" si="42"/>
        <v>17.55</v>
      </c>
    </row>
    <row r="2730" spans="1:8" x14ac:dyDescent="0.3">
      <c r="A2730" s="401"/>
      <c r="B2730" s="709">
        <v>40364</v>
      </c>
      <c r="C2730" s="710" t="s">
        <v>11075</v>
      </c>
      <c r="D2730" s="709" t="s">
        <v>136</v>
      </c>
      <c r="E2730" s="709" t="s">
        <v>8432</v>
      </c>
      <c r="F2730" s="716">
        <v>82.19</v>
      </c>
      <c r="G2730" s="716">
        <v>59.6</v>
      </c>
      <c r="H2730" s="225">
        <f t="shared" si="42"/>
        <v>82.19</v>
      </c>
    </row>
    <row r="2731" spans="1:8" x14ac:dyDescent="0.3">
      <c r="A2731" s="401"/>
      <c r="B2731" s="709">
        <v>40361</v>
      </c>
      <c r="C2731" s="710" t="s">
        <v>11076</v>
      </c>
      <c r="D2731" s="709" t="s">
        <v>136</v>
      </c>
      <c r="E2731" s="709" t="s">
        <v>8432</v>
      </c>
      <c r="F2731" s="716">
        <v>64.260000000000005</v>
      </c>
      <c r="G2731" s="716">
        <v>46.6</v>
      </c>
      <c r="H2731" s="225">
        <f t="shared" si="42"/>
        <v>64.260000000000005</v>
      </c>
    </row>
    <row r="2732" spans="1:8" x14ac:dyDescent="0.3">
      <c r="A2732" s="401"/>
      <c r="B2732" s="709">
        <v>40358</v>
      </c>
      <c r="C2732" s="710" t="s">
        <v>11077</v>
      </c>
      <c r="D2732" s="709" t="s">
        <v>136</v>
      </c>
      <c r="E2732" s="709" t="s">
        <v>8432</v>
      </c>
      <c r="F2732" s="716">
        <v>24.5</v>
      </c>
      <c r="G2732" s="716">
        <v>17.760000000000002</v>
      </c>
      <c r="H2732" s="225">
        <f t="shared" si="42"/>
        <v>24.5</v>
      </c>
    </row>
    <row r="2733" spans="1:8" x14ac:dyDescent="0.3">
      <c r="A2733" s="401"/>
      <c r="B2733" s="709">
        <v>40370</v>
      </c>
      <c r="C2733" s="710" t="s">
        <v>11078</v>
      </c>
      <c r="D2733" s="709" t="s">
        <v>136</v>
      </c>
      <c r="E2733" s="709" t="s">
        <v>8432</v>
      </c>
      <c r="F2733" s="716">
        <v>260.77999999999997</v>
      </c>
      <c r="G2733" s="716">
        <v>189.1</v>
      </c>
      <c r="H2733" s="225">
        <f t="shared" si="42"/>
        <v>260.77999999999997</v>
      </c>
    </row>
    <row r="2734" spans="1:8" x14ac:dyDescent="0.3">
      <c r="A2734" s="401"/>
      <c r="B2734" s="709">
        <v>40367</v>
      </c>
      <c r="C2734" s="710" t="s">
        <v>11079</v>
      </c>
      <c r="D2734" s="709" t="s">
        <v>136</v>
      </c>
      <c r="E2734" s="709" t="s">
        <v>8432</v>
      </c>
      <c r="F2734" s="716">
        <v>129.62</v>
      </c>
      <c r="G2734" s="716">
        <v>93.99</v>
      </c>
      <c r="H2734" s="225">
        <f t="shared" si="42"/>
        <v>129.62</v>
      </c>
    </row>
    <row r="2735" spans="1:8" x14ac:dyDescent="0.3">
      <c r="A2735" s="401"/>
      <c r="B2735" s="709">
        <v>40373</v>
      </c>
      <c r="C2735" s="710" t="s">
        <v>11080</v>
      </c>
      <c r="D2735" s="709" t="s">
        <v>136</v>
      </c>
      <c r="E2735" s="709" t="s">
        <v>8432</v>
      </c>
      <c r="F2735" s="716">
        <v>352.64</v>
      </c>
      <c r="G2735" s="716">
        <v>255.72</v>
      </c>
      <c r="H2735" s="225">
        <f t="shared" si="42"/>
        <v>352.64</v>
      </c>
    </row>
    <row r="2736" spans="1:8" x14ac:dyDescent="0.3">
      <c r="A2736" s="401"/>
      <c r="B2736" s="709">
        <v>3907</v>
      </c>
      <c r="C2736" s="710" t="s">
        <v>11081</v>
      </c>
      <c r="D2736" s="709" t="s">
        <v>136</v>
      </c>
      <c r="E2736" s="709" t="s">
        <v>8432</v>
      </c>
      <c r="F2736" s="716">
        <v>6.62</v>
      </c>
      <c r="G2736" s="716">
        <v>6.75</v>
      </c>
      <c r="H2736" s="225">
        <f t="shared" si="42"/>
        <v>6.62</v>
      </c>
    </row>
    <row r="2737" spans="1:8" x14ac:dyDescent="0.3">
      <c r="A2737" s="401"/>
      <c r="B2737" s="709">
        <v>3889</v>
      </c>
      <c r="C2737" s="710" t="s">
        <v>11082</v>
      </c>
      <c r="D2737" s="709" t="s">
        <v>136</v>
      </c>
      <c r="E2737" s="709" t="s">
        <v>8432</v>
      </c>
      <c r="F2737" s="716">
        <v>4.71</v>
      </c>
      <c r="G2737" s="716">
        <v>4.8</v>
      </c>
      <c r="H2737" s="225">
        <f t="shared" si="42"/>
        <v>4.71</v>
      </c>
    </row>
    <row r="2738" spans="1:8" x14ac:dyDescent="0.3">
      <c r="A2738" s="401"/>
      <c r="B2738" s="709">
        <v>3868</v>
      </c>
      <c r="C2738" s="710" t="s">
        <v>11083</v>
      </c>
      <c r="D2738" s="709" t="s">
        <v>136</v>
      </c>
      <c r="E2738" s="709" t="s">
        <v>8432</v>
      </c>
      <c r="F2738" s="716">
        <v>1.73</v>
      </c>
      <c r="G2738" s="716">
        <v>1.76</v>
      </c>
      <c r="H2738" s="225">
        <f t="shared" si="42"/>
        <v>1.73</v>
      </c>
    </row>
    <row r="2739" spans="1:8" x14ac:dyDescent="0.3">
      <c r="A2739" s="401"/>
      <c r="B2739" s="709">
        <v>3869</v>
      </c>
      <c r="C2739" s="710" t="s">
        <v>11084</v>
      </c>
      <c r="D2739" s="709" t="s">
        <v>136</v>
      </c>
      <c r="E2739" s="709" t="s">
        <v>8432</v>
      </c>
      <c r="F2739" s="716">
        <v>3.83</v>
      </c>
      <c r="G2739" s="716">
        <v>3.9</v>
      </c>
      <c r="H2739" s="225">
        <f t="shared" si="42"/>
        <v>3.83</v>
      </c>
    </row>
    <row r="2740" spans="1:8" x14ac:dyDescent="0.3">
      <c r="A2740" s="401"/>
      <c r="B2740" s="709">
        <v>3872</v>
      </c>
      <c r="C2740" s="710" t="s">
        <v>11085</v>
      </c>
      <c r="D2740" s="709" t="s">
        <v>136</v>
      </c>
      <c r="E2740" s="709" t="s">
        <v>8432</v>
      </c>
      <c r="F2740" s="716">
        <v>6.53</v>
      </c>
      <c r="G2740" s="716">
        <v>6.66</v>
      </c>
      <c r="H2740" s="225">
        <f t="shared" si="42"/>
        <v>6.53</v>
      </c>
    </row>
    <row r="2741" spans="1:8" x14ac:dyDescent="0.3">
      <c r="A2741" s="401"/>
      <c r="B2741" s="709">
        <v>3850</v>
      </c>
      <c r="C2741" s="710" t="s">
        <v>11086</v>
      </c>
      <c r="D2741" s="709" t="s">
        <v>136</v>
      </c>
      <c r="E2741" s="709" t="s">
        <v>8432</v>
      </c>
      <c r="F2741" s="716">
        <v>15.07</v>
      </c>
      <c r="G2741" s="716">
        <v>15.37</v>
      </c>
      <c r="H2741" s="225">
        <f t="shared" si="42"/>
        <v>15.07</v>
      </c>
    </row>
    <row r="2742" spans="1:8" x14ac:dyDescent="0.3">
      <c r="A2742" s="401"/>
      <c r="B2742" s="709">
        <v>38023</v>
      </c>
      <c r="C2742" s="710" t="s">
        <v>11087</v>
      </c>
      <c r="D2742" s="709" t="s">
        <v>136</v>
      </c>
      <c r="E2742" s="709" t="s">
        <v>8432</v>
      </c>
      <c r="F2742" s="716">
        <v>7.67</v>
      </c>
      <c r="G2742" s="716">
        <v>7.82</v>
      </c>
      <c r="H2742" s="225">
        <f t="shared" si="42"/>
        <v>7.67</v>
      </c>
    </row>
    <row r="2743" spans="1:8" x14ac:dyDescent="0.3">
      <c r="A2743" s="401"/>
      <c r="B2743" s="709">
        <v>37986</v>
      </c>
      <c r="C2743" s="710" t="s">
        <v>11088</v>
      </c>
      <c r="D2743" s="709" t="s">
        <v>136</v>
      </c>
      <c r="E2743" s="709" t="s">
        <v>8432</v>
      </c>
      <c r="F2743" s="716">
        <v>3.39</v>
      </c>
      <c r="G2743" s="716">
        <v>2.48</v>
      </c>
      <c r="H2743" s="225">
        <f t="shared" si="42"/>
        <v>3.39</v>
      </c>
    </row>
    <row r="2744" spans="1:8" x14ac:dyDescent="0.3">
      <c r="A2744" s="401"/>
      <c r="B2744" s="709">
        <v>21120</v>
      </c>
      <c r="C2744" s="710" t="s">
        <v>11089</v>
      </c>
      <c r="D2744" s="709" t="s">
        <v>136</v>
      </c>
      <c r="E2744" s="709" t="s">
        <v>8432</v>
      </c>
      <c r="F2744" s="716">
        <v>17.309999999999999</v>
      </c>
      <c r="G2744" s="716">
        <v>12.66</v>
      </c>
      <c r="H2744" s="225">
        <f t="shared" si="42"/>
        <v>17.309999999999999</v>
      </c>
    </row>
    <row r="2745" spans="1:8" x14ac:dyDescent="0.3">
      <c r="A2745" s="401"/>
      <c r="B2745" s="709">
        <v>39318</v>
      </c>
      <c r="C2745" s="710" t="s">
        <v>11090</v>
      </c>
      <c r="D2745" s="709" t="s">
        <v>136</v>
      </c>
      <c r="E2745" s="709" t="s">
        <v>8432</v>
      </c>
      <c r="F2745" s="716">
        <v>16.100000000000001</v>
      </c>
      <c r="G2745" s="716">
        <v>11.77</v>
      </c>
      <c r="H2745" s="225">
        <f t="shared" si="42"/>
        <v>16.100000000000001</v>
      </c>
    </row>
    <row r="2746" spans="1:8" x14ac:dyDescent="0.3">
      <c r="A2746" s="401"/>
      <c r="B2746" s="709">
        <v>37987</v>
      </c>
      <c r="C2746" s="710" t="s">
        <v>11091</v>
      </c>
      <c r="D2746" s="709" t="s">
        <v>136</v>
      </c>
      <c r="E2746" s="709" t="s">
        <v>8432</v>
      </c>
      <c r="F2746" s="716">
        <v>169.28</v>
      </c>
      <c r="G2746" s="716">
        <v>123.79</v>
      </c>
      <c r="H2746" s="225">
        <f t="shared" si="42"/>
        <v>169.28</v>
      </c>
    </row>
    <row r="2747" spans="1:8" x14ac:dyDescent="0.3">
      <c r="A2747" s="401"/>
      <c r="B2747" s="709">
        <v>37988</v>
      </c>
      <c r="C2747" s="710" t="s">
        <v>11092</v>
      </c>
      <c r="D2747" s="709" t="s">
        <v>136</v>
      </c>
      <c r="E2747" s="709" t="s">
        <v>8432</v>
      </c>
      <c r="F2747" s="716">
        <v>269</v>
      </c>
      <c r="G2747" s="716">
        <v>196.71</v>
      </c>
      <c r="H2747" s="225">
        <f t="shared" si="42"/>
        <v>269</v>
      </c>
    </row>
    <row r="2748" spans="1:8" x14ac:dyDescent="0.3">
      <c r="A2748" s="401"/>
      <c r="B2748" s="709">
        <v>40366</v>
      </c>
      <c r="C2748" s="710" t="s">
        <v>11093</v>
      </c>
      <c r="D2748" s="709" t="s">
        <v>136</v>
      </c>
      <c r="E2748" s="709" t="s">
        <v>8432</v>
      </c>
      <c r="F2748" s="716">
        <v>64.11</v>
      </c>
      <c r="G2748" s="716">
        <v>46.49</v>
      </c>
      <c r="H2748" s="225">
        <f t="shared" si="42"/>
        <v>64.11</v>
      </c>
    </row>
    <row r="2749" spans="1:8" x14ac:dyDescent="0.3">
      <c r="A2749" s="401"/>
      <c r="B2749" s="709">
        <v>40363</v>
      </c>
      <c r="C2749" s="710" t="s">
        <v>11094</v>
      </c>
      <c r="D2749" s="709" t="s">
        <v>136</v>
      </c>
      <c r="E2749" s="709" t="s">
        <v>8432</v>
      </c>
      <c r="F2749" s="716">
        <v>50.14</v>
      </c>
      <c r="G2749" s="716">
        <v>36.36</v>
      </c>
      <c r="H2749" s="225">
        <f t="shared" si="42"/>
        <v>50.14</v>
      </c>
    </row>
    <row r="2750" spans="1:8" x14ac:dyDescent="0.3">
      <c r="A2750" s="401"/>
      <c r="B2750" s="709">
        <v>40360</v>
      </c>
      <c r="C2750" s="710" t="s">
        <v>11095</v>
      </c>
      <c r="D2750" s="709" t="s">
        <v>136</v>
      </c>
      <c r="E2750" s="709" t="s">
        <v>8432</v>
      </c>
      <c r="F2750" s="716">
        <v>32.869999999999997</v>
      </c>
      <c r="G2750" s="716">
        <v>23.84</v>
      </c>
      <c r="H2750" s="225">
        <f t="shared" si="42"/>
        <v>32.869999999999997</v>
      </c>
    </row>
    <row r="2751" spans="1:8" x14ac:dyDescent="0.3">
      <c r="A2751" s="401"/>
      <c r="B2751" s="709">
        <v>40354</v>
      </c>
      <c r="C2751" s="710" t="s">
        <v>11096</v>
      </c>
      <c r="D2751" s="709" t="s">
        <v>136</v>
      </c>
      <c r="E2751" s="709" t="s">
        <v>8438</v>
      </c>
      <c r="F2751" s="716">
        <v>21.83</v>
      </c>
      <c r="G2751" s="716">
        <v>15.83</v>
      </c>
      <c r="H2751" s="225">
        <f t="shared" si="42"/>
        <v>21.83</v>
      </c>
    </row>
    <row r="2752" spans="1:8" x14ac:dyDescent="0.3">
      <c r="A2752" s="401"/>
      <c r="B2752" s="709">
        <v>40372</v>
      </c>
      <c r="C2752" s="710" t="s">
        <v>11097</v>
      </c>
      <c r="D2752" s="709" t="s">
        <v>136</v>
      </c>
      <c r="E2752" s="709" t="s">
        <v>8432</v>
      </c>
      <c r="F2752" s="716">
        <v>203</v>
      </c>
      <c r="G2752" s="716">
        <v>147.19999999999999</v>
      </c>
      <c r="H2752" s="225">
        <f t="shared" si="42"/>
        <v>203</v>
      </c>
    </row>
    <row r="2753" spans="1:8" x14ac:dyDescent="0.3">
      <c r="A2753" s="401"/>
      <c r="B2753" s="709">
        <v>40369</v>
      </c>
      <c r="C2753" s="710" t="s">
        <v>11098</v>
      </c>
      <c r="D2753" s="709" t="s">
        <v>136</v>
      </c>
      <c r="E2753" s="709" t="s">
        <v>8432</v>
      </c>
      <c r="F2753" s="716">
        <v>101.03</v>
      </c>
      <c r="G2753" s="716">
        <v>73.260000000000005</v>
      </c>
      <c r="H2753" s="225">
        <f t="shared" si="42"/>
        <v>101.03</v>
      </c>
    </row>
    <row r="2754" spans="1:8" x14ac:dyDescent="0.3">
      <c r="A2754" s="401"/>
      <c r="B2754" s="709">
        <v>40375</v>
      </c>
      <c r="C2754" s="710" t="s">
        <v>11099</v>
      </c>
      <c r="D2754" s="709" t="s">
        <v>136</v>
      </c>
      <c r="E2754" s="709" t="s">
        <v>8432</v>
      </c>
      <c r="F2754" s="716">
        <v>274.81</v>
      </c>
      <c r="G2754" s="716">
        <v>199.28</v>
      </c>
      <c r="H2754" s="225">
        <f t="shared" si="42"/>
        <v>274.81</v>
      </c>
    </row>
    <row r="2755" spans="1:8" x14ac:dyDescent="0.3">
      <c r="A2755" s="401"/>
      <c r="B2755" s="709">
        <v>40357</v>
      </c>
      <c r="C2755" s="710" t="s">
        <v>11100</v>
      </c>
      <c r="D2755" s="709" t="s">
        <v>136</v>
      </c>
      <c r="E2755" s="709" t="s">
        <v>8432</v>
      </c>
      <c r="F2755" s="716">
        <v>24.5</v>
      </c>
      <c r="G2755" s="716">
        <v>17.760000000000002</v>
      </c>
      <c r="H2755" s="225">
        <f t="shared" si="42"/>
        <v>24.5</v>
      </c>
    </row>
    <row r="2756" spans="1:8" x14ac:dyDescent="0.3">
      <c r="A2756" s="401"/>
      <c r="B2756" s="709">
        <v>1893</v>
      </c>
      <c r="C2756" s="710" t="s">
        <v>11101</v>
      </c>
      <c r="D2756" s="709" t="s">
        <v>136</v>
      </c>
      <c r="E2756" s="709" t="s">
        <v>8432</v>
      </c>
      <c r="F2756" s="716">
        <v>4.57</v>
      </c>
      <c r="G2756" s="716">
        <v>3.01</v>
      </c>
      <c r="H2756" s="225">
        <f t="shared" si="42"/>
        <v>4.57</v>
      </c>
    </row>
    <row r="2757" spans="1:8" x14ac:dyDescent="0.3">
      <c r="A2757" s="401"/>
      <c r="B2757" s="709">
        <v>1902</v>
      </c>
      <c r="C2757" s="710" t="s">
        <v>11102</v>
      </c>
      <c r="D2757" s="709" t="s">
        <v>136</v>
      </c>
      <c r="E2757" s="709" t="s">
        <v>8432</v>
      </c>
      <c r="F2757" s="716">
        <v>3.32</v>
      </c>
      <c r="G2757" s="716">
        <v>2.19</v>
      </c>
      <c r="H2757" s="225">
        <f t="shared" si="42"/>
        <v>3.32</v>
      </c>
    </row>
    <row r="2758" spans="1:8" x14ac:dyDescent="0.3">
      <c r="A2758" s="401"/>
      <c r="B2758" s="709">
        <v>1892</v>
      </c>
      <c r="C2758" s="710" t="s">
        <v>11103</v>
      </c>
      <c r="D2758" s="709" t="s">
        <v>136</v>
      </c>
      <c r="E2758" s="709" t="s">
        <v>8432</v>
      </c>
      <c r="F2758" s="716">
        <v>2.14</v>
      </c>
      <c r="G2758" s="716">
        <v>1.41</v>
      </c>
      <c r="H2758" s="225">
        <f t="shared" si="42"/>
        <v>2.14</v>
      </c>
    </row>
    <row r="2759" spans="1:8" x14ac:dyDescent="0.3">
      <c r="A2759" s="401"/>
      <c r="B2759" s="709">
        <v>1901</v>
      </c>
      <c r="C2759" s="710" t="s">
        <v>11104</v>
      </c>
      <c r="D2759" s="709" t="s">
        <v>136</v>
      </c>
      <c r="E2759" s="709" t="s">
        <v>8432</v>
      </c>
      <c r="F2759" s="716">
        <v>1.04</v>
      </c>
      <c r="G2759" s="716">
        <v>0.68</v>
      </c>
      <c r="H2759" s="225">
        <f t="shared" si="42"/>
        <v>1.04</v>
      </c>
    </row>
    <row r="2760" spans="1:8" x14ac:dyDescent="0.3">
      <c r="A2760" s="401"/>
      <c r="B2760" s="709">
        <v>1907</v>
      </c>
      <c r="C2760" s="710" t="s">
        <v>11105</v>
      </c>
      <c r="D2760" s="709" t="s">
        <v>136</v>
      </c>
      <c r="E2760" s="709" t="s">
        <v>8432</v>
      </c>
      <c r="F2760" s="716">
        <v>14.7</v>
      </c>
      <c r="G2760" s="716">
        <v>9.69</v>
      </c>
      <c r="H2760" s="225">
        <f t="shared" si="42"/>
        <v>14.7</v>
      </c>
    </row>
    <row r="2761" spans="1:8" x14ac:dyDescent="0.3">
      <c r="A2761" s="401"/>
      <c r="B2761" s="709">
        <v>1894</v>
      </c>
      <c r="C2761" s="710" t="s">
        <v>11106</v>
      </c>
      <c r="D2761" s="709" t="s">
        <v>136</v>
      </c>
      <c r="E2761" s="709" t="s">
        <v>8432</v>
      </c>
      <c r="F2761" s="716">
        <v>6.61</v>
      </c>
      <c r="G2761" s="716">
        <v>4.3600000000000003</v>
      </c>
      <c r="H2761" s="225">
        <f t="shared" si="42"/>
        <v>6.61</v>
      </c>
    </row>
    <row r="2762" spans="1:8" x14ac:dyDescent="0.3">
      <c r="A2762" s="401"/>
      <c r="B2762" s="709">
        <v>1896</v>
      </c>
      <c r="C2762" s="710" t="s">
        <v>11107</v>
      </c>
      <c r="D2762" s="709" t="s">
        <v>136</v>
      </c>
      <c r="E2762" s="709" t="s">
        <v>8432</v>
      </c>
      <c r="F2762" s="716">
        <v>19.739999999999998</v>
      </c>
      <c r="G2762" s="716">
        <v>13.01</v>
      </c>
      <c r="H2762" s="225">
        <f t="shared" si="42"/>
        <v>19.739999999999998</v>
      </c>
    </row>
    <row r="2763" spans="1:8" x14ac:dyDescent="0.3">
      <c r="A2763" s="401"/>
      <c r="B2763" s="709">
        <v>1891</v>
      </c>
      <c r="C2763" s="710" t="s">
        <v>11108</v>
      </c>
      <c r="D2763" s="709" t="s">
        <v>136</v>
      </c>
      <c r="E2763" s="709" t="s">
        <v>8432</v>
      </c>
      <c r="F2763" s="716">
        <v>1.53</v>
      </c>
      <c r="G2763" s="716">
        <v>1.01</v>
      </c>
      <c r="H2763" s="225">
        <f t="shared" ref="H2763:H2826" si="43">IF(F2763&gt;0,F2763,G2763)</f>
        <v>1.53</v>
      </c>
    </row>
    <row r="2764" spans="1:8" x14ac:dyDescent="0.3">
      <c r="A2764" s="401"/>
      <c r="B2764" s="709">
        <v>1895</v>
      </c>
      <c r="C2764" s="710" t="s">
        <v>11109</v>
      </c>
      <c r="D2764" s="709" t="s">
        <v>136</v>
      </c>
      <c r="E2764" s="709" t="s">
        <v>8432</v>
      </c>
      <c r="F2764" s="716">
        <v>34.69</v>
      </c>
      <c r="G2764" s="716">
        <v>22.86</v>
      </c>
      <c r="H2764" s="225">
        <f t="shared" si="43"/>
        <v>34.69</v>
      </c>
    </row>
    <row r="2765" spans="1:8" x14ac:dyDescent="0.3">
      <c r="A2765" s="401"/>
      <c r="B2765" s="709">
        <v>2641</v>
      </c>
      <c r="C2765" s="710" t="s">
        <v>11110</v>
      </c>
      <c r="D2765" s="709" t="s">
        <v>136</v>
      </c>
      <c r="E2765" s="709" t="s">
        <v>8432</v>
      </c>
      <c r="F2765" s="716">
        <v>34.590000000000003</v>
      </c>
      <c r="G2765" s="716">
        <v>25.48</v>
      </c>
      <c r="H2765" s="225">
        <f t="shared" si="43"/>
        <v>34.590000000000003</v>
      </c>
    </row>
    <row r="2766" spans="1:8" x14ac:dyDescent="0.3">
      <c r="A2766" s="401"/>
      <c r="B2766" s="709">
        <v>2636</v>
      </c>
      <c r="C2766" s="710" t="s">
        <v>11111</v>
      </c>
      <c r="D2766" s="709" t="s">
        <v>136</v>
      </c>
      <c r="E2766" s="709" t="s">
        <v>8432</v>
      </c>
      <c r="F2766" s="716">
        <v>2.23</v>
      </c>
      <c r="G2766" s="716">
        <v>1.64</v>
      </c>
      <c r="H2766" s="225">
        <f t="shared" si="43"/>
        <v>2.23</v>
      </c>
    </row>
    <row r="2767" spans="1:8" x14ac:dyDescent="0.3">
      <c r="A2767" s="401"/>
      <c r="B2767" s="709">
        <v>2637</v>
      </c>
      <c r="C2767" s="710" t="s">
        <v>11112</v>
      </c>
      <c r="D2767" s="709" t="s">
        <v>136</v>
      </c>
      <c r="E2767" s="709" t="s">
        <v>8432</v>
      </c>
      <c r="F2767" s="716">
        <v>2.37</v>
      </c>
      <c r="G2767" s="716">
        <v>1.74</v>
      </c>
      <c r="H2767" s="225">
        <f t="shared" si="43"/>
        <v>2.37</v>
      </c>
    </row>
    <row r="2768" spans="1:8" x14ac:dyDescent="0.3">
      <c r="A2768" s="401"/>
      <c r="B2768" s="709">
        <v>2638</v>
      </c>
      <c r="C2768" s="710" t="s">
        <v>11113</v>
      </c>
      <c r="D2768" s="709" t="s">
        <v>136</v>
      </c>
      <c r="E2768" s="709" t="s">
        <v>8432</v>
      </c>
      <c r="F2768" s="716">
        <v>2.75</v>
      </c>
      <c r="G2768" s="716">
        <v>2.0299999999999998</v>
      </c>
      <c r="H2768" s="225">
        <f t="shared" si="43"/>
        <v>2.75</v>
      </c>
    </row>
    <row r="2769" spans="1:8" x14ac:dyDescent="0.3">
      <c r="A2769" s="401"/>
      <c r="B2769" s="709">
        <v>2639</v>
      </c>
      <c r="C2769" s="710" t="s">
        <v>11114</v>
      </c>
      <c r="D2769" s="709" t="s">
        <v>136</v>
      </c>
      <c r="E2769" s="709" t="s">
        <v>8432</v>
      </c>
      <c r="F2769" s="716">
        <v>4.8899999999999997</v>
      </c>
      <c r="G2769" s="716">
        <v>3.6</v>
      </c>
      <c r="H2769" s="225">
        <f t="shared" si="43"/>
        <v>4.8899999999999997</v>
      </c>
    </row>
    <row r="2770" spans="1:8" x14ac:dyDescent="0.3">
      <c r="A2770" s="401"/>
      <c r="B2770" s="709">
        <v>2644</v>
      </c>
      <c r="C2770" s="710" t="s">
        <v>11115</v>
      </c>
      <c r="D2770" s="709" t="s">
        <v>136</v>
      </c>
      <c r="E2770" s="709" t="s">
        <v>8432</v>
      </c>
      <c r="F2770" s="716">
        <v>7.07</v>
      </c>
      <c r="G2770" s="716">
        <v>5.21</v>
      </c>
      <c r="H2770" s="225">
        <f t="shared" si="43"/>
        <v>7.07</v>
      </c>
    </row>
    <row r="2771" spans="1:8" x14ac:dyDescent="0.3">
      <c r="A2771" s="401"/>
      <c r="B2771" s="709">
        <v>2640</v>
      </c>
      <c r="C2771" s="710" t="s">
        <v>11116</v>
      </c>
      <c r="D2771" s="709" t="s">
        <v>136</v>
      </c>
      <c r="E2771" s="709" t="s">
        <v>8432</v>
      </c>
      <c r="F2771" s="716">
        <v>14.4</v>
      </c>
      <c r="G2771" s="716">
        <v>10.6</v>
      </c>
      <c r="H2771" s="225">
        <f t="shared" si="43"/>
        <v>14.4</v>
      </c>
    </row>
    <row r="2772" spans="1:8" x14ac:dyDescent="0.3">
      <c r="A2772" s="401"/>
      <c r="B2772" s="709">
        <v>2642</v>
      </c>
      <c r="C2772" s="710" t="s">
        <v>11117</v>
      </c>
      <c r="D2772" s="709" t="s">
        <v>136</v>
      </c>
      <c r="E2772" s="709" t="s">
        <v>8432</v>
      </c>
      <c r="F2772" s="716">
        <v>21.92</v>
      </c>
      <c r="G2772" s="716">
        <v>16.14</v>
      </c>
      <c r="H2772" s="225">
        <f t="shared" si="43"/>
        <v>21.92</v>
      </c>
    </row>
    <row r="2773" spans="1:8" x14ac:dyDescent="0.3">
      <c r="A2773" s="401"/>
      <c r="B2773" s="709">
        <v>2643</v>
      </c>
      <c r="C2773" s="710" t="s">
        <v>11118</v>
      </c>
      <c r="D2773" s="709" t="s">
        <v>136</v>
      </c>
      <c r="E2773" s="709" t="s">
        <v>8432</v>
      </c>
      <c r="F2773" s="716">
        <v>9.86</v>
      </c>
      <c r="G2773" s="716">
        <v>7.26</v>
      </c>
      <c r="H2773" s="225">
        <f t="shared" si="43"/>
        <v>9.86</v>
      </c>
    </row>
    <row r="2774" spans="1:8" x14ac:dyDescent="0.3">
      <c r="A2774" s="401"/>
      <c r="B2774" s="709">
        <v>44281</v>
      </c>
      <c r="C2774" s="710" t="s">
        <v>11119</v>
      </c>
      <c r="D2774" s="709" t="s">
        <v>136</v>
      </c>
      <c r="E2774" s="709" t="s">
        <v>8432</v>
      </c>
      <c r="F2774" s="716">
        <v>261.12</v>
      </c>
      <c r="G2774" s="716">
        <v>272.33999999999997</v>
      </c>
      <c r="H2774" s="225">
        <f t="shared" si="43"/>
        <v>261.12</v>
      </c>
    </row>
    <row r="2775" spans="1:8" x14ac:dyDescent="0.3">
      <c r="A2775" s="401"/>
      <c r="B2775" s="709">
        <v>39855</v>
      </c>
      <c r="C2775" s="710" t="s">
        <v>11120</v>
      </c>
      <c r="D2775" s="709" t="s">
        <v>136</v>
      </c>
      <c r="E2775" s="709" t="s">
        <v>8432</v>
      </c>
      <c r="F2775" s="716"/>
      <c r="G2775" s="716">
        <v>4</v>
      </c>
      <c r="H2775" s="225">
        <f t="shared" si="43"/>
        <v>4</v>
      </c>
    </row>
    <row r="2776" spans="1:8" x14ac:dyDescent="0.3">
      <c r="A2776" s="401"/>
      <c r="B2776" s="709">
        <v>39856</v>
      </c>
      <c r="C2776" s="710" t="s">
        <v>11121</v>
      </c>
      <c r="D2776" s="709" t="s">
        <v>136</v>
      </c>
      <c r="E2776" s="709" t="s">
        <v>8432</v>
      </c>
      <c r="F2776" s="716"/>
      <c r="G2776" s="716">
        <v>9.42</v>
      </c>
      <c r="H2776" s="225">
        <f t="shared" si="43"/>
        <v>9.42</v>
      </c>
    </row>
    <row r="2777" spans="1:8" x14ac:dyDescent="0.3">
      <c r="A2777" s="401"/>
      <c r="B2777" s="709">
        <v>39857</v>
      </c>
      <c r="C2777" s="710" t="s">
        <v>11122</v>
      </c>
      <c r="D2777" s="709" t="s">
        <v>136</v>
      </c>
      <c r="E2777" s="709" t="s">
        <v>8432</v>
      </c>
      <c r="F2777" s="716"/>
      <c r="G2777" s="716">
        <v>15.24</v>
      </c>
      <c r="H2777" s="225">
        <f t="shared" si="43"/>
        <v>15.24</v>
      </c>
    </row>
    <row r="2778" spans="1:8" x14ac:dyDescent="0.3">
      <c r="A2778" s="401"/>
      <c r="B2778" s="709">
        <v>39858</v>
      </c>
      <c r="C2778" s="710" t="s">
        <v>11123</v>
      </c>
      <c r="D2778" s="709" t="s">
        <v>136</v>
      </c>
      <c r="E2778" s="709" t="s">
        <v>8432</v>
      </c>
      <c r="F2778" s="716"/>
      <c r="G2778" s="716">
        <v>33.83</v>
      </c>
      <c r="H2778" s="225">
        <f t="shared" si="43"/>
        <v>33.83</v>
      </c>
    </row>
    <row r="2779" spans="1:8" x14ac:dyDescent="0.3">
      <c r="A2779" s="401"/>
      <c r="B2779" s="709">
        <v>39859</v>
      </c>
      <c r="C2779" s="710" t="s">
        <v>11124</v>
      </c>
      <c r="D2779" s="709" t="s">
        <v>136</v>
      </c>
      <c r="E2779" s="709" t="s">
        <v>8432</v>
      </c>
      <c r="F2779" s="716"/>
      <c r="G2779" s="716">
        <v>52.14</v>
      </c>
      <c r="H2779" s="225">
        <f t="shared" si="43"/>
        <v>52.14</v>
      </c>
    </row>
    <row r="2780" spans="1:8" x14ac:dyDescent="0.3">
      <c r="A2780" s="401"/>
      <c r="B2780" s="709">
        <v>39860</v>
      </c>
      <c r="C2780" s="710" t="s">
        <v>11125</v>
      </c>
      <c r="D2780" s="709" t="s">
        <v>136</v>
      </c>
      <c r="E2780" s="709" t="s">
        <v>8432</v>
      </c>
      <c r="F2780" s="716"/>
      <c r="G2780" s="716">
        <v>80.02</v>
      </c>
      <c r="H2780" s="225">
        <f t="shared" si="43"/>
        <v>80.02</v>
      </c>
    </row>
    <row r="2781" spans="1:8" x14ac:dyDescent="0.3">
      <c r="A2781" s="401"/>
      <c r="B2781" s="709">
        <v>39861</v>
      </c>
      <c r="C2781" s="710" t="s">
        <v>11126</v>
      </c>
      <c r="D2781" s="709" t="s">
        <v>136</v>
      </c>
      <c r="E2781" s="709" t="s">
        <v>8432</v>
      </c>
      <c r="F2781" s="716"/>
      <c r="G2781" s="716">
        <v>228.47</v>
      </c>
      <c r="H2781" s="225">
        <f t="shared" si="43"/>
        <v>228.47</v>
      </c>
    </row>
    <row r="2782" spans="1:8" x14ac:dyDescent="0.3">
      <c r="A2782" s="401"/>
      <c r="B2782" s="709">
        <v>3867</v>
      </c>
      <c r="C2782" s="710" t="s">
        <v>11127</v>
      </c>
      <c r="D2782" s="709" t="s">
        <v>136</v>
      </c>
      <c r="E2782" s="709" t="s">
        <v>8432</v>
      </c>
      <c r="F2782" s="716">
        <v>91.8</v>
      </c>
      <c r="G2782" s="716">
        <v>93.6</v>
      </c>
      <c r="H2782" s="225">
        <f t="shared" si="43"/>
        <v>91.8</v>
      </c>
    </row>
    <row r="2783" spans="1:8" x14ac:dyDescent="0.3">
      <c r="A2783" s="401"/>
      <c r="B2783" s="709">
        <v>3861</v>
      </c>
      <c r="C2783" s="710" t="s">
        <v>11128</v>
      </c>
      <c r="D2783" s="709" t="s">
        <v>136</v>
      </c>
      <c r="E2783" s="709" t="s">
        <v>8432</v>
      </c>
      <c r="F2783" s="716">
        <v>0.95</v>
      </c>
      <c r="G2783" s="716">
        <v>0.97</v>
      </c>
      <c r="H2783" s="225">
        <f t="shared" si="43"/>
        <v>0.95</v>
      </c>
    </row>
    <row r="2784" spans="1:8" x14ac:dyDescent="0.3">
      <c r="A2784" s="401"/>
      <c r="B2784" s="709">
        <v>3904</v>
      </c>
      <c r="C2784" s="710" t="s">
        <v>11129</v>
      </c>
      <c r="D2784" s="709" t="s">
        <v>136</v>
      </c>
      <c r="E2784" s="709" t="s">
        <v>8432</v>
      </c>
      <c r="F2784" s="716">
        <v>1.01</v>
      </c>
      <c r="G2784" s="716">
        <v>1.03</v>
      </c>
      <c r="H2784" s="225">
        <f t="shared" si="43"/>
        <v>1.01</v>
      </c>
    </row>
    <row r="2785" spans="1:8" x14ac:dyDescent="0.3">
      <c r="A2785" s="401"/>
      <c r="B2785" s="709">
        <v>3903</v>
      </c>
      <c r="C2785" s="710" t="s">
        <v>11130</v>
      </c>
      <c r="D2785" s="709" t="s">
        <v>136</v>
      </c>
      <c r="E2785" s="709" t="s">
        <v>8432</v>
      </c>
      <c r="F2785" s="716">
        <v>2.46</v>
      </c>
      <c r="G2785" s="716">
        <v>2.5099999999999998</v>
      </c>
      <c r="H2785" s="225">
        <f t="shared" si="43"/>
        <v>2.46</v>
      </c>
    </row>
    <row r="2786" spans="1:8" x14ac:dyDescent="0.3">
      <c r="A2786" s="401"/>
      <c r="B2786" s="709">
        <v>3862</v>
      </c>
      <c r="C2786" s="710" t="s">
        <v>11131</v>
      </c>
      <c r="D2786" s="709" t="s">
        <v>136</v>
      </c>
      <c r="E2786" s="709" t="s">
        <v>8432</v>
      </c>
      <c r="F2786" s="716">
        <v>5.25</v>
      </c>
      <c r="G2786" s="716">
        <v>5.35</v>
      </c>
      <c r="H2786" s="225">
        <f t="shared" si="43"/>
        <v>5.25</v>
      </c>
    </row>
    <row r="2787" spans="1:8" x14ac:dyDescent="0.3">
      <c r="A2787" s="401"/>
      <c r="B2787" s="709">
        <v>3863</v>
      </c>
      <c r="C2787" s="710" t="s">
        <v>11132</v>
      </c>
      <c r="D2787" s="709" t="s">
        <v>136</v>
      </c>
      <c r="E2787" s="709" t="s">
        <v>8432</v>
      </c>
      <c r="F2787" s="716">
        <v>5.38</v>
      </c>
      <c r="G2787" s="716">
        <v>5.48</v>
      </c>
      <c r="H2787" s="225">
        <f t="shared" si="43"/>
        <v>5.38</v>
      </c>
    </row>
    <row r="2788" spans="1:8" x14ac:dyDescent="0.3">
      <c r="A2788" s="401"/>
      <c r="B2788" s="709">
        <v>3864</v>
      </c>
      <c r="C2788" s="710" t="s">
        <v>11133</v>
      </c>
      <c r="D2788" s="709" t="s">
        <v>136</v>
      </c>
      <c r="E2788" s="709" t="s">
        <v>8432</v>
      </c>
      <c r="F2788" s="716">
        <v>16.47</v>
      </c>
      <c r="G2788" s="716">
        <v>16.79</v>
      </c>
      <c r="H2788" s="225">
        <f t="shared" si="43"/>
        <v>16.47</v>
      </c>
    </row>
    <row r="2789" spans="1:8" x14ac:dyDescent="0.3">
      <c r="A2789" s="401"/>
      <c r="B2789" s="709">
        <v>3865</v>
      </c>
      <c r="C2789" s="710" t="s">
        <v>11134</v>
      </c>
      <c r="D2789" s="709" t="s">
        <v>136</v>
      </c>
      <c r="E2789" s="709" t="s">
        <v>8432</v>
      </c>
      <c r="F2789" s="716">
        <v>24.08</v>
      </c>
      <c r="G2789" s="716">
        <v>24.55</v>
      </c>
      <c r="H2789" s="225">
        <f t="shared" si="43"/>
        <v>24.08</v>
      </c>
    </row>
    <row r="2790" spans="1:8" x14ac:dyDescent="0.3">
      <c r="A2790" s="401"/>
      <c r="B2790" s="709">
        <v>3866</v>
      </c>
      <c r="C2790" s="710" t="s">
        <v>11135</v>
      </c>
      <c r="D2790" s="709" t="s">
        <v>136</v>
      </c>
      <c r="E2790" s="709" t="s">
        <v>8432</v>
      </c>
      <c r="F2790" s="716">
        <v>54.07</v>
      </c>
      <c r="G2790" s="716">
        <v>55.12</v>
      </c>
      <c r="H2790" s="225">
        <f t="shared" si="43"/>
        <v>54.07</v>
      </c>
    </row>
    <row r="2791" spans="1:8" x14ac:dyDescent="0.3">
      <c r="A2791" s="401"/>
      <c r="B2791" s="709">
        <v>3878</v>
      </c>
      <c r="C2791" s="710" t="s">
        <v>11136</v>
      </c>
      <c r="D2791" s="709" t="s">
        <v>136</v>
      </c>
      <c r="E2791" s="709" t="s">
        <v>8432</v>
      </c>
      <c r="F2791" s="716">
        <v>14.74</v>
      </c>
      <c r="G2791" s="716">
        <v>15.03</v>
      </c>
      <c r="H2791" s="225">
        <f t="shared" si="43"/>
        <v>14.74</v>
      </c>
    </row>
    <row r="2792" spans="1:8" x14ac:dyDescent="0.3">
      <c r="A2792" s="401"/>
      <c r="B2792" s="709">
        <v>3876</v>
      </c>
      <c r="C2792" s="710" t="s">
        <v>11137</v>
      </c>
      <c r="D2792" s="709" t="s">
        <v>136</v>
      </c>
      <c r="E2792" s="709" t="s">
        <v>8432</v>
      </c>
      <c r="F2792" s="716">
        <v>5.87</v>
      </c>
      <c r="G2792" s="716">
        <v>5.98</v>
      </c>
      <c r="H2792" s="225">
        <f t="shared" si="43"/>
        <v>5.87</v>
      </c>
    </row>
    <row r="2793" spans="1:8" x14ac:dyDescent="0.3">
      <c r="A2793" s="401"/>
      <c r="B2793" s="709">
        <v>3883</v>
      </c>
      <c r="C2793" s="710" t="s">
        <v>11138</v>
      </c>
      <c r="D2793" s="709" t="s">
        <v>136</v>
      </c>
      <c r="E2793" s="709" t="s">
        <v>8432</v>
      </c>
      <c r="F2793" s="716">
        <v>1.89</v>
      </c>
      <c r="G2793" s="716">
        <v>1.92</v>
      </c>
      <c r="H2793" s="225">
        <f t="shared" si="43"/>
        <v>1.89</v>
      </c>
    </row>
    <row r="2794" spans="1:8" x14ac:dyDescent="0.3">
      <c r="A2794" s="401"/>
      <c r="B2794" s="709">
        <v>3884</v>
      </c>
      <c r="C2794" s="710" t="s">
        <v>11139</v>
      </c>
      <c r="D2794" s="709" t="s">
        <v>136</v>
      </c>
      <c r="E2794" s="709" t="s">
        <v>8432</v>
      </c>
      <c r="F2794" s="716">
        <v>2.98</v>
      </c>
      <c r="G2794" s="716">
        <v>3.04</v>
      </c>
      <c r="H2794" s="225">
        <f t="shared" si="43"/>
        <v>2.98</v>
      </c>
    </row>
    <row r="2795" spans="1:8" x14ac:dyDescent="0.3">
      <c r="A2795" s="401"/>
      <c r="B2795" s="709">
        <v>12892</v>
      </c>
      <c r="C2795" s="710" t="s">
        <v>11140</v>
      </c>
      <c r="D2795" s="709" t="s">
        <v>8808</v>
      </c>
      <c r="E2795" s="709" t="s">
        <v>8432</v>
      </c>
      <c r="F2795" s="716">
        <v>12.98</v>
      </c>
      <c r="G2795" s="716">
        <v>12.73</v>
      </c>
      <c r="H2795" s="225">
        <f t="shared" si="43"/>
        <v>12.98</v>
      </c>
    </row>
    <row r="2796" spans="1:8" x14ac:dyDescent="0.3">
      <c r="A2796" s="401"/>
      <c r="B2796" s="709">
        <v>38447</v>
      </c>
      <c r="C2796" s="710" t="s">
        <v>11141</v>
      </c>
      <c r="D2796" s="709" t="s">
        <v>136</v>
      </c>
      <c r="E2796" s="709" t="s">
        <v>8432</v>
      </c>
      <c r="F2796" s="716">
        <v>94.98</v>
      </c>
      <c r="G2796" s="716">
        <v>106.49</v>
      </c>
      <c r="H2796" s="225">
        <f t="shared" si="43"/>
        <v>94.98</v>
      </c>
    </row>
    <row r="2797" spans="1:8" x14ac:dyDescent="0.3">
      <c r="A2797" s="401"/>
      <c r="B2797" s="709">
        <v>36320</v>
      </c>
      <c r="C2797" s="710" t="s">
        <v>11142</v>
      </c>
      <c r="D2797" s="709" t="s">
        <v>136</v>
      </c>
      <c r="E2797" s="709" t="s">
        <v>8432</v>
      </c>
      <c r="F2797" s="716">
        <v>2.5499999999999998</v>
      </c>
      <c r="G2797" s="716">
        <v>2.86</v>
      </c>
      <c r="H2797" s="225">
        <f t="shared" si="43"/>
        <v>2.5499999999999998</v>
      </c>
    </row>
    <row r="2798" spans="1:8" x14ac:dyDescent="0.3">
      <c r="A2798" s="401"/>
      <c r="B2798" s="709">
        <v>36324</v>
      </c>
      <c r="C2798" s="710" t="s">
        <v>11143</v>
      </c>
      <c r="D2798" s="709" t="s">
        <v>136</v>
      </c>
      <c r="E2798" s="709" t="s">
        <v>8432</v>
      </c>
      <c r="F2798" s="716">
        <v>2.33</v>
      </c>
      <c r="G2798" s="716">
        <v>2.61</v>
      </c>
      <c r="H2798" s="225">
        <f t="shared" si="43"/>
        <v>2.33</v>
      </c>
    </row>
    <row r="2799" spans="1:8" x14ac:dyDescent="0.3">
      <c r="A2799" s="401"/>
      <c r="B2799" s="709">
        <v>38441</v>
      </c>
      <c r="C2799" s="710" t="s">
        <v>11144</v>
      </c>
      <c r="D2799" s="709" t="s">
        <v>136</v>
      </c>
      <c r="E2799" s="709" t="s">
        <v>8432</v>
      </c>
      <c r="F2799" s="716">
        <v>4.17</v>
      </c>
      <c r="G2799" s="716">
        <v>4.68</v>
      </c>
      <c r="H2799" s="225">
        <f t="shared" si="43"/>
        <v>4.17</v>
      </c>
    </row>
    <row r="2800" spans="1:8" x14ac:dyDescent="0.3">
      <c r="A2800" s="401"/>
      <c r="B2800" s="709">
        <v>38442</v>
      </c>
      <c r="C2800" s="710" t="s">
        <v>11145</v>
      </c>
      <c r="D2800" s="709" t="s">
        <v>136</v>
      </c>
      <c r="E2800" s="709" t="s">
        <v>8432</v>
      </c>
      <c r="F2800" s="716">
        <v>11.87</v>
      </c>
      <c r="G2800" s="716">
        <v>13.31</v>
      </c>
      <c r="H2800" s="225">
        <f t="shared" si="43"/>
        <v>11.87</v>
      </c>
    </row>
    <row r="2801" spans="1:8" x14ac:dyDescent="0.3">
      <c r="A2801" s="401"/>
      <c r="B2801" s="709">
        <v>38443</v>
      </c>
      <c r="C2801" s="710" t="s">
        <v>11146</v>
      </c>
      <c r="D2801" s="709" t="s">
        <v>136</v>
      </c>
      <c r="E2801" s="709" t="s">
        <v>8432</v>
      </c>
      <c r="F2801" s="716">
        <v>14.4</v>
      </c>
      <c r="G2801" s="716">
        <v>16.14</v>
      </c>
      <c r="H2801" s="225">
        <f t="shared" si="43"/>
        <v>14.4</v>
      </c>
    </row>
    <row r="2802" spans="1:8" x14ac:dyDescent="0.3">
      <c r="A2802" s="401"/>
      <c r="B2802" s="709">
        <v>38444</v>
      </c>
      <c r="C2802" s="710" t="s">
        <v>11147</v>
      </c>
      <c r="D2802" s="709" t="s">
        <v>136</v>
      </c>
      <c r="E2802" s="709" t="s">
        <v>8432</v>
      </c>
      <c r="F2802" s="716">
        <v>24.18</v>
      </c>
      <c r="G2802" s="716">
        <v>27.11</v>
      </c>
      <c r="H2802" s="225">
        <f t="shared" si="43"/>
        <v>24.18</v>
      </c>
    </row>
    <row r="2803" spans="1:8" x14ac:dyDescent="0.3">
      <c r="A2803" s="401"/>
      <c r="B2803" s="709">
        <v>38445</v>
      </c>
      <c r="C2803" s="710" t="s">
        <v>11148</v>
      </c>
      <c r="D2803" s="709" t="s">
        <v>136</v>
      </c>
      <c r="E2803" s="709" t="s">
        <v>8432</v>
      </c>
      <c r="F2803" s="716">
        <v>44.84</v>
      </c>
      <c r="G2803" s="716">
        <v>50.27</v>
      </c>
      <c r="H2803" s="225">
        <f t="shared" si="43"/>
        <v>44.84</v>
      </c>
    </row>
    <row r="2804" spans="1:8" x14ac:dyDescent="0.3">
      <c r="A2804" s="401"/>
      <c r="B2804" s="709">
        <v>38446</v>
      </c>
      <c r="C2804" s="710" t="s">
        <v>11149</v>
      </c>
      <c r="D2804" s="709" t="s">
        <v>136</v>
      </c>
      <c r="E2804" s="709" t="s">
        <v>8432</v>
      </c>
      <c r="F2804" s="716">
        <v>73.39</v>
      </c>
      <c r="G2804" s="716">
        <v>82.28</v>
      </c>
      <c r="H2804" s="225">
        <f t="shared" si="43"/>
        <v>73.39</v>
      </c>
    </row>
    <row r="2805" spans="1:8" x14ac:dyDescent="0.3">
      <c r="A2805" s="401"/>
      <c r="B2805" s="709">
        <v>3837</v>
      </c>
      <c r="C2805" s="710" t="s">
        <v>11150</v>
      </c>
      <c r="D2805" s="709" t="s">
        <v>136</v>
      </c>
      <c r="E2805" s="709" t="s">
        <v>8432</v>
      </c>
      <c r="F2805" s="716"/>
      <c r="G2805" s="716">
        <v>49.36</v>
      </c>
      <c r="H2805" s="225">
        <f t="shared" si="43"/>
        <v>49.36</v>
      </c>
    </row>
    <row r="2806" spans="1:8" x14ac:dyDescent="0.3">
      <c r="A2806" s="401"/>
      <c r="B2806" s="709">
        <v>3845</v>
      </c>
      <c r="C2806" s="710" t="s">
        <v>11151</v>
      </c>
      <c r="D2806" s="709" t="s">
        <v>136</v>
      </c>
      <c r="E2806" s="709" t="s">
        <v>8432</v>
      </c>
      <c r="F2806" s="716"/>
      <c r="G2806" s="716">
        <v>18.03</v>
      </c>
      <c r="H2806" s="225">
        <f t="shared" si="43"/>
        <v>18.03</v>
      </c>
    </row>
    <row r="2807" spans="1:8" x14ac:dyDescent="0.3">
      <c r="A2807" s="401"/>
      <c r="B2807" s="709">
        <v>11045</v>
      </c>
      <c r="C2807" s="710" t="s">
        <v>11152</v>
      </c>
      <c r="D2807" s="709" t="s">
        <v>136</v>
      </c>
      <c r="E2807" s="709" t="s">
        <v>8432</v>
      </c>
      <c r="F2807" s="716"/>
      <c r="G2807" s="716">
        <v>34.78</v>
      </c>
      <c r="H2807" s="225">
        <f t="shared" si="43"/>
        <v>34.78</v>
      </c>
    </row>
    <row r="2808" spans="1:8" x14ac:dyDescent="0.3">
      <c r="A2808" s="401"/>
      <c r="B2808" s="709">
        <v>20170</v>
      </c>
      <c r="C2808" s="710" t="s">
        <v>11153</v>
      </c>
      <c r="D2808" s="709" t="s">
        <v>136</v>
      </c>
      <c r="E2808" s="709" t="s">
        <v>8432</v>
      </c>
      <c r="F2808" s="716">
        <v>17.88</v>
      </c>
      <c r="G2808" s="716">
        <v>18.05</v>
      </c>
      <c r="H2808" s="225">
        <f t="shared" si="43"/>
        <v>17.88</v>
      </c>
    </row>
    <row r="2809" spans="1:8" x14ac:dyDescent="0.3">
      <c r="A2809" s="401"/>
      <c r="B2809" s="709">
        <v>20171</v>
      </c>
      <c r="C2809" s="710" t="s">
        <v>11154</v>
      </c>
      <c r="D2809" s="709" t="s">
        <v>136</v>
      </c>
      <c r="E2809" s="709" t="s">
        <v>8432</v>
      </c>
      <c r="F2809" s="716">
        <v>51.55</v>
      </c>
      <c r="G2809" s="716">
        <v>52.05</v>
      </c>
      <c r="H2809" s="225">
        <f t="shared" si="43"/>
        <v>51.55</v>
      </c>
    </row>
    <row r="2810" spans="1:8" x14ac:dyDescent="0.3">
      <c r="A2810" s="401"/>
      <c r="B2810" s="709">
        <v>20167</v>
      </c>
      <c r="C2810" s="710" t="s">
        <v>11155</v>
      </c>
      <c r="D2810" s="709" t="s">
        <v>136</v>
      </c>
      <c r="E2810" s="709" t="s">
        <v>8432</v>
      </c>
      <c r="F2810" s="716">
        <v>6.48</v>
      </c>
      <c r="G2810" s="716">
        <v>6.55</v>
      </c>
      <c r="H2810" s="225">
        <f t="shared" si="43"/>
        <v>6.48</v>
      </c>
    </row>
    <row r="2811" spans="1:8" x14ac:dyDescent="0.3">
      <c r="A2811" s="401"/>
      <c r="B2811" s="709">
        <v>20168</v>
      </c>
      <c r="C2811" s="710" t="s">
        <v>11156</v>
      </c>
      <c r="D2811" s="709" t="s">
        <v>136</v>
      </c>
      <c r="E2811" s="709" t="s">
        <v>8432</v>
      </c>
      <c r="F2811" s="716">
        <v>13.34</v>
      </c>
      <c r="G2811" s="716">
        <v>13.47</v>
      </c>
      <c r="H2811" s="225">
        <f t="shared" si="43"/>
        <v>13.34</v>
      </c>
    </row>
    <row r="2812" spans="1:8" x14ac:dyDescent="0.3">
      <c r="A2812" s="401"/>
      <c r="B2812" s="709">
        <v>20169</v>
      </c>
      <c r="C2812" s="710" t="s">
        <v>11157</v>
      </c>
      <c r="D2812" s="709" t="s">
        <v>136</v>
      </c>
      <c r="E2812" s="709" t="s">
        <v>8432</v>
      </c>
      <c r="F2812" s="716">
        <v>15.57</v>
      </c>
      <c r="G2812" s="716">
        <v>15.72</v>
      </c>
      <c r="H2812" s="225">
        <f t="shared" si="43"/>
        <v>15.57</v>
      </c>
    </row>
    <row r="2813" spans="1:8" x14ac:dyDescent="0.3">
      <c r="A2813" s="401"/>
      <c r="B2813" s="709">
        <v>3899</v>
      </c>
      <c r="C2813" s="710" t="s">
        <v>11158</v>
      </c>
      <c r="D2813" s="709" t="s">
        <v>136</v>
      </c>
      <c r="E2813" s="709" t="s">
        <v>8432</v>
      </c>
      <c r="F2813" s="716">
        <v>8.64</v>
      </c>
      <c r="G2813" s="716">
        <v>8.7200000000000006</v>
      </c>
      <c r="H2813" s="225">
        <f t="shared" si="43"/>
        <v>8.64</v>
      </c>
    </row>
    <row r="2814" spans="1:8" x14ac:dyDescent="0.3">
      <c r="A2814" s="401"/>
      <c r="B2814" s="709">
        <v>38676</v>
      </c>
      <c r="C2814" s="710" t="s">
        <v>11159</v>
      </c>
      <c r="D2814" s="709" t="s">
        <v>136</v>
      </c>
      <c r="E2814" s="709" t="s">
        <v>8432</v>
      </c>
      <c r="F2814" s="716">
        <v>43.2</v>
      </c>
      <c r="G2814" s="716">
        <v>43.62</v>
      </c>
      <c r="H2814" s="225">
        <f t="shared" si="43"/>
        <v>43.2</v>
      </c>
    </row>
    <row r="2815" spans="1:8" x14ac:dyDescent="0.3">
      <c r="A2815" s="401"/>
      <c r="B2815" s="709">
        <v>3897</v>
      </c>
      <c r="C2815" s="710" t="s">
        <v>11160</v>
      </c>
      <c r="D2815" s="709" t="s">
        <v>136</v>
      </c>
      <c r="E2815" s="709" t="s">
        <v>8432</v>
      </c>
      <c r="F2815" s="716">
        <v>2.11</v>
      </c>
      <c r="G2815" s="716">
        <v>2.13</v>
      </c>
      <c r="H2815" s="225">
        <f t="shared" si="43"/>
        <v>2.11</v>
      </c>
    </row>
    <row r="2816" spans="1:8" x14ac:dyDescent="0.3">
      <c r="A2816" s="401"/>
      <c r="B2816" s="709">
        <v>3875</v>
      </c>
      <c r="C2816" s="710" t="s">
        <v>11161</v>
      </c>
      <c r="D2816" s="709" t="s">
        <v>136</v>
      </c>
      <c r="E2816" s="709" t="s">
        <v>8432</v>
      </c>
      <c r="F2816" s="716">
        <v>4.3499999999999996</v>
      </c>
      <c r="G2816" s="716">
        <v>4.4000000000000004</v>
      </c>
      <c r="H2816" s="225">
        <f t="shared" si="43"/>
        <v>4.3499999999999996</v>
      </c>
    </row>
    <row r="2817" spans="1:8" x14ac:dyDescent="0.3">
      <c r="A2817" s="401"/>
      <c r="B2817" s="709">
        <v>3898</v>
      </c>
      <c r="C2817" s="710" t="s">
        <v>11162</v>
      </c>
      <c r="D2817" s="709" t="s">
        <v>136</v>
      </c>
      <c r="E2817" s="709" t="s">
        <v>8432</v>
      </c>
      <c r="F2817" s="716">
        <v>8.84</v>
      </c>
      <c r="G2817" s="716">
        <v>8.92</v>
      </c>
      <c r="H2817" s="225">
        <f t="shared" si="43"/>
        <v>8.84</v>
      </c>
    </row>
    <row r="2818" spans="1:8" x14ac:dyDescent="0.3">
      <c r="A2818" s="401"/>
      <c r="B2818" s="709">
        <v>3855</v>
      </c>
      <c r="C2818" s="710" t="s">
        <v>11163</v>
      </c>
      <c r="D2818" s="709" t="s">
        <v>136</v>
      </c>
      <c r="E2818" s="709" t="s">
        <v>8432</v>
      </c>
      <c r="F2818" s="716">
        <v>6.37</v>
      </c>
      <c r="G2818" s="716">
        <v>6.49</v>
      </c>
      <c r="H2818" s="225">
        <f t="shared" si="43"/>
        <v>6.37</v>
      </c>
    </row>
    <row r="2819" spans="1:8" x14ac:dyDescent="0.3">
      <c r="A2819" s="401"/>
      <c r="B2819" s="709">
        <v>3874</v>
      </c>
      <c r="C2819" s="710" t="s">
        <v>11164</v>
      </c>
      <c r="D2819" s="709" t="s">
        <v>136</v>
      </c>
      <c r="E2819" s="709" t="s">
        <v>8432</v>
      </c>
      <c r="F2819" s="716">
        <v>7.38</v>
      </c>
      <c r="G2819" s="716">
        <v>7.52</v>
      </c>
      <c r="H2819" s="225">
        <f t="shared" si="43"/>
        <v>7.38</v>
      </c>
    </row>
    <row r="2820" spans="1:8" x14ac:dyDescent="0.3">
      <c r="A2820" s="401"/>
      <c r="B2820" s="709">
        <v>3870</v>
      </c>
      <c r="C2820" s="710" t="s">
        <v>11165</v>
      </c>
      <c r="D2820" s="709" t="s">
        <v>136</v>
      </c>
      <c r="E2820" s="709" t="s">
        <v>8432</v>
      </c>
      <c r="F2820" s="716">
        <v>8.1</v>
      </c>
      <c r="G2820" s="716">
        <v>8.25</v>
      </c>
      <c r="H2820" s="225">
        <f t="shared" si="43"/>
        <v>8.1</v>
      </c>
    </row>
    <row r="2821" spans="1:8" x14ac:dyDescent="0.3">
      <c r="A2821" s="401"/>
      <c r="B2821" s="709">
        <v>38678</v>
      </c>
      <c r="C2821" s="710" t="s">
        <v>11166</v>
      </c>
      <c r="D2821" s="709" t="s">
        <v>136</v>
      </c>
      <c r="E2821" s="709" t="s">
        <v>8432</v>
      </c>
      <c r="F2821" s="716">
        <v>21.42</v>
      </c>
      <c r="G2821" s="716">
        <v>21.84</v>
      </c>
      <c r="H2821" s="225">
        <f t="shared" si="43"/>
        <v>21.42</v>
      </c>
    </row>
    <row r="2822" spans="1:8" x14ac:dyDescent="0.3">
      <c r="A2822" s="401"/>
      <c r="B2822" s="709">
        <v>3859</v>
      </c>
      <c r="C2822" s="710" t="s">
        <v>11167</v>
      </c>
      <c r="D2822" s="709" t="s">
        <v>136</v>
      </c>
      <c r="E2822" s="709" t="s">
        <v>8432</v>
      </c>
      <c r="F2822" s="716">
        <v>1.63</v>
      </c>
      <c r="G2822" s="716">
        <v>1.66</v>
      </c>
      <c r="H2822" s="225">
        <f t="shared" si="43"/>
        <v>1.63</v>
      </c>
    </row>
    <row r="2823" spans="1:8" x14ac:dyDescent="0.3">
      <c r="A2823" s="401"/>
      <c r="B2823" s="709">
        <v>3856</v>
      </c>
      <c r="C2823" s="710" t="s">
        <v>11168</v>
      </c>
      <c r="D2823" s="709" t="s">
        <v>136</v>
      </c>
      <c r="E2823" s="709" t="s">
        <v>8432</v>
      </c>
      <c r="F2823" s="716">
        <v>2.2599999999999998</v>
      </c>
      <c r="G2823" s="716">
        <v>2.31</v>
      </c>
      <c r="H2823" s="225">
        <f t="shared" si="43"/>
        <v>2.2599999999999998</v>
      </c>
    </row>
    <row r="2824" spans="1:8" x14ac:dyDescent="0.3">
      <c r="A2824" s="401"/>
      <c r="B2824" s="709">
        <v>3906</v>
      </c>
      <c r="C2824" s="710" t="s">
        <v>11169</v>
      </c>
      <c r="D2824" s="709" t="s">
        <v>136</v>
      </c>
      <c r="E2824" s="709" t="s">
        <v>8432</v>
      </c>
      <c r="F2824" s="716">
        <v>1.87</v>
      </c>
      <c r="G2824" s="716">
        <v>1.9</v>
      </c>
      <c r="H2824" s="225">
        <f t="shared" si="43"/>
        <v>1.87</v>
      </c>
    </row>
    <row r="2825" spans="1:8" x14ac:dyDescent="0.3">
      <c r="A2825" s="401"/>
      <c r="B2825" s="709">
        <v>3860</v>
      </c>
      <c r="C2825" s="710" t="s">
        <v>11170</v>
      </c>
      <c r="D2825" s="709" t="s">
        <v>136</v>
      </c>
      <c r="E2825" s="709" t="s">
        <v>8432</v>
      </c>
      <c r="F2825" s="716">
        <v>5.55</v>
      </c>
      <c r="G2825" s="716">
        <v>5.66</v>
      </c>
      <c r="H2825" s="225">
        <f t="shared" si="43"/>
        <v>5.55</v>
      </c>
    </row>
    <row r="2826" spans="1:8" x14ac:dyDescent="0.3">
      <c r="A2826" s="401"/>
      <c r="B2826" s="709">
        <v>3905</v>
      </c>
      <c r="C2826" s="710" t="s">
        <v>11171</v>
      </c>
      <c r="D2826" s="709" t="s">
        <v>136</v>
      </c>
      <c r="E2826" s="709" t="s">
        <v>8432</v>
      </c>
      <c r="F2826" s="716">
        <v>12.73</v>
      </c>
      <c r="G2826" s="716">
        <v>12.98</v>
      </c>
      <c r="H2826" s="225">
        <f t="shared" si="43"/>
        <v>12.73</v>
      </c>
    </row>
    <row r="2827" spans="1:8" x14ac:dyDescent="0.3">
      <c r="A2827" s="401"/>
      <c r="B2827" s="709">
        <v>3871</v>
      </c>
      <c r="C2827" s="710" t="s">
        <v>11172</v>
      </c>
      <c r="D2827" s="709" t="s">
        <v>136</v>
      </c>
      <c r="E2827" s="709" t="s">
        <v>8432</v>
      </c>
      <c r="F2827" s="716">
        <v>22.52</v>
      </c>
      <c r="G2827" s="716">
        <v>22.96</v>
      </c>
      <c r="H2827" s="225">
        <f t="shared" ref="H2827:H2890" si="44">IF(F2827&gt;0,F2827,G2827)</f>
        <v>22.52</v>
      </c>
    </row>
    <row r="2828" spans="1:8" x14ac:dyDescent="0.3">
      <c r="A2828" s="401"/>
      <c r="B2828" s="709">
        <v>37427</v>
      </c>
      <c r="C2828" s="710" t="s">
        <v>11173</v>
      </c>
      <c r="D2828" s="709" t="s">
        <v>136</v>
      </c>
      <c r="E2828" s="709" t="s">
        <v>8432</v>
      </c>
      <c r="F2828" s="716">
        <v>67.05</v>
      </c>
      <c r="G2828" s="716">
        <v>67.52</v>
      </c>
      <c r="H2828" s="225">
        <f t="shared" si="44"/>
        <v>67.05</v>
      </c>
    </row>
    <row r="2829" spans="1:8" x14ac:dyDescent="0.3">
      <c r="A2829" s="401"/>
      <c r="B2829" s="709">
        <v>37424</v>
      </c>
      <c r="C2829" s="710" t="s">
        <v>124</v>
      </c>
      <c r="D2829" s="709" t="s">
        <v>136</v>
      </c>
      <c r="E2829" s="709" t="s">
        <v>8432</v>
      </c>
      <c r="F2829" s="716">
        <v>12.92</v>
      </c>
      <c r="G2829" s="716">
        <v>13.01</v>
      </c>
      <c r="H2829" s="225">
        <f t="shared" si="44"/>
        <v>12.92</v>
      </c>
    </row>
    <row r="2830" spans="1:8" x14ac:dyDescent="0.3">
      <c r="A2830" s="401"/>
      <c r="B2830" s="709">
        <v>37428</v>
      </c>
      <c r="C2830" s="710" t="s">
        <v>11174</v>
      </c>
      <c r="D2830" s="709" t="s">
        <v>136</v>
      </c>
      <c r="E2830" s="709" t="s">
        <v>8432</v>
      </c>
      <c r="F2830" s="716">
        <v>231.09</v>
      </c>
      <c r="G2830" s="716">
        <v>232.71</v>
      </c>
      <c r="H2830" s="225">
        <f t="shared" si="44"/>
        <v>231.09</v>
      </c>
    </row>
    <row r="2831" spans="1:8" x14ac:dyDescent="0.3">
      <c r="A2831" s="401"/>
      <c r="B2831" s="709">
        <v>37425</v>
      </c>
      <c r="C2831" s="710" t="s">
        <v>11175</v>
      </c>
      <c r="D2831" s="709" t="s">
        <v>136</v>
      </c>
      <c r="E2831" s="709" t="s">
        <v>8432</v>
      </c>
      <c r="F2831" s="716">
        <v>13.92</v>
      </c>
      <c r="G2831" s="716">
        <v>14.02</v>
      </c>
      <c r="H2831" s="225">
        <f t="shared" si="44"/>
        <v>13.92</v>
      </c>
    </row>
    <row r="2832" spans="1:8" x14ac:dyDescent="0.3">
      <c r="A2832" s="401"/>
      <c r="B2832" s="709">
        <v>37429</v>
      </c>
      <c r="C2832" s="710" t="s">
        <v>11176</v>
      </c>
      <c r="D2832" s="709" t="s">
        <v>136</v>
      </c>
      <c r="E2832" s="709" t="s">
        <v>8432</v>
      </c>
      <c r="F2832" s="716">
        <v>2922.3</v>
      </c>
      <c r="G2832" s="716">
        <v>2942.81</v>
      </c>
      <c r="H2832" s="225">
        <f t="shared" si="44"/>
        <v>2922.3</v>
      </c>
    </row>
    <row r="2833" spans="1:8" x14ac:dyDescent="0.3">
      <c r="A2833" s="401"/>
      <c r="B2833" s="709">
        <v>37426</v>
      </c>
      <c r="C2833" s="710" t="s">
        <v>11177</v>
      </c>
      <c r="D2833" s="709" t="s">
        <v>136</v>
      </c>
      <c r="E2833" s="709" t="s">
        <v>8432</v>
      </c>
      <c r="F2833" s="716">
        <v>28.11</v>
      </c>
      <c r="G2833" s="716">
        <v>28.31</v>
      </c>
      <c r="H2833" s="225">
        <f t="shared" si="44"/>
        <v>28.11</v>
      </c>
    </row>
    <row r="2834" spans="1:8" x14ac:dyDescent="0.3">
      <c r="A2834" s="401"/>
      <c r="B2834" s="709">
        <v>39292</v>
      </c>
      <c r="C2834" s="710" t="s">
        <v>11178</v>
      </c>
      <c r="D2834" s="709" t="s">
        <v>136</v>
      </c>
      <c r="E2834" s="709" t="s">
        <v>8432</v>
      </c>
      <c r="F2834" s="716">
        <v>14.18</v>
      </c>
      <c r="G2834" s="716">
        <v>8.86</v>
      </c>
      <c r="H2834" s="225">
        <f t="shared" si="44"/>
        <v>14.18</v>
      </c>
    </row>
    <row r="2835" spans="1:8" x14ac:dyDescent="0.3">
      <c r="A2835" s="401"/>
      <c r="B2835" s="709">
        <v>39293</v>
      </c>
      <c r="C2835" s="710" t="s">
        <v>11179</v>
      </c>
      <c r="D2835" s="709" t="s">
        <v>136</v>
      </c>
      <c r="E2835" s="709" t="s">
        <v>8432</v>
      </c>
      <c r="F2835" s="716">
        <v>22.03</v>
      </c>
      <c r="G2835" s="716">
        <v>13.77</v>
      </c>
      <c r="H2835" s="225">
        <f t="shared" si="44"/>
        <v>22.03</v>
      </c>
    </row>
    <row r="2836" spans="1:8" x14ac:dyDescent="0.3">
      <c r="A2836" s="401"/>
      <c r="B2836" s="709">
        <v>39294</v>
      </c>
      <c r="C2836" s="710" t="s">
        <v>11180</v>
      </c>
      <c r="D2836" s="709" t="s">
        <v>136</v>
      </c>
      <c r="E2836" s="709" t="s">
        <v>8432</v>
      </c>
      <c r="F2836" s="716">
        <v>23.55</v>
      </c>
      <c r="G2836" s="716">
        <v>14.72</v>
      </c>
      <c r="H2836" s="225">
        <f t="shared" si="44"/>
        <v>23.55</v>
      </c>
    </row>
    <row r="2837" spans="1:8" x14ac:dyDescent="0.3">
      <c r="A2837" s="401"/>
      <c r="B2837" s="709">
        <v>39295</v>
      </c>
      <c r="C2837" s="710" t="s">
        <v>11181</v>
      </c>
      <c r="D2837" s="709" t="s">
        <v>136</v>
      </c>
      <c r="E2837" s="709" t="s">
        <v>8432</v>
      </c>
      <c r="F2837" s="716">
        <v>32.39</v>
      </c>
      <c r="G2837" s="716">
        <v>20.239999999999998</v>
      </c>
      <c r="H2837" s="225">
        <f t="shared" si="44"/>
        <v>32.39</v>
      </c>
    </row>
    <row r="2838" spans="1:8" x14ac:dyDescent="0.3">
      <c r="A2838" s="401"/>
      <c r="B2838" s="709">
        <v>39312</v>
      </c>
      <c r="C2838" s="710" t="s">
        <v>11182</v>
      </c>
      <c r="D2838" s="709" t="s">
        <v>136</v>
      </c>
      <c r="E2838" s="709" t="s">
        <v>8432</v>
      </c>
      <c r="F2838" s="716">
        <v>21.74</v>
      </c>
      <c r="G2838" s="716">
        <v>13.59</v>
      </c>
      <c r="H2838" s="225">
        <f t="shared" si="44"/>
        <v>21.74</v>
      </c>
    </row>
    <row r="2839" spans="1:8" x14ac:dyDescent="0.3">
      <c r="A2839" s="401"/>
      <c r="B2839" s="709">
        <v>39313</v>
      </c>
      <c r="C2839" s="710" t="s">
        <v>11183</v>
      </c>
      <c r="D2839" s="709" t="s">
        <v>136</v>
      </c>
      <c r="E2839" s="709" t="s">
        <v>8432</v>
      </c>
      <c r="F2839" s="716">
        <v>29.2</v>
      </c>
      <c r="G2839" s="716">
        <v>18.25</v>
      </c>
      <c r="H2839" s="225">
        <f t="shared" si="44"/>
        <v>29.2</v>
      </c>
    </row>
    <row r="2840" spans="1:8" x14ac:dyDescent="0.3">
      <c r="A2840" s="401"/>
      <c r="B2840" s="709">
        <v>39314</v>
      </c>
      <c r="C2840" s="710" t="s">
        <v>11184</v>
      </c>
      <c r="D2840" s="709" t="s">
        <v>136</v>
      </c>
      <c r="E2840" s="709" t="s">
        <v>8432</v>
      </c>
      <c r="F2840" s="716">
        <v>42.97</v>
      </c>
      <c r="G2840" s="716">
        <v>26.85</v>
      </c>
      <c r="H2840" s="225">
        <f t="shared" si="44"/>
        <v>42.97</v>
      </c>
    </row>
    <row r="2841" spans="1:8" x14ac:dyDescent="0.3">
      <c r="A2841" s="401"/>
      <c r="B2841" s="709">
        <v>39296</v>
      </c>
      <c r="C2841" s="710" t="s">
        <v>11185</v>
      </c>
      <c r="D2841" s="709" t="s">
        <v>136</v>
      </c>
      <c r="E2841" s="709" t="s">
        <v>8432</v>
      </c>
      <c r="F2841" s="716">
        <v>12.93</v>
      </c>
      <c r="G2841" s="716">
        <v>8.08</v>
      </c>
      <c r="H2841" s="225">
        <f t="shared" si="44"/>
        <v>12.93</v>
      </c>
    </row>
    <row r="2842" spans="1:8" x14ac:dyDescent="0.3">
      <c r="A2842" s="401"/>
      <c r="B2842" s="709">
        <v>39297</v>
      </c>
      <c r="C2842" s="710" t="s">
        <v>11186</v>
      </c>
      <c r="D2842" s="709" t="s">
        <v>136</v>
      </c>
      <c r="E2842" s="709" t="s">
        <v>8432</v>
      </c>
      <c r="F2842" s="716">
        <v>17.53</v>
      </c>
      <c r="G2842" s="716">
        <v>10.95</v>
      </c>
      <c r="H2842" s="225">
        <f t="shared" si="44"/>
        <v>17.53</v>
      </c>
    </row>
    <row r="2843" spans="1:8" x14ac:dyDescent="0.3">
      <c r="A2843" s="401"/>
      <c r="B2843" s="709">
        <v>39298</v>
      </c>
      <c r="C2843" s="710" t="s">
        <v>11187</v>
      </c>
      <c r="D2843" s="709" t="s">
        <v>136</v>
      </c>
      <c r="E2843" s="709" t="s">
        <v>8432</v>
      </c>
      <c r="F2843" s="716">
        <v>33.65</v>
      </c>
      <c r="G2843" s="716">
        <v>21.03</v>
      </c>
      <c r="H2843" s="225">
        <f t="shared" si="44"/>
        <v>33.65</v>
      </c>
    </row>
    <row r="2844" spans="1:8" x14ac:dyDescent="0.3">
      <c r="A2844" s="401"/>
      <c r="B2844" s="709">
        <v>39299</v>
      </c>
      <c r="C2844" s="710" t="s">
        <v>11188</v>
      </c>
      <c r="D2844" s="709" t="s">
        <v>136</v>
      </c>
      <c r="E2844" s="709" t="s">
        <v>8432</v>
      </c>
      <c r="F2844" s="716">
        <v>39.880000000000003</v>
      </c>
      <c r="G2844" s="716">
        <v>24.92</v>
      </c>
      <c r="H2844" s="225">
        <f t="shared" si="44"/>
        <v>39.880000000000003</v>
      </c>
    </row>
    <row r="2845" spans="1:8" x14ac:dyDescent="0.3">
      <c r="A2845" s="401"/>
      <c r="B2845" s="709">
        <v>39308</v>
      </c>
      <c r="C2845" s="710" t="s">
        <v>11189</v>
      </c>
      <c r="D2845" s="709" t="s">
        <v>136</v>
      </c>
      <c r="E2845" s="709" t="s">
        <v>8432</v>
      </c>
      <c r="F2845" s="716">
        <v>10.78</v>
      </c>
      <c r="G2845" s="716">
        <v>6.74</v>
      </c>
      <c r="H2845" s="225">
        <f t="shared" si="44"/>
        <v>10.78</v>
      </c>
    </row>
    <row r="2846" spans="1:8" x14ac:dyDescent="0.3">
      <c r="A2846" s="401"/>
      <c r="B2846" s="709">
        <v>39309</v>
      </c>
      <c r="C2846" s="710" t="s">
        <v>11190</v>
      </c>
      <c r="D2846" s="709" t="s">
        <v>136</v>
      </c>
      <c r="E2846" s="709" t="s">
        <v>8432</v>
      </c>
      <c r="F2846" s="716">
        <v>12.3</v>
      </c>
      <c r="G2846" s="716">
        <v>7.68</v>
      </c>
      <c r="H2846" s="225">
        <f t="shared" si="44"/>
        <v>12.3</v>
      </c>
    </row>
    <row r="2847" spans="1:8" x14ac:dyDescent="0.3">
      <c r="A2847" s="401"/>
      <c r="B2847" s="709">
        <v>39310</v>
      </c>
      <c r="C2847" s="710" t="s">
        <v>11191</v>
      </c>
      <c r="D2847" s="709" t="s">
        <v>136</v>
      </c>
      <c r="E2847" s="709" t="s">
        <v>8432</v>
      </c>
      <c r="F2847" s="716">
        <v>22.95</v>
      </c>
      <c r="G2847" s="716">
        <v>14.34</v>
      </c>
      <c r="H2847" s="225">
        <f t="shared" si="44"/>
        <v>22.95</v>
      </c>
    </row>
    <row r="2848" spans="1:8" x14ac:dyDescent="0.3">
      <c r="A2848" s="401"/>
      <c r="B2848" s="709">
        <v>39311</v>
      </c>
      <c r="C2848" s="710" t="s">
        <v>11192</v>
      </c>
      <c r="D2848" s="709" t="s">
        <v>136</v>
      </c>
      <c r="E2848" s="709" t="s">
        <v>8432</v>
      </c>
      <c r="F2848" s="716">
        <v>32.49</v>
      </c>
      <c r="G2848" s="716">
        <v>20.309999999999999</v>
      </c>
      <c r="H2848" s="225">
        <f t="shared" si="44"/>
        <v>32.49</v>
      </c>
    </row>
    <row r="2849" spans="1:8" x14ac:dyDescent="0.3">
      <c r="A2849" s="401"/>
      <c r="B2849" s="709">
        <v>45261</v>
      </c>
      <c r="C2849" s="710" t="s">
        <v>11193</v>
      </c>
      <c r="D2849" s="709" t="s">
        <v>8808</v>
      </c>
      <c r="E2849" s="709" t="s">
        <v>8432</v>
      </c>
      <c r="F2849" s="716">
        <v>22.65</v>
      </c>
      <c r="G2849" s="716">
        <v>22.22</v>
      </c>
      <c r="H2849" s="225">
        <f t="shared" si="44"/>
        <v>22.65</v>
      </c>
    </row>
    <row r="2850" spans="1:8" x14ac:dyDescent="0.3">
      <c r="A2850" s="401"/>
      <c r="B2850" s="709">
        <v>11519</v>
      </c>
      <c r="C2850" s="710" t="s">
        <v>11194</v>
      </c>
      <c r="D2850" s="709" t="s">
        <v>8808</v>
      </c>
      <c r="E2850" s="709" t="s">
        <v>8432</v>
      </c>
      <c r="F2850" s="716">
        <v>68.16</v>
      </c>
      <c r="G2850" s="716">
        <v>60.25</v>
      </c>
      <c r="H2850" s="225">
        <f t="shared" si="44"/>
        <v>68.16</v>
      </c>
    </row>
    <row r="2851" spans="1:8" x14ac:dyDescent="0.3">
      <c r="A2851" s="401"/>
      <c r="B2851" s="709">
        <v>11520</v>
      </c>
      <c r="C2851" s="710" t="s">
        <v>11195</v>
      </c>
      <c r="D2851" s="709" t="s">
        <v>8808</v>
      </c>
      <c r="E2851" s="709" t="s">
        <v>8432</v>
      </c>
      <c r="F2851" s="716">
        <v>31.51</v>
      </c>
      <c r="G2851" s="716">
        <v>27.85</v>
      </c>
      <c r="H2851" s="225">
        <f t="shared" si="44"/>
        <v>31.51</v>
      </c>
    </row>
    <row r="2852" spans="1:8" x14ac:dyDescent="0.3">
      <c r="A2852" s="401"/>
      <c r="B2852" s="709">
        <v>11518</v>
      </c>
      <c r="C2852" s="710" t="s">
        <v>11196</v>
      </c>
      <c r="D2852" s="709" t="s">
        <v>8808</v>
      </c>
      <c r="E2852" s="709" t="s">
        <v>8432</v>
      </c>
      <c r="F2852" s="716">
        <v>114.57</v>
      </c>
      <c r="G2852" s="716">
        <v>101.27</v>
      </c>
      <c r="H2852" s="225">
        <f t="shared" si="44"/>
        <v>114.57</v>
      </c>
    </row>
    <row r="2853" spans="1:8" x14ac:dyDescent="0.3">
      <c r="A2853" s="401"/>
      <c r="B2853" s="709">
        <v>38473</v>
      </c>
      <c r="C2853" s="710" t="s">
        <v>11197</v>
      </c>
      <c r="D2853" s="709" t="s">
        <v>136</v>
      </c>
      <c r="E2853" s="709" t="s">
        <v>8432</v>
      </c>
      <c r="F2853" s="716">
        <v>331.29</v>
      </c>
      <c r="G2853" s="716">
        <v>299.57</v>
      </c>
      <c r="H2853" s="225">
        <f t="shared" si="44"/>
        <v>331.29</v>
      </c>
    </row>
    <row r="2854" spans="1:8" x14ac:dyDescent="0.3">
      <c r="A2854" s="401"/>
      <c r="B2854" s="709">
        <v>4244</v>
      </c>
      <c r="C2854" s="710" t="s">
        <v>11198</v>
      </c>
      <c r="D2854" s="709" t="s">
        <v>234</v>
      </c>
      <c r="E2854" s="709" t="s">
        <v>8432</v>
      </c>
      <c r="F2854" s="716">
        <v>22.76</v>
      </c>
      <c r="G2854" s="716">
        <v>32.89</v>
      </c>
      <c r="H2854" s="225">
        <f t="shared" si="44"/>
        <v>22.76</v>
      </c>
    </row>
    <row r="2855" spans="1:8" x14ac:dyDescent="0.3">
      <c r="A2855" s="401"/>
      <c r="B2855" s="709">
        <v>40977</v>
      </c>
      <c r="C2855" s="710" t="s">
        <v>11199</v>
      </c>
      <c r="D2855" s="709" t="s">
        <v>208</v>
      </c>
      <c r="E2855" s="709" t="s">
        <v>8432</v>
      </c>
      <c r="F2855" s="716">
        <v>4001.89</v>
      </c>
      <c r="G2855" s="716">
        <v>5765.22</v>
      </c>
      <c r="H2855" s="225">
        <f t="shared" si="44"/>
        <v>4001.89</v>
      </c>
    </row>
    <row r="2856" spans="1:8" x14ac:dyDescent="0.3">
      <c r="A2856" s="401"/>
      <c r="B2856" s="709">
        <v>4115</v>
      </c>
      <c r="C2856" s="710" t="s">
        <v>11200</v>
      </c>
      <c r="D2856" s="709" t="s">
        <v>159</v>
      </c>
      <c r="E2856" s="709" t="s">
        <v>8432</v>
      </c>
      <c r="F2856" s="716">
        <v>45.34</v>
      </c>
      <c r="G2856" s="716">
        <v>31.95</v>
      </c>
      <c r="H2856" s="225">
        <f t="shared" si="44"/>
        <v>45.34</v>
      </c>
    </row>
    <row r="2857" spans="1:8" x14ac:dyDescent="0.3">
      <c r="A2857" s="401"/>
      <c r="B2857" s="709">
        <v>4119</v>
      </c>
      <c r="C2857" s="710" t="s">
        <v>11201</v>
      </c>
      <c r="D2857" s="709" t="s">
        <v>159</v>
      </c>
      <c r="E2857" s="709" t="s">
        <v>8432</v>
      </c>
      <c r="F2857" s="716">
        <v>91.57</v>
      </c>
      <c r="G2857" s="716">
        <v>64.53</v>
      </c>
      <c r="H2857" s="225">
        <f t="shared" si="44"/>
        <v>91.57</v>
      </c>
    </row>
    <row r="2858" spans="1:8" x14ac:dyDescent="0.3">
      <c r="A2858" s="401"/>
      <c r="B2858" s="709">
        <v>2794</v>
      </c>
      <c r="C2858" s="710" t="s">
        <v>11202</v>
      </c>
      <c r="D2858" s="709" t="s">
        <v>159</v>
      </c>
      <c r="E2858" s="709" t="s">
        <v>8432</v>
      </c>
      <c r="F2858" s="716">
        <v>242.92</v>
      </c>
      <c r="G2858" s="716">
        <v>171.19</v>
      </c>
      <c r="H2858" s="225">
        <f t="shared" si="44"/>
        <v>242.92</v>
      </c>
    </row>
    <row r="2859" spans="1:8" x14ac:dyDescent="0.3">
      <c r="A2859" s="401"/>
      <c r="B2859" s="709">
        <v>2788</v>
      </c>
      <c r="C2859" s="710" t="s">
        <v>11203</v>
      </c>
      <c r="D2859" s="709" t="s">
        <v>159</v>
      </c>
      <c r="E2859" s="709" t="s">
        <v>8432</v>
      </c>
      <c r="F2859" s="716">
        <v>353.88</v>
      </c>
      <c r="G2859" s="716">
        <v>249.39</v>
      </c>
      <c r="H2859" s="225">
        <f t="shared" si="44"/>
        <v>353.88</v>
      </c>
    </row>
    <row r="2860" spans="1:8" x14ac:dyDescent="0.3">
      <c r="A2860" s="401"/>
      <c r="B2860" s="709">
        <v>4006</v>
      </c>
      <c r="C2860" s="710" t="s">
        <v>11204</v>
      </c>
      <c r="D2860" s="709" t="s">
        <v>170</v>
      </c>
      <c r="E2860" s="709" t="s">
        <v>8432</v>
      </c>
      <c r="F2860" s="716">
        <v>1608.54</v>
      </c>
      <c r="G2860" s="716">
        <v>1858.3</v>
      </c>
      <c r="H2860" s="225">
        <f t="shared" si="44"/>
        <v>1608.54</v>
      </c>
    </row>
    <row r="2861" spans="1:8" x14ac:dyDescent="0.3">
      <c r="A2861" s="401"/>
      <c r="B2861" s="709">
        <v>45395</v>
      </c>
      <c r="C2861" s="710" t="s">
        <v>11205</v>
      </c>
      <c r="D2861" s="709" t="s">
        <v>8808</v>
      </c>
      <c r="E2861" s="709" t="s">
        <v>8432</v>
      </c>
      <c r="F2861" s="716">
        <v>34.369999999999997</v>
      </c>
      <c r="G2861" s="716">
        <v>33.71</v>
      </c>
      <c r="H2861" s="225">
        <f t="shared" si="44"/>
        <v>34.369999999999997</v>
      </c>
    </row>
    <row r="2862" spans="1:8" x14ac:dyDescent="0.3">
      <c r="A2862" s="401"/>
      <c r="B2862" s="709">
        <v>37461</v>
      </c>
      <c r="C2862" s="710" t="s">
        <v>11206</v>
      </c>
      <c r="D2862" s="709" t="s">
        <v>159</v>
      </c>
      <c r="E2862" s="709" t="s">
        <v>8432</v>
      </c>
      <c r="F2862" s="716">
        <v>12.28</v>
      </c>
      <c r="G2862" s="716">
        <v>13.17</v>
      </c>
      <c r="H2862" s="225">
        <f t="shared" si="44"/>
        <v>12.28</v>
      </c>
    </row>
    <row r="2863" spans="1:8" x14ac:dyDescent="0.3">
      <c r="A2863" s="401"/>
      <c r="B2863" s="709">
        <v>37460</v>
      </c>
      <c r="C2863" s="710" t="s">
        <v>11207</v>
      </c>
      <c r="D2863" s="709" t="s">
        <v>159</v>
      </c>
      <c r="E2863" s="709" t="s">
        <v>8432</v>
      </c>
      <c r="F2863" s="716">
        <v>21.56</v>
      </c>
      <c r="G2863" s="716">
        <v>23.11</v>
      </c>
      <c r="H2863" s="225">
        <f t="shared" si="44"/>
        <v>21.56</v>
      </c>
    </row>
    <row r="2864" spans="1:8" x14ac:dyDescent="0.3">
      <c r="A2864" s="401"/>
      <c r="B2864" s="709">
        <v>37458</v>
      </c>
      <c r="C2864" s="710" t="s">
        <v>11208</v>
      </c>
      <c r="D2864" s="709" t="s">
        <v>159</v>
      </c>
      <c r="E2864" s="709" t="s">
        <v>8438</v>
      </c>
      <c r="F2864" s="716">
        <v>5</v>
      </c>
      <c r="G2864" s="716">
        <v>5.36</v>
      </c>
      <c r="H2864" s="225">
        <f t="shared" si="44"/>
        <v>5</v>
      </c>
    </row>
    <row r="2865" spans="1:8" x14ac:dyDescent="0.3">
      <c r="A2865" s="401"/>
      <c r="B2865" s="709">
        <v>37454</v>
      </c>
      <c r="C2865" s="710" t="s">
        <v>11209</v>
      </c>
      <c r="D2865" s="709" t="s">
        <v>159</v>
      </c>
      <c r="E2865" s="709" t="s">
        <v>8432</v>
      </c>
      <c r="F2865" s="716">
        <v>1.56</v>
      </c>
      <c r="G2865" s="716">
        <v>1.67</v>
      </c>
      <c r="H2865" s="225">
        <f t="shared" si="44"/>
        <v>1.56</v>
      </c>
    </row>
    <row r="2866" spans="1:8" x14ac:dyDescent="0.3">
      <c r="A2866" s="401"/>
      <c r="B2866" s="709">
        <v>37455</v>
      </c>
      <c r="C2866" s="710" t="s">
        <v>11210</v>
      </c>
      <c r="D2866" s="709" t="s">
        <v>159</v>
      </c>
      <c r="E2866" s="709" t="s">
        <v>8432</v>
      </c>
      <c r="F2866" s="716">
        <v>2.6</v>
      </c>
      <c r="G2866" s="716">
        <v>2.79</v>
      </c>
      <c r="H2866" s="225">
        <f t="shared" si="44"/>
        <v>2.6</v>
      </c>
    </row>
    <row r="2867" spans="1:8" x14ac:dyDescent="0.3">
      <c r="A2867" s="401"/>
      <c r="B2867" s="709">
        <v>37459</v>
      </c>
      <c r="C2867" s="710" t="s">
        <v>11211</v>
      </c>
      <c r="D2867" s="709" t="s">
        <v>159</v>
      </c>
      <c r="E2867" s="709" t="s">
        <v>8432</v>
      </c>
      <c r="F2867" s="716">
        <v>8.33</v>
      </c>
      <c r="G2867" s="716">
        <v>8.93</v>
      </c>
      <c r="H2867" s="225">
        <f t="shared" si="44"/>
        <v>8.33</v>
      </c>
    </row>
    <row r="2868" spans="1:8" x14ac:dyDescent="0.3">
      <c r="A2868" s="401"/>
      <c r="B2868" s="709">
        <v>37457</v>
      </c>
      <c r="C2868" s="710" t="s">
        <v>11212</v>
      </c>
      <c r="D2868" s="709" t="s">
        <v>159</v>
      </c>
      <c r="E2868" s="709" t="s">
        <v>8432</v>
      </c>
      <c r="F2868" s="716">
        <v>2.87</v>
      </c>
      <c r="G2868" s="716">
        <v>3.08</v>
      </c>
      <c r="H2868" s="225">
        <f t="shared" si="44"/>
        <v>2.87</v>
      </c>
    </row>
    <row r="2869" spans="1:8" x14ac:dyDescent="0.3">
      <c r="A2869" s="401"/>
      <c r="B2869" s="709">
        <v>37456</v>
      </c>
      <c r="C2869" s="710" t="s">
        <v>11213</v>
      </c>
      <c r="D2869" s="709" t="s">
        <v>159</v>
      </c>
      <c r="E2869" s="709" t="s">
        <v>8432</v>
      </c>
      <c r="F2869" s="716">
        <v>1.96</v>
      </c>
      <c r="G2869" s="716">
        <v>2.11</v>
      </c>
      <c r="H2869" s="225">
        <f t="shared" si="44"/>
        <v>1.96</v>
      </c>
    </row>
    <row r="2870" spans="1:8" x14ac:dyDescent="0.3">
      <c r="A2870" s="401"/>
      <c r="B2870" s="709">
        <v>21029</v>
      </c>
      <c r="C2870" s="710" t="s">
        <v>11214</v>
      </c>
      <c r="D2870" s="709" t="s">
        <v>136</v>
      </c>
      <c r="E2870" s="709" t="s">
        <v>8438</v>
      </c>
      <c r="F2870" s="716">
        <v>399</v>
      </c>
      <c r="G2870" s="716">
        <v>353</v>
      </c>
      <c r="H2870" s="225">
        <f t="shared" si="44"/>
        <v>399</v>
      </c>
    </row>
    <row r="2871" spans="1:8" x14ac:dyDescent="0.3">
      <c r="A2871" s="401"/>
      <c r="B2871" s="709">
        <v>21030</v>
      </c>
      <c r="C2871" s="710" t="s">
        <v>11215</v>
      </c>
      <c r="D2871" s="709" t="s">
        <v>136</v>
      </c>
      <c r="E2871" s="709" t="s">
        <v>8432</v>
      </c>
      <c r="F2871" s="716">
        <v>491.83</v>
      </c>
      <c r="G2871" s="716">
        <v>435.13</v>
      </c>
      <c r="H2871" s="225">
        <f t="shared" si="44"/>
        <v>491.83</v>
      </c>
    </row>
    <row r="2872" spans="1:8" x14ac:dyDescent="0.3">
      <c r="A2872" s="401"/>
      <c r="B2872" s="709">
        <v>21031</v>
      </c>
      <c r="C2872" s="710" t="s">
        <v>11216</v>
      </c>
      <c r="D2872" s="709" t="s">
        <v>136</v>
      </c>
      <c r="E2872" s="709" t="s">
        <v>8432</v>
      </c>
      <c r="F2872" s="716">
        <v>612.32000000000005</v>
      </c>
      <c r="G2872" s="716">
        <v>541.73</v>
      </c>
      <c r="H2872" s="225">
        <f t="shared" si="44"/>
        <v>612.32000000000005</v>
      </c>
    </row>
    <row r="2873" spans="1:8" x14ac:dyDescent="0.3">
      <c r="A2873" s="401"/>
      <c r="B2873" s="709">
        <v>21032</v>
      </c>
      <c r="C2873" s="710" t="s">
        <v>11217</v>
      </c>
      <c r="D2873" s="709" t="s">
        <v>136</v>
      </c>
      <c r="E2873" s="709" t="s">
        <v>8432</v>
      </c>
      <c r="F2873" s="716">
        <v>653.79999999999995</v>
      </c>
      <c r="G2873" s="716">
        <v>578.42999999999995</v>
      </c>
      <c r="H2873" s="225">
        <f t="shared" si="44"/>
        <v>653.79999999999995</v>
      </c>
    </row>
    <row r="2874" spans="1:8" x14ac:dyDescent="0.3">
      <c r="A2874" s="401"/>
      <c r="B2874" s="709">
        <v>37527</v>
      </c>
      <c r="C2874" s="710" t="s">
        <v>11218</v>
      </c>
      <c r="D2874" s="709" t="s">
        <v>136</v>
      </c>
      <c r="E2874" s="709" t="s">
        <v>8432</v>
      </c>
      <c r="F2874" s="716">
        <v>590.59</v>
      </c>
      <c r="G2874" s="716">
        <v>522.5</v>
      </c>
      <c r="H2874" s="225">
        <f t="shared" si="44"/>
        <v>590.59</v>
      </c>
    </row>
    <row r="2875" spans="1:8" x14ac:dyDescent="0.3">
      <c r="A2875" s="401"/>
      <c r="B2875" s="709">
        <v>37528</v>
      </c>
      <c r="C2875" s="710" t="s">
        <v>11219</v>
      </c>
      <c r="D2875" s="709" t="s">
        <v>136</v>
      </c>
      <c r="E2875" s="709" t="s">
        <v>8432</v>
      </c>
      <c r="F2875" s="716">
        <v>704.17</v>
      </c>
      <c r="G2875" s="716">
        <v>622.99</v>
      </c>
      <c r="H2875" s="225">
        <f t="shared" si="44"/>
        <v>704.17</v>
      </c>
    </row>
    <row r="2876" spans="1:8" x14ac:dyDescent="0.3">
      <c r="A2876" s="401"/>
      <c r="B2876" s="709">
        <v>37529</v>
      </c>
      <c r="C2876" s="710" t="s">
        <v>11220</v>
      </c>
      <c r="D2876" s="709" t="s">
        <v>136</v>
      </c>
      <c r="E2876" s="709" t="s">
        <v>8432</v>
      </c>
      <c r="F2876" s="716">
        <v>711.08</v>
      </c>
      <c r="G2876" s="716">
        <v>629.1</v>
      </c>
      <c r="H2876" s="225">
        <f t="shared" si="44"/>
        <v>711.08</v>
      </c>
    </row>
    <row r="2877" spans="1:8" x14ac:dyDescent="0.3">
      <c r="A2877" s="401"/>
      <c r="B2877" s="709">
        <v>37530</v>
      </c>
      <c r="C2877" s="710" t="s">
        <v>11221</v>
      </c>
      <c r="D2877" s="709" t="s">
        <v>136</v>
      </c>
      <c r="E2877" s="709" t="s">
        <v>8432</v>
      </c>
      <c r="F2877" s="716">
        <v>928.36</v>
      </c>
      <c r="G2877" s="716">
        <v>821.33</v>
      </c>
      <c r="H2877" s="225">
        <f t="shared" si="44"/>
        <v>928.36</v>
      </c>
    </row>
    <row r="2878" spans="1:8" x14ac:dyDescent="0.3">
      <c r="A2878" s="401"/>
      <c r="B2878" s="709">
        <v>21034</v>
      </c>
      <c r="C2878" s="710" t="s">
        <v>11222</v>
      </c>
      <c r="D2878" s="709" t="s">
        <v>136</v>
      </c>
      <c r="E2878" s="709" t="s">
        <v>8432</v>
      </c>
      <c r="F2878" s="716">
        <v>792.07</v>
      </c>
      <c r="G2878" s="716">
        <v>700.75</v>
      </c>
      <c r="H2878" s="225">
        <f t="shared" si="44"/>
        <v>792.07</v>
      </c>
    </row>
    <row r="2879" spans="1:8" x14ac:dyDescent="0.3">
      <c r="A2879" s="401"/>
      <c r="B2879" s="709">
        <v>37531</v>
      </c>
      <c r="C2879" s="710" t="s">
        <v>11223</v>
      </c>
      <c r="D2879" s="709" t="s">
        <v>136</v>
      </c>
      <c r="E2879" s="709" t="s">
        <v>8432</v>
      </c>
      <c r="F2879" s="716">
        <v>997.5</v>
      </c>
      <c r="G2879" s="716">
        <v>882.5</v>
      </c>
      <c r="H2879" s="225">
        <f t="shared" si="44"/>
        <v>997.5</v>
      </c>
    </row>
    <row r="2880" spans="1:8" x14ac:dyDescent="0.3">
      <c r="A2880" s="401"/>
      <c r="B2880" s="709">
        <v>21036</v>
      </c>
      <c r="C2880" s="710" t="s">
        <v>11224</v>
      </c>
      <c r="D2880" s="709" t="s">
        <v>136</v>
      </c>
      <c r="E2880" s="709" t="s">
        <v>8432</v>
      </c>
      <c r="F2880" s="716">
        <v>1212.8</v>
      </c>
      <c r="G2880" s="716">
        <v>1072.98</v>
      </c>
      <c r="H2880" s="225">
        <f t="shared" si="44"/>
        <v>1212.8</v>
      </c>
    </row>
    <row r="2881" spans="1:8" x14ac:dyDescent="0.3">
      <c r="A2881" s="401"/>
      <c r="B2881" s="709">
        <v>21037</v>
      </c>
      <c r="C2881" s="710" t="s">
        <v>11225</v>
      </c>
      <c r="D2881" s="709" t="s">
        <v>136</v>
      </c>
      <c r="E2881" s="709" t="s">
        <v>8432</v>
      </c>
      <c r="F2881" s="716">
        <v>1382.67</v>
      </c>
      <c r="G2881" s="716">
        <v>1223.26</v>
      </c>
      <c r="H2881" s="225">
        <f t="shared" si="44"/>
        <v>1382.67</v>
      </c>
    </row>
    <row r="2882" spans="1:8" x14ac:dyDescent="0.3">
      <c r="A2882" s="401"/>
      <c r="B2882" s="709">
        <v>20185</v>
      </c>
      <c r="C2882" s="710" t="s">
        <v>11226</v>
      </c>
      <c r="D2882" s="709" t="s">
        <v>159</v>
      </c>
      <c r="E2882" s="709" t="s">
        <v>8432</v>
      </c>
      <c r="F2882" s="716">
        <v>13.25</v>
      </c>
      <c r="G2882" s="716">
        <v>14.2</v>
      </c>
      <c r="H2882" s="225">
        <f t="shared" si="44"/>
        <v>13.25</v>
      </c>
    </row>
    <row r="2883" spans="1:8" x14ac:dyDescent="0.3">
      <c r="A2883" s="401"/>
      <c r="B2883" s="709">
        <v>44909</v>
      </c>
      <c r="C2883" s="710" t="s">
        <v>11227</v>
      </c>
      <c r="D2883" s="709" t="s">
        <v>159</v>
      </c>
      <c r="E2883" s="709" t="s">
        <v>8432</v>
      </c>
      <c r="F2883" s="716">
        <v>14.93</v>
      </c>
      <c r="G2883" s="716">
        <v>16.010000000000002</v>
      </c>
      <c r="H2883" s="225">
        <f t="shared" si="44"/>
        <v>14.93</v>
      </c>
    </row>
    <row r="2884" spans="1:8" x14ac:dyDescent="0.3">
      <c r="A2884" s="401"/>
      <c r="B2884" s="709">
        <v>44115</v>
      </c>
      <c r="C2884" s="710" t="s">
        <v>11228</v>
      </c>
      <c r="D2884" s="709" t="s">
        <v>159</v>
      </c>
      <c r="E2884" s="709" t="s">
        <v>8432</v>
      </c>
      <c r="F2884" s="716">
        <v>27.48</v>
      </c>
      <c r="G2884" s="716">
        <v>29.46</v>
      </c>
      <c r="H2884" s="225">
        <f t="shared" si="44"/>
        <v>27.48</v>
      </c>
    </row>
    <row r="2885" spans="1:8" x14ac:dyDescent="0.3">
      <c r="A2885" s="401"/>
      <c r="B2885" s="709">
        <v>44333</v>
      </c>
      <c r="C2885" s="710" t="s">
        <v>11229</v>
      </c>
      <c r="D2885" s="709" t="s">
        <v>159</v>
      </c>
      <c r="E2885" s="709" t="s">
        <v>8432</v>
      </c>
      <c r="F2885" s="716">
        <v>90.25</v>
      </c>
      <c r="G2885" s="716">
        <v>96.75</v>
      </c>
      <c r="H2885" s="225">
        <f t="shared" si="44"/>
        <v>90.25</v>
      </c>
    </row>
    <row r="2886" spans="1:8" x14ac:dyDescent="0.3">
      <c r="A2886" s="401"/>
      <c r="B2886" s="709">
        <v>44907</v>
      </c>
      <c r="C2886" s="710" t="s">
        <v>11230</v>
      </c>
      <c r="D2886" s="709" t="s">
        <v>159</v>
      </c>
      <c r="E2886" s="709" t="s">
        <v>8432</v>
      </c>
      <c r="F2886" s="716">
        <v>15.83</v>
      </c>
      <c r="G2886" s="716">
        <v>16.97</v>
      </c>
      <c r="H2886" s="225">
        <f t="shared" si="44"/>
        <v>15.83</v>
      </c>
    </row>
    <row r="2887" spans="1:8" x14ac:dyDescent="0.3">
      <c r="A2887" s="401"/>
      <c r="B2887" s="709">
        <v>20260</v>
      </c>
      <c r="C2887" s="710" t="s">
        <v>11231</v>
      </c>
      <c r="D2887" s="709" t="s">
        <v>136</v>
      </c>
      <c r="E2887" s="709" t="s">
        <v>8432</v>
      </c>
      <c r="F2887" s="716">
        <v>14.51</v>
      </c>
      <c r="G2887" s="716">
        <v>15.56</v>
      </c>
      <c r="H2887" s="225">
        <f t="shared" si="44"/>
        <v>14.51</v>
      </c>
    </row>
    <row r="2888" spans="1:8" x14ac:dyDescent="0.3">
      <c r="A2888" s="401"/>
      <c r="B2888" s="709">
        <v>37515</v>
      </c>
      <c r="C2888" s="710" t="s">
        <v>11232</v>
      </c>
      <c r="D2888" s="709" t="s">
        <v>136</v>
      </c>
      <c r="E2888" s="709" t="s">
        <v>8438</v>
      </c>
      <c r="F2888" s="716"/>
      <c r="G2888" s="716">
        <v>581297.71</v>
      </c>
      <c r="H2888" s="225">
        <f t="shared" si="44"/>
        <v>581297.71</v>
      </c>
    </row>
    <row r="2889" spans="1:8" x14ac:dyDescent="0.3">
      <c r="A2889" s="401"/>
      <c r="B2889" s="709">
        <v>12899</v>
      </c>
      <c r="C2889" s="710" t="s">
        <v>11233</v>
      </c>
      <c r="D2889" s="709" t="s">
        <v>136</v>
      </c>
      <c r="E2889" s="709" t="s">
        <v>8432</v>
      </c>
      <c r="F2889" s="716">
        <v>137.58000000000001</v>
      </c>
      <c r="G2889" s="716">
        <v>142.16</v>
      </c>
      <c r="H2889" s="225">
        <f t="shared" si="44"/>
        <v>137.58000000000001</v>
      </c>
    </row>
    <row r="2890" spans="1:8" x14ac:dyDescent="0.3">
      <c r="A2890" s="401"/>
      <c r="B2890" s="709">
        <v>12898</v>
      </c>
      <c r="C2890" s="710" t="s">
        <v>11234</v>
      </c>
      <c r="D2890" s="709" t="s">
        <v>136</v>
      </c>
      <c r="E2890" s="709" t="s">
        <v>8438</v>
      </c>
      <c r="F2890" s="716">
        <v>218.24</v>
      </c>
      <c r="G2890" s="716">
        <v>225.5</v>
      </c>
      <c r="H2890" s="225">
        <f t="shared" si="44"/>
        <v>218.24</v>
      </c>
    </row>
    <row r="2891" spans="1:8" x14ac:dyDescent="0.3">
      <c r="A2891" s="401"/>
      <c r="B2891" s="709">
        <v>39699</v>
      </c>
      <c r="C2891" s="710" t="s">
        <v>11235</v>
      </c>
      <c r="D2891" s="709" t="s">
        <v>168</v>
      </c>
      <c r="E2891" s="709" t="s">
        <v>8432</v>
      </c>
      <c r="F2891" s="716">
        <v>13.36</v>
      </c>
      <c r="G2891" s="716">
        <v>16.170000000000002</v>
      </c>
      <c r="H2891" s="225">
        <f t="shared" ref="H2891:H2954" si="45">IF(F2891&gt;0,F2891,G2891)</f>
        <v>13.36</v>
      </c>
    </row>
    <row r="2892" spans="1:8" x14ac:dyDescent="0.3">
      <c r="A2892" s="401"/>
      <c r="B2892" s="709">
        <v>39696</v>
      </c>
      <c r="C2892" s="710" t="s">
        <v>11236</v>
      </c>
      <c r="D2892" s="709" t="s">
        <v>168</v>
      </c>
      <c r="E2892" s="709" t="s">
        <v>8438</v>
      </c>
      <c r="F2892" s="716">
        <v>4.4000000000000004</v>
      </c>
      <c r="G2892" s="716">
        <v>6.45</v>
      </c>
      <c r="H2892" s="225">
        <f t="shared" si="45"/>
        <v>4.4000000000000004</v>
      </c>
    </row>
    <row r="2893" spans="1:8" x14ac:dyDescent="0.3">
      <c r="A2893" s="401"/>
      <c r="B2893" s="709">
        <v>42528</v>
      </c>
      <c r="C2893" s="710" t="s">
        <v>11237</v>
      </c>
      <c r="D2893" s="709" t="s">
        <v>168</v>
      </c>
      <c r="E2893" s="709" t="s">
        <v>8432</v>
      </c>
      <c r="F2893" s="716">
        <v>6.25</v>
      </c>
      <c r="G2893" s="716">
        <v>9.17</v>
      </c>
      <c r="H2893" s="225">
        <f t="shared" si="45"/>
        <v>6.25</v>
      </c>
    </row>
    <row r="2894" spans="1:8" x14ac:dyDescent="0.3">
      <c r="A2894" s="401"/>
      <c r="B2894" s="709">
        <v>39700</v>
      </c>
      <c r="C2894" s="710" t="s">
        <v>11238</v>
      </c>
      <c r="D2894" s="709" t="s">
        <v>168</v>
      </c>
      <c r="E2894" s="709" t="s">
        <v>8432</v>
      </c>
      <c r="F2894" s="716">
        <v>29.53</v>
      </c>
      <c r="G2894" s="716">
        <v>28.94</v>
      </c>
      <c r="H2894" s="225">
        <f t="shared" si="45"/>
        <v>29.53</v>
      </c>
    </row>
    <row r="2895" spans="1:8" x14ac:dyDescent="0.3">
      <c r="A2895" s="401"/>
      <c r="B2895" s="709">
        <v>4014</v>
      </c>
      <c r="C2895" s="710" t="s">
        <v>11239</v>
      </c>
      <c r="D2895" s="709" t="s">
        <v>168</v>
      </c>
      <c r="E2895" s="709" t="s">
        <v>8432</v>
      </c>
      <c r="F2895" s="716">
        <v>60.79</v>
      </c>
      <c r="G2895" s="716">
        <v>59.58</v>
      </c>
      <c r="H2895" s="225">
        <f t="shared" si="45"/>
        <v>60.79</v>
      </c>
    </row>
    <row r="2896" spans="1:8" x14ac:dyDescent="0.3">
      <c r="A2896" s="401"/>
      <c r="B2896" s="709">
        <v>4015</v>
      </c>
      <c r="C2896" s="710" t="s">
        <v>11240</v>
      </c>
      <c r="D2896" s="709" t="s">
        <v>168</v>
      </c>
      <c r="E2896" s="709" t="s">
        <v>8432</v>
      </c>
      <c r="F2896" s="716">
        <v>74.650000000000006</v>
      </c>
      <c r="G2896" s="716">
        <v>73.17</v>
      </c>
      <c r="H2896" s="225">
        <f t="shared" si="45"/>
        <v>74.650000000000006</v>
      </c>
    </row>
    <row r="2897" spans="1:8" x14ac:dyDescent="0.3">
      <c r="A2897" s="401"/>
      <c r="B2897" s="709">
        <v>4017</v>
      </c>
      <c r="C2897" s="710" t="s">
        <v>11241</v>
      </c>
      <c r="D2897" s="709" t="s">
        <v>168</v>
      </c>
      <c r="E2897" s="709" t="s">
        <v>8432</v>
      </c>
      <c r="F2897" s="716">
        <v>108.61</v>
      </c>
      <c r="G2897" s="716">
        <v>106.46</v>
      </c>
      <c r="H2897" s="225">
        <f t="shared" si="45"/>
        <v>108.61</v>
      </c>
    </row>
    <row r="2898" spans="1:8" x14ac:dyDescent="0.3">
      <c r="A2898" s="401"/>
      <c r="B2898" s="709">
        <v>11621</v>
      </c>
      <c r="C2898" s="710" t="s">
        <v>11242</v>
      </c>
      <c r="D2898" s="709" t="s">
        <v>168</v>
      </c>
      <c r="E2898" s="709" t="s">
        <v>8432</v>
      </c>
      <c r="F2898" s="716">
        <v>58.75</v>
      </c>
      <c r="G2898" s="716">
        <v>57.59</v>
      </c>
      <c r="H2898" s="225">
        <f t="shared" si="45"/>
        <v>58.75</v>
      </c>
    </row>
    <row r="2899" spans="1:8" x14ac:dyDescent="0.3">
      <c r="A2899" s="401"/>
      <c r="B2899" s="709">
        <v>4016</v>
      </c>
      <c r="C2899" s="710" t="s">
        <v>11243</v>
      </c>
      <c r="D2899" s="709" t="s">
        <v>168</v>
      </c>
      <c r="E2899" s="709" t="s">
        <v>8438</v>
      </c>
      <c r="F2899" s="716">
        <v>42.9</v>
      </c>
      <c r="G2899" s="716">
        <v>42.05</v>
      </c>
      <c r="H2899" s="225">
        <f t="shared" si="45"/>
        <v>42.9</v>
      </c>
    </row>
    <row r="2900" spans="1:8" x14ac:dyDescent="0.3">
      <c r="A2900" s="401"/>
      <c r="B2900" s="709">
        <v>38544</v>
      </c>
      <c r="C2900" s="710" t="s">
        <v>11244</v>
      </c>
      <c r="D2900" s="709" t="s">
        <v>168</v>
      </c>
      <c r="E2900" s="709" t="s">
        <v>8432</v>
      </c>
      <c r="F2900" s="716">
        <v>11.01</v>
      </c>
      <c r="G2900" s="716">
        <v>10.79</v>
      </c>
      <c r="H2900" s="225">
        <f t="shared" si="45"/>
        <v>11.01</v>
      </c>
    </row>
    <row r="2901" spans="1:8" x14ac:dyDescent="0.3">
      <c r="A2901" s="401"/>
      <c r="B2901" s="709">
        <v>38545</v>
      </c>
      <c r="C2901" s="710" t="s">
        <v>11245</v>
      </c>
      <c r="D2901" s="709" t="s">
        <v>168</v>
      </c>
      <c r="E2901" s="709" t="s">
        <v>8432</v>
      </c>
      <c r="F2901" s="716">
        <v>7.07</v>
      </c>
      <c r="G2901" s="716">
        <v>6.93</v>
      </c>
      <c r="H2901" s="225">
        <f t="shared" si="45"/>
        <v>7.07</v>
      </c>
    </row>
    <row r="2902" spans="1:8" x14ac:dyDescent="0.3">
      <c r="A2902" s="401"/>
      <c r="B2902" s="709">
        <v>42527</v>
      </c>
      <c r="C2902" s="710" t="s">
        <v>11246</v>
      </c>
      <c r="D2902" s="709" t="s">
        <v>168</v>
      </c>
      <c r="E2902" s="709" t="s">
        <v>8432</v>
      </c>
      <c r="F2902" s="716">
        <v>16.53</v>
      </c>
      <c r="G2902" s="716">
        <v>24.23</v>
      </c>
      <c r="H2902" s="225">
        <f t="shared" si="45"/>
        <v>16.53</v>
      </c>
    </row>
    <row r="2903" spans="1:8" x14ac:dyDescent="0.3">
      <c r="A2903" s="401"/>
      <c r="B2903" s="709">
        <v>39323</v>
      </c>
      <c r="C2903" s="710" t="s">
        <v>11247</v>
      </c>
      <c r="D2903" s="709" t="s">
        <v>168</v>
      </c>
      <c r="E2903" s="709" t="s">
        <v>8432</v>
      </c>
      <c r="F2903" s="716">
        <v>26.99</v>
      </c>
      <c r="G2903" s="716">
        <v>26.45</v>
      </c>
      <c r="H2903" s="225">
        <f t="shared" si="45"/>
        <v>26.99</v>
      </c>
    </row>
    <row r="2904" spans="1:8" x14ac:dyDescent="0.3">
      <c r="A2904" s="401"/>
      <c r="B2904" s="709">
        <v>626</v>
      </c>
      <c r="C2904" s="710" t="s">
        <v>11248</v>
      </c>
      <c r="D2904" s="709" t="s">
        <v>175</v>
      </c>
      <c r="E2904" s="709" t="s">
        <v>8438</v>
      </c>
      <c r="F2904" s="716">
        <v>20.440000000000001</v>
      </c>
      <c r="G2904" s="716">
        <v>19.16</v>
      </c>
      <c r="H2904" s="225">
        <f t="shared" si="45"/>
        <v>20.440000000000001</v>
      </c>
    </row>
    <row r="2905" spans="1:8" x14ac:dyDescent="0.3">
      <c r="A2905" s="401"/>
      <c r="B2905" s="709">
        <v>44504</v>
      </c>
      <c r="C2905" s="710" t="s">
        <v>11249</v>
      </c>
      <c r="D2905" s="709" t="s">
        <v>168</v>
      </c>
      <c r="E2905" s="709" t="s">
        <v>8432</v>
      </c>
      <c r="F2905" s="716">
        <v>14.75</v>
      </c>
      <c r="G2905" s="716">
        <v>14.85</v>
      </c>
      <c r="H2905" s="225">
        <f t="shared" si="45"/>
        <v>14.75</v>
      </c>
    </row>
    <row r="2906" spans="1:8" x14ac:dyDescent="0.3">
      <c r="A2906" s="401"/>
      <c r="B2906" s="709">
        <v>44505</v>
      </c>
      <c r="C2906" s="710" t="s">
        <v>11250</v>
      </c>
      <c r="D2906" s="709" t="s">
        <v>168</v>
      </c>
      <c r="E2906" s="709" t="s">
        <v>8432</v>
      </c>
      <c r="F2906" s="716">
        <v>22.25</v>
      </c>
      <c r="G2906" s="716">
        <v>22.41</v>
      </c>
      <c r="H2906" s="225">
        <f t="shared" si="45"/>
        <v>22.25</v>
      </c>
    </row>
    <row r="2907" spans="1:8" x14ac:dyDescent="0.3">
      <c r="A2907" s="401"/>
      <c r="B2907" s="709">
        <v>44506</v>
      </c>
      <c r="C2907" s="710" t="s">
        <v>11251</v>
      </c>
      <c r="D2907" s="709" t="s">
        <v>168</v>
      </c>
      <c r="E2907" s="709" t="s">
        <v>8432</v>
      </c>
      <c r="F2907" s="716">
        <v>23.62</v>
      </c>
      <c r="G2907" s="716">
        <v>23.79</v>
      </c>
      <c r="H2907" s="225">
        <f t="shared" si="45"/>
        <v>23.62</v>
      </c>
    </row>
    <row r="2908" spans="1:8" x14ac:dyDescent="0.3">
      <c r="A2908" s="401"/>
      <c r="B2908" s="709">
        <v>44507</v>
      </c>
      <c r="C2908" s="710" t="s">
        <v>11252</v>
      </c>
      <c r="D2908" s="709" t="s">
        <v>168</v>
      </c>
      <c r="E2908" s="709" t="s">
        <v>8432</v>
      </c>
      <c r="F2908" s="716">
        <v>29.53</v>
      </c>
      <c r="G2908" s="716">
        <v>29.73</v>
      </c>
      <c r="H2908" s="225">
        <f t="shared" si="45"/>
        <v>29.53</v>
      </c>
    </row>
    <row r="2909" spans="1:8" x14ac:dyDescent="0.3">
      <c r="A2909" s="401"/>
      <c r="B2909" s="709">
        <v>44508</v>
      </c>
      <c r="C2909" s="710" t="s">
        <v>11253</v>
      </c>
      <c r="D2909" s="709" t="s">
        <v>168</v>
      </c>
      <c r="E2909" s="709" t="s">
        <v>8432</v>
      </c>
      <c r="F2909" s="716">
        <v>44.28</v>
      </c>
      <c r="G2909" s="716">
        <v>44.59</v>
      </c>
      <c r="H2909" s="225">
        <f t="shared" si="45"/>
        <v>44.28</v>
      </c>
    </row>
    <row r="2910" spans="1:8" x14ac:dyDescent="0.3">
      <c r="A2910" s="401"/>
      <c r="B2910" s="709">
        <v>44509</v>
      </c>
      <c r="C2910" s="710" t="s">
        <v>11254</v>
      </c>
      <c r="D2910" s="709" t="s">
        <v>168</v>
      </c>
      <c r="E2910" s="709" t="s">
        <v>8432</v>
      </c>
      <c r="F2910" s="716">
        <v>59.32</v>
      </c>
      <c r="G2910" s="716">
        <v>59.73</v>
      </c>
      <c r="H2910" s="225">
        <f t="shared" si="45"/>
        <v>59.32</v>
      </c>
    </row>
    <row r="2911" spans="1:8" x14ac:dyDescent="0.3">
      <c r="A2911" s="401"/>
      <c r="B2911" s="709">
        <v>44510</v>
      </c>
      <c r="C2911" s="710" t="s">
        <v>11255</v>
      </c>
      <c r="D2911" s="709" t="s">
        <v>168</v>
      </c>
      <c r="E2911" s="709" t="s">
        <v>8432</v>
      </c>
      <c r="F2911" s="716">
        <v>73.66</v>
      </c>
      <c r="G2911" s="716">
        <v>74.17</v>
      </c>
      <c r="H2911" s="225">
        <f t="shared" si="45"/>
        <v>73.66</v>
      </c>
    </row>
    <row r="2912" spans="1:8" x14ac:dyDescent="0.3">
      <c r="A2912" s="401"/>
      <c r="B2912" s="709">
        <v>44512</v>
      </c>
      <c r="C2912" s="710" t="s">
        <v>11256</v>
      </c>
      <c r="D2912" s="709" t="s">
        <v>168</v>
      </c>
      <c r="E2912" s="709" t="s">
        <v>8432</v>
      </c>
      <c r="F2912" s="716">
        <v>16.440000000000001</v>
      </c>
      <c r="G2912" s="716">
        <v>16.55</v>
      </c>
      <c r="H2912" s="225">
        <f t="shared" si="45"/>
        <v>16.440000000000001</v>
      </c>
    </row>
    <row r="2913" spans="1:8" x14ac:dyDescent="0.3">
      <c r="A2913" s="401"/>
      <c r="B2913" s="709">
        <v>44513</v>
      </c>
      <c r="C2913" s="710" t="s">
        <v>11257</v>
      </c>
      <c r="D2913" s="709" t="s">
        <v>168</v>
      </c>
      <c r="E2913" s="709" t="s">
        <v>8432</v>
      </c>
      <c r="F2913" s="716">
        <v>23.21</v>
      </c>
      <c r="G2913" s="716">
        <v>23.37</v>
      </c>
      <c r="H2913" s="225">
        <f t="shared" si="45"/>
        <v>23.21</v>
      </c>
    </row>
    <row r="2914" spans="1:8" x14ac:dyDescent="0.3">
      <c r="A2914" s="401"/>
      <c r="B2914" s="709">
        <v>44514</v>
      </c>
      <c r="C2914" s="710" t="s">
        <v>11258</v>
      </c>
      <c r="D2914" s="709" t="s">
        <v>168</v>
      </c>
      <c r="E2914" s="709" t="s">
        <v>8432</v>
      </c>
      <c r="F2914" s="716">
        <v>26.3</v>
      </c>
      <c r="G2914" s="716">
        <v>26.49</v>
      </c>
      <c r="H2914" s="225">
        <f t="shared" si="45"/>
        <v>26.3</v>
      </c>
    </row>
    <row r="2915" spans="1:8" x14ac:dyDescent="0.3">
      <c r="A2915" s="401"/>
      <c r="B2915" s="709">
        <v>44515</v>
      </c>
      <c r="C2915" s="710" t="s">
        <v>11259</v>
      </c>
      <c r="D2915" s="709" t="s">
        <v>168</v>
      </c>
      <c r="E2915" s="709" t="s">
        <v>8432</v>
      </c>
      <c r="F2915" s="716">
        <v>32.299999999999997</v>
      </c>
      <c r="G2915" s="716">
        <v>32.53</v>
      </c>
      <c r="H2915" s="225">
        <f t="shared" si="45"/>
        <v>32.299999999999997</v>
      </c>
    </row>
    <row r="2916" spans="1:8" x14ac:dyDescent="0.3">
      <c r="A2916" s="401"/>
      <c r="B2916" s="709">
        <v>44511</v>
      </c>
      <c r="C2916" s="710" t="s">
        <v>11260</v>
      </c>
      <c r="D2916" s="709" t="s">
        <v>168</v>
      </c>
      <c r="E2916" s="709" t="s">
        <v>8432</v>
      </c>
      <c r="F2916" s="716">
        <v>47.81</v>
      </c>
      <c r="G2916" s="716">
        <v>48.15</v>
      </c>
      <c r="H2916" s="225">
        <f t="shared" si="45"/>
        <v>47.81</v>
      </c>
    </row>
    <row r="2917" spans="1:8" x14ac:dyDescent="0.3">
      <c r="A2917" s="401"/>
      <c r="B2917" s="709">
        <v>44516</v>
      </c>
      <c r="C2917" s="710" t="s">
        <v>11261</v>
      </c>
      <c r="D2917" s="709" t="s">
        <v>168</v>
      </c>
      <c r="E2917" s="709" t="s">
        <v>8432</v>
      </c>
      <c r="F2917" s="716">
        <v>64.62</v>
      </c>
      <c r="G2917" s="716">
        <v>65.069999999999993</v>
      </c>
      <c r="H2917" s="225">
        <f t="shared" si="45"/>
        <v>64.62</v>
      </c>
    </row>
    <row r="2918" spans="1:8" x14ac:dyDescent="0.3">
      <c r="A2918" s="401"/>
      <c r="B2918" s="709">
        <v>44517</v>
      </c>
      <c r="C2918" s="710" t="s">
        <v>11262</v>
      </c>
      <c r="D2918" s="709" t="s">
        <v>168</v>
      </c>
      <c r="E2918" s="709" t="s">
        <v>8432</v>
      </c>
      <c r="F2918" s="716">
        <v>80.59</v>
      </c>
      <c r="G2918" s="716">
        <v>81.16</v>
      </c>
      <c r="H2918" s="225">
        <f t="shared" si="45"/>
        <v>80.59</v>
      </c>
    </row>
    <row r="2919" spans="1:8" x14ac:dyDescent="0.3">
      <c r="A2919" s="401"/>
      <c r="B2919" s="709">
        <v>11479</v>
      </c>
      <c r="C2919" s="710" t="s">
        <v>11263</v>
      </c>
      <c r="D2919" s="709" t="s">
        <v>136</v>
      </c>
      <c r="E2919" s="709" t="s">
        <v>8432</v>
      </c>
      <c r="F2919" s="716">
        <v>47.86</v>
      </c>
      <c r="G2919" s="716">
        <v>42.3</v>
      </c>
      <c r="H2919" s="225">
        <f t="shared" si="45"/>
        <v>47.86</v>
      </c>
    </row>
    <row r="2920" spans="1:8" x14ac:dyDescent="0.3">
      <c r="A2920" s="401"/>
      <c r="B2920" s="709">
        <v>11481</v>
      </c>
      <c r="C2920" s="710" t="s">
        <v>11264</v>
      </c>
      <c r="D2920" s="709" t="s">
        <v>136</v>
      </c>
      <c r="E2920" s="709" t="s">
        <v>8432</v>
      </c>
      <c r="F2920" s="716">
        <v>43.29</v>
      </c>
      <c r="G2920" s="716">
        <v>38.270000000000003</v>
      </c>
      <c r="H2920" s="225">
        <f t="shared" si="45"/>
        <v>43.29</v>
      </c>
    </row>
    <row r="2921" spans="1:8" x14ac:dyDescent="0.3">
      <c r="A2921" s="401"/>
      <c r="B2921" s="709">
        <v>43609</v>
      </c>
      <c r="C2921" s="710" t="s">
        <v>11265</v>
      </c>
      <c r="D2921" s="709" t="s">
        <v>136</v>
      </c>
      <c r="E2921" s="709" t="s">
        <v>8432</v>
      </c>
      <c r="F2921" s="716">
        <v>43.29</v>
      </c>
      <c r="G2921" s="716">
        <v>38.270000000000003</v>
      </c>
      <c r="H2921" s="225">
        <f t="shared" si="45"/>
        <v>43.29</v>
      </c>
    </row>
    <row r="2922" spans="1:8" x14ac:dyDescent="0.3">
      <c r="A2922" s="401"/>
      <c r="B2922" s="709">
        <v>11478</v>
      </c>
      <c r="C2922" s="710" t="s">
        <v>11266</v>
      </c>
      <c r="D2922" s="709" t="s">
        <v>136</v>
      </c>
      <c r="E2922" s="709" t="s">
        <v>8432</v>
      </c>
      <c r="F2922" s="716">
        <v>82.11</v>
      </c>
      <c r="G2922" s="716">
        <v>72.58</v>
      </c>
      <c r="H2922" s="225">
        <f t="shared" si="45"/>
        <v>82.11</v>
      </c>
    </row>
    <row r="2923" spans="1:8" x14ac:dyDescent="0.3">
      <c r="A2923" s="401"/>
      <c r="B2923" s="709">
        <v>43608</v>
      </c>
      <c r="C2923" s="710" t="s">
        <v>11267</v>
      </c>
      <c r="D2923" s="709" t="s">
        <v>136</v>
      </c>
      <c r="E2923" s="709" t="s">
        <v>8432</v>
      </c>
      <c r="F2923" s="716">
        <v>62.66</v>
      </c>
      <c r="G2923" s="716">
        <v>55.38</v>
      </c>
      <c r="H2923" s="225">
        <f t="shared" si="45"/>
        <v>62.66</v>
      </c>
    </row>
    <row r="2924" spans="1:8" x14ac:dyDescent="0.3">
      <c r="A2924" s="401"/>
      <c r="B2924" s="709">
        <v>11476</v>
      </c>
      <c r="C2924" s="710" t="s">
        <v>11268</v>
      </c>
      <c r="D2924" s="709" t="s">
        <v>136</v>
      </c>
      <c r="E2924" s="709" t="s">
        <v>8432</v>
      </c>
      <c r="F2924" s="716">
        <v>62.66</v>
      </c>
      <c r="G2924" s="716">
        <v>55.38</v>
      </c>
      <c r="H2924" s="225">
        <f t="shared" si="45"/>
        <v>62.66</v>
      </c>
    </row>
    <row r="2925" spans="1:8" x14ac:dyDescent="0.3">
      <c r="A2925" s="401"/>
      <c r="B2925" s="709">
        <v>40637</v>
      </c>
      <c r="C2925" s="710" t="s">
        <v>11269</v>
      </c>
      <c r="D2925" s="709" t="s">
        <v>136</v>
      </c>
      <c r="E2925" s="709" t="s">
        <v>8432</v>
      </c>
      <c r="F2925" s="716"/>
      <c r="G2925" s="716">
        <v>902666.36</v>
      </c>
      <c r="H2925" s="225">
        <f t="shared" si="45"/>
        <v>902666.36</v>
      </c>
    </row>
    <row r="2926" spans="1:8" x14ac:dyDescent="0.3">
      <c r="A2926" s="401"/>
      <c r="B2926" s="709">
        <v>13836</v>
      </c>
      <c r="C2926" s="710" t="s">
        <v>11270</v>
      </c>
      <c r="D2926" s="709" t="s">
        <v>136</v>
      </c>
      <c r="E2926" s="709" t="s">
        <v>8432</v>
      </c>
      <c r="F2926" s="716"/>
      <c r="G2926" s="716">
        <v>77662.84</v>
      </c>
      <c r="H2926" s="225">
        <f t="shared" si="45"/>
        <v>77662.84</v>
      </c>
    </row>
    <row r="2927" spans="1:8" x14ac:dyDescent="0.3">
      <c r="A2927" s="401"/>
      <c r="B2927" s="709">
        <v>39813</v>
      </c>
      <c r="C2927" s="710" t="s">
        <v>11271</v>
      </c>
      <c r="D2927" s="709" t="s">
        <v>136</v>
      </c>
      <c r="E2927" s="709" t="s">
        <v>8432</v>
      </c>
      <c r="F2927" s="716"/>
      <c r="G2927" s="716">
        <v>38997.879999999997</v>
      </c>
      <c r="H2927" s="225">
        <f t="shared" si="45"/>
        <v>38997.879999999997</v>
      </c>
    </row>
    <row r="2928" spans="1:8" x14ac:dyDescent="0.3">
      <c r="A2928" s="401"/>
      <c r="B2928" s="709">
        <v>12868</v>
      </c>
      <c r="C2928" s="710" t="s">
        <v>11272</v>
      </c>
      <c r="D2928" s="709" t="s">
        <v>234</v>
      </c>
      <c r="E2928" s="709" t="s">
        <v>8432</v>
      </c>
      <c r="F2928" s="716">
        <v>22.21</v>
      </c>
      <c r="G2928" s="716">
        <v>27.39</v>
      </c>
      <c r="H2928" s="225">
        <f t="shared" si="45"/>
        <v>22.21</v>
      </c>
    </row>
    <row r="2929" spans="1:8" x14ac:dyDescent="0.3">
      <c r="A2929" s="401"/>
      <c r="B2929" s="709">
        <v>40916</v>
      </c>
      <c r="C2929" s="710" t="s">
        <v>11273</v>
      </c>
      <c r="D2929" s="709" t="s">
        <v>208</v>
      </c>
      <c r="E2929" s="709" t="s">
        <v>8432</v>
      </c>
      <c r="F2929" s="716">
        <v>3903.87</v>
      </c>
      <c r="G2929" s="716">
        <v>4797.83</v>
      </c>
      <c r="H2929" s="225">
        <f t="shared" si="45"/>
        <v>3903.87</v>
      </c>
    </row>
    <row r="2930" spans="1:8" x14ac:dyDescent="0.3">
      <c r="A2930" s="401"/>
      <c r="B2930" s="709">
        <v>4755</v>
      </c>
      <c r="C2930" s="710" t="s">
        <v>11274</v>
      </c>
      <c r="D2930" s="709" t="s">
        <v>234</v>
      </c>
      <c r="E2930" s="709" t="s">
        <v>8432</v>
      </c>
      <c r="F2930" s="716">
        <v>23.92</v>
      </c>
      <c r="G2930" s="716">
        <v>28.38</v>
      </c>
      <c r="H2930" s="225">
        <f t="shared" si="45"/>
        <v>23.92</v>
      </c>
    </row>
    <row r="2931" spans="1:8" x14ac:dyDescent="0.3">
      <c r="A2931" s="401"/>
      <c r="B2931" s="709">
        <v>41067</v>
      </c>
      <c r="C2931" s="710" t="s">
        <v>11275</v>
      </c>
      <c r="D2931" s="709" t="s">
        <v>208</v>
      </c>
      <c r="E2931" s="709" t="s">
        <v>8432</v>
      </c>
      <c r="F2931" s="716">
        <v>4206.6499999999996</v>
      </c>
      <c r="G2931" s="716">
        <v>4971.75</v>
      </c>
      <c r="H2931" s="225">
        <f t="shared" si="45"/>
        <v>4206.6499999999996</v>
      </c>
    </row>
    <row r="2932" spans="1:8" x14ac:dyDescent="0.3">
      <c r="A2932" s="401"/>
      <c r="B2932" s="709">
        <v>45240</v>
      </c>
      <c r="C2932" s="710" t="s">
        <v>11276</v>
      </c>
      <c r="D2932" s="709" t="s">
        <v>136</v>
      </c>
      <c r="E2932" s="709" t="s">
        <v>8432</v>
      </c>
      <c r="F2932" s="716">
        <v>32.92</v>
      </c>
      <c r="G2932" s="716">
        <v>32.369999999999997</v>
      </c>
      <c r="H2932" s="225">
        <f t="shared" si="45"/>
        <v>32.92</v>
      </c>
    </row>
    <row r="2933" spans="1:8" x14ac:dyDescent="0.3">
      <c r="A2933" s="401"/>
      <c r="B2933" s="709">
        <v>45228</v>
      </c>
      <c r="C2933" s="710" t="s">
        <v>11277</v>
      </c>
      <c r="D2933" s="709" t="s">
        <v>136</v>
      </c>
      <c r="E2933" s="709" t="s">
        <v>8432</v>
      </c>
      <c r="F2933" s="716">
        <v>28.13</v>
      </c>
      <c r="G2933" s="716">
        <v>27.66</v>
      </c>
      <c r="H2933" s="225">
        <f t="shared" si="45"/>
        <v>28.13</v>
      </c>
    </row>
    <row r="2934" spans="1:8" x14ac:dyDescent="0.3">
      <c r="A2934" s="401"/>
      <c r="B2934" s="709">
        <v>45241</v>
      </c>
      <c r="C2934" s="710" t="s">
        <v>11278</v>
      </c>
      <c r="D2934" s="709" t="s">
        <v>136</v>
      </c>
      <c r="E2934" s="709" t="s">
        <v>8432</v>
      </c>
      <c r="F2934" s="716">
        <v>40.479999999999997</v>
      </c>
      <c r="G2934" s="716">
        <v>39.81</v>
      </c>
      <c r="H2934" s="225">
        <f t="shared" si="45"/>
        <v>40.479999999999997</v>
      </c>
    </row>
    <row r="2935" spans="1:8" x14ac:dyDescent="0.3">
      <c r="A2935" s="401"/>
      <c r="B2935" s="709">
        <v>38463</v>
      </c>
      <c r="C2935" s="710" t="s">
        <v>11279</v>
      </c>
      <c r="D2935" s="709" t="s">
        <v>136</v>
      </c>
      <c r="E2935" s="709" t="s">
        <v>8432</v>
      </c>
      <c r="F2935" s="716">
        <v>54.39</v>
      </c>
      <c r="G2935" s="716">
        <v>49.18</v>
      </c>
      <c r="H2935" s="225">
        <f t="shared" si="45"/>
        <v>54.39</v>
      </c>
    </row>
    <row r="2936" spans="1:8" x14ac:dyDescent="0.3">
      <c r="A2936" s="401"/>
      <c r="B2936" s="709">
        <v>40703</v>
      </c>
      <c r="C2936" s="710" t="s">
        <v>11280</v>
      </c>
      <c r="D2936" s="709" t="s">
        <v>136</v>
      </c>
      <c r="E2936" s="709" t="s">
        <v>8438</v>
      </c>
      <c r="F2936" s="716">
        <v>12406.36</v>
      </c>
      <c r="G2936" s="716">
        <v>10500</v>
      </c>
      <c r="H2936" s="225">
        <f t="shared" si="45"/>
        <v>12406.36</v>
      </c>
    </row>
    <row r="2937" spans="1:8" x14ac:dyDescent="0.3">
      <c r="A2937" s="401"/>
      <c r="B2937" s="709">
        <v>11616</v>
      </c>
      <c r="C2937" s="710" t="s">
        <v>11281</v>
      </c>
      <c r="D2937" s="709" t="s">
        <v>136</v>
      </c>
      <c r="E2937" s="709" t="s">
        <v>8432</v>
      </c>
      <c r="F2937" s="716">
        <v>14818.82</v>
      </c>
      <c r="G2937" s="716">
        <v>12541.76</v>
      </c>
      <c r="H2937" s="225">
        <f t="shared" si="45"/>
        <v>14818.82</v>
      </c>
    </row>
    <row r="2938" spans="1:8" x14ac:dyDescent="0.3">
      <c r="A2938" s="401"/>
      <c r="B2938" s="709">
        <v>41898</v>
      </c>
      <c r="C2938" s="710" t="s">
        <v>11282</v>
      </c>
      <c r="D2938" s="709" t="s">
        <v>136</v>
      </c>
      <c r="E2938" s="709" t="s">
        <v>8432</v>
      </c>
      <c r="F2938" s="716">
        <v>7318.84</v>
      </c>
      <c r="G2938" s="716">
        <v>6194.22</v>
      </c>
      <c r="H2938" s="225">
        <f t="shared" si="45"/>
        <v>7318.84</v>
      </c>
    </row>
    <row r="2939" spans="1:8" x14ac:dyDescent="0.3">
      <c r="A2939" s="401"/>
      <c r="B2939" s="709">
        <v>45304</v>
      </c>
      <c r="C2939" s="710" t="s">
        <v>11283</v>
      </c>
      <c r="D2939" s="709" t="s">
        <v>136</v>
      </c>
      <c r="E2939" s="709" t="s">
        <v>8432</v>
      </c>
      <c r="F2939" s="716">
        <v>12590.58</v>
      </c>
      <c r="G2939" s="716">
        <v>10655.91</v>
      </c>
      <c r="H2939" s="225">
        <f t="shared" si="45"/>
        <v>12590.58</v>
      </c>
    </row>
    <row r="2940" spans="1:8" x14ac:dyDescent="0.3">
      <c r="A2940" s="401"/>
      <c r="B2940" s="709">
        <v>36141</v>
      </c>
      <c r="C2940" s="710" t="s">
        <v>11284</v>
      </c>
      <c r="D2940" s="709" t="s">
        <v>136</v>
      </c>
      <c r="E2940" s="709" t="s">
        <v>8432</v>
      </c>
      <c r="F2940" s="716">
        <v>107.98</v>
      </c>
      <c r="G2940" s="716">
        <v>105.9</v>
      </c>
      <c r="H2940" s="225">
        <f t="shared" si="45"/>
        <v>107.98</v>
      </c>
    </row>
    <row r="2941" spans="1:8" x14ac:dyDescent="0.3">
      <c r="A2941" s="401"/>
      <c r="B2941" s="709">
        <v>45211</v>
      </c>
      <c r="C2941" s="710" t="s">
        <v>11285</v>
      </c>
      <c r="D2941" s="709" t="s">
        <v>136</v>
      </c>
      <c r="E2941" s="709" t="s">
        <v>8432</v>
      </c>
      <c r="F2941" s="716">
        <v>98.13</v>
      </c>
      <c r="G2941" s="716">
        <v>96.24</v>
      </c>
      <c r="H2941" s="225">
        <f t="shared" si="45"/>
        <v>98.13</v>
      </c>
    </row>
    <row r="2942" spans="1:8" x14ac:dyDescent="0.3">
      <c r="A2942" s="401"/>
      <c r="B2942" s="709">
        <v>43651</v>
      </c>
      <c r="C2942" s="710" t="s">
        <v>11286</v>
      </c>
      <c r="D2942" s="709" t="s">
        <v>175</v>
      </c>
      <c r="E2942" s="709" t="s">
        <v>8432</v>
      </c>
      <c r="F2942" s="716">
        <v>7.91</v>
      </c>
      <c r="G2942" s="716">
        <v>7.18</v>
      </c>
      <c r="H2942" s="225">
        <f t="shared" si="45"/>
        <v>7.91</v>
      </c>
    </row>
    <row r="2943" spans="1:8" x14ac:dyDescent="0.3">
      <c r="A2943" s="401"/>
      <c r="B2943" s="709">
        <v>43626</v>
      </c>
      <c r="C2943" s="710" t="s">
        <v>11287</v>
      </c>
      <c r="D2943" s="709" t="s">
        <v>175</v>
      </c>
      <c r="E2943" s="709" t="s">
        <v>8438</v>
      </c>
      <c r="F2943" s="716">
        <v>4.4000000000000004</v>
      </c>
      <c r="G2943" s="716">
        <v>3.99</v>
      </c>
      <c r="H2943" s="225">
        <f t="shared" si="45"/>
        <v>4.4000000000000004</v>
      </c>
    </row>
    <row r="2944" spans="1:8" x14ac:dyDescent="0.3">
      <c r="A2944" s="401"/>
      <c r="B2944" s="709">
        <v>39434</v>
      </c>
      <c r="C2944" s="710" t="s">
        <v>11288</v>
      </c>
      <c r="D2944" s="709" t="s">
        <v>175</v>
      </c>
      <c r="E2944" s="709" t="s">
        <v>8432</v>
      </c>
      <c r="F2944" s="716">
        <v>4.55</v>
      </c>
      <c r="G2944" s="716">
        <v>3.58</v>
      </c>
      <c r="H2944" s="225">
        <f t="shared" si="45"/>
        <v>4.55</v>
      </c>
    </row>
    <row r="2945" spans="1:8" x14ac:dyDescent="0.3">
      <c r="A2945" s="401"/>
      <c r="B2945" s="709">
        <v>39433</v>
      </c>
      <c r="C2945" s="710" t="s">
        <v>11289</v>
      </c>
      <c r="D2945" s="709" t="s">
        <v>175</v>
      </c>
      <c r="E2945" s="709" t="s">
        <v>8432</v>
      </c>
      <c r="F2945" s="716">
        <v>3.61</v>
      </c>
      <c r="G2945" s="716">
        <v>2.85</v>
      </c>
      <c r="H2945" s="225">
        <f t="shared" si="45"/>
        <v>3.61</v>
      </c>
    </row>
    <row r="2946" spans="1:8" x14ac:dyDescent="0.3">
      <c r="A2946" s="401"/>
      <c r="B2946" s="709">
        <v>4049</v>
      </c>
      <c r="C2946" s="710" t="s">
        <v>11290</v>
      </c>
      <c r="D2946" s="709" t="s">
        <v>8120</v>
      </c>
      <c r="E2946" s="709" t="s">
        <v>8432</v>
      </c>
      <c r="F2946" s="716">
        <v>88.31</v>
      </c>
      <c r="G2946" s="716">
        <v>80.08</v>
      </c>
      <c r="H2946" s="225">
        <f t="shared" si="45"/>
        <v>88.31</v>
      </c>
    </row>
    <row r="2947" spans="1:8" x14ac:dyDescent="0.3">
      <c r="A2947" s="401"/>
      <c r="B2947" s="709">
        <v>38120</v>
      </c>
      <c r="C2947" s="710" t="s">
        <v>11291</v>
      </c>
      <c r="D2947" s="709" t="s">
        <v>175</v>
      </c>
      <c r="E2947" s="709" t="s">
        <v>8432</v>
      </c>
      <c r="F2947" s="716">
        <v>145.46</v>
      </c>
      <c r="G2947" s="716">
        <v>136.35</v>
      </c>
      <c r="H2947" s="225">
        <f t="shared" si="45"/>
        <v>145.46</v>
      </c>
    </row>
    <row r="2948" spans="1:8" x14ac:dyDescent="0.3">
      <c r="A2948" s="401"/>
      <c r="B2948" s="709">
        <v>43652</v>
      </c>
      <c r="C2948" s="710" t="s">
        <v>11292</v>
      </c>
      <c r="D2948" s="709" t="s">
        <v>175</v>
      </c>
      <c r="E2948" s="709" t="s">
        <v>8432</v>
      </c>
      <c r="F2948" s="716">
        <v>17.73</v>
      </c>
      <c r="G2948" s="716">
        <v>16.079999999999998</v>
      </c>
      <c r="H2948" s="225">
        <f t="shared" si="45"/>
        <v>17.73</v>
      </c>
    </row>
    <row r="2949" spans="1:8" x14ac:dyDescent="0.3">
      <c r="A2949" s="401"/>
      <c r="B2949" s="709">
        <v>10498</v>
      </c>
      <c r="C2949" s="710" t="s">
        <v>11293</v>
      </c>
      <c r="D2949" s="709" t="s">
        <v>175</v>
      </c>
      <c r="E2949" s="709" t="s">
        <v>8432</v>
      </c>
      <c r="F2949" s="716">
        <v>7.63</v>
      </c>
      <c r="G2949" s="716">
        <v>9.58</v>
      </c>
      <c r="H2949" s="225">
        <f t="shared" si="45"/>
        <v>7.63</v>
      </c>
    </row>
    <row r="2950" spans="1:8" x14ac:dyDescent="0.3">
      <c r="A2950" s="401"/>
      <c r="B2950" s="709">
        <v>4823</v>
      </c>
      <c r="C2950" s="710" t="s">
        <v>11294</v>
      </c>
      <c r="D2950" s="709" t="s">
        <v>175</v>
      </c>
      <c r="E2950" s="709" t="s">
        <v>8432</v>
      </c>
      <c r="F2950" s="716">
        <v>35.11</v>
      </c>
      <c r="G2950" s="716">
        <v>34.479999999999997</v>
      </c>
      <c r="H2950" s="225">
        <f t="shared" si="45"/>
        <v>35.11</v>
      </c>
    </row>
    <row r="2951" spans="1:8" x14ac:dyDescent="0.3">
      <c r="A2951" s="401"/>
      <c r="B2951" s="709">
        <v>38877</v>
      </c>
      <c r="C2951" s="710" t="s">
        <v>11295</v>
      </c>
      <c r="D2951" s="709" t="s">
        <v>175</v>
      </c>
      <c r="E2951" s="709" t="s">
        <v>8432</v>
      </c>
      <c r="F2951" s="716">
        <v>7.94</v>
      </c>
      <c r="G2951" s="716">
        <v>7.7</v>
      </c>
      <c r="H2951" s="225">
        <f t="shared" si="45"/>
        <v>7.94</v>
      </c>
    </row>
    <row r="2952" spans="1:8" x14ac:dyDescent="0.3">
      <c r="A2952" s="401"/>
      <c r="B2952" s="709">
        <v>34546</v>
      </c>
      <c r="C2952" s="710" t="s">
        <v>11296</v>
      </c>
      <c r="D2952" s="709" t="s">
        <v>175</v>
      </c>
      <c r="E2952" s="709" t="s">
        <v>8432</v>
      </c>
      <c r="F2952" s="716">
        <v>8.16</v>
      </c>
      <c r="G2952" s="716">
        <v>7.92</v>
      </c>
      <c r="H2952" s="225">
        <f t="shared" si="45"/>
        <v>8.16</v>
      </c>
    </row>
    <row r="2953" spans="1:8" x14ac:dyDescent="0.3">
      <c r="A2953" s="401"/>
      <c r="B2953" s="709">
        <v>41387</v>
      </c>
      <c r="C2953" s="710" t="s">
        <v>11297</v>
      </c>
      <c r="D2953" s="709" t="s">
        <v>159</v>
      </c>
      <c r="E2953" s="709" t="s">
        <v>8432</v>
      </c>
      <c r="F2953" s="716">
        <v>57.64</v>
      </c>
      <c r="G2953" s="716">
        <v>51.4</v>
      </c>
      <c r="H2953" s="225">
        <f t="shared" si="45"/>
        <v>57.64</v>
      </c>
    </row>
    <row r="2954" spans="1:8" x14ac:dyDescent="0.3">
      <c r="A2954" s="401"/>
      <c r="B2954" s="709">
        <v>41388</v>
      </c>
      <c r="C2954" s="710" t="s">
        <v>11298</v>
      </c>
      <c r="D2954" s="709" t="s">
        <v>159</v>
      </c>
      <c r="E2954" s="709" t="s">
        <v>8432</v>
      </c>
      <c r="F2954" s="716">
        <v>69.150000000000006</v>
      </c>
      <c r="G2954" s="716">
        <v>61.66</v>
      </c>
      <c r="H2954" s="225">
        <f t="shared" si="45"/>
        <v>69.150000000000006</v>
      </c>
    </row>
    <row r="2955" spans="1:8" x14ac:dyDescent="0.3">
      <c r="A2955" s="401"/>
      <c r="B2955" s="709">
        <v>41380</v>
      </c>
      <c r="C2955" s="710" t="s">
        <v>11299</v>
      </c>
      <c r="D2955" s="709" t="s">
        <v>136</v>
      </c>
      <c r="E2955" s="709" t="s">
        <v>8432</v>
      </c>
      <c r="F2955" s="716">
        <v>460.12</v>
      </c>
      <c r="G2955" s="716">
        <v>410.28</v>
      </c>
      <c r="H2955" s="225">
        <f t="shared" ref="H2955:H3018" si="46">IF(F2955&gt;0,F2955,G2955)</f>
        <v>460.12</v>
      </c>
    </row>
    <row r="2956" spans="1:8" x14ac:dyDescent="0.3">
      <c r="A2956" s="401"/>
      <c r="B2956" s="709">
        <v>41381</v>
      </c>
      <c r="C2956" s="710" t="s">
        <v>11300</v>
      </c>
      <c r="D2956" s="709" t="s">
        <v>136</v>
      </c>
      <c r="E2956" s="709" t="s">
        <v>8432</v>
      </c>
      <c r="F2956" s="716">
        <v>482.03</v>
      </c>
      <c r="G2956" s="716">
        <v>429.82</v>
      </c>
      <c r="H2956" s="225">
        <f t="shared" si="46"/>
        <v>482.03</v>
      </c>
    </row>
    <row r="2957" spans="1:8" x14ac:dyDescent="0.3">
      <c r="A2957" s="401"/>
      <c r="B2957" s="709">
        <v>41382</v>
      </c>
      <c r="C2957" s="710" t="s">
        <v>11301</v>
      </c>
      <c r="D2957" s="709" t="s">
        <v>136</v>
      </c>
      <c r="E2957" s="709" t="s">
        <v>8432</v>
      </c>
      <c r="F2957" s="716">
        <v>466.58</v>
      </c>
      <c r="G2957" s="716">
        <v>416.04</v>
      </c>
      <c r="H2957" s="225">
        <f t="shared" si="46"/>
        <v>466.58</v>
      </c>
    </row>
    <row r="2958" spans="1:8" x14ac:dyDescent="0.3">
      <c r="A2958" s="401"/>
      <c r="B2958" s="709">
        <v>41383</v>
      </c>
      <c r="C2958" s="710" t="s">
        <v>11302</v>
      </c>
      <c r="D2958" s="709" t="s">
        <v>136</v>
      </c>
      <c r="E2958" s="709" t="s">
        <v>8432</v>
      </c>
      <c r="F2958" s="716">
        <v>633.29</v>
      </c>
      <c r="G2958" s="716">
        <v>564.69000000000005</v>
      </c>
      <c r="H2958" s="225">
        <f t="shared" si="46"/>
        <v>633.29</v>
      </c>
    </row>
    <row r="2959" spans="1:8" x14ac:dyDescent="0.3">
      <c r="A2959" s="401"/>
      <c r="B2959" s="709">
        <v>41385</v>
      </c>
      <c r="C2959" s="710" t="s">
        <v>11303</v>
      </c>
      <c r="D2959" s="709" t="s">
        <v>136</v>
      </c>
      <c r="E2959" s="709" t="s">
        <v>8432</v>
      </c>
      <c r="F2959" s="716">
        <v>788.04</v>
      </c>
      <c r="G2959" s="716">
        <v>702.68</v>
      </c>
      <c r="H2959" s="225">
        <f t="shared" si="46"/>
        <v>788.04</v>
      </c>
    </row>
    <row r="2960" spans="1:8" x14ac:dyDescent="0.3">
      <c r="A2960" s="401"/>
      <c r="B2960" s="709">
        <v>4058</v>
      </c>
      <c r="C2960" s="710" t="s">
        <v>11304</v>
      </c>
      <c r="D2960" s="709" t="s">
        <v>234</v>
      </c>
      <c r="E2960" s="709" t="s">
        <v>8432</v>
      </c>
      <c r="F2960" s="716">
        <v>38.270000000000003</v>
      </c>
      <c r="G2960" s="716">
        <v>42.93</v>
      </c>
      <c r="H2960" s="225">
        <f t="shared" si="46"/>
        <v>38.270000000000003</v>
      </c>
    </row>
    <row r="2961" spans="1:8" x14ac:dyDescent="0.3">
      <c r="A2961" s="401"/>
      <c r="B2961" s="709">
        <v>40974</v>
      </c>
      <c r="C2961" s="710" t="s">
        <v>11305</v>
      </c>
      <c r="D2961" s="709" t="s">
        <v>208</v>
      </c>
      <c r="E2961" s="709" t="s">
        <v>8432</v>
      </c>
      <c r="F2961" s="716">
        <v>6726.73</v>
      </c>
      <c r="G2961" s="716">
        <v>7522.19</v>
      </c>
      <c r="H2961" s="225">
        <f t="shared" si="46"/>
        <v>6726.73</v>
      </c>
    </row>
    <row r="2962" spans="1:8" x14ac:dyDescent="0.3">
      <c r="A2962" s="401"/>
      <c r="B2962" s="709">
        <v>34794</v>
      </c>
      <c r="C2962" s="710" t="s">
        <v>11306</v>
      </c>
      <c r="D2962" s="709" t="s">
        <v>234</v>
      </c>
      <c r="E2962" s="709" t="s">
        <v>8432</v>
      </c>
      <c r="F2962" s="716">
        <v>25.53</v>
      </c>
      <c r="G2962" s="716">
        <v>34.61</v>
      </c>
      <c r="H2962" s="225">
        <f t="shared" si="46"/>
        <v>25.53</v>
      </c>
    </row>
    <row r="2963" spans="1:8" x14ac:dyDescent="0.3">
      <c r="A2963" s="401"/>
      <c r="B2963" s="709">
        <v>40925</v>
      </c>
      <c r="C2963" s="710" t="s">
        <v>11307</v>
      </c>
      <c r="D2963" s="709" t="s">
        <v>208</v>
      </c>
      <c r="E2963" s="709" t="s">
        <v>8432</v>
      </c>
      <c r="F2963" s="716">
        <v>4490.75</v>
      </c>
      <c r="G2963" s="716">
        <v>6066.7</v>
      </c>
      <c r="H2963" s="225">
        <f t="shared" si="46"/>
        <v>4490.75</v>
      </c>
    </row>
    <row r="2964" spans="1:8" x14ac:dyDescent="0.3">
      <c r="A2964" s="401"/>
      <c r="B2964" s="709">
        <v>13741</v>
      </c>
      <c r="C2964" s="710" t="s">
        <v>11308</v>
      </c>
      <c r="D2964" s="709" t="s">
        <v>136</v>
      </c>
      <c r="E2964" s="709" t="s">
        <v>8432</v>
      </c>
      <c r="F2964" s="716">
        <v>2514.46</v>
      </c>
      <c r="G2964" s="716">
        <v>2384.42</v>
      </c>
      <c r="H2964" s="225">
        <f t="shared" si="46"/>
        <v>2514.46</v>
      </c>
    </row>
    <row r="2965" spans="1:8" x14ac:dyDescent="0.3">
      <c r="A2965" s="401"/>
      <c r="B2965" s="709">
        <v>3288</v>
      </c>
      <c r="C2965" s="710" t="s">
        <v>11309</v>
      </c>
      <c r="D2965" s="709" t="s">
        <v>159</v>
      </c>
      <c r="E2965" s="709" t="s">
        <v>8438</v>
      </c>
      <c r="F2965" s="716">
        <v>8</v>
      </c>
      <c r="G2965" s="716">
        <v>7.6</v>
      </c>
      <c r="H2965" s="225">
        <f t="shared" si="46"/>
        <v>8</v>
      </c>
    </row>
    <row r="2966" spans="1:8" x14ac:dyDescent="0.3">
      <c r="A2966" s="401"/>
      <c r="B2966" s="709">
        <v>13587</v>
      </c>
      <c r="C2966" s="710" t="s">
        <v>11310</v>
      </c>
      <c r="D2966" s="709" t="s">
        <v>159</v>
      </c>
      <c r="E2966" s="709" t="s">
        <v>8432</v>
      </c>
      <c r="F2966" s="716">
        <v>4.83</v>
      </c>
      <c r="G2966" s="716">
        <v>4.59</v>
      </c>
      <c r="H2966" s="225">
        <f t="shared" si="46"/>
        <v>4.83</v>
      </c>
    </row>
    <row r="2967" spans="1:8" x14ac:dyDescent="0.3">
      <c r="A2967" s="401"/>
      <c r="B2967" s="709">
        <v>38598</v>
      </c>
      <c r="C2967" s="710" t="s">
        <v>11311</v>
      </c>
      <c r="D2967" s="709" t="s">
        <v>136</v>
      </c>
      <c r="E2967" s="709" t="s">
        <v>8432</v>
      </c>
      <c r="F2967" s="716">
        <v>4.51</v>
      </c>
      <c r="G2967" s="716">
        <v>3.86</v>
      </c>
      <c r="H2967" s="225">
        <f t="shared" si="46"/>
        <v>4.51</v>
      </c>
    </row>
    <row r="2968" spans="1:8" x14ac:dyDescent="0.3">
      <c r="A2968" s="401"/>
      <c r="B2968" s="709">
        <v>38595</v>
      </c>
      <c r="C2968" s="710" t="s">
        <v>11312</v>
      </c>
      <c r="D2968" s="709" t="s">
        <v>136</v>
      </c>
      <c r="E2968" s="709" t="s">
        <v>8432</v>
      </c>
      <c r="F2968" s="716">
        <v>3.82</v>
      </c>
      <c r="G2968" s="716">
        <v>3.27</v>
      </c>
      <c r="H2968" s="225">
        <f t="shared" si="46"/>
        <v>3.82</v>
      </c>
    </row>
    <row r="2969" spans="1:8" x14ac:dyDescent="0.3">
      <c r="A2969" s="401"/>
      <c r="B2969" s="709">
        <v>38592</v>
      </c>
      <c r="C2969" s="710" t="s">
        <v>11313</v>
      </c>
      <c r="D2969" s="709" t="s">
        <v>136</v>
      </c>
      <c r="E2969" s="709" t="s">
        <v>8432</v>
      </c>
      <c r="F2969" s="716">
        <v>3.86</v>
      </c>
      <c r="G2969" s="716">
        <v>3.3</v>
      </c>
      <c r="H2969" s="225">
        <f t="shared" si="46"/>
        <v>3.86</v>
      </c>
    </row>
    <row r="2970" spans="1:8" x14ac:dyDescent="0.3">
      <c r="A2970" s="401"/>
      <c r="B2970" s="709">
        <v>38588</v>
      </c>
      <c r="C2970" s="710" t="s">
        <v>11314</v>
      </c>
      <c r="D2970" s="709" t="s">
        <v>136</v>
      </c>
      <c r="E2970" s="709" t="s">
        <v>8432</v>
      </c>
      <c r="F2970" s="716">
        <v>3.09</v>
      </c>
      <c r="G2970" s="716">
        <v>2.64</v>
      </c>
      <c r="H2970" s="225">
        <f t="shared" si="46"/>
        <v>3.09</v>
      </c>
    </row>
    <row r="2971" spans="1:8" x14ac:dyDescent="0.3">
      <c r="A2971" s="401"/>
      <c r="B2971" s="709">
        <v>38593</v>
      </c>
      <c r="C2971" s="710" t="s">
        <v>11315</v>
      </c>
      <c r="D2971" s="709" t="s">
        <v>136</v>
      </c>
      <c r="E2971" s="709" t="s">
        <v>8432</v>
      </c>
      <c r="F2971" s="716">
        <v>4.26</v>
      </c>
      <c r="G2971" s="716">
        <v>3.65</v>
      </c>
      <c r="H2971" s="225">
        <f t="shared" si="46"/>
        <v>4.26</v>
      </c>
    </row>
    <row r="2972" spans="1:8" x14ac:dyDescent="0.3">
      <c r="A2972" s="401"/>
      <c r="B2972" s="709">
        <v>38589</v>
      </c>
      <c r="C2972" s="710" t="s">
        <v>11316</v>
      </c>
      <c r="D2972" s="709" t="s">
        <v>136</v>
      </c>
      <c r="E2972" s="709" t="s">
        <v>8432</v>
      </c>
      <c r="F2972" s="716">
        <v>3.24</v>
      </c>
      <c r="G2972" s="716">
        <v>2.77</v>
      </c>
      <c r="H2972" s="225">
        <f t="shared" si="46"/>
        <v>3.24</v>
      </c>
    </row>
    <row r="2973" spans="1:8" x14ac:dyDescent="0.3">
      <c r="A2973" s="401"/>
      <c r="B2973" s="709">
        <v>38594</v>
      </c>
      <c r="C2973" s="710" t="s">
        <v>11317</v>
      </c>
      <c r="D2973" s="709" t="s">
        <v>136</v>
      </c>
      <c r="E2973" s="709" t="s">
        <v>8432</v>
      </c>
      <c r="F2973" s="716">
        <v>6.72</v>
      </c>
      <c r="G2973" s="716">
        <v>5.75</v>
      </c>
      <c r="H2973" s="225">
        <f t="shared" si="46"/>
        <v>6.72</v>
      </c>
    </row>
    <row r="2974" spans="1:8" x14ac:dyDescent="0.3">
      <c r="A2974" s="401"/>
      <c r="B2974" s="709">
        <v>34774</v>
      </c>
      <c r="C2974" s="710" t="s">
        <v>11318</v>
      </c>
      <c r="D2974" s="709" t="s">
        <v>136</v>
      </c>
      <c r="E2974" s="709" t="s">
        <v>8432</v>
      </c>
      <c r="F2974" s="716">
        <v>3.02</v>
      </c>
      <c r="G2974" s="716">
        <v>2.59</v>
      </c>
      <c r="H2974" s="225">
        <f t="shared" si="46"/>
        <v>3.02</v>
      </c>
    </row>
    <row r="2975" spans="1:8" x14ac:dyDescent="0.3">
      <c r="A2975" s="401"/>
      <c r="B2975" s="709">
        <v>34771</v>
      </c>
      <c r="C2975" s="710" t="s">
        <v>11319</v>
      </c>
      <c r="D2975" s="709" t="s">
        <v>136</v>
      </c>
      <c r="E2975" s="709" t="s">
        <v>8432</v>
      </c>
      <c r="F2975" s="716">
        <v>3.64</v>
      </c>
      <c r="G2975" s="716">
        <v>3.12</v>
      </c>
      <c r="H2975" s="225">
        <f t="shared" si="46"/>
        <v>3.64</v>
      </c>
    </row>
    <row r="2976" spans="1:8" x14ac:dyDescent="0.3">
      <c r="A2976" s="401"/>
      <c r="B2976" s="709">
        <v>34764</v>
      </c>
      <c r="C2976" s="710" t="s">
        <v>11320</v>
      </c>
      <c r="D2976" s="709" t="s">
        <v>136</v>
      </c>
      <c r="E2976" s="709" t="s">
        <v>8432</v>
      </c>
      <c r="F2976" s="716">
        <v>2.39</v>
      </c>
      <c r="G2976" s="716">
        <v>2.04</v>
      </c>
      <c r="H2976" s="225">
        <f t="shared" si="46"/>
        <v>2.39</v>
      </c>
    </row>
    <row r="2977" spans="1:8" x14ac:dyDescent="0.3">
      <c r="A2977" s="401"/>
      <c r="B2977" s="709">
        <v>34773</v>
      </c>
      <c r="C2977" s="710" t="s">
        <v>11321</v>
      </c>
      <c r="D2977" s="709" t="s">
        <v>136</v>
      </c>
      <c r="E2977" s="709" t="s">
        <v>8432</v>
      </c>
      <c r="F2977" s="716">
        <v>3.18</v>
      </c>
      <c r="G2977" s="716">
        <v>2.72</v>
      </c>
      <c r="H2977" s="225">
        <f t="shared" si="46"/>
        <v>3.18</v>
      </c>
    </row>
    <row r="2978" spans="1:8" x14ac:dyDescent="0.3">
      <c r="A2978" s="401"/>
      <c r="B2978" s="709">
        <v>34769</v>
      </c>
      <c r="C2978" s="710" t="s">
        <v>11322</v>
      </c>
      <c r="D2978" s="709" t="s">
        <v>136</v>
      </c>
      <c r="E2978" s="709" t="s">
        <v>8432</v>
      </c>
      <c r="F2978" s="716">
        <v>3.94</v>
      </c>
      <c r="G2978" s="716">
        <v>3.37</v>
      </c>
      <c r="H2978" s="225">
        <f t="shared" si="46"/>
        <v>3.94</v>
      </c>
    </row>
    <row r="2979" spans="1:8" x14ac:dyDescent="0.3">
      <c r="A2979" s="401"/>
      <c r="B2979" s="709">
        <v>34763</v>
      </c>
      <c r="C2979" s="710" t="s">
        <v>11323</v>
      </c>
      <c r="D2979" s="709" t="s">
        <v>136</v>
      </c>
      <c r="E2979" s="709" t="s">
        <v>8432</v>
      </c>
      <c r="F2979" s="716">
        <v>2.4300000000000002</v>
      </c>
      <c r="G2979" s="716">
        <v>2.08</v>
      </c>
      <c r="H2979" s="225">
        <f t="shared" si="46"/>
        <v>2.4300000000000002</v>
      </c>
    </row>
    <row r="2980" spans="1:8" x14ac:dyDescent="0.3">
      <c r="A2980" s="401"/>
      <c r="B2980" s="709">
        <v>34788</v>
      </c>
      <c r="C2980" s="710" t="s">
        <v>11324</v>
      </c>
      <c r="D2980" s="709" t="s">
        <v>136</v>
      </c>
      <c r="E2980" s="709" t="s">
        <v>8432</v>
      </c>
      <c r="F2980" s="716">
        <v>1.41</v>
      </c>
      <c r="G2980" s="716">
        <v>1.33</v>
      </c>
      <c r="H2980" s="225">
        <f t="shared" si="46"/>
        <v>1.41</v>
      </c>
    </row>
    <row r="2981" spans="1:8" x14ac:dyDescent="0.3">
      <c r="A2981" s="401"/>
      <c r="B2981" s="709">
        <v>34781</v>
      </c>
      <c r="C2981" s="710" t="s">
        <v>11325</v>
      </c>
      <c r="D2981" s="709" t="s">
        <v>136</v>
      </c>
      <c r="E2981" s="709" t="s">
        <v>8432</v>
      </c>
      <c r="F2981" s="716">
        <v>1.94</v>
      </c>
      <c r="G2981" s="716">
        <v>1.83</v>
      </c>
      <c r="H2981" s="225">
        <f t="shared" si="46"/>
        <v>1.94</v>
      </c>
    </row>
    <row r="2982" spans="1:8" x14ac:dyDescent="0.3">
      <c r="A2982" s="401"/>
      <c r="B2982" s="709">
        <v>41682</v>
      </c>
      <c r="C2982" s="710" t="s">
        <v>11326</v>
      </c>
      <c r="D2982" s="709" t="s">
        <v>136</v>
      </c>
      <c r="E2982" s="709" t="s">
        <v>8432</v>
      </c>
      <c r="F2982" s="716">
        <v>37.89</v>
      </c>
      <c r="G2982" s="716">
        <v>31.47</v>
      </c>
      <c r="H2982" s="225">
        <f t="shared" si="46"/>
        <v>37.89</v>
      </c>
    </row>
    <row r="2983" spans="1:8" x14ac:dyDescent="0.3">
      <c r="A2983" s="401"/>
      <c r="B2983" s="709">
        <v>41683</v>
      </c>
      <c r="C2983" s="710" t="s">
        <v>11327</v>
      </c>
      <c r="D2983" s="709" t="s">
        <v>136</v>
      </c>
      <c r="E2983" s="709" t="s">
        <v>8432</v>
      </c>
      <c r="F2983" s="716">
        <v>27.87</v>
      </c>
      <c r="G2983" s="716">
        <v>23.15</v>
      </c>
      <c r="H2983" s="225">
        <f t="shared" si="46"/>
        <v>27.87</v>
      </c>
    </row>
    <row r="2984" spans="1:8" x14ac:dyDescent="0.3">
      <c r="A2984" s="401"/>
      <c r="B2984" s="709">
        <v>41680</v>
      </c>
      <c r="C2984" s="710" t="s">
        <v>11328</v>
      </c>
      <c r="D2984" s="709" t="s">
        <v>136</v>
      </c>
      <c r="E2984" s="709" t="s">
        <v>8432</v>
      </c>
      <c r="F2984" s="716">
        <v>15.01</v>
      </c>
      <c r="G2984" s="716">
        <v>12.46</v>
      </c>
      <c r="H2984" s="225">
        <f t="shared" si="46"/>
        <v>15.01</v>
      </c>
    </row>
    <row r="2985" spans="1:8" x14ac:dyDescent="0.3">
      <c r="A2985" s="401"/>
      <c r="B2985" s="709">
        <v>41679</v>
      </c>
      <c r="C2985" s="710" t="s">
        <v>11329</v>
      </c>
      <c r="D2985" s="709" t="s">
        <v>136</v>
      </c>
      <c r="E2985" s="709" t="s">
        <v>8432</v>
      </c>
      <c r="F2985" s="716">
        <v>34.31</v>
      </c>
      <c r="G2985" s="716">
        <v>28.49</v>
      </c>
      <c r="H2985" s="225">
        <f t="shared" si="46"/>
        <v>34.31</v>
      </c>
    </row>
    <row r="2986" spans="1:8" x14ac:dyDescent="0.3">
      <c r="A2986" s="401"/>
      <c r="B2986" s="709">
        <v>41681</v>
      </c>
      <c r="C2986" s="710" t="s">
        <v>11330</v>
      </c>
      <c r="D2986" s="709" t="s">
        <v>136</v>
      </c>
      <c r="E2986" s="709" t="s">
        <v>8432</v>
      </c>
      <c r="F2986" s="716">
        <v>23.48</v>
      </c>
      <c r="G2986" s="716">
        <v>19.5</v>
      </c>
      <c r="H2986" s="225">
        <f t="shared" si="46"/>
        <v>23.48</v>
      </c>
    </row>
    <row r="2987" spans="1:8" x14ac:dyDescent="0.3">
      <c r="A2987" s="401"/>
      <c r="B2987" s="709">
        <v>43386</v>
      </c>
      <c r="C2987" s="710" t="s">
        <v>11331</v>
      </c>
      <c r="D2987" s="709" t="s">
        <v>136</v>
      </c>
      <c r="E2987" s="709" t="s">
        <v>8432</v>
      </c>
      <c r="F2987" s="716">
        <v>53.61</v>
      </c>
      <c r="G2987" s="716">
        <v>44.53</v>
      </c>
      <c r="H2987" s="225">
        <f t="shared" si="46"/>
        <v>53.61</v>
      </c>
    </row>
    <row r="2988" spans="1:8" x14ac:dyDescent="0.3">
      <c r="A2988" s="401"/>
      <c r="B2988" s="709">
        <v>4059</v>
      </c>
      <c r="C2988" s="710" t="s">
        <v>11332</v>
      </c>
      <c r="D2988" s="709" t="s">
        <v>159</v>
      </c>
      <c r="E2988" s="709" t="s">
        <v>8432</v>
      </c>
      <c r="F2988" s="716">
        <v>37.89</v>
      </c>
      <c r="G2988" s="716">
        <v>31.47</v>
      </c>
      <c r="H2988" s="225">
        <f t="shared" si="46"/>
        <v>37.89</v>
      </c>
    </row>
    <row r="2989" spans="1:8" x14ac:dyDescent="0.3">
      <c r="A2989" s="401"/>
      <c r="B2989" s="709">
        <v>4062</v>
      </c>
      <c r="C2989" s="710" t="s">
        <v>11333</v>
      </c>
      <c r="D2989" s="709" t="s">
        <v>136</v>
      </c>
      <c r="E2989" s="709" t="s">
        <v>8432</v>
      </c>
      <c r="F2989" s="716">
        <v>37.89</v>
      </c>
      <c r="G2989" s="716">
        <v>31.47</v>
      </c>
      <c r="H2989" s="225">
        <f t="shared" si="46"/>
        <v>37.89</v>
      </c>
    </row>
    <row r="2990" spans="1:8" x14ac:dyDescent="0.3">
      <c r="A2990" s="401"/>
      <c r="B2990" s="709">
        <v>4061</v>
      </c>
      <c r="C2990" s="710" t="s">
        <v>11334</v>
      </c>
      <c r="D2990" s="709" t="s">
        <v>136</v>
      </c>
      <c r="E2990" s="709" t="s">
        <v>8432</v>
      </c>
      <c r="F2990" s="716">
        <v>47.18</v>
      </c>
      <c r="G2990" s="716">
        <v>39.18</v>
      </c>
      <c r="H2990" s="225">
        <f t="shared" si="46"/>
        <v>47.18</v>
      </c>
    </row>
    <row r="2991" spans="1:8" x14ac:dyDescent="0.3">
      <c r="A2991" s="401"/>
      <c r="B2991" s="709">
        <v>41315</v>
      </c>
      <c r="C2991" s="710" t="s">
        <v>11335</v>
      </c>
      <c r="D2991" s="709" t="s">
        <v>175</v>
      </c>
      <c r="E2991" s="709" t="s">
        <v>8432</v>
      </c>
      <c r="F2991" s="716">
        <v>92.64</v>
      </c>
      <c r="G2991" s="716">
        <v>84.92</v>
      </c>
      <c r="H2991" s="225">
        <f t="shared" si="46"/>
        <v>92.64</v>
      </c>
    </row>
    <row r="2992" spans="1:8" x14ac:dyDescent="0.3">
      <c r="A2992" s="401"/>
      <c r="B2992" s="709">
        <v>43148</v>
      </c>
      <c r="C2992" s="710" t="s">
        <v>11336</v>
      </c>
      <c r="D2992" s="709" t="s">
        <v>175</v>
      </c>
      <c r="E2992" s="709" t="s">
        <v>8432</v>
      </c>
      <c r="F2992" s="716">
        <v>62.88</v>
      </c>
      <c r="G2992" s="716">
        <v>57.64</v>
      </c>
      <c r="H2992" s="225">
        <f t="shared" si="46"/>
        <v>62.88</v>
      </c>
    </row>
    <row r="2993" spans="1:8" x14ac:dyDescent="0.3">
      <c r="A2993" s="401"/>
      <c r="B2993" s="709">
        <v>43147</v>
      </c>
      <c r="C2993" s="710" t="s">
        <v>11337</v>
      </c>
      <c r="D2993" s="709" t="s">
        <v>175</v>
      </c>
      <c r="E2993" s="709" t="s">
        <v>8432</v>
      </c>
      <c r="F2993" s="716">
        <v>24.35</v>
      </c>
      <c r="G2993" s="716">
        <v>22.32</v>
      </c>
      <c r="H2993" s="225">
        <f t="shared" si="46"/>
        <v>24.35</v>
      </c>
    </row>
    <row r="2994" spans="1:8" x14ac:dyDescent="0.3">
      <c r="A2994" s="401"/>
      <c r="B2994" s="709">
        <v>10608</v>
      </c>
      <c r="C2994" s="710" t="s">
        <v>11338</v>
      </c>
      <c r="D2994" s="709" t="s">
        <v>136</v>
      </c>
      <c r="E2994" s="709" t="s">
        <v>8438</v>
      </c>
      <c r="F2994" s="716"/>
      <c r="G2994" s="716">
        <v>11110</v>
      </c>
      <c r="H2994" s="225">
        <f t="shared" si="46"/>
        <v>11110</v>
      </c>
    </row>
    <row r="2995" spans="1:8" x14ac:dyDescent="0.3">
      <c r="A2995" s="401"/>
      <c r="B2995" s="709">
        <v>4069</v>
      </c>
      <c r="C2995" s="710" t="s">
        <v>11339</v>
      </c>
      <c r="D2995" s="709" t="s">
        <v>234</v>
      </c>
      <c r="E2995" s="709" t="s">
        <v>8432</v>
      </c>
      <c r="F2995" s="716">
        <v>118.52</v>
      </c>
      <c r="G2995" s="716">
        <v>78.930000000000007</v>
      </c>
      <c r="H2995" s="225">
        <f t="shared" si="46"/>
        <v>118.52</v>
      </c>
    </row>
    <row r="2996" spans="1:8" x14ac:dyDescent="0.3">
      <c r="A2996" s="401"/>
      <c r="B2996" s="709">
        <v>40819</v>
      </c>
      <c r="C2996" s="710" t="s">
        <v>11340</v>
      </c>
      <c r="D2996" s="709" t="s">
        <v>208</v>
      </c>
      <c r="E2996" s="709" t="s">
        <v>8432</v>
      </c>
      <c r="F2996" s="716">
        <v>20828.2</v>
      </c>
      <c r="G2996" s="716">
        <v>13828.33</v>
      </c>
      <c r="H2996" s="225">
        <f t="shared" si="46"/>
        <v>20828.2</v>
      </c>
    </row>
    <row r="2997" spans="1:8" x14ac:dyDescent="0.3">
      <c r="A2997" s="401"/>
      <c r="B2997" s="709">
        <v>34361</v>
      </c>
      <c r="C2997" s="710" t="s">
        <v>11341</v>
      </c>
      <c r="D2997" s="709" t="s">
        <v>175</v>
      </c>
      <c r="E2997" s="709" t="s">
        <v>8432</v>
      </c>
      <c r="F2997" s="716">
        <v>17.73</v>
      </c>
      <c r="G2997" s="716">
        <v>16.25</v>
      </c>
      <c r="H2997" s="225">
        <f t="shared" si="46"/>
        <v>17.73</v>
      </c>
    </row>
    <row r="2998" spans="1:8" x14ac:dyDescent="0.3">
      <c r="A2998" s="401"/>
      <c r="B2998" s="709">
        <v>44478</v>
      </c>
      <c r="C2998" s="710" t="s">
        <v>11342</v>
      </c>
      <c r="D2998" s="709" t="s">
        <v>175</v>
      </c>
      <c r="E2998" s="709" t="s">
        <v>8432</v>
      </c>
      <c r="F2998" s="716">
        <v>9.98</v>
      </c>
      <c r="G2998" s="716">
        <v>12.54</v>
      </c>
      <c r="H2998" s="225">
        <f t="shared" si="46"/>
        <v>9.98</v>
      </c>
    </row>
    <row r="2999" spans="1:8" x14ac:dyDescent="0.3">
      <c r="A2999" s="401"/>
      <c r="B2999" s="709">
        <v>44477</v>
      </c>
      <c r="C2999" s="710" t="s">
        <v>11343</v>
      </c>
      <c r="D2999" s="709" t="s">
        <v>175</v>
      </c>
      <c r="E2999" s="709" t="s">
        <v>8432</v>
      </c>
      <c r="F2999" s="716">
        <v>9.98</v>
      </c>
      <c r="G2999" s="716">
        <v>12.54</v>
      </c>
      <c r="H2999" s="225">
        <f t="shared" si="46"/>
        <v>9.98</v>
      </c>
    </row>
    <row r="3000" spans="1:8" x14ac:dyDescent="0.3">
      <c r="A3000" s="401"/>
      <c r="B3000" s="709">
        <v>11697</v>
      </c>
      <c r="C3000" s="710" t="s">
        <v>11344</v>
      </c>
      <c r="D3000" s="709" t="s">
        <v>136</v>
      </c>
      <c r="E3000" s="709" t="s">
        <v>8432</v>
      </c>
      <c r="F3000" s="716">
        <v>749.67</v>
      </c>
      <c r="G3000" s="716">
        <v>696.44</v>
      </c>
      <c r="H3000" s="225">
        <f t="shared" si="46"/>
        <v>749.67</v>
      </c>
    </row>
    <row r="3001" spans="1:8" x14ac:dyDescent="0.3">
      <c r="A3001" s="401"/>
      <c r="B3001" s="709">
        <v>11698</v>
      </c>
      <c r="C3001" s="710" t="s">
        <v>11345</v>
      </c>
      <c r="D3001" s="709" t="s">
        <v>136</v>
      </c>
      <c r="E3001" s="709" t="s">
        <v>8432</v>
      </c>
      <c r="F3001" s="716">
        <v>894.32</v>
      </c>
      <c r="G3001" s="716">
        <v>830.82</v>
      </c>
      <c r="H3001" s="225">
        <f t="shared" si="46"/>
        <v>894.32</v>
      </c>
    </row>
    <row r="3002" spans="1:8" x14ac:dyDescent="0.3">
      <c r="A3002" s="401"/>
      <c r="B3002" s="709">
        <v>11699</v>
      </c>
      <c r="C3002" s="710" t="s">
        <v>11346</v>
      </c>
      <c r="D3002" s="709" t="s">
        <v>136</v>
      </c>
      <c r="E3002" s="709" t="s">
        <v>8432</v>
      </c>
      <c r="F3002" s="716">
        <v>988.43</v>
      </c>
      <c r="G3002" s="716">
        <v>918.25</v>
      </c>
      <c r="H3002" s="225">
        <f t="shared" si="46"/>
        <v>988.43</v>
      </c>
    </row>
    <row r="3003" spans="1:8" x14ac:dyDescent="0.3">
      <c r="A3003" s="401"/>
      <c r="B3003" s="709">
        <v>10432</v>
      </c>
      <c r="C3003" s="710" t="s">
        <v>11347</v>
      </c>
      <c r="D3003" s="709" t="s">
        <v>136</v>
      </c>
      <c r="E3003" s="709" t="s">
        <v>8432</v>
      </c>
      <c r="F3003" s="716">
        <v>478.88</v>
      </c>
      <c r="G3003" s="716">
        <v>446.27</v>
      </c>
      <c r="H3003" s="225">
        <f t="shared" si="46"/>
        <v>478.88</v>
      </c>
    </row>
    <row r="3004" spans="1:8" x14ac:dyDescent="0.3">
      <c r="A3004" s="401"/>
      <c r="B3004" s="709">
        <v>44020</v>
      </c>
      <c r="C3004" s="710" t="s">
        <v>11348</v>
      </c>
      <c r="D3004" s="709" t="s">
        <v>136</v>
      </c>
      <c r="E3004" s="709" t="s">
        <v>8432</v>
      </c>
      <c r="F3004" s="716">
        <v>1181.46</v>
      </c>
      <c r="G3004" s="716">
        <v>1101.01</v>
      </c>
      <c r="H3004" s="225">
        <f t="shared" si="46"/>
        <v>1181.46</v>
      </c>
    </row>
    <row r="3005" spans="1:8" x14ac:dyDescent="0.3">
      <c r="A3005" s="401"/>
      <c r="B3005" s="709">
        <v>41419</v>
      </c>
      <c r="C3005" s="710" t="s">
        <v>11349</v>
      </c>
      <c r="D3005" s="709" t="s">
        <v>136</v>
      </c>
      <c r="E3005" s="709" t="s">
        <v>8432</v>
      </c>
      <c r="F3005" s="716">
        <v>8.6199999999999992</v>
      </c>
      <c r="G3005" s="716">
        <v>7.69</v>
      </c>
      <c r="H3005" s="225">
        <f t="shared" si="46"/>
        <v>8.6199999999999992</v>
      </c>
    </row>
    <row r="3006" spans="1:8" x14ac:dyDescent="0.3">
      <c r="A3006" s="401"/>
      <c r="B3006" s="709">
        <v>41420</v>
      </c>
      <c r="C3006" s="710" t="s">
        <v>11350</v>
      </c>
      <c r="D3006" s="709" t="s">
        <v>136</v>
      </c>
      <c r="E3006" s="709" t="s">
        <v>8432</v>
      </c>
      <c r="F3006" s="716">
        <v>11.73</v>
      </c>
      <c r="G3006" s="716">
        <v>10.46</v>
      </c>
      <c r="H3006" s="225">
        <f t="shared" si="46"/>
        <v>11.73</v>
      </c>
    </row>
    <row r="3007" spans="1:8" x14ac:dyDescent="0.3">
      <c r="A3007" s="401"/>
      <c r="B3007" s="709">
        <v>41421</v>
      </c>
      <c r="C3007" s="710" t="s">
        <v>11351</v>
      </c>
      <c r="D3007" s="709" t="s">
        <v>136</v>
      </c>
      <c r="E3007" s="709" t="s">
        <v>8432</v>
      </c>
      <c r="F3007" s="716">
        <v>11.7</v>
      </c>
      <c r="G3007" s="716">
        <v>10.43</v>
      </c>
      <c r="H3007" s="225">
        <f t="shared" si="46"/>
        <v>11.7</v>
      </c>
    </row>
    <row r="3008" spans="1:8" x14ac:dyDescent="0.3">
      <c r="A3008" s="401"/>
      <c r="B3008" s="709">
        <v>41422</v>
      </c>
      <c r="C3008" s="710" t="s">
        <v>11352</v>
      </c>
      <c r="D3008" s="709" t="s">
        <v>136</v>
      </c>
      <c r="E3008" s="709" t="s">
        <v>8432</v>
      </c>
      <c r="F3008" s="716">
        <v>16.02</v>
      </c>
      <c r="G3008" s="716">
        <v>14.28</v>
      </c>
      <c r="H3008" s="225">
        <f t="shared" si="46"/>
        <v>16.02</v>
      </c>
    </row>
    <row r="3009" spans="1:8" x14ac:dyDescent="0.3">
      <c r="A3009" s="401"/>
      <c r="B3009" s="709">
        <v>41425</v>
      </c>
      <c r="C3009" s="710" t="s">
        <v>11353</v>
      </c>
      <c r="D3009" s="709" t="s">
        <v>136</v>
      </c>
      <c r="E3009" s="709" t="s">
        <v>8432</v>
      </c>
      <c r="F3009" s="716">
        <v>8.1999999999999993</v>
      </c>
      <c r="G3009" s="716">
        <v>7.31</v>
      </c>
      <c r="H3009" s="225">
        <f t="shared" si="46"/>
        <v>8.1999999999999993</v>
      </c>
    </row>
    <row r="3010" spans="1:8" x14ac:dyDescent="0.3">
      <c r="A3010" s="401"/>
      <c r="B3010" s="709">
        <v>41426</v>
      </c>
      <c r="C3010" s="710" t="s">
        <v>11354</v>
      </c>
      <c r="D3010" s="709" t="s">
        <v>136</v>
      </c>
      <c r="E3010" s="709" t="s">
        <v>8432</v>
      </c>
      <c r="F3010" s="716">
        <v>14.78</v>
      </c>
      <c r="G3010" s="716">
        <v>13.18</v>
      </c>
      <c r="H3010" s="225">
        <f t="shared" si="46"/>
        <v>14.78</v>
      </c>
    </row>
    <row r="3011" spans="1:8" x14ac:dyDescent="0.3">
      <c r="A3011" s="401"/>
      <c r="B3011" s="709">
        <v>41414</v>
      </c>
      <c r="C3011" s="710" t="s">
        <v>11355</v>
      </c>
      <c r="D3011" s="709" t="s">
        <v>136</v>
      </c>
      <c r="E3011" s="709" t="s">
        <v>8432</v>
      </c>
      <c r="F3011" s="716">
        <v>27.13</v>
      </c>
      <c r="G3011" s="716">
        <v>24.19</v>
      </c>
      <c r="H3011" s="225">
        <f t="shared" si="46"/>
        <v>27.13</v>
      </c>
    </row>
    <row r="3012" spans="1:8" x14ac:dyDescent="0.3">
      <c r="A3012" s="401"/>
      <c r="B3012" s="709">
        <v>41415</v>
      </c>
      <c r="C3012" s="710" t="s">
        <v>11356</v>
      </c>
      <c r="D3012" s="709" t="s">
        <v>136</v>
      </c>
      <c r="E3012" s="709" t="s">
        <v>8432</v>
      </c>
      <c r="F3012" s="716">
        <v>31.59</v>
      </c>
      <c r="G3012" s="716">
        <v>28.17</v>
      </c>
      <c r="H3012" s="225">
        <f t="shared" si="46"/>
        <v>31.59</v>
      </c>
    </row>
    <row r="3013" spans="1:8" x14ac:dyDescent="0.3">
      <c r="A3013" s="401"/>
      <c r="B3013" s="709">
        <v>37514</v>
      </c>
      <c r="C3013" s="710" t="s">
        <v>11357</v>
      </c>
      <c r="D3013" s="709" t="s">
        <v>136</v>
      </c>
      <c r="E3013" s="709" t="s">
        <v>8438</v>
      </c>
      <c r="F3013" s="716">
        <v>321000</v>
      </c>
      <c r="G3013" s="716">
        <v>360000</v>
      </c>
      <c r="H3013" s="225">
        <f t="shared" si="46"/>
        <v>321000</v>
      </c>
    </row>
    <row r="3014" spans="1:8" x14ac:dyDescent="0.3">
      <c r="A3014" s="401"/>
      <c r="B3014" s="709">
        <v>37520</v>
      </c>
      <c r="C3014" s="710" t="s">
        <v>11358</v>
      </c>
      <c r="D3014" s="709" t="s">
        <v>136</v>
      </c>
      <c r="E3014" s="709" t="s">
        <v>8432</v>
      </c>
      <c r="F3014" s="716">
        <v>487275.91</v>
      </c>
      <c r="G3014" s="716">
        <v>546477.66</v>
      </c>
      <c r="H3014" s="225">
        <f t="shared" si="46"/>
        <v>487275.91</v>
      </c>
    </row>
    <row r="3015" spans="1:8" x14ac:dyDescent="0.3">
      <c r="A3015" s="401"/>
      <c r="B3015" s="709">
        <v>37546</v>
      </c>
      <c r="C3015" s="710" t="s">
        <v>11359</v>
      </c>
      <c r="D3015" s="709" t="s">
        <v>136</v>
      </c>
      <c r="E3015" s="709" t="s">
        <v>8432</v>
      </c>
      <c r="F3015" s="716">
        <v>12254.19</v>
      </c>
      <c r="G3015" s="716">
        <v>13123.81</v>
      </c>
      <c r="H3015" s="225">
        <f t="shared" si="46"/>
        <v>12254.19</v>
      </c>
    </row>
    <row r="3016" spans="1:8" x14ac:dyDescent="0.3">
      <c r="A3016" s="401"/>
      <c r="B3016" s="709">
        <v>37544</v>
      </c>
      <c r="C3016" s="710" t="s">
        <v>11360</v>
      </c>
      <c r="D3016" s="709" t="s">
        <v>136</v>
      </c>
      <c r="E3016" s="709" t="s">
        <v>8432</v>
      </c>
      <c r="F3016" s="716">
        <v>12960.87</v>
      </c>
      <c r="G3016" s="716">
        <v>13880.64</v>
      </c>
      <c r="H3016" s="225">
        <f t="shared" si="46"/>
        <v>12960.87</v>
      </c>
    </row>
    <row r="3017" spans="1:8" x14ac:dyDescent="0.3">
      <c r="A3017" s="401"/>
      <c r="B3017" s="709">
        <v>37545</v>
      </c>
      <c r="C3017" s="710" t="s">
        <v>11361</v>
      </c>
      <c r="D3017" s="709" t="s">
        <v>136</v>
      </c>
      <c r="E3017" s="709" t="s">
        <v>8432</v>
      </c>
      <c r="F3017" s="716">
        <v>15421.69</v>
      </c>
      <c r="G3017" s="716">
        <v>16516.099999999999</v>
      </c>
      <c r="H3017" s="225">
        <f t="shared" si="46"/>
        <v>15421.69</v>
      </c>
    </row>
    <row r="3018" spans="1:8" x14ac:dyDescent="0.3">
      <c r="A3018" s="401"/>
      <c r="B3018" s="709">
        <v>36793</v>
      </c>
      <c r="C3018" s="710" t="s">
        <v>11362</v>
      </c>
      <c r="D3018" s="709" t="s">
        <v>136</v>
      </c>
      <c r="E3018" s="709" t="s">
        <v>8432</v>
      </c>
      <c r="F3018" s="716">
        <v>1685.49</v>
      </c>
      <c r="G3018" s="716">
        <v>861.06</v>
      </c>
      <c r="H3018" s="225">
        <f t="shared" si="46"/>
        <v>1685.49</v>
      </c>
    </row>
    <row r="3019" spans="1:8" x14ac:dyDescent="0.3">
      <c r="A3019" s="401"/>
      <c r="B3019" s="709">
        <v>11769</v>
      </c>
      <c r="C3019" s="710" t="s">
        <v>11363</v>
      </c>
      <c r="D3019" s="709" t="s">
        <v>136</v>
      </c>
      <c r="E3019" s="709" t="s">
        <v>8432</v>
      </c>
      <c r="F3019" s="716">
        <v>744.86</v>
      </c>
      <c r="G3019" s="716">
        <v>380.52</v>
      </c>
      <c r="H3019" s="225">
        <f t="shared" ref="H3019:H3082" si="47">IF(F3019&gt;0,F3019,G3019)</f>
        <v>744.86</v>
      </c>
    </row>
    <row r="3020" spans="1:8" x14ac:dyDescent="0.3">
      <c r="A3020" s="401"/>
      <c r="B3020" s="709">
        <v>11771</v>
      </c>
      <c r="C3020" s="710" t="s">
        <v>11364</v>
      </c>
      <c r="D3020" s="709" t="s">
        <v>136</v>
      </c>
      <c r="E3020" s="709" t="s">
        <v>8432</v>
      </c>
      <c r="F3020" s="716">
        <v>912.36</v>
      </c>
      <c r="G3020" s="716">
        <v>466.09</v>
      </c>
      <c r="H3020" s="225">
        <f t="shared" si="47"/>
        <v>912.36</v>
      </c>
    </row>
    <row r="3021" spans="1:8" x14ac:dyDescent="0.3">
      <c r="A3021" s="401"/>
      <c r="B3021" s="709">
        <v>39919</v>
      </c>
      <c r="C3021" s="710" t="s">
        <v>11365</v>
      </c>
      <c r="D3021" s="709" t="s">
        <v>136</v>
      </c>
      <c r="E3021" s="709" t="s">
        <v>8432</v>
      </c>
      <c r="F3021" s="716">
        <v>61339.02</v>
      </c>
      <c r="G3021" s="716">
        <v>65691.960000000006</v>
      </c>
      <c r="H3021" s="225">
        <f t="shared" si="47"/>
        <v>61339.02</v>
      </c>
    </row>
    <row r="3022" spans="1:8" x14ac:dyDescent="0.3">
      <c r="A3022" s="401"/>
      <c r="B3022" s="709">
        <v>38385</v>
      </c>
      <c r="C3022" s="710" t="s">
        <v>11366</v>
      </c>
      <c r="D3022" s="709" t="s">
        <v>136</v>
      </c>
      <c r="E3022" s="709" t="s">
        <v>8432</v>
      </c>
      <c r="F3022" s="716">
        <v>38.36</v>
      </c>
      <c r="G3022" s="716">
        <v>37.72</v>
      </c>
      <c r="H3022" s="225">
        <f t="shared" si="47"/>
        <v>38.36</v>
      </c>
    </row>
    <row r="3023" spans="1:8" x14ac:dyDescent="0.3">
      <c r="A3023" s="401"/>
      <c r="B3023" s="709">
        <v>36800</v>
      </c>
      <c r="C3023" s="710" t="s">
        <v>11367</v>
      </c>
      <c r="D3023" s="709" t="s">
        <v>136</v>
      </c>
      <c r="E3023" s="709" t="s">
        <v>8432</v>
      </c>
      <c r="F3023" s="716">
        <v>447.57</v>
      </c>
      <c r="G3023" s="716">
        <v>228.65</v>
      </c>
      <c r="H3023" s="225">
        <f t="shared" si="47"/>
        <v>447.57</v>
      </c>
    </row>
    <row r="3024" spans="1:8" x14ac:dyDescent="0.3">
      <c r="A3024" s="401"/>
      <c r="B3024" s="709">
        <v>37587</v>
      </c>
      <c r="C3024" s="710" t="s">
        <v>11368</v>
      </c>
      <c r="D3024" s="709" t="s">
        <v>136</v>
      </c>
      <c r="E3024" s="709" t="s">
        <v>8432</v>
      </c>
      <c r="F3024" s="716">
        <v>983.31</v>
      </c>
      <c r="G3024" s="716">
        <v>502.34</v>
      </c>
      <c r="H3024" s="225">
        <f t="shared" si="47"/>
        <v>983.31</v>
      </c>
    </row>
    <row r="3025" spans="1:8" x14ac:dyDescent="0.3">
      <c r="A3025" s="401"/>
      <c r="B3025" s="709">
        <v>11561</v>
      </c>
      <c r="C3025" s="710" t="s">
        <v>11369</v>
      </c>
      <c r="D3025" s="709" t="s">
        <v>136</v>
      </c>
      <c r="E3025" s="709" t="s">
        <v>8432</v>
      </c>
      <c r="F3025" s="716">
        <v>280.92</v>
      </c>
      <c r="G3025" s="716">
        <v>232.4</v>
      </c>
      <c r="H3025" s="225">
        <f t="shared" si="47"/>
        <v>280.92</v>
      </c>
    </row>
    <row r="3026" spans="1:8" x14ac:dyDescent="0.3">
      <c r="A3026" s="401"/>
      <c r="B3026" s="709">
        <v>43604</v>
      </c>
      <c r="C3026" s="710" t="s">
        <v>11370</v>
      </c>
      <c r="D3026" s="709" t="s">
        <v>136</v>
      </c>
      <c r="E3026" s="709" t="s">
        <v>8432</v>
      </c>
      <c r="F3026" s="716">
        <v>149.76</v>
      </c>
      <c r="G3026" s="716">
        <v>123.9</v>
      </c>
      <c r="H3026" s="225">
        <f t="shared" si="47"/>
        <v>149.76</v>
      </c>
    </row>
    <row r="3027" spans="1:8" x14ac:dyDescent="0.3">
      <c r="A3027" s="401"/>
      <c r="B3027" s="709">
        <v>11560</v>
      </c>
      <c r="C3027" s="710" t="s">
        <v>11371</v>
      </c>
      <c r="D3027" s="709" t="s">
        <v>136</v>
      </c>
      <c r="E3027" s="709" t="s">
        <v>8432</v>
      </c>
      <c r="F3027" s="716">
        <v>216.83</v>
      </c>
      <c r="G3027" s="716">
        <v>179.38</v>
      </c>
      <c r="H3027" s="225">
        <f t="shared" si="47"/>
        <v>216.83</v>
      </c>
    </row>
    <row r="3028" spans="1:8" x14ac:dyDescent="0.3">
      <c r="A3028" s="401"/>
      <c r="B3028" s="709">
        <v>11499</v>
      </c>
      <c r="C3028" s="710" t="s">
        <v>11372</v>
      </c>
      <c r="D3028" s="709" t="s">
        <v>136</v>
      </c>
      <c r="E3028" s="709" t="s">
        <v>8432</v>
      </c>
      <c r="F3028" s="716">
        <v>1131.19</v>
      </c>
      <c r="G3028" s="716">
        <v>999.9</v>
      </c>
      <c r="H3028" s="225">
        <f t="shared" si="47"/>
        <v>1131.19</v>
      </c>
    </row>
    <row r="3029" spans="1:8" x14ac:dyDescent="0.3">
      <c r="A3029" s="401"/>
      <c r="B3029" s="709">
        <v>34761</v>
      </c>
      <c r="C3029" s="710" t="s">
        <v>11373</v>
      </c>
      <c r="D3029" s="709" t="s">
        <v>234</v>
      </c>
      <c r="E3029" s="709" t="s">
        <v>8432</v>
      </c>
      <c r="F3029" s="716">
        <v>20.62</v>
      </c>
      <c r="G3029" s="716">
        <v>34.159999999999997</v>
      </c>
      <c r="H3029" s="225">
        <f t="shared" si="47"/>
        <v>20.62</v>
      </c>
    </row>
    <row r="3030" spans="1:8" x14ac:dyDescent="0.3">
      <c r="A3030" s="401"/>
      <c r="B3030" s="709">
        <v>40924</v>
      </c>
      <c r="C3030" s="710" t="s">
        <v>11374</v>
      </c>
      <c r="D3030" s="709" t="s">
        <v>208</v>
      </c>
      <c r="E3030" s="709" t="s">
        <v>8432</v>
      </c>
      <c r="F3030" s="716">
        <v>3624.16</v>
      </c>
      <c r="G3030" s="716">
        <v>5986.4</v>
      </c>
      <c r="H3030" s="225">
        <f t="shared" si="47"/>
        <v>3624.16</v>
      </c>
    </row>
    <row r="3031" spans="1:8" x14ac:dyDescent="0.3">
      <c r="A3031" s="401"/>
      <c r="B3031" s="709">
        <v>40983</v>
      </c>
      <c r="C3031" s="710" t="s">
        <v>11375</v>
      </c>
      <c r="D3031" s="709" t="s">
        <v>208</v>
      </c>
      <c r="E3031" s="709" t="s">
        <v>8432</v>
      </c>
      <c r="F3031" s="716">
        <v>4130.72</v>
      </c>
      <c r="G3031" s="716">
        <v>4779.8</v>
      </c>
      <c r="H3031" s="225">
        <f t="shared" si="47"/>
        <v>4130.72</v>
      </c>
    </row>
    <row r="3032" spans="1:8" x14ac:dyDescent="0.3">
      <c r="A3032" s="401"/>
      <c r="B3032" s="709">
        <v>44497</v>
      </c>
      <c r="C3032" s="710" t="s">
        <v>11376</v>
      </c>
      <c r="D3032" s="709" t="s">
        <v>234</v>
      </c>
      <c r="E3032" s="709" t="s">
        <v>8432</v>
      </c>
      <c r="F3032" s="716">
        <v>23.5</v>
      </c>
      <c r="G3032" s="716">
        <v>27.28</v>
      </c>
      <c r="H3032" s="225">
        <f t="shared" si="47"/>
        <v>23.5</v>
      </c>
    </row>
    <row r="3033" spans="1:8" x14ac:dyDescent="0.3">
      <c r="A3033" s="401"/>
      <c r="B3033" s="709">
        <v>2437</v>
      </c>
      <c r="C3033" s="710" t="s">
        <v>11377</v>
      </c>
      <c r="D3033" s="709" t="s">
        <v>234</v>
      </c>
      <c r="E3033" s="709" t="s">
        <v>8432</v>
      </c>
      <c r="F3033" s="716">
        <v>32.380000000000003</v>
      </c>
      <c r="G3033" s="716">
        <v>32.68</v>
      </c>
      <c r="H3033" s="225">
        <f t="shared" si="47"/>
        <v>32.380000000000003</v>
      </c>
    </row>
    <row r="3034" spans="1:8" x14ac:dyDescent="0.3">
      <c r="A3034" s="401"/>
      <c r="B3034" s="709">
        <v>40921</v>
      </c>
      <c r="C3034" s="710" t="s">
        <v>11378</v>
      </c>
      <c r="D3034" s="709" t="s">
        <v>208</v>
      </c>
      <c r="E3034" s="709" t="s">
        <v>8432</v>
      </c>
      <c r="F3034" s="716">
        <v>5691.22</v>
      </c>
      <c r="G3034" s="716">
        <v>5727.68</v>
      </c>
      <c r="H3034" s="225">
        <f t="shared" si="47"/>
        <v>5691.22</v>
      </c>
    </row>
    <row r="3035" spans="1:8" x14ac:dyDescent="0.3">
      <c r="A3035" s="401"/>
      <c r="B3035" s="709">
        <v>36502</v>
      </c>
      <c r="C3035" s="710" t="s">
        <v>11379</v>
      </c>
      <c r="D3035" s="709" t="s">
        <v>136</v>
      </c>
      <c r="E3035" s="709" t="s">
        <v>8432</v>
      </c>
      <c r="F3035" s="716">
        <v>4452.21</v>
      </c>
      <c r="G3035" s="716">
        <v>3009.7</v>
      </c>
      <c r="H3035" s="225">
        <f t="shared" si="47"/>
        <v>4452.21</v>
      </c>
    </row>
    <row r="3036" spans="1:8" x14ac:dyDescent="0.3">
      <c r="A3036" s="401"/>
      <c r="B3036" s="709">
        <v>36503</v>
      </c>
      <c r="C3036" s="710" t="s">
        <v>11380</v>
      </c>
      <c r="D3036" s="709" t="s">
        <v>136</v>
      </c>
      <c r="E3036" s="709" t="s">
        <v>8432</v>
      </c>
      <c r="F3036" s="716">
        <v>5490.1</v>
      </c>
      <c r="G3036" s="716">
        <v>3711.32</v>
      </c>
      <c r="H3036" s="225">
        <f t="shared" si="47"/>
        <v>5490.1</v>
      </c>
    </row>
    <row r="3037" spans="1:8" x14ac:dyDescent="0.3">
      <c r="A3037" s="401"/>
      <c r="B3037" s="709">
        <v>4090</v>
      </c>
      <c r="C3037" s="710" t="s">
        <v>11381</v>
      </c>
      <c r="D3037" s="709" t="s">
        <v>136</v>
      </c>
      <c r="E3037" s="709" t="s">
        <v>8438</v>
      </c>
      <c r="F3037" s="716">
        <v>1126000</v>
      </c>
      <c r="G3037" s="716">
        <v>1200000</v>
      </c>
      <c r="H3037" s="225">
        <f t="shared" si="47"/>
        <v>1126000</v>
      </c>
    </row>
    <row r="3038" spans="1:8" x14ac:dyDescent="0.3">
      <c r="A3038" s="401"/>
      <c r="B3038" s="709">
        <v>4093</v>
      </c>
      <c r="C3038" s="710" t="s">
        <v>11382</v>
      </c>
      <c r="D3038" s="709" t="s">
        <v>234</v>
      </c>
      <c r="E3038" s="709" t="s">
        <v>8438</v>
      </c>
      <c r="F3038" s="716">
        <v>22.78</v>
      </c>
      <c r="G3038" s="716">
        <v>30.83</v>
      </c>
      <c r="H3038" s="225">
        <f t="shared" si="47"/>
        <v>22.78</v>
      </c>
    </row>
    <row r="3039" spans="1:8" x14ac:dyDescent="0.3">
      <c r="A3039" s="401"/>
      <c r="B3039" s="709">
        <v>10512</v>
      </c>
      <c r="C3039" s="710" t="s">
        <v>11383</v>
      </c>
      <c r="D3039" s="709" t="s">
        <v>208</v>
      </c>
      <c r="E3039" s="709" t="s">
        <v>8432</v>
      </c>
      <c r="F3039" s="716">
        <v>4003.7</v>
      </c>
      <c r="G3039" s="716">
        <v>5400.38</v>
      </c>
      <c r="H3039" s="225">
        <f t="shared" si="47"/>
        <v>4003.7</v>
      </c>
    </row>
    <row r="3040" spans="1:8" x14ac:dyDescent="0.3">
      <c r="A3040" s="401"/>
      <c r="B3040" s="709">
        <v>4243</v>
      </c>
      <c r="C3040" s="710" t="s">
        <v>11384</v>
      </c>
      <c r="D3040" s="709" t="s">
        <v>234</v>
      </c>
      <c r="E3040" s="709" t="s">
        <v>8432</v>
      </c>
      <c r="F3040" s="716">
        <v>30.92</v>
      </c>
      <c r="G3040" s="716">
        <v>29.45</v>
      </c>
      <c r="H3040" s="225">
        <f t="shared" si="47"/>
        <v>30.92</v>
      </c>
    </row>
    <row r="3041" spans="1:8" x14ac:dyDescent="0.3">
      <c r="A3041" s="401"/>
      <c r="B3041" s="709">
        <v>20020</v>
      </c>
      <c r="C3041" s="710" t="s">
        <v>11385</v>
      </c>
      <c r="D3041" s="709" t="s">
        <v>234</v>
      </c>
      <c r="E3041" s="709" t="s">
        <v>8432</v>
      </c>
      <c r="F3041" s="716">
        <v>23.67</v>
      </c>
      <c r="G3041" s="716">
        <v>32.03</v>
      </c>
      <c r="H3041" s="225">
        <f t="shared" si="47"/>
        <v>23.67</v>
      </c>
    </row>
    <row r="3042" spans="1:8" x14ac:dyDescent="0.3">
      <c r="A3042" s="401"/>
      <c r="B3042" s="709">
        <v>41038</v>
      </c>
      <c r="C3042" s="710" t="s">
        <v>11386</v>
      </c>
      <c r="D3042" s="709" t="s">
        <v>208</v>
      </c>
      <c r="E3042" s="709" t="s">
        <v>8432</v>
      </c>
      <c r="F3042" s="716">
        <v>4160.67</v>
      </c>
      <c r="G3042" s="716">
        <v>5612.1</v>
      </c>
      <c r="H3042" s="225">
        <f t="shared" si="47"/>
        <v>4160.67</v>
      </c>
    </row>
    <row r="3043" spans="1:8" x14ac:dyDescent="0.3">
      <c r="A3043" s="401"/>
      <c r="B3043" s="709">
        <v>4094</v>
      </c>
      <c r="C3043" s="710" t="s">
        <v>11387</v>
      </c>
      <c r="D3043" s="709" t="s">
        <v>234</v>
      </c>
      <c r="E3043" s="709" t="s">
        <v>8432</v>
      </c>
      <c r="F3043" s="716">
        <v>28.33</v>
      </c>
      <c r="G3043" s="716">
        <v>38.33</v>
      </c>
      <c r="H3043" s="225">
        <f t="shared" si="47"/>
        <v>28.33</v>
      </c>
    </row>
    <row r="3044" spans="1:8" x14ac:dyDescent="0.3">
      <c r="A3044" s="401"/>
      <c r="B3044" s="709">
        <v>40988</v>
      </c>
      <c r="C3044" s="710" t="s">
        <v>11388</v>
      </c>
      <c r="D3044" s="709" t="s">
        <v>208</v>
      </c>
      <c r="E3044" s="709" t="s">
        <v>8432</v>
      </c>
      <c r="F3044" s="716">
        <v>4979.8999999999996</v>
      </c>
      <c r="G3044" s="716">
        <v>6717.12</v>
      </c>
      <c r="H3044" s="225">
        <f t="shared" si="47"/>
        <v>4979.8999999999996</v>
      </c>
    </row>
    <row r="3045" spans="1:8" x14ac:dyDescent="0.3">
      <c r="A3045" s="401"/>
      <c r="B3045" s="709">
        <v>4095</v>
      </c>
      <c r="C3045" s="710" t="s">
        <v>11389</v>
      </c>
      <c r="D3045" s="709" t="s">
        <v>234</v>
      </c>
      <c r="E3045" s="709" t="s">
        <v>8432</v>
      </c>
      <c r="F3045" s="716">
        <v>20.22</v>
      </c>
      <c r="G3045" s="716">
        <v>25.67</v>
      </c>
      <c r="H3045" s="225">
        <f t="shared" si="47"/>
        <v>20.22</v>
      </c>
    </row>
    <row r="3046" spans="1:8" x14ac:dyDescent="0.3">
      <c r="A3046" s="401"/>
      <c r="B3046" s="709">
        <v>40990</v>
      </c>
      <c r="C3046" s="710" t="s">
        <v>11390</v>
      </c>
      <c r="D3046" s="709" t="s">
        <v>208</v>
      </c>
      <c r="E3046" s="709" t="s">
        <v>8432</v>
      </c>
      <c r="F3046" s="716">
        <v>3556.07</v>
      </c>
      <c r="G3046" s="716">
        <v>4498.38</v>
      </c>
      <c r="H3046" s="225">
        <f t="shared" si="47"/>
        <v>3556.07</v>
      </c>
    </row>
    <row r="3047" spans="1:8" x14ac:dyDescent="0.3">
      <c r="A3047" s="401"/>
      <c r="B3047" s="709">
        <v>4096</v>
      </c>
      <c r="C3047" s="710" t="s">
        <v>11391</v>
      </c>
      <c r="D3047" s="709" t="s">
        <v>234</v>
      </c>
      <c r="E3047" s="709" t="s">
        <v>8432</v>
      </c>
      <c r="F3047" s="716">
        <v>27.48</v>
      </c>
      <c r="G3047" s="716">
        <v>34.57</v>
      </c>
      <c r="H3047" s="225">
        <f t="shared" si="47"/>
        <v>27.48</v>
      </c>
    </row>
    <row r="3048" spans="1:8" x14ac:dyDescent="0.3">
      <c r="A3048" s="401"/>
      <c r="B3048" s="709">
        <v>40992</v>
      </c>
      <c r="C3048" s="710" t="s">
        <v>11392</v>
      </c>
      <c r="D3048" s="709" t="s">
        <v>208</v>
      </c>
      <c r="E3048" s="709" t="s">
        <v>8432</v>
      </c>
      <c r="F3048" s="716">
        <v>4831.45</v>
      </c>
      <c r="G3048" s="716">
        <v>6055.85</v>
      </c>
      <c r="H3048" s="225">
        <f t="shared" si="47"/>
        <v>4831.45</v>
      </c>
    </row>
    <row r="3049" spans="1:8" x14ac:dyDescent="0.3">
      <c r="A3049" s="401"/>
      <c r="B3049" s="709">
        <v>4114</v>
      </c>
      <c r="C3049" s="710" t="s">
        <v>11393</v>
      </c>
      <c r="D3049" s="709" t="s">
        <v>136</v>
      </c>
      <c r="E3049" s="709" t="s">
        <v>8432</v>
      </c>
      <c r="F3049" s="716">
        <v>86.85</v>
      </c>
      <c r="G3049" s="716">
        <v>72.13</v>
      </c>
      <c r="H3049" s="225">
        <f t="shared" si="47"/>
        <v>86.85</v>
      </c>
    </row>
    <row r="3050" spans="1:8" x14ac:dyDescent="0.3">
      <c r="A3050" s="401"/>
      <c r="B3050" s="709">
        <v>36797</v>
      </c>
      <c r="C3050" s="710" t="s">
        <v>11394</v>
      </c>
      <c r="D3050" s="709" t="s">
        <v>136</v>
      </c>
      <c r="E3050" s="709" t="s">
        <v>8432</v>
      </c>
      <c r="F3050" s="716">
        <v>77.33</v>
      </c>
      <c r="G3050" s="716">
        <v>64.23</v>
      </c>
      <c r="H3050" s="225">
        <f t="shared" si="47"/>
        <v>77.33</v>
      </c>
    </row>
    <row r="3051" spans="1:8" x14ac:dyDescent="0.3">
      <c r="A3051" s="401"/>
      <c r="B3051" s="709">
        <v>4107</v>
      </c>
      <c r="C3051" s="710" t="s">
        <v>11395</v>
      </c>
      <c r="D3051" s="709" t="s">
        <v>136</v>
      </c>
      <c r="E3051" s="709" t="s">
        <v>8432</v>
      </c>
      <c r="F3051" s="716">
        <v>72.91</v>
      </c>
      <c r="G3051" s="716">
        <v>60.56</v>
      </c>
      <c r="H3051" s="225">
        <f t="shared" si="47"/>
        <v>72.91</v>
      </c>
    </row>
    <row r="3052" spans="1:8" x14ac:dyDescent="0.3">
      <c r="A3052" s="401"/>
      <c r="B3052" s="709">
        <v>4102</v>
      </c>
      <c r="C3052" s="710" t="s">
        <v>11396</v>
      </c>
      <c r="D3052" s="709" t="s">
        <v>136</v>
      </c>
      <c r="E3052" s="709" t="s">
        <v>8438</v>
      </c>
      <c r="F3052" s="716">
        <v>89</v>
      </c>
      <c r="G3052" s="716">
        <v>73.92</v>
      </c>
      <c r="H3052" s="225">
        <f t="shared" si="47"/>
        <v>89</v>
      </c>
    </row>
    <row r="3053" spans="1:8" x14ac:dyDescent="0.3">
      <c r="A3053" s="401"/>
      <c r="B3053" s="709">
        <v>36799</v>
      </c>
      <c r="C3053" s="710" t="s">
        <v>11397</v>
      </c>
      <c r="D3053" s="709" t="s">
        <v>136</v>
      </c>
      <c r="E3053" s="709" t="s">
        <v>8432</v>
      </c>
      <c r="F3053" s="716">
        <v>75.06</v>
      </c>
      <c r="G3053" s="716">
        <v>62.34</v>
      </c>
      <c r="H3053" s="225">
        <f t="shared" si="47"/>
        <v>75.06</v>
      </c>
    </row>
    <row r="3054" spans="1:8" x14ac:dyDescent="0.3">
      <c r="A3054" s="401"/>
      <c r="B3054" s="709">
        <v>2747</v>
      </c>
      <c r="C3054" s="710" t="s">
        <v>11398</v>
      </c>
      <c r="D3054" s="709" t="s">
        <v>159</v>
      </c>
      <c r="E3054" s="709" t="s">
        <v>8432</v>
      </c>
      <c r="F3054" s="716">
        <v>51.39</v>
      </c>
      <c r="G3054" s="716">
        <v>36.21</v>
      </c>
      <c r="H3054" s="225">
        <f t="shared" si="47"/>
        <v>51.39</v>
      </c>
    </row>
    <row r="3055" spans="1:8" x14ac:dyDescent="0.3">
      <c r="A3055" s="401"/>
      <c r="B3055" s="709">
        <v>21138</v>
      </c>
      <c r="C3055" s="710" t="s">
        <v>11399</v>
      </c>
      <c r="D3055" s="709" t="s">
        <v>159</v>
      </c>
      <c r="E3055" s="709" t="s">
        <v>8438</v>
      </c>
      <c r="F3055" s="716">
        <v>16.29</v>
      </c>
      <c r="G3055" s="716">
        <v>11.48</v>
      </c>
      <c r="H3055" s="225">
        <f t="shared" si="47"/>
        <v>16.29</v>
      </c>
    </row>
    <row r="3056" spans="1:8" x14ac:dyDescent="0.3">
      <c r="A3056" s="401"/>
      <c r="B3056" s="709">
        <v>10826</v>
      </c>
      <c r="C3056" s="710" t="s">
        <v>11400</v>
      </c>
      <c r="D3056" s="709" t="s">
        <v>136</v>
      </c>
      <c r="E3056" s="709" t="s">
        <v>8432</v>
      </c>
      <c r="F3056" s="716">
        <v>71.83</v>
      </c>
      <c r="G3056" s="716">
        <v>75.86</v>
      </c>
      <c r="H3056" s="225">
        <f t="shared" si="47"/>
        <v>71.83</v>
      </c>
    </row>
    <row r="3057" spans="1:8" x14ac:dyDescent="0.3">
      <c r="A3057" s="401"/>
      <c r="B3057" s="709">
        <v>365</v>
      </c>
      <c r="C3057" s="710" t="s">
        <v>11401</v>
      </c>
      <c r="D3057" s="709" t="s">
        <v>136</v>
      </c>
      <c r="E3057" s="709" t="s">
        <v>8432</v>
      </c>
      <c r="F3057" s="716">
        <v>44.54</v>
      </c>
      <c r="G3057" s="716">
        <v>47.03</v>
      </c>
      <c r="H3057" s="225">
        <f t="shared" si="47"/>
        <v>44.54</v>
      </c>
    </row>
    <row r="3058" spans="1:8" x14ac:dyDescent="0.3">
      <c r="A3058" s="401"/>
      <c r="B3058" s="709">
        <v>38639</v>
      </c>
      <c r="C3058" s="710" t="s">
        <v>11402</v>
      </c>
      <c r="D3058" s="709" t="s">
        <v>136</v>
      </c>
      <c r="E3058" s="709" t="s">
        <v>8432</v>
      </c>
      <c r="F3058" s="716">
        <v>172.41</v>
      </c>
      <c r="G3058" s="716">
        <v>182.06</v>
      </c>
      <c r="H3058" s="225">
        <f t="shared" si="47"/>
        <v>172.41</v>
      </c>
    </row>
    <row r="3059" spans="1:8" x14ac:dyDescent="0.3">
      <c r="A3059" s="401"/>
      <c r="B3059" s="709">
        <v>38640</v>
      </c>
      <c r="C3059" s="710" t="s">
        <v>11403</v>
      </c>
      <c r="D3059" s="709" t="s">
        <v>136</v>
      </c>
      <c r="E3059" s="709" t="s">
        <v>8432</v>
      </c>
      <c r="F3059" s="716">
        <v>2.58</v>
      </c>
      <c r="G3059" s="716">
        <v>2.73</v>
      </c>
      <c r="H3059" s="225">
        <f t="shared" si="47"/>
        <v>2.58</v>
      </c>
    </row>
    <row r="3060" spans="1:8" x14ac:dyDescent="0.3">
      <c r="A3060" s="401"/>
      <c r="B3060" s="709">
        <v>358</v>
      </c>
      <c r="C3060" s="710" t="s">
        <v>11404</v>
      </c>
      <c r="D3060" s="709" t="s">
        <v>136</v>
      </c>
      <c r="E3060" s="709" t="s">
        <v>8432</v>
      </c>
      <c r="F3060" s="716">
        <v>53.16</v>
      </c>
      <c r="G3060" s="716">
        <v>56.13</v>
      </c>
      <c r="H3060" s="225">
        <f t="shared" si="47"/>
        <v>53.16</v>
      </c>
    </row>
    <row r="3061" spans="1:8" x14ac:dyDescent="0.3">
      <c r="A3061" s="401"/>
      <c r="B3061" s="709">
        <v>359</v>
      </c>
      <c r="C3061" s="710" t="s">
        <v>11405</v>
      </c>
      <c r="D3061" s="709" t="s">
        <v>136</v>
      </c>
      <c r="E3061" s="709" t="s">
        <v>8432</v>
      </c>
      <c r="F3061" s="716">
        <v>109.19</v>
      </c>
      <c r="G3061" s="716">
        <v>115.31</v>
      </c>
      <c r="H3061" s="225">
        <f t="shared" si="47"/>
        <v>109.19</v>
      </c>
    </row>
    <row r="3062" spans="1:8" x14ac:dyDescent="0.3">
      <c r="A3062" s="401"/>
      <c r="B3062" s="709">
        <v>38641</v>
      </c>
      <c r="C3062" s="710" t="s">
        <v>11406</v>
      </c>
      <c r="D3062" s="709" t="s">
        <v>136</v>
      </c>
      <c r="E3062" s="709" t="s">
        <v>8432</v>
      </c>
      <c r="F3062" s="716">
        <v>107.75</v>
      </c>
      <c r="G3062" s="716">
        <v>113.79</v>
      </c>
      <c r="H3062" s="225">
        <f t="shared" si="47"/>
        <v>107.75</v>
      </c>
    </row>
    <row r="3063" spans="1:8" x14ac:dyDescent="0.3">
      <c r="A3063" s="401"/>
      <c r="B3063" s="709">
        <v>360</v>
      </c>
      <c r="C3063" s="710" t="s">
        <v>11407</v>
      </c>
      <c r="D3063" s="709" t="s">
        <v>136</v>
      </c>
      <c r="E3063" s="709" t="s">
        <v>8438</v>
      </c>
      <c r="F3063" s="716">
        <v>2.5</v>
      </c>
      <c r="G3063" s="716">
        <v>2.64</v>
      </c>
      <c r="H3063" s="225">
        <f t="shared" si="47"/>
        <v>2.5</v>
      </c>
    </row>
    <row r="3064" spans="1:8" x14ac:dyDescent="0.3">
      <c r="A3064" s="401"/>
      <c r="B3064" s="709">
        <v>42430</v>
      </c>
      <c r="C3064" s="710" t="s">
        <v>11408</v>
      </c>
      <c r="D3064" s="709" t="s">
        <v>136</v>
      </c>
      <c r="E3064" s="709" t="s">
        <v>8432</v>
      </c>
      <c r="F3064" s="716"/>
      <c r="G3064" s="716">
        <v>6434.22</v>
      </c>
      <c r="H3064" s="225">
        <f t="shared" si="47"/>
        <v>6434.22</v>
      </c>
    </row>
    <row r="3065" spans="1:8" x14ac:dyDescent="0.3">
      <c r="A3065" s="401"/>
      <c r="B3065" s="709">
        <v>4209</v>
      </c>
      <c r="C3065" s="710" t="s">
        <v>11409</v>
      </c>
      <c r="D3065" s="709" t="s">
        <v>136</v>
      </c>
      <c r="E3065" s="709" t="s">
        <v>8432</v>
      </c>
      <c r="F3065" s="716">
        <v>17.96</v>
      </c>
      <c r="G3065" s="716">
        <v>24.49</v>
      </c>
      <c r="H3065" s="225">
        <f t="shared" si="47"/>
        <v>17.96</v>
      </c>
    </row>
    <row r="3066" spans="1:8" x14ac:dyDescent="0.3">
      <c r="A3066" s="401"/>
      <c r="B3066" s="709">
        <v>4180</v>
      </c>
      <c r="C3066" s="710" t="s">
        <v>11410</v>
      </c>
      <c r="D3066" s="709" t="s">
        <v>136</v>
      </c>
      <c r="E3066" s="709" t="s">
        <v>8432</v>
      </c>
      <c r="F3066" s="716">
        <v>13.52</v>
      </c>
      <c r="G3066" s="716">
        <v>18.43</v>
      </c>
      <c r="H3066" s="225">
        <f t="shared" si="47"/>
        <v>13.52</v>
      </c>
    </row>
    <row r="3067" spans="1:8" x14ac:dyDescent="0.3">
      <c r="A3067" s="401"/>
      <c r="B3067" s="709">
        <v>4179</v>
      </c>
      <c r="C3067" s="710" t="s">
        <v>11411</v>
      </c>
      <c r="D3067" s="709" t="s">
        <v>136</v>
      </c>
      <c r="E3067" s="709" t="s">
        <v>8432</v>
      </c>
      <c r="F3067" s="716">
        <v>9.18</v>
      </c>
      <c r="G3067" s="716">
        <v>12.52</v>
      </c>
      <c r="H3067" s="225">
        <f t="shared" si="47"/>
        <v>9.18</v>
      </c>
    </row>
    <row r="3068" spans="1:8" x14ac:dyDescent="0.3">
      <c r="A3068" s="401"/>
      <c r="B3068" s="709">
        <v>4177</v>
      </c>
      <c r="C3068" s="710" t="s">
        <v>11412</v>
      </c>
      <c r="D3068" s="709" t="s">
        <v>136</v>
      </c>
      <c r="E3068" s="709" t="s">
        <v>8432</v>
      </c>
      <c r="F3068" s="716">
        <v>4.49</v>
      </c>
      <c r="G3068" s="716">
        <v>6.12</v>
      </c>
      <c r="H3068" s="225">
        <f t="shared" si="47"/>
        <v>4.49</v>
      </c>
    </row>
    <row r="3069" spans="1:8" x14ac:dyDescent="0.3">
      <c r="A3069" s="401"/>
      <c r="B3069" s="709">
        <v>4208</v>
      </c>
      <c r="C3069" s="710" t="s">
        <v>11413</v>
      </c>
      <c r="D3069" s="709" t="s">
        <v>136</v>
      </c>
      <c r="E3069" s="709" t="s">
        <v>8432</v>
      </c>
      <c r="F3069" s="716">
        <v>42.75</v>
      </c>
      <c r="G3069" s="716">
        <v>58.29</v>
      </c>
      <c r="H3069" s="225">
        <f t="shared" si="47"/>
        <v>42.75</v>
      </c>
    </row>
    <row r="3070" spans="1:8" x14ac:dyDescent="0.3">
      <c r="A3070" s="401"/>
      <c r="B3070" s="709">
        <v>4181</v>
      </c>
      <c r="C3070" s="710" t="s">
        <v>11414</v>
      </c>
      <c r="D3070" s="709" t="s">
        <v>136</v>
      </c>
      <c r="E3070" s="709" t="s">
        <v>8432</v>
      </c>
      <c r="F3070" s="716">
        <v>27.93</v>
      </c>
      <c r="G3070" s="716">
        <v>38.08</v>
      </c>
      <c r="H3070" s="225">
        <f t="shared" si="47"/>
        <v>27.93</v>
      </c>
    </row>
    <row r="3071" spans="1:8" x14ac:dyDescent="0.3">
      <c r="A3071" s="401"/>
      <c r="B3071" s="709">
        <v>4182</v>
      </c>
      <c r="C3071" s="710" t="s">
        <v>11415</v>
      </c>
      <c r="D3071" s="709" t="s">
        <v>136</v>
      </c>
      <c r="E3071" s="709" t="s">
        <v>8432</v>
      </c>
      <c r="F3071" s="716">
        <v>69.53</v>
      </c>
      <c r="G3071" s="716">
        <v>94.81</v>
      </c>
      <c r="H3071" s="225">
        <f t="shared" si="47"/>
        <v>69.53</v>
      </c>
    </row>
    <row r="3072" spans="1:8" x14ac:dyDescent="0.3">
      <c r="A3072" s="401"/>
      <c r="B3072" s="709">
        <v>4178</v>
      </c>
      <c r="C3072" s="710" t="s">
        <v>11416</v>
      </c>
      <c r="D3072" s="709" t="s">
        <v>136</v>
      </c>
      <c r="E3072" s="709" t="s">
        <v>8432</v>
      </c>
      <c r="F3072" s="716">
        <v>6.22</v>
      </c>
      <c r="G3072" s="716">
        <v>8.48</v>
      </c>
      <c r="H3072" s="225">
        <f t="shared" si="47"/>
        <v>6.22</v>
      </c>
    </row>
    <row r="3073" spans="1:8" x14ac:dyDescent="0.3">
      <c r="A3073" s="401"/>
      <c r="B3073" s="709">
        <v>4183</v>
      </c>
      <c r="C3073" s="710" t="s">
        <v>11417</v>
      </c>
      <c r="D3073" s="709" t="s">
        <v>136</v>
      </c>
      <c r="E3073" s="709" t="s">
        <v>8432</v>
      </c>
      <c r="F3073" s="716">
        <v>111.95</v>
      </c>
      <c r="G3073" s="716">
        <v>152.65</v>
      </c>
      <c r="H3073" s="225">
        <f t="shared" si="47"/>
        <v>111.95</v>
      </c>
    </row>
    <row r="3074" spans="1:8" x14ac:dyDescent="0.3">
      <c r="A3074" s="401"/>
      <c r="B3074" s="709">
        <v>4184</v>
      </c>
      <c r="C3074" s="710" t="s">
        <v>11418</v>
      </c>
      <c r="D3074" s="709" t="s">
        <v>136</v>
      </c>
      <c r="E3074" s="709" t="s">
        <v>8432</v>
      </c>
      <c r="F3074" s="716">
        <v>247.12</v>
      </c>
      <c r="G3074" s="716">
        <v>336.95</v>
      </c>
      <c r="H3074" s="225">
        <f t="shared" si="47"/>
        <v>247.12</v>
      </c>
    </row>
    <row r="3075" spans="1:8" x14ac:dyDescent="0.3">
      <c r="A3075" s="401"/>
      <c r="B3075" s="709">
        <v>4185</v>
      </c>
      <c r="C3075" s="710" t="s">
        <v>11419</v>
      </c>
      <c r="D3075" s="709" t="s">
        <v>136</v>
      </c>
      <c r="E3075" s="709" t="s">
        <v>8432</v>
      </c>
      <c r="F3075" s="716">
        <v>410.6</v>
      </c>
      <c r="G3075" s="716">
        <v>559.86</v>
      </c>
      <c r="H3075" s="225">
        <f t="shared" si="47"/>
        <v>410.6</v>
      </c>
    </row>
    <row r="3076" spans="1:8" x14ac:dyDescent="0.3">
      <c r="A3076" s="401"/>
      <c r="B3076" s="709">
        <v>4205</v>
      </c>
      <c r="C3076" s="710" t="s">
        <v>11420</v>
      </c>
      <c r="D3076" s="709" t="s">
        <v>136</v>
      </c>
      <c r="E3076" s="709" t="s">
        <v>8432</v>
      </c>
      <c r="F3076" s="716">
        <v>23.71</v>
      </c>
      <c r="G3076" s="716">
        <v>32.33</v>
      </c>
      <c r="H3076" s="225">
        <f t="shared" si="47"/>
        <v>23.71</v>
      </c>
    </row>
    <row r="3077" spans="1:8" x14ac:dyDescent="0.3">
      <c r="A3077" s="401"/>
      <c r="B3077" s="709">
        <v>4192</v>
      </c>
      <c r="C3077" s="710" t="s">
        <v>11421</v>
      </c>
      <c r="D3077" s="709" t="s">
        <v>136</v>
      </c>
      <c r="E3077" s="709" t="s">
        <v>8432</v>
      </c>
      <c r="F3077" s="716">
        <v>23.71</v>
      </c>
      <c r="G3077" s="716">
        <v>32.33</v>
      </c>
      <c r="H3077" s="225">
        <f t="shared" si="47"/>
        <v>23.71</v>
      </c>
    </row>
    <row r="3078" spans="1:8" x14ac:dyDescent="0.3">
      <c r="A3078" s="401"/>
      <c r="B3078" s="709">
        <v>4191</v>
      </c>
      <c r="C3078" s="710" t="s">
        <v>11422</v>
      </c>
      <c r="D3078" s="709" t="s">
        <v>136</v>
      </c>
      <c r="E3078" s="709" t="s">
        <v>8432</v>
      </c>
      <c r="F3078" s="716">
        <v>23.71</v>
      </c>
      <c r="G3078" s="716">
        <v>32.33</v>
      </c>
      <c r="H3078" s="225">
        <f t="shared" si="47"/>
        <v>23.71</v>
      </c>
    </row>
    <row r="3079" spans="1:8" x14ac:dyDescent="0.3">
      <c r="A3079" s="401"/>
      <c r="B3079" s="709">
        <v>4206</v>
      </c>
      <c r="C3079" s="710" t="s">
        <v>11423</v>
      </c>
      <c r="D3079" s="709" t="s">
        <v>136</v>
      </c>
      <c r="E3079" s="709" t="s">
        <v>8432</v>
      </c>
      <c r="F3079" s="716">
        <v>18.53</v>
      </c>
      <c r="G3079" s="716">
        <v>25.27</v>
      </c>
      <c r="H3079" s="225">
        <f t="shared" si="47"/>
        <v>18.53</v>
      </c>
    </row>
    <row r="3080" spans="1:8" x14ac:dyDescent="0.3">
      <c r="A3080" s="401"/>
      <c r="B3080" s="709">
        <v>4207</v>
      </c>
      <c r="C3080" s="710" t="s">
        <v>11424</v>
      </c>
      <c r="D3080" s="709" t="s">
        <v>136</v>
      </c>
      <c r="E3080" s="709" t="s">
        <v>8432</v>
      </c>
      <c r="F3080" s="716">
        <v>19.079999999999998</v>
      </c>
      <c r="G3080" s="716">
        <v>26.02</v>
      </c>
      <c r="H3080" s="225">
        <f t="shared" si="47"/>
        <v>19.079999999999998</v>
      </c>
    </row>
    <row r="3081" spans="1:8" x14ac:dyDescent="0.3">
      <c r="A3081" s="401"/>
      <c r="B3081" s="709">
        <v>4190</v>
      </c>
      <c r="C3081" s="710" t="s">
        <v>11425</v>
      </c>
      <c r="D3081" s="709" t="s">
        <v>136</v>
      </c>
      <c r="E3081" s="709" t="s">
        <v>8432</v>
      </c>
      <c r="F3081" s="716">
        <v>18.53</v>
      </c>
      <c r="G3081" s="716">
        <v>25.27</v>
      </c>
      <c r="H3081" s="225">
        <f t="shared" si="47"/>
        <v>18.53</v>
      </c>
    </row>
    <row r="3082" spans="1:8" x14ac:dyDescent="0.3">
      <c r="A3082" s="401"/>
      <c r="B3082" s="709">
        <v>4188</v>
      </c>
      <c r="C3082" s="710" t="s">
        <v>11426</v>
      </c>
      <c r="D3082" s="709" t="s">
        <v>136</v>
      </c>
      <c r="E3082" s="709" t="s">
        <v>8432</v>
      </c>
      <c r="F3082" s="716">
        <v>11.18</v>
      </c>
      <c r="G3082" s="716">
        <v>15.25</v>
      </c>
      <c r="H3082" s="225">
        <f t="shared" si="47"/>
        <v>11.18</v>
      </c>
    </row>
    <row r="3083" spans="1:8" x14ac:dyDescent="0.3">
      <c r="A3083" s="401"/>
      <c r="B3083" s="709">
        <v>4189</v>
      </c>
      <c r="C3083" s="710" t="s">
        <v>11427</v>
      </c>
      <c r="D3083" s="709" t="s">
        <v>136</v>
      </c>
      <c r="E3083" s="709" t="s">
        <v>8432</v>
      </c>
      <c r="F3083" s="716">
        <v>11.18</v>
      </c>
      <c r="G3083" s="716">
        <v>15.25</v>
      </c>
      <c r="H3083" s="225">
        <f t="shared" ref="H3083:H3146" si="48">IF(F3083&gt;0,F3083,G3083)</f>
        <v>11.18</v>
      </c>
    </row>
    <row r="3084" spans="1:8" x14ac:dyDescent="0.3">
      <c r="A3084" s="401"/>
      <c r="B3084" s="709">
        <v>4186</v>
      </c>
      <c r="C3084" s="710" t="s">
        <v>11428</v>
      </c>
      <c r="D3084" s="709" t="s">
        <v>136</v>
      </c>
      <c r="E3084" s="709" t="s">
        <v>8432</v>
      </c>
      <c r="F3084" s="716">
        <v>5.48</v>
      </c>
      <c r="G3084" s="716">
        <v>7.47</v>
      </c>
      <c r="H3084" s="225">
        <f t="shared" si="48"/>
        <v>5.48</v>
      </c>
    </row>
    <row r="3085" spans="1:8" x14ac:dyDescent="0.3">
      <c r="A3085" s="401"/>
      <c r="B3085" s="709">
        <v>4197</v>
      </c>
      <c r="C3085" s="710" t="s">
        <v>11429</v>
      </c>
      <c r="D3085" s="709" t="s">
        <v>136</v>
      </c>
      <c r="E3085" s="709" t="s">
        <v>8432</v>
      </c>
      <c r="F3085" s="716">
        <v>59.21</v>
      </c>
      <c r="G3085" s="716">
        <v>80.73</v>
      </c>
      <c r="H3085" s="225">
        <f t="shared" si="48"/>
        <v>59.21</v>
      </c>
    </row>
    <row r="3086" spans="1:8" x14ac:dyDescent="0.3">
      <c r="A3086" s="401"/>
      <c r="B3086" s="709">
        <v>4194</v>
      </c>
      <c r="C3086" s="710" t="s">
        <v>11430</v>
      </c>
      <c r="D3086" s="709" t="s">
        <v>136</v>
      </c>
      <c r="E3086" s="709" t="s">
        <v>8432</v>
      </c>
      <c r="F3086" s="716">
        <v>35.78</v>
      </c>
      <c r="G3086" s="716">
        <v>48.78</v>
      </c>
      <c r="H3086" s="225">
        <f t="shared" si="48"/>
        <v>35.78</v>
      </c>
    </row>
    <row r="3087" spans="1:8" x14ac:dyDescent="0.3">
      <c r="A3087" s="401"/>
      <c r="B3087" s="709">
        <v>4193</v>
      </c>
      <c r="C3087" s="710" t="s">
        <v>11431</v>
      </c>
      <c r="D3087" s="709" t="s">
        <v>136</v>
      </c>
      <c r="E3087" s="709" t="s">
        <v>8432</v>
      </c>
      <c r="F3087" s="716">
        <v>35.78</v>
      </c>
      <c r="G3087" s="716">
        <v>48.78</v>
      </c>
      <c r="H3087" s="225">
        <f t="shared" si="48"/>
        <v>35.78</v>
      </c>
    </row>
    <row r="3088" spans="1:8" x14ac:dyDescent="0.3">
      <c r="A3088" s="401"/>
      <c r="B3088" s="709">
        <v>4204</v>
      </c>
      <c r="C3088" s="710" t="s">
        <v>11432</v>
      </c>
      <c r="D3088" s="709" t="s">
        <v>136</v>
      </c>
      <c r="E3088" s="709" t="s">
        <v>8432</v>
      </c>
      <c r="F3088" s="716">
        <v>35.78</v>
      </c>
      <c r="G3088" s="716">
        <v>48.78</v>
      </c>
      <c r="H3088" s="225">
        <f t="shared" si="48"/>
        <v>35.78</v>
      </c>
    </row>
    <row r="3089" spans="1:8" x14ac:dyDescent="0.3">
      <c r="A3089" s="401"/>
      <c r="B3089" s="709">
        <v>4202</v>
      </c>
      <c r="C3089" s="710" t="s">
        <v>11433</v>
      </c>
      <c r="D3089" s="709" t="s">
        <v>136</v>
      </c>
      <c r="E3089" s="709" t="s">
        <v>8432</v>
      </c>
      <c r="F3089" s="716">
        <v>108.13</v>
      </c>
      <c r="G3089" s="716">
        <v>147.44</v>
      </c>
      <c r="H3089" s="225">
        <f t="shared" si="48"/>
        <v>108.13</v>
      </c>
    </row>
    <row r="3090" spans="1:8" x14ac:dyDescent="0.3">
      <c r="A3090" s="401"/>
      <c r="B3090" s="709">
        <v>4203</v>
      </c>
      <c r="C3090" s="710" t="s">
        <v>11434</v>
      </c>
      <c r="D3090" s="709" t="s">
        <v>136</v>
      </c>
      <c r="E3090" s="709" t="s">
        <v>8432</v>
      </c>
      <c r="F3090" s="716">
        <v>95.5</v>
      </c>
      <c r="G3090" s="716">
        <v>130.21</v>
      </c>
      <c r="H3090" s="225">
        <f t="shared" si="48"/>
        <v>95.5</v>
      </c>
    </row>
    <row r="3091" spans="1:8" x14ac:dyDescent="0.3">
      <c r="A3091" s="401"/>
      <c r="B3091" s="709">
        <v>4187</v>
      </c>
      <c r="C3091" s="710" t="s">
        <v>11435</v>
      </c>
      <c r="D3091" s="709" t="s">
        <v>136</v>
      </c>
      <c r="E3091" s="709" t="s">
        <v>8432</v>
      </c>
      <c r="F3091" s="716">
        <v>7.13</v>
      </c>
      <c r="G3091" s="716">
        <v>9.7200000000000006</v>
      </c>
      <c r="H3091" s="225">
        <f t="shared" si="48"/>
        <v>7.13</v>
      </c>
    </row>
    <row r="3092" spans="1:8" x14ac:dyDescent="0.3">
      <c r="A3092" s="401"/>
      <c r="B3092" s="709">
        <v>40368</v>
      </c>
      <c r="C3092" s="710" t="s">
        <v>11436</v>
      </c>
      <c r="D3092" s="709" t="s">
        <v>136</v>
      </c>
      <c r="E3092" s="709" t="s">
        <v>8432</v>
      </c>
      <c r="F3092" s="716">
        <v>78.540000000000006</v>
      </c>
      <c r="G3092" s="716">
        <v>56.95</v>
      </c>
      <c r="H3092" s="225">
        <f t="shared" si="48"/>
        <v>78.540000000000006</v>
      </c>
    </row>
    <row r="3093" spans="1:8" x14ac:dyDescent="0.3">
      <c r="A3093" s="401"/>
      <c r="B3093" s="709">
        <v>40365</v>
      </c>
      <c r="C3093" s="710" t="s">
        <v>11437</v>
      </c>
      <c r="D3093" s="709" t="s">
        <v>136</v>
      </c>
      <c r="E3093" s="709" t="s">
        <v>8432</v>
      </c>
      <c r="F3093" s="716">
        <v>52.99</v>
      </c>
      <c r="G3093" s="716">
        <v>38.42</v>
      </c>
      <c r="H3093" s="225">
        <f t="shared" si="48"/>
        <v>52.99</v>
      </c>
    </row>
    <row r="3094" spans="1:8" x14ac:dyDescent="0.3">
      <c r="A3094" s="401"/>
      <c r="B3094" s="709">
        <v>40362</v>
      </c>
      <c r="C3094" s="710" t="s">
        <v>11438</v>
      </c>
      <c r="D3094" s="709" t="s">
        <v>136</v>
      </c>
      <c r="E3094" s="709" t="s">
        <v>8432</v>
      </c>
      <c r="F3094" s="716">
        <v>35.1</v>
      </c>
      <c r="G3094" s="716">
        <v>25.45</v>
      </c>
      <c r="H3094" s="225">
        <f t="shared" si="48"/>
        <v>35.1</v>
      </c>
    </row>
    <row r="3095" spans="1:8" x14ac:dyDescent="0.3">
      <c r="A3095" s="401"/>
      <c r="B3095" s="709">
        <v>40356</v>
      </c>
      <c r="C3095" s="710" t="s">
        <v>11439</v>
      </c>
      <c r="D3095" s="709" t="s">
        <v>136</v>
      </c>
      <c r="E3095" s="709" t="s">
        <v>8432</v>
      </c>
      <c r="F3095" s="716">
        <v>18.100000000000001</v>
      </c>
      <c r="G3095" s="716">
        <v>13.13</v>
      </c>
      <c r="H3095" s="225">
        <f t="shared" si="48"/>
        <v>18.100000000000001</v>
      </c>
    </row>
    <row r="3096" spans="1:8" x14ac:dyDescent="0.3">
      <c r="A3096" s="401"/>
      <c r="B3096" s="709">
        <v>40374</v>
      </c>
      <c r="C3096" s="710" t="s">
        <v>11440</v>
      </c>
      <c r="D3096" s="709" t="s">
        <v>136</v>
      </c>
      <c r="E3096" s="709" t="s">
        <v>8432</v>
      </c>
      <c r="F3096" s="716">
        <v>205.27</v>
      </c>
      <c r="G3096" s="716">
        <v>148.85</v>
      </c>
      <c r="H3096" s="225">
        <f t="shared" si="48"/>
        <v>205.27</v>
      </c>
    </row>
    <row r="3097" spans="1:8" x14ac:dyDescent="0.3">
      <c r="A3097" s="401"/>
      <c r="B3097" s="709">
        <v>40371</v>
      </c>
      <c r="C3097" s="710" t="s">
        <v>11441</v>
      </c>
      <c r="D3097" s="709" t="s">
        <v>136</v>
      </c>
      <c r="E3097" s="709" t="s">
        <v>8432</v>
      </c>
      <c r="F3097" s="716">
        <v>129.21</v>
      </c>
      <c r="G3097" s="716">
        <v>93.7</v>
      </c>
      <c r="H3097" s="225">
        <f t="shared" si="48"/>
        <v>129.21</v>
      </c>
    </row>
    <row r="3098" spans="1:8" x14ac:dyDescent="0.3">
      <c r="A3098" s="401"/>
      <c r="B3098" s="709">
        <v>40359</v>
      </c>
      <c r="C3098" s="710" t="s">
        <v>11442</v>
      </c>
      <c r="D3098" s="709" t="s">
        <v>136</v>
      </c>
      <c r="E3098" s="709" t="s">
        <v>8432</v>
      </c>
      <c r="F3098" s="716">
        <v>23.39</v>
      </c>
      <c r="G3098" s="716">
        <v>16.96</v>
      </c>
      <c r="H3098" s="225">
        <f t="shared" si="48"/>
        <v>23.39</v>
      </c>
    </row>
    <row r="3099" spans="1:8" x14ac:dyDescent="0.3">
      <c r="A3099" s="401"/>
      <c r="B3099" s="709">
        <v>45201</v>
      </c>
      <c r="C3099" s="710" t="s">
        <v>11443</v>
      </c>
      <c r="D3099" s="709" t="s">
        <v>136</v>
      </c>
      <c r="E3099" s="709" t="s">
        <v>8432</v>
      </c>
      <c r="F3099" s="716">
        <v>62.26</v>
      </c>
      <c r="G3099" s="716">
        <v>61.23</v>
      </c>
      <c r="H3099" s="225">
        <f t="shared" si="48"/>
        <v>62.26</v>
      </c>
    </row>
    <row r="3100" spans="1:8" x14ac:dyDescent="0.3">
      <c r="A3100" s="401"/>
      <c r="B3100" s="709">
        <v>7595</v>
      </c>
      <c r="C3100" s="710" t="s">
        <v>11444</v>
      </c>
      <c r="D3100" s="709" t="s">
        <v>234</v>
      </c>
      <c r="E3100" s="709" t="s">
        <v>8432</v>
      </c>
      <c r="F3100" s="716">
        <v>20.260000000000002</v>
      </c>
      <c r="G3100" s="716">
        <v>25.07</v>
      </c>
      <c r="H3100" s="225">
        <f t="shared" si="48"/>
        <v>20.260000000000002</v>
      </c>
    </row>
    <row r="3101" spans="1:8" x14ac:dyDescent="0.3">
      <c r="A3101" s="401"/>
      <c r="B3101" s="709">
        <v>41094</v>
      </c>
      <c r="C3101" s="710" t="s">
        <v>11445</v>
      </c>
      <c r="D3101" s="709" t="s">
        <v>208</v>
      </c>
      <c r="E3101" s="709" t="s">
        <v>8432</v>
      </c>
      <c r="F3101" s="716">
        <v>3562.26</v>
      </c>
      <c r="G3101" s="716">
        <v>4391.6499999999996</v>
      </c>
      <c r="H3101" s="225">
        <f t="shared" si="48"/>
        <v>3562.26</v>
      </c>
    </row>
    <row r="3102" spans="1:8" x14ac:dyDescent="0.3">
      <c r="A3102" s="401"/>
      <c r="B3102" s="709">
        <v>38175</v>
      </c>
      <c r="C3102" s="710" t="s">
        <v>11446</v>
      </c>
      <c r="D3102" s="709" t="s">
        <v>136</v>
      </c>
      <c r="E3102" s="709" t="s">
        <v>8432</v>
      </c>
      <c r="F3102" s="716">
        <v>5.63</v>
      </c>
      <c r="G3102" s="716">
        <v>4.66</v>
      </c>
      <c r="H3102" s="225">
        <f t="shared" si="48"/>
        <v>5.63</v>
      </c>
    </row>
    <row r="3103" spans="1:8" x14ac:dyDescent="0.3">
      <c r="A3103" s="401"/>
      <c r="B3103" s="709">
        <v>38176</v>
      </c>
      <c r="C3103" s="710" t="s">
        <v>11447</v>
      </c>
      <c r="D3103" s="709" t="s">
        <v>136</v>
      </c>
      <c r="E3103" s="709" t="s">
        <v>8432</v>
      </c>
      <c r="F3103" s="716">
        <v>16.57</v>
      </c>
      <c r="G3103" s="716">
        <v>13.71</v>
      </c>
      <c r="H3103" s="225">
        <f t="shared" si="48"/>
        <v>16.57</v>
      </c>
    </row>
    <row r="3104" spans="1:8" x14ac:dyDescent="0.3">
      <c r="A3104" s="401"/>
      <c r="B3104" s="709">
        <v>36152</v>
      </c>
      <c r="C3104" s="710" t="s">
        <v>11448</v>
      </c>
      <c r="D3104" s="709" t="s">
        <v>136</v>
      </c>
      <c r="E3104" s="709" t="s">
        <v>8432</v>
      </c>
      <c r="F3104" s="716">
        <v>6.18</v>
      </c>
      <c r="G3104" s="716">
        <v>6.06</v>
      </c>
      <c r="H3104" s="225">
        <f t="shared" si="48"/>
        <v>6.18</v>
      </c>
    </row>
    <row r="3105" spans="1:8" x14ac:dyDescent="0.3">
      <c r="A3105" s="401"/>
      <c r="B3105" s="709">
        <v>45212</v>
      </c>
      <c r="C3105" s="710" t="s">
        <v>11449</v>
      </c>
      <c r="D3105" s="709" t="s">
        <v>136</v>
      </c>
      <c r="E3105" s="709" t="s">
        <v>8432</v>
      </c>
      <c r="F3105" s="716">
        <v>61.9</v>
      </c>
      <c r="G3105" s="716">
        <v>60.71</v>
      </c>
      <c r="H3105" s="225">
        <f t="shared" si="48"/>
        <v>61.9</v>
      </c>
    </row>
    <row r="3106" spans="1:8" x14ac:dyDescent="0.3">
      <c r="A3106" s="401"/>
      <c r="B3106" s="709">
        <v>4221</v>
      </c>
      <c r="C3106" s="710" t="s">
        <v>11450</v>
      </c>
      <c r="D3106" s="709" t="s">
        <v>8120</v>
      </c>
      <c r="E3106" s="709" t="s">
        <v>8438</v>
      </c>
      <c r="F3106" s="716">
        <v>6.45</v>
      </c>
      <c r="G3106" s="716">
        <v>6.58</v>
      </c>
      <c r="H3106" s="225">
        <f t="shared" si="48"/>
        <v>6.45</v>
      </c>
    </row>
    <row r="3107" spans="1:8" x14ac:dyDescent="0.3">
      <c r="A3107" s="401"/>
      <c r="B3107" s="709">
        <v>4227</v>
      </c>
      <c r="C3107" s="710" t="s">
        <v>11451</v>
      </c>
      <c r="D3107" s="709" t="s">
        <v>8120</v>
      </c>
      <c r="E3107" s="709" t="s">
        <v>8432</v>
      </c>
      <c r="F3107" s="716">
        <v>30.07</v>
      </c>
      <c r="G3107" s="716">
        <v>30.68</v>
      </c>
      <c r="H3107" s="225">
        <f t="shared" si="48"/>
        <v>30.07</v>
      </c>
    </row>
    <row r="3108" spans="1:8" x14ac:dyDescent="0.3">
      <c r="A3108" s="401"/>
      <c r="B3108" s="709">
        <v>38170</v>
      </c>
      <c r="C3108" s="710" t="s">
        <v>11452</v>
      </c>
      <c r="D3108" s="709" t="s">
        <v>136</v>
      </c>
      <c r="E3108" s="709" t="s">
        <v>8432</v>
      </c>
      <c r="F3108" s="716">
        <v>24.62</v>
      </c>
      <c r="G3108" s="716">
        <v>20.37</v>
      </c>
      <c r="H3108" s="225">
        <f t="shared" si="48"/>
        <v>24.62</v>
      </c>
    </row>
    <row r="3109" spans="1:8" x14ac:dyDescent="0.3">
      <c r="A3109" s="401"/>
      <c r="B3109" s="709">
        <v>4252</v>
      </c>
      <c r="C3109" s="710" t="s">
        <v>11453</v>
      </c>
      <c r="D3109" s="709" t="s">
        <v>234</v>
      </c>
      <c r="E3109" s="709" t="s">
        <v>8432</v>
      </c>
      <c r="F3109" s="716">
        <v>29.24</v>
      </c>
      <c r="G3109" s="716">
        <v>31.99</v>
      </c>
      <c r="H3109" s="225">
        <f t="shared" si="48"/>
        <v>29.24</v>
      </c>
    </row>
    <row r="3110" spans="1:8" x14ac:dyDescent="0.3">
      <c r="A3110" s="401"/>
      <c r="B3110" s="709">
        <v>40980</v>
      </c>
      <c r="C3110" s="710" t="s">
        <v>11454</v>
      </c>
      <c r="D3110" s="709" t="s">
        <v>208</v>
      </c>
      <c r="E3110" s="709" t="s">
        <v>8432</v>
      </c>
      <c r="F3110" s="716">
        <v>5140.8100000000004</v>
      </c>
      <c r="G3110" s="716">
        <v>5605.34</v>
      </c>
      <c r="H3110" s="225">
        <f t="shared" si="48"/>
        <v>5140.8100000000004</v>
      </c>
    </row>
    <row r="3111" spans="1:8" x14ac:dyDescent="0.3">
      <c r="A3111" s="401"/>
      <c r="B3111" s="709">
        <v>41031</v>
      </c>
      <c r="C3111" s="710" t="s">
        <v>11455</v>
      </c>
      <c r="D3111" s="709" t="s">
        <v>208</v>
      </c>
      <c r="E3111" s="709" t="s">
        <v>8432</v>
      </c>
      <c r="F3111" s="716">
        <v>5437.1</v>
      </c>
      <c r="G3111" s="716">
        <v>5160.47</v>
      </c>
      <c r="H3111" s="225">
        <f t="shared" si="48"/>
        <v>5437.1</v>
      </c>
    </row>
    <row r="3112" spans="1:8" x14ac:dyDescent="0.3">
      <c r="A3112" s="401"/>
      <c r="B3112" s="709">
        <v>37666</v>
      </c>
      <c r="C3112" s="710" t="s">
        <v>11456</v>
      </c>
      <c r="D3112" s="709" t="s">
        <v>234</v>
      </c>
      <c r="E3112" s="709" t="s">
        <v>8432</v>
      </c>
      <c r="F3112" s="716">
        <v>25.58</v>
      </c>
      <c r="G3112" s="716">
        <v>26.7</v>
      </c>
      <c r="H3112" s="225">
        <f t="shared" si="48"/>
        <v>25.58</v>
      </c>
    </row>
    <row r="3113" spans="1:8" x14ac:dyDescent="0.3">
      <c r="A3113" s="401"/>
      <c r="B3113" s="709">
        <v>40986</v>
      </c>
      <c r="C3113" s="710" t="s">
        <v>11457</v>
      </c>
      <c r="D3113" s="709" t="s">
        <v>208</v>
      </c>
      <c r="E3113" s="709" t="s">
        <v>8432</v>
      </c>
      <c r="F3113" s="716">
        <v>4497.8900000000003</v>
      </c>
      <c r="G3113" s="716">
        <v>4679.32</v>
      </c>
      <c r="H3113" s="225">
        <f t="shared" si="48"/>
        <v>4497.8900000000003</v>
      </c>
    </row>
    <row r="3114" spans="1:8" x14ac:dyDescent="0.3">
      <c r="A3114" s="401"/>
      <c r="B3114" s="709">
        <v>4250</v>
      </c>
      <c r="C3114" s="710" t="s">
        <v>11458</v>
      </c>
      <c r="D3114" s="709" t="s">
        <v>234</v>
      </c>
      <c r="E3114" s="709" t="s">
        <v>8432</v>
      </c>
      <c r="F3114" s="716">
        <v>19.18</v>
      </c>
      <c r="G3114" s="716">
        <v>25</v>
      </c>
      <c r="H3114" s="225">
        <f t="shared" si="48"/>
        <v>19.18</v>
      </c>
    </row>
    <row r="3115" spans="1:8" x14ac:dyDescent="0.3">
      <c r="A3115" s="401"/>
      <c r="B3115" s="709">
        <v>40978</v>
      </c>
      <c r="C3115" s="710" t="s">
        <v>11459</v>
      </c>
      <c r="D3115" s="709" t="s">
        <v>208</v>
      </c>
      <c r="E3115" s="709" t="s">
        <v>8432</v>
      </c>
      <c r="F3115" s="716">
        <v>3371.73</v>
      </c>
      <c r="G3115" s="716">
        <v>4381.59</v>
      </c>
      <c r="H3115" s="225">
        <f t="shared" si="48"/>
        <v>3371.73</v>
      </c>
    </row>
    <row r="3116" spans="1:8" x14ac:dyDescent="0.3">
      <c r="A3116" s="401"/>
      <c r="B3116" s="709">
        <v>44501</v>
      </c>
      <c r="C3116" s="710" t="s">
        <v>11460</v>
      </c>
      <c r="D3116" s="709" t="s">
        <v>234</v>
      </c>
      <c r="E3116" s="709" t="s">
        <v>8432</v>
      </c>
      <c r="F3116" s="716">
        <v>30.92</v>
      </c>
      <c r="G3116" s="716">
        <v>29.45</v>
      </c>
      <c r="H3116" s="225">
        <f t="shared" si="48"/>
        <v>30.92</v>
      </c>
    </row>
    <row r="3117" spans="1:8" x14ac:dyDescent="0.3">
      <c r="A3117" s="401"/>
      <c r="B3117" s="709">
        <v>41043</v>
      </c>
      <c r="C3117" s="710" t="s">
        <v>11461</v>
      </c>
      <c r="D3117" s="709" t="s">
        <v>208</v>
      </c>
      <c r="E3117" s="709" t="s">
        <v>8432</v>
      </c>
      <c r="F3117" s="716">
        <v>5437.1</v>
      </c>
      <c r="G3117" s="716">
        <v>5160.47</v>
      </c>
      <c r="H3117" s="225">
        <f t="shared" si="48"/>
        <v>5437.1</v>
      </c>
    </row>
    <row r="3118" spans="1:8" x14ac:dyDescent="0.3">
      <c r="A3118" s="401"/>
      <c r="B3118" s="709">
        <v>4234</v>
      </c>
      <c r="C3118" s="710" t="s">
        <v>11462</v>
      </c>
      <c r="D3118" s="709" t="s">
        <v>234</v>
      </c>
      <c r="E3118" s="709" t="s">
        <v>8438</v>
      </c>
      <c r="F3118" s="716">
        <v>27.95</v>
      </c>
      <c r="G3118" s="716">
        <v>39.299999999999997</v>
      </c>
      <c r="H3118" s="225">
        <f t="shared" si="48"/>
        <v>27.95</v>
      </c>
    </row>
    <row r="3119" spans="1:8" x14ac:dyDescent="0.3">
      <c r="A3119" s="401"/>
      <c r="B3119" s="709">
        <v>40987</v>
      </c>
      <c r="C3119" s="710" t="s">
        <v>11463</v>
      </c>
      <c r="D3119" s="709" t="s">
        <v>208</v>
      </c>
      <c r="E3119" s="709" t="s">
        <v>8432</v>
      </c>
      <c r="F3119" s="716">
        <v>4912.45</v>
      </c>
      <c r="G3119" s="716">
        <v>6884.17</v>
      </c>
      <c r="H3119" s="225">
        <f t="shared" si="48"/>
        <v>4912.45</v>
      </c>
    </row>
    <row r="3120" spans="1:8" x14ac:dyDescent="0.3">
      <c r="A3120" s="401"/>
      <c r="B3120" s="709">
        <v>4253</v>
      </c>
      <c r="C3120" s="710" t="s">
        <v>11464</v>
      </c>
      <c r="D3120" s="709" t="s">
        <v>234</v>
      </c>
      <c r="E3120" s="709" t="s">
        <v>8432</v>
      </c>
      <c r="F3120" s="716">
        <v>25.58</v>
      </c>
      <c r="G3120" s="716">
        <v>27.28</v>
      </c>
      <c r="H3120" s="225">
        <f t="shared" si="48"/>
        <v>25.58</v>
      </c>
    </row>
    <row r="3121" spans="1:8" x14ac:dyDescent="0.3">
      <c r="A3121" s="401"/>
      <c r="B3121" s="709">
        <v>40981</v>
      </c>
      <c r="C3121" s="710" t="s">
        <v>11465</v>
      </c>
      <c r="D3121" s="709" t="s">
        <v>208</v>
      </c>
      <c r="E3121" s="709" t="s">
        <v>8432</v>
      </c>
      <c r="F3121" s="716">
        <v>4497.8900000000003</v>
      </c>
      <c r="G3121" s="716">
        <v>4779.8</v>
      </c>
      <c r="H3121" s="225">
        <f t="shared" si="48"/>
        <v>4497.8900000000003</v>
      </c>
    </row>
    <row r="3122" spans="1:8" x14ac:dyDescent="0.3">
      <c r="A3122" s="401"/>
      <c r="B3122" s="709">
        <v>4254</v>
      </c>
      <c r="C3122" s="710" t="s">
        <v>11466</v>
      </c>
      <c r="D3122" s="709" t="s">
        <v>234</v>
      </c>
      <c r="E3122" s="709" t="s">
        <v>8432</v>
      </c>
      <c r="F3122" s="716">
        <v>41.03</v>
      </c>
      <c r="G3122" s="716">
        <v>28.2</v>
      </c>
      <c r="H3122" s="225">
        <f t="shared" si="48"/>
        <v>41.03</v>
      </c>
    </row>
    <row r="3123" spans="1:8" x14ac:dyDescent="0.3">
      <c r="A3123" s="401"/>
      <c r="B3123" s="709">
        <v>41036</v>
      </c>
      <c r="C3123" s="710" t="s">
        <v>11467</v>
      </c>
      <c r="D3123" s="709" t="s">
        <v>208</v>
      </c>
      <c r="E3123" s="709" t="s">
        <v>8432</v>
      </c>
      <c r="F3123" s="716">
        <v>7211.88</v>
      </c>
      <c r="G3123" s="716">
        <v>4944.17</v>
      </c>
      <c r="H3123" s="225">
        <f t="shared" si="48"/>
        <v>7211.88</v>
      </c>
    </row>
    <row r="3124" spans="1:8" x14ac:dyDescent="0.3">
      <c r="A3124" s="401"/>
      <c r="B3124" s="709">
        <v>4251</v>
      </c>
      <c r="C3124" s="710" t="s">
        <v>11468</v>
      </c>
      <c r="D3124" s="709" t="s">
        <v>234</v>
      </c>
      <c r="E3124" s="709" t="s">
        <v>8432</v>
      </c>
      <c r="F3124" s="716">
        <v>25.11</v>
      </c>
      <c r="G3124" s="716">
        <v>21.86</v>
      </c>
      <c r="H3124" s="225">
        <f t="shared" si="48"/>
        <v>25.11</v>
      </c>
    </row>
    <row r="3125" spans="1:8" x14ac:dyDescent="0.3">
      <c r="A3125" s="401"/>
      <c r="B3125" s="709">
        <v>40979</v>
      </c>
      <c r="C3125" s="710" t="s">
        <v>11469</v>
      </c>
      <c r="D3125" s="709" t="s">
        <v>208</v>
      </c>
      <c r="E3125" s="709" t="s">
        <v>8432</v>
      </c>
      <c r="F3125" s="716">
        <v>4415.45</v>
      </c>
      <c r="G3125" s="716">
        <v>3830.54</v>
      </c>
      <c r="H3125" s="225">
        <f t="shared" si="48"/>
        <v>4415.45</v>
      </c>
    </row>
    <row r="3126" spans="1:8" x14ac:dyDescent="0.3">
      <c r="A3126" s="401"/>
      <c r="B3126" s="709">
        <v>4230</v>
      </c>
      <c r="C3126" s="710" t="s">
        <v>11470</v>
      </c>
      <c r="D3126" s="709" t="s">
        <v>234</v>
      </c>
      <c r="E3126" s="709" t="s">
        <v>8432</v>
      </c>
      <c r="F3126" s="716">
        <v>30.03</v>
      </c>
      <c r="G3126" s="716">
        <v>31.6</v>
      </c>
      <c r="H3126" s="225">
        <f t="shared" si="48"/>
        <v>30.03</v>
      </c>
    </row>
    <row r="3127" spans="1:8" x14ac:dyDescent="0.3">
      <c r="A3127" s="401"/>
      <c r="B3127" s="709">
        <v>40998</v>
      </c>
      <c r="C3127" s="710" t="s">
        <v>11471</v>
      </c>
      <c r="D3127" s="709" t="s">
        <v>208</v>
      </c>
      <c r="E3127" s="709" t="s">
        <v>8432</v>
      </c>
      <c r="F3127" s="716">
        <v>5280.25</v>
      </c>
      <c r="G3127" s="716">
        <v>5536.98</v>
      </c>
      <c r="H3127" s="225">
        <f t="shared" si="48"/>
        <v>5280.25</v>
      </c>
    </row>
    <row r="3128" spans="1:8" x14ac:dyDescent="0.3">
      <c r="A3128" s="401"/>
      <c r="B3128" s="709">
        <v>4257</v>
      </c>
      <c r="C3128" s="710" t="s">
        <v>11472</v>
      </c>
      <c r="D3128" s="709" t="s">
        <v>234</v>
      </c>
      <c r="E3128" s="709" t="s">
        <v>8432</v>
      </c>
      <c r="F3128" s="716">
        <v>24.77</v>
      </c>
      <c r="G3128" s="716">
        <v>27.28</v>
      </c>
      <c r="H3128" s="225">
        <f t="shared" si="48"/>
        <v>24.77</v>
      </c>
    </row>
    <row r="3129" spans="1:8" x14ac:dyDescent="0.3">
      <c r="A3129" s="401"/>
      <c r="B3129" s="709">
        <v>40982</v>
      </c>
      <c r="C3129" s="710" t="s">
        <v>11473</v>
      </c>
      <c r="D3129" s="709" t="s">
        <v>208</v>
      </c>
      <c r="E3129" s="709" t="s">
        <v>8432</v>
      </c>
      <c r="F3129" s="716">
        <v>4357.5</v>
      </c>
      <c r="G3129" s="716">
        <v>4779.8</v>
      </c>
      <c r="H3129" s="225">
        <f t="shared" si="48"/>
        <v>4357.5</v>
      </c>
    </row>
    <row r="3130" spans="1:8" x14ac:dyDescent="0.3">
      <c r="A3130" s="401"/>
      <c r="B3130" s="709">
        <v>4240</v>
      </c>
      <c r="C3130" s="710" t="s">
        <v>11474</v>
      </c>
      <c r="D3130" s="709" t="s">
        <v>234</v>
      </c>
      <c r="E3130" s="709" t="s">
        <v>8432</v>
      </c>
      <c r="F3130" s="716">
        <v>41.96</v>
      </c>
      <c r="G3130" s="716">
        <v>40.700000000000003</v>
      </c>
      <c r="H3130" s="225">
        <f t="shared" si="48"/>
        <v>41.96</v>
      </c>
    </row>
    <row r="3131" spans="1:8" x14ac:dyDescent="0.3">
      <c r="A3131" s="401"/>
      <c r="B3131" s="709">
        <v>41026</v>
      </c>
      <c r="C3131" s="710" t="s">
        <v>11475</v>
      </c>
      <c r="D3131" s="709" t="s">
        <v>208</v>
      </c>
      <c r="E3131" s="709" t="s">
        <v>8432</v>
      </c>
      <c r="F3131" s="716">
        <v>7377.87</v>
      </c>
      <c r="G3131" s="716">
        <v>7132.31</v>
      </c>
      <c r="H3131" s="225">
        <f t="shared" si="48"/>
        <v>7377.87</v>
      </c>
    </row>
    <row r="3132" spans="1:8" x14ac:dyDescent="0.3">
      <c r="A3132" s="401"/>
      <c r="B3132" s="709">
        <v>4239</v>
      </c>
      <c r="C3132" s="710" t="s">
        <v>11476</v>
      </c>
      <c r="D3132" s="709" t="s">
        <v>234</v>
      </c>
      <c r="E3132" s="709" t="s">
        <v>8432</v>
      </c>
      <c r="F3132" s="716">
        <v>41.96</v>
      </c>
      <c r="G3132" s="716">
        <v>40.700000000000003</v>
      </c>
      <c r="H3132" s="225">
        <f t="shared" si="48"/>
        <v>41.96</v>
      </c>
    </row>
    <row r="3133" spans="1:8" x14ac:dyDescent="0.3">
      <c r="A3133" s="401"/>
      <c r="B3133" s="709">
        <v>41024</v>
      </c>
      <c r="C3133" s="710" t="s">
        <v>11477</v>
      </c>
      <c r="D3133" s="709" t="s">
        <v>208</v>
      </c>
      <c r="E3133" s="709" t="s">
        <v>8432</v>
      </c>
      <c r="F3133" s="716">
        <v>7377.87</v>
      </c>
      <c r="G3133" s="716">
        <v>7132.31</v>
      </c>
      <c r="H3133" s="225">
        <f t="shared" si="48"/>
        <v>7377.87</v>
      </c>
    </row>
    <row r="3134" spans="1:8" x14ac:dyDescent="0.3">
      <c r="A3134" s="401"/>
      <c r="B3134" s="709">
        <v>4248</v>
      </c>
      <c r="C3134" s="710" t="s">
        <v>11478</v>
      </c>
      <c r="D3134" s="709" t="s">
        <v>234</v>
      </c>
      <c r="E3134" s="709" t="s">
        <v>8432</v>
      </c>
      <c r="F3134" s="716">
        <v>30.92</v>
      </c>
      <c r="G3134" s="716">
        <v>29.45</v>
      </c>
      <c r="H3134" s="225">
        <f t="shared" si="48"/>
        <v>30.92</v>
      </c>
    </row>
    <row r="3135" spans="1:8" x14ac:dyDescent="0.3">
      <c r="A3135" s="401"/>
      <c r="B3135" s="709">
        <v>41033</v>
      </c>
      <c r="C3135" s="710" t="s">
        <v>11479</v>
      </c>
      <c r="D3135" s="709" t="s">
        <v>208</v>
      </c>
      <c r="E3135" s="709" t="s">
        <v>8432</v>
      </c>
      <c r="F3135" s="716">
        <v>5437.1</v>
      </c>
      <c r="G3135" s="716">
        <v>5160.47</v>
      </c>
      <c r="H3135" s="225">
        <f t="shared" si="48"/>
        <v>5437.1</v>
      </c>
    </row>
    <row r="3136" spans="1:8" x14ac:dyDescent="0.3">
      <c r="A3136" s="401"/>
      <c r="B3136" s="709">
        <v>44500</v>
      </c>
      <c r="C3136" s="710" t="s">
        <v>11480</v>
      </c>
      <c r="D3136" s="709" t="s">
        <v>234</v>
      </c>
      <c r="E3136" s="709" t="s">
        <v>8432</v>
      </c>
      <c r="F3136" s="716">
        <v>30.92</v>
      </c>
      <c r="G3136" s="716">
        <v>29.45</v>
      </c>
      <c r="H3136" s="225">
        <f t="shared" si="48"/>
        <v>30.92</v>
      </c>
    </row>
    <row r="3137" spans="1:8" x14ac:dyDescent="0.3">
      <c r="A3137" s="401"/>
      <c r="B3137" s="709">
        <v>41040</v>
      </c>
      <c r="C3137" s="710" t="s">
        <v>11481</v>
      </c>
      <c r="D3137" s="709" t="s">
        <v>208</v>
      </c>
      <c r="E3137" s="709" t="s">
        <v>8432</v>
      </c>
      <c r="F3137" s="716">
        <v>5437.1</v>
      </c>
      <c r="G3137" s="716">
        <v>5160.47</v>
      </c>
      <c r="H3137" s="225">
        <f t="shared" si="48"/>
        <v>5437.1</v>
      </c>
    </row>
    <row r="3138" spans="1:8" x14ac:dyDescent="0.3">
      <c r="A3138" s="401"/>
      <c r="B3138" s="709">
        <v>4238</v>
      </c>
      <c r="C3138" s="710" t="s">
        <v>11482</v>
      </c>
      <c r="D3138" s="709" t="s">
        <v>234</v>
      </c>
      <c r="E3138" s="709" t="s">
        <v>8432</v>
      </c>
      <c r="F3138" s="716">
        <v>25.24</v>
      </c>
      <c r="G3138" s="716">
        <v>29.97</v>
      </c>
      <c r="H3138" s="225">
        <f t="shared" si="48"/>
        <v>25.24</v>
      </c>
    </row>
    <row r="3139" spans="1:8" x14ac:dyDescent="0.3">
      <c r="A3139" s="401"/>
      <c r="B3139" s="709">
        <v>41012</v>
      </c>
      <c r="C3139" s="710" t="s">
        <v>11483</v>
      </c>
      <c r="D3139" s="709" t="s">
        <v>208</v>
      </c>
      <c r="E3139" s="709" t="s">
        <v>8432</v>
      </c>
      <c r="F3139" s="716">
        <v>4438.97</v>
      </c>
      <c r="G3139" s="716">
        <v>5252.11</v>
      </c>
      <c r="H3139" s="225">
        <f t="shared" si="48"/>
        <v>4438.97</v>
      </c>
    </row>
    <row r="3140" spans="1:8" x14ac:dyDescent="0.3">
      <c r="A3140" s="401"/>
      <c r="B3140" s="709">
        <v>4233</v>
      </c>
      <c r="C3140" s="710" t="s">
        <v>11484</v>
      </c>
      <c r="D3140" s="709" t="s">
        <v>234</v>
      </c>
      <c r="E3140" s="709" t="s">
        <v>8432</v>
      </c>
      <c r="F3140" s="716">
        <v>41.96</v>
      </c>
      <c r="G3140" s="716">
        <v>40.700000000000003</v>
      </c>
      <c r="H3140" s="225">
        <f t="shared" si="48"/>
        <v>41.96</v>
      </c>
    </row>
    <row r="3141" spans="1:8" x14ac:dyDescent="0.3">
      <c r="A3141" s="401"/>
      <c r="B3141" s="709">
        <v>41001</v>
      </c>
      <c r="C3141" s="710" t="s">
        <v>11485</v>
      </c>
      <c r="D3141" s="709" t="s">
        <v>208</v>
      </c>
      <c r="E3141" s="709" t="s">
        <v>8432</v>
      </c>
      <c r="F3141" s="716">
        <v>7377.87</v>
      </c>
      <c r="G3141" s="716">
        <v>7132.31</v>
      </c>
      <c r="H3141" s="225">
        <f t="shared" si="48"/>
        <v>7377.87</v>
      </c>
    </row>
    <row r="3142" spans="1:8" x14ac:dyDescent="0.3">
      <c r="A3142" s="401"/>
      <c r="B3142" s="709">
        <v>2</v>
      </c>
      <c r="C3142" s="710" t="s">
        <v>11486</v>
      </c>
      <c r="D3142" s="709" t="s">
        <v>170</v>
      </c>
      <c r="E3142" s="709" t="s">
        <v>8432</v>
      </c>
      <c r="F3142" s="716">
        <v>26.63</v>
      </c>
      <c r="G3142" s="716">
        <v>24.1</v>
      </c>
      <c r="H3142" s="225">
        <f t="shared" si="48"/>
        <v>26.63</v>
      </c>
    </row>
    <row r="3143" spans="1:8" x14ac:dyDescent="0.3">
      <c r="A3143" s="401"/>
      <c r="B3143" s="709">
        <v>4262</v>
      </c>
      <c r="C3143" s="710" t="s">
        <v>11487</v>
      </c>
      <c r="D3143" s="709" t="s">
        <v>136</v>
      </c>
      <c r="E3143" s="709" t="s">
        <v>8438</v>
      </c>
      <c r="F3143" s="716">
        <v>700000</v>
      </c>
      <c r="G3143" s="716">
        <v>680000</v>
      </c>
      <c r="H3143" s="225">
        <f t="shared" si="48"/>
        <v>700000</v>
      </c>
    </row>
    <row r="3144" spans="1:8" x14ac:dyDescent="0.3">
      <c r="A3144" s="401"/>
      <c r="B3144" s="709">
        <v>4263</v>
      </c>
      <c r="C3144" s="710" t="s">
        <v>11488</v>
      </c>
      <c r="D3144" s="709" t="s">
        <v>136</v>
      </c>
      <c r="E3144" s="709" t="s">
        <v>8432</v>
      </c>
      <c r="F3144" s="716">
        <v>970666.62</v>
      </c>
      <c r="G3144" s="716">
        <v>942933.28</v>
      </c>
      <c r="H3144" s="225">
        <f t="shared" si="48"/>
        <v>970666.62</v>
      </c>
    </row>
    <row r="3145" spans="1:8" x14ac:dyDescent="0.3">
      <c r="A3145" s="401"/>
      <c r="B3145" s="709">
        <v>38402</v>
      </c>
      <c r="C3145" s="710" t="s">
        <v>11489</v>
      </c>
      <c r="D3145" s="709" t="s">
        <v>136</v>
      </c>
      <c r="E3145" s="709" t="s">
        <v>8432</v>
      </c>
      <c r="F3145" s="716">
        <v>37.57</v>
      </c>
      <c r="G3145" s="716">
        <v>40.28</v>
      </c>
      <c r="H3145" s="225">
        <f t="shared" si="48"/>
        <v>37.57</v>
      </c>
    </row>
    <row r="3146" spans="1:8" x14ac:dyDescent="0.3">
      <c r="A3146" s="401"/>
      <c r="B3146" s="709">
        <v>45234</v>
      </c>
      <c r="C3146" s="710" t="s">
        <v>11490</v>
      </c>
      <c r="D3146" s="709" t="s">
        <v>136</v>
      </c>
      <c r="E3146" s="709" t="s">
        <v>8432</v>
      </c>
      <c r="F3146" s="716">
        <v>42.35</v>
      </c>
      <c r="G3146" s="716">
        <v>41.64</v>
      </c>
      <c r="H3146" s="225">
        <f t="shared" si="48"/>
        <v>42.35</v>
      </c>
    </row>
    <row r="3147" spans="1:8" x14ac:dyDescent="0.3">
      <c r="A3147" s="401"/>
      <c r="B3147" s="709">
        <v>3412</v>
      </c>
      <c r="C3147" s="710" t="s">
        <v>11491</v>
      </c>
      <c r="D3147" s="709" t="s">
        <v>168</v>
      </c>
      <c r="E3147" s="709" t="s">
        <v>8432</v>
      </c>
      <c r="F3147" s="716">
        <v>25.76</v>
      </c>
      <c r="G3147" s="716">
        <v>27.18</v>
      </c>
      <c r="H3147" s="225">
        <f t="shared" ref="H3147:H3210" si="49">IF(F3147&gt;0,F3147,G3147)</f>
        <v>25.76</v>
      </c>
    </row>
    <row r="3148" spans="1:8" x14ac:dyDescent="0.3">
      <c r="A3148" s="401"/>
      <c r="B3148" s="709">
        <v>3413</v>
      </c>
      <c r="C3148" s="710" t="s">
        <v>11492</v>
      </c>
      <c r="D3148" s="709" t="s">
        <v>168</v>
      </c>
      <c r="E3148" s="709" t="s">
        <v>8432</v>
      </c>
      <c r="F3148" s="716">
        <v>57.98</v>
      </c>
      <c r="G3148" s="716">
        <v>61.18</v>
      </c>
      <c r="H3148" s="225">
        <f t="shared" si="49"/>
        <v>57.98</v>
      </c>
    </row>
    <row r="3149" spans="1:8" x14ac:dyDescent="0.3">
      <c r="A3149" s="401"/>
      <c r="B3149" s="709">
        <v>39744</v>
      </c>
      <c r="C3149" s="710" t="s">
        <v>11493</v>
      </c>
      <c r="D3149" s="709" t="s">
        <v>168</v>
      </c>
      <c r="E3149" s="709" t="s">
        <v>8432</v>
      </c>
      <c r="F3149" s="716">
        <v>45.02</v>
      </c>
      <c r="G3149" s="716">
        <v>47.5</v>
      </c>
      <c r="H3149" s="225">
        <f t="shared" si="49"/>
        <v>45.02</v>
      </c>
    </row>
    <row r="3150" spans="1:8" x14ac:dyDescent="0.3">
      <c r="A3150" s="401"/>
      <c r="B3150" s="709">
        <v>39745</v>
      </c>
      <c r="C3150" s="710" t="s">
        <v>11494</v>
      </c>
      <c r="D3150" s="709" t="s">
        <v>168</v>
      </c>
      <c r="E3150" s="709" t="s">
        <v>8432</v>
      </c>
      <c r="F3150" s="716">
        <v>95.02</v>
      </c>
      <c r="G3150" s="716">
        <v>100.26</v>
      </c>
      <c r="H3150" s="225">
        <f t="shared" si="49"/>
        <v>95.02</v>
      </c>
    </row>
    <row r="3151" spans="1:8" x14ac:dyDescent="0.3">
      <c r="A3151" s="401"/>
      <c r="B3151" s="709">
        <v>39639</v>
      </c>
      <c r="C3151" s="710" t="s">
        <v>11495</v>
      </c>
      <c r="D3151" s="709" t="s">
        <v>168</v>
      </c>
      <c r="E3151" s="709" t="s">
        <v>8432</v>
      </c>
      <c r="F3151" s="716"/>
      <c r="G3151" s="716">
        <v>208.13</v>
      </c>
      <c r="H3151" s="225">
        <f t="shared" si="49"/>
        <v>208.13</v>
      </c>
    </row>
    <row r="3152" spans="1:8" x14ac:dyDescent="0.3">
      <c r="A3152" s="401"/>
      <c r="B3152" s="709">
        <v>39637</v>
      </c>
      <c r="C3152" s="710" t="s">
        <v>11496</v>
      </c>
      <c r="D3152" s="709" t="s">
        <v>168</v>
      </c>
      <c r="E3152" s="709" t="s">
        <v>8432</v>
      </c>
      <c r="F3152" s="716"/>
      <c r="G3152" s="716">
        <v>133.41</v>
      </c>
      <c r="H3152" s="225">
        <f t="shared" si="49"/>
        <v>133.41</v>
      </c>
    </row>
    <row r="3153" spans="1:8" x14ac:dyDescent="0.3">
      <c r="A3153" s="401"/>
      <c r="B3153" s="709">
        <v>39638</v>
      </c>
      <c r="C3153" s="710" t="s">
        <v>11497</v>
      </c>
      <c r="D3153" s="709" t="s">
        <v>168</v>
      </c>
      <c r="E3153" s="709" t="s">
        <v>8432</v>
      </c>
      <c r="F3153" s="716"/>
      <c r="G3153" s="716">
        <v>160.69999999999999</v>
      </c>
      <c r="H3153" s="225">
        <f t="shared" si="49"/>
        <v>160.69999999999999</v>
      </c>
    </row>
    <row r="3154" spans="1:8" x14ac:dyDescent="0.3">
      <c r="A3154" s="401"/>
      <c r="B3154" s="709">
        <v>39517</v>
      </c>
      <c r="C3154" s="710" t="s">
        <v>11498</v>
      </c>
      <c r="D3154" s="709" t="s">
        <v>168</v>
      </c>
      <c r="E3154" s="709" t="s">
        <v>8432</v>
      </c>
      <c r="F3154" s="716">
        <v>220.6</v>
      </c>
      <c r="G3154" s="716">
        <v>252.26</v>
      </c>
      <c r="H3154" s="225">
        <f t="shared" si="49"/>
        <v>220.6</v>
      </c>
    </row>
    <row r="3155" spans="1:8" x14ac:dyDescent="0.3">
      <c r="A3155" s="401"/>
      <c r="B3155" s="709">
        <v>39518</v>
      </c>
      <c r="C3155" s="710" t="s">
        <v>11499</v>
      </c>
      <c r="D3155" s="709" t="s">
        <v>168</v>
      </c>
      <c r="E3155" s="709" t="s">
        <v>8432</v>
      </c>
      <c r="F3155" s="716">
        <v>261.52999999999997</v>
      </c>
      <c r="G3155" s="716">
        <v>299.07</v>
      </c>
      <c r="H3155" s="225">
        <f t="shared" si="49"/>
        <v>261.52999999999997</v>
      </c>
    </row>
    <row r="3156" spans="1:8" x14ac:dyDescent="0.3">
      <c r="A3156" s="401"/>
      <c r="B3156" s="709">
        <v>38366</v>
      </c>
      <c r="C3156" s="710" t="s">
        <v>11500</v>
      </c>
      <c r="D3156" s="709" t="s">
        <v>168</v>
      </c>
      <c r="E3156" s="709" t="s">
        <v>8432</v>
      </c>
      <c r="F3156" s="716">
        <v>6.24</v>
      </c>
      <c r="G3156" s="716">
        <v>6.11</v>
      </c>
      <c r="H3156" s="225">
        <f t="shared" si="49"/>
        <v>6.24</v>
      </c>
    </row>
    <row r="3157" spans="1:8" x14ac:dyDescent="0.3">
      <c r="A3157" s="401"/>
      <c r="B3157" s="709">
        <v>11703</v>
      </c>
      <c r="C3157" s="710" t="s">
        <v>11501</v>
      </c>
      <c r="D3157" s="709" t="s">
        <v>136</v>
      </c>
      <c r="E3157" s="709" t="s">
        <v>8432</v>
      </c>
      <c r="F3157" s="716">
        <v>82.48</v>
      </c>
      <c r="G3157" s="716">
        <v>46.65</v>
      </c>
      <c r="H3157" s="225">
        <f t="shared" si="49"/>
        <v>82.48</v>
      </c>
    </row>
    <row r="3158" spans="1:8" x14ac:dyDescent="0.3">
      <c r="A3158" s="401"/>
      <c r="B3158" s="709">
        <v>37400</v>
      </c>
      <c r="C3158" s="710" t="s">
        <v>11502</v>
      </c>
      <c r="D3158" s="709" t="s">
        <v>136</v>
      </c>
      <c r="E3158" s="709" t="s">
        <v>8432</v>
      </c>
      <c r="F3158" s="716">
        <v>47.78</v>
      </c>
      <c r="G3158" s="716">
        <v>57.6</v>
      </c>
      <c r="H3158" s="225">
        <f t="shared" si="49"/>
        <v>47.78</v>
      </c>
    </row>
    <row r="3159" spans="1:8" x14ac:dyDescent="0.3">
      <c r="A3159" s="401"/>
      <c r="B3159" s="709">
        <v>25400</v>
      </c>
      <c r="C3159" s="710" t="s">
        <v>11503</v>
      </c>
      <c r="D3159" s="709" t="s">
        <v>136</v>
      </c>
      <c r="E3159" s="709" t="s">
        <v>8432</v>
      </c>
      <c r="F3159" s="716">
        <v>3873.69</v>
      </c>
      <c r="G3159" s="716">
        <v>2509.5500000000002</v>
      </c>
      <c r="H3159" s="225">
        <f t="shared" si="49"/>
        <v>3873.69</v>
      </c>
    </row>
    <row r="3160" spans="1:8" x14ac:dyDescent="0.3">
      <c r="A3160" s="401"/>
      <c r="B3160" s="709">
        <v>4276</v>
      </c>
      <c r="C3160" s="710" t="s">
        <v>11504</v>
      </c>
      <c r="D3160" s="709" t="s">
        <v>136</v>
      </c>
      <c r="E3160" s="709" t="s">
        <v>8432</v>
      </c>
      <c r="F3160" s="716">
        <v>218.35</v>
      </c>
      <c r="G3160" s="716">
        <v>194.69</v>
      </c>
      <c r="H3160" s="225">
        <f t="shared" si="49"/>
        <v>218.35</v>
      </c>
    </row>
    <row r="3161" spans="1:8" x14ac:dyDescent="0.3">
      <c r="A3161" s="401"/>
      <c r="B3161" s="709">
        <v>4273</v>
      </c>
      <c r="C3161" s="710" t="s">
        <v>11505</v>
      </c>
      <c r="D3161" s="709" t="s">
        <v>136</v>
      </c>
      <c r="E3161" s="709" t="s">
        <v>8432</v>
      </c>
      <c r="F3161" s="716">
        <v>396.43</v>
      </c>
      <c r="G3161" s="716">
        <v>353.49</v>
      </c>
      <c r="H3161" s="225">
        <f t="shared" si="49"/>
        <v>396.43</v>
      </c>
    </row>
    <row r="3162" spans="1:8" x14ac:dyDescent="0.3">
      <c r="A3162" s="401"/>
      <c r="B3162" s="709">
        <v>4274</v>
      </c>
      <c r="C3162" s="710" t="s">
        <v>11506</v>
      </c>
      <c r="D3162" s="709" t="s">
        <v>136</v>
      </c>
      <c r="E3162" s="709" t="s">
        <v>8438</v>
      </c>
      <c r="F3162" s="716">
        <v>145.03</v>
      </c>
      <c r="G3162" s="716">
        <v>129.32</v>
      </c>
      <c r="H3162" s="225">
        <f t="shared" si="49"/>
        <v>145.03</v>
      </c>
    </row>
    <row r="3163" spans="1:8" x14ac:dyDescent="0.3">
      <c r="A3163" s="401"/>
      <c r="B3163" s="709">
        <v>44286</v>
      </c>
      <c r="C3163" s="710" t="s">
        <v>14850</v>
      </c>
      <c r="D3163" s="709" t="s">
        <v>136</v>
      </c>
      <c r="E3163" s="709" t="s">
        <v>8432</v>
      </c>
      <c r="F3163" s="716"/>
      <c r="G3163" s="716">
        <v>0.21</v>
      </c>
      <c r="H3163" s="225">
        <f t="shared" si="49"/>
        <v>0.21</v>
      </c>
    </row>
    <row r="3164" spans="1:8" x14ac:dyDescent="0.3">
      <c r="A3164" s="401"/>
      <c r="B3164" s="709">
        <v>39438</v>
      </c>
      <c r="C3164" s="710" t="s">
        <v>11507</v>
      </c>
      <c r="D3164" s="709" t="s">
        <v>136</v>
      </c>
      <c r="E3164" s="709" t="s">
        <v>8432</v>
      </c>
      <c r="F3164" s="716"/>
      <c r="G3164" s="716">
        <v>0.24</v>
      </c>
      <c r="H3164" s="225">
        <f t="shared" si="49"/>
        <v>0.24</v>
      </c>
    </row>
    <row r="3165" spans="1:8" x14ac:dyDescent="0.3">
      <c r="A3165" s="401"/>
      <c r="B3165" s="709">
        <v>44310</v>
      </c>
      <c r="C3165" s="710" t="s">
        <v>14851</v>
      </c>
      <c r="D3165" s="709" t="s">
        <v>136</v>
      </c>
      <c r="E3165" s="709" t="s">
        <v>8432</v>
      </c>
      <c r="F3165" s="716"/>
      <c r="G3165" s="716">
        <v>14.42</v>
      </c>
      <c r="H3165" s="225">
        <f t="shared" si="49"/>
        <v>14.42</v>
      </c>
    </row>
    <row r="3166" spans="1:8" x14ac:dyDescent="0.3">
      <c r="A3166" s="401"/>
      <c r="B3166" s="709">
        <v>45158</v>
      </c>
      <c r="C3166" s="710" t="s">
        <v>14852</v>
      </c>
      <c r="D3166" s="709" t="s">
        <v>136</v>
      </c>
      <c r="E3166" s="709" t="s">
        <v>8432</v>
      </c>
      <c r="F3166" s="716"/>
      <c r="G3166" s="716">
        <v>2.98</v>
      </c>
      <c r="H3166" s="225">
        <f t="shared" si="49"/>
        <v>2.98</v>
      </c>
    </row>
    <row r="3167" spans="1:8" x14ac:dyDescent="0.3">
      <c r="A3167" s="401"/>
      <c r="B3167" s="709">
        <v>4379</v>
      </c>
      <c r="C3167" s="710" t="s">
        <v>11508</v>
      </c>
      <c r="D3167" s="709" t="s">
        <v>136</v>
      </c>
      <c r="E3167" s="709" t="s">
        <v>8432</v>
      </c>
      <c r="F3167" s="716"/>
      <c r="G3167" s="716">
        <v>0.04</v>
      </c>
      <c r="H3167" s="225">
        <f t="shared" si="49"/>
        <v>0.04</v>
      </c>
    </row>
    <row r="3168" spans="1:8" x14ac:dyDescent="0.3">
      <c r="A3168" s="401"/>
      <c r="B3168" s="709">
        <v>4377</v>
      </c>
      <c r="C3168" s="710" t="s">
        <v>11509</v>
      </c>
      <c r="D3168" s="709" t="s">
        <v>136</v>
      </c>
      <c r="E3168" s="709" t="s">
        <v>8432</v>
      </c>
      <c r="F3168" s="716"/>
      <c r="G3168" s="716">
        <v>0.17</v>
      </c>
      <c r="H3168" s="225">
        <f t="shared" si="49"/>
        <v>0.17</v>
      </c>
    </row>
    <row r="3169" spans="1:8" x14ac:dyDescent="0.3">
      <c r="A3169" s="401"/>
      <c r="B3169" s="709">
        <v>4356</v>
      </c>
      <c r="C3169" s="710" t="s">
        <v>11510</v>
      </c>
      <c r="D3169" s="709" t="s">
        <v>136</v>
      </c>
      <c r="E3169" s="709" t="s">
        <v>8432</v>
      </c>
      <c r="F3169" s="716"/>
      <c r="G3169" s="716">
        <v>0.24</v>
      </c>
      <c r="H3169" s="225">
        <f t="shared" si="49"/>
        <v>0.24</v>
      </c>
    </row>
    <row r="3170" spans="1:8" x14ac:dyDescent="0.3">
      <c r="A3170" s="401"/>
      <c r="B3170" s="709">
        <v>13246</v>
      </c>
      <c r="C3170" s="710" t="s">
        <v>11511</v>
      </c>
      <c r="D3170" s="709" t="s">
        <v>136</v>
      </c>
      <c r="E3170" s="709" t="s">
        <v>8432</v>
      </c>
      <c r="F3170" s="716"/>
      <c r="G3170" s="716">
        <v>0.41</v>
      </c>
      <c r="H3170" s="225">
        <f t="shared" si="49"/>
        <v>0.41</v>
      </c>
    </row>
    <row r="3171" spans="1:8" x14ac:dyDescent="0.3">
      <c r="A3171" s="401"/>
      <c r="B3171" s="709">
        <v>13294</v>
      </c>
      <c r="C3171" s="710" t="s">
        <v>11512</v>
      </c>
      <c r="D3171" s="709" t="s">
        <v>136</v>
      </c>
      <c r="E3171" s="709" t="s">
        <v>8432</v>
      </c>
      <c r="F3171" s="716"/>
      <c r="G3171" s="716">
        <v>1.39</v>
      </c>
      <c r="H3171" s="225">
        <f t="shared" si="49"/>
        <v>1.39</v>
      </c>
    </row>
    <row r="3172" spans="1:8" x14ac:dyDescent="0.3">
      <c r="A3172" s="401"/>
      <c r="B3172" s="709">
        <v>11963</v>
      </c>
      <c r="C3172" s="710" t="s">
        <v>11513</v>
      </c>
      <c r="D3172" s="709" t="s">
        <v>136</v>
      </c>
      <c r="E3172" s="709" t="s">
        <v>8432</v>
      </c>
      <c r="F3172" s="716"/>
      <c r="G3172" s="716">
        <v>8.74</v>
      </c>
      <c r="H3172" s="225">
        <f t="shared" si="49"/>
        <v>8.74</v>
      </c>
    </row>
    <row r="3173" spans="1:8" x14ac:dyDescent="0.3">
      <c r="A3173" s="401"/>
      <c r="B3173" s="709">
        <v>11964</v>
      </c>
      <c r="C3173" s="710" t="s">
        <v>11514</v>
      </c>
      <c r="D3173" s="709" t="s">
        <v>136</v>
      </c>
      <c r="E3173" s="709" t="s">
        <v>8432</v>
      </c>
      <c r="F3173" s="716"/>
      <c r="G3173" s="716">
        <v>2.2000000000000002</v>
      </c>
      <c r="H3173" s="225">
        <f t="shared" si="49"/>
        <v>2.2000000000000002</v>
      </c>
    </row>
    <row r="3174" spans="1:8" x14ac:dyDescent="0.3">
      <c r="A3174" s="401"/>
      <c r="B3174" s="709">
        <v>44757</v>
      </c>
      <c r="C3174" s="710" t="s">
        <v>14853</v>
      </c>
      <c r="D3174" s="709" t="s">
        <v>136</v>
      </c>
      <c r="E3174" s="709" t="s">
        <v>8432</v>
      </c>
      <c r="F3174" s="716"/>
      <c r="G3174" s="716">
        <v>9.73</v>
      </c>
      <c r="H3174" s="225">
        <f t="shared" si="49"/>
        <v>9.73</v>
      </c>
    </row>
    <row r="3175" spans="1:8" x14ac:dyDescent="0.3">
      <c r="A3175" s="401"/>
      <c r="B3175" s="709">
        <v>4346</v>
      </c>
      <c r="C3175" s="710" t="s">
        <v>11515</v>
      </c>
      <c r="D3175" s="709" t="s">
        <v>136</v>
      </c>
      <c r="E3175" s="709" t="s">
        <v>8432</v>
      </c>
      <c r="F3175" s="716"/>
      <c r="G3175" s="716">
        <v>9.3699999999999992</v>
      </c>
      <c r="H3175" s="225">
        <f t="shared" si="49"/>
        <v>9.3699999999999992</v>
      </c>
    </row>
    <row r="3176" spans="1:8" x14ac:dyDescent="0.3">
      <c r="A3176" s="401"/>
      <c r="B3176" s="709">
        <v>11955</v>
      </c>
      <c r="C3176" s="710" t="s">
        <v>11516</v>
      </c>
      <c r="D3176" s="709" t="s">
        <v>136</v>
      </c>
      <c r="E3176" s="709" t="s">
        <v>8432</v>
      </c>
      <c r="F3176" s="716"/>
      <c r="G3176" s="716">
        <v>4.0999999999999996</v>
      </c>
      <c r="H3176" s="225">
        <f t="shared" si="49"/>
        <v>4.0999999999999996</v>
      </c>
    </row>
    <row r="3177" spans="1:8" x14ac:dyDescent="0.3">
      <c r="A3177" s="401"/>
      <c r="B3177" s="709">
        <v>11960</v>
      </c>
      <c r="C3177" s="710" t="s">
        <v>11517</v>
      </c>
      <c r="D3177" s="709" t="s">
        <v>136</v>
      </c>
      <c r="E3177" s="709" t="s">
        <v>8432</v>
      </c>
      <c r="F3177" s="716"/>
      <c r="G3177" s="716">
        <v>0.13</v>
      </c>
      <c r="H3177" s="225">
        <f t="shared" si="49"/>
        <v>0.13</v>
      </c>
    </row>
    <row r="3178" spans="1:8" x14ac:dyDescent="0.3">
      <c r="A3178" s="401"/>
      <c r="B3178" s="709">
        <v>4333</v>
      </c>
      <c r="C3178" s="710" t="s">
        <v>11518</v>
      </c>
      <c r="D3178" s="709" t="s">
        <v>136</v>
      </c>
      <c r="E3178" s="709" t="s">
        <v>8432</v>
      </c>
      <c r="F3178" s="716"/>
      <c r="G3178" s="716">
        <v>0.24</v>
      </c>
      <c r="H3178" s="225">
        <f t="shared" si="49"/>
        <v>0.24</v>
      </c>
    </row>
    <row r="3179" spans="1:8" x14ac:dyDescent="0.3">
      <c r="A3179" s="401"/>
      <c r="B3179" s="709">
        <v>4358</v>
      </c>
      <c r="C3179" s="710" t="s">
        <v>11519</v>
      </c>
      <c r="D3179" s="709" t="s">
        <v>136</v>
      </c>
      <c r="E3179" s="709" t="s">
        <v>8432</v>
      </c>
      <c r="F3179" s="716"/>
      <c r="G3179" s="716">
        <v>1.87</v>
      </c>
      <c r="H3179" s="225">
        <f t="shared" si="49"/>
        <v>1.87</v>
      </c>
    </row>
    <row r="3180" spans="1:8" x14ac:dyDescent="0.3">
      <c r="A3180" s="401"/>
      <c r="B3180" s="709">
        <v>39435</v>
      </c>
      <c r="C3180" s="710" t="s">
        <v>11520</v>
      </c>
      <c r="D3180" s="709" t="s">
        <v>136</v>
      </c>
      <c r="E3180" s="709" t="s">
        <v>8432</v>
      </c>
      <c r="F3180" s="716"/>
      <c r="G3180" s="716">
        <v>0.09</v>
      </c>
      <c r="H3180" s="225">
        <f t="shared" si="49"/>
        <v>0.09</v>
      </c>
    </row>
    <row r="3181" spans="1:8" x14ac:dyDescent="0.3">
      <c r="A3181" s="401"/>
      <c r="B3181" s="709">
        <v>39436</v>
      </c>
      <c r="C3181" s="710" t="s">
        <v>11521</v>
      </c>
      <c r="D3181" s="709" t="s">
        <v>136</v>
      </c>
      <c r="E3181" s="709" t="s">
        <v>8432</v>
      </c>
      <c r="F3181" s="716"/>
      <c r="G3181" s="716">
        <v>0.16</v>
      </c>
      <c r="H3181" s="225">
        <f t="shared" si="49"/>
        <v>0.16</v>
      </c>
    </row>
    <row r="3182" spans="1:8" x14ac:dyDescent="0.3">
      <c r="A3182" s="401"/>
      <c r="B3182" s="709">
        <v>39437</v>
      </c>
      <c r="C3182" s="710" t="s">
        <v>11522</v>
      </c>
      <c r="D3182" s="709" t="s">
        <v>136</v>
      </c>
      <c r="E3182" s="709" t="s">
        <v>8432</v>
      </c>
      <c r="F3182" s="716"/>
      <c r="G3182" s="716">
        <v>0.21</v>
      </c>
      <c r="H3182" s="225">
        <f t="shared" si="49"/>
        <v>0.21</v>
      </c>
    </row>
    <row r="3183" spans="1:8" x14ac:dyDescent="0.3">
      <c r="A3183" s="401"/>
      <c r="B3183" s="709">
        <v>39439</v>
      </c>
      <c r="C3183" s="710" t="s">
        <v>11523</v>
      </c>
      <c r="D3183" s="709" t="s">
        <v>136</v>
      </c>
      <c r="E3183" s="709" t="s">
        <v>8432</v>
      </c>
      <c r="F3183" s="716"/>
      <c r="G3183" s="716">
        <v>0.14000000000000001</v>
      </c>
      <c r="H3183" s="225">
        <f t="shared" si="49"/>
        <v>0.14000000000000001</v>
      </c>
    </row>
    <row r="3184" spans="1:8" x14ac:dyDescent="0.3">
      <c r="A3184" s="401"/>
      <c r="B3184" s="709">
        <v>39440</v>
      </c>
      <c r="C3184" s="710" t="s">
        <v>11524</v>
      </c>
      <c r="D3184" s="709" t="s">
        <v>136</v>
      </c>
      <c r="E3184" s="709" t="s">
        <v>8432</v>
      </c>
      <c r="F3184" s="716"/>
      <c r="G3184" s="716">
        <v>0.18</v>
      </c>
      <c r="H3184" s="225">
        <f t="shared" si="49"/>
        <v>0.18</v>
      </c>
    </row>
    <row r="3185" spans="1:8" x14ac:dyDescent="0.3">
      <c r="A3185" s="401"/>
      <c r="B3185" s="709">
        <v>39441</v>
      </c>
      <c r="C3185" s="710" t="s">
        <v>11525</v>
      </c>
      <c r="D3185" s="709" t="s">
        <v>136</v>
      </c>
      <c r="E3185" s="709" t="s">
        <v>8432</v>
      </c>
      <c r="F3185" s="716"/>
      <c r="G3185" s="716">
        <v>0.23</v>
      </c>
      <c r="H3185" s="225">
        <f t="shared" si="49"/>
        <v>0.23</v>
      </c>
    </row>
    <row r="3186" spans="1:8" x14ac:dyDescent="0.3">
      <c r="A3186" s="401"/>
      <c r="B3186" s="709">
        <v>39442</v>
      </c>
      <c r="C3186" s="710" t="s">
        <v>11526</v>
      </c>
      <c r="D3186" s="709" t="s">
        <v>136</v>
      </c>
      <c r="E3186" s="709" t="s">
        <v>8432</v>
      </c>
      <c r="F3186" s="716"/>
      <c r="G3186" s="716">
        <v>0.17</v>
      </c>
      <c r="H3186" s="225">
        <f t="shared" si="49"/>
        <v>0.17</v>
      </c>
    </row>
    <row r="3187" spans="1:8" x14ac:dyDescent="0.3">
      <c r="A3187" s="401"/>
      <c r="B3187" s="709">
        <v>39443</v>
      </c>
      <c r="C3187" s="710" t="s">
        <v>11527</v>
      </c>
      <c r="D3187" s="709" t="s">
        <v>136</v>
      </c>
      <c r="E3187" s="709" t="s">
        <v>8432</v>
      </c>
      <c r="F3187" s="716"/>
      <c r="G3187" s="716">
        <v>0.22</v>
      </c>
      <c r="H3187" s="225">
        <f t="shared" si="49"/>
        <v>0.22</v>
      </c>
    </row>
    <row r="3188" spans="1:8" x14ac:dyDescent="0.3">
      <c r="A3188" s="401"/>
      <c r="B3188" s="709">
        <v>4329</v>
      </c>
      <c r="C3188" s="710" t="s">
        <v>11528</v>
      </c>
      <c r="D3188" s="709" t="s">
        <v>136</v>
      </c>
      <c r="E3188" s="709" t="s">
        <v>8438</v>
      </c>
      <c r="F3188" s="716"/>
      <c r="G3188" s="716">
        <v>2</v>
      </c>
      <c r="H3188" s="225">
        <f t="shared" si="49"/>
        <v>2</v>
      </c>
    </row>
    <row r="3189" spans="1:8" x14ac:dyDescent="0.3">
      <c r="A3189" s="401"/>
      <c r="B3189" s="709">
        <v>44229</v>
      </c>
      <c r="C3189" s="710" t="s">
        <v>14854</v>
      </c>
      <c r="D3189" s="709" t="s">
        <v>136</v>
      </c>
      <c r="E3189" s="709" t="s">
        <v>8432</v>
      </c>
      <c r="F3189" s="716"/>
      <c r="G3189" s="716">
        <v>0.82</v>
      </c>
      <c r="H3189" s="225">
        <f t="shared" si="49"/>
        <v>0.82</v>
      </c>
    </row>
    <row r="3190" spans="1:8" x14ac:dyDescent="0.3">
      <c r="A3190" s="401"/>
      <c r="B3190" s="709">
        <v>436</v>
      </c>
      <c r="C3190" s="710" t="s">
        <v>11529</v>
      </c>
      <c r="D3190" s="709" t="s">
        <v>136</v>
      </c>
      <c r="E3190" s="709" t="s">
        <v>8432</v>
      </c>
      <c r="F3190" s="716"/>
      <c r="G3190" s="716">
        <v>10.050000000000001</v>
      </c>
      <c r="H3190" s="225">
        <f t="shared" si="49"/>
        <v>10.050000000000001</v>
      </c>
    </row>
    <row r="3191" spans="1:8" x14ac:dyDescent="0.3">
      <c r="A3191" s="401"/>
      <c r="B3191" s="709">
        <v>442</v>
      </c>
      <c r="C3191" s="710" t="s">
        <v>11530</v>
      </c>
      <c r="D3191" s="709" t="s">
        <v>136</v>
      </c>
      <c r="E3191" s="709" t="s">
        <v>8432</v>
      </c>
      <c r="F3191" s="716"/>
      <c r="G3191" s="716">
        <v>5.95</v>
      </c>
      <c r="H3191" s="225">
        <f t="shared" si="49"/>
        <v>5.95</v>
      </c>
    </row>
    <row r="3192" spans="1:8" x14ac:dyDescent="0.3">
      <c r="A3192" s="401"/>
      <c r="B3192" s="709">
        <v>4383</v>
      </c>
      <c r="C3192" s="710" t="s">
        <v>11531</v>
      </c>
      <c r="D3192" s="709" t="s">
        <v>136</v>
      </c>
      <c r="E3192" s="709" t="s">
        <v>8432</v>
      </c>
      <c r="F3192" s="716"/>
      <c r="G3192" s="716">
        <v>18.079999999999998</v>
      </c>
      <c r="H3192" s="225">
        <f t="shared" si="49"/>
        <v>18.079999999999998</v>
      </c>
    </row>
    <row r="3193" spans="1:8" x14ac:dyDescent="0.3">
      <c r="A3193" s="401"/>
      <c r="B3193" s="709">
        <v>4344</v>
      </c>
      <c r="C3193" s="710" t="s">
        <v>11532</v>
      </c>
      <c r="D3193" s="709" t="s">
        <v>136</v>
      </c>
      <c r="E3193" s="709" t="s">
        <v>8432</v>
      </c>
      <c r="F3193" s="716"/>
      <c r="G3193" s="716">
        <v>18.95</v>
      </c>
      <c r="H3193" s="225">
        <f t="shared" si="49"/>
        <v>18.95</v>
      </c>
    </row>
    <row r="3194" spans="1:8" x14ac:dyDescent="0.3">
      <c r="A3194" s="401"/>
      <c r="B3194" s="709">
        <v>4335</v>
      </c>
      <c r="C3194" s="710" t="s">
        <v>11533</v>
      </c>
      <c r="D3194" s="709" t="s">
        <v>136</v>
      </c>
      <c r="E3194" s="709" t="s">
        <v>8432</v>
      </c>
      <c r="F3194" s="716"/>
      <c r="G3194" s="716">
        <v>12.73</v>
      </c>
      <c r="H3194" s="225">
        <f t="shared" si="49"/>
        <v>12.73</v>
      </c>
    </row>
    <row r="3195" spans="1:8" x14ac:dyDescent="0.3">
      <c r="A3195" s="401"/>
      <c r="B3195" s="709">
        <v>4334</v>
      </c>
      <c r="C3195" s="710" t="s">
        <v>11534</v>
      </c>
      <c r="D3195" s="709" t="s">
        <v>136</v>
      </c>
      <c r="E3195" s="709" t="s">
        <v>8432</v>
      </c>
      <c r="F3195" s="716"/>
      <c r="G3195" s="716">
        <v>17.46</v>
      </c>
      <c r="H3195" s="225">
        <f t="shared" si="49"/>
        <v>17.46</v>
      </c>
    </row>
    <row r="3196" spans="1:8" x14ac:dyDescent="0.3">
      <c r="A3196" s="401"/>
      <c r="B3196" s="709">
        <v>11953</v>
      </c>
      <c r="C3196" s="710" t="s">
        <v>11535</v>
      </c>
      <c r="D3196" s="709" t="s">
        <v>136</v>
      </c>
      <c r="E3196" s="709" t="s">
        <v>8432</v>
      </c>
      <c r="F3196" s="716"/>
      <c r="G3196" s="716">
        <v>3</v>
      </c>
      <c r="H3196" s="225">
        <f t="shared" si="49"/>
        <v>3</v>
      </c>
    </row>
    <row r="3197" spans="1:8" x14ac:dyDescent="0.3">
      <c r="A3197" s="401"/>
      <c r="B3197" s="709">
        <v>4343</v>
      </c>
      <c r="C3197" s="710" t="s">
        <v>11536</v>
      </c>
      <c r="D3197" s="709" t="s">
        <v>136</v>
      </c>
      <c r="E3197" s="709" t="s">
        <v>8432</v>
      </c>
      <c r="F3197" s="716"/>
      <c r="G3197" s="716">
        <v>4.29</v>
      </c>
      <c r="H3197" s="225">
        <f t="shared" si="49"/>
        <v>4.29</v>
      </c>
    </row>
    <row r="3198" spans="1:8" x14ac:dyDescent="0.3">
      <c r="A3198" s="401"/>
      <c r="B3198" s="709">
        <v>44738</v>
      </c>
      <c r="C3198" s="710" t="s">
        <v>14855</v>
      </c>
      <c r="D3198" s="709" t="s">
        <v>136</v>
      </c>
      <c r="E3198" s="709" t="s">
        <v>8432</v>
      </c>
      <c r="F3198" s="716"/>
      <c r="G3198" s="716">
        <v>0.65</v>
      </c>
      <c r="H3198" s="225">
        <f t="shared" si="49"/>
        <v>0.65</v>
      </c>
    </row>
    <row r="3199" spans="1:8" x14ac:dyDescent="0.3">
      <c r="A3199" s="401"/>
      <c r="B3199" s="709">
        <v>430</v>
      </c>
      <c r="C3199" s="710" t="s">
        <v>11537</v>
      </c>
      <c r="D3199" s="709" t="s">
        <v>136</v>
      </c>
      <c r="E3199" s="709" t="s">
        <v>8432</v>
      </c>
      <c r="F3199" s="716"/>
      <c r="G3199" s="716">
        <v>9</v>
      </c>
      <c r="H3199" s="225">
        <f t="shared" si="49"/>
        <v>9</v>
      </c>
    </row>
    <row r="3200" spans="1:8" x14ac:dyDescent="0.3">
      <c r="A3200" s="401"/>
      <c r="B3200" s="709">
        <v>441</v>
      </c>
      <c r="C3200" s="710" t="s">
        <v>11538</v>
      </c>
      <c r="D3200" s="709" t="s">
        <v>136</v>
      </c>
      <c r="E3200" s="709" t="s">
        <v>8432</v>
      </c>
      <c r="F3200" s="716"/>
      <c r="G3200" s="716">
        <v>9.9</v>
      </c>
      <c r="H3200" s="225">
        <f t="shared" si="49"/>
        <v>9.9</v>
      </c>
    </row>
    <row r="3201" spans="1:8" x14ac:dyDescent="0.3">
      <c r="A3201" s="401"/>
      <c r="B3201" s="709">
        <v>431</v>
      </c>
      <c r="C3201" s="710" t="s">
        <v>11539</v>
      </c>
      <c r="D3201" s="709" t="s">
        <v>136</v>
      </c>
      <c r="E3201" s="709" t="s">
        <v>8432</v>
      </c>
      <c r="F3201" s="716"/>
      <c r="G3201" s="716">
        <v>11.96</v>
      </c>
      <c r="H3201" s="225">
        <f t="shared" si="49"/>
        <v>11.96</v>
      </c>
    </row>
    <row r="3202" spans="1:8" x14ac:dyDescent="0.3">
      <c r="A3202" s="401"/>
      <c r="B3202" s="709">
        <v>432</v>
      </c>
      <c r="C3202" s="710" t="s">
        <v>11540</v>
      </c>
      <c r="D3202" s="709" t="s">
        <v>136</v>
      </c>
      <c r="E3202" s="709" t="s">
        <v>8432</v>
      </c>
      <c r="F3202" s="716"/>
      <c r="G3202" s="716">
        <v>13.2</v>
      </c>
      <c r="H3202" s="225">
        <f t="shared" si="49"/>
        <v>13.2</v>
      </c>
    </row>
    <row r="3203" spans="1:8" x14ac:dyDescent="0.3">
      <c r="A3203" s="401"/>
      <c r="B3203" s="709">
        <v>429</v>
      </c>
      <c r="C3203" s="710" t="s">
        <v>11541</v>
      </c>
      <c r="D3203" s="709" t="s">
        <v>136</v>
      </c>
      <c r="E3203" s="709" t="s">
        <v>8432</v>
      </c>
      <c r="F3203" s="716"/>
      <c r="G3203" s="716">
        <v>17.79</v>
      </c>
      <c r="H3203" s="225">
        <f t="shared" si="49"/>
        <v>17.79</v>
      </c>
    </row>
    <row r="3204" spans="1:8" x14ac:dyDescent="0.3">
      <c r="A3204" s="401"/>
      <c r="B3204" s="709">
        <v>439</v>
      </c>
      <c r="C3204" s="710" t="s">
        <v>11542</v>
      </c>
      <c r="D3204" s="709" t="s">
        <v>136</v>
      </c>
      <c r="E3204" s="709" t="s">
        <v>8432</v>
      </c>
      <c r="F3204" s="716"/>
      <c r="G3204" s="716">
        <v>15.16</v>
      </c>
      <c r="H3204" s="225">
        <f t="shared" si="49"/>
        <v>15.16</v>
      </c>
    </row>
    <row r="3205" spans="1:8" x14ac:dyDescent="0.3">
      <c r="A3205" s="401"/>
      <c r="B3205" s="709">
        <v>433</v>
      </c>
      <c r="C3205" s="710" t="s">
        <v>11543</v>
      </c>
      <c r="D3205" s="709" t="s">
        <v>136</v>
      </c>
      <c r="E3205" s="709" t="s">
        <v>8432</v>
      </c>
      <c r="F3205" s="716"/>
      <c r="G3205" s="716">
        <v>17.7</v>
      </c>
      <c r="H3205" s="225">
        <f t="shared" si="49"/>
        <v>17.7</v>
      </c>
    </row>
    <row r="3206" spans="1:8" x14ac:dyDescent="0.3">
      <c r="A3206" s="401"/>
      <c r="B3206" s="709">
        <v>437</v>
      </c>
      <c r="C3206" s="710" t="s">
        <v>11544</v>
      </c>
      <c r="D3206" s="709" t="s">
        <v>136</v>
      </c>
      <c r="E3206" s="709" t="s">
        <v>8432</v>
      </c>
      <c r="F3206" s="716"/>
      <c r="G3206" s="716">
        <v>23.51</v>
      </c>
      <c r="H3206" s="225">
        <f t="shared" si="49"/>
        <v>23.51</v>
      </c>
    </row>
    <row r="3207" spans="1:8" x14ac:dyDescent="0.3">
      <c r="A3207" s="401"/>
      <c r="B3207" s="709">
        <v>11790</v>
      </c>
      <c r="C3207" s="710" t="s">
        <v>11545</v>
      </c>
      <c r="D3207" s="709" t="s">
        <v>136</v>
      </c>
      <c r="E3207" s="709" t="s">
        <v>8432</v>
      </c>
      <c r="F3207" s="716"/>
      <c r="G3207" s="716">
        <v>26.67</v>
      </c>
      <c r="H3207" s="225">
        <f t="shared" si="49"/>
        <v>26.67</v>
      </c>
    </row>
    <row r="3208" spans="1:8" x14ac:dyDescent="0.3">
      <c r="A3208" s="401"/>
      <c r="B3208" s="709">
        <v>428</v>
      </c>
      <c r="C3208" s="710" t="s">
        <v>11546</v>
      </c>
      <c r="D3208" s="709" t="s">
        <v>136</v>
      </c>
      <c r="E3208" s="709" t="s">
        <v>8438</v>
      </c>
      <c r="F3208" s="716"/>
      <c r="G3208" s="716">
        <v>29</v>
      </c>
      <c r="H3208" s="225">
        <f t="shared" si="49"/>
        <v>29</v>
      </c>
    </row>
    <row r="3209" spans="1:8" x14ac:dyDescent="0.3">
      <c r="A3209" s="401"/>
      <c r="B3209" s="709">
        <v>44739</v>
      </c>
      <c r="C3209" s="710" t="s">
        <v>14856</v>
      </c>
      <c r="D3209" s="709" t="s">
        <v>136</v>
      </c>
      <c r="E3209" s="709" t="s">
        <v>8432</v>
      </c>
      <c r="F3209" s="716"/>
      <c r="G3209" s="716">
        <v>1.65</v>
      </c>
      <c r="H3209" s="225">
        <f t="shared" si="49"/>
        <v>1.65</v>
      </c>
    </row>
    <row r="3210" spans="1:8" x14ac:dyDescent="0.3">
      <c r="A3210" s="401"/>
      <c r="B3210" s="709">
        <v>44740</v>
      </c>
      <c r="C3210" s="710" t="s">
        <v>14857</v>
      </c>
      <c r="D3210" s="709" t="s">
        <v>136</v>
      </c>
      <c r="E3210" s="709" t="s">
        <v>8432</v>
      </c>
      <c r="F3210" s="716"/>
      <c r="G3210" s="716">
        <v>7.46</v>
      </c>
      <c r="H3210" s="225">
        <f t="shared" si="49"/>
        <v>7.46</v>
      </c>
    </row>
    <row r="3211" spans="1:8" x14ac:dyDescent="0.3">
      <c r="A3211" s="401"/>
      <c r="B3211" s="709">
        <v>4351</v>
      </c>
      <c r="C3211" s="710" t="s">
        <v>11547</v>
      </c>
      <c r="D3211" s="709" t="s">
        <v>136</v>
      </c>
      <c r="E3211" s="709" t="s">
        <v>8432</v>
      </c>
      <c r="F3211" s="716"/>
      <c r="G3211" s="716">
        <v>15.4</v>
      </c>
      <c r="H3211" s="225">
        <f t="shared" ref="H3211:H3274" si="50">IF(F3211&gt;0,F3211,G3211)</f>
        <v>15.4</v>
      </c>
    </row>
    <row r="3212" spans="1:8" x14ac:dyDescent="0.3">
      <c r="A3212" s="401"/>
      <c r="B3212" s="709">
        <v>4384</v>
      </c>
      <c r="C3212" s="710" t="s">
        <v>11548</v>
      </c>
      <c r="D3212" s="709" t="s">
        <v>136</v>
      </c>
      <c r="E3212" s="709" t="s">
        <v>8432</v>
      </c>
      <c r="F3212" s="716"/>
      <c r="G3212" s="716">
        <v>20.78</v>
      </c>
      <c r="H3212" s="225">
        <f t="shared" si="50"/>
        <v>20.78</v>
      </c>
    </row>
    <row r="3213" spans="1:8" x14ac:dyDescent="0.3">
      <c r="A3213" s="401"/>
      <c r="B3213" s="709">
        <v>43883</v>
      </c>
      <c r="C3213" s="710" t="s">
        <v>14858</v>
      </c>
      <c r="D3213" s="709" t="s">
        <v>136</v>
      </c>
      <c r="E3213" s="709" t="s">
        <v>8432</v>
      </c>
      <c r="F3213" s="716"/>
      <c r="G3213" s="716">
        <v>0.18</v>
      </c>
      <c r="H3213" s="225">
        <f t="shared" si="50"/>
        <v>0.18</v>
      </c>
    </row>
    <row r="3214" spans="1:8" x14ac:dyDescent="0.3">
      <c r="A3214" s="401"/>
      <c r="B3214" s="709">
        <v>11054</v>
      </c>
      <c r="C3214" s="710" t="s">
        <v>11549</v>
      </c>
      <c r="D3214" s="709" t="s">
        <v>136</v>
      </c>
      <c r="E3214" s="709" t="s">
        <v>8432</v>
      </c>
      <c r="F3214" s="716">
        <v>0.04</v>
      </c>
      <c r="G3214" s="716">
        <v>0.04</v>
      </c>
      <c r="H3214" s="225">
        <f t="shared" si="50"/>
        <v>0.04</v>
      </c>
    </row>
    <row r="3215" spans="1:8" x14ac:dyDescent="0.3">
      <c r="A3215" s="401"/>
      <c r="B3215" s="709">
        <v>11055</v>
      </c>
      <c r="C3215" s="710" t="s">
        <v>11550</v>
      </c>
      <c r="D3215" s="709" t="s">
        <v>136</v>
      </c>
      <c r="E3215" s="709" t="s">
        <v>8432</v>
      </c>
      <c r="F3215" s="716">
        <v>0.06</v>
      </c>
      <c r="G3215" s="716">
        <v>7.0000000000000007E-2</v>
      </c>
      <c r="H3215" s="225">
        <f t="shared" si="50"/>
        <v>0.06</v>
      </c>
    </row>
    <row r="3216" spans="1:8" x14ac:dyDescent="0.3">
      <c r="A3216" s="401"/>
      <c r="B3216" s="709">
        <v>11056</v>
      </c>
      <c r="C3216" s="710" t="s">
        <v>11551</v>
      </c>
      <c r="D3216" s="709" t="s">
        <v>136</v>
      </c>
      <c r="E3216" s="709" t="s">
        <v>8432</v>
      </c>
      <c r="F3216" s="716">
        <v>7.0000000000000007E-2</v>
      </c>
      <c r="G3216" s="716">
        <v>0.08</v>
      </c>
      <c r="H3216" s="225">
        <f t="shared" si="50"/>
        <v>7.0000000000000007E-2</v>
      </c>
    </row>
    <row r="3217" spans="1:8" x14ac:dyDescent="0.3">
      <c r="A3217" s="401"/>
      <c r="B3217" s="709">
        <v>11057</v>
      </c>
      <c r="C3217" s="710" t="s">
        <v>11552</v>
      </c>
      <c r="D3217" s="709" t="s">
        <v>136</v>
      </c>
      <c r="E3217" s="709" t="s">
        <v>8432</v>
      </c>
      <c r="F3217" s="716">
        <v>0.14000000000000001</v>
      </c>
      <c r="G3217" s="716">
        <v>0.16</v>
      </c>
      <c r="H3217" s="225">
        <f t="shared" si="50"/>
        <v>0.14000000000000001</v>
      </c>
    </row>
    <row r="3218" spans="1:8" x14ac:dyDescent="0.3">
      <c r="A3218" s="401"/>
      <c r="B3218" s="709">
        <v>11059</v>
      </c>
      <c r="C3218" s="710" t="s">
        <v>11553</v>
      </c>
      <c r="D3218" s="709" t="s">
        <v>136</v>
      </c>
      <c r="E3218" s="709" t="s">
        <v>8432</v>
      </c>
      <c r="F3218" s="716">
        <v>0.28000000000000003</v>
      </c>
      <c r="G3218" s="716">
        <v>0.31</v>
      </c>
      <c r="H3218" s="225">
        <f t="shared" si="50"/>
        <v>0.28000000000000003</v>
      </c>
    </row>
    <row r="3219" spans="1:8" x14ac:dyDescent="0.3">
      <c r="A3219" s="401"/>
      <c r="B3219" s="709">
        <v>11058</v>
      </c>
      <c r="C3219" s="710" t="s">
        <v>11554</v>
      </c>
      <c r="D3219" s="709" t="s">
        <v>136</v>
      </c>
      <c r="E3219" s="709" t="s">
        <v>8432</v>
      </c>
      <c r="F3219" s="716">
        <v>0.36</v>
      </c>
      <c r="G3219" s="716">
        <v>0.41</v>
      </c>
      <c r="H3219" s="225">
        <f t="shared" si="50"/>
        <v>0.36</v>
      </c>
    </row>
    <row r="3220" spans="1:8" x14ac:dyDescent="0.3">
      <c r="A3220" s="401"/>
      <c r="B3220" s="709">
        <v>4320</v>
      </c>
      <c r="C3220" s="710" t="s">
        <v>11555</v>
      </c>
      <c r="D3220" s="709" t="s">
        <v>136</v>
      </c>
      <c r="E3220" s="709" t="s">
        <v>8432</v>
      </c>
      <c r="F3220" s="716">
        <v>2.92</v>
      </c>
      <c r="G3220" s="716">
        <v>3.28</v>
      </c>
      <c r="H3220" s="225">
        <f t="shared" si="50"/>
        <v>2.92</v>
      </c>
    </row>
    <row r="3221" spans="1:8" x14ac:dyDescent="0.3">
      <c r="A3221" s="401"/>
      <c r="B3221" s="709">
        <v>4318</v>
      </c>
      <c r="C3221" s="710" t="s">
        <v>11556</v>
      </c>
      <c r="D3221" s="709" t="s">
        <v>136</v>
      </c>
      <c r="E3221" s="709" t="s">
        <v>8432</v>
      </c>
      <c r="F3221" s="716">
        <v>1.42</v>
      </c>
      <c r="G3221" s="716">
        <v>1.59</v>
      </c>
      <c r="H3221" s="225">
        <f t="shared" si="50"/>
        <v>1.42</v>
      </c>
    </row>
    <row r="3222" spans="1:8" x14ac:dyDescent="0.3">
      <c r="A3222" s="401"/>
      <c r="B3222" s="709">
        <v>4380</v>
      </c>
      <c r="C3222" s="710" t="s">
        <v>11557</v>
      </c>
      <c r="D3222" s="709" t="s">
        <v>136</v>
      </c>
      <c r="E3222" s="709" t="s">
        <v>8432</v>
      </c>
      <c r="F3222" s="716">
        <v>1.23</v>
      </c>
      <c r="G3222" s="716">
        <v>1.38</v>
      </c>
      <c r="H3222" s="225">
        <f t="shared" si="50"/>
        <v>1.23</v>
      </c>
    </row>
    <row r="3223" spans="1:8" x14ac:dyDescent="0.3">
      <c r="A3223" s="401"/>
      <c r="B3223" s="709">
        <v>4299</v>
      </c>
      <c r="C3223" s="710" t="s">
        <v>11558</v>
      </c>
      <c r="D3223" s="709" t="s">
        <v>136</v>
      </c>
      <c r="E3223" s="709" t="s">
        <v>8438</v>
      </c>
      <c r="F3223" s="716">
        <v>1.1599999999999999</v>
      </c>
      <c r="G3223" s="716">
        <v>1.3</v>
      </c>
      <c r="H3223" s="225">
        <f t="shared" si="50"/>
        <v>1.1599999999999999</v>
      </c>
    </row>
    <row r="3224" spans="1:8" x14ac:dyDescent="0.3">
      <c r="A3224" s="401"/>
      <c r="B3224" s="709">
        <v>4304</v>
      </c>
      <c r="C3224" s="710" t="s">
        <v>11559</v>
      </c>
      <c r="D3224" s="709" t="s">
        <v>136</v>
      </c>
      <c r="E3224" s="709" t="s">
        <v>8432</v>
      </c>
      <c r="F3224" s="716">
        <v>1.58</v>
      </c>
      <c r="G3224" s="716">
        <v>1.77</v>
      </c>
      <c r="H3224" s="225">
        <f t="shared" si="50"/>
        <v>1.58</v>
      </c>
    </row>
    <row r="3225" spans="1:8" x14ac:dyDescent="0.3">
      <c r="A3225" s="401"/>
      <c r="B3225" s="709">
        <v>4305</v>
      </c>
      <c r="C3225" s="710" t="s">
        <v>11560</v>
      </c>
      <c r="D3225" s="709" t="s">
        <v>136</v>
      </c>
      <c r="E3225" s="709" t="s">
        <v>8432</v>
      </c>
      <c r="F3225" s="716">
        <v>1.84</v>
      </c>
      <c r="G3225" s="716">
        <v>2.06</v>
      </c>
      <c r="H3225" s="225">
        <f t="shared" si="50"/>
        <v>1.84</v>
      </c>
    </row>
    <row r="3226" spans="1:8" x14ac:dyDescent="0.3">
      <c r="A3226" s="401"/>
      <c r="B3226" s="709">
        <v>4306</v>
      </c>
      <c r="C3226" s="710" t="s">
        <v>11561</v>
      </c>
      <c r="D3226" s="709" t="s">
        <v>136</v>
      </c>
      <c r="E3226" s="709" t="s">
        <v>8432</v>
      </c>
      <c r="F3226" s="716">
        <v>2.13</v>
      </c>
      <c r="G3226" s="716">
        <v>2.39</v>
      </c>
      <c r="H3226" s="225">
        <f t="shared" si="50"/>
        <v>2.13</v>
      </c>
    </row>
    <row r="3227" spans="1:8" x14ac:dyDescent="0.3">
      <c r="A3227" s="401"/>
      <c r="B3227" s="709">
        <v>4308</v>
      </c>
      <c r="C3227" s="710" t="s">
        <v>11562</v>
      </c>
      <c r="D3227" s="709" t="s">
        <v>136</v>
      </c>
      <c r="E3227" s="709" t="s">
        <v>8432</v>
      </c>
      <c r="F3227" s="716">
        <v>4.41</v>
      </c>
      <c r="G3227" s="716">
        <v>4.95</v>
      </c>
      <c r="H3227" s="225">
        <f t="shared" si="50"/>
        <v>4.41</v>
      </c>
    </row>
    <row r="3228" spans="1:8" x14ac:dyDescent="0.3">
      <c r="A3228" s="401"/>
      <c r="B3228" s="709">
        <v>4302</v>
      </c>
      <c r="C3228" s="710" t="s">
        <v>11563</v>
      </c>
      <c r="D3228" s="709" t="s">
        <v>136</v>
      </c>
      <c r="E3228" s="709" t="s">
        <v>8432</v>
      </c>
      <c r="F3228" s="716">
        <v>3.31</v>
      </c>
      <c r="G3228" s="716">
        <v>3.71</v>
      </c>
      <c r="H3228" s="225">
        <f t="shared" si="50"/>
        <v>3.31</v>
      </c>
    </row>
    <row r="3229" spans="1:8" x14ac:dyDescent="0.3">
      <c r="A3229" s="401"/>
      <c r="B3229" s="709">
        <v>4300</v>
      </c>
      <c r="C3229" s="710" t="s">
        <v>11564</v>
      </c>
      <c r="D3229" s="709" t="s">
        <v>136</v>
      </c>
      <c r="E3229" s="709" t="s">
        <v>8432</v>
      </c>
      <c r="F3229" s="716">
        <v>0.79</v>
      </c>
      <c r="G3229" s="716">
        <v>0.88</v>
      </c>
      <c r="H3229" s="225">
        <f t="shared" si="50"/>
        <v>0.79</v>
      </c>
    </row>
    <row r="3230" spans="1:8" x14ac:dyDescent="0.3">
      <c r="A3230" s="401"/>
      <c r="B3230" s="709">
        <v>4301</v>
      </c>
      <c r="C3230" s="710" t="s">
        <v>11565</v>
      </c>
      <c r="D3230" s="709" t="s">
        <v>136</v>
      </c>
      <c r="E3230" s="709" t="s">
        <v>8432</v>
      </c>
      <c r="F3230" s="716">
        <v>0.96</v>
      </c>
      <c r="G3230" s="716">
        <v>1.08</v>
      </c>
      <c r="H3230" s="225">
        <f t="shared" si="50"/>
        <v>0.96</v>
      </c>
    </row>
    <row r="3231" spans="1:8" x14ac:dyDescent="0.3">
      <c r="A3231" s="401"/>
      <c r="B3231" s="709">
        <v>40547</v>
      </c>
      <c r="C3231" s="710" t="s">
        <v>14859</v>
      </c>
      <c r="D3231" s="709" t="s">
        <v>10467</v>
      </c>
      <c r="E3231" s="709" t="s">
        <v>8432</v>
      </c>
      <c r="F3231" s="716"/>
      <c r="G3231" s="716">
        <v>25.25</v>
      </c>
      <c r="H3231" s="225">
        <f t="shared" si="50"/>
        <v>25.25</v>
      </c>
    </row>
    <row r="3232" spans="1:8" x14ac:dyDescent="0.3">
      <c r="A3232" s="401"/>
      <c r="B3232" s="709">
        <v>11962</v>
      </c>
      <c r="C3232" s="710" t="s">
        <v>11566</v>
      </c>
      <c r="D3232" s="709" t="s">
        <v>136</v>
      </c>
      <c r="E3232" s="709" t="s">
        <v>8432</v>
      </c>
      <c r="F3232" s="716"/>
      <c r="G3232" s="716">
        <v>0.2</v>
      </c>
      <c r="H3232" s="225">
        <f t="shared" si="50"/>
        <v>0.2</v>
      </c>
    </row>
    <row r="3233" spans="1:8" x14ac:dyDescent="0.3">
      <c r="A3233" s="401"/>
      <c r="B3233" s="709">
        <v>4332</v>
      </c>
      <c r="C3233" s="710" t="s">
        <v>11567</v>
      </c>
      <c r="D3233" s="709" t="s">
        <v>136</v>
      </c>
      <c r="E3233" s="709" t="s">
        <v>8432</v>
      </c>
      <c r="F3233" s="716"/>
      <c r="G3233" s="716">
        <v>1</v>
      </c>
      <c r="H3233" s="225">
        <f t="shared" si="50"/>
        <v>1</v>
      </c>
    </row>
    <row r="3234" spans="1:8" x14ac:dyDescent="0.3">
      <c r="A3234" s="401"/>
      <c r="B3234" s="709">
        <v>4331</v>
      </c>
      <c r="C3234" s="710" t="s">
        <v>11568</v>
      </c>
      <c r="D3234" s="709" t="s">
        <v>136</v>
      </c>
      <c r="E3234" s="709" t="s">
        <v>8432</v>
      </c>
      <c r="F3234" s="716"/>
      <c r="G3234" s="716">
        <v>3.79</v>
      </c>
      <c r="H3234" s="225">
        <f t="shared" si="50"/>
        <v>3.79</v>
      </c>
    </row>
    <row r="3235" spans="1:8" x14ac:dyDescent="0.3">
      <c r="A3235" s="401"/>
      <c r="B3235" s="709">
        <v>4336</v>
      </c>
      <c r="C3235" s="710" t="s">
        <v>11569</v>
      </c>
      <c r="D3235" s="709" t="s">
        <v>136</v>
      </c>
      <c r="E3235" s="709" t="s">
        <v>8432</v>
      </c>
      <c r="F3235" s="716"/>
      <c r="G3235" s="716">
        <v>4.8499999999999996</v>
      </c>
      <c r="H3235" s="225">
        <f t="shared" si="50"/>
        <v>4.8499999999999996</v>
      </c>
    </row>
    <row r="3236" spans="1:8" x14ac:dyDescent="0.3">
      <c r="A3236" s="401"/>
      <c r="B3236" s="709">
        <v>11948</v>
      </c>
      <c r="C3236" s="710" t="s">
        <v>11570</v>
      </c>
      <c r="D3236" s="709" t="s">
        <v>136</v>
      </c>
      <c r="E3236" s="709" t="s">
        <v>8432</v>
      </c>
      <c r="F3236" s="716"/>
      <c r="G3236" s="716">
        <v>0.62</v>
      </c>
      <c r="H3236" s="225">
        <f t="shared" si="50"/>
        <v>0.62</v>
      </c>
    </row>
    <row r="3237" spans="1:8" x14ac:dyDescent="0.3">
      <c r="A3237" s="401"/>
      <c r="B3237" s="709">
        <v>4382</v>
      </c>
      <c r="C3237" s="710" t="s">
        <v>11571</v>
      </c>
      <c r="D3237" s="709" t="s">
        <v>136</v>
      </c>
      <c r="E3237" s="709" t="s">
        <v>8432</v>
      </c>
      <c r="F3237" s="716"/>
      <c r="G3237" s="716">
        <v>1.04</v>
      </c>
      <c r="H3237" s="225">
        <f t="shared" si="50"/>
        <v>1.04</v>
      </c>
    </row>
    <row r="3238" spans="1:8" x14ac:dyDescent="0.3">
      <c r="A3238" s="401"/>
      <c r="B3238" s="709">
        <v>4354</v>
      </c>
      <c r="C3238" s="710" t="s">
        <v>11572</v>
      </c>
      <c r="D3238" s="709" t="s">
        <v>136</v>
      </c>
      <c r="E3238" s="709" t="s">
        <v>8432</v>
      </c>
      <c r="F3238" s="716"/>
      <c r="G3238" s="716">
        <v>43.47</v>
      </c>
      <c r="H3238" s="225">
        <f t="shared" si="50"/>
        <v>43.47</v>
      </c>
    </row>
    <row r="3239" spans="1:8" x14ac:dyDescent="0.3">
      <c r="A3239" s="401"/>
      <c r="B3239" s="709">
        <v>40839</v>
      </c>
      <c r="C3239" s="710" t="s">
        <v>11573</v>
      </c>
      <c r="D3239" s="709" t="s">
        <v>10467</v>
      </c>
      <c r="E3239" s="709" t="s">
        <v>8432</v>
      </c>
      <c r="F3239" s="716"/>
      <c r="G3239" s="716">
        <v>104.61</v>
      </c>
      <c r="H3239" s="225">
        <f t="shared" si="50"/>
        <v>104.61</v>
      </c>
    </row>
    <row r="3240" spans="1:8" x14ac:dyDescent="0.3">
      <c r="A3240" s="401"/>
      <c r="B3240" s="709">
        <v>40552</v>
      </c>
      <c r="C3240" s="710" t="s">
        <v>11574</v>
      </c>
      <c r="D3240" s="709" t="s">
        <v>10467</v>
      </c>
      <c r="E3240" s="709" t="s">
        <v>8432</v>
      </c>
      <c r="F3240" s="716"/>
      <c r="G3240" s="716">
        <v>43.29</v>
      </c>
      <c r="H3240" s="225">
        <f t="shared" si="50"/>
        <v>43.29</v>
      </c>
    </row>
    <row r="3241" spans="1:8" x14ac:dyDescent="0.3">
      <c r="A3241" s="401"/>
      <c r="B3241" s="709">
        <v>40549</v>
      </c>
      <c r="C3241" s="710" t="s">
        <v>11575</v>
      </c>
      <c r="D3241" s="709" t="s">
        <v>10467</v>
      </c>
      <c r="E3241" s="709" t="s">
        <v>8432</v>
      </c>
      <c r="F3241" s="716"/>
      <c r="G3241" s="716">
        <v>171.35</v>
      </c>
      <c r="H3241" s="225">
        <f t="shared" si="50"/>
        <v>171.35</v>
      </c>
    </row>
    <row r="3242" spans="1:8" x14ac:dyDescent="0.3">
      <c r="A3242" s="401"/>
      <c r="B3242" s="709">
        <v>43851</v>
      </c>
      <c r="C3242" s="710" t="s">
        <v>14860</v>
      </c>
      <c r="D3242" s="709" t="s">
        <v>136</v>
      </c>
      <c r="E3242" s="709" t="s">
        <v>8432</v>
      </c>
      <c r="F3242" s="716"/>
      <c r="G3242" s="716">
        <v>0.48</v>
      </c>
      <c r="H3242" s="225">
        <f t="shared" si="50"/>
        <v>0.48</v>
      </c>
    </row>
    <row r="3243" spans="1:8" x14ac:dyDescent="0.3">
      <c r="A3243" s="401"/>
      <c r="B3243" s="709">
        <v>43965</v>
      </c>
      <c r="C3243" s="710" t="s">
        <v>14861</v>
      </c>
      <c r="D3243" s="709" t="s">
        <v>136</v>
      </c>
      <c r="E3243" s="709" t="s">
        <v>8432</v>
      </c>
      <c r="F3243" s="716"/>
      <c r="G3243" s="716">
        <v>0.43</v>
      </c>
      <c r="H3243" s="225">
        <f t="shared" si="50"/>
        <v>0.43</v>
      </c>
    </row>
    <row r="3244" spans="1:8" x14ac:dyDescent="0.3">
      <c r="A3244" s="401"/>
      <c r="B3244" s="709">
        <v>4385</v>
      </c>
      <c r="C3244" s="710" t="s">
        <v>11576</v>
      </c>
      <c r="D3244" s="709" t="s">
        <v>11577</v>
      </c>
      <c r="E3244" s="709" t="s">
        <v>8432</v>
      </c>
      <c r="F3244" s="716">
        <v>2799.82</v>
      </c>
      <c r="G3244" s="716">
        <v>3250.48</v>
      </c>
      <c r="H3244" s="225">
        <f t="shared" si="50"/>
        <v>2799.82</v>
      </c>
    </row>
    <row r="3245" spans="1:8" x14ac:dyDescent="0.3">
      <c r="A3245" s="401"/>
      <c r="B3245" s="709">
        <v>45236</v>
      </c>
      <c r="C3245" s="710" t="s">
        <v>11578</v>
      </c>
      <c r="D3245" s="709" t="s">
        <v>175</v>
      </c>
      <c r="E3245" s="709" t="s">
        <v>8432</v>
      </c>
      <c r="F3245" s="716">
        <v>20.95</v>
      </c>
      <c r="G3245" s="716">
        <v>23.73</v>
      </c>
      <c r="H3245" s="225">
        <f t="shared" si="50"/>
        <v>20.95</v>
      </c>
    </row>
    <row r="3246" spans="1:8" x14ac:dyDescent="0.3">
      <c r="A3246" s="401"/>
      <c r="B3246" s="709">
        <v>20078</v>
      </c>
      <c r="C3246" s="710" t="s">
        <v>11579</v>
      </c>
      <c r="D3246" s="709" t="s">
        <v>136</v>
      </c>
      <c r="E3246" s="709" t="s">
        <v>8432</v>
      </c>
      <c r="F3246" s="716">
        <v>36.14</v>
      </c>
      <c r="G3246" s="716">
        <v>27.31</v>
      </c>
      <c r="H3246" s="225">
        <f t="shared" si="50"/>
        <v>36.14</v>
      </c>
    </row>
    <row r="3247" spans="1:8" x14ac:dyDescent="0.3">
      <c r="A3247" s="401"/>
      <c r="B3247" s="709">
        <v>39897</v>
      </c>
      <c r="C3247" s="710" t="s">
        <v>11580</v>
      </c>
      <c r="D3247" s="709" t="s">
        <v>136</v>
      </c>
      <c r="E3247" s="709" t="s">
        <v>8432</v>
      </c>
      <c r="F3247" s="716"/>
      <c r="G3247" s="716">
        <v>73.349999999999994</v>
      </c>
      <c r="H3247" s="225">
        <f t="shared" si="50"/>
        <v>73.349999999999994</v>
      </c>
    </row>
    <row r="3248" spans="1:8" x14ac:dyDescent="0.3">
      <c r="A3248" s="401"/>
      <c r="B3248" s="709">
        <v>118</v>
      </c>
      <c r="C3248" s="710" t="s">
        <v>11581</v>
      </c>
      <c r="D3248" s="709" t="s">
        <v>136</v>
      </c>
      <c r="E3248" s="709" t="s">
        <v>8432</v>
      </c>
      <c r="F3248" s="716">
        <v>76.400000000000006</v>
      </c>
      <c r="G3248" s="716">
        <v>57.74</v>
      </c>
      <c r="H3248" s="225">
        <f t="shared" si="50"/>
        <v>76.400000000000006</v>
      </c>
    </row>
    <row r="3249" spans="1:8" x14ac:dyDescent="0.3">
      <c r="A3249" s="401"/>
      <c r="B3249" s="709">
        <v>4396</v>
      </c>
      <c r="C3249" s="710" t="s">
        <v>11582</v>
      </c>
      <c r="D3249" s="709" t="s">
        <v>168</v>
      </c>
      <c r="E3249" s="709" t="s">
        <v>8432</v>
      </c>
      <c r="F3249" s="716">
        <v>320.13</v>
      </c>
      <c r="G3249" s="716">
        <v>250.77</v>
      </c>
      <c r="H3249" s="225">
        <f t="shared" si="50"/>
        <v>320.13</v>
      </c>
    </row>
    <row r="3250" spans="1:8" x14ac:dyDescent="0.3">
      <c r="A3250" s="401"/>
      <c r="B3250" s="709">
        <v>36881</v>
      </c>
      <c r="C3250" s="710" t="s">
        <v>11583</v>
      </c>
      <c r="D3250" s="709" t="s">
        <v>168</v>
      </c>
      <c r="E3250" s="709" t="s">
        <v>8432</v>
      </c>
      <c r="F3250" s="716">
        <v>233.71</v>
      </c>
      <c r="G3250" s="716">
        <v>183.07</v>
      </c>
      <c r="H3250" s="225">
        <f t="shared" si="50"/>
        <v>233.71</v>
      </c>
    </row>
    <row r="3251" spans="1:8" x14ac:dyDescent="0.3">
      <c r="A3251" s="401"/>
      <c r="B3251" s="709">
        <v>4397</v>
      </c>
      <c r="C3251" s="710" t="s">
        <v>11584</v>
      </c>
      <c r="D3251" s="709" t="s">
        <v>168</v>
      </c>
      <c r="E3251" s="709" t="s">
        <v>8432</v>
      </c>
      <c r="F3251" s="716">
        <v>325.45999999999998</v>
      </c>
      <c r="G3251" s="716">
        <v>254.95</v>
      </c>
      <c r="H3251" s="225">
        <f t="shared" si="50"/>
        <v>325.45999999999998</v>
      </c>
    </row>
    <row r="3252" spans="1:8" x14ac:dyDescent="0.3">
      <c r="A3252" s="401"/>
      <c r="B3252" s="709">
        <v>36882</v>
      </c>
      <c r="C3252" s="710" t="s">
        <v>11585</v>
      </c>
      <c r="D3252" s="709" t="s">
        <v>168</v>
      </c>
      <c r="E3252" s="709" t="s">
        <v>8432</v>
      </c>
      <c r="F3252" s="716">
        <v>238.31</v>
      </c>
      <c r="G3252" s="716">
        <v>186.67</v>
      </c>
      <c r="H3252" s="225">
        <f t="shared" si="50"/>
        <v>238.31</v>
      </c>
    </row>
    <row r="3253" spans="1:8" x14ac:dyDescent="0.3">
      <c r="A3253" s="401"/>
      <c r="B3253" s="709">
        <v>4751</v>
      </c>
      <c r="C3253" s="710" t="s">
        <v>11586</v>
      </c>
      <c r="D3253" s="709" t="s">
        <v>234</v>
      </c>
      <c r="E3253" s="709" t="s">
        <v>8432</v>
      </c>
      <c r="F3253" s="716">
        <v>23.97</v>
      </c>
      <c r="G3253" s="716">
        <v>27.39</v>
      </c>
      <c r="H3253" s="225">
        <f t="shared" si="50"/>
        <v>23.97</v>
      </c>
    </row>
    <row r="3254" spans="1:8" x14ac:dyDescent="0.3">
      <c r="A3254" s="401"/>
      <c r="B3254" s="709">
        <v>41066</v>
      </c>
      <c r="C3254" s="710" t="s">
        <v>11587</v>
      </c>
      <c r="D3254" s="709" t="s">
        <v>208</v>
      </c>
      <c r="E3254" s="709" t="s">
        <v>8432</v>
      </c>
      <c r="F3254" s="716">
        <v>4212.2700000000004</v>
      </c>
      <c r="G3254" s="716">
        <v>4797.83</v>
      </c>
      <c r="H3254" s="225">
        <f t="shared" si="50"/>
        <v>4212.2700000000004</v>
      </c>
    </row>
    <row r="3255" spans="1:8" x14ac:dyDescent="0.3">
      <c r="A3255" s="401"/>
      <c r="B3255" s="709">
        <v>39604</v>
      </c>
      <c r="C3255" s="710" t="s">
        <v>11588</v>
      </c>
      <c r="D3255" s="709" t="s">
        <v>136</v>
      </c>
      <c r="E3255" s="709" t="s">
        <v>8432</v>
      </c>
      <c r="F3255" s="716">
        <v>13.87</v>
      </c>
      <c r="G3255" s="716">
        <v>15.6</v>
      </c>
      <c r="H3255" s="225">
        <f t="shared" si="50"/>
        <v>13.87</v>
      </c>
    </row>
    <row r="3256" spans="1:8" x14ac:dyDescent="0.3">
      <c r="A3256" s="401"/>
      <c r="B3256" s="709">
        <v>39605</v>
      </c>
      <c r="C3256" s="710" t="s">
        <v>11589</v>
      </c>
      <c r="D3256" s="709" t="s">
        <v>136</v>
      </c>
      <c r="E3256" s="709" t="s">
        <v>8432</v>
      </c>
      <c r="F3256" s="716">
        <v>15.07</v>
      </c>
      <c r="G3256" s="716">
        <v>16.940000000000001</v>
      </c>
      <c r="H3256" s="225">
        <f t="shared" si="50"/>
        <v>15.07</v>
      </c>
    </row>
    <row r="3257" spans="1:8" x14ac:dyDescent="0.3">
      <c r="A3257" s="401"/>
      <c r="B3257" s="709">
        <v>39606</v>
      </c>
      <c r="C3257" s="710" t="s">
        <v>11590</v>
      </c>
      <c r="D3257" s="709" t="s">
        <v>136</v>
      </c>
      <c r="E3257" s="709" t="s">
        <v>8432</v>
      </c>
      <c r="F3257" s="716">
        <v>26.38</v>
      </c>
      <c r="G3257" s="716">
        <v>29.67</v>
      </c>
      <c r="H3257" s="225">
        <f t="shared" si="50"/>
        <v>26.38</v>
      </c>
    </row>
    <row r="3258" spans="1:8" x14ac:dyDescent="0.3">
      <c r="A3258" s="401"/>
      <c r="B3258" s="709">
        <v>39607</v>
      </c>
      <c r="C3258" s="710" t="s">
        <v>11591</v>
      </c>
      <c r="D3258" s="709" t="s">
        <v>136</v>
      </c>
      <c r="E3258" s="709" t="s">
        <v>8432</v>
      </c>
      <c r="F3258" s="716">
        <v>35.700000000000003</v>
      </c>
      <c r="G3258" s="716">
        <v>40.14</v>
      </c>
      <c r="H3258" s="225">
        <f t="shared" si="50"/>
        <v>35.700000000000003</v>
      </c>
    </row>
    <row r="3259" spans="1:8" x14ac:dyDescent="0.3">
      <c r="A3259" s="401"/>
      <c r="B3259" s="709">
        <v>39594</v>
      </c>
      <c r="C3259" s="710" t="s">
        <v>14862</v>
      </c>
      <c r="D3259" s="709" t="s">
        <v>136</v>
      </c>
      <c r="E3259" s="709" t="s">
        <v>8438</v>
      </c>
      <c r="F3259" s="716">
        <v>349.56</v>
      </c>
      <c r="G3259" s="716">
        <v>277.5</v>
      </c>
      <c r="H3259" s="225">
        <f t="shared" si="50"/>
        <v>349.56</v>
      </c>
    </row>
    <row r="3260" spans="1:8" x14ac:dyDescent="0.3">
      <c r="A3260" s="401"/>
      <c r="B3260" s="709">
        <v>39596</v>
      </c>
      <c r="C3260" s="710" t="s">
        <v>14863</v>
      </c>
      <c r="D3260" s="709" t="s">
        <v>136</v>
      </c>
      <c r="E3260" s="709" t="s">
        <v>8432</v>
      </c>
      <c r="F3260" s="716">
        <v>936.15</v>
      </c>
      <c r="G3260" s="716">
        <v>743.17</v>
      </c>
      <c r="H3260" s="225">
        <f t="shared" si="50"/>
        <v>936.15</v>
      </c>
    </row>
    <row r="3261" spans="1:8" x14ac:dyDescent="0.3">
      <c r="A3261" s="401"/>
      <c r="B3261" s="709">
        <v>39595</v>
      </c>
      <c r="C3261" s="710" t="s">
        <v>14864</v>
      </c>
      <c r="D3261" s="709" t="s">
        <v>136</v>
      </c>
      <c r="E3261" s="709" t="s">
        <v>8432</v>
      </c>
      <c r="F3261" s="716">
        <v>2103.4</v>
      </c>
      <c r="G3261" s="716">
        <v>1669.79</v>
      </c>
      <c r="H3261" s="225">
        <f t="shared" si="50"/>
        <v>2103.4</v>
      </c>
    </row>
    <row r="3262" spans="1:8" x14ac:dyDescent="0.3">
      <c r="A3262" s="401"/>
      <c r="B3262" s="709">
        <v>39597</v>
      </c>
      <c r="C3262" s="710" t="s">
        <v>14865</v>
      </c>
      <c r="D3262" s="709" t="s">
        <v>136</v>
      </c>
      <c r="E3262" s="709" t="s">
        <v>8432</v>
      </c>
      <c r="F3262" s="716">
        <v>3299.46</v>
      </c>
      <c r="G3262" s="716">
        <v>2619.3000000000002</v>
      </c>
      <c r="H3262" s="225">
        <f t="shared" si="50"/>
        <v>3299.46</v>
      </c>
    </row>
    <row r="3263" spans="1:8" x14ac:dyDescent="0.3">
      <c r="A3263" s="401"/>
      <c r="B3263" s="709">
        <v>10731</v>
      </c>
      <c r="C3263" s="710" t="s">
        <v>11592</v>
      </c>
      <c r="D3263" s="709" t="s">
        <v>168</v>
      </c>
      <c r="E3263" s="709" t="s">
        <v>8438</v>
      </c>
      <c r="F3263" s="716"/>
      <c r="G3263" s="716">
        <v>45</v>
      </c>
      <c r="H3263" s="225">
        <f t="shared" si="50"/>
        <v>45</v>
      </c>
    </row>
    <row r="3264" spans="1:8" x14ac:dyDescent="0.3">
      <c r="A3264" s="401"/>
      <c r="B3264" s="709">
        <v>4704</v>
      </c>
      <c r="C3264" s="710" t="s">
        <v>11593</v>
      </c>
      <c r="D3264" s="709" t="s">
        <v>168</v>
      </c>
      <c r="E3264" s="709" t="s">
        <v>8432</v>
      </c>
      <c r="F3264" s="716"/>
      <c r="G3264" s="716">
        <v>40.61</v>
      </c>
      <c r="H3264" s="225">
        <f t="shared" si="50"/>
        <v>40.61</v>
      </c>
    </row>
    <row r="3265" spans="1:8" x14ac:dyDescent="0.3">
      <c r="A3265" s="401"/>
      <c r="B3265" s="709">
        <v>10730</v>
      </c>
      <c r="C3265" s="710" t="s">
        <v>11594</v>
      </c>
      <c r="D3265" s="709" t="s">
        <v>168</v>
      </c>
      <c r="E3265" s="709" t="s">
        <v>8432</v>
      </c>
      <c r="F3265" s="716"/>
      <c r="G3265" s="716">
        <v>43.51</v>
      </c>
      <c r="H3265" s="225">
        <f t="shared" si="50"/>
        <v>43.51</v>
      </c>
    </row>
    <row r="3266" spans="1:8" x14ac:dyDescent="0.3">
      <c r="A3266" s="401"/>
      <c r="B3266" s="709">
        <v>4720</v>
      </c>
      <c r="C3266" s="710" t="s">
        <v>11595</v>
      </c>
      <c r="D3266" s="709" t="s">
        <v>170</v>
      </c>
      <c r="E3266" s="709" t="s">
        <v>8432</v>
      </c>
      <c r="F3266" s="716">
        <v>117.95</v>
      </c>
      <c r="G3266" s="716">
        <v>100.56</v>
      </c>
      <c r="H3266" s="225">
        <f t="shared" si="50"/>
        <v>117.95</v>
      </c>
    </row>
    <row r="3267" spans="1:8" x14ac:dyDescent="0.3">
      <c r="A3267" s="401"/>
      <c r="B3267" s="709">
        <v>4721</v>
      </c>
      <c r="C3267" s="710" t="s">
        <v>11596</v>
      </c>
      <c r="D3267" s="709" t="s">
        <v>170</v>
      </c>
      <c r="E3267" s="709" t="s">
        <v>8432</v>
      </c>
      <c r="F3267" s="716">
        <v>102.16</v>
      </c>
      <c r="G3267" s="716">
        <v>87.1</v>
      </c>
      <c r="H3267" s="225">
        <f t="shared" si="50"/>
        <v>102.16</v>
      </c>
    </row>
    <row r="3268" spans="1:8" x14ac:dyDescent="0.3">
      <c r="A3268" s="401"/>
      <c r="B3268" s="709">
        <v>4718</v>
      </c>
      <c r="C3268" s="710" t="s">
        <v>11597</v>
      </c>
      <c r="D3268" s="709" t="s">
        <v>170</v>
      </c>
      <c r="E3268" s="709" t="s">
        <v>8438</v>
      </c>
      <c r="F3268" s="716">
        <v>102.7</v>
      </c>
      <c r="G3268" s="716">
        <v>87.56</v>
      </c>
      <c r="H3268" s="225">
        <f t="shared" si="50"/>
        <v>102.7</v>
      </c>
    </row>
    <row r="3269" spans="1:8" x14ac:dyDescent="0.3">
      <c r="A3269" s="401"/>
      <c r="B3269" s="709">
        <v>4722</v>
      </c>
      <c r="C3269" s="710" t="s">
        <v>11598</v>
      </c>
      <c r="D3269" s="709" t="s">
        <v>170</v>
      </c>
      <c r="E3269" s="709" t="s">
        <v>8432</v>
      </c>
      <c r="F3269" s="716">
        <v>96.5</v>
      </c>
      <c r="G3269" s="716">
        <v>82.27</v>
      </c>
      <c r="H3269" s="225">
        <f t="shared" si="50"/>
        <v>96.5</v>
      </c>
    </row>
    <row r="3270" spans="1:8" x14ac:dyDescent="0.3">
      <c r="A3270" s="401"/>
      <c r="B3270" s="709">
        <v>4730</v>
      </c>
      <c r="C3270" s="710" t="s">
        <v>11599</v>
      </c>
      <c r="D3270" s="709" t="s">
        <v>170</v>
      </c>
      <c r="E3270" s="709" t="s">
        <v>8432</v>
      </c>
      <c r="F3270" s="716">
        <v>96.02</v>
      </c>
      <c r="G3270" s="716">
        <v>81.87</v>
      </c>
      <c r="H3270" s="225">
        <f t="shared" si="50"/>
        <v>96.02</v>
      </c>
    </row>
    <row r="3271" spans="1:8" x14ac:dyDescent="0.3">
      <c r="A3271" s="401"/>
      <c r="B3271" s="709">
        <v>13186</v>
      </c>
      <c r="C3271" s="710" t="s">
        <v>11600</v>
      </c>
      <c r="D3271" s="709" t="s">
        <v>170</v>
      </c>
      <c r="E3271" s="709" t="s">
        <v>8432</v>
      </c>
      <c r="F3271" s="716">
        <v>110.8</v>
      </c>
      <c r="G3271" s="716">
        <v>94.46</v>
      </c>
      <c r="H3271" s="225">
        <f t="shared" si="50"/>
        <v>110.8</v>
      </c>
    </row>
    <row r="3272" spans="1:8" x14ac:dyDescent="0.3">
      <c r="A3272" s="401"/>
      <c r="B3272" s="709">
        <v>10737</v>
      </c>
      <c r="C3272" s="710" t="s">
        <v>11601</v>
      </c>
      <c r="D3272" s="709" t="s">
        <v>168</v>
      </c>
      <c r="E3272" s="709" t="s">
        <v>8432</v>
      </c>
      <c r="F3272" s="716"/>
      <c r="G3272" s="716">
        <v>141.41</v>
      </c>
      <c r="H3272" s="225">
        <f t="shared" si="50"/>
        <v>141.41</v>
      </c>
    </row>
    <row r="3273" spans="1:8" x14ac:dyDescent="0.3">
      <c r="A3273" s="401"/>
      <c r="B3273" s="709">
        <v>10734</v>
      </c>
      <c r="C3273" s="710" t="s">
        <v>11602</v>
      </c>
      <c r="D3273" s="709" t="s">
        <v>168</v>
      </c>
      <c r="E3273" s="709" t="s">
        <v>8432</v>
      </c>
      <c r="F3273" s="716"/>
      <c r="G3273" s="716">
        <v>84.12</v>
      </c>
      <c r="H3273" s="225">
        <f t="shared" si="50"/>
        <v>84.12</v>
      </c>
    </row>
    <row r="3274" spans="1:8" x14ac:dyDescent="0.3">
      <c r="A3274" s="401"/>
      <c r="B3274" s="709">
        <v>4708</v>
      </c>
      <c r="C3274" s="710" t="s">
        <v>11603</v>
      </c>
      <c r="D3274" s="709" t="s">
        <v>168</v>
      </c>
      <c r="E3274" s="709" t="s">
        <v>8432</v>
      </c>
      <c r="F3274" s="716"/>
      <c r="G3274" s="716">
        <v>163.16999999999999</v>
      </c>
      <c r="H3274" s="225">
        <f t="shared" si="50"/>
        <v>163.16999999999999</v>
      </c>
    </row>
    <row r="3275" spans="1:8" x14ac:dyDescent="0.3">
      <c r="A3275" s="401"/>
      <c r="B3275" s="709">
        <v>4712</v>
      </c>
      <c r="C3275" s="710" t="s">
        <v>11604</v>
      </c>
      <c r="D3275" s="709" t="s">
        <v>168</v>
      </c>
      <c r="E3275" s="709" t="s">
        <v>8432</v>
      </c>
      <c r="F3275" s="716"/>
      <c r="G3275" s="716">
        <v>79.77</v>
      </c>
      <c r="H3275" s="225">
        <f t="shared" ref="H3275:H3338" si="51">IF(F3275&gt;0,F3275,G3275)</f>
        <v>79.77</v>
      </c>
    </row>
    <row r="3276" spans="1:8" x14ac:dyDescent="0.3">
      <c r="A3276" s="401"/>
      <c r="B3276" s="709">
        <v>4710</v>
      </c>
      <c r="C3276" s="710" t="s">
        <v>11605</v>
      </c>
      <c r="D3276" s="709" t="s">
        <v>168</v>
      </c>
      <c r="E3276" s="709" t="s">
        <v>8432</v>
      </c>
      <c r="F3276" s="716"/>
      <c r="G3276" s="716">
        <v>255.82</v>
      </c>
      <c r="H3276" s="225">
        <f t="shared" si="51"/>
        <v>255.82</v>
      </c>
    </row>
    <row r="3277" spans="1:8" x14ac:dyDescent="0.3">
      <c r="A3277" s="401"/>
      <c r="B3277" s="709">
        <v>4750</v>
      </c>
      <c r="C3277" s="710" t="s">
        <v>11606</v>
      </c>
      <c r="D3277" s="709" t="s">
        <v>234</v>
      </c>
      <c r="E3277" s="709" t="s">
        <v>8438</v>
      </c>
      <c r="F3277" s="716">
        <v>23.97</v>
      </c>
      <c r="G3277" s="716">
        <v>27.39</v>
      </c>
      <c r="H3277" s="225">
        <f t="shared" si="51"/>
        <v>23.97</v>
      </c>
    </row>
    <row r="3278" spans="1:8" x14ac:dyDescent="0.3">
      <c r="A3278" s="401"/>
      <c r="B3278" s="709">
        <v>41065</v>
      </c>
      <c r="C3278" s="710" t="s">
        <v>11607</v>
      </c>
      <c r="D3278" s="709" t="s">
        <v>208</v>
      </c>
      <c r="E3278" s="709" t="s">
        <v>8432</v>
      </c>
      <c r="F3278" s="716">
        <v>4212.2700000000004</v>
      </c>
      <c r="G3278" s="716">
        <v>4797.83</v>
      </c>
      <c r="H3278" s="225">
        <f t="shared" si="51"/>
        <v>4212.2700000000004</v>
      </c>
    </row>
    <row r="3279" spans="1:8" x14ac:dyDescent="0.3">
      <c r="A3279" s="401"/>
      <c r="B3279" s="709">
        <v>34747</v>
      </c>
      <c r="C3279" s="710" t="s">
        <v>11608</v>
      </c>
      <c r="D3279" s="709" t="s">
        <v>159</v>
      </c>
      <c r="E3279" s="709" t="s">
        <v>8432</v>
      </c>
      <c r="F3279" s="716">
        <v>144.53</v>
      </c>
      <c r="G3279" s="716">
        <v>133.94</v>
      </c>
      <c r="H3279" s="225">
        <f t="shared" si="51"/>
        <v>144.53</v>
      </c>
    </row>
    <row r="3280" spans="1:8" x14ac:dyDescent="0.3">
      <c r="A3280" s="401"/>
      <c r="B3280" s="709">
        <v>4826</v>
      </c>
      <c r="C3280" s="710" t="s">
        <v>11609</v>
      </c>
      <c r="D3280" s="709" t="s">
        <v>159</v>
      </c>
      <c r="E3280" s="709" t="s">
        <v>8432</v>
      </c>
      <c r="F3280" s="716">
        <v>155.4</v>
      </c>
      <c r="G3280" s="716">
        <v>144.02000000000001</v>
      </c>
      <c r="H3280" s="225">
        <f t="shared" si="51"/>
        <v>155.4</v>
      </c>
    </row>
    <row r="3281" spans="1:8" x14ac:dyDescent="0.3">
      <c r="A3281" s="401"/>
      <c r="B3281" s="709">
        <v>41975</v>
      </c>
      <c r="C3281" s="710" t="s">
        <v>11610</v>
      </c>
      <c r="D3281" s="709" t="s">
        <v>168</v>
      </c>
      <c r="E3281" s="709" t="s">
        <v>8432</v>
      </c>
      <c r="F3281" s="716"/>
      <c r="G3281" s="716">
        <v>120.43</v>
      </c>
      <c r="H3281" s="225">
        <f t="shared" si="51"/>
        <v>120.43</v>
      </c>
    </row>
    <row r="3282" spans="1:8" x14ac:dyDescent="0.3">
      <c r="A3282" s="401"/>
      <c r="B3282" s="709">
        <v>4825</v>
      </c>
      <c r="C3282" s="710" t="s">
        <v>11611</v>
      </c>
      <c r="D3282" s="709" t="s">
        <v>159</v>
      </c>
      <c r="E3282" s="709" t="s">
        <v>8432</v>
      </c>
      <c r="F3282" s="716">
        <v>215.11</v>
      </c>
      <c r="G3282" s="716">
        <v>199.35</v>
      </c>
      <c r="H3282" s="225">
        <f t="shared" si="51"/>
        <v>215.11</v>
      </c>
    </row>
    <row r="3283" spans="1:8" x14ac:dyDescent="0.3">
      <c r="A3283" s="401"/>
      <c r="B3283" s="709">
        <v>34744</v>
      </c>
      <c r="C3283" s="710" t="s">
        <v>11612</v>
      </c>
      <c r="D3283" s="709" t="s">
        <v>168</v>
      </c>
      <c r="E3283" s="709" t="s">
        <v>8432</v>
      </c>
      <c r="F3283" s="716"/>
      <c r="G3283" s="716">
        <v>40.17</v>
      </c>
      <c r="H3283" s="225">
        <f t="shared" si="51"/>
        <v>40.17</v>
      </c>
    </row>
    <row r="3284" spans="1:8" x14ac:dyDescent="0.3">
      <c r="A3284" s="401"/>
      <c r="B3284" s="709">
        <v>39430</v>
      </c>
      <c r="C3284" s="710" t="s">
        <v>11613</v>
      </c>
      <c r="D3284" s="709" t="s">
        <v>136</v>
      </c>
      <c r="E3284" s="709" t="s">
        <v>8432</v>
      </c>
      <c r="F3284" s="716">
        <v>2.0299999999999998</v>
      </c>
      <c r="G3284" s="716">
        <v>1.61</v>
      </c>
      <c r="H3284" s="225">
        <f t="shared" si="51"/>
        <v>2.0299999999999998</v>
      </c>
    </row>
    <row r="3285" spans="1:8" x14ac:dyDescent="0.3">
      <c r="A3285" s="401"/>
      <c r="B3285" s="709">
        <v>39573</v>
      </c>
      <c r="C3285" s="710" t="s">
        <v>11614</v>
      </c>
      <c r="D3285" s="709" t="s">
        <v>136</v>
      </c>
      <c r="E3285" s="709" t="s">
        <v>8432</v>
      </c>
      <c r="F3285" s="716">
        <v>2</v>
      </c>
      <c r="G3285" s="716">
        <v>1.58</v>
      </c>
      <c r="H3285" s="225">
        <f t="shared" si="51"/>
        <v>2</v>
      </c>
    </row>
    <row r="3286" spans="1:8" x14ac:dyDescent="0.3">
      <c r="A3286" s="401"/>
      <c r="B3286" s="709">
        <v>38410</v>
      </c>
      <c r="C3286" s="710" t="s">
        <v>11615</v>
      </c>
      <c r="D3286" s="709" t="s">
        <v>136</v>
      </c>
      <c r="E3286" s="709" t="s">
        <v>8432</v>
      </c>
      <c r="F3286" s="716">
        <v>14349.49</v>
      </c>
      <c r="G3286" s="716">
        <v>15367.8</v>
      </c>
      <c r="H3286" s="225">
        <f t="shared" si="51"/>
        <v>14349.49</v>
      </c>
    </row>
    <row r="3287" spans="1:8" x14ac:dyDescent="0.3">
      <c r="A3287" s="401"/>
      <c r="B3287" s="709">
        <v>43082</v>
      </c>
      <c r="C3287" s="710" t="s">
        <v>11616</v>
      </c>
      <c r="D3287" s="709" t="s">
        <v>175</v>
      </c>
      <c r="E3287" s="709" t="s">
        <v>8438</v>
      </c>
      <c r="F3287" s="716">
        <v>10.91</v>
      </c>
      <c r="G3287" s="716">
        <v>10</v>
      </c>
      <c r="H3287" s="225">
        <f t="shared" si="51"/>
        <v>10.91</v>
      </c>
    </row>
    <row r="3288" spans="1:8" x14ac:dyDescent="0.3">
      <c r="A3288" s="401"/>
      <c r="B3288" s="709">
        <v>43083</v>
      </c>
      <c r="C3288" s="710" t="s">
        <v>11617</v>
      </c>
      <c r="D3288" s="709" t="s">
        <v>175</v>
      </c>
      <c r="E3288" s="709" t="s">
        <v>8432</v>
      </c>
      <c r="F3288" s="716">
        <v>9.4499999999999993</v>
      </c>
      <c r="G3288" s="716">
        <v>8.66</v>
      </c>
      <c r="H3288" s="225">
        <f t="shared" si="51"/>
        <v>9.4499999999999993</v>
      </c>
    </row>
    <row r="3289" spans="1:8" x14ac:dyDescent="0.3">
      <c r="A3289" s="401"/>
      <c r="B3289" s="709">
        <v>40535</v>
      </c>
      <c r="C3289" s="710" t="s">
        <v>11618</v>
      </c>
      <c r="D3289" s="709" t="s">
        <v>175</v>
      </c>
      <c r="E3289" s="709" t="s">
        <v>8432</v>
      </c>
      <c r="F3289" s="716">
        <v>9.4499999999999993</v>
      </c>
      <c r="G3289" s="716">
        <v>8.66</v>
      </c>
      <c r="H3289" s="225">
        <f t="shared" si="51"/>
        <v>9.4499999999999993</v>
      </c>
    </row>
    <row r="3290" spans="1:8" x14ac:dyDescent="0.3">
      <c r="A3290" s="401"/>
      <c r="B3290" s="709">
        <v>40598</v>
      </c>
      <c r="C3290" s="710" t="s">
        <v>11619</v>
      </c>
      <c r="D3290" s="709" t="s">
        <v>175</v>
      </c>
      <c r="E3290" s="709" t="s">
        <v>8432</v>
      </c>
      <c r="F3290" s="716">
        <v>9.2200000000000006</v>
      </c>
      <c r="G3290" s="716">
        <v>8.4499999999999993</v>
      </c>
      <c r="H3290" s="225">
        <f t="shared" si="51"/>
        <v>9.2200000000000006</v>
      </c>
    </row>
    <row r="3291" spans="1:8" x14ac:dyDescent="0.3">
      <c r="A3291" s="401"/>
      <c r="B3291" s="709">
        <v>43692</v>
      </c>
      <c r="C3291" s="710" t="s">
        <v>11620</v>
      </c>
      <c r="D3291" s="709" t="s">
        <v>175</v>
      </c>
      <c r="E3291" s="709" t="s">
        <v>8432</v>
      </c>
      <c r="F3291" s="716">
        <v>9.9600000000000009</v>
      </c>
      <c r="G3291" s="716">
        <v>9.1199999999999992</v>
      </c>
      <c r="H3291" s="225">
        <f t="shared" si="51"/>
        <v>9.9600000000000009</v>
      </c>
    </row>
    <row r="3292" spans="1:8" x14ac:dyDescent="0.3">
      <c r="A3292" s="401"/>
      <c r="B3292" s="709">
        <v>43665</v>
      </c>
      <c r="C3292" s="710" t="s">
        <v>11621</v>
      </c>
      <c r="D3292" s="709" t="s">
        <v>175</v>
      </c>
      <c r="E3292" s="709" t="s">
        <v>8432</v>
      </c>
      <c r="F3292" s="716">
        <v>9.3800000000000008</v>
      </c>
      <c r="G3292" s="716">
        <v>8.59</v>
      </c>
      <c r="H3292" s="225">
        <f t="shared" si="51"/>
        <v>9.3800000000000008</v>
      </c>
    </row>
    <row r="3293" spans="1:8" x14ac:dyDescent="0.3">
      <c r="A3293" s="401"/>
      <c r="B3293" s="709">
        <v>10966</v>
      </c>
      <c r="C3293" s="710" t="s">
        <v>11622</v>
      </c>
      <c r="D3293" s="709" t="s">
        <v>175</v>
      </c>
      <c r="E3293" s="709" t="s">
        <v>8432</v>
      </c>
      <c r="F3293" s="716">
        <v>9.9600000000000009</v>
      </c>
      <c r="G3293" s="716">
        <v>9.1199999999999992</v>
      </c>
      <c r="H3293" s="225">
        <f t="shared" si="51"/>
        <v>9.9600000000000009</v>
      </c>
    </row>
    <row r="3294" spans="1:8" x14ac:dyDescent="0.3">
      <c r="A3294" s="401"/>
      <c r="B3294" s="709">
        <v>39427</v>
      </c>
      <c r="C3294" s="710" t="s">
        <v>11623</v>
      </c>
      <c r="D3294" s="709" t="s">
        <v>159</v>
      </c>
      <c r="E3294" s="709" t="s">
        <v>8432</v>
      </c>
      <c r="F3294" s="716">
        <v>5.4</v>
      </c>
      <c r="G3294" s="716">
        <v>4.2699999999999996</v>
      </c>
      <c r="H3294" s="225">
        <f t="shared" si="51"/>
        <v>5.4</v>
      </c>
    </row>
    <row r="3295" spans="1:8" x14ac:dyDescent="0.3">
      <c r="A3295" s="401"/>
      <c r="B3295" s="709">
        <v>39424</v>
      </c>
      <c r="C3295" s="710" t="s">
        <v>11624</v>
      </c>
      <c r="D3295" s="709" t="s">
        <v>159</v>
      </c>
      <c r="E3295" s="709" t="s">
        <v>8432</v>
      </c>
      <c r="F3295" s="716">
        <v>3.21</v>
      </c>
      <c r="G3295" s="716">
        <v>2.54</v>
      </c>
      <c r="H3295" s="225">
        <f t="shared" si="51"/>
        <v>3.21</v>
      </c>
    </row>
    <row r="3296" spans="1:8" x14ac:dyDescent="0.3">
      <c r="A3296" s="401"/>
      <c r="B3296" s="709">
        <v>39425</v>
      </c>
      <c r="C3296" s="710" t="s">
        <v>11625</v>
      </c>
      <c r="D3296" s="709" t="s">
        <v>159</v>
      </c>
      <c r="E3296" s="709" t="s">
        <v>8432</v>
      </c>
      <c r="F3296" s="716">
        <v>3.17</v>
      </c>
      <c r="G3296" s="716">
        <v>2.5099999999999998</v>
      </c>
      <c r="H3296" s="225">
        <f t="shared" si="51"/>
        <v>3.17</v>
      </c>
    </row>
    <row r="3297" spans="1:8" x14ac:dyDescent="0.3">
      <c r="A3297" s="401"/>
      <c r="B3297" s="709">
        <v>40664</v>
      </c>
      <c r="C3297" s="710" t="s">
        <v>11626</v>
      </c>
      <c r="D3297" s="709" t="s">
        <v>175</v>
      </c>
      <c r="E3297" s="709" t="s">
        <v>8432</v>
      </c>
      <c r="F3297" s="716">
        <v>19.39</v>
      </c>
      <c r="G3297" s="716">
        <v>17.77</v>
      </c>
      <c r="H3297" s="225">
        <f t="shared" si="51"/>
        <v>19.39</v>
      </c>
    </row>
    <row r="3298" spans="1:8" x14ac:dyDescent="0.3">
      <c r="A3298" s="401"/>
      <c r="B3298" s="709">
        <v>34360</v>
      </c>
      <c r="C3298" s="710" t="s">
        <v>11627</v>
      </c>
      <c r="D3298" s="709" t="s">
        <v>175</v>
      </c>
      <c r="E3298" s="709" t="s">
        <v>8432</v>
      </c>
      <c r="F3298" s="716">
        <v>49.29</v>
      </c>
      <c r="G3298" s="716">
        <v>47.42</v>
      </c>
      <c r="H3298" s="225">
        <f t="shared" si="51"/>
        <v>49.29</v>
      </c>
    </row>
    <row r="3299" spans="1:8" x14ac:dyDescent="0.3">
      <c r="A3299" s="401"/>
      <c r="B3299" s="709">
        <v>20259</v>
      </c>
      <c r="C3299" s="710" t="s">
        <v>11628</v>
      </c>
      <c r="D3299" s="709" t="s">
        <v>159</v>
      </c>
      <c r="E3299" s="709" t="s">
        <v>8432</v>
      </c>
      <c r="F3299" s="716"/>
      <c r="G3299" s="716">
        <v>14</v>
      </c>
      <c r="H3299" s="225">
        <f t="shared" si="51"/>
        <v>14</v>
      </c>
    </row>
    <row r="3300" spans="1:8" x14ac:dyDescent="0.3">
      <c r="A3300" s="401"/>
      <c r="B3300" s="709">
        <v>14077</v>
      </c>
      <c r="C3300" s="710" t="s">
        <v>11629</v>
      </c>
      <c r="D3300" s="709" t="s">
        <v>159</v>
      </c>
      <c r="E3300" s="709" t="s">
        <v>8432</v>
      </c>
      <c r="F3300" s="716"/>
      <c r="G3300" s="716">
        <v>214.28</v>
      </c>
      <c r="H3300" s="225">
        <f t="shared" si="51"/>
        <v>214.28</v>
      </c>
    </row>
    <row r="3301" spans="1:8" x14ac:dyDescent="0.3">
      <c r="A3301" s="401"/>
      <c r="B3301" s="709">
        <v>3678</v>
      </c>
      <c r="C3301" s="710" t="s">
        <v>11630</v>
      </c>
      <c r="D3301" s="709" t="s">
        <v>159</v>
      </c>
      <c r="E3301" s="709" t="s">
        <v>8432</v>
      </c>
      <c r="F3301" s="716"/>
      <c r="G3301" s="716">
        <v>96.85</v>
      </c>
      <c r="H3301" s="225">
        <f t="shared" si="51"/>
        <v>96.85</v>
      </c>
    </row>
    <row r="3302" spans="1:8" x14ac:dyDescent="0.3">
      <c r="A3302" s="401"/>
      <c r="B3302" s="709">
        <v>11552</v>
      </c>
      <c r="C3302" s="710" t="s">
        <v>11631</v>
      </c>
      <c r="D3302" s="709" t="s">
        <v>159</v>
      </c>
      <c r="E3302" s="709" t="s">
        <v>8432</v>
      </c>
      <c r="F3302" s="716">
        <v>8.69</v>
      </c>
      <c r="G3302" s="716">
        <v>7.19</v>
      </c>
      <c r="H3302" s="225">
        <f t="shared" si="51"/>
        <v>8.69</v>
      </c>
    </row>
    <row r="3303" spans="1:8" x14ac:dyDescent="0.3">
      <c r="A3303" s="401"/>
      <c r="B3303" s="709">
        <v>585</v>
      </c>
      <c r="C3303" s="710" t="s">
        <v>11632</v>
      </c>
      <c r="D3303" s="709" t="s">
        <v>175</v>
      </c>
      <c r="E3303" s="709" t="s">
        <v>8432</v>
      </c>
      <c r="F3303" s="716">
        <v>39.43</v>
      </c>
      <c r="G3303" s="716">
        <v>37.93</v>
      </c>
      <c r="H3303" s="225">
        <f t="shared" si="51"/>
        <v>39.43</v>
      </c>
    </row>
    <row r="3304" spans="1:8" x14ac:dyDescent="0.3">
      <c r="A3304" s="401"/>
      <c r="B3304" s="709">
        <v>39418</v>
      </c>
      <c r="C3304" s="710" t="s">
        <v>11633</v>
      </c>
      <c r="D3304" s="709" t="s">
        <v>159</v>
      </c>
      <c r="E3304" s="709" t="s">
        <v>8432</v>
      </c>
      <c r="F3304" s="716">
        <v>6.02</v>
      </c>
      <c r="G3304" s="716">
        <v>4.76</v>
      </c>
      <c r="H3304" s="225">
        <f t="shared" si="51"/>
        <v>6.02</v>
      </c>
    </row>
    <row r="3305" spans="1:8" x14ac:dyDescent="0.3">
      <c r="A3305" s="401"/>
      <c r="B3305" s="709">
        <v>39419</v>
      </c>
      <c r="C3305" s="710" t="s">
        <v>11634</v>
      </c>
      <c r="D3305" s="709" t="s">
        <v>159</v>
      </c>
      <c r="E3305" s="709" t="s">
        <v>8432</v>
      </c>
      <c r="F3305" s="716">
        <v>7.34</v>
      </c>
      <c r="G3305" s="716">
        <v>5.81</v>
      </c>
      <c r="H3305" s="225">
        <f t="shared" si="51"/>
        <v>7.34</v>
      </c>
    </row>
    <row r="3306" spans="1:8" x14ac:dyDescent="0.3">
      <c r="A3306" s="401"/>
      <c r="B3306" s="709">
        <v>39420</v>
      </c>
      <c r="C3306" s="710" t="s">
        <v>11635</v>
      </c>
      <c r="D3306" s="709" t="s">
        <v>159</v>
      </c>
      <c r="E3306" s="709" t="s">
        <v>8432</v>
      </c>
      <c r="F3306" s="716">
        <v>8.1</v>
      </c>
      <c r="G3306" s="716">
        <v>6.41</v>
      </c>
      <c r="H3306" s="225">
        <f t="shared" si="51"/>
        <v>8.1</v>
      </c>
    </row>
    <row r="3307" spans="1:8" x14ac:dyDescent="0.3">
      <c r="A3307" s="401"/>
      <c r="B3307" s="709">
        <v>39571</v>
      </c>
      <c r="C3307" s="710" t="s">
        <v>11636</v>
      </c>
      <c r="D3307" s="709" t="s">
        <v>159</v>
      </c>
      <c r="E3307" s="709" t="s">
        <v>8432</v>
      </c>
      <c r="F3307" s="716">
        <v>4.9000000000000004</v>
      </c>
      <c r="G3307" s="716">
        <v>3.87</v>
      </c>
      <c r="H3307" s="225">
        <f t="shared" si="51"/>
        <v>4.9000000000000004</v>
      </c>
    </row>
    <row r="3308" spans="1:8" x14ac:dyDescent="0.3">
      <c r="A3308" s="401"/>
      <c r="B3308" s="709">
        <v>39421</v>
      </c>
      <c r="C3308" s="710" t="s">
        <v>11637</v>
      </c>
      <c r="D3308" s="709" t="s">
        <v>159</v>
      </c>
      <c r="E3308" s="709" t="s">
        <v>8432</v>
      </c>
      <c r="F3308" s="716">
        <v>7.13</v>
      </c>
      <c r="G3308" s="716">
        <v>5.64</v>
      </c>
      <c r="H3308" s="225">
        <f t="shared" si="51"/>
        <v>7.13</v>
      </c>
    </row>
    <row r="3309" spans="1:8" x14ac:dyDescent="0.3">
      <c r="A3309" s="401"/>
      <c r="B3309" s="709">
        <v>39422</v>
      </c>
      <c r="C3309" s="710" t="s">
        <v>11638</v>
      </c>
      <c r="D3309" s="709" t="s">
        <v>159</v>
      </c>
      <c r="E3309" s="709" t="s">
        <v>8438</v>
      </c>
      <c r="F3309" s="716">
        <v>8.33</v>
      </c>
      <c r="G3309" s="716">
        <v>6.59</v>
      </c>
      <c r="H3309" s="225">
        <f t="shared" si="51"/>
        <v>8.33</v>
      </c>
    </row>
    <row r="3310" spans="1:8" x14ac:dyDescent="0.3">
      <c r="A3310" s="401"/>
      <c r="B3310" s="709">
        <v>39423</v>
      </c>
      <c r="C3310" s="710" t="s">
        <v>11639</v>
      </c>
      <c r="D3310" s="709" t="s">
        <v>159</v>
      </c>
      <c r="E3310" s="709" t="s">
        <v>8432</v>
      </c>
      <c r="F3310" s="716">
        <v>9.67</v>
      </c>
      <c r="G3310" s="716">
        <v>7.65</v>
      </c>
      <c r="H3310" s="225">
        <f t="shared" si="51"/>
        <v>9.67</v>
      </c>
    </row>
    <row r="3311" spans="1:8" x14ac:dyDescent="0.3">
      <c r="A3311" s="401"/>
      <c r="B3311" s="709">
        <v>39426</v>
      </c>
      <c r="C3311" s="710" t="s">
        <v>11640</v>
      </c>
      <c r="D3311" s="709" t="s">
        <v>159</v>
      </c>
      <c r="E3311" s="709" t="s">
        <v>8432</v>
      </c>
      <c r="F3311" s="716">
        <v>21.74</v>
      </c>
      <c r="G3311" s="716">
        <v>17.2</v>
      </c>
      <c r="H3311" s="225">
        <f t="shared" si="51"/>
        <v>21.74</v>
      </c>
    </row>
    <row r="3312" spans="1:8" x14ac:dyDescent="0.3">
      <c r="A3312" s="401"/>
      <c r="B3312" s="709">
        <v>39429</v>
      </c>
      <c r="C3312" s="710" t="s">
        <v>11641</v>
      </c>
      <c r="D3312" s="709" t="s">
        <v>159</v>
      </c>
      <c r="E3312" s="709" t="s">
        <v>8432</v>
      </c>
      <c r="F3312" s="716">
        <v>6.86</v>
      </c>
      <c r="G3312" s="716">
        <v>5.42</v>
      </c>
      <c r="H3312" s="225">
        <f t="shared" si="51"/>
        <v>6.86</v>
      </c>
    </row>
    <row r="3313" spans="1:8" x14ac:dyDescent="0.3">
      <c r="A3313" s="401"/>
      <c r="B3313" s="709">
        <v>39428</v>
      </c>
      <c r="C3313" s="710" t="s">
        <v>11642</v>
      </c>
      <c r="D3313" s="709" t="s">
        <v>159</v>
      </c>
      <c r="E3313" s="709" t="s">
        <v>8432</v>
      </c>
      <c r="F3313" s="716">
        <v>5.24</v>
      </c>
      <c r="G3313" s="716">
        <v>4.1399999999999997</v>
      </c>
      <c r="H3313" s="225">
        <f t="shared" si="51"/>
        <v>5.24</v>
      </c>
    </row>
    <row r="3314" spans="1:8" x14ac:dyDescent="0.3">
      <c r="A3314" s="401"/>
      <c r="B3314" s="709">
        <v>39572</v>
      </c>
      <c r="C3314" s="710" t="s">
        <v>11643</v>
      </c>
      <c r="D3314" s="709" t="s">
        <v>159</v>
      </c>
      <c r="E3314" s="709" t="s">
        <v>8432</v>
      </c>
      <c r="F3314" s="716">
        <v>4.53</v>
      </c>
      <c r="G3314" s="716">
        <v>3.59</v>
      </c>
      <c r="H3314" s="225">
        <f t="shared" si="51"/>
        <v>4.53</v>
      </c>
    </row>
    <row r="3315" spans="1:8" x14ac:dyDescent="0.3">
      <c r="A3315" s="401"/>
      <c r="B3315" s="709">
        <v>39570</v>
      </c>
      <c r="C3315" s="710" t="s">
        <v>11644</v>
      </c>
      <c r="D3315" s="709" t="s">
        <v>159</v>
      </c>
      <c r="E3315" s="709" t="s">
        <v>8432</v>
      </c>
      <c r="F3315" s="716">
        <v>4.8099999999999996</v>
      </c>
      <c r="G3315" s="716">
        <v>3.8</v>
      </c>
      <c r="H3315" s="225">
        <f t="shared" si="51"/>
        <v>4.8099999999999996</v>
      </c>
    </row>
    <row r="3316" spans="1:8" x14ac:dyDescent="0.3">
      <c r="A3316" s="401"/>
      <c r="B3316" s="709">
        <v>39569</v>
      </c>
      <c r="C3316" s="710" t="s">
        <v>11645</v>
      </c>
      <c r="D3316" s="709" t="s">
        <v>159</v>
      </c>
      <c r="E3316" s="709" t="s">
        <v>8432</v>
      </c>
      <c r="F3316" s="716">
        <v>4.75</v>
      </c>
      <c r="G3316" s="716">
        <v>3.76</v>
      </c>
      <c r="H3316" s="225">
        <f t="shared" si="51"/>
        <v>4.75</v>
      </c>
    </row>
    <row r="3317" spans="1:8" x14ac:dyDescent="0.3">
      <c r="A3317" s="401"/>
      <c r="B3317" s="709">
        <v>39328</v>
      </c>
      <c r="C3317" s="710" t="s">
        <v>11646</v>
      </c>
      <c r="D3317" s="709" t="s">
        <v>159</v>
      </c>
      <c r="E3317" s="709" t="s">
        <v>8432</v>
      </c>
      <c r="F3317" s="716">
        <v>4.91</v>
      </c>
      <c r="G3317" s="716">
        <v>3.88</v>
      </c>
      <c r="H3317" s="225">
        <f t="shared" si="51"/>
        <v>4.91</v>
      </c>
    </row>
    <row r="3318" spans="1:8" x14ac:dyDescent="0.3">
      <c r="A3318" s="401"/>
      <c r="B3318" s="709">
        <v>39029</v>
      </c>
      <c r="C3318" s="710" t="s">
        <v>11647</v>
      </c>
      <c r="D3318" s="709" t="s">
        <v>159</v>
      </c>
      <c r="E3318" s="709" t="s">
        <v>8432</v>
      </c>
      <c r="F3318" s="716">
        <v>15.35</v>
      </c>
      <c r="G3318" s="716">
        <v>12.14</v>
      </c>
      <c r="H3318" s="225">
        <f t="shared" si="51"/>
        <v>15.35</v>
      </c>
    </row>
    <row r="3319" spans="1:8" x14ac:dyDescent="0.3">
      <c r="A3319" s="401"/>
      <c r="B3319" s="709">
        <v>39028</v>
      </c>
      <c r="C3319" s="710" t="s">
        <v>11648</v>
      </c>
      <c r="D3319" s="709" t="s">
        <v>159</v>
      </c>
      <c r="E3319" s="709" t="s">
        <v>8432</v>
      </c>
      <c r="F3319" s="716">
        <v>8.93</v>
      </c>
      <c r="G3319" s="716">
        <v>7.07</v>
      </c>
      <c r="H3319" s="225">
        <f t="shared" si="51"/>
        <v>8.93</v>
      </c>
    </row>
    <row r="3320" spans="1:8" x14ac:dyDescent="0.3">
      <c r="A3320" s="401"/>
      <c r="B3320" s="709">
        <v>38541</v>
      </c>
      <c r="C3320" s="710" t="s">
        <v>11649</v>
      </c>
      <c r="D3320" s="709" t="s">
        <v>136</v>
      </c>
      <c r="E3320" s="709" t="s">
        <v>8432</v>
      </c>
      <c r="F3320" s="716">
        <v>4405405.4000000004</v>
      </c>
      <c r="G3320" s="716">
        <v>4594594.59</v>
      </c>
      <c r="H3320" s="225">
        <f t="shared" si="51"/>
        <v>4405405.4000000004</v>
      </c>
    </row>
    <row r="3321" spans="1:8" x14ac:dyDescent="0.3">
      <c r="A3321" s="401"/>
      <c r="B3321" s="709">
        <v>38542</v>
      </c>
      <c r="C3321" s="710" t="s">
        <v>11650</v>
      </c>
      <c r="D3321" s="709" t="s">
        <v>136</v>
      </c>
      <c r="E3321" s="709" t="s">
        <v>8432</v>
      </c>
      <c r="F3321" s="716">
        <v>6754954.96</v>
      </c>
      <c r="G3321" s="716">
        <v>7045045.0499999998</v>
      </c>
      <c r="H3321" s="225">
        <f t="shared" si="51"/>
        <v>6754954.96</v>
      </c>
    </row>
    <row r="3322" spans="1:8" x14ac:dyDescent="0.3">
      <c r="A3322" s="401"/>
      <c r="B3322" s="709">
        <v>45080</v>
      </c>
      <c r="C3322" s="710" t="s">
        <v>11651</v>
      </c>
      <c r="D3322" s="709" t="s">
        <v>136</v>
      </c>
      <c r="E3322" s="709" t="s">
        <v>8432</v>
      </c>
      <c r="F3322" s="716">
        <v>14629.08</v>
      </c>
      <c r="G3322" s="716">
        <v>15257.33</v>
      </c>
      <c r="H3322" s="225">
        <f t="shared" si="51"/>
        <v>14629.08</v>
      </c>
    </row>
    <row r="3323" spans="1:8" x14ac:dyDescent="0.3">
      <c r="A3323" s="401"/>
      <c r="B3323" s="709">
        <v>38543</v>
      </c>
      <c r="C3323" s="710" t="s">
        <v>11652</v>
      </c>
      <c r="D3323" s="709" t="s">
        <v>136</v>
      </c>
      <c r="E3323" s="709" t="s">
        <v>8432</v>
      </c>
      <c r="F3323" s="716">
        <v>1375471.09</v>
      </c>
      <c r="G3323" s="716">
        <v>1434540.41</v>
      </c>
      <c r="H3323" s="225">
        <f t="shared" si="51"/>
        <v>1375471.09</v>
      </c>
    </row>
    <row r="3324" spans="1:8" x14ac:dyDescent="0.3">
      <c r="A3324" s="401"/>
      <c r="B3324" s="709">
        <v>44002</v>
      </c>
      <c r="C3324" s="710" t="s">
        <v>11653</v>
      </c>
      <c r="D3324" s="709" t="s">
        <v>136</v>
      </c>
      <c r="E3324" s="709" t="s">
        <v>8432</v>
      </c>
      <c r="F3324" s="716">
        <v>6424745.3200000003</v>
      </c>
      <c r="G3324" s="716">
        <v>6700654.6299999999</v>
      </c>
      <c r="H3324" s="225">
        <f t="shared" si="51"/>
        <v>6424745.3200000003</v>
      </c>
    </row>
    <row r="3325" spans="1:8" x14ac:dyDescent="0.3">
      <c r="A3325" s="401"/>
      <c r="B3325" s="709">
        <v>43886</v>
      </c>
      <c r="C3325" s="710" t="s">
        <v>11654</v>
      </c>
      <c r="D3325" s="709" t="s">
        <v>136</v>
      </c>
      <c r="E3325" s="709" t="s">
        <v>8432</v>
      </c>
      <c r="F3325" s="716">
        <v>3118050.96</v>
      </c>
      <c r="G3325" s="716">
        <v>3251954.99</v>
      </c>
      <c r="H3325" s="225">
        <f t="shared" si="51"/>
        <v>3118050.96</v>
      </c>
    </row>
    <row r="3326" spans="1:8" x14ac:dyDescent="0.3">
      <c r="A3326" s="401"/>
      <c r="B3326" s="709">
        <v>40791</v>
      </c>
      <c r="C3326" s="710" t="s">
        <v>11655</v>
      </c>
      <c r="D3326" s="709" t="s">
        <v>136</v>
      </c>
      <c r="E3326" s="709" t="s">
        <v>8432</v>
      </c>
      <c r="F3326" s="716">
        <v>46179.59</v>
      </c>
      <c r="G3326" s="716">
        <v>39083.64</v>
      </c>
      <c r="H3326" s="225">
        <f t="shared" si="51"/>
        <v>46179.59</v>
      </c>
    </row>
    <row r="3327" spans="1:8" x14ac:dyDescent="0.3">
      <c r="A3327" s="401"/>
      <c r="B3327" s="709">
        <v>44003</v>
      </c>
      <c r="C3327" s="710" t="s">
        <v>11656</v>
      </c>
      <c r="D3327" s="709" t="s">
        <v>136</v>
      </c>
      <c r="E3327" s="709" t="s">
        <v>8432</v>
      </c>
      <c r="F3327" s="716">
        <v>8928288.3200000003</v>
      </c>
      <c r="G3327" s="716">
        <v>9311711.75</v>
      </c>
      <c r="H3327" s="225">
        <f t="shared" si="51"/>
        <v>8928288.3200000003</v>
      </c>
    </row>
    <row r="3328" spans="1:8" x14ac:dyDescent="0.3">
      <c r="A3328" s="401"/>
      <c r="B3328" s="709">
        <v>44548</v>
      </c>
      <c r="C3328" s="710" t="s">
        <v>11657</v>
      </c>
      <c r="D3328" s="709" t="s">
        <v>136</v>
      </c>
      <c r="E3328" s="709" t="s">
        <v>8432</v>
      </c>
      <c r="F3328" s="716">
        <v>2730480.07</v>
      </c>
      <c r="G3328" s="716">
        <v>2847739.95</v>
      </c>
      <c r="H3328" s="225">
        <f t="shared" si="51"/>
        <v>2730480.07</v>
      </c>
    </row>
    <row r="3329" spans="1:8" x14ac:dyDescent="0.3">
      <c r="A3329" s="401"/>
      <c r="B3329" s="709">
        <v>44550</v>
      </c>
      <c r="C3329" s="710" t="s">
        <v>11658</v>
      </c>
      <c r="D3329" s="709" t="s">
        <v>136</v>
      </c>
      <c r="E3329" s="709" t="s">
        <v>8432</v>
      </c>
      <c r="F3329" s="716">
        <v>8566457.6600000001</v>
      </c>
      <c r="G3329" s="716">
        <v>8934342.3499999996</v>
      </c>
      <c r="H3329" s="225">
        <f t="shared" si="51"/>
        <v>8566457.6600000001</v>
      </c>
    </row>
    <row r="3330" spans="1:8" x14ac:dyDescent="0.3">
      <c r="A3330" s="401"/>
      <c r="B3330" s="709">
        <v>44549</v>
      </c>
      <c r="C3330" s="710" t="s">
        <v>11659</v>
      </c>
      <c r="D3330" s="709" t="s">
        <v>136</v>
      </c>
      <c r="E3330" s="709" t="s">
        <v>8432</v>
      </c>
      <c r="F3330" s="716">
        <v>6264222.1900000004</v>
      </c>
      <c r="G3330" s="716">
        <v>6533237.8700000001</v>
      </c>
      <c r="H3330" s="225">
        <f t="shared" si="51"/>
        <v>6264222.1900000004</v>
      </c>
    </row>
    <row r="3331" spans="1:8" x14ac:dyDescent="0.3">
      <c r="A3331" s="401"/>
      <c r="B3331" s="709">
        <v>41982</v>
      </c>
      <c r="C3331" s="710" t="s">
        <v>11660</v>
      </c>
      <c r="D3331" s="709" t="s">
        <v>136</v>
      </c>
      <c r="E3331" s="709" t="s">
        <v>8432</v>
      </c>
      <c r="F3331" s="716">
        <v>1664264.23</v>
      </c>
      <c r="G3331" s="716">
        <v>1735735.7</v>
      </c>
      <c r="H3331" s="225">
        <f t="shared" si="51"/>
        <v>1664264.23</v>
      </c>
    </row>
    <row r="3332" spans="1:8" x14ac:dyDescent="0.3">
      <c r="A3332" s="401"/>
      <c r="B3332" s="709">
        <v>39012</v>
      </c>
      <c r="C3332" s="710" t="s">
        <v>11661</v>
      </c>
      <c r="D3332" s="709" t="s">
        <v>136</v>
      </c>
      <c r="E3332" s="709" t="s">
        <v>8432</v>
      </c>
      <c r="F3332" s="716">
        <v>976531.53</v>
      </c>
      <c r="G3332" s="716">
        <v>1018468.47</v>
      </c>
      <c r="H3332" s="225">
        <f t="shared" si="51"/>
        <v>976531.53</v>
      </c>
    </row>
    <row r="3333" spans="1:8" x14ac:dyDescent="0.3">
      <c r="A3333" s="401"/>
      <c r="B3333" s="709">
        <v>40435</v>
      </c>
      <c r="C3333" s="710" t="s">
        <v>11662</v>
      </c>
      <c r="D3333" s="709" t="s">
        <v>136</v>
      </c>
      <c r="E3333" s="709" t="s">
        <v>8432</v>
      </c>
      <c r="F3333" s="716">
        <v>986082.43</v>
      </c>
      <c r="G3333" s="716">
        <v>1028429.53</v>
      </c>
      <c r="H3333" s="225">
        <f t="shared" si="51"/>
        <v>986082.43</v>
      </c>
    </row>
    <row r="3334" spans="1:8" x14ac:dyDescent="0.3">
      <c r="A3334" s="401"/>
      <c r="B3334" s="709">
        <v>45265</v>
      </c>
      <c r="C3334" s="710" t="s">
        <v>11663</v>
      </c>
      <c r="D3334" s="709" t="s">
        <v>8808</v>
      </c>
      <c r="E3334" s="709" t="s">
        <v>8432</v>
      </c>
      <c r="F3334" s="716">
        <v>37.75</v>
      </c>
      <c r="G3334" s="716">
        <v>37.020000000000003</v>
      </c>
      <c r="H3334" s="225">
        <f t="shared" si="51"/>
        <v>37.75</v>
      </c>
    </row>
    <row r="3335" spans="1:8" x14ac:dyDescent="0.3">
      <c r="A3335" s="401"/>
      <c r="B3335" s="709">
        <v>13617</v>
      </c>
      <c r="C3335" s="710" t="s">
        <v>11664</v>
      </c>
      <c r="D3335" s="709" t="s">
        <v>136</v>
      </c>
      <c r="E3335" s="709" t="s">
        <v>8432</v>
      </c>
      <c r="F3335" s="716">
        <v>103321.7</v>
      </c>
      <c r="G3335" s="716">
        <v>103321.7</v>
      </c>
      <c r="H3335" s="225">
        <f t="shared" si="51"/>
        <v>103321.7</v>
      </c>
    </row>
    <row r="3336" spans="1:8" x14ac:dyDescent="0.3">
      <c r="A3336" s="401"/>
      <c r="B3336" s="709">
        <v>35274</v>
      </c>
      <c r="C3336" s="710" t="s">
        <v>11665</v>
      </c>
      <c r="D3336" s="709" t="s">
        <v>159</v>
      </c>
      <c r="E3336" s="709" t="s">
        <v>8432</v>
      </c>
      <c r="F3336" s="716">
        <v>51.99</v>
      </c>
      <c r="G3336" s="716">
        <v>63.56</v>
      </c>
      <c r="H3336" s="225">
        <f t="shared" si="51"/>
        <v>51.99</v>
      </c>
    </row>
    <row r="3337" spans="1:8" x14ac:dyDescent="0.3">
      <c r="A3337" s="401"/>
      <c r="B3337" s="709">
        <v>35275</v>
      </c>
      <c r="C3337" s="710" t="s">
        <v>11666</v>
      </c>
      <c r="D3337" s="709" t="s">
        <v>159</v>
      </c>
      <c r="E3337" s="709" t="s">
        <v>8432</v>
      </c>
      <c r="F3337" s="716">
        <v>110.35</v>
      </c>
      <c r="G3337" s="716">
        <v>134.91</v>
      </c>
      <c r="H3337" s="225">
        <f t="shared" si="51"/>
        <v>110.35</v>
      </c>
    </row>
    <row r="3338" spans="1:8" x14ac:dyDescent="0.3">
      <c r="A3338" s="401"/>
      <c r="B3338" s="709">
        <v>35276</v>
      </c>
      <c r="C3338" s="710" t="s">
        <v>11667</v>
      </c>
      <c r="D3338" s="709" t="s">
        <v>159</v>
      </c>
      <c r="E3338" s="709" t="s">
        <v>8432</v>
      </c>
      <c r="F3338" s="716">
        <v>192.01</v>
      </c>
      <c r="G3338" s="716">
        <v>234.74</v>
      </c>
      <c r="H3338" s="225">
        <f t="shared" si="51"/>
        <v>192.01</v>
      </c>
    </row>
    <row r="3339" spans="1:8" x14ac:dyDescent="0.3">
      <c r="A3339" s="401"/>
      <c r="B3339" s="709">
        <v>11091</v>
      </c>
      <c r="C3339" s="710" t="s">
        <v>11668</v>
      </c>
      <c r="D3339" s="709" t="s">
        <v>136</v>
      </c>
      <c r="E3339" s="709" t="s">
        <v>8432</v>
      </c>
      <c r="F3339" s="716">
        <v>1.41</v>
      </c>
      <c r="G3339" s="716">
        <v>1.58</v>
      </c>
      <c r="H3339" s="225">
        <f t="shared" ref="H3339:H3402" si="52">IF(F3339&gt;0,F3339,G3339)</f>
        <v>1.41</v>
      </c>
    </row>
    <row r="3340" spans="1:8" x14ac:dyDescent="0.3">
      <c r="A3340" s="401"/>
      <c r="B3340" s="709">
        <v>37586</v>
      </c>
      <c r="C3340" s="710" t="s">
        <v>11669</v>
      </c>
      <c r="D3340" s="709" t="s">
        <v>10467</v>
      </c>
      <c r="E3340" s="709" t="s">
        <v>8432</v>
      </c>
      <c r="F3340" s="716">
        <v>47.39</v>
      </c>
      <c r="G3340" s="716">
        <v>54.36</v>
      </c>
      <c r="H3340" s="225">
        <f t="shared" si="52"/>
        <v>47.39</v>
      </c>
    </row>
    <row r="3341" spans="1:8" x14ac:dyDescent="0.3">
      <c r="A3341" s="401"/>
      <c r="B3341" s="709">
        <v>37395</v>
      </c>
      <c r="C3341" s="710" t="s">
        <v>11670</v>
      </c>
      <c r="D3341" s="709" t="s">
        <v>10467</v>
      </c>
      <c r="E3341" s="709" t="s">
        <v>8432</v>
      </c>
      <c r="F3341" s="716">
        <v>40.75</v>
      </c>
      <c r="G3341" s="716">
        <v>46.74</v>
      </c>
      <c r="H3341" s="225">
        <f t="shared" si="52"/>
        <v>40.75</v>
      </c>
    </row>
    <row r="3342" spans="1:8" x14ac:dyDescent="0.3">
      <c r="A3342" s="401"/>
      <c r="B3342" s="709">
        <v>14147</v>
      </c>
      <c r="C3342" s="710" t="s">
        <v>11671</v>
      </c>
      <c r="D3342" s="709" t="s">
        <v>10467</v>
      </c>
      <c r="E3342" s="709" t="s">
        <v>8432</v>
      </c>
      <c r="F3342" s="716">
        <v>54.05</v>
      </c>
      <c r="G3342" s="716">
        <v>62</v>
      </c>
      <c r="H3342" s="225">
        <f t="shared" si="52"/>
        <v>54.05</v>
      </c>
    </row>
    <row r="3343" spans="1:8" x14ac:dyDescent="0.3">
      <c r="A3343" s="401"/>
      <c r="B3343" s="709">
        <v>37396</v>
      </c>
      <c r="C3343" s="710" t="s">
        <v>11672</v>
      </c>
      <c r="D3343" s="709" t="s">
        <v>10467</v>
      </c>
      <c r="E3343" s="709" t="s">
        <v>8432</v>
      </c>
      <c r="F3343" s="716">
        <v>33.340000000000003</v>
      </c>
      <c r="G3343" s="716">
        <v>38.25</v>
      </c>
      <c r="H3343" s="225">
        <f t="shared" si="52"/>
        <v>33.340000000000003</v>
      </c>
    </row>
    <row r="3344" spans="1:8" x14ac:dyDescent="0.3">
      <c r="A3344" s="401"/>
      <c r="B3344" s="709">
        <v>37397</v>
      </c>
      <c r="C3344" s="710" t="s">
        <v>11673</v>
      </c>
      <c r="D3344" s="709" t="s">
        <v>10467</v>
      </c>
      <c r="E3344" s="709" t="s">
        <v>8432</v>
      </c>
      <c r="F3344" s="716">
        <v>34.93</v>
      </c>
      <c r="G3344" s="716">
        <v>40.06</v>
      </c>
      <c r="H3344" s="225">
        <f t="shared" si="52"/>
        <v>34.93</v>
      </c>
    </row>
    <row r="3345" spans="1:8" x14ac:dyDescent="0.3">
      <c r="A3345" s="401"/>
      <c r="B3345" s="709">
        <v>43606</v>
      </c>
      <c r="C3345" s="710" t="s">
        <v>11674</v>
      </c>
      <c r="D3345" s="709" t="s">
        <v>136</v>
      </c>
      <c r="E3345" s="709" t="s">
        <v>8432</v>
      </c>
      <c r="F3345" s="716">
        <v>10.41</v>
      </c>
      <c r="G3345" s="716">
        <v>8.61</v>
      </c>
      <c r="H3345" s="225">
        <f t="shared" si="52"/>
        <v>10.41</v>
      </c>
    </row>
    <row r="3346" spans="1:8" x14ac:dyDescent="0.3">
      <c r="A3346" s="401"/>
      <c r="B3346" s="709">
        <v>444</v>
      </c>
      <c r="C3346" s="710" t="s">
        <v>11675</v>
      </c>
      <c r="D3346" s="709" t="s">
        <v>136</v>
      </c>
      <c r="E3346" s="709" t="s">
        <v>8432</v>
      </c>
      <c r="F3346" s="716"/>
      <c r="G3346" s="716">
        <v>24</v>
      </c>
      <c r="H3346" s="225">
        <f t="shared" si="52"/>
        <v>24</v>
      </c>
    </row>
    <row r="3347" spans="1:8" x14ac:dyDescent="0.3">
      <c r="A3347" s="401"/>
      <c r="B3347" s="709">
        <v>445</v>
      </c>
      <c r="C3347" s="710" t="s">
        <v>11676</v>
      </c>
      <c r="D3347" s="709" t="s">
        <v>136</v>
      </c>
      <c r="E3347" s="709" t="s">
        <v>8432</v>
      </c>
      <c r="F3347" s="716"/>
      <c r="G3347" s="716">
        <v>32.85</v>
      </c>
      <c r="H3347" s="225">
        <f t="shared" si="52"/>
        <v>32.85</v>
      </c>
    </row>
    <row r="3348" spans="1:8" x14ac:dyDescent="0.3">
      <c r="A3348" s="401"/>
      <c r="B3348" s="709">
        <v>4783</v>
      </c>
      <c r="C3348" s="710" t="s">
        <v>11677</v>
      </c>
      <c r="D3348" s="709" t="s">
        <v>234</v>
      </c>
      <c r="E3348" s="709" t="s">
        <v>8438</v>
      </c>
      <c r="F3348" s="716">
        <v>23.97</v>
      </c>
      <c r="G3348" s="716">
        <v>27.39</v>
      </c>
      <c r="H3348" s="225">
        <f t="shared" si="52"/>
        <v>23.97</v>
      </c>
    </row>
    <row r="3349" spans="1:8" x14ac:dyDescent="0.3">
      <c r="A3349" s="401"/>
      <c r="B3349" s="709">
        <v>41079</v>
      </c>
      <c r="C3349" s="710" t="s">
        <v>11678</v>
      </c>
      <c r="D3349" s="709" t="s">
        <v>208</v>
      </c>
      <c r="E3349" s="709" t="s">
        <v>8432</v>
      </c>
      <c r="F3349" s="716">
        <v>4212.2700000000004</v>
      </c>
      <c r="G3349" s="716">
        <v>4797.83</v>
      </c>
      <c r="H3349" s="225">
        <f t="shared" si="52"/>
        <v>4212.2700000000004</v>
      </c>
    </row>
    <row r="3350" spans="1:8" x14ac:dyDescent="0.3">
      <c r="A3350" s="401"/>
      <c r="B3350" s="709">
        <v>12874</v>
      </c>
      <c r="C3350" s="710" t="s">
        <v>11679</v>
      </c>
      <c r="D3350" s="709" t="s">
        <v>234</v>
      </c>
      <c r="E3350" s="709" t="s">
        <v>8432</v>
      </c>
      <c r="F3350" s="716">
        <v>23.27</v>
      </c>
      <c r="G3350" s="716">
        <v>25.24</v>
      </c>
      <c r="H3350" s="225">
        <f t="shared" si="52"/>
        <v>23.27</v>
      </c>
    </row>
    <row r="3351" spans="1:8" x14ac:dyDescent="0.3">
      <c r="A3351" s="401"/>
      <c r="B3351" s="709">
        <v>41082</v>
      </c>
      <c r="C3351" s="710" t="s">
        <v>11680</v>
      </c>
      <c r="D3351" s="709" t="s">
        <v>208</v>
      </c>
      <c r="E3351" s="709" t="s">
        <v>8432</v>
      </c>
      <c r="F3351" s="716">
        <v>4090.4</v>
      </c>
      <c r="G3351" s="716">
        <v>4424.59</v>
      </c>
      <c r="H3351" s="225">
        <f t="shared" si="52"/>
        <v>4090.4</v>
      </c>
    </row>
    <row r="3352" spans="1:8" x14ac:dyDescent="0.3">
      <c r="A3352" s="401"/>
      <c r="B3352" s="709">
        <v>4785</v>
      </c>
      <c r="C3352" s="710" t="s">
        <v>11681</v>
      </c>
      <c r="D3352" s="709" t="s">
        <v>234</v>
      </c>
      <c r="E3352" s="709" t="s">
        <v>8432</v>
      </c>
      <c r="F3352" s="716">
        <v>23.97</v>
      </c>
      <c r="G3352" s="716">
        <v>27.39</v>
      </c>
      <c r="H3352" s="225">
        <f t="shared" si="52"/>
        <v>23.97</v>
      </c>
    </row>
    <row r="3353" spans="1:8" x14ac:dyDescent="0.3">
      <c r="A3353" s="401"/>
      <c r="B3353" s="709">
        <v>41081</v>
      </c>
      <c r="C3353" s="710" t="s">
        <v>11682</v>
      </c>
      <c r="D3353" s="709" t="s">
        <v>208</v>
      </c>
      <c r="E3353" s="709" t="s">
        <v>8432</v>
      </c>
      <c r="F3353" s="716">
        <v>4212.2700000000004</v>
      </c>
      <c r="G3353" s="716">
        <v>4797.83</v>
      </c>
      <c r="H3353" s="225">
        <f t="shared" si="52"/>
        <v>4212.2700000000004</v>
      </c>
    </row>
    <row r="3354" spans="1:8" x14ac:dyDescent="0.3">
      <c r="A3354" s="401"/>
      <c r="B3354" s="709">
        <v>4801</v>
      </c>
      <c r="C3354" s="710" t="s">
        <v>11683</v>
      </c>
      <c r="D3354" s="709" t="s">
        <v>168</v>
      </c>
      <c r="E3354" s="709" t="s">
        <v>8432</v>
      </c>
      <c r="F3354" s="716">
        <v>63.7</v>
      </c>
      <c r="G3354" s="716">
        <v>77.05</v>
      </c>
      <c r="H3354" s="225">
        <f t="shared" si="52"/>
        <v>63.7</v>
      </c>
    </row>
    <row r="3355" spans="1:8" x14ac:dyDescent="0.3">
      <c r="A3355" s="401"/>
      <c r="B3355" s="709">
        <v>4794</v>
      </c>
      <c r="C3355" s="710" t="s">
        <v>11684</v>
      </c>
      <c r="D3355" s="709" t="s">
        <v>168</v>
      </c>
      <c r="E3355" s="709" t="s">
        <v>8432</v>
      </c>
      <c r="F3355" s="716">
        <v>290.14</v>
      </c>
      <c r="G3355" s="716">
        <v>350.94</v>
      </c>
      <c r="H3355" s="225">
        <f t="shared" si="52"/>
        <v>290.14</v>
      </c>
    </row>
    <row r="3356" spans="1:8" x14ac:dyDescent="0.3">
      <c r="A3356" s="401"/>
      <c r="B3356" s="709">
        <v>4796</v>
      </c>
      <c r="C3356" s="710" t="s">
        <v>11685</v>
      </c>
      <c r="D3356" s="709" t="s">
        <v>168</v>
      </c>
      <c r="E3356" s="709" t="s">
        <v>8432</v>
      </c>
      <c r="F3356" s="716">
        <v>176.23</v>
      </c>
      <c r="G3356" s="716">
        <v>213.15</v>
      </c>
      <c r="H3356" s="225">
        <f t="shared" si="52"/>
        <v>176.23</v>
      </c>
    </row>
    <row r="3357" spans="1:8" x14ac:dyDescent="0.3">
      <c r="A3357" s="401"/>
      <c r="B3357" s="709">
        <v>4800</v>
      </c>
      <c r="C3357" s="710" t="s">
        <v>11686</v>
      </c>
      <c r="D3357" s="709" t="s">
        <v>168</v>
      </c>
      <c r="E3357" s="709" t="s">
        <v>8432</v>
      </c>
      <c r="F3357" s="716">
        <v>48.46</v>
      </c>
      <c r="G3357" s="716">
        <v>58.62</v>
      </c>
      <c r="H3357" s="225">
        <f t="shared" si="52"/>
        <v>48.46</v>
      </c>
    </row>
    <row r="3358" spans="1:8" x14ac:dyDescent="0.3">
      <c r="A3358" s="401"/>
      <c r="B3358" s="709">
        <v>4795</v>
      </c>
      <c r="C3358" s="710" t="s">
        <v>11687</v>
      </c>
      <c r="D3358" s="709" t="s">
        <v>168</v>
      </c>
      <c r="E3358" s="709" t="s">
        <v>8432</v>
      </c>
      <c r="F3358" s="716">
        <v>282.43</v>
      </c>
      <c r="G3358" s="716">
        <v>341.62</v>
      </c>
      <c r="H3358" s="225">
        <f t="shared" si="52"/>
        <v>282.43</v>
      </c>
    </row>
    <row r="3359" spans="1:8" x14ac:dyDescent="0.3">
      <c r="A3359" s="401"/>
      <c r="B3359" s="709">
        <v>1292</v>
      </c>
      <c r="C3359" s="710" t="s">
        <v>11688</v>
      </c>
      <c r="D3359" s="709" t="s">
        <v>168</v>
      </c>
      <c r="E3359" s="709" t="s">
        <v>8432</v>
      </c>
      <c r="F3359" s="716">
        <v>47.24</v>
      </c>
      <c r="G3359" s="716">
        <v>37</v>
      </c>
      <c r="H3359" s="225">
        <f t="shared" si="52"/>
        <v>47.24</v>
      </c>
    </row>
    <row r="3360" spans="1:8" x14ac:dyDescent="0.3">
      <c r="A3360" s="401"/>
      <c r="B3360" s="709">
        <v>1287</v>
      </c>
      <c r="C3360" s="710" t="s">
        <v>11689</v>
      </c>
      <c r="D3360" s="709" t="s">
        <v>168</v>
      </c>
      <c r="E3360" s="709" t="s">
        <v>8432</v>
      </c>
      <c r="F3360" s="716">
        <v>37.82</v>
      </c>
      <c r="G3360" s="716">
        <v>29.62</v>
      </c>
      <c r="H3360" s="225">
        <f t="shared" si="52"/>
        <v>37.82</v>
      </c>
    </row>
    <row r="3361" spans="1:8" x14ac:dyDescent="0.3">
      <c r="A3361" s="401"/>
      <c r="B3361" s="709">
        <v>4786</v>
      </c>
      <c r="C3361" s="710" t="s">
        <v>11690</v>
      </c>
      <c r="D3361" s="709" t="s">
        <v>168</v>
      </c>
      <c r="E3361" s="709" t="s">
        <v>8438</v>
      </c>
      <c r="F3361" s="716"/>
      <c r="G3361" s="716">
        <v>138.5</v>
      </c>
      <c r="H3361" s="225">
        <f t="shared" si="52"/>
        <v>138.5</v>
      </c>
    </row>
    <row r="3362" spans="1:8" x14ac:dyDescent="0.3">
      <c r="A3362" s="401"/>
      <c r="B3362" s="709">
        <v>10840</v>
      </c>
      <c r="C3362" s="710" t="s">
        <v>11691</v>
      </c>
      <c r="D3362" s="709" t="s">
        <v>168</v>
      </c>
      <c r="E3362" s="709" t="s">
        <v>8438</v>
      </c>
      <c r="F3362" s="716">
        <v>480</v>
      </c>
      <c r="G3362" s="716">
        <v>445</v>
      </c>
      <c r="H3362" s="225">
        <f t="shared" si="52"/>
        <v>480</v>
      </c>
    </row>
    <row r="3363" spans="1:8" x14ac:dyDescent="0.3">
      <c r="A3363" s="401"/>
      <c r="B3363" s="709">
        <v>10841</v>
      </c>
      <c r="C3363" s="710" t="s">
        <v>11692</v>
      </c>
      <c r="D3363" s="709" t="s">
        <v>168</v>
      </c>
      <c r="E3363" s="709" t="s">
        <v>8432</v>
      </c>
      <c r="F3363" s="716">
        <v>362.26</v>
      </c>
      <c r="G3363" s="716">
        <v>335.84</v>
      </c>
      <c r="H3363" s="225">
        <f t="shared" si="52"/>
        <v>362.26</v>
      </c>
    </row>
    <row r="3364" spans="1:8" x14ac:dyDescent="0.3">
      <c r="A3364" s="401"/>
      <c r="B3364" s="709">
        <v>44540</v>
      </c>
      <c r="C3364" s="710" t="s">
        <v>11693</v>
      </c>
      <c r="D3364" s="709" t="s">
        <v>168</v>
      </c>
      <c r="E3364" s="709" t="s">
        <v>8432</v>
      </c>
      <c r="F3364" s="716">
        <v>462.89</v>
      </c>
      <c r="G3364" s="716">
        <v>429.14</v>
      </c>
      <c r="H3364" s="225">
        <f t="shared" si="52"/>
        <v>462.89</v>
      </c>
    </row>
    <row r="3365" spans="1:8" x14ac:dyDescent="0.3">
      <c r="A3365" s="401"/>
      <c r="B3365" s="709">
        <v>10842</v>
      </c>
      <c r="C3365" s="710" t="s">
        <v>11694</v>
      </c>
      <c r="D3365" s="709" t="s">
        <v>168</v>
      </c>
      <c r="E3365" s="709" t="s">
        <v>8432</v>
      </c>
      <c r="F3365" s="716">
        <v>523.27</v>
      </c>
      <c r="G3365" s="716">
        <v>485.11</v>
      </c>
      <c r="H3365" s="225">
        <f t="shared" si="52"/>
        <v>523.27</v>
      </c>
    </row>
    <row r="3366" spans="1:8" x14ac:dyDescent="0.3">
      <c r="A3366" s="401"/>
      <c r="B3366" s="709">
        <v>45190</v>
      </c>
      <c r="C3366" s="710" t="s">
        <v>11695</v>
      </c>
      <c r="D3366" s="709" t="s">
        <v>168</v>
      </c>
      <c r="E3366" s="709" t="s">
        <v>8438</v>
      </c>
      <c r="F3366" s="716">
        <v>78</v>
      </c>
      <c r="G3366" s="716">
        <v>61.1</v>
      </c>
      <c r="H3366" s="225">
        <f t="shared" si="52"/>
        <v>78</v>
      </c>
    </row>
    <row r="3367" spans="1:8" x14ac:dyDescent="0.3">
      <c r="A3367" s="401"/>
      <c r="B3367" s="709">
        <v>45191</v>
      </c>
      <c r="C3367" s="710" t="s">
        <v>11696</v>
      </c>
      <c r="D3367" s="709" t="s">
        <v>168</v>
      </c>
      <c r="E3367" s="709" t="s">
        <v>8432</v>
      </c>
      <c r="F3367" s="716">
        <v>132.33000000000001</v>
      </c>
      <c r="G3367" s="716">
        <v>103.65</v>
      </c>
      <c r="H3367" s="225">
        <f t="shared" si="52"/>
        <v>132.33000000000001</v>
      </c>
    </row>
    <row r="3368" spans="1:8" x14ac:dyDescent="0.3">
      <c r="A3368" s="401"/>
      <c r="B3368" s="709">
        <v>38180</v>
      </c>
      <c r="C3368" s="710" t="s">
        <v>11697</v>
      </c>
      <c r="D3368" s="709" t="s">
        <v>168</v>
      </c>
      <c r="E3368" s="709" t="s">
        <v>8432</v>
      </c>
      <c r="F3368" s="716">
        <v>141.88</v>
      </c>
      <c r="G3368" s="716">
        <v>171.61</v>
      </c>
      <c r="H3368" s="225">
        <f t="shared" si="52"/>
        <v>141.88</v>
      </c>
    </row>
    <row r="3369" spans="1:8" x14ac:dyDescent="0.3">
      <c r="A3369" s="401"/>
      <c r="B3369" s="709">
        <v>40648</v>
      </c>
      <c r="C3369" s="710" t="s">
        <v>11698</v>
      </c>
      <c r="D3369" s="709" t="s">
        <v>168</v>
      </c>
      <c r="E3369" s="709" t="s">
        <v>8432</v>
      </c>
      <c r="F3369" s="716"/>
      <c r="G3369" s="716">
        <v>265.92</v>
      </c>
      <c r="H3369" s="225">
        <f t="shared" si="52"/>
        <v>265.92</v>
      </c>
    </row>
    <row r="3370" spans="1:8" x14ac:dyDescent="0.3">
      <c r="A3370" s="401"/>
      <c r="B3370" s="709">
        <v>40649</v>
      </c>
      <c r="C3370" s="710" t="s">
        <v>11699</v>
      </c>
      <c r="D3370" s="709" t="s">
        <v>168</v>
      </c>
      <c r="E3370" s="709" t="s">
        <v>8432</v>
      </c>
      <c r="F3370" s="716"/>
      <c r="G3370" s="716">
        <v>154.88999999999999</v>
      </c>
      <c r="H3370" s="225">
        <f t="shared" si="52"/>
        <v>154.88999999999999</v>
      </c>
    </row>
    <row r="3371" spans="1:8" x14ac:dyDescent="0.3">
      <c r="A3371" s="401"/>
      <c r="B3371" s="709">
        <v>40650</v>
      </c>
      <c r="C3371" s="710" t="s">
        <v>11700</v>
      </c>
      <c r="D3371" s="709" t="s">
        <v>168</v>
      </c>
      <c r="E3371" s="709" t="s">
        <v>8432</v>
      </c>
      <c r="F3371" s="716"/>
      <c r="G3371" s="716">
        <v>199.44</v>
      </c>
      <c r="H3371" s="225">
        <f t="shared" si="52"/>
        <v>199.44</v>
      </c>
    </row>
    <row r="3372" spans="1:8" x14ac:dyDescent="0.3">
      <c r="A3372" s="401"/>
      <c r="B3372" s="709">
        <v>40651</v>
      </c>
      <c r="C3372" s="710" t="s">
        <v>11701</v>
      </c>
      <c r="D3372" s="709" t="s">
        <v>168</v>
      </c>
      <c r="E3372" s="709" t="s">
        <v>8432</v>
      </c>
      <c r="F3372" s="716"/>
      <c r="G3372" s="716">
        <v>367.85</v>
      </c>
      <c r="H3372" s="225">
        <f t="shared" si="52"/>
        <v>367.85</v>
      </c>
    </row>
    <row r="3373" spans="1:8" x14ac:dyDescent="0.3">
      <c r="A3373" s="401"/>
      <c r="B3373" s="709">
        <v>40652</v>
      </c>
      <c r="C3373" s="710" t="s">
        <v>11702</v>
      </c>
      <c r="D3373" s="709" t="s">
        <v>168</v>
      </c>
      <c r="E3373" s="709" t="s">
        <v>8432</v>
      </c>
      <c r="F3373" s="716"/>
      <c r="G3373" s="716">
        <v>197.22</v>
      </c>
      <c r="H3373" s="225">
        <f t="shared" si="52"/>
        <v>197.22</v>
      </c>
    </row>
    <row r="3374" spans="1:8" x14ac:dyDescent="0.3">
      <c r="A3374" s="401"/>
      <c r="B3374" s="709">
        <v>40647</v>
      </c>
      <c r="C3374" s="710" t="s">
        <v>11703</v>
      </c>
      <c r="D3374" s="709" t="s">
        <v>168</v>
      </c>
      <c r="E3374" s="709" t="s">
        <v>8432</v>
      </c>
      <c r="F3374" s="716"/>
      <c r="G3374" s="716">
        <v>217.16</v>
      </c>
      <c r="H3374" s="225">
        <f t="shared" si="52"/>
        <v>217.16</v>
      </c>
    </row>
    <row r="3375" spans="1:8" x14ac:dyDescent="0.3">
      <c r="A3375" s="401"/>
      <c r="B3375" s="709">
        <v>40653</v>
      </c>
      <c r="C3375" s="710" t="s">
        <v>11704</v>
      </c>
      <c r="D3375" s="709" t="s">
        <v>168</v>
      </c>
      <c r="E3375" s="709" t="s">
        <v>8432</v>
      </c>
      <c r="F3375" s="716"/>
      <c r="G3375" s="716">
        <v>166.2</v>
      </c>
      <c r="H3375" s="225">
        <f t="shared" si="52"/>
        <v>166.2</v>
      </c>
    </row>
    <row r="3376" spans="1:8" x14ac:dyDescent="0.3">
      <c r="A3376" s="401"/>
      <c r="B3376" s="709">
        <v>38135</v>
      </c>
      <c r="C3376" s="710" t="s">
        <v>11705</v>
      </c>
      <c r="D3376" s="709" t="s">
        <v>168</v>
      </c>
      <c r="E3376" s="709" t="s">
        <v>8432</v>
      </c>
      <c r="F3376" s="716">
        <v>82.46</v>
      </c>
      <c r="G3376" s="716">
        <v>121.59</v>
      </c>
      <c r="H3376" s="225">
        <f t="shared" si="52"/>
        <v>82.46</v>
      </c>
    </row>
    <row r="3377" spans="1:8" x14ac:dyDescent="0.3">
      <c r="A3377" s="401"/>
      <c r="B3377" s="709">
        <v>36178</v>
      </c>
      <c r="C3377" s="710" t="s">
        <v>11706</v>
      </c>
      <c r="D3377" s="709" t="s">
        <v>136</v>
      </c>
      <c r="E3377" s="709" t="s">
        <v>8432</v>
      </c>
      <c r="F3377" s="716">
        <v>13.79</v>
      </c>
      <c r="G3377" s="716">
        <v>20.329999999999998</v>
      </c>
      <c r="H3377" s="225">
        <f t="shared" si="52"/>
        <v>13.79</v>
      </c>
    </row>
    <row r="3378" spans="1:8" x14ac:dyDescent="0.3">
      <c r="A3378" s="401"/>
      <c r="B3378" s="709">
        <v>38181</v>
      </c>
      <c r="C3378" s="710" t="s">
        <v>11707</v>
      </c>
      <c r="D3378" s="709" t="s">
        <v>168</v>
      </c>
      <c r="E3378" s="709" t="s">
        <v>8432</v>
      </c>
      <c r="F3378" s="716">
        <v>193.69</v>
      </c>
      <c r="G3378" s="716">
        <v>234.28</v>
      </c>
      <c r="H3378" s="225">
        <f t="shared" si="52"/>
        <v>193.69</v>
      </c>
    </row>
    <row r="3379" spans="1:8" x14ac:dyDescent="0.3">
      <c r="A3379" s="401"/>
      <c r="B3379" s="709">
        <v>38182</v>
      </c>
      <c r="C3379" s="710" t="s">
        <v>11708</v>
      </c>
      <c r="D3379" s="709" t="s">
        <v>168</v>
      </c>
      <c r="E3379" s="709" t="s">
        <v>8432</v>
      </c>
      <c r="F3379" s="716">
        <v>184.5</v>
      </c>
      <c r="G3379" s="716">
        <v>223.16</v>
      </c>
      <c r="H3379" s="225">
        <f t="shared" si="52"/>
        <v>184.5</v>
      </c>
    </row>
    <row r="3380" spans="1:8" x14ac:dyDescent="0.3">
      <c r="A3380" s="401"/>
      <c r="B3380" s="709">
        <v>38186</v>
      </c>
      <c r="C3380" s="710" t="s">
        <v>11709</v>
      </c>
      <c r="D3380" s="709" t="s">
        <v>168</v>
      </c>
      <c r="E3380" s="709" t="s">
        <v>8432</v>
      </c>
      <c r="F3380" s="716">
        <v>479.58</v>
      </c>
      <c r="G3380" s="716">
        <v>580.07000000000005</v>
      </c>
      <c r="H3380" s="225">
        <f t="shared" si="52"/>
        <v>479.58</v>
      </c>
    </row>
    <row r="3381" spans="1:8" x14ac:dyDescent="0.3">
      <c r="A3381" s="401"/>
      <c r="B3381" s="709">
        <v>38185</v>
      </c>
      <c r="C3381" s="710" t="s">
        <v>11710</v>
      </c>
      <c r="D3381" s="709" t="s">
        <v>168</v>
      </c>
      <c r="E3381" s="709" t="s">
        <v>8432</v>
      </c>
      <c r="F3381" s="716">
        <v>426.99</v>
      </c>
      <c r="G3381" s="716">
        <v>516.47</v>
      </c>
      <c r="H3381" s="225">
        <f t="shared" si="52"/>
        <v>426.99</v>
      </c>
    </row>
    <row r="3382" spans="1:8" x14ac:dyDescent="0.3">
      <c r="A3382" s="401"/>
      <c r="B3382" s="709">
        <v>40654</v>
      </c>
      <c r="C3382" s="710" t="s">
        <v>11711</v>
      </c>
      <c r="D3382" s="709" t="s">
        <v>168</v>
      </c>
      <c r="E3382" s="709" t="s">
        <v>8432</v>
      </c>
      <c r="F3382" s="716"/>
      <c r="G3382" s="716">
        <v>258.16000000000003</v>
      </c>
      <c r="H3382" s="225">
        <f t="shared" si="52"/>
        <v>258.16000000000003</v>
      </c>
    </row>
    <row r="3383" spans="1:8" x14ac:dyDescent="0.3">
      <c r="A3383" s="401"/>
      <c r="B3383" s="709">
        <v>44541</v>
      </c>
      <c r="C3383" s="710" t="s">
        <v>11712</v>
      </c>
      <c r="D3383" s="709" t="s">
        <v>168</v>
      </c>
      <c r="E3383" s="709" t="s">
        <v>8432</v>
      </c>
      <c r="F3383" s="716">
        <v>382.38</v>
      </c>
      <c r="G3383" s="716">
        <v>354.5</v>
      </c>
      <c r="H3383" s="225">
        <f t="shared" si="52"/>
        <v>382.38</v>
      </c>
    </row>
    <row r="3384" spans="1:8" x14ac:dyDescent="0.3">
      <c r="A3384" s="401"/>
      <c r="B3384" s="709">
        <v>4822</v>
      </c>
      <c r="C3384" s="710" t="s">
        <v>11713</v>
      </c>
      <c r="D3384" s="709" t="s">
        <v>168</v>
      </c>
      <c r="E3384" s="709" t="s">
        <v>8432</v>
      </c>
      <c r="F3384" s="716">
        <v>595.41</v>
      </c>
      <c r="G3384" s="716">
        <v>551.79999999999995</v>
      </c>
      <c r="H3384" s="225">
        <f t="shared" si="52"/>
        <v>595.41</v>
      </c>
    </row>
    <row r="3385" spans="1:8" x14ac:dyDescent="0.3">
      <c r="A3385" s="401"/>
      <c r="B3385" s="709">
        <v>4818</v>
      </c>
      <c r="C3385" s="710" t="s">
        <v>11714</v>
      </c>
      <c r="D3385" s="709" t="s">
        <v>168</v>
      </c>
      <c r="E3385" s="709" t="s">
        <v>8438</v>
      </c>
      <c r="F3385" s="716">
        <v>612</v>
      </c>
      <c r="G3385" s="716">
        <v>567.16999999999996</v>
      </c>
      <c r="H3385" s="225">
        <f t="shared" si="52"/>
        <v>612</v>
      </c>
    </row>
    <row r="3386" spans="1:8" x14ac:dyDescent="0.3">
      <c r="A3386" s="401"/>
      <c r="B3386" s="709">
        <v>39567</v>
      </c>
      <c r="C3386" s="710" t="s">
        <v>11715</v>
      </c>
      <c r="D3386" s="709" t="s">
        <v>168</v>
      </c>
      <c r="E3386" s="709" t="s">
        <v>8432</v>
      </c>
      <c r="F3386" s="716">
        <v>55.05</v>
      </c>
      <c r="G3386" s="716">
        <v>43.37</v>
      </c>
      <c r="H3386" s="225">
        <f t="shared" si="52"/>
        <v>55.05</v>
      </c>
    </row>
    <row r="3387" spans="1:8" x14ac:dyDescent="0.3">
      <c r="A3387" s="401"/>
      <c r="B3387" s="709">
        <v>39566</v>
      </c>
      <c r="C3387" s="710" t="s">
        <v>11716</v>
      </c>
      <c r="D3387" s="709" t="s">
        <v>168</v>
      </c>
      <c r="E3387" s="709" t="s">
        <v>8432</v>
      </c>
      <c r="F3387" s="716">
        <v>58.27</v>
      </c>
      <c r="G3387" s="716">
        <v>45.91</v>
      </c>
      <c r="H3387" s="225">
        <f t="shared" si="52"/>
        <v>58.27</v>
      </c>
    </row>
    <row r="3388" spans="1:8" x14ac:dyDescent="0.3">
      <c r="A3388" s="401"/>
      <c r="B3388" s="709">
        <v>39416</v>
      </c>
      <c r="C3388" s="710" t="s">
        <v>11717</v>
      </c>
      <c r="D3388" s="709" t="s">
        <v>168</v>
      </c>
      <c r="E3388" s="709" t="s">
        <v>8432</v>
      </c>
      <c r="F3388" s="716">
        <v>35.51</v>
      </c>
      <c r="G3388" s="716">
        <v>27.98</v>
      </c>
      <c r="H3388" s="225">
        <f t="shared" si="52"/>
        <v>35.51</v>
      </c>
    </row>
    <row r="3389" spans="1:8" x14ac:dyDescent="0.3">
      <c r="A3389" s="401"/>
      <c r="B3389" s="709">
        <v>39417</v>
      </c>
      <c r="C3389" s="710" t="s">
        <v>11718</v>
      </c>
      <c r="D3389" s="709" t="s">
        <v>168</v>
      </c>
      <c r="E3389" s="709" t="s">
        <v>8432</v>
      </c>
      <c r="F3389" s="716">
        <v>34.64</v>
      </c>
      <c r="G3389" s="716">
        <v>27.29</v>
      </c>
      <c r="H3389" s="225">
        <f t="shared" si="52"/>
        <v>34.64</v>
      </c>
    </row>
    <row r="3390" spans="1:8" x14ac:dyDescent="0.3">
      <c r="A3390" s="401"/>
      <c r="B3390" s="709">
        <v>43742</v>
      </c>
      <c r="C3390" s="710" t="s">
        <v>11719</v>
      </c>
      <c r="D3390" s="709" t="s">
        <v>168</v>
      </c>
      <c r="E3390" s="709" t="s">
        <v>8432</v>
      </c>
      <c r="F3390" s="716">
        <v>37.36</v>
      </c>
      <c r="G3390" s="716">
        <v>29.43</v>
      </c>
      <c r="H3390" s="225">
        <f t="shared" si="52"/>
        <v>37.36</v>
      </c>
    </row>
    <row r="3391" spans="1:8" x14ac:dyDescent="0.3">
      <c r="A3391" s="401"/>
      <c r="B3391" s="709">
        <v>39414</v>
      </c>
      <c r="C3391" s="710" t="s">
        <v>11720</v>
      </c>
      <c r="D3391" s="709" t="s">
        <v>168</v>
      </c>
      <c r="E3391" s="709" t="s">
        <v>8432</v>
      </c>
      <c r="F3391" s="716">
        <v>33.630000000000003</v>
      </c>
      <c r="G3391" s="716">
        <v>26.5</v>
      </c>
      <c r="H3391" s="225">
        <f t="shared" si="52"/>
        <v>33.630000000000003</v>
      </c>
    </row>
    <row r="3392" spans="1:8" x14ac:dyDescent="0.3">
      <c r="A3392" s="401"/>
      <c r="B3392" s="709">
        <v>39415</v>
      </c>
      <c r="C3392" s="710" t="s">
        <v>11721</v>
      </c>
      <c r="D3392" s="709" t="s">
        <v>168</v>
      </c>
      <c r="E3392" s="709" t="s">
        <v>8432</v>
      </c>
      <c r="F3392" s="716">
        <v>28.99</v>
      </c>
      <c r="G3392" s="716">
        <v>22.84</v>
      </c>
      <c r="H3392" s="225">
        <f t="shared" si="52"/>
        <v>28.99</v>
      </c>
    </row>
    <row r="3393" spans="1:8" x14ac:dyDescent="0.3">
      <c r="A3393" s="401"/>
      <c r="B3393" s="709">
        <v>43740</v>
      </c>
      <c r="C3393" s="710" t="s">
        <v>11722</v>
      </c>
      <c r="D3393" s="709" t="s">
        <v>168</v>
      </c>
      <c r="E3393" s="709" t="s">
        <v>8432</v>
      </c>
      <c r="F3393" s="716">
        <v>35.4</v>
      </c>
      <c r="G3393" s="716">
        <v>27.89</v>
      </c>
      <c r="H3393" s="225">
        <f t="shared" si="52"/>
        <v>35.4</v>
      </c>
    </row>
    <row r="3394" spans="1:8" x14ac:dyDescent="0.3">
      <c r="A3394" s="401"/>
      <c r="B3394" s="709">
        <v>39412</v>
      </c>
      <c r="C3394" s="710" t="s">
        <v>11723</v>
      </c>
      <c r="D3394" s="709" t="s">
        <v>168</v>
      </c>
      <c r="E3394" s="709" t="s">
        <v>8438</v>
      </c>
      <c r="F3394" s="716">
        <v>24.28</v>
      </c>
      <c r="G3394" s="716">
        <v>19.13</v>
      </c>
      <c r="H3394" s="225">
        <f t="shared" si="52"/>
        <v>24.28</v>
      </c>
    </row>
    <row r="3395" spans="1:8" x14ac:dyDescent="0.3">
      <c r="A3395" s="401"/>
      <c r="B3395" s="709">
        <v>39413</v>
      </c>
      <c r="C3395" s="710" t="s">
        <v>11724</v>
      </c>
      <c r="D3395" s="709" t="s">
        <v>168</v>
      </c>
      <c r="E3395" s="709" t="s">
        <v>8432</v>
      </c>
      <c r="F3395" s="716">
        <v>26.25</v>
      </c>
      <c r="G3395" s="716">
        <v>20.68</v>
      </c>
      <c r="H3395" s="225">
        <f t="shared" si="52"/>
        <v>26.25</v>
      </c>
    </row>
    <row r="3396" spans="1:8" x14ac:dyDescent="0.3">
      <c r="A3396" s="401"/>
      <c r="B3396" s="709">
        <v>43741</v>
      </c>
      <c r="C3396" s="710" t="s">
        <v>11725</v>
      </c>
      <c r="D3396" s="709" t="s">
        <v>168</v>
      </c>
      <c r="E3396" s="709" t="s">
        <v>8432</v>
      </c>
      <c r="F3396" s="716">
        <v>27.99</v>
      </c>
      <c r="G3396" s="716">
        <v>22.05</v>
      </c>
      <c r="H3396" s="225">
        <f t="shared" si="52"/>
        <v>27.99</v>
      </c>
    </row>
    <row r="3397" spans="1:8" x14ac:dyDescent="0.3">
      <c r="A3397" s="401"/>
      <c r="B3397" s="709">
        <v>11062</v>
      </c>
      <c r="C3397" s="710" t="s">
        <v>11726</v>
      </c>
      <c r="D3397" s="709" t="s">
        <v>168</v>
      </c>
      <c r="E3397" s="709" t="s">
        <v>8432</v>
      </c>
      <c r="F3397" s="716">
        <v>56.03</v>
      </c>
      <c r="G3397" s="716">
        <v>48.32</v>
      </c>
      <c r="H3397" s="225">
        <f t="shared" si="52"/>
        <v>56.03</v>
      </c>
    </row>
    <row r="3398" spans="1:8" x14ac:dyDescent="0.3">
      <c r="A3398" s="401"/>
      <c r="B3398" s="709">
        <v>11063</v>
      </c>
      <c r="C3398" s="710" t="s">
        <v>11727</v>
      </c>
      <c r="D3398" s="709" t="s">
        <v>168</v>
      </c>
      <c r="E3398" s="709" t="s">
        <v>8432</v>
      </c>
      <c r="F3398" s="716">
        <v>34.29</v>
      </c>
      <c r="G3398" s="716">
        <v>29.57</v>
      </c>
      <c r="H3398" s="225">
        <f t="shared" si="52"/>
        <v>34.29</v>
      </c>
    </row>
    <row r="3399" spans="1:8" x14ac:dyDescent="0.3">
      <c r="A3399" s="401"/>
      <c r="B3399" s="709">
        <v>13521</v>
      </c>
      <c r="C3399" s="710" t="s">
        <v>11728</v>
      </c>
      <c r="D3399" s="709" t="s">
        <v>136</v>
      </c>
      <c r="E3399" s="709" t="s">
        <v>8432</v>
      </c>
      <c r="F3399" s="716"/>
      <c r="G3399" s="716">
        <v>142.56</v>
      </c>
      <c r="H3399" s="225">
        <f t="shared" si="52"/>
        <v>142.56</v>
      </c>
    </row>
    <row r="3400" spans="1:8" x14ac:dyDescent="0.3">
      <c r="A3400" s="401"/>
      <c r="B3400" s="709">
        <v>10851</v>
      </c>
      <c r="C3400" s="710" t="s">
        <v>11729</v>
      </c>
      <c r="D3400" s="709" t="s">
        <v>136</v>
      </c>
      <c r="E3400" s="709" t="s">
        <v>8432</v>
      </c>
      <c r="F3400" s="716">
        <v>83.59</v>
      </c>
      <c r="G3400" s="716">
        <v>63.81</v>
      </c>
      <c r="H3400" s="225">
        <f t="shared" si="52"/>
        <v>83.59</v>
      </c>
    </row>
    <row r="3401" spans="1:8" x14ac:dyDescent="0.3">
      <c r="A3401" s="401"/>
      <c r="B3401" s="709">
        <v>39515</v>
      </c>
      <c r="C3401" s="710" t="s">
        <v>11730</v>
      </c>
      <c r="D3401" s="709" t="s">
        <v>136</v>
      </c>
      <c r="E3401" s="709" t="s">
        <v>8432</v>
      </c>
      <c r="F3401" s="716">
        <v>38.6</v>
      </c>
      <c r="G3401" s="716">
        <v>58.51</v>
      </c>
      <c r="H3401" s="225">
        <f t="shared" si="52"/>
        <v>38.6</v>
      </c>
    </row>
    <row r="3402" spans="1:8" x14ac:dyDescent="0.3">
      <c r="A3402" s="401"/>
      <c r="B3402" s="709">
        <v>39516</v>
      </c>
      <c r="C3402" s="710" t="s">
        <v>11731</v>
      </c>
      <c r="D3402" s="709" t="s">
        <v>136</v>
      </c>
      <c r="E3402" s="709" t="s">
        <v>8432</v>
      </c>
      <c r="F3402" s="716">
        <v>32.549999999999997</v>
      </c>
      <c r="G3402" s="716">
        <v>49.33</v>
      </c>
      <c r="H3402" s="225">
        <f t="shared" si="52"/>
        <v>32.549999999999997</v>
      </c>
    </row>
    <row r="3403" spans="1:8" x14ac:dyDescent="0.3">
      <c r="A3403" s="401"/>
      <c r="B3403" s="709">
        <v>39514</v>
      </c>
      <c r="C3403" s="710" t="s">
        <v>11732</v>
      </c>
      <c r="D3403" s="709" t="s">
        <v>136</v>
      </c>
      <c r="E3403" s="709" t="s">
        <v>8438</v>
      </c>
      <c r="F3403" s="716">
        <v>20.25</v>
      </c>
      <c r="G3403" s="716">
        <v>30.69</v>
      </c>
      <c r="H3403" s="225">
        <f t="shared" ref="H3403:H3466" si="53">IF(F3403&gt;0,F3403,G3403)</f>
        <v>20.25</v>
      </c>
    </row>
    <row r="3404" spans="1:8" x14ac:dyDescent="0.3">
      <c r="A3404" s="401"/>
      <c r="B3404" s="709">
        <v>4812</v>
      </c>
      <c r="C3404" s="710" t="s">
        <v>11733</v>
      </c>
      <c r="D3404" s="709" t="s">
        <v>168</v>
      </c>
      <c r="E3404" s="709" t="s">
        <v>8432</v>
      </c>
      <c r="F3404" s="716">
        <v>14.56</v>
      </c>
      <c r="G3404" s="716">
        <v>11.47</v>
      </c>
      <c r="H3404" s="225">
        <f t="shared" si="53"/>
        <v>14.56</v>
      </c>
    </row>
    <row r="3405" spans="1:8" x14ac:dyDescent="0.3">
      <c r="A3405" s="401"/>
      <c r="B3405" s="709">
        <v>10849</v>
      </c>
      <c r="C3405" s="710" t="s">
        <v>11734</v>
      </c>
      <c r="D3405" s="709" t="s">
        <v>136</v>
      </c>
      <c r="E3405" s="709" t="s">
        <v>8432</v>
      </c>
      <c r="F3405" s="716"/>
      <c r="G3405" s="716">
        <v>2073.62</v>
      </c>
      <c r="H3405" s="225">
        <f t="shared" si="53"/>
        <v>2073.62</v>
      </c>
    </row>
    <row r="3406" spans="1:8" x14ac:dyDescent="0.3">
      <c r="A3406" s="401"/>
      <c r="B3406" s="709">
        <v>10848</v>
      </c>
      <c r="C3406" s="710" t="s">
        <v>11735</v>
      </c>
      <c r="D3406" s="709" t="s">
        <v>136</v>
      </c>
      <c r="E3406" s="709" t="s">
        <v>8432</v>
      </c>
      <c r="F3406" s="716"/>
      <c r="G3406" s="716">
        <v>1302.49</v>
      </c>
      <c r="H3406" s="225">
        <f t="shared" si="53"/>
        <v>1302.49</v>
      </c>
    </row>
    <row r="3407" spans="1:8" x14ac:dyDescent="0.3">
      <c r="A3407" s="401"/>
      <c r="B3407" s="709">
        <v>4813</v>
      </c>
      <c r="C3407" s="710" t="s">
        <v>11736</v>
      </c>
      <c r="D3407" s="709" t="s">
        <v>168</v>
      </c>
      <c r="E3407" s="709" t="s">
        <v>8438</v>
      </c>
      <c r="F3407" s="716"/>
      <c r="G3407" s="716">
        <v>432</v>
      </c>
      <c r="H3407" s="225">
        <f t="shared" si="53"/>
        <v>432</v>
      </c>
    </row>
    <row r="3408" spans="1:8" x14ac:dyDescent="0.3">
      <c r="A3408" s="401"/>
      <c r="B3408" s="709">
        <v>37560</v>
      </c>
      <c r="C3408" s="710" t="s">
        <v>11737</v>
      </c>
      <c r="D3408" s="709" t="s">
        <v>136</v>
      </c>
      <c r="E3408" s="709" t="s">
        <v>8432</v>
      </c>
      <c r="F3408" s="716">
        <v>42.32</v>
      </c>
      <c r="G3408" s="716">
        <v>70.02</v>
      </c>
      <c r="H3408" s="225">
        <f t="shared" si="53"/>
        <v>42.32</v>
      </c>
    </row>
    <row r="3409" spans="1:8" x14ac:dyDescent="0.3">
      <c r="A3409" s="401"/>
      <c r="B3409" s="709">
        <v>37557</v>
      </c>
      <c r="C3409" s="710" t="s">
        <v>11738</v>
      </c>
      <c r="D3409" s="709" t="s">
        <v>136</v>
      </c>
      <c r="E3409" s="709" t="s">
        <v>8432</v>
      </c>
      <c r="F3409" s="716">
        <v>12.85</v>
      </c>
      <c r="G3409" s="716">
        <v>21.26</v>
      </c>
      <c r="H3409" s="225">
        <f t="shared" si="53"/>
        <v>12.85</v>
      </c>
    </row>
    <row r="3410" spans="1:8" x14ac:dyDescent="0.3">
      <c r="A3410" s="401"/>
      <c r="B3410" s="709">
        <v>37556</v>
      </c>
      <c r="C3410" s="710" t="s">
        <v>11739</v>
      </c>
      <c r="D3410" s="709" t="s">
        <v>136</v>
      </c>
      <c r="E3410" s="709" t="s">
        <v>8432</v>
      </c>
      <c r="F3410" s="716">
        <v>24.86</v>
      </c>
      <c r="G3410" s="716">
        <v>41.14</v>
      </c>
      <c r="H3410" s="225">
        <f t="shared" si="53"/>
        <v>24.86</v>
      </c>
    </row>
    <row r="3411" spans="1:8" x14ac:dyDescent="0.3">
      <c r="A3411" s="401"/>
      <c r="B3411" s="709">
        <v>37559</v>
      </c>
      <c r="C3411" s="710" t="s">
        <v>11740</v>
      </c>
      <c r="D3411" s="709" t="s">
        <v>136</v>
      </c>
      <c r="E3411" s="709" t="s">
        <v>8432</v>
      </c>
      <c r="F3411" s="716">
        <v>30.5</v>
      </c>
      <c r="G3411" s="716">
        <v>50.47</v>
      </c>
      <c r="H3411" s="225">
        <f t="shared" si="53"/>
        <v>30.5</v>
      </c>
    </row>
    <row r="3412" spans="1:8" x14ac:dyDescent="0.3">
      <c r="A3412" s="401"/>
      <c r="B3412" s="709">
        <v>37539</v>
      </c>
      <c r="C3412" s="710" t="s">
        <v>11741</v>
      </c>
      <c r="D3412" s="709" t="s">
        <v>136</v>
      </c>
      <c r="E3412" s="709" t="s">
        <v>8438</v>
      </c>
      <c r="F3412" s="716">
        <v>21.5</v>
      </c>
      <c r="G3412" s="716">
        <v>35.57</v>
      </c>
      <c r="H3412" s="225">
        <f t="shared" si="53"/>
        <v>21.5</v>
      </c>
    </row>
    <row r="3413" spans="1:8" x14ac:dyDescent="0.3">
      <c r="A3413" s="401"/>
      <c r="B3413" s="709">
        <v>37558</v>
      </c>
      <c r="C3413" s="710" t="s">
        <v>11742</v>
      </c>
      <c r="D3413" s="709" t="s">
        <v>136</v>
      </c>
      <c r="E3413" s="709" t="s">
        <v>8432</v>
      </c>
      <c r="F3413" s="716">
        <v>40.08</v>
      </c>
      <c r="G3413" s="716">
        <v>66.319999999999993</v>
      </c>
      <c r="H3413" s="225">
        <f t="shared" si="53"/>
        <v>40.08</v>
      </c>
    </row>
    <row r="3414" spans="1:8" x14ac:dyDescent="0.3">
      <c r="A3414" s="401"/>
      <c r="B3414" s="709">
        <v>34723</v>
      </c>
      <c r="C3414" s="710" t="s">
        <v>11743</v>
      </c>
      <c r="D3414" s="709" t="s">
        <v>168</v>
      </c>
      <c r="E3414" s="709" t="s">
        <v>8432</v>
      </c>
      <c r="F3414" s="716"/>
      <c r="G3414" s="716">
        <v>997.92</v>
      </c>
      <c r="H3414" s="225">
        <f t="shared" si="53"/>
        <v>997.92</v>
      </c>
    </row>
    <row r="3415" spans="1:8" x14ac:dyDescent="0.3">
      <c r="A3415" s="401"/>
      <c r="B3415" s="709">
        <v>34721</v>
      </c>
      <c r="C3415" s="710" t="s">
        <v>11744</v>
      </c>
      <c r="D3415" s="709" t="s">
        <v>168</v>
      </c>
      <c r="E3415" s="709" t="s">
        <v>8432</v>
      </c>
      <c r="F3415" s="716"/>
      <c r="G3415" s="716">
        <v>1244.17</v>
      </c>
      <c r="H3415" s="225">
        <f t="shared" si="53"/>
        <v>1244.17</v>
      </c>
    </row>
    <row r="3416" spans="1:8" x14ac:dyDescent="0.3">
      <c r="A3416" s="401"/>
      <c r="B3416" s="709">
        <v>4309</v>
      </c>
      <c r="C3416" s="710" t="s">
        <v>11745</v>
      </c>
      <c r="D3416" s="709" t="s">
        <v>136</v>
      </c>
      <c r="E3416" s="709" t="s">
        <v>8432</v>
      </c>
      <c r="F3416" s="716">
        <v>6.35</v>
      </c>
      <c r="G3416" s="716">
        <v>7.11</v>
      </c>
      <c r="H3416" s="225">
        <f t="shared" si="53"/>
        <v>6.35</v>
      </c>
    </row>
    <row r="3417" spans="1:8" x14ac:dyDescent="0.3">
      <c r="A3417" s="401"/>
      <c r="B3417" s="709">
        <v>4307</v>
      </c>
      <c r="C3417" s="710" t="s">
        <v>11746</v>
      </c>
      <c r="D3417" s="709" t="s">
        <v>136</v>
      </c>
      <c r="E3417" s="709" t="s">
        <v>8432</v>
      </c>
      <c r="F3417" s="716">
        <v>10.86</v>
      </c>
      <c r="G3417" s="716">
        <v>12.17</v>
      </c>
      <c r="H3417" s="225">
        <f t="shared" si="53"/>
        <v>10.86</v>
      </c>
    </row>
    <row r="3418" spans="1:8" x14ac:dyDescent="0.3">
      <c r="A3418" s="401"/>
      <c r="B3418" s="709">
        <v>10850</v>
      </c>
      <c r="C3418" s="710" t="s">
        <v>11747</v>
      </c>
      <c r="D3418" s="709" t="s">
        <v>136</v>
      </c>
      <c r="E3418" s="709" t="s">
        <v>8432</v>
      </c>
      <c r="F3418" s="716"/>
      <c r="G3418" s="716">
        <v>64.8</v>
      </c>
      <c r="H3418" s="225">
        <f t="shared" si="53"/>
        <v>64.8</v>
      </c>
    </row>
    <row r="3419" spans="1:8" x14ac:dyDescent="0.3">
      <c r="A3419" s="401"/>
      <c r="B3419" s="709">
        <v>42438</v>
      </c>
      <c r="C3419" s="710" t="s">
        <v>11748</v>
      </c>
      <c r="D3419" s="709" t="s">
        <v>136</v>
      </c>
      <c r="E3419" s="709" t="s">
        <v>8432</v>
      </c>
      <c r="F3419" s="716"/>
      <c r="G3419" s="716">
        <v>2090.75</v>
      </c>
      <c r="H3419" s="225">
        <f t="shared" si="53"/>
        <v>2090.75</v>
      </c>
    </row>
    <row r="3420" spans="1:8" x14ac:dyDescent="0.3">
      <c r="A3420" s="401"/>
      <c r="B3420" s="709">
        <v>4792</v>
      </c>
      <c r="C3420" s="710" t="s">
        <v>11749</v>
      </c>
      <c r="D3420" s="709" t="s">
        <v>168</v>
      </c>
      <c r="E3420" s="709" t="s">
        <v>8432</v>
      </c>
      <c r="F3420" s="716">
        <v>136.19999999999999</v>
      </c>
      <c r="G3420" s="716">
        <v>164.74</v>
      </c>
      <c r="H3420" s="225">
        <f t="shared" si="53"/>
        <v>136.19999999999999</v>
      </c>
    </row>
    <row r="3421" spans="1:8" x14ac:dyDescent="0.3">
      <c r="A3421" s="401"/>
      <c r="B3421" s="709">
        <v>4790</v>
      </c>
      <c r="C3421" s="710" t="s">
        <v>11750</v>
      </c>
      <c r="D3421" s="709" t="s">
        <v>168</v>
      </c>
      <c r="E3421" s="709" t="s">
        <v>8438</v>
      </c>
      <c r="F3421" s="716">
        <v>81.89</v>
      </c>
      <c r="G3421" s="716">
        <v>99.05</v>
      </c>
      <c r="H3421" s="225">
        <f t="shared" si="53"/>
        <v>81.89</v>
      </c>
    </row>
    <row r="3422" spans="1:8" x14ac:dyDescent="0.3">
      <c r="A3422" s="401"/>
      <c r="B3422" s="709">
        <v>40671</v>
      </c>
      <c r="C3422" s="710" t="s">
        <v>11751</v>
      </c>
      <c r="D3422" s="709" t="s">
        <v>168</v>
      </c>
      <c r="E3422" s="709" t="s">
        <v>8432</v>
      </c>
      <c r="F3422" s="716">
        <v>85.96</v>
      </c>
      <c r="G3422" s="716">
        <v>126.75</v>
      </c>
      <c r="H3422" s="225">
        <f t="shared" si="53"/>
        <v>85.96</v>
      </c>
    </row>
    <row r="3423" spans="1:8" x14ac:dyDescent="0.3">
      <c r="A3423" s="401"/>
      <c r="B3423" s="709">
        <v>7552</v>
      </c>
      <c r="C3423" s="710" t="s">
        <v>11752</v>
      </c>
      <c r="D3423" s="709" t="s">
        <v>136</v>
      </c>
      <c r="E3423" s="709" t="s">
        <v>8432</v>
      </c>
      <c r="F3423" s="716">
        <v>32.17</v>
      </c>
      <c r="G3423" s="716">
        <v>23.7</v>
      </c>
      <c r="H3423" s="225">
        <f t="shared" si="53"/>
        <v>32.17</v>
      </c>
    </row>
    <row r="3424" spans="1:8" x14ac:dyDescent="0.3">
      <c r="A3424" s="401"/>
      <c r="B3424" s="709">
        <v>4893</v>
      </c>
      <c r="C3424" s="710" t="s">
        <v>11753</v>
      </c>
      <c r="D3424" s="709" t="s">
        <v>136</v>
      </c>
      <c r="E3424" s="709" t="s">
        <v>8432</v>
      </c>
      <c r="F3424" s="716">
        <v>11.2</v>
      </c>
      <c r="G3424" s="716">
        <v>15.27</v>
      </c>
      <c r="H3424" s="225">
        <f t="shared" si="53"/>
        <v>11.2</v>
      </c>
    </row>
    <row r="3425" spans="1:8" x14ac:dyDescent="0.3">
      <c r="A3425" s="401"/>
      <c r="B3425" s="709">
        <v>4894</v>
      </c>
      <c r="C3425" s="710" t="s">
        <v>11754</v>
      </c>
      <c r="D3425" s="709" t="s">
        <v>136</v>
      </c>
      <c r="E3425" s="709" t="s">
        <v>8432</v>
      </c>
      <c r="F3425" s="716">
        <v>9.61</v>
      </c>
      <c r="G3425" s="716">
        <v>13.1</v>
      </c>
      <c r="H3425" s="225">
        <f t="shared" si="53"/>
        <v>9.61</v>
      </c>
    </row>
    <row r="3426" spans="1:8" x14ac:dyDescent="0.3">
      <c r="A3426" s="401"/>
      <c r="B3426" s="709">
        <v>4890</v>
      </c>
      <c r="C3426" s="710" t="s">
        <v>11755</v>
      </c>
      <c r="D3426" s="709" t="s">
        <v>136</v>
      </c>
      <c r="E3426" s="709" t="s">
        <v>8432</v>
      </c>
      <c r="F3426" s="716">
        <v>6.15</v>
      </c>
      <c r="G3426" s="716">
        <v>8.39</v>
      </c>
      <c r="H3426" s="225">
        <f t="shared" si="53"/>
        <v>6.15</v>
      </c>
    </row>
    <row r="3427" spans="1:8" x14ac:dyDescent="0.3">
      <c r="A3427" s="401"/>
      <c r="B3427" s="709">
        <v>4888</v>
      </c>
      <c r="C3427" s="710" t="s">
        <v>11756</v>
      </c>
      <c r="D3427" s="709" t="s">
        <v>136</v>
      </c>
      <c r="E3427" s="709" t="s">
        <v>8432</v>
      </c>
      <c r="F3427" s="716">
        <v>3.27</v>
      </c>
      <c r="G3427" s="716">
        <v>4.46</v>
      </c>
      <c r="H3427" s="225">
        <f t="shared" si="53"/>
        <v>3.27</v>
      </c>
    </row>
    <row r="3428" spans="1:8" x14ac:dyDescent="0.3">
      <c r="A3428" s="401"/>
      <c r="B3428" s="709">
        <v>12411</v>
      </c>
      <c r="C3428" s="710" t="s">
        <v>11757</v>
      </c>
      <c r="D3428" s="709" t="s">
        <v>136</v>
      </c>
      <c r="E3428" s="709" t="s">
        <v>8432</v>
      </c>
      <c r="F3428" s="716">
        <v>33.119999999999997</v>
      </c>
      <c r="G3428" s="716">
        <v>45.16</v>
      </c>
      <c r="H3428" s="225">
        <f t="shared" si="53"/>
        <v>33.119999999999997</v>
      </c>
    </row>
    <row r="3429" spans="1:8" x14ac:dyDescent="0.3">
      <c r="A3429" s="401"/>
      <c r="B3429" s="709">
        <v>4891</v>
      </c>
      <c r="C3429" s="710" t="s">
        <v>11758</v>
      </c>
      <c r="D3429" s="709" t="s">
        <v>136</v>
      </c>
      <c r="E3429" s="709" t="s">
        <v>8432</v>
      </c>
      <c r="F3429" s="716">
        <v>16.559999999999999</v>
      </c>
      <c r="G3429" s="716">
        <v>22.58</v>
      </c>
      <c r="H3429" s="225">
        <f t="shared" si="53"/>
        <v>16.559999999999999</v>
      </c>
    </row>
    <row r="3430" spans="1:8" x14ac:dyDescent="0.3">
      <c r="A3430" s="401"/>
      <c r="B3430" s="709">
        <v>4892</v>
      </c>
      <c r="C3430" s="710" t="s">
        <v>11759</v>
      </c>
      <c r="D3430" s="709" t="s">
        <v>136</v>
      </c>
      <c r="E3430" s="709" t="s">
        <v>8432</v>
      </c>
      <c r="F3430" s="716">
        <v>46.38</v>
      </c>
      <c r="G3430" s="716">
        <v>63.24</v>
      </c>
      <c r="H3430" s="225">
        <f t="shared" si="53"/>
        <v>46.38</v>
      </c>
    </row>
    <row r="3431" spans="1:8" x14ac:dyDescent="0.3">
      <c r="A3431" s="401"/>
      <c r="B3431" s="709">
        <v>4889</v>
      </c>
      <c r="C3431" s="710" t="s">
        <v>11760</v>
      </c>
      <c r="D3431" s="709" t="s">
        <v>136</v>
      </c>
      <c r="E3431" s="709" t="s">
        <v>8432</v>
      </c>
      <c r="F3431" s="716">
        <v>4.42</v>
      </c>
      <c r="G3431" s="716">
        <v>6.03</v>
      </c>
      <c r="H3431" s="225">
        <f t="shared" si="53"/>
        <v>4.42</v>
      </c>
    </row>
    <row r="3432" spans="1:8" x14ac:dyDescent="0.3">
      <c r="A3432" s="401"/>
      <c r="B3432" s="709">
        <v>12412</v>
      </c>
      <c r="C3432" s="710" t="s">
        <v>11761</v>
      </c>
      <c r="D3432" s="709" t="s">
        <v>136</v>
      </c>
      <c r="E3432" s="709" t="s">
        <v>8432</v>
      </c>
      <c r="F3432" s="716">
        <v>86.2</v>
      </c>
      <c r="G3432" s="716">
        <v>117.54</v>
      </c>
      <c r="H3432" s="225">
        <f t="shared" si="53"/>
        <v>86.2</v>
      </c>
    </row>
    <row r="3433" spans="1:8" x14ac:dyDescent="0.3">
      <c r="A3433" s="401"/>
      <c r="B3433" s="709">
        <v>4907</v>
      </c>
      <c r="C3433" s="710" t="s">
        <v>11762</v>
      </c>
      <c r="D3433" s="709" t="s">
        <v>136</v>
      </c>
      <c r="E3433" s="709" t="s">
        <v>8432</v>
      </c>
      <c r="F3433" s="716">
        <v>28.06</v>
      </c>
      <c r="G3433" s="716">
        <v>28.34</v>
      </c>
      <c r="H3433" s="225">
        <f t="shared" si="53"/>
        <v>28.06</v>
      </c>
    </row>
    <row r="3434" spans="1:8" x14ac:dyDescent="0.3">
      <c r="A3434" s="401"/>
      <c r="B3434" s="709">
        <v>4902</v>
      </c>
      <c r="C3434" s="710" t="s">
        <v>11763</v>
      </c>
      <c r="D3434" s="709" t="s">
        <v>136</v>
      </c>
      <c r="E3434" s="709" t="s">
        <v>8432</v>
      </c>
      <c r="F3434" s="716">
        <v>72.8</v>
      </c>
      <c r="G3434" s="716">
        <v>73.5</v>
      </c>
      <c r="H3434" s="225">
        <f t="shared" si="53"/>
        <v>72.8</v>
      </c>
    </row>
    <row r="3435" spans="1:8" x14ac:dyDescent="0.3">
      <c r="A3435" s="401"/>
      <c r="B3435" s="709">
        <v>4741</v>
      </c>
      <c r="C3435" s="710" t="s">
        <v>11764</v>
      </c>
      <c r="D3435" s="709" t="s">
        <v>170</v>
      </c>
      <c r="E3435" s="709" t="s">
        <v>8432</v>
      </c>
      <c r="F3435" s="716">
        <v>96.5</v>
      </c>
      <c r="G3435" s="716">
        <v>82.27</v>
      </c>
      <c r="H3435" s="225">
        <f t="shared" si="53"/>
        <v>96.5</v>
      </c>
    </row>
    <row r="3436" spans="1:8" x14ac:dyDescent="0.3">
      <c r="A3436" s="401"/>
      <c r="B3436" s="709">
        <v>4752</v>
      </c>
      <c r="C3436" s="710" t="s">
        <v>11765</v>
      </c>
      <c r="D3436" s="709" t="s">
        <v>234</v>
      </c>
      <c r="E3436" s="709" t="s">
        <v>8432</v>
      </c>
      <c r="F3436" s="716">
        <v>20.83</v>
      </c>
      <c r="G3436" s="716">
        <v>27.28</v>
      </c>
      <c r="H3436" s="225">
        <f t="shared" si="53"/>
        <v>20.83</v>
      </c>
    </row>
    <row r="3437" spans="1:8" x14ac:dyDescent="0.3">
      <c r="A3437" s="401"/>
      <c r="B3437" s="709">
        <v>41091</v>
      </c>
      <c r="C3437" s="710" t="s">
        <v>11766</v>
      </c>
      <c r="D3437" s="709" t="s">
        <v>208</v>
      </c>
      <c r="E3437" s="709" t="s">
        <v>8432</v>
      </c>
      <c r="F3437" s="716">
        <v>3661.35</v>
      </c>
      <c r="G3437" s="716">
        <v>4779.8</v>
      </c>
      <c r="H3437" s="225">
        <f t="shared" si="53"/>
        <v>3661.35</v>
      </c>
    </row>
    <row r="3438" spans="1:8" x14ac:dyDescent="0.3">
      <c r="A3438" s="401"/>
      <c r="B3438" s="709">
        <v>13954</v>
      </c>
      <c r="C3438" s="710" t="s">
        <v>11767</v>
      </c>
      <c r="D3438" s="709" t="s">
        <v>136</v>
      </c>
      <c r="E3438" s="709" t="s">
        <v>8432</v>
      </c>
      <c r="F3438" s="716"/>
      <c r="G3438" s="716">
        <v>8461.64</v>
      </c>
      <c r="H3438" s="225">
        <f t="shared" si="53"/>
        <v>8461.64</v>
      </c>
    </row>
    <row r="3439" spans="1:8" x14ac:dyDescent="0.3">
      <c r="A3439" s="401"/>
      <c r="B3439" s="709">
        <v>3411</v>
      </c>
      <c r="C3439" s="710" t="s">
        <v>11768</v>
      </c>
      <c r="D3439" s="709" t="s">
        <v>175</v>
      </c>
      <c r="E3439" s="709" t="s">
        <v>8432</v>
      </c>
      <c r="F3439" s="716">
        <v>72.3</v>
      </c>
      <c r="G3439" s="716">
        <v>76.28</v>
      </c>
      <c r="H3439" s="225">
        <f t="shared" si="53"/>
        <v>72.3</v>
      </c>
    </row>
    <row r="3440" spans="1:8" x14ac:dyDescent="0.3">
      <c r="A3440" s="401"/>
      <c r="B3440" s="709">
        <v>39995</v>
      </c>
      <c r="C3440" s="710" t="s">
        <v>11769</v>
      </c>
      <c r="D3440" s="709" t="s">
        <v>170</v>
      </c>
      <c r="E3440" s="709" t="s">
        <v>8432</v>
      </c>
      <c r="F3440" s="716">
        <v>556.23</v>
      </c>
      <c r="G3440" s="716">
        <v>586.86</v>
      </c>
      <c r="H3440" s="225">
        <f t="shared" si="53"/>
        <v>556.23</v>
      </c>
    </row>
    <row r="3441" spans="1:8" x14ac:dyDescent="0.3">
      <c r="A3441" s="401"/>
      <c r="B3441" s="709">
        <v>11615</v>
      </c>
      <c r="C3441" s="710" t="s">
        <v>11770</v>
      </c>
      <c r="D3441" s="709" t="s">
        <v>168</v>
      </c>
      <c r="E3441" s="709" t="s">
        <v>8432</v>
      </c>
      <c r="F3441" s="716">
        <v>4.72</v>
      </c>
      <c r="G3441" s="716">
        <v>4.9800000000000004</v>
      </c>
      <c r="H3441" s="225">
        <f t="shared" si="53"/>
        <v>4.72</v>
      </c>
    </row>
    <row r="3442" spans="1:8" x14ac:dyDescent="0.3">
      <c r="A3442" s="401"/>
      <c r="B3442" s="709">
        <v>3408</v>
      </c>
      <c r="C3442" s="710" t="s">
        <v>11771</v>
      </c>
      <c r="D3442" s="709" t="s">
        <v>168</v>
      </c>
      <c r="E3442" s="709" t="s">
        <v>8438</v>
      </c>
      <c r="F3442" s="716">
        <v>12.53</v>
      </c>
      <c r="G3442" s="716">
        <v>13.22</v>
      </c>
      <c r="H3442" s="225">
        <f t="shared" si="53"/>
        <v>12.53</v>
      </c>
    </row>
    <row r="3443" spans="1:8" x14ac:dyDescent="0.3">
      <c r="A3443" s="401"/>
      <c r="B3443" s="709">
        <v>3409</v>
      </c>
      <c r="C3443" s="710" t="s">
        <v>11772</v>
      </c>
      <c r="D3443" s="709" t="s">
        <v>168</v>
      </c>
      <c r="E3443" s="709" t="s">
        <v>8432</v>
      </c>
      <c r="F3443" s="716">
        <v>31.32</v>
      </c>
      <c r="G3443" s="716">
        <v>33.049999999999997</v>
      </c>
      <c r="H3443" s="225">
        <f t="shared" si="53"/>
        <v>31.32</v>
      </c>
    </row>
    <row r="3444" spans="1:8" x14ac:dyDescent="0.3">
      <c r="A3444" s="401"/>
      <c r="B3444" s="709">
        <v>11427</v>
      </c>
      <c r="C3444" s="710" t="s">
        <v>11773</v>
      </c>
      <c r="D3444" s="709" t="s">
        <v>175</v>
      </c>
      <c r="E3444" s="709" t="s">
        <v>8432</v>
      </c>
      <c r="F3444" s="716"/>
      <c r="G3444" s="716">
        <v>152.33000000000001</v>
      </c>
      <c r="H3444" s="225">
        <f t="shared" si="53"/>
        <v>152.33000000000001</v>
      </c>
    </row>
    <row r="3445" spans="1:8" x14ac:dyDescent="0.3">
      <c r="A3445" s="401"/>
      <c r="B3445" s="709">
        <v>4491</v>
      </c>
      <c r="C3445" s="710" t="s">
        <v>11774</v>
      </c>
      <c r="D3445" s="709" t="s">
        <v>159</v>
      </c>
      <c r="E3445" s="709" t="s">
        <v>8432</v>
      </c>
      <c r="F3445" s="716">
        <v>7.14</v>
      </c>
      <c r="G3445" s="716">
        <v>8.25</v>
      </c>
      <c r="H3445" s="225">
        <f t="shared" si="53"/>
        <v>7.14</v>
      </c>
    </row>
    <row r="3446" spans="1:8" x14ac:dyDescent="0.3">
      <c r="A3446" s="401"/>
      <c r="B3446" s="709">
        <v>2745</v>
      </c>
      <c r="C3446" s="710" t="s">
        <v>11775</v>
      </c>
      <c r="D3446" s="709" t="s">
        <v>159</v>
      </c>
      <c r="E3446" s="709" t="s">
        <v>8432</v>
      </c>
      <c r="F3446" s="716">
        <v>5.99</v>
      </c>
      <c r="G3446" s="716">
        <v>4.22</v>
      </c>
      <c r="H3446" s="225">
        <f t="shared" si="53"/>
        <v>5.99</v>
      </c>
    </row>
    <row r="3447" spans="1:8" x14ac:dyDescent="0.3">
      <c r="A3447" s="401"/>
      <c r="B3447" s="709">
        <v>14439</v>
      </c>
      <c r="C3447" s="710" t="s">
        <v>11776</v>
      </c>
      <c r="D3447" s="709" t="s">
        <v>159</v>
      </c>
      <c r="E3447" s="709" t="s">
        <v>8432</v>
      </c>
      <c r="F3447" s="716">
        <v>7.43</v>
      </c>
      <c r="G3447" s="716">
        <v>5.24</v>
      </c>
      <c r="H3447" s="225">
        <f t="shared" si="53"/>
        <v>7.43</v>
      </c>
    </row>
    <row r="3448" spans="1:8" x14ac:dyDescent="0.3">
      <c r="A3448" s="401"/>
      <c r="B3448" s="709">
        <v>45238</v>
      </c>
      <c r="C3448" s="710" t="s">
        <v>11777</v>
      </c>
      <c r="D3448" s="709" t="s">
        <v>136</v>
      </c>
      <c r="E3448" s="709" t="s">
        <v>8432</v>
      </c>
      <c r="F3448" s="716">
        <v>25.14</v>
      </c>
      <c r="G3448" s="716">
        <v>24.72</v>
      </c>
      <c r="H3448" s="225">
        <f t="shared" si="53"/>
        <v>25.14</v>
      </c>
    </row>
    <row r="3449" spans="1:8" x14ac:dyDescent="0.3">
      <c r="A3449" s="401"/>
      <c r="B3449" s="709">
        <v>44496</v>
      </c>
      <c r="C3449" s="710" t="s">
        <v>11778</v>
      </c>
      <c r="D3449" s="709" t="s">
        <v>136</v>
      </c>
      <c r="E3449" s="709" t="s">
        <v>8432</v>
      </c>
      <c r="F3449" s="716">
        <v>171.92</v>
      </c>
      <c r="G3449" s="716">
        <v>169.07</v>
      </c>
      <c r="H3449" s="225">
        <f t="shared" si="53"/>
        <v>171.92</v>
      </c>
    </row>
    <row r="3450" spans="1:8" x14ac:dyDescent="0.3">
      <c r="A3450" s="401"/>
      <c r="B3450" s="709">
        <v>12362</v>
      </c>
      <c r="C3450" s="710" t="s">
        <v>11779</v>
      </c>
      <c r="D3450" s="709" t="s">
        <v>136</v>
      </c>
      <c r="E3450" s="709" t="s">
        <v>8432</v>
      </c>
      <c r="F3450" s="716"/>
      <c r="G3450" s="716">
        <v>13.04</v>
      </c>
      <c r="H3450" s="225">
        <f t="shared" si="53"/>
        <v>13.04</v>
      </c>
    </row>
    <row r="3451" spans="1:8" x14ac:dyDescent="0.3">
      <c r="A3451" s="401"/>
      <c r="B3451" s="709">
        <v>421</v>
      </c>
      <c r="C3451" s="710" t="s">
        <v>11780</v>
      </c>
      <c r="D3451" s="709" t="s">
        <v>136</v>
      </c>
      <c r="E3451" s="709" t="s">
        <v>8432</v>
      </c>
      <c r="F3451" s="716"/>
      <c r="G3451" s="716">
        <v>17.52</v>
      </c>
      <c r="H3451" s="225">
        <f t="shared" si="53"/>
        <v>17.52</v>
      </c>
    </row>
    <row r="3452" spans="1:8" x14ac:dyDescent="0.3">
      <c r="A3452" s="401"/>
      <c r="B3452" s="709">
        <v>14148</v>
      </c>
      <c r="C3452" s="710" t="s">
        <v>11781</v>
      </c>
      <c r="D3452" s="709" t="s">
        <v>136</v>
      </c>
      <c r="E3452" s="709" t="s">
        <v>8432</v>
      </c>
      <c r="F3452" s="716">
        <v>0.92</v>
      </c>
      <c r="G3452" s="716">
        <v>1.05</v>
      </c>
      <c r="H3452" s="225">
        <f t="shared" si="53"/>
        <v>0.92</v>
      </c>
    </row>
    <row r="3453" spans="1:8" x14ac:dyDescent="0.3">
      <c r="A3453" s="401"/>
      <c r="B3453" s="709">
        <v>4341</v>
      </c>
      <c r="C3453" s="710" t="s">
        <v>11782</v>
      </c>
      <c r="D3453" s="709" t="s">
        <v>136</v>
      </c>
      <c r="E3453" s="709" t="s">
        <v>8432</v>
      </c>
      <c r="F3453" s="716"/>
      <c r="G3453" s="716">
        <v>0.93</v>
      </c>
      <c r="H3453" s="225">
        <f t="shared" si="53"/>
        <v>0.93</v>
      </c>
    </row>
    <row r="3454" spans="1:8" x14ac:dyDescent="0.3">
      <c r="A3454" s="401"/>
      <c r="B3454" s="709">
        <v>4337</v>
      </c>
      <c r="C3454" s="710" t="s">
        <v>11783</v>
      </c>
      <c r="D3454" s="709" t="s">
        <v>136</v>
      </c>
      <c r="E3454" s="709" t="s">
        <v>8432</v>
      </c>
      <c r="F3454" s="716"/>
      <c r="G3454" s="716">
        <v>2.36</v>
      </c>
      <c r="H3454" s="225">
        <f t="shared" si="53"/>
        <v>2.36</v>
      </c>
    </row>
    <row r="3455" spans="1:8" x14ac:dyDescent="0.3">
      <c r="A3455" s="401"/>
      <c r="B3455" s="709">
        <v>11971</v>
      </c>
      <c r="C3455" s="710" t="s">
        <v>11784</v>
      </c>
      <c r="D3455" s="709" t="s">
        <v>136</v>
      </c>
      <c r="E3455" s="709" t="s">
        <v>8432</v>
      </c>
      <c r="F3455" s="716"/>
      <c r="G3455" s="716">
        <v>3.91</v>
      </c>
      <c r="H3455" s="225">
        <f t="shared" si="53"/>
        <v>3.91</v>
      </c>
    </row>
    <row r="3456" spans="1:8" x14ac:dyDescent="0.3">
      <c r="A3456" s="401"/>
      <c r="B3456" s="709">
        <v>4339</v>
      </c>
      <c r="C3456" s="710" t="s">
        <v>11785</v>
      </c>
      <c r="D3456" s="709" t="s">
        <v>136</v>
      </c>
      <c r="E3456" s="709" t="s">
        <v>8432</v>
      </c>
      <c r="F3456" s="716"/>
      <c r="G3456" s="716">
        <v>0.5</v>
      </c>
      <c r="H3456" s="225">
        <f t="shared" si="53"/>
        <v>0.5</v>
      </c>
    </row>
    <row r="3457" spans="1:8" x14ac:dyDescent="0.3">
      <c r="A3457" s="401"/>
      <c r="B3457" s="709">
        <v>39997</v>
      </c>
      <c r="C3457" s="710" t="s">
        <v>11786</v>
      </c>
      <c r="D3457" s="709" t="s">
        <v>136</v>
      </c>
      <c r="E3457" s="709" t="s">
        <v>8432</v>
      </c>
      <c r="F3457" s="716"/>
      <c r="G3457" s="716">
        <v>0.28000000000000003</v>
      </c>
      <c r="H3457" s="225">
        <f t="shared" si="53"/>
        <v>0.28000000000000003</v>
      </c>
    </row>
    <row r="3458" spans="1:8" x14ac:dyDescent="0.3">
      <c r="A3458" s="401"/>
      <c r="B3458" s="709">
        <v>4342</v>
      </c>
      <c r="C3458" s="710" t="s">
        <v>11787</v>
      </c>
      <c r="D3458" s="709" t="s">
        <v>136</v>
      </c>
      <c r="E3458" s="709" t="s">
        <v>8432</v>
      </c>
      <c r="F3458" s="716"/>
      <c r="G3458" s="716">
        <v>0.2</v>
      </c>
      <c r="H3458" s="225">
        <f t="shared" si="53"/>
        <v>0.2</v>
      </c>
    </row>
    <row r="3459" spans="1:8" x14ac:dyDescent="0.3">
      <c r="A3459" s="401"/>
      <c r="B3459" s="709">
        <v>4330</v>
      </c>
      <c r="C3459" s="710" t="s">
        <v>11788</v>
      </c>
      <c r="D3459" s="709" t="s">
        <v>136</v>
      </c>
      <c r="E3459" s="709" t="s">
        <v>8432</v>
      </c>
      <c r="F3459" s="716"/>
      <c r="G3459" s="716">
        <v>0.13</v>
      </c>
      <c r="H3459" s="225">
        <f t="shared" si="53"/>
        <v>0.13</v>
      </c>
    </row>
    <row r="3460" spans="1:8" x14ac:dyDescent="0.3">
      <c r="A3460" s="401"/>
      <c r="B3460" s="709">
        <v>4340</v>
      </c>
      <c r="C3460" s="710" t="s">
        <v>11789</v>
      </c>
      <c r="D3460" s="709" t="s">
        <v>136</v>
      </c>
      <c r="E3460" s="709" t="s">
        <v>8432</v>
      </c>
      <c r="F3460" s="716"/>
      <c r="G3460" s="716">
        <v>1.0900000000000001</v>
      </c>
      <c r="H3460" s="225">
        <f t="shared" si="53"/>
        <v>1.0900000000000001</v>
      </c>
    </row>
    <row r="3461" spans="1:8" x14ac:dyDescent="0.3">
      <c r="A3461" s="401"/>
      <c r="B3461" s="709">
        <v>5088</v>
      </c>
      <c r="C3461" s="710" t="s">
        <v>11790</v>
      </c>
      <c r="D3461" s="709" t="s">
        <v>136</v>
      </c>
      <c r="E3461" s="709" t="s">
        <v>8432</v>
      </c>
      <c r="F3461" s="716">
        <v>8.1199999999999992</v>
      </c>
      <c r="G3461" s="716">
        <v>6.72</v>
      </c>
      <c r="H3461" s="225">
        <f t="shared" si="53"/>
        <v>8.1199999999999992</v>
      </c>
    </row>
    <row r="3462" spans="1:8" x14ac:dyDescent="0.3">
      <c r="A3462" s="401"/>
      <c r="B3462" s="709">
        <v>11154</v>
      </c>
      <c r="C3462" s="710" t="s">
        <v>11791</v>
      </c>
      <c r="D3462" s="709" t="s">
        <v>136</v>
      </c>
      <c r="E3462" s="709" t="s">
        <v>8432</v>
      </c>
      <c r="F3462" s="716">
        <v>1598.68</v>
      </c>
      <c r="G3462" s="716">
        <v>1397.43</v>
      </c>
      <c r="H3462" s="225">
        <f t="shared" si="53"/>
        <v>1598.68</v>
      </c>
    </row>
    <row r="3463" spans="1:8" x14ac:dyDescent="0.3">
      <c r="A3463" s="401"/>
      <c r="B3463" s="709">
        <v>4989</v>
      </c>
      <c r="C3463" s="710" t="s">
        <v>11792</v>
      </c>
      <c r="D3463" s="709" t="s">
        <v>136</v>
      </c>
      <c r="E3463" s="709" t="s">
        <v>8432</v>
      </c>
      <c r="F3463" s="716">
        <v>409.86</v>
      </c>
      <c r="G3463" s="716">
        <v>391.87</v>
      </c>
      <c r="H3463" s="225">
        <f t="shared" si="53"/>
        <v>409.86</v>
      </c>
    </row>
    <row r="3464" spans="1:8" x14ac:dyDescent="0.3">
      <c r="A3464" s="401"/>
      <c r="B3464" s="709">
        <v>4982</v>
      </c>
      <c r="C3464" s="710" t="s">
        <v>11793</v>
      </c>
      <c r="D3464" s="709" t="s">
        <v>136</v>
      </c>
      <c r="E3464" s="709" t="s">
        <v>8432</v>
      </c>
      <c r="F3464" s="716">
        <v>384.43</v>
      </c>
      <c r="G3464" s="716">
        <v>367.55</v>
      </c>
      <c r="H3464" s="225">
        <f t="shared" si="53"/>
        <v>384.43</v>
      </c>
    </row>
    <row r="3465" spans="1:8" x14ac:dyDescent="0.3">
      <c r="A3465" s="401"/>
      <c r="B3465" s="709">
        <v>4962</v>
      </c>
      <c r="C3465" s="710" t="s">
        <v>11794</v>
      </c>
      <c r="D3465" s="709" t="s">
        <v>136</v>
      </c>
      <c r="E3465" s="709" t="s">
        <v>8432</v>
      </c>
      <c r="F3465" s="716">
        <v>303.17</v>
      </c>
      <c r="G3465" s="716">
        <v>289.86</v>
      </c>
      <c r="H3465" s="225">
        <f t="shared" si="53"/>
        <v>303.17</v>
      </c>
    </row>
    <row r="3466" spans="1:8" x14ac:dyDescent="0.3">
      <c r="A3466" s="401"/>
      <c r="B3466" s="709">
        <v>4981</v>
      </c>
      <c r="C3466" s="710" t="s">
        <v>11795</v>
      </c>
      <c r="D3466" s="709" t="s">
        <v>136</v>
      </c>
      <c r="E3466" s="709" t="s">
        <v>8438</v>
      </c>
      <c r="F3466" s="716">
        <v>269.89999999999998</v>
      </c>
      <c r="G3466" s="716">
        <v>258.05</v>
      </c>
      <c r="H3466" s="225">
        <f t="shared" si="53"/>
        <v>269.89999999999998</v>
      </c>
    </row>
    <row r="3467" spans="1:8" x14ac:dyDescent="0.3">
      <c r="A3467" s="401"/>
      <c r="B3467" s="709">
        <v>4964</v>
      </c>
      <c r="C3467" s="710" t="s">
        <v>11796</v>
      </c>
      <c r="D3467" s="709" t="s">
        <v>136</v>
      </c>
      <c r="E3467" s="709" t="s">
        <v>8432</v>
      </c>
      <c r="F3467" s="716">
        <v>342.4</v>
      </c>
      <c r="G3467" s="716">
        <v>327.37</v>
      </c>
      <c r="H3467" s="225">
        <f t="shared" ref="H3467:H3530" si="54">IF(F3467&gt;0,F3467,G3467)</f>
        <v>342.4</v>
      </c>
    </row>
    <row r="3468" spans="1:8" x14ac:dyDescent="0.3">
      <c r="A3468" s="401"/>
      <c r="B3468" s="709">
        <v>4992</v>
      </c>
      <c r="C3468" s="710" t="s">
        <v>11797</v>
      </c>
      <c r="D3468" s="709" t="s">
        <v>136</v>
      </c>
      <c r="E3468" s="709" t="s">
        <v>8432</v>
      </c>
      <c r="F3468" s="716">
        <v>334.46</v>
      </c>
      <c r="G3468" s="716">
        <v>319.77999999999997</v>
      </c>
      <c r="H3468" s="225">
        <f t="shared" si="54"/>
        <v>334.46</v>
      </c>
    </row>
    <row r="3469" spans="1:8" x14ac:dyDescent="0.3">
      <c r="A3469" s="401"/>
      <c r="B3469" s="709">
        <v>4987</v>
      </c>
      <c r="C3469" s="710" t="s">
        <v>11798</v>
      </c>
      <c r="D3469" s="709" t="s">
        <v>136</v>
      </c>
      <c r="E3469" s="709" t="s">
        <v>8432</v>
      </c>
      <c r="F3469" s="716">
        <v>382.65</v>
      </c>
      <c r="G3469" s="716">
        <v>365.85</v>
      </c>
      <c r="H3469" s="225">
        <f t="shared" si="54"/>
        <v>382.65</v>
      </c>
    </row>
    <row r="3470" spans="1:8" x14ac:dyDescent="0.3">
      <c r="A3470" s="401"/>
      <c r="B3470" s="709">
        <v>4930</v>
      </c>
      <c r="C3470" s="710" t="s">
        <v>11799</v>
      </c>
      <c r="D3470" s="709" t="s">
        <v>168</v>
      </c>
      <c r="E3470" s="709" t="s">
        <v>8432</v>
      </c>
      <c r="F3470" s="716">
        <v>677.14</v>
      </c>
      <c r="G3470" s="716">
        <v>591.9</v>
      </c>
      <c r="H3470" s="225">
        <f t="shared" si="54"/>
        <v>677.14</v>
      </c>
    </row>
    <row r="3471" spans="1:8" x14ac:dyDescent="0.3">
      <c r="A3471" s="401"/>
      <c r="B3471" s="709">
        <v>4998</v>
      </c>
      <c r="C3471" s="710" t="s">
        <v>11800</v>
      </c>
      <c r="D3471" s="709" t="s">
        <v>168</v>
      </c>
      <c r="E3471" s="709" t="s">
        <v>8432</v>
      </c>
      <c r="F3471" s="716"/>
      <c r="G3471" s="716">
        <v>654.91999999999996</v>
      </c>
      <c r="H3471" s="225">
        <f t="shared" si="54"/>
        <v>654.91999999999996</v>
      </c>
    </row>
    <row r="3472" spans="1:8" x14ac:dyDescent="0.3">
      <c r="A3472" s="401"/>
      <c r="B3472" s="709">
        <v>39021</v>
      </c>
      <c r="C3472" s="710" t="s">
        <v>11801</v>
      </c>
      <c r="D3472" s="709" t="s">
        <v>136</v>
      </c>
      <c r="E3472" s="709" t="s">
        <v>8432</v>
      </c>
      <c r="F3472" s="716">
        <v>719.97</v>
      </c>
      <c r="G3472" s="716">
        <v>629.34</v>
      </c>
      <c r="H3472" s="225">
        <f t="shared" si="54"/>
        <v>719.97</v>
      </c>
    </row>
    <row r="3473" spans="1:8" x14ac:dyDescent="0.3">
      <c r="A3473" s="401"/>
      <c r="B3473" s="709">
        <v>39022</v>
      </c>
      <c r="C3473" s="710" t="s">
        <v>11802</v>
      </c>
      <c r="D3473" s="709" t="s">
        <v>136</v>
      </c>
      <c r="E3473" s="709" t="s">
        <v>8438</v>
      </c>
      <c r="F3473" s="716">
        <v>644.9</v>
      </c>
      <c r="G3473" s="716">
        <v>563.72</v>
      </c>
      <c r="H3473" s="225">
        <f t="shared" si="54"/>
        <v>644.9</v>
      </c>
    </row>
    <row r="3474" spans="1:8" x14ac:dyDescent="0.3">
      <c r="A3474" s="401"/>
      <c r="B3474" s="709">
        <v>39024</v>
      </c>
      <c r="C3474" s="710" t="s">
        <v>11803</v>
      </c>
      <c r="D3474" s="709" t="s">
        <v>136</v>
      </c>
      <c r="E3474" s="709" t="s">
        <v>8432</v>
      </c>
      <c r="F3474" s="716">
        <v>1013.34</v>
      </c>
      <c r="G3474" s="716">
        <v>810.46</v>
      </c>
      <c r="H3474" s="225">
        <f t="shared" si="54"/>
        <v>1013.34</v>
      </c>
    </row>
    <row r="3475" spans="1:8" x14ac:dyDescent="0.3">
      <c r="A3475" s="401"/>
      <c r="B3475" s="709">
        <v>4914</v>
      </c>
      <c r="C3475" s="710" t="s">
        <v>11804</v>
      </c>
      <c r="D3475" s="709" t="s">
        <v>168</v>
      </c>
      <c r="E3475" s="709" t="s">
        <v>8432</v>
      </c>
      <c r="F3475" s="716">
        <v>821.64</v>
      </c>
      <c r="G3475" s="716">
        <v>657.14</v>
      </c>
      <c r="H3475" s="225">
        <f t="shared" si="54"/>
        <v>821.64</v>
      </c>
    </row>
    <row r="3476" spans="1:8" x14ac:dyDescent="0.3">
      <c r="A3476" s="401"/>
      <c r="B3476" s="709">
        <v>4917</v>
      </c>
      <c r="C3476" s="710" t="s">
        <v>11805</v>
      </c>
      <c r="D3476" s="709" t="s">
        <v>168</v>
      </c>
      <c r="E3476" s="709" t="s">
        <v>8438</v>
      </c>
      <c r="F3476" s="716">
        <v>567.42999999999995</v>
      </c>
      <c r="G3476" s="716">
        <v>453.83</v>
      </c>
      <c r="H3476" s="225">
        <f t="shared" si="54"/>
        <v>567.42999999999995</v>
      </c>
    </row>
    <row r="3477" spans="1:8" x14ac:dyDescent="0.3">
      <c r="A3477" s="401"/>
      <c r="B3477" s="709">
        <v>39025</v>
      </c>
      <c r="C3477" s="710" t="s">
        <v>11806</v>
      </c>
      <c r="D3477" s="709" t="s">
        <v>136</v>
      </c>
      <c r="E3477" s="709" t="s">
        <v>8432</v>
      </c>
      <c r="F3477" s="716">
        <v>1039.07</v>
      </c>
      <c r="G3477" s="716">
        <v>831.05</v>
      </c>
      <c r="H3477" s="225">
        <f t="shared" si="54"/>
        <v>1039.07</v>
      </c>
    </row>
    <row r="3478" spans="1:8" x14ac:dyDescent="0.3">
      <c r="A3478" s="401"/>
      <c r="B3478" s="709">
        <v>4922</v>
      </c>
      <c r="C3478" s="710" t="s">
        <v>11807</v>
      </c>
      <c r="D3478" s="709" t="s">
        <v>168</v>
      </c>
      <c r="E3478" s="709" t="s">
        <v>8432</v>
      </c>
      <c r="F3478" s="716">
        <v>526.34</v>
      </c>
      <c r="G3478" s="716">
        <v>420.97</v>
      </c>
      <c r="H3478" s="225">
        <f t="shared" si="54"/>
        <v>526.34</v>
      </c>
    </row>
    <row r="3479" spans="1:8" x14ac:dyDescent="0.3">
      <c r="A3479" s="401"/>
      <c r="B3479" s="709">
        <v>4911</v>
      </c>
      <c r="C3479" s="710" t="s">
        <v>11808</v>
      </c>
      <c r="D3479" s="709" t="s">
        <v>168</v>
      </c>
      <c r="E3479" s="709" t="s">
        <v>8432</v>
      </c>
      <c r="F3479" s="716">
        <v>327.60000000000002</v>
      </c>
      <c r="G3479" s="716">
        <v>319.76</v>
      </c>
      <c r="H3479" s="225">
        <f t="shared" si="54"/>
        <v>327.60000000000002</v>
      </c>
    </row>
    <row r="3480" spans="1:8" x14ac:dyDescent="0.3">
      <c r="A3480" s="401"/>
      <c r="B3480" s="709">
        <v>37518</v>
      </c>
      <c r="C3480" s="710" t="s">
        <v>11809</v>
      </c>
      <c r="D3480" s="709" t="s">
        <v>168</v>
      </c>
      <c r="E3480" s="709" t="s">
        <v>8432</v>
      </c>
      <c r="F3480" s="716">
        <v>532.35</v>
      </c>
      <c r="G3480" s="716">
        <v>519.61</v>
      </c>
      <c r="H3480" s="225">
        <f t="shared" si="54"/>
        <v>532.35</v>
      </c>
    </row>
    <row r="3481" spans="1:8" x14ac:dyDescent="0.3">
      <c r="A3481" s="401"/>
      <c r="B3481" s="709">
        <v>4910</v>
      </c>
      <c r="C3481" s="710" t="s">
        <v>11810</v>
      </c>
      <c r="D3481" s="709" t="s">
        <v>168</v>
      </c>
      <c r="E3481" s="709" t="s">
        <v>8432</v>
      </c>
      <c r="F3481" s="716">
        <v>448.77</v>
      </c>
      <c r="G3481" s="716">
        <v>438.03</v>
      </c>
      <c r="H3481" s="225">
        <f t="shared" si="54"/>
        <v>448.77</v>
      </c>
    </row>
    <row r="3482" spans="1:8" x14ac:dyDescent="0.3">
      <c r="A3482" s="401"/>
      <c r="B3482" s="709">
        <v>4943</v>
      </c>
      <c r="C3482" s="710" t="s">
        <v>11811</v>
      </c>
      <c r="D3482" s="709" t="s">
        <v>168</v>
      </c>
      <c r="E3482" s="709" t="s">
        <v>8432</v>
      </c>
      <c r="F3482" s="716">
        <v>668.57</v>
      </c>
      <c r="G3482" s="716">
        <v>652.57000000000005</v>
      </c>
      <c r="H3482" s="225">
        <f t="shared" si="54"/>
        <v>668.57</v>
      </c>
    </row>
    <row r="3483" spans="1:8" x14ac:dyDescent="0.3">
      <c r="A3483" s="401"/>
      <c r="B3483" s="709">
        <v>5002</v>
      </c>
      <c r="C3483" s="710" t="s">
        <v>11812</v>
      </c>
      <c r="D3483" s="709" t="s">
        <v>168</v>
      </c>
      <c r="E3483" s="709" t="s">
        <v>8432</v>
      </c>
      <c r="F3483" s="716"/>
      <c r="G3483" s="716">
        <v>477.42</v>
      </c>
      <c r="H3483" s="225">
        <f t="shared" si="54"/>
        <v>477.42</v>
      </c>
    </row>
    <row r="3484" spans="1:8" x14ac:dyDescent="0.3">
      <c r="A3484" s="401"/>
      <c r="B3484" s="709">
        <v>4977</v>
      </c>
      <c r="C3484" s="710" t="s">
        <v>11813</v>
      </c>
      <c r="D3484" s="709" t="s">
        <v>168</v>
      </c>
      <c r="E3484" s="709" t="s">
        <v>8432</v>
      </c>
      <c r="F3484" s="716"/>
      <c r="G3484" s="716">
        <v>322.27999999999997</v>
      </c>
      <c r="H3484" s="225">
        <f t="shared" si="54"/>
        <v>322.27999999999997</v>
      </c>
    </row>
    <row r="3485" spans="1:8" x14ac:dyDescent="0.3">
      <c r="A3485" s="401"/>
      <c r="B3485" s="709">
        <v>11364</v>
      </c>
      <c r="C3485" s="710" t="s">
        <v>11814</v>
      </c>
      <c r="D3485" s="709" t="s">
        <v>136</v>
      </c>
      <c r="E3485" s="709" t="s">
        <v>8432</v>
      </c>
      <c r="F3485" s="716">
        <v>231.87</v>
      </c>
      <c r="G3485" s="716">
        <v>221.69</v>
      </c>
      <c r="H3485" s="225">
        <f t="shared" si="54"/>
        <v>231.87</v>
      </c>
    </row>
    <row r="3486" spans="1:8" x14ac:dyDescent="0.3">
      <c r="A3486" s="401"/>
      <c r="B3486" s="709">
        <v>11365</v>
      </c>
      <c r="C3486" s="710" t="s">
        <v>11815</v>
      </c>
      <c r="D3486" s="709" t="s">
        <v>136</v>
      </c>
      <c r="E3486" s="709" t="s">
        <v>8432</v>
      </c>
      <c r="F3486" s="716">
        <v>240.62</v>
      </c>
      <c r="G3486" s="716">
        <v>230.06</v>
      </c>
      <c r="H3486" s="225">
        <f t="shared" si="54"/>
        <v>240.62</v>
      </c>
    </row>
    <row r="3487" spans="1:8" x14ac:dyDescent="0.3">
      <c r="A3487" s="401"/>
      <c r="B3487" s="709">
        <v>11366</v>
      </c>
      <c r="C3487" s="710" t="s">
        <v>11816</v>
      </c>
      <c r="D3487" s="709" t="s">
        <v>136</v>
      </c>
      <c r="E3487" s="709" t="s">
        <v>8432</v>
      </c>
      <c r="F3487" s="716">
        <v>255.78</v>
      </c>
      <c r="G3487" s="716">
        <v>244.55</v>
      </c>
      <c r="H3487" s="225">
        <f t="shared" si="54"/>
        <v>255.78</v>
      </c>
    </row>
    <row r="3488" spans="1:8" x14ac:dyDescent="0.3">
      <c r="A3488" s="401"/>
      <c r="B3488" s="709">
        <v>43777</v>
      </c>
      <c r="C3488" s="710" t="s">
        <v>11817</v>
      </c>
      <c r="D3488" s="709" t="s">
        <v>136</v>
      </c>
      <c r="E3488" s="709" t="s">
        <v>8432</v>
      </c>
      <c r="F3488" s="716">
        <v>300.45</v>
      </c>
      <c r="G3488" s="716">
        <v>287.26</v>
      </c>
      <c r="H3488" s="225">
        <f t="shared" si="54"/>
        <v>300.45</v>
      </c>
    </row>
    <row r="3489" spans="1:8" x14ac:dyDescent="0.3">
      <c r="A3489" s="401"/>
      <c r="B3489" s="709">
        <v>20322</v>
      </c>
      <c r="C3489" s="710" t="s">
        <v>11818</v>
      </c>
      <c r="D3489" s="709" t="s">
        <v>136</v>
      </c>
      <c r="E3489" s="709" t="s">
        <v>8432</v>
      </c>
      <c r="F3489" s="716">
        <v>278.91000000000003</v>
      </c>
      <c r="G3489" s="716">
        <v>266.66000000000003</v>
      </c>
      <c r="H3489" s="225">
        <f t="shared" si="54"/>
        <v>278.91000000000003</v>
      </c>
    </row>
    <row r="3490" spans="1:8" x14ac:dyDescent="0.3">
      <c r="A3490" s="401"/>
      <c r="B3490" s="709">
        <v>10553</v>
      </c>
      <c r="C3490" s="710" t="s">
        <v>11819</v>
      </c>
      <c r="D3490" s="709" t="s">
        <v>136</v>
      </c>
      <c r="E3490" s="709" t="s">
        <v>8432</v>
      </c>
      <c r="F3490" s="716">
        <v>253.25</v>
      </c>
      <c r="G3490" s="716">
        <v>242.13</v>
      </c>
      <c r="H3490" s="225">
        <f t="shared" si="54"/>
        <v>253.25</v>
      </c>
    </row>
    <row r="3491" spans="1:8" x14ac:dyDescent="0.3">
      <c r="A3491" s="401"/>
      <c r="B3491" s="709">
        <v>5020</v>
      </c>
      <c r="C3491" s="710" t="s">
        <v>11820</v>
      </c>
      <c r="D3491" s="709" t="s">
        <v>136</v>
      </c>
      <c r="E3491" s="709" t="s">
        <v>8432</v>
      </c>
      <c r="F3491" s="716">
        <v>267</v>
      </c>
      <c r="G3491" s="716">
        <v>255.28</v>
      </c>
      <c r="H3491" s="225">
        <f t="shared" si="54"/>
        <v>267</v>
      </c>
    </row>
    <row r="3492" spans="1:8" x14ac:dyDescent="0.3">
      <c r="A3492" s="401"/>
      <c r="B3492" s="709">
        <v>10554</v>
      </c>
      <c r="C3492" s="710" t="s">
        <v>11821</v>
      </c>
      <c r="D3492" s="709" t="s">
        <v>136</v>
      </c>
      <c r="E3492" s="709" t="s">
        <v>8432</v>
      </c>
      <c r="F3492" s="716">
        <v>255.5</v>
      </c>
      <c r="G3492" s="716">
        <v>244.28</v>
      </c>
      <c r="H3492" s="225">
        <f t="shared" si="54"/>
        <v>255.5</v>
      </c>
    </row>
    <row r="3493" spans="1:8" x14ac:dyDescent="0.3">
      <c r="A3493" s="401"/>
      <c r="B3493" s="709">
        <v>10555</v>
      </c>
      <c r="C3493" s="710" t="s">
        <v>11822</v>
      </c>
      <c r="D3493" s="709" t="s">
        <v>136</v>
      </c>
      <c r="E3493" s="709" t="s">
        <v>8432</v>
      </c>
      <c r="F3493" s="716">
        <v>278.63</v>
      </c>
      <c r="G3493" s="716">
        <v>266.39</v>
      </c>
      <c r="H3493" s="225">
        <f t="shared" si="54"/>
        <v>278.63</v>
      </c>
    </row>
    <row r="3494" spans="1:8" x14ac:dyDescent="0.3">
      <c r="A3494" s="401"/>
      <c r="B3494" s="709">
        <v>10556</v>
      </c>
      <c r="C3494" s="710" t="s">
        <v>11823</v>
      </c>
      <c r="D3494" s="709" t="s">
        <v>136</v>
      </c>
      <c r="E3494" s="709" t="s">
        <v>8432</v>
      </c>
      <c r="F3494" s="716">
        <v>370.46</v>
      </c>
      <c r="G3494" s="716">
        <v>354.2</v>
      </c>
      <c r="H3494" s="225">
        <f t="shared" si="54"/>
        <v>370.46</v>
      </c>
    </row>
    <row r="3495" spans="1:8" x14ac:dyDescent="0.3">
      <c r="A3495" s="401"/>
      <c r="B3495" s="709">
        <v>39502</v>
      </c>
      <c r="C3495" s="710" t="s">
        <v>11824</v>
      </c>
      <c r="D3495" s="709" t="s">
        <v>136</v>
      </c>
      <c r="E3495" s="709" t="s">
        <v>8432</v>
      </c>
      <c r="F3495" s="716">
        <v>520.21</v>
      </c>
      <c r="G3495" s="716">
        <v>497.37</v>
      </c>
      <c r="H3495" s="225">
        <f t="shared" si="54"/>
        <v>520.21</v>
      </c>
    </row>
    <row r="3496" spans="1:8" x14ac:dyDescent="0.3">
      <c r="A3496" s="401"/>
      <c r="B3496" s="709">
        <v>39504</v>
      </c>
      <c r="C3496" s="710" t="s">
        <v>11825</v>
      </c>
      <c r="D3496" s="709" t="s">
        <v>136</v>
      </c>
      <c r="E3496" s="709" t="s">
        <v>8432</v>
      </c>
      <c r="F3496" s="716">
        <v>575.26</v>
      </c>
      <c r="G3496" s="716">
        <v>550</v>
      </c>
      <c r="H3496" s="225">
        <f t="shared" si="54"/>
        <v>575.26</v>
      </c>
    </row>
    <row r="3497" spans="1:8" x14ac:dyDescent="0.3">
      <c r="A3497" s="401"/>
      <c r="B3497" s="709">
        <v>39503</v>
      </c>
      <c r="C3497" s="710" t="s">
        <v>11826</v>
      </c>
      <c r="D3497" s="709" t="s">
        <v>136</v>
      </c>
      <c r="E3497" s="709" t="s">
        <v>8432</v>
      </c>
      <c r="F3497" s="716">
        <v>605.44000000000005</v>
      </c>
      <c r="G3497" s="716">
        <v>578.86</v>
      </c>
      <c r="H3497" s="225">
        <f t="shared" si="54"/>
        <v>605.44000000000005</v>
      </c>
    </row>
    <row r="3498" spans="1:8" x14ac:dyDescent="0.3">
      <c r="A3498" s="401"/>
      <c r="B3498" s="709">
        <v>39505</v>
      </c>
      <c r="C3498" s="710" t="s">
        <v>11827</v>
      </c>
      <c r="D3498" s="709" t="s">
        <v>136</v>
      </c>
      <c r="E3498" s="709" t="s">
        <v>8432</v>
      </c>
      <c r="F3498" s="716">
        <v>652.45000000000005</v>
      </c>
      <c r="G3498" s="716">
        <v>623.79999999999995</v>
      </c>
      <c r="H3498" s="225">
        <f t="shared" si="54"/>
        <v>652.45000000000005</v>
      </c>
    </row>
    <row r="3499" spans="1:8" x14ac:dyDescent="0.3">
      <c r="A3499" s="401"/>
      <c r="B3499" s="709">
        <v>5028</v>
      </c>
      <c r="C3499" s="710" t="s">
        <v>11828</v>
      </c>
      <c r="D3499" s="709" t="s">
        <v>168</v>
      </c>
      <c r="E3499" s="709" t="s">
        <v>8432</v>
      </c>
      <c r="F3499" s="716"/>
      <c r="G3499" s="716">
        <v>788.56</v>
      </c>
      <c r="H3499" s="225">
        <f t="shared" si="54"/>
        <v>788.56</v>
      </c>
    </row>
    <row r="3500" spans="1:8" x14ac:dyDescent="0.3">
      <c r="A3500" s="401"/>
      <c r="B3500" s="709">
        <v>4969</v>
      </c>
      <c r="C3500" s="710" t="s">
        <v>11829</v>
      </c>
      <c r="D3500" s="709" t="s">
        <v>168</v>
      </c>
      <c r="E3500" s="709" t="s">
        <v>8438</v>
      </c>
      <c r="F3500" s="716"/>
      <c r="G3500" s="716">
        <v>455.8</v>
      </c>
      <c r="H3500" s="225">
        <f t="shared" si="54"/>
        <v>455.8</v>
      </c>
    </row>
    <row r="3501" spans="1:8" x14ac:dyDescent="0.3">
      <c r="A3501" s="401"/>
      <c r="B3501" s="709">
        <v>44471</v>
      </c>
      <c r="C3501" s="710" t="s">
        <v>11830</v>
      </c>
      <c r="D3501" s="709" t="s">
        <v>136</v>
      </c>
      <c r="E3501" s="709" t="s">
        <v>8432</v>
      </c>
      <c r="F3501" s="716"/>
      <c r="G3501" s="716">
        <v>530.5</v>
      </c>
      <c r="H3501" s="225">
        <f t="shared" si="54"/>
        <v>530.5</v>
      </c>
    </row>
    <row r="3502" spans="1:8" x14ac:dyDescent="0.3">
      <c r="A3502" s="401"/>
      <c r="B3502" s="709">
        <v>4944</v>
      </c>
      <c r="C3502" s="710" t="s">
        <v>11831</v>
      </c>
      <c r="D3502" s="709" t="s">
        <v>168</v>
      </c>
      <c r="E3502" s="709" t="s">
        <v>8432</v>
      </c>
      <c r="F3502" s="716">
        <v>999.51</v>
      </c>
      <c r="G3502" s="716">
        <v>975.59</v>
      </c>
      <c r="H3502" s="225">
        <f t="shared" si="54"/>
        <v>999.51</v>
      </c>
    </row>
    <row r="3503" spans="1:8" x14ac:dyDescent="0.3">
      <c r="A3503" s="401"/>
      <c r="B3503" s="709">
        <v>21102</v>
      </c>
      <c r="C3503" s="710" t="s">
        <v>11832</v>
      </c>
      <c r="D3503" s="709" t="s">
        <v>136</v>
      </c>
      <c r="E3503" s="709" t="s">
        <v>8432</v>
      </c>
      <c r="F3503" s="716">
        <v>98.12</v>
      </c>
      <c r="G3503" s="716">
        <v>55.5</v>
      </c>
      <c r="H3503" s="225">
        <f t="shared" si="54"/>
        <v>98.12</v>
      </c>
    </row>
    <row r="3504" spans="1:8" x14ac:dyDescent="0.3">
      <c r="A3504" s="401"/>
      <c r="B3504" s="709">
        <v>21101</v>
      </c>
      <c r="C3504" s="710" t="s">
        <v>11833</v>
      </c>
      <c r="D3504" s="709" t="s">
        <v>136</v>
      </c>
      <c r="E3504" s="709" t="s">
        <v>8432</v>
      </c>
      <c r="F3504" s="716">
        <v>63.01</v>
      </c>
      <c r="G3504" s="716">
        <v>35.64</v>
      </c>
      <c r="H3504" s="225">
        <f t="shared" si="54"/>
        <v>63.01</v>
      </c>
    </row>
    <row r="3505" spans="1:8" x14ac:dyDescent="0.3">
      <c r="A3505" s="401"/>
      <c r="B3505" s="709">
        <v>34713</v>
      </c>
      <c r="C3505" s="710" t="s">
        <v>11834</v>
      </c>
      <c r="D3505" s="709" t="s">
        <v>168</v>
      </c>
      <c r="E3505" s="709" t="s">
        <v>8432</v>
      </c>
      <c r="F3505" s="716">
        <v>331.79</v>
      </c>
      <c r="G3505" s="716">
        <v>469.25</v>
      </c>
      <c r="H3505" s="225">
        <f t="shared" si="54"/>
        <v>331.79</v>
      </c>
    </row>
    <row r="3506" spans="1:8" x14ac:dyDescent="0.3">
      <c r="A3506" s="401"/>
      <c r="B3506" s="709">
        <v>37563</v>
      </c>
      <c r="C3506" s="710" t="s">
        <v>11835</v>
      </c>
      <c r="D3506" s="709" t="s">
        <v>168</v>
      </c>
      <c r="E3506" s="709" t="s">
        <v>8432</v>
      </c>
      <c r="F3506" s="716">
        <v>745.1</v>
      </c>
      <c r="G3506" s="716">
        <v>651.30999999999995</v>
      </c>
      <c r="H3506" s="225">
        <f t="shared" si="54"/>
        <v>745.1</v>
      </c>
    </row>
    <row r="3507" spans="1:8" x14ac:dyDescent="0.3">
      <c r="A3507" s="401"/>
      <c r="B3507" s="709">
        <v>4948</v>
      </c>
      <c r="C3507" s="710" t="s">
        <v>11836</v>
      </c>
      <c r="D3507" s="709" t="s">
        <v>168</v>
      </c>
      <c r="E3507" s="709" t="s">
        <v>8432</v>
      </c>
      <c r="F3507" s="716">
        <v>648.25</v>
      </c>
      <c r="G3507" s="716">
        <v>566.65</v>
      </c>
      <c r="H3507" s="225">
        <f t="shared" si="54"/>
        <v>648.25</v>
      </c>
    </row>
    <row r="3508" spans="1:8" x14ac:dyDescent="0.3">
      <c r="A3508" s="401"/>
      <c r="B3508" s="709">
        <v>37561</v>
      </c>
      <c r="C3508" s="710" t="s">
        <v>11837</v>
      </c>
      <c r="D3508" s="709" t="s">
        <v>168</v>
      </c>
      <c r="E3508" s="709" t="s">
        <v>8432</v>
      </c>
      <c r="F3508" s="716">
        <v>604.59</v>
      </c>
      <c r="G3508" s="716">
        <v>528.48</v>
      </c>
      <c r="H3508" s="225">
        <f t="shared" si="54"/>
        <v>604.59</v>
      </c>
    </row>
    <row r="3509" spans="1:8" x14ac:dyDescent="0.3">
      <c r="A3509" s="401"/>
      <c r="B3509" s="709">
        <v>37562</v>
      </c>
      <c r="C3509" s="710" t="s">
        <v>11838</v>
      </c>
      <c r="D3509" s="709" t="s">
        <v>168</v>
      </c>
      <c r="E3509" s="709" t="s">
        <v>8432</v>
      </c>
      <c r="F3509" s="716">
        <v>792.68</v>
      </c>
      <c r="G3509" s="716">
        <v>692.9</v>
      </c>
      <c r="H3509" s="225">
        <f t="shared" si="54"/>
        <v>792.68</v>
      </c>
    </row>
    <row r="3510" spans="1:8" x14ac:dyDescent="0.3">
      <c r="A3510" s="401"/>
      <c r="B3510" s="709">
        <v>14164</v>
      </c>
      <c r="C3510" s="710" t="s">
        <v>11839</v>
      </c>
      <c r="D3510" s="709" t="s">
        <v>136</v>
      </c>
      <c r="E3510" s="709" t="s">
        <v>8432</v>
      </c>
      <c r="F3510" s="716">
        <v>2070.2600000000002</v>
      </c>
      <c r="G3510" s="716">
        <v>1752.99</v>
      </c>
      <c r="H3510" s="225">
        <f t="shared" si="54"/>
        <v>2070.2600000000002</v>
      </c>
    </row>
    <row r="3511" spans="1:8" x14ac:dyDescent="0.3">
      <c r="A3511" s="401"/>
      <c r="B3511" s="709">
        <v>14163</v>
      </c>
      <c r="C3511" s="710" t="s">
        <v>11840</v>
      </c>
      <c r="D3511" s="709" t="s">
        <v>136</v>
      </c>
      <c r="E3511" s="709" t="s">
        <v>8432</v>
      </c>
      <c r="F3511" s="716">
        <v>2352.9899999999998</v>
      </c>
      <c r="G3511" s="716">
        <v>1992.39</v>
      </c>
      <c r="H3511" s="225">
        <f t="shared" si="54"/>
        <v>2352.9899999999998</v>
      </c>
    </row>
    <row r="3512" spans="1:8" x14ac:dyDescent="0.3">
      <c r="A3512" s="401"/>
      <c r="B3512" s="709">
        <v>5051</v>
      </c>
      <c r="C3512" s="710" t="s">
        <v>11841</v>
      </c>
      <c r="D3512" s="709" t="s">
        <v>136</v>
      </c>
      <c r="E3512" s="709" t="s">
        <v>8432</v>
      </c>
      <c r="F3512" s="716">
        <v>2001.19</v>
      </c>
      <c r="G3512" s="716">
        <v>1694.5</v>
      </c>
      <c r="H3512" s="225">
        <f t="shared" si="54"/>
        <v>2001.19</v>
      </c>
    </row>
    <row r="3513" spans="1:8" x14ac:dyDescent="0.3">
      <c r="A3513" s="401"/>
      <c r="B3513" s="709">
        <v>5052</v>
      </c>
      <c r="C3513" s="710" t="s">
        <v>11842</v>
      </c>
      <c r="D3513" s="709" t="s">
        <v>136</v>
      </c>
      <c r="E3513" s="709" t="s">
        <v>8438</v>
      </c>
      <c r="F3513" s="716">
        <v>1491</v>
      </c>
      <c r="G3513" s="716">
        <v>1262.5</v>
      </c>
      <c r="H3513" s="225">
        <f t="shared" si="54"/>
        <v>1491</v>
      </c>
    </row>
    <row r="3514" spans="1:8" x14ac:dyDescent="0.3">
      <c r="A3514" s="401"/>
      <c r="B3514" s="709">
        <v>14162</v>
      </c>
      <c r="C3514" s="710" t="s">
        <v>11843</v>
      </c>
      <c r="D3514" s="709" t="s">
        <v>136</v>
      </c>
      <c r="E3514" s="709" t="s">
        <v>8432</v>
      </c>
      <c r="F3514" s="716">
        <v>1998.28</v>
      </c>
      <c r="G3514" s="716">
        <v>1692.04</v>
      </c>
      <c r="H3514" s="225">
        <f t="shared" si="54"/>
        <v>1998.28</v>
      </c>
    </row>
    <row r="3515" spans="1:8" x14ac:dyDescent="0.3">
      <c r="A3515" s="401"/>
      <c r="B3515" s="709">
        <v>14166</v>
      </c>
      <c r="C3515" s="710" t="s">
        <v>11844</v>
      </c>
      <c r="D3515" s="709" t="s">
        <v>136</v>
      </c>
      <c r="E3515" s="709" t="s">
        <v>8432</v>
      </c>
      <c r="F3515" s="716">
        <v>1509.93</v>
      </c>
      <c r="G3515" s="716">
        <v>1278.53</v>
      </c>
      <c r="H3515" s="225">
        <f t="shared" si="54"/>
        <v>1509.93</v>
      </c>
    </row>
    <row r="3516" spans="1:8" x14ac:dyDescent="0.3">
      <c r="A3516" s="401"/>
      <c r="B3516" s="709">
        <v>14165</v>
      </c>
      <c r="C3516" s="710" t="s">
        <v>11845</v>
      </c>
      <c r="D3516" s="709" t="s">
        <v>136</v>
      </c>
      <c r="E3516" s="709" t="s">
        <v>8432</v>
      </c>
      <c r="F3516" s="716">
        <v>2091.8000000000002</v>
      </c>
      <c r="G3516" s="716">
        <v>1771.22</v>
      </c>
      <c r="H3516" s="225">
        <f t="shared" si="54"/>
        <v>2091.8000000000002</v>
      </c>
    </row>
    <row r="3517" spans="1:8" x14ac:dyDescent="0.3">
      <c r="A3517" s="401"/>
      <c r="B3517" s="709">
        <v>5050</v>
      </c>
      <c r="C3517" s="710" t="s">
        <v>11846</v>
      </c>
      <c r="D3517" s="709" t="s">
        <v>136</v>
      </c>
      <c r="E3517" s="709" t="s">
        <v>8432</v>
      </c>
      <c r="F3517" s="716">
        <v>514.84</v>
      </c>
      <c r="G3517" s="716">
        <v>435.94</v>
      </c>
      <c r="H3517" s="225">
        <f t="shared" si="54"/>
        <v>514.84</v>
      </c>
    </row>
    <row r="3518" spans="1:8" x14ac:dyDescent="0.3">
      <c r="A3518" s="401"/>
      <c r="B3518" s="709">
        <v>12366</v>
      </c>
      <c r="C3518" s="710" t="s">
        <v>11847</v>
      </c>
      <c r="D3518" s="709" t="s">
        <v>136</v>
      </c>
      <c r="E3518" s="709" t="s">
        <v>8432</v>
      </c>
      <c r="F3518" s="716">
        <v>1443.57</v>
      </c>
      <c r="G3518" s="716">
        <v>1178.6400000000001</v>
      </c>
      <c r="H3518" s="225">
        <f t="shared" si="54"/>
        <v>1443.57</v>
      </c>
    </row>
    <row r="3519" spans="1:8" x14ac:dyDescent="0.3">
      <c r="A3519" s="401"/>
      <c r="B3519" s="709">
        <v>5045</v>
      </c>
      <c r="C3519" s="710" t="s">
        <v>11848</v>
      </c>
      <c r="D3519" s="709" t="s">
        <v>136</v>
      </c>
      <c r="E3519" s="709" t="s">
        <v>8432</v>
      </c>
      <c r="F3519" s="716">
        <v>1994.21</v>
      </c>
      <c r="G3519" s="716">
        <v>1628.22</v>
      </c>
      <c r="H3519" s="225">
        <f t="shared" si="54"/>
        <v>1994.21</v>
      </c>
    </row>
    <row r="3520" spans="1:8" x14ac:dyDescent="0.3">
      <c r="A3520" s="401"/>
      <c r="B3520" s="709">
        <v>5035</v>
      </c>
      <c r="C3520" s="710" t="s">
        <v>11849</v>
      </c>
      <c r="D3520" s="709" t="s">
        <v>136</v>
      </c>
      <c r="E3520" s="709" t="s">
        <v>8432</v>
      </c>
      <c r="F3520" s="716">
        <v>2292.87</v>
      </c>
      <c r="G3520" s="716">
        <v>1872.06</v>
      </c>
      <c r="H3520" s="225">
        <f t="shared" si="54"/>
        <v>2292.87</v>
      </c>
    </row>
    <row r="3521" spans="1:8" x14ac:dyDescent="0.3">
      <c r="A3521" s="401"/>
      <c r="B3521" s="709">
        <v>41180</v>
      </c>
      <c r="C3521" s="710" t="s">
        <v>11850</v>
      </c>
      <c r="D3521" s="709" t="s">
        <v>136</v>
      </c>
      <c r="E3521" s="709" t="s">
        <v>8432</v>
      </c>
      <c r="F3521" s="716">
        <v>5154.34</v>
      </c>
      <c r="G3521" s="716">
        <v>4208.37</v>
      </c>
      <c r="H3521" s="225">
        <f t="shared" si="54"/>
        <v>5154.34</v>
      </c>
    </row>
    <row r="3522" spans="1:8" x14ac:dyDescent="0.3">
      <c r="A3522" s="401"/>
      <c r="B3522" s="709">
        <v>41181</v>
      </c>
      <c r="C3522" s="710" t="s">
        <v>11851</v>
      </c>
      <c r="D3522" s="709" t="s">
        <v>136</v>
      </c>
      <c r="E3522" s="709" t="s">
        <v>8432</v>
      </c>
      <c r="F3522" s="716">
        <v>6824.18</v>
      </c>
      <c r="G3522" s="716">
        <v>5571.75</v>
      </c>
      <c r="H3522" s="225">
        <f t="shared" si="54"/>
        <v>6824.18</v>
      </c>
    </row>
    <row r="3523" spans="1:8" x14ac:dyDescent="0.3">
      <c r="A3523" s="401"/>
      <c r="B3523" s="709">
        <v>41182</v>
      </c>
      <c r="C3523" s="710" t="s">
        <v>11852</v>
      </c>
      <c r="D3523" s="709" t="s">
        <v>136</v>
      </c>
      <c r="E3523" s="709" t="s">
        <v>8432</v>
      </c>
      <c r="F3523" s="716">
        <v>9789.85</v>
      </c>
      <c r="G3523" s="716">
        <v>7993.14</v>
      </c>
      <c r="H3523" s="225">
        <f t="shared" si="54"/>
        <v>9789.85</v>
      </c>
    </row>
    <row r="3524" spans="1:8" x14ac:dyDescent="0.3">
      <c r="A3524" s="401"/>
      <c r="B3524" s="709">
        <v>41183</v>
      </c>
      <c r="C3524" s="710" t="s">
        <v>11853</v>
      </c>
      <c r="D3524" s="709" t="s">
        <v>136</v>
      </c>
      <c r="E3524" s="709" t="s">
        <v>8432</v>
      </c>
      <c r="F3524" s="716">
        <v>12222.83</v>
      </c>
      <c r="G3524" s="716">
        <v>9979.6</v>
      </c>
      <c r="H3524" s="225">
        <f t="shared" si="54"/>
        <v>12222.83</v>
      </c>
    </row>
    <row r="3525" spans="1:8" x14ac:dyDescent="0.3">
      <c r="A3525" s="401"/>
      <c r="B3525" s="709">
        <v>41184</v>
      </c>
      <c r="C3525" s="710" t="s">
        <v>11854</v>
      </c>
      <c r="D3525" s="709" t="s">
        <v>136</v>
      </c>
      <c r="E3525" s="709" t="s">
        <v>8432</v>
      </c>
      <c r="F3525" s="716">
        <v>18610</v>
      </c>
      <c r="G3525" s="716">
        <v>15194.56</v>
      </c>
      <c r="H3525" s="225">
        <f t="shared" si="54"/>
        <v>18610</v>
      </c>
    </row>
    <row r="3526" spans="1:8" x14ac:dyDescent="0.3">
      <c r="A3526" s="401"/>
      <c r="B3526" s="709">
        <v>41185</v>
      </c>
      <c r="C3526" s="710" t="s">
        <v>11855</v>
      </c>
      <c r="D3526" s="709" t="s">
        <v>136</v>
      </c>
      <c r="E3526" s="709" t="s">
        <v>8432</v>
      </c>
      <c r="F3526" s="716">
        <v>6901.43</v>
      </c>
      <c r="G3526" s="716">
        <v>5634.82</v>
      </c>
      <c r="H3526" s="225">
        <f t="shared" si="54"/>
        <v>6901.43</v>
      </c>
    </row>
    <row r="3527" spans="1:8" x14ac:dyDescent="0.3">
      <c r="A3527" s="401"/>
      <c r="B3527" s="709">
        <v>41186</v>
      </c>
      <c r="C3527" s="710" t="s">
        <v>11856</v>
      </c>
      <c r="D3527" s="709" t="s">
        <v>136</v>
      </c>
      <c r="E3527" s="709" t="s">
        <v>8432</v>
      </c>
      <c r="F3527" s="716">
        <v>9671.5499999999993</v>
      </c>
      <c r="G3527" s="716">
        <v>7896.55</v>
      </c>
      <c r="H3527" s="225">
        <f t="shared" si="54"/>
        <v>9671.5499999999993</v>
      </c>
    </row>
    <row r="3528" spans="1:8" x14ac:dyDescent="0.3">
      <c r="A3528" s="401"/>
      <c r="B3528" s="709">
        <v>41187</v>
      </c>
      <c r="C3528" s="710" t="s">
        <v>11857</v>
      </c>
      <c r="D3528" s="709" t="s">
        <v>136</v>
      </c>
      <c r="E3528" s="709" t="s">
        <v>8432</v>
      </c>
      <c r="F3528" s="716">
        <v>12970.35</v>
      </c>
      <c r="G3528" s="716">
        <v>10589.93</v>
      </c>
      <c r="H3528" s="225">
        <f t="shared" si="54"/>
        <v>12970.35</v>
      </c>
    </row>
    <row r="3529" spans="1:8" x14ac:dyDescent="0.3">
      <c r="A3529" s="401"/>
      <c r="B3529" s="709">
        <v>41188</v>
      </c>
      <c r="C3529" s="710" t="s">
        <v>11858</v>
      </c>
      <c r="D3529" s="709" t="s">
        <v>136</v>
      </c>
      <c r="E3529" s="709" t="s">
        <v>8432</v>
      </c>
      <c r="F3529" s="716">
        <v>16586.189999999999</v>
      </c>
      <c r="G3529" s="716">
        <v>13542.17</v>
      </c>
      <c r="H3529" s="225">
        <f t="shared" si="54"/>
        <v>16586.189999999999</v>
      </c>
    </row>
    <row r="3530" spans="1:8" x14ac:dyDescent="0.3">
      <c r="A3530" s="401"/>
      <c r="B3530" s="709">
        <v>5036</v>
      </c>
      <c r="C3530" s="710" t="s">
        <v>11859</v>
      </c>
      <c r="D3530" s="709" t="s">
        <v>136</v>
      </c>
      <c r="E3530" s="709" t="s">
        <v>8432</v>
      </c>
      <c r="F3530" s="716">
        <v>3517.68</v>
      </c>
      <c r="G3530" s="716">
        <v>2872.09</v>
      </c>
      <c r="H3530" s="225">
        <f t="shared" si="54"/>
        <v>3517.68</v>
      </c>
    </row>
    <row r="3531" spans="1:8" x14ac:dyDescent="0.3">
      <c r="A3531" s="401"/>
      <c r="B3531" s="709">
        <v>41189</v>
      </c>
      <c r="C3531" s="710" t="s">
        <v>11860</v>
      </c>
      <c r="D3531" s="709" t="s">
        <v>136</v>
      </c>
      <c r="E3531" s="709" t="s">
        <v>8432</v>
      </c>
      <c r="F3531" s="716">
        <v>21323.279999999999</v>
      </c>
      <c r="G3531" s="716">
        <v>17409.87</v>
      </c>
      <c r="H3531" s="225">
        <f t="shared" ref="H3531:H3594" si="55">IF(F3531&gt;0,F3531,G3531)</f>
        <v>21323.279999999999</v>
      </c>
    </row>
    <row r="3532" spans="1:8" x14ac:dyDescent="0.3">
      <c r="A3532" s="401"/>
      <c r="B3532" s="709">
        <v>41190</v>
      </c>
      <c r="C3532" s="710" t="s">
        <v>11861</v>
      </c>
      <c r="D3532" s="709" t="s">
        <v>136</v>
      </c>
      <c r="E3532" s="709" t="s">
        <v>8432</v>
      </c>
      <c r="F3532" s="716">
        <v>7415.49</v>
      </c>
      <c r="G3532" s="716">
        <v>6054.54</v>
      </c>
      <c r="H3532" s="225">
        <f t="shared" si="55"/>
        <v>7415.49</v>
      </c>
    </row>
    <row r="3533" spans="1:8" x14ac:dyDescent="0.3">
      <c r="A3533" s="401"/>
      <c r="B3533" s="709">
        <v>41191</v>
      </c>
      <c r="C3533" s="710" t="s">
        <v>11862</v>
      </c>
      <c r="D3533" s="709" t="s">
        <v>136</v>
      </c>
      <c r="E3533" s="709" t="s">
        <v>8432</v>
      </c>
      <c r="F3533" s="716">
        <v>11371.37</v>
      </c>
      <c r="G3533" s="716">
        <v>9284.41</v>
      </c>
      <c r="H3533" s="225">
        <f t="shared" si="55"/>
        <v>11371.37</v>
      </c>
    </row>
    <row r="3534" spans="1:8" x14ac:dyDescent="0.3">
      <c r="A3534" s="401"/>
      <c r="B3534" s="709">
        <v>41192</v>
      </c>
      <c r="C3534" s="710" t="s">
        <v>11863</v>
      </c>
      <c r="D3534" s="709" t="s">
        <v>136</v>
      </c>
      <c r="E3534" s="709" t="s">
        <v>8432</v>
      </c>
      <c r="F3534" s="716">
        <v>11854.57</v>
      </c>
      <c r="G3534" s="716">
        <v>9678.93</v>
      </c>
      <c r="H3534" s="225">
        <f t="shared" si="55"/>
        <v>11854.57</v>
      </c>
    </row>
    <row r="3535" spans="1:8" x14ac:dyDescent="0.3">
      <c r="A3535" s="401"/>
      <c r="B3535" s="709">
        <v>41193</v>
      </c>
      <c r="C3535" s="710" t="s">
        <v>11864</v>
      </c>
      <c r="D3535" s="709" t="s">
        <v>136</v>
      </c>
      <c r="E3535" s="709" t="s">
        <v>8432</v>
      </c>
      <c r="F3535" s="716">
        <v>19369.97</v>
      </c>
      <c r="G3535" s="716">
        <v>15815.05</v>
      </c>
      <c r="H3535" s="225">
        <f t="shared" si="55"/>
        <v>19369.97</v>
      </c>
    </row>
    <row r="3536" spans="1:8" x14ac:dyDescent="0.3">
      <c r="A3536" s="401"/>
      <c r="B3536" s="709">
        <v>41194</v>
      </c>
      <c r="C3536" s="710" t="s">
        <v>11865</v>
      </c>
      <c r="D3536" s="709" t="s">
        <v>136</v>
      </c>
      <c r="E3536" s="709" t="s">
        <v>8432</v>
      </c>
      <c r="F3536" s="716">
        <v>23112.77</v>
      </c>
      <c r="G3536" s="716">
        <v>18870.939999999999</v>
      </c>
      <c r="H3536" s="225">
        <f t="shared" si="55"/>
        <v>23112.77</v>
      </c>
    </row>
    <row r="3537" spans="1:8" x14ac:dyDescent="0.3">
      <c r="A3537" s="401"/>
      <c r="B3537" s="709">
        <v>5044</v>
      </c>
      <c r="C3537" s="710" t="s">
        <v>11866</v>
      </c>
      <c r="D3537" s="709" t="s">
        <v>136</v>
      </c>
      <c r="E3537" s="709" t="s">
        <v>8432</v>
      </c>
      <c r="F3537" s="716">
        <v>1243.7</v>
      </c>
      <c r="G3537" s="716">
        <v>1015.45</v>
      </c>
      <c r="H3537" s="225">
        <f t="shared" si="55"/>
        <v>1243.7</v>
      </c>
    </row>
    <row r="3538" spans="1:8" x14ac:dyDescent="0.3">
      <c r="A3538" s="401"/>
      <c r="B3538" s="709">
        <v>5059</v>
      </c>
      <c r="C3538" s="710" t="s">
        <v>11867</v>
      </c>
      <c r="D3538" s="709" t="s">
        <v>136</v>
      </c>
      <c r="E3538" s="709" t="s">
        <v>8432</v>
      </c>
      <c r="F3538" s="716">
        <v>1487.32</v>
      </c>
      <c r="G3538" s="716">
        <v>1214.3499999999999</v>
      </c>
      <c r="H3538" s="225">
        <f t="shared" si="55"/>
        <v>1487.32</v>
      </c>
    </row>
    <row r="3539" spans="1:8" x14ac:dyDescent="0.3">
      <c r="A3539" s="401"/>
      <c r="B3539" s="709">
        <v>41201</v>
      </c>
      <c r="C3539" s="710" t="s">
        <v>11868</v>
      </c>
      <c r="D3539" s="709" t="s">
        <v>136</v>
      </c>
      <c r="E3539" s="709" t="s">
        <v>8432</v>
      </c>
      <c r="F3539" s="716">
        <v>3018.38</v>
      </c>
      <c r="G3539" s="716">
        <v>2464.4299999999998</v>
      </c>
      <c r="H3539" s="225">
        <f t="shared" si="55"/>
        <v>3018.38</v>
      </c>
    </row>
    <row r="3540" spans="1:8" x14ac:dyDescent="0.3">
      <c r="A3540" s="401"/>
      <c r="B3540" s="709">
        <v>41199</v>
      </c>
      <c r="C3540" s="710" t="s">
        <v>11869</v>
      </c>
      <c r="D3540" s="709" t="s">
        <v>136</v>
      </c>
      <c r="E3540" s="709" t="s">
        <v>8432</v>
      </c>
      <c r="F3540" s="716">
        <v>969.92</v>
      </c>
      <c r="G3540" s="716">
        <v>791.91</v>
      </c>
      <c r="H3540" s="225">
        <f t="shared" si="55"/>
        <v>969.92</v>
      </c>
    </row>
    <row r="3541" spans="1:8" x14ac:dyDescent="0.3">
      <c r="A3541" s="401"/>
      <c r="B3541" s="709">
        <v>5057</v>
      </c>
      <c r="C3541" s="710" t="s">
        <v>11870</v>
      </c>
      <c r="D3541" s="709" t="s">
        <v>136</v>
      </c>
      <c r="E3541" s="709" t="s">
        <v>8432</v>
      </c>
      <c r="F3541" s="716">
        <v>1313.09</v>
      </c>
      <c r="G3541" s="716">
        <v>1072.0999999999999</v>
      </c>
      <c r="H3541" s="225">
        <f t="shared" si="55"/>
        <v>1313.09</v>
      </c>
    </row>
    <row r="3542" spans="1:8" x14ac:dyDescent="0.3">
      <c r="A3542" s="401"/>
      <c r="B3542" s="709">
        <v>41200</v>
      </c>
      <c r="C3542" s="710" t="s">
        <v>11871</v>
      </c>
      <c r="D3542" s="709" t="s">
        <v>136</v>
      </c>
      <c r="E3542" s="709" t="s">
        <v>8432</v>
      </c>
      <c r="F3542" s="716">
        <v>1887.81</v>
      </c>
      <c r="G3542" s="716">
        <v>1541.34</v>
      </c>
      <c r="H3542" s="225">
        <f t="shared" si="55"/>
        <v>1887.81</v>
      </c>
    </row>
    <row r="3543" spans="1:8" x14ac:dyDescent="0.3">
      <c r="A3543" s="401"/>
      <c r="B3543" s="709">
        <v>41205</v>
      </c>
      <c r="C3543" s="710" t="s">
        <v>11872</v>
      </c>
      <c r="D3543" s="709" t="s">
        <v>136</v>
      </c>
      <c r="E3543" s="709" t="s">
        <v>8432</v>
      </c>
      <c r="F3543" s="716">
        <v>3498.07</v>
      </c>
      <c r="G3543" s="716">
        <v>2856.08</v>
      </c>
      <c r="H3543" s="225">
        <f t="shared" si="55"/>
        <v>3498.07</v>
      </c>
    </row>
    <row r="3544" spans="1:8" x14ac:dyDescent="0.3">
      <c r="A3544" s="401"/>
      <c r="B3544" s="709">
        <v>41202</v>
      </c>
      <c r="C3544" s="710" t="s">
        <v>11873</v>
      </c>
      <c r="D3544" s="709" t="s">
        <v>136</v>
      </c>
      <c r="E3544" s="709" t="s">
        <v>8432</v>
      </c>
      <c r="F3544" s="716">
        <v>1020.76</v>
      </c>
      <c r="G3544" s="716">
        <v>833.42</v>
      </c>
      <c r="H3544" s="225">
        <f t="shared" si="55"/>
        <v>1020.76</v>
      </c>
    </row>
    <row r="3545" spans="1:8" x14ac:dyDescent="0.3">
      <c r="A3545" s="401"/>
      <c r="B3545" s="709">
        <v>41206</v>
      </c>
      <c r="C3545" s="710" t="s">
        <v>11874</v>
      </c>
      <c r="D3545" s="709" t="s">
        <v>136</v>
      </c>
      <c r="E3545" s="709" t="s">
        <v>8432</v>
      </c>
      <c r="F3545" s="716">
        <v>4612.05</v>
      </c>
      <c r="G3545" s="716">
        <v>3765.61</v>
      </c>
      <c r="H3545" s="225">
        <f t="shared" si="55"/>
        <v>4612.05</v>
      </c>
    </row>
    <row r="3546" spans="1:8" x14ac:dyDescent="0.3">
      <c r="A3546" s="401"/>
      <c r="B3546" s="709">
        <v>12372</v>
      </c>
      <c r="C3546" s="710" t="s">
        <v>11875</v>
      </c>
      <c r="D3546" s="709" t="s">
        <v>136</v>
      </c>
      <c r="E3546" s="709" t="s">
        <v>8432</v>
      </c>
      <c r="F3546" s="716">
        <v>1071.8</v>
      </c>
      <c r="G3546" s="716">
        <v>875.1</v>
      </c>
      <c r="H3546" s="225">
        <f t="shared" si="55"/>
        <v>1071.8</v>
      </c>
    </row>
    <row r="3547" spans="1:8" x14ac:dyDescent="0.3">
      <c r="A3547" s="401"/>
      <c r="B3547" s="709">
        <v>41207</v>
      </c>
      <c r="C3547" s="710" t="s">
        <v>11876</v>
      </c>
      <c r="D3547" s="709" t="s">
        <v>136</v>
      </c>
      <c r="E3547" s="709" t="s">
        <v>8432</v>
      </c>
      <c r="F3547" s="716">
        <v>6208.74</v>
      </c>
      <c r="G3547" s="716">
        <v>5069.26</v>
      </c>
      <c r="H3547" s="225">
        <f t="shared" si="55"/>
        <v>6208.74</v>
      </c>
    </row>
    <row r="3548" spans="1:8" x14ac:dyDescent="0.3">
      <c r="A3548" s="401"/>
      <c r="B3548" s="709">
        <v>41203</v>
      </c>
      <c r="C3548" s="710" t="s">
        <v>11877</v>
      </c>
      <c r="D3548" s="709" t="s">
        <v>136</v>
      </c>
      <c r="E3548" s="709" t="s">
        <v>8432</v>
      </c>
      <c r="F3548" s="716">
        <v>1635.14</v>
      </c>
      <c r="G3548" s="716">
        <v>1335.05</v>
      </c>
      <c r="H3548" s="225">
        <f t="shared" si="55"/>
        <v>1635.14</v>
      </c>
    </row>
    <row r="3549" spans="1:8" x14ac:dyDescent="0.3">
      <c r="A3549" s="401"/>
      <c r="B3549" s="709">
        <v>41204</v>
      </c>
      <c r="C3549" s="710" t="s">
        <v>11878</v>
      </c>
      <c r="D3549" s="709" t="s">
        <v>136</v>
      </c>
      <c r="E3549" s="709" t="s">
        <v>8432</v>
      </c>
      <c r="F3549" s="716">
        <v>2311.6799999999998</v>
      </c>
      <c r="G3549" s="716">
        <v>1887.42</v>
      </c>
      <c r="H3549" s="225">
        <f t="shared" si="55"/>
        <v>2311.6799999999998</v>
      </c>
    </row>
    <row r="3550" spans="1:8" x14ac:dyDescent="0.3">
      <c r="A3550" s="401"/>
      <c r="B3550" s="709">
        <v>41210</v>
      </c>
      <c r="C3550" s="710" t="s">
        <v>11879</v>
      </c>
      <c r="D3550" s="709" t="s">
        <v>136</v>
      </c>
      <c r="E3550" s="709" t="s">
        <v>8432</v>
      </c>
      <c r="F3550" s="716">
        <v>3861.6</v>
      </c>
      <c r="G3550" s="716">
        <v>3152.89</v>
      </c>
      <c r="H3550" s="225">
        <f t="shared" si="55"/>
        <v>3861.6</v>
      </c>
    </row>
    <row r="3551" spans="1:8" x14ac:dyDescent="0.3">
      <c r="A3551" s="401"/>
      <c r="B3551" s="709">
        <v>41208</v>
      </c>
      <c r="C3551" s="710" t="s">
        <v>11880</v>
      </c>
      <c r="D3551" s="709" t="s">
        <v>136</v>
      </c>
      <c r="E3551" s="709" t="s">
        <v>8432</v>
      </c>
      <c r="F3551" s="716">
        <v>1351.78</v>
      </c>
      <c r="G3551" s="716">
        <v>1103.69</v>
      </c>
      <c r="H3551" s="225">
        <f t="shared" si="55"/>
        <v>1351.78</v>
      </c>
    </row>
    <row r="3552" spans="1:8" x14ac:dyDescent="0.3">
      <c r="A3552" s="401"/>
      <c r="B3552" s="709">
        <v>41211</v>
      </c>
      <c r="C3552" s="710" t="s">
        <v>11881</v>
      </c>
      <c r="D3552" s="709" t="s">
        <v>136</v>
      </c>
      <c r="E3552" s="709" t="s">
        <v>8432</v>
      </c>
      <c r="F3552" s="716">
        <v>5440.94</v>
      </c>
      <c r="G3552" s="716">
        <v>4442.38</v>
      </c>
      <c r="H3552" s="225">
        <f t="shared" si="55"/>
        <v>5440.94</v>
      </c>
    </row>
    <row r="3553" spans="1:8" x14ac:dyDescent="0.3">
      <c r="A3553" s="401"/>
      <c r="B3553" s="709">
        <v>13339</v>
      </c>
      <c r="C3553" s="710" t="s">
        <v>11882</v>
      </c>
      <c r="D3553" s="709" t="s">
        <v>136</v>
      </c>
      <c r="E3553" s="709" t="s">
        <v>8432</v>
      </c>
      <c r="F3553" s="716">
        <v>1832</v>
      </c>
      <c r="G3553" s="716">
        <v>1495.77</v>
      </c>
      <c r="H3553" s="225">
        <f t="shared" si="55"/>
        <v>1832</v>
      </c>
    </row>
    <row r="3554" spans="1:8" x14ac:dyDescent="0.3">
      <c r="A3554" s="401"/>
      <c r="B3554" s="709">
        <v>41213</v>
      </c>
      <c r="C3554" s="710" t="s">
        <v>11883</v>
      </c>
      <c r="D3554" s="709" t="s">
        <v>136</v>
      </c>
      <c r="E3554" s="709" t="s">
        <v>8432</v>
      </c>
      <c r="F3554" s="716">
        <v>11277.74</v>
      </c>
      <c r="G3554" s="716">
        <v>9207.9599999999991</v>
      </c>
      <c r="H3554" s="225">
        <f t="shared" si="55"/>
        <v>11277.74</v>
      </c>
    </row>
    <row r="3555" spans="1:8" x14ac:dyDescent="0.3">
      <c r="A3555" s="401"/>
      <c r="B3555" s="709">
        <v>41209</v>
      </c>
      <c r="C3555" s="710" t="s">
        <v>11884</v>
      </c>
      <c r="D3555" s="709" t="s">
        <v>136</v>
      </c>
      <c r="E3555" s="709" t="s">
        <v>8432</v>
      </c>
      <c r="F3555" s="716">
        <v>2520.6</v>
      </c>
      <c r="G3555" s="716">
        <v>2058</v>
      </c>
      <c r="H3555" s="225">
        <f t="shared" si="55"/>
        <v>2520.6</v>
      </c>
    </row>
    <row r="3556" spans="1:8" x14ac:dyDescent="0.3">
      <c r="A3556" s="401"/>
      <c r="B3556" s="709">
        <v>41216</v>
      </c>
      <c r="C3556" s="710" t="s">
        <v>11885</v>
      </c>
      <c r="D3556" s="709" t="s">
        <v>136</v>
      </c>
      <c r="E3556" s="709" t="s">
        <v>8432</v>
      </c>
      <c r="F3556" s="716">
        <v>4721.41</v>
      </c>
      <c r="G3556" s="716">
        <v>3854.9</v>
      </c>
      <c r="H3556" s="225">
        <f t="shared" si="55"/>
        <v>4721.41</v>
      </c>
    </row>
    <row r="3557" spans="1:8" x14ac:dyDescent="0.3">
      <c r="A3557" s="401"/>
      <c r="B3557" s="709">
        <v>41217</v>
      </c>
      <c r="C3557" s="710" t="s">
        <v>11886</v>
      </c>
      <c r="D3557" s="709" t="s">
        <v>136</v>
      </c>
      <c r="E3557" s="709" t="s">
        <v>8432</v>
      </c>
      <c r="F3557" s="716">
        <v>7570.1</v>
      </c>
      <c r="G3557" s="716">
        <v>6180.78</v>
      </c>
      <c r="H3557" s="225">
        <f t="shared" si="55"/>
        <v>7570.1</v>
      </c>
    </row>
    <row r="3558" spans="1:8" x14ac:dyDescent="0.3">
      <c r="A3558" s="401"/>
      <c r="B3558" s="709">
        <v>41218</v>
      </c>
      <c r="C3558" s="710" t="s">
        <v>11887</v>
      </c>
      <c r="D3558" s="709" t="s">
        <v>136</v>
      </c>
      <c r="E3558" s="709" t="s">
        <v>8432</v>
      </c>
      <c r="F3558" s="716">
        <v>10151.74</v>
      </c>
      <c r="G3558" s="716">
        <v>8288.6200000000008</v>
      </c>
      <c r="H3558" s="225">
        <f t="shared" si="55"/>
        <v>10151.74</v>
      </c>
    </row>
    <row r="3559" spans="1:8" x14ac:dyDescent="0.3">
      <c r="A3559" s="401"/>
      <c r="B3559" s="709">
        <v>41214</v>
      </c>
      <c r="C3559" s="710" t="s">
        <v>11888</v>
      </c>
      <c r="D3559" s="709" t="s">
        <v>136</v>
      </c>
      <c r="E3559" s="709" t="s">
        <v>8432</v>
      </c>
      <c r="F3559" s="716">
        <v>2140.4699999999998</v>
      </c>
      <c r="G3559" s="716">
        <v>1747.64</v>
      </c>
      <c r="H3559" s="225">
        <f t="shared" si="55"/>
        <v>2140.4699999999998</v>
      </c>
    </row>
    <row r="3560" spans="1:8" x14ac:dyDescent="0.3">
      <c r="A3560" s="401"/>
      <c r="B3560" s="709">
        <v>41215</v>
      </c>
      <c r="C3560" s="710" t="s">
        <v>11889</v>
      </c>
      <c r="D3560" s="709" t="s">
        <v>136</v>
      </c>
      <c r="E3560" s="709" t="s">
        <v>8432</v>
      </c>
      <c r="F3560" s="716">
        <v>3222.78</v>
      </c>
      <c r="G3560" s="716">
        <v>2631.31</v>
      </c>
      <c r="H3560" s="225">
        <f t="shared" si="55"/>
        <v>3222.78</v>
      </c>
    </row>
    <row r="3561" spans="1:8" x14ac:dyDescent="0.3">
      <c r="A3561" s="401"/>
      <c r="B3561" s="709">
        <v>41221</v>
      </c>
      <c r="C3561" s="710" t="s">
        <v>11890</v>
      </c>
      <c r="D3561" s="709" t="s">
        <v>136</v>
      </c>
      <c r="E3561" s="709" t="s">
        <v>8432</v>
      </c>
      <c r="F3561" s="716">
        <v>9331.6</v>
      </c>
      <c r="G3561" s="716">
        <v>7618.99</v>
      </c>
      <c r="H3561" s="225">
        <f t="shared" si="55"/>
        <v>9331.6</v>
      </c>
    </row>
    <row r="3562" spans="1:8" x14ac:dyDescent="0.3">
      <c r="A3562" s="401"/>
      <c r="B3562" s="709">
        <v>41222</v>
      </c>
      <c r="C3562" s="710" t="s">
        <v>11891</v>
      </c>
      <c r="D3562" s="709" t="s">
        <v>136</v>
      </c>
      <c r="E3562" s="709" t="s">
        <v>8432</v>
      </c>
      <c r="F3562" s="716">
        <v>13353.63</v>
      </c>
      <c r="G3562" s="716">
        <v>10902.87</v>
      </c>
      <c r="H3562" s="225">
        <f t="shared" si="55"/>
        <v>13353.63</v>
      </c>
    </row>
    <row r="3563" spans="1:8" x14ac:dyDescent="0.3">
      <c r="A3563" s="401"/>
      <c r="B3563" s="709">
        <v>41195</v>
      </c>
      <c r="C3563" s="710" t="s">
        <v>11892</v>
      </c>
      <c r="D3563" s="709" t="s">
        <v>136</v>
      </c>
      <c r="E3563" s="709" t="s">
        <v>8432</v>
      </c>
      <c r="F3563" s="716">
        <v>686.34</v>
      </c>
      <c r="G3563" s="716">
        <v>560.37</v>
      </c>
      <c r="H3563" s="225">
        <f t="shared" si="55"/>
        <v>686.34</v>
      </c>
    </row>
    <row r="3564" spans="1:8" x14ac:dyDescent="0.3">
      <c r="A3564" s="401"/>
      <c r="B3564" s="709">
        <v>41198</v>
      </c>
      <c r="C3564" s="710" t="s">
        <v>11893</v>
      </c>
      <c r="D3564" s="709" t="s">
        <v>136</v>
      </c>
      <c r="E3564" s="709" t="s">
        <v>8432</v>
      </c>
      <c r="F3564" s="716">
        <v>2682.05</v>
      </c>
      <c r="G3564" s="716">
        <v>2189.8200000000002</v>
      </c>
      <c r="H3564" s="225">
        <f t="shared" si="55"/>
        <v>2682.05</v>
      </c>
    </row>
    <row r="3565" spans="1:8" x14ac:dyDescent="0.3">
      <c r="A3565" s="401"/>
      <c r="B3565" s="709">
        <v>41196</v>
      </c>
      <c r="C3565" s="710" t="s">
        <v>11894</v>
      </c>
      <c r="D3565" s="709" t="s">
        <v>136</v>
      </c>
      <c r="E3565" s="709" t="s">
        <v>8432</v>
      </c>
      <c r="F3565" s="716">
        <v>850.76</v>
      </c>
      <c r="G3565" s="716">
        <v>694.62</v>
      </c>
      <c r="H3565" s="225">
        <f t="shared" si="55"/>
        <v>850.76</v>
      </c>
    </row>
    <row r="3566" spans="1:8" x14ac:dyDescent="0.3">
      <c r="A3566" s="401"/>
      <c r="B3566" s="709">
        <v>5033</v>
      </c>
      <c r="C3566" s="710" t="s">
        <v>11895</v>
      </c>
      <c r="D3566" s="709" t="s">
        <v>136</v>
      </c>
      <c r="E3566" s="709" t="s">
        <v>8438</v>
      </c>
      <c r="F3566" s="716">
        <v>1117</v>
      </c>
      <c r="G3566" s="716">
        <v>912</v>
      </c>
      <c r="H3566" s="225">
        <f t="shared" si="55"/>
        <v>1117</v>
      </c>
    </row>
    <row r="3567" spans="1:8" x14ac:dyDescent="0.3">
      <c r="A3567" s="401"/>
      <c r="B3567" s="709">
        <v>41197</v>
      </c>
      <c r="C3567" s="710" t="s">
        <v>11896</v>
      </c>
      <c r="D3567" s="709" t="s">
        <v>136</v>
      </c>
      <c r="E3567" s="709" t="s">
        <v>8432</v>
      </c>
      <c r="F3567" s="716">
        <v>1659.16</v>
      </c>
      <c r="G3567" s="716">
        <v>1354.66</v>
      </c>
      <c r="H3567" s="225">
        <f t="shared" si="55"/>
        <v>1659.16</v>
      </c>
    </row>
    <row r="3568" spans="1:8" x14ac:dyDescent="0.3">
      <c r="A3568" s="401"/>
      <c r="B3568" s="709">
        <v>12388</v>
      </c>
      <c r="C3568" s="710" t="s">
        <v>11897</v>
      </c>
      <c r="D3568" s="709" t="s">
        <v>136</v>
      </c>
      <c r="E3568" s="709" t="s">
        <v>8432</v>
      </c>
      <c r="F3568" s="716">
        <v>304.74</v>
      </c>
      <c r="G3568" s="716">
        <v>258.04000000000002</v>
      </c>
      <c r="H3568" s="225">
        <f t="shared" si="55"/>
        <v>304.74</v>
      </c>
    </row>
    <row r="3569" spans="1:8" x14ac:dyDescent="0.3">
      <c r="A3569" s="401"/>
      <c r="B3569" s="709">
        <v>2731</v>
      </c>
      <c r="C3569" s="710" t="s">
        <v>11898</v>
      </c>
      <c r="D3569" s="709" t="s">
        <v>159</v>
      </c>
      <c r="E3569" s="709" t="s">
        <v>8432</v>
      </c>
      <c r="F3569" s="716">
        <v>171.18</v>
      </c>
      <c r="G3569" s="716">
        <v>120.63</v>
      </c>
      <c r="H3569" s="225">
        <f t="shared" si="55"/>
        <v>171.18</v>
      </c>
    </row>
    <row r="3570" spans="1:8" x14ac:dyDescent="0.3">
      <c r="A3570" s="401"/>
      <c r="B3570" s="709">
        <v>41457</v>
      </c>
      <c r="C3570" s="710" t="s">
        <v>11899</v>
      </c>
      <c r="D3570" s="709" t="s">
        <v>136</v>
      </c>
      <c r="E3570" s="709" t="s">
        <v>8432</v>
      </c>
      <c r="F3570" s="716">
        <v>1710.06</v>
      </c>
      <c r="G3570" s="716">
        <v>1524.83</v>
      </c>
      <c r="H3570" s="225">
        <f t="shared" si="55"/>
        <v>1710.06</v>
      </c>
    </row>
    <row r="3571" spans="1:8" x14ac:dyDescent="0.3">
      <c r="A3571" s="401"/>
      <c r="B3571" s="709">
        <v>41458</v>
      </c>
      <c r="C3571" s="710" t="s">
        <v>11900</v>
      </c>
      <c r="D3571" s="709" t="s">
        <v>136</v>
      </c>
      <c r="E3571" s="709" t="s">
        <v>8432</v>
      </c>
      <c r="F3571" s="716">
        <v>2387.34</v>
      </c>
      <c r="G3571" s="716">
        <v>2128.73</v>
      </c>
      <c r="H3571" s="225">
        <f t="shared" si="55"/>
        <v>2387.34</v>
      </c>
    </row>
    <row r="3572" spans="1:8" x14ac:dyDescent="0.3">
      <c r="A3572" s="401"/>
      <c r="B3572" s="709">
        <v>41459</v>
      </c>
      <c r="C3572" s="710" t="s">
        <v>11901</v>
      </c>
      <c r="D3572" s="709" t="s">
        <v>136</v>
      </c>
      <c r="E3572" s="709" t="s">
        <v>8432</v>
      </c>
      <c r="F3572" s="716">
        <v>3330.15</v>
      </c>
      <c r="G3572" s="716">
        <v>2969.42</v>
      </c>
      <c r="H3572" s="225">
        <f t="shared" si="55"/>
        <v>3330.15</v>
      </c>
    </row>
    <row r="3573" spans="1:8" x14ac:dyDescent="0.3">
      <c r="A3573" s="401"/>
      <c r="B3573" s="709">
        <v>41461</v>
      </c>
      <c r="C3573" s="710" t="s">
        <v>11902</v>
      </c>
      <c r="D3573" s="709" t="s">
        <v>136</v>
      </c>
      <c r="E3573" s="709" t="s">
        <v>8432</v>
      </c>
      <c r="F3573" s="716">
        <v>4540.49</v>
      </c>
      <c r="G3573" s="716">
        <v>4048.65</v>
      </c>
      <c r="H3573" s="225">
        <f t="shared" si="55"/>
        <v>4540.49</v>
      </c>
    </row>
    <row r="3574" spans="1:8" x14ac:dyDescent="0.3">
      <c r="A3574" s="401"/>
      <c r="B3574" s="709">
        <v>44537</v>
      </c>
      <c r="C3574" s="710" t="s">
        <v>11903</v>
      </c>
      <c r="D3574" s="709" t="s">
        <v>180</v>
      </c>
      <c r="E3574" s="709" t="s">
        <v>8432</v>
      </c>
      <c r="F3574" s="716">
        <v>368.18</v>
      </c>
      <c r="G3574" s="716">
        <v>337.5</v>
      </c>
      <c r="H3574" s="225">
        <f t="shared" si="55"/>
        <v>368.18</v>
      </c>
    </row>
    <row r="3575" spans="1:8" x14ac:dyDescent="0.3">
      <c r="A3575" s="401"/>
      <c r="B3575" s="709">
        <v>11844</v>
      </c>
      <c r="C3575" s="710" t="s">
        <v>11904</v>
      </c>
      <c r="D3575" s="709" t="s">
        <v>159</v>
      </c>
      <c r="E3575" s="709" t="s">
        <v>8432</v>
      </c>
      <c r="F3575" s="716">
        <v>54.44</v>
      </c>
      <c r="G3575" s="716">
        <v>66.56</v>
      </c>
      <c r="H3575" s="225">
        <f t="shared" si="55"/>
        <v>54.44</v>
      </c>
    </row>
    <row r="3576" spans="1:8" x14ac:dyDescent="0.3">
      <c r="A3576" s="401"/>
      <c r="B3576" s="709">
        <v>4465</v>
      </c>
      <c r="C3576" s="710" t="s">
        <v>11905</v>
      </c>
      <c r="D3576" s="709" t="s">
        <v>159</v>
      </c>
      <c r="E3576" s="709" t="s">
        <v>8432</v>
      </c>
      <c r="F3576" s="716">
        <v>45.24</v>
      </c>
      <c r="G3576" s="716">
        <v>55.31</v>
      </c>
      <c r="H3576" s="225">
        <f t="shared" si="55"/>
        <v>45.24</v>
      </c>
    </row>
    <row r="3577" spans="1:8" x14ac:dyDescent="0.3">
      <c r="A3577" s="401"/>
      <c r="B3577" s="709">
        <v>35273</v>
      </c>
      <c r="C3577" s="710" t="s">
        <v>11906</v>
      </c>
      <c r="D3577" s="709" t="s">
        <v>159</v>
      </c>
      <c r="E3577" s="709" t="s">
        <v>8432</v>
      </c>
      <c r="F3577" s="716">
        <v>54.26</v>
      </c>
      <c r="G3577" s="716">
        <v>66.34</v>
      </c>
      <c r="H3577" s="225">
        <f t="shared" si="55"/>
        <v>54.26</v>
      </c>
    </row>
    <row r="3578" spans="1:8" x14ac:dyDescent="0.3">
      <c r="A3578" s="401"/>
      <c r="B3578" s="709">
        <v>4470</v>
      </c>
      <c r="C3578" s="710" t="s">
        <v>11907</v>
      </c>
      <c r="D3578" s="709" t="s">
        <v>159</v>
      </c>
      <c r="E3578" s="709" t="s">
        <v>8432</v>
      </c>
      <c r="F3578" s="716">
        <v>125.22</v>
      </c>
      <c r="G3578" s="716">
        <v>153.09</v>
      </c>
      <c r="H3578" s="225">
        <f t="shared" si="55"/>
        <v>125.22</v>
      </c>
    </row>
    <row r="3579" spans="1:8" x14ac:dyDescent="0.3">
      <c r="A3579" s="401"/>
      <c r="B3579" s="709">
        <v>20204</v>
      </c>
      <c r="C3579" s="710" t="s">
        <v>11908</v>
      </c>
      <c r="D3579" s="709" t="s">
        <v>159</v>
      </c>
      <c r="E3579" s="709" t="s">
        <v>8432</v>
      </c>
      <c r="F3579" s="716">
        <v>83.48</v>
      </c>
      <c r="G3579" s="716">
        <v>102.06</v>
      </c>
      <c r="H3579" s="225">
        <f t="shared" si="55"/>
        <v>83.48</v>
      </c>
    </row>
    <row r="3580" spans="1:8" x14ac:dyDescent="0.3">
      <c r="A3580" s="401"/>
      <c r="B3580" s="709">
        <v>20208</v>
      </c>
      <c r="C3580" s="710" t="s">
        <v>11909</v>
      </c>
      <c r="D3580" s="709" t="s">
        <v>159</v>
      </c>
      <c r="E3580" s="709" t="s">
        <v>8432</v>
      </c>
      <c r="F3580" s="716">
        <v>112.7</v>
      </c>
      <c r="G3580" s="716">
        <v>137.78</v>
      </c>
      <c r="H3580" s="225">
        <f t="shared" si="55"/>
        <v>112.7</v>
      </c>
    </row>
    <row r="3581" spans="1:8" x14ac:dyDescent="0.3">
      <c r="A3581" s="401"/>
      <c r="B3581" s="709">
        <v>4437</v>
      </c>
      <c r="C3581" s="710" t="s">
        <v>11910</v>
      </c>
      <c r="D3581" s="709" t="s">
        <v>159</v>
      </c>
      <c r="E3581" s="709" t="s">
        <v>8432</v>
      </c>
      <c r="F3581" s="716">
        <v>93.91</v>
      </c>
      <c r="G3581" s="716">
        <v>114.82</v>
      </c>
      <c r="H3581" s="225">
        <f t="shared" si="55"/>
        <v>93.91</v>
      </c>
    </row>
    <row r="3582" spans="1:8" x14ac:dyDescent="0.3">
      <c r="A3582" s="401"/>
      <c r="B3582" s="709">
        <v>14580</v>
      </c>
      <c r="C3582" s="710" t="s">
        <v>11911</v>
      </c>
      <c r="D3582" s="709" t="s">
        <v>159</v>
      </c>
      <c r="E3582" s="709" t="s">
        <v>8432</v>
      </c>
      <c r="F3582" s="716">
        <v>93.91</v>
      </c>
      <c r="G3582" s="716">
        <v>114.82</v>
      </c>
      <c r="H3582" s="225">
        <f t="shared" si="55"/>
        <v>93.91</v>
      </c>
    </row>
    <row r="3583" spans="1:8" x14ac:dyDescent="0.3">
      <c r="A3583" s="401"/>
      <c r="B3583" s="709">
        <v>5065</v>
      </c>
      <c r="C3583" s="710" t="s">
        <v>11912</v>
      </c>
      <c r="D3583" s="709" t="s">
        <v>175</v>
      </c>
      <c r="E3583" s="709" t="s">
        <v>8432</v>
      </c>
      <c r="F3583" s="716">
        <v>27.96</v>
      </c>
      <c r="G3583" s="716">
        <v>22.6</v>
      </c>
      <c r="H3583" s="225">
        <f t="shared" si="55"/>
        <v>27.96</v>
      </c>
    </row>
    <row r="3584" spans="1:8" x14ac:dyDescent="0.3">
      <c r="A3584" s="401"/>
      <c r="B3584" s="709">
        <v>5072</v>
      </c>
      <c r="C3584" s="710" t="s">
        <v>11913</v>
      </c>
      <c r="D3584" s="709" t="s">
        <v>175</v>
      </c>
      <c r="E3584" s="709" t="s">
        <v>8432</v>
      </c>
      <c r="F3584" s="716">
        <v>25.86</v>
      </c>
      <c r="G3584" s="716">
        <v>20.9</v>
      </c>
      <c r="H3584" s="225">
        <f t="shared" si="55"/>
        <v>25.86</v>
      </c>
    </row>
    <row r="3585" spans="1:8" x14ac:dyDescent="0.3">
      <c r="A3585" s="401"/>
      <c r="B3585" s="709">
        <v>5066</v>
      </c>
      <c r="C3585" s="710" t="s">
        <v>11914</v>
      </c>
      <c r="D3585" s="709" t="s">
        <v>175</v>
      </c>
      <c r="E3585" s="709" t="s">
        <v>8432</v>
      </c>
      <c r="F3585" s="716">
        <v>19.37</v>
      </c>
      <c r="G3585" s="716">
        <v>15.65</v>
      </c>
      <c r="H3585" s="225">
        <f t="shared" si="55"/>
        <v>19.37</v>
      </c>
    </row>
    <row r="3586" spans="1:8" x14ac:dyDescent="0.3">
      <c r="A3586" s="401"/>
      <c r="B3586" s="709">
        <v>5063</v>
      </c>
      <c r="C3586" s="710" t="s">
        <v>11915</v>
      </c>
      <c r="D3586" s="709" t="s">
        <v>175</v>
      </c>
      <c r="E3586" s="709" t="s">
        <v>8432</v>
      </c>
      <c r="F3586" s="716">
        <v>17.54</v>
      </c>
      <c r="G3586" s="716">
        <v>14.17</v>
      </c>
      <c r="H3586" s="225">
        <f t="shared" si="55"/>
        <v>17.54</v>
      </c>
    </row>
    <row r="3587" spans="1:8" x14ac:dyDescent="0.3">
      <c r="A3587" s="401"/>
      <c r="B3587" s="709">
        <v>20247</v>
      </c>
      <c r="C3587" s="710" t="s">
        <v>11916</v>
      </c>
      <c r="D3587" s="709" t="s">
        <v>175</v>
      </c>
      <c r="E3587" s="709" t="s">
        <v>8432</v>
      </c>
      <c r="F3587" s="716">
        <v>16.27</v>
      </c>
      <c r="G3587" s="716">
        <v>13.15</v>
      </c>
      <c r="H3587" s="225">
        <f t="shared" si="55"/>
        <v>16.27</v>
      </c>
    </row>
    <row r="3588" spans="1:8" x14ac:dyDescent="0.3">
      <c r="A3588" s="401"/>
      <c r="B3588" s="709">
        <v>5074</v>
      </c>
      <c r="C3588" s="710" t="s">
        <v>11917</v>
      </c>
      <c r="D3588" s="709" t="s">
        <v>175</v>
      </c>
      <c r="E3588" s="709" t="s">
        <v>8432</v>
      </c>
      <c r="F3588" s="716">
        <v>16.47</v>
      </c>
      <c r="G3588" s="716">
        <v>13.31</v>
      </c>
      <c r="H3588" s="225">
        <f t="shared" si="55"/>
        <v>16.47</v>
      </c>
    </row>
    <row r="3589" spans="1:8" x14ac:dyDescent="0.3">
      <c r="A3589" s="401"/>
      <c r="B3589" s="709">
        <v>5067</v>
      </c>
      <c r="C3589" s="710" t="s">
        <v>11918</v>
      </c>
      <c r="D3589" s="709" t="s">
        <v>175</v>
      </c>
      <c r="E3589" s="709" t="s">
        <v>8432</v>
      </c>
      <c r="F3589" s="716">
        <v>15.66</v>
      </c>
      <c r="G3589" s="716">
        <v>12.66</v>
      </c>
      <c r="H3589" s="225">
        <f t="shared" si="55"/>
        <v>15.66</v>
      </c>
    </row>
    <row r="3590" spans="1:8" x14ac:dyDescent="0.3">
      <c r="A3590" s="401"/>
      <c r="B3590" s="709">
        <v>5078</v>
      </c>
      <c r="C3590" s="710" t="s">
        <v>11919</v>
      </c>
      <c r="D3590" s="709" t="s">
        <v>175</v>
      </c>
      <c r="E3590" s="709" t="s">
        <v>8432</v>
      </c>
      <c r="F3590" s="716">
        <v>15.49</v>
      </c>
      <c r="G3590" s="716">
        <v>12.52</v>
      </c>
      <c r="H3590" s="225">
        <f t="shared" si="55"/>
        <v>15.49</v>
      </c>
    </row>
    <row r="3591" spans="1:8" x14ac:dyDescent="0.3">
      <c r="A3591" s="401"/>
      <c r="B3591" s="709">
        <v>5068</v>
      </c>
      <c r="C3591" s="710" t="s">
        <v>11920</v>
      </c>
      <c r="D3591" s="709" t="s">
        <v>175</v>
      </c>
      <c r="E3591" s="709" t="s">
        <v>8432</v>
      </c>
      <c r="F3591" s="716">
        <v>14.7</v>
      </c>
      <c r="G3591" s="716">
        <v>11.88</v>
      </c>
      <c r="H3591" s="225">
        <f t="shared" si="55"/>
        <v>14.7</v>
      </c>
    </row>
    <row r="3592" spans="1:8" x14ac:dyDescent="0.3">
      <c r="A3592" s="401"/>
      <c r="B3592" s="709">
        <v>5073</v>
      </c>
      <c r="C3592" s="710" t="s">
        <v>11921</v>
      </c>
      <c r="D3592" s="709" t="s">
        <v>175</v>
      </c>
      <c r="E3592" s="709" t="s">
        <v>8432</v>
      </c>
      <c r="F3592" s="716">
        <v>14.98</v>
      </c>
      <c r="G3592" s="716">
        <v>12.11</v>
      </c>
      <c r="H3592" s="225">
        <f t="shared" si="55"/>
        <v>14.98</v>
      </c>
    </row>
    <row r="3593" spans="1:8" x14ac:dyDescent="0.3">
      <c r="A3593" s="401"/>
      <c r="B3593" s="709">
        <v>5069</v>
      </c>
      <c r="C3593" s="710" t="s">
        <v>11922</v>
      </c>
      <c r="D3593" s="709" t="s">
        <v>175</v>
      </c>
      <c r="E3593" s="709" t="s">
        <v>8432</v>
      </c>
      <c r="F3593" s="716">
        <v>14.98</v>
      </c>
      <c r="G3593" s="716">
        <v>12.11</v>
      </c>
      <c r="H3593" s="225">
        <f t="shared" si="55"/>
        <v>14.98</v>
      </c>
    </row>
    <row r="3594" spans="1:8" x14ac:dyDescent="0.3">
      <c r="A3594" s="401"/>
      <c r="B3594" s="709">
        <v>5070</v>
      </c>
      <c r="C3594" s="710" t="s">
        <v>11923</v>
      </c>
      <c r="D3594" s="709" t="s">
        <v>175</v>
      </c>
      <c r="E3594" s="709" t="s">
        <v>8432</v>
      </c>
      <c r="F3594" s="716">
        <v>15.14</v>
      </c>
      <c r="G3594" s="716">
        <v>12.24</v>
      </c>
      <c r="H3594" s="225">
        <f t="shared" si="55"/>
        <v>15.14</v>
      </c>
    </row>
    <row r="3595" spans="1:8" x14ac:dyDescent="0.3">
      <c r="A3595" s="401"/>
      <c r="B3595" s="709">
        <v>5071</v>
      </c>
      <c r="C3595" s="710" t="s">
        <v>11924</v>
      </c>
      <c r="D3595" s="709" t="s">
        <v>175</v>
      </c>
      <c r="E3595" s="709" t="s">
        <v>8432</v>
      </c>
      <c r="F3595" s="716">
        <v>14.7</v>
      </c>
      <c r="G3595" s="716">
        <v>11.88</v>
      </c>
      <c r="H3595" s="225">
        <f t="shared" ref="H3595:H3658" si="56">IF(F3595&gt;0,F3595,G3595)</f>
        <v>14.7</v>
      </c>
    </row>
    <row r="3596" spans="1:8" x14ac:dyDescent="0.3">
      <c r="A3596" s="401"/>
      <c r="B3596" s="709">
        <v>5061</v>
      </c>
      <c r="C3596" s="710" t="s">
        <v>11925</v>
      </c>
      <c r="D3596" s="709" t="s">
        <v>175</v>
      </c>
      <c r="E3596" s="709" t="s">
        <v>8438</v>
      </c>
      <c r="F3596" s="716">
        <v>14.45</v>
      </c>
      <c r="G3596" s="716">
        <v>11.68</v>
      </c>
      <c r="H3596" s="225">
        <f t="shared" si="56"/>
        <v>14.45</v>
      </c>
    </row>
    <row r="3597" spans="1:8" x14ac:dyDescent="0.3">
      <c r="A3597" s="401"/>
      <c r="B3597" s="709">
        <v>5075</v>
      </c>
      <c r="C3597" s="710" t="s">
        <v>11926</v>
      </c>
      <c r="D3597" s="709" t="s">
        <v>175</v>
      </c>
      <c r="E3597" s="709" t="s">
        <v>8432</v>
      </c>
      <c r="F3597" s="716">
        <v>14.7</v>
      </c>
      <c r="G3597" s="716">
        <v>11.88</v>
      </c>
      <c r="H3597" s="225">
        <f t="shared" si="56"/>
        <v>14.7</v>
      </c>
    </row>
    <row r="3598" spans="1:8" x14ac:dyDescent="0.3">
      <c r="A3598" s="401"/>
      <c r="B3598" s="709">
        <v>5062</v>
      </c>
      <c r="C3598" s="710" t="s">
        <v>11927</v>
      </c>
      <c r="D3598" s="709" t="s">
        <v>175</v>
      </c>
      <c r="E3598" s="709" t="s">
        <v>8432</v>
      </c>
      <c r="F3598" s="716">
        <v>14.89</v>
      </c>
      <c r="G3598" s="716">
        <v>12.04</v>
      </c>
      <c r="H3598" s="225">
        <f t="shared" si="56"/>
        <v>14.89</v>
      </c>
    </row>
    <row r="3599" spans="1:8" x14ac:dyDescent="0.3">
      <c r="A3599" s="401"/>
      <c r="B3599" s="709">
        <v>39027</v>
      </c>
      <c r="C3599" s="710" t="s">
        <v>11928</v>
      </c>
      <c r="D3599" s="709" t="s">
        <v>175</v>
      </c>
      <c r="E3599" s="709" t="s">
        <v>8432</v>
      </c>
      <c r="F3599" s="716">
        <v>14.68</v>
      </c>
      <c r="G3599" s="716">
        <v>11.87</v>
      </c>
      <c r="H3599" s="225">
        <f t="shared" si="56"/>
        <v>14.68</v>
      </c>
    </row>
    <row r="3600" spans="1:8" x14ac:dyDescent="0.3">
      <c r="A3600" s="401"/>
      <c r="B3600" s="709">
        <v>40568</v>
      </c>
      <c r="C3600" s="710" t="s">
        <v>11929</v>
      </c>
      <c r="D3600" s="709" t="s">
        <v>175</v>
      </c>
      <c r="E3600" s="709" t="s">
        <v>8432</v>
      </c>
      <c r="F3600" s="716">
        <v>14.81</v>
      </c>
      <c r="G3600" s="716">
        <v>11.97</v>
      </c>
      <c r="H3600" s="225">
        <f t="shared" si="56"/>
        <v>14.81</v>
      </c>
    </row>
    <row r="3601" spans="1:8" x14ac:dyDescent="0.3">
      <c r="A3601" s="401"/>
      <c r="B3601" s="709">
        <v>40304</v>
      </c>
      <c r="C3601" s="710" t="s">
        <v>11930</v>
      </c>
      <c r="D3601" s="709" t="s">
        <v>175</v>
      </c>
      <c r="E3601" s="709" t="s">
        <v>8432</v>
      </c>
      <c r="F3601" s="716">
        <v>18.14</v>
      </c>
      <c r="G3601" s="716">
        <v>14.66</v>
      </c>
      <c r="H3601" s="225">
        <f t="shared" si="56"/>
        <v>18.14</v>
      </c>
    </row>
    <row r="3602" spans="1:8" x14ac:dyDescent="0.3">
      <c r="A3602" s="401"/>
      <c r="B3602" s="709">
        <v>39026</v>
      </c>
      <c r="C3602" s="710" t="s">
        <v>11931</v>
      </c>
      <c r="D3602" s="709" t="s">
        <v>175</v>
      </c>
      <c r="E3602" s="709" t="s">
        <v>8432</v>
      </c>
      <c r="F3602" s="716">
        <v>16.53</v>
      </c>
      <c r="G3602" s="716">
        <v>13.36</v>
      </c>
      <c r="H3602" s="225">
        <f t="shared" si="56"/>
        <v>16.53</v>
      </c>
    </row>
    <row r="3603" spans="1:8" x14ac:dyDescent="0.3">
      <c r="A3603" s="401"/>
      <c r="B3603" s="709">
        <v>42431</v>
      </c>
      <c r="C3603" s="710" t="s">
        <v>11932</v>
      </c>
      <c r="D3603" s="709" t="s">
        <v>136</v>
      </c>
      <c r="E3603" s="709" t="s">
        <v>8432</v>
      </c>
      <c r="F3603" s="716"/>
      <c r="G3603" s="716">
        <v>3957.85</v>
      </c>
      <c r="H3603" s="225">
        <f t="shared" si="56"/>
        <v>3957.85</v>
      </c>
    </row>
    <row r="3604" spans="1:8" x14ac:dyDescent="0.3">
      <c r="A3604" s="401"/>
      <c r="B3604" s="709">
        <v>44074</v>
      </c>
      <c r="C3604" s="710" t="s">
        <v>11933</v>
      </c>
      <c r="D3604" s="709" t="s">
        <v>8120</v>
      </c>
      <c r="E3604" s="709" t="s">
        <v>8432</v>
      </c>
      <c r="F3604" s="716">
        <v>588.09</v>
      </c>
      <c r="G3604" s="716">
        <v>539.08000000000004</v>
      </c>
      <c r="H3604" s="225">
        <f t="shared" si="56"/>
        <v>588.09</v>
      </c>
    </row>
    <row r="3605" spans="1:8" x14ac:dyDescent="0.3">
      <c r="A3605" s="401"/>
      <c r="B3605" s="709">
        <v>44072</v>
      </c>
      <c r="C3605" s="710" t="s">
        <v>11934</v>
      </c>
      <c r="D3605" s="709" t="s">
        <v>8120</v>
      </c>
      <c r="E3605" s="709" t="s">
        <v>8432</v>
      </c>
      <c r="F3605" s="716">
        <v>132.02000000000001</v>
      </c>
      <c r="G3605" s="716">
        <v>130.37</v>
      </c>
      <c r="H3605" s="225">
        <f t="shared" si="56"/>
        <v>132.02000000000001</v>
      </c>
    </row>
    <row r="3606" spans="1:8" x14ac:dyDescent="0.3">
      <c r="A3606" s="401"/>
      <c r="B3606" s="709">
        <v>511</v>
      </c>
      <c r="C3606" s="710" t="s">
        <v>11935</v>
      </c>
      <c r="D3606" s="709" t="s">
        <v>8120</v>
      </c>
      <c r="E3606" s="709" t="s">
        <v>8438</v>
      </c>
      <c r="F3606" s="716">
        <v>21.6</v>
      </c>
      <c r="G3606" s="716">
        <v>18.5</v>
      </c>
      <c r="H3606" s="225">
        <f t="shared" si="56"/>
        <v>21.6</v>
      </c>
    </row>
    <row r="3607" spans="1:8" x14ac:dyDescent="0.3">
      <c r="A3607" s="401"/>
      <c r="B3607" s="709">
        <v>37540</v>
      </c>
      <c r="C3607" s="710" t="s">
        <v>11936</v>
      </c>
      <c r="D3607" s="709" t="s">
        <v>136</v>
      </c>
      <c r="E3607" s="709" t="s">
        <v>8432</v>
      </c>
      <c r="F3607" s="716">
        <v>79733.11</v>
      </c>
      <c r="G3607" s="716">
        <v>85391.39</v>
      </c>
      <c r="H3607" s="225">
        <f t="shared" si="56"/>
        <v>79733.11</v>
      </c>
    </row>
    <row r="3608" spans="1:8" x14ac:dyDescent="0.3">
      <c r="A3608" s="401"/>
      <c r="B3608" s="709">
        <v>37548</v>
      </c>
      <c r="C3608" s="710" t="s">
        <v>11937</v>
      </c>
      <c r="D3608" s="709" t="s">
        <v>136</v>
      </c>
      <c r="E3608" s="709" t="s">
        <v>8432</v>
      </c>
      <c r="F3608" s="716">
        <v>105685.83</v>
      </c>
      <c r="G3608" s="716">
        <v>113185.85</v>
      </c>
      <c r="H3608" s="225">
        <f t="shared" si="56"/>
        <v>105685.83</v>
      </c>
    </row>
    <row r="3609" spans="1:8" x14ac:dyDescent="0.3">
      <c r="A3609" s="401"/>
      <c r="B3609" s="709">
        <v>39828</v>
      </c>
      <c r="C3609" s="710" t="s">
        <v>11938</v>
      </c>
      <c r="D3609" s="709" t="s">
        <v>136</v>
      </c>
      <c r="E3609" s="709" t="s">
        <v>8432</v>
      </c>
      <c r="F3609" s="716">
        <v>634.01</v>
      </c>
      <c r="G3609" s="716">
        <v>679</v>
      </c>
      <c r="H3609" s="225">
        <f t="shared" si="56"/>
        <v>634.01</v>
      </c>
    </row>
    <row r="3610" spans="1:8" x14ac:dyDescent="0.3">
      <c r="A3610" s="401"/>
      <c r="B3610" s="709">
        <v>38392</v>
      </c>
      <c r="C3610" s="710" t="s">
        <v>11939</v>
      </c>
      <c r="D3610" s="709" t="s">
        <v>136</v>
      </c>
      <c r="E3610" s="709" t="s">
        <v>8432</v>
      </c>
      <c r="F3610" s="716">
        <v>62.89</v>
      </c>
      <c r="G3610" s="716">
        <v>71.23</v>
      </c>
      <c r="H3610" s="225">
        <f t="shared" si="56"/>
        <v>62.89</v>
      </c>
    </row>
    <row r="3611" spans="1:8" x14ac:dyDescent="0.3">
      <c r="A3611" s="401"/>
      <c r="B3611" s="709">
        <v>11735</v>
      </c>
      <c r="C3611" s="710" t="s">
        <v>11940</v>
      </c>
      <c r="D3611" s="709" t="s">
        <v>136</v>
      </c>
      <c r="E3611" s="709" t="s">
        <v>8432</v>
      </c>
      <c r="F3611" s="716">
        <v>13.65</v>
      </c>
      <c r="G3611" s="716">
        <v>10.99</v>
      </c>
      <c r="H3611" s="225">
        <f t="shared" si="56"/>
        <v>13.65</v>
      </c>
    </row>
    <row r="3612" spans="1:8" x14ac:dyDescent="0.3">
      <c r="A3612" s="401"/>
      <c r="B3612" s="709">
        <v>11737</v>
      </c>
      <c r="C3612" s="710" t="s">
        <v>11941</v>
      </c>
      <c r="D3612" s="709" t="s">
        <v>136</v>
      </c>
      <c r="E3612" s="709" t="s">
        <v>8432</v>
      </c>
      <c r="F3612" s="716">
        <v>19.36</v>
      </c>
      <c r="G3612" s="716">
        <v>15.59</v>
      </c>
      <c r="H3612" s="225">
        <f t="shared" si="56"/>
        <v>19.36</v>
      </c>
    </row>
    <row r="3613" spans="1:8" x14ac:dyDescent="0.3">
      <c r="A3613" s="401"/>
      <c r="B3613" s="709">
        <v>11738</v>
      </c>
      <c r="C3613" s="710" t="s">
        <v>11942</v>
      </c>
      <c r="D3613" s="709" t="s">
        <v>136</v>
      </c>
      <c r="E3613" s="709" t="s">
        <v>8432</v>
      </c>
      <c r="F3613" s="716">
        <v>24.41</v>
      </c>
      <c r="G3613" s="716">
        <v>19.649999999999999</v>
      </c>
      <c r="H3613" s="225">
        <f t="shared" si="56"/>
        <v>24.41</v>
      </c>
    </row>
    <row r="3614" spans="1:8" x14ac:dyDescent="0.3">
      <c r="A3614" s="401"/>
      <c r="B3614" s="709">
        <v>36143</v>
      </c>
      <c r="C3614" s="710" t="s">
        <v>11943</v>
      </c>
      <c r="D3614" s="709" t="s">
        <v>136</v>
      </c>
      <c r="E3614" s="709" t="s">
        <v>8432</v>
      </c>
      <c r="F3614" s="716">
        <v>97.31</v>
      </c>
      <c r="G3614" s="716">
        <v>95.44</v>
      </c>
      <c r="H3614" s="225">
        <f t="shared" si="56"/>
        <v>97.31</v>
      </c>
    </row>
    <row r="3615" spans="1:8" x14ac:dyDescent="0.3">
      <c r="A3615" s="401"/>
      <c r="B3615" s="709">
        <v>36142</v>
      </c>
      <c r="C3615" s="710" t="s">
        <v>11944</v>
      </c>
      <c r="D3615" s="709" t="s">
        <v>136</v>
      </c>
      <c r="E3615" s="709" t="s">
        <v>8432</v>
      </c>
      <c r="F3615" s="716">
        <v>2.4</v>
      </c>
      <c r="G3615" s="716">
        <v>2.35</v>
      </c>
      <c r="H3615" s="225">
        <f t="shared" si="56"/>
        <v>2.4</v>
      </c>
    </row>
    <row r="3616" spans="1:8" x14ac:dyDescent="0.3">
      <c r="A3616" s="401"/>
      <c r="B3616" s="709">
        <v>45227</v>
      </c>
      <c r="C3616" s="710" t="s">
        <v>11945</v>
      </c>
      <c r="D3616" s="709" t="s">
        <v>136</v>
      </c>
      <c r="E3616" s="709" t="s">
        <v>8432</v>
      </c>
      <c r="F3616" s="716">
        <v>927.24</v>
      </c>
      <c r="G3616" s="716">
        <v>909.39</v>
      </c>
      <c r="H3616" s="225">
        <f t="shared" si="56"/>
        <v>927.24</v>
      </c>
    </row>
    <row r="3617" spans="1:8" x14ac:dyDescent="0.3">
      <c r="A3617" s="401"/>
      <c r="B3617" s="709">
        <v>45209</v>
      </c>
      <c r="C3617" s="710" t="s">
        <v>11946</v>
      </c>
      <c r="D3617" s="709" t="s">
        <v>136</v>
      </c>
      <c r="E3617" s="709" t="s">
        <v>8432</v>
      </c>
      <c r="F3617" s="716">
        <v>40.61</v>
      </c>
      <c r="G3617" s="716">
        <v>39.83</v>
      </c>
      <c r="H3617" s="225">
        <f t="shared" si="56"/>
        <v>40.61</v>
      </c>
    </row>
    <row r="3618" spans="1:8" x14ac:dyDescent="0.3">
      <c r="A3618" s="401"/>
      <c r="B3618" s="709">
        <v>36146</v>
      </c>
      <c r="C3618" s="710" t="s">
        <v>11947</v>
      </c>
      <c r="D3618" s="709" t="s">
        <v>136</v>
      </c>
      <c r="E3618" s="709" t="s">
        <v>8432</v>
      </c>
      <c r="F3618" s="716">
        <v>257.49</v>
      </c>
      <c r="G3618" s="716">
        <v>252.54</v>
      </c>
      <c r="H3618" s="225">
        <f t="shared" si="56"/>
        <v>257.49</v>
      </c>
    </row>
    <row r="3619" spans="1:8" x14ac:dyDescent="0.3">
      <c r="A3619" s="401"/>
      <c r="B3619" s="709">
        <v>39015</v>
      </c>
      <c r="C3619" s="710" t="s">
        <v>11948</v>
      </c>
      <c r="D3619" s="709" t="s">
        <v>136</v>
      </c>
      <c r="E3619" s="709" t="s">
        <v>8438</v>
      </c>
      <c r="F3619" s="716">
        <v>0.64</v>
      </c>
      <c r="G3619" s="716">
        <v>1</v>
      </c>
      <c r="H3619" s="225">
        <f t="shared" si="56"/>
        <v>0.64</v>
      </c>
    </row>
    <row r="3620" spans="1:8" x14ac:dyDescent="0.3">
      <c r="A3620" s="401"/>
      <c r="B3620" s="709">
        <v>38377</v>
      </c>
      <c r="C3620" s="710" t="s">
        <v>11949</v>
      </c>
      <c r="D3620" s="709" t="s">
        <v>136</v>
      </c>
      <c r="E3620" s="709" t="s">
        <v>8432</v>
      </c>
      <c r="F3620" s="716">
        <v>30.63</v>
      </c>
      <c r="G3620" s="716">
        <v>30.12</v>
      </c>
      <c r="H3620" s="225">
        <f t="shared" si="56"/>
        <v>30.63</v>
      </c>
    </row>
    <row r="3621" spans="1:8" x14ac:dyDescent="0.3">
      <c r="A3621" s="401"/>
      <c r="B3621" s="709">
        <v>38376</v>
      </c>
      <c r="C3621" s="710" t="s">
        <v>11950</v>
      </c>
      <c r="D3621" s="709" t="s">
        <v>136</v>
      </c>
      <c r="E3621" s="709" t="s">
        <v>8432</v>
      </c>
      <c r="F3621" s="716">
        <v>35.42</v>
      </c>
      <c r="G3621" s="716">
        <v>34.83</v>
      </c>
      <c r="H3621" s="225">
        <f t="shared" si="56"/>
        <v>35.42</v>
      </c>
    </row>
    <row r="3622" spans="1:8" x14ac:dyDescent="0.3">
      <c r="A3622" s="401"/>
      <c r="B3622" s="709">
        <v>38116</v>
      </c>
      <c r="C3622" s="710" t="s">
        <v>11951</v>
      </c>
      <c r="D3622" s="709" t="s">
        <v>136</v>
      </c>
      <c r="E3622" s="709" t="s">
        <v>8432</v>
      </c>
      <c r="F3622" s="716">
        <v>6.48</v>
      </c>
      <c r="G3622" s="716">
        <v>6.2</v>
      </c>
      <c r="H3622" s="225">
        <f t="shared" si="56"/>
        <v>6.48</v>
      </c>
    </row>
    <row r="3623" spans="1:8" x14ac:dyDescent="0.3">
      <c r="A3623" s="401"/>
      <c r="B3623" s="709">
        <v>38066</v>
      </c>
      <c r="C3623" s="710" t="s">
        <v>11952</v>
      </c>
      <c r="D3623" s="709" t="s">
        <v>136</v>
      </c>
      <c r="E3623" s="709" t="s">
        <v>8432</v>
      </c>
      <c r="F3623" s="716">
        <v>10.7</v>
      </c>
      <c r="G3623" s="716">
        <v>10.24</v>
      </c>
      <c r="H3623" s="225">
        <f t="shared" si="56"/>
        <v>10.7</v>
      </c>
    </row>
    <row r="3624" spans="1:8" x14ac:dyDescent="0.3">
      <c r="A3624" s="401"/>
      <c r="B3624" s="709">
        <v>38117</v>
      </c>
      <c r="C3624" s="710" t="s">
        <v>11953</v>
      </c>
      <c r="D3624" s="709" t="s">
        <v>136</v>
      </c>
      <c r="E3624" s="709" t="s">
        <v>8432</v>
      </c>
      <c r="F3624" s="716">
        <v>11.04</v>
      </c>
      <c r="G3624" s="716">
        <v>10.56</v>
      </c>
      <c r="H3624" s="225">
        <f t="shared" si="56"/>
        <v>11.04</v>
      </c>
    </row>
    <row r="3625" spans="1:8" x14ac:dyDescent="0.3">
      <c r="A3625" s="401"/>
      <c r="B3625" s="709">
        <v>38067</v>
      </c>
      <c r="C3625" s="710" t="s">
        <v>11954</v>
      </c>
      <c r="D3625" s="709" t="s">
        <v>136</v>
      </c>
      <c r="E3625" s="709" t="s">
        <v>8432</v>
      </c>
      <c r="F3625" s="716">
        <v>15.07</v>
      </c>
      <c r="G3625" s="716">
        <v>14.41</v>
      </c>
      <c r="H3625" s="225">
        <f t="shared" si="56"/>
        <v>15.07</v>
      </c>
    </row>
    <row r="3626" spans="1:8" x14ac:dyDescent="0.3">
      <c r="A3626" s="401"/>
      <c r="B3626" s="709">
        <v>44313</v>
      </c>
      <c r="C3626" s="710" t="s">
        <v>11955</v>
      </c>
      <c r="D3626" s="709" t="s">
        <v>136</v>
      </c>
      <c r="E3626" s="709" t="s">
        <v>8432</v>
      </c>
      <c r="F3626" s="716">
        <v>936.19</v>
      </c>
      <c r="G3626" s="716">
        <v>976.39</v>
      </c>
      <c r="H3626" s="225">
        <f t="shared" si="56"/>
        <v>936.19</v>
      </c>
    </row>
    <row r="3627" spans="1:8" x14ac:dyDescent="0.3">
      <c r="A3627" s="401"/>
      <c r="B3627" s="709">
        <v>11522</v>
      </c>
      <c r="C3627" s="710" t="s">
        <v>11956</v>
      </c>
      <c r="D3627" s="709" t="s">
        <v>136</v>
      </c>
      <c r="E3627" s="709" t="s">
        <v>8432</v>
      </c>
      <c r="F3627" s="716">
        <v>15.74</v>
      </c>
      <c r="G3627" s="716">
        <v>13.02</v>
      </c>
      <c r="H3627" s="225">
        <f t="shared" si="56"/>
        <v>15.74</v>
      </c>
    </row>
    <row r="3628" spans="1:8" x14ac:dyDescent="0.3">
      <c r="A3628" s="401"/>
      <c r="B3628" s="709">
        <v>43600</v>
      </c>
      <c r="C3628" s="710" t="s">
        <v>11957</v>
      </c>
      <c r="D3628" s="709" t="s">
        <v>136</v>
      </c>
      <c r="E3628" s="709" t="s">
        <v>8432</v>
      </c>
      <c r="F3628" s="716">
        <v>63.1</v>
      </c>
      <c r="G3628" s="716">
        <v>52.2</v>
      </c>
      <c r="H3628" s="225">
        <f t="shared" si="56"/>
        <v>63.1</v>
      </c>
    </row>
    <row r="3629" spans="1:8" x14ac:dyDescent="0.3">
      <c r="A3629" s="401"/>
      <c r="B3629" s="709">
        <v>5080</v>
      </c>
      <c r="C3629" s="710" t="s">
        <v>11958</v>
      </c>
      <c r="D3629" s="709" t="s">
        <v>136</v>
      </c>
      <c r="E3629" s="709" t="s">
        <v>8432</v>
      </c>
      <c r="F3629" s="716">
        <v>24.6</v>
      </c>
      <c r="G3629" s="716">
        <v>20.350000000000001</v>
      </c>
      <c r="H3629" s="225">
        <f t="shared" si="56"/>
        <v>24.6</v>
      </c>
    </row>
    <row r="3630" spans="1:8" x14ac:dyDescent="0.3">
      <c r="A3630" s="401"/>
      <c r="B3630" s="709">
        <v>38168</v>
      </c>
      <c r="C3630" s="710" t="s">
        <v>11959</v>
      </c>
      <c r="D3630" s="709" t="s">
        <v>136</v>
      </c>
      <c r="E3630" s="709" t="s">
        <v>8432</v>
      </c>
      <c r="F3630" s="716">
        <v>171.78</v>
      </c>
      <c r="G3630" s="716">
        <v>142.11000000000001</v>
      </c>
      <c r="H3630" s="225">
        <f t="shared" si="56"/>
        <v>171.78</v>
      </c>
    </row>
    <row r="3631" spans="1:8" x14ac:dyDescent="0.3">
      <c r="A3631" s="401"/>
      <c r="B3631" s="709">
        <v>43601</v>
      </c>
      <c r="C3631" s="710" t="s">
        <v>11960</v>
      </c>
      <c r="D3631" s="709" t="s">
        <v>136</v>
      </c>
      <c r="E3631" s="709" t="s">
        <v>8432</v>
      </c>
      <c r="F3631" s="716">
        <v>85.89</v>
      </c>
      <c r="G3631" s="716">
        <v>71.05</v>
      </c>
      <c r="H3631" s="225">
        <f t="shared" si="56"/>
        <v>85.89</v>
      </c>
    </row>
    <row r="3632" spans="1:8" x14ac:dyDescent="0.3">
      <c r="A3632" s="401"/>
      <c r="B3632" s="709">
        <v>13393</v>
      </c>
      <c r="C3632" s="710" t="s">
        <v>11961</v>
      </c>
      <c r="D3632" s="709" t="s">
        <v>136</v>
      </c>
      <c r="E3632" s="709" t="s">
        <v>8432</v>
      </c>
      <c r="F3632" s="716">
        <v>339.91</v>
      </c>
      <c r="G3632" s="716">
        <v>331.78</v>
      </c>
      <c r="H3632" s="225">
        <f t="shared" si="56"/>
        <v>339.91</v>
      </c>
    </row>
    <row r="3633" spans="1:8" x14ac:dyDescent="0.3">
      <c r="A3633" s="401"/>
      <c r="B3633" s="709">
        <v>13395</v>
      </c>
      <c r="C3633" s="710" t="s">
        <v>11962</v>
      </c>
      <c r="D3633" s="709" t="s">
        <v>136</v>
      </c>
      <c r="E3633" s="709" t="s">
        <v>8432</v>
      </c>
      <c r="F3633" s="716">
        <v>476.35</v>
      </c>
      <c r="G3633" s="716">
        <v>464.95</v>
      </c>
      <c r="H3633" s="225">
        <f t="shared" si="56"/>
        <v>476.35</v>
      </c>
    </row>
    <row r="3634" spans="1:8" x14ac:dyDescent="0.3">
      <c r="A3634" s="401"/>
      <c r="B3634" s="709">
        <v>12039</v>
      </c>
      <c r="C3634" s="710" t="s">
        <v>11963</v>
      </c>
      <c r="D3634" s="709" t="s">
        <v>136</v>
      </c>
      <c r="E3634" s="709" t="s">
        <v>8432</v>
      </c>
      <c r="F3634" s="716">
        <v>500.6</v>
      </c>
      <c r="G3634" s="716">
        <v>488.62</v>
      </c>
      <c r="H3634" s="225">
        <f t="shared" si="56"/>
        <v>500.6</v>
      </c>
    </row>
    <row r="3635" spans="1:8" x14ac:dyDescent="0.3">
      <c r="A3635" s="401"/>
      <c r="B3635" s="709">
        <v>13396</v>
      </c>
      <c r="C3635" s="710" t="s">
        <v>11964</v>
      </c>
      <c r="D3635" s="709" t="s">
        <v>136</v>
      </c>
      <c r="E3635" s="709" t="s">
        <v>8432</v>
      </c>
      <c r="F3635" s="716">
        <v>703.06</v>
      </c>
      <c r="G3635" s="716">
        <v>686.23</v>
      </c>
      <c r="H3635" s="225">
        <f t="shared" si="56"/>
        <v>703.06</v>
      </c>
    </row>
    <row r="3636" spans="1:8" x14ac:dyDescent="0.3">
      <c r="A3636" s="401"/>
      <c r="B3636" s="709">
        <v>12041</v>
      </c>
      <c r="C3636" s="710" t="s">
        <v>11965</v>
      </c>
      <c r="D3636" s="709" t="s">
        <v>136</v>
      </c>
      <c r="E3636" s="709" t="s">
        <v>8432</v>
      </c>
      <c r="F3636" s="716">
        <v>574.09</v>
      </c>
      <c r="G3636" s="716">
        <v>560.35</v>
      </c>
      <c r="H3636" s="225">
        <f t="shared" si="56"/>
        <v>574.09</v>
      </c>
    </row>
    <row r="3637" spans="1:8" x14ac:dyDescent="0.3">
      <c r="A3637" s="401"/>
      <c r="B3637" s="709">
        <v>12043</v>
      </c>
      <c r="C3637" s="710" t="s">
        <v>11966</v>
      </c>
      <c r="D3637" s="709" t="s">
        <v>136</v>
      </c>
      <c r="E3637" s="709" t="s">
        <v>8432</v>
      </c>
      <c r="F3637" s="716">
        <v>1212.0999999999999</v>
      </c>
      <c r="G3637" s="716">
        <v>1183.0899999999999</v>
      </c>
      <c r="H3637" s="225">
        <f t="shared" si="56"/>
        <v>1212.0999999999999</v>
      </c>
    </row>
    <row r="3638" spans="1:8" x14ac:dyDescent="0.3">
      <c r="A3638" s="401"/>
      <c r="B3638" s="709">
        <v>39762</v>
      </c>
      <c r="C3638" s="710" t="s">
        <v>11967</v>
      </c>
      <c r="D3638" s="709" t="s">
        <v>136</v>
      </c>
      <c r="E3638" s="709" t="s">
        <v>8432</v>
      </c>
      <c r="F3638" s="716">
        <v>576.99</v>
      </c>
      <c r="G3638" s="716">
        <v>563.17999999999995</v>
      </c>
      <c r="H3638" s="225">
        <f t="shared" si="56"/>
        <v>576.99</v>
      </c>
    </row>
    <row r="3639" spans="1:8" x14ac:dyDescent="0.3">
      <c r="A3639" s="401"/>
      <c r="B3639" s="709">
        <v>12042</v>
      </c>
      <c r="C3639" s="710" t="s">
        <v>11968</v>
      </c>
      <c r="D3639" s="709" t="s">
        <v>136</v>
      </c>
      <c r="E3639" s="709" t="s">
        <v>8432</v>
      </c>
      <c r="F3639" s="716">
        <v>842.39</v>
      </c>
      <c r="G3639" s="716">
        <v>822.23</v>
      </c>
      <c r="H3639" s="225">
        <f t="shared" si="56"/>
        <v>842.39</v>
      </c>
    </row>
    <row r="3640" spans="1:8" x14ac:dyDescent="0.3">
      <c r="A3640" s="401"/>
      <c r="B3640" s="709">
        <v>39763</v>
      </c>
      <c r="C3640" s="710" t="s">
        <v>11969</v>
      </c>
      <c r="D3640" s="709" t="s">
        <v>136</v>
      </c>
      <c r="E3640" s="709" t="s">
        <v>8432</v>
      </c>
      <c r="F3640" s="716">
        <v>985.9</v>
      </c>
      <c r="G3640" s="716">
        <v>962.31</v>
      </c>
      <c r="H3640" s="225">
        <f t="shared" si="56"/>
        <v>985.9</v>
      </c>
    </row>
    <row r="3641" spans="1:8" x14ac:dyDescent="0.3">
      <c r="A3641" s="401"/>
      <c r="B3641" s="709">
        <v>39760</v>
      </c>
      <c r="C3641" s="710" t="s">
        <v>11970</v>
      </c>
      <c r="D3641" s="709" t="s">
        <v>136</v>
      </c>
      <c r="E3641" s="709" t="s">
        <v>8432</v>
      </c>
      <c r="F3641" s="716">
        <v>982.66</v>
      </c>
      <c r="G3641" s="716">
        <v>959.14</v>
      </c>
      <c r="H3641" s="225">
        <f t="shared" si="56"/>
        <v>982.66</v>
      </c>
    </row>
    <row r="3642" spans="1:8" x14ac:dyDescent="0.3">
      <c r="A3642" s="401"/>
      <c r="B3642" s="709">
        <v>39756</v>
      </c>
      <c r="C3642" s="710" t="s">
        <v>11971</v>
      </c>
      <c r="D3642" s="709" t="s">
        <v>136</v>
      </c>
      <c r="E3642" s="709" t="s">
        <v>8432</v>
      </c>
      <c r="F3642" s="716">
        <v>352.83</v>
      </c>
      <c r="G3642" s="716">
        <v>344.39</v>
      </c>
      <c r="H3642" s="225">
        <f t="shared" si="56"/>
        <v>352.83</v>
      </c>
    </row>
    <row r="3643" spans="1:8" x14ac:dyDescent="0.3">
      <c r="A3643" s="401"/>
      <c r="B3643" s="709">
        <v>12038</v>
      </c>
      <c r="C3643" s="710" t="s">
        <v>11972</v>
      </c>
      <c r="D3643" s="709" t="s">
        <v>136</v>
      </c>
      <c r="E3643" s="709" t="s">
        <v>8432</v>
      </c>
      <c r="F3643" s="716">
        <v>440.88</v>
      </c>
      <c r="G3643" s="716">
        <v>430.33</v>
      </c>
      <c r="H3643" s="225">
        <f t="shared" si="56"/>
        <v>440.88</v>
      </c>
    </row>
    <row r="3644" spans="1:8" x14ac:dyDescent="0.3">
      <c r="A3644" s="401"/>
      <c r="B3644" s="709">
        <v>39757</v>
      </c>
      <c r="C3644" s="710" t="s">
        <v>11973</v>
      </c>
      <c r="D3644" s="709" t="s">
        <v>136</v>
      </c>
      <c r="E3644" s="709" t="s">
        <v>8432</v>
      </c>
      <c r="F3644" s="716">
        <v>407.67</v>
      </c>
      <c r="G3644" s="716">
        <v>397.92</v>
      </c>
      <c r="H3644" s="225">
        <f t="shared" si="56"/>
        <v>407.67</v>
      </c>
    </row>
    <row r="3645" spans="1:8" x14ac:dyDescent="0.3">
      <c r="A3645" s="401"/>
      <c r="B3645" s="709">
        <v>39758</v>
      </c>
      <c r="C3645" s="710" t="s">
        <v>11974</v>
      </c>
      <c r="D3645" s="709" t="s">
        <v>136</v>
      </c>
      <c r="E3645" s="709" t="s">
        <v>8432</v>
      </c>
      <c r="F3645" s="716">
        <v>594.13</v>
      </c>
      <c r="G3645" s="716">
        <v>579.91</v>
      </c>
      <c r="H3645" s="225">
        <f t="shared" si="56"/>
        <v>594.13</v>
      </c>
    </row>
    <row r="3646" spans="1:8" x14ac:dyDescent="0.3">
      <c r="A3646" s="401"/>
      <c r="B3646" s="709">
        <v>39759</v>
      </c>
      <c r="C3646" s="710" t="s">
        <v>11975</v>
      </c>
      <c r="D3646" s="709" t="s">
        <v>136</v>
      </c>
      <c r="E3646" s="709" t="s">
        <v>8432</v>
      </c>
      <c r="F3646" s="716">
        <v>733.75</v>
      </c>
      <c r="G3646" s="716">
        <v>716.19</v>
      </c>
      <c r="H3646" s="225">
        <f t="shared" si="56"/>
        <v>733.75</v>
      </c>
    </row>
    <row r="3647" spans="1:8" x14ac:dyDescent="0.3">
      <c r="A3647" s="401"/>
      <c r="B3647" s="709">
        <v>39761</v>
      </c>
      <c r="C3647" s="710" t="s">
        <v>11976</v>
      </c>
      <c r="D3647" s="709" t="s">
        <v>136</v>
      </c>
      <c r="E3647" s="709" t="s">
        <v>8432</v>
      </c>
      <c r="F3647" s="716">
        <v>881.99</v>
      </c>
      <c r="G3647" s="716">
        <v>860.88</v>
      </c>
      <c r="H3647" s="225">
        <f t="shared" si="56"/>
        <v>881.99</v>
      </c>
    </row>
    <row r="3648" spans="1:8" x14ac:dyDescent="0.3">
      <c r="A3648" s="401"/>
      <c r="B3648" s="709">
        <v>39805</v>
      </c>
      <c r="C3648" s="710" t="s">
        <v>11977</v>
      </c>
      <c r="D3648" s="709" t="s">
        <v>136</v>
      </c>
      <c r="E3648" s="709" t="s">
        <v>8432</v>
      </c>
      <c r="F3648" s="716">
        <v>167.48</v>
      </c>
      <c r="G3648" s="716">
        <v>137</v>
      </c>
      <c r="H3648" s="225">
        <f t="shared" si="56"/>
        <v>167.48</v>
      </c>
    </row>
    <row r="3649" spans="1:8" x14ac:dyDescent="0.3">
      <c r="A3649" s="401"/>
      <c r="B3649" s="709">
        <v>39806</v>
      </c>
      <c r="C3649" s="710" t="s">
        <v>11978</v>
      </c>
      <c r="D3649" s="709" t="s">
        <v>136</v>
      </c>
      <c r="E3649" s="709" t="s">
        <v>8432</v>
      </c>
      <c r="F3649" s="716">
        <v>310.3</v>
      </c>
      <c r="G3649" s="716">
        <v>253.83</v>
      </c>
      <c r="H3649" s="225">
        <f t="shared" si="56"/>
        <v>310.3</v>
      </c>
    </row>
    <row r="3650" spans="1:8" x14ac:dyDescent="0.3">
      <c r="A3650" s="401"/>
      <c r="B3650" s="709">
        <v>39807</v>
      </c>
      <c r="C3650" s="710" t="s">
        <v>11979</v>
      </c>
      <c r="D3650" s="709" t="s">
        <v>136</v>
      </c>
      <c r="E3650" s="709" t="s">
        <v>8432</v>
      </c>
      <c r="F3650" s="716">
        <v>672.49</v>
      </c>
      <c r="G3650" s="716">
        <v>550.1</v>
      </c>
      <c r="H3650" s="225">
        <f t="shared" si="56"/>
        <v>672.49</v>
      </c>
    </row>
    <row r="3651" spans="1:8" x14ac:dyDescent="0.3">
      <c r="A3651" s="401"/>
      <c r="B3651" s="709">
        <v>43100</v>
      </c>
      <c r="C3651" s="710" t="s">
        <v>11980</v>
      </c>
      <c r="D3651" s="709" t="s">
        <v>136</v>
      </c>
      <c r="E3651" s="709" t="s">
        <v>8432</v>
      </c>
      <c r="F3651" s="716">
        <v>525.74</v>
      </c>
      <c r="G3651" s="716">
        <v>430.06</v>
      </c>
      <c r="H3651" s="225">
        <f t="shared" si="56"/>
        <v>525.74</v>
      </c>
    </row>
    <row r="3652" spans="1:8" x14ac:dyDescent="0.3">
      <c r="A3652" s="401"/>
      <c r="B3652" s="709">
        <v>39804</v>
      </c>
      <c r="C3652" s="710" t="s">
        <v>11981</v>
      </c>
      <c r="D3652" s="709" t="s">
        <v>136</v>
      </c>
      <c r="E3652" s="709" t="s">
        <v>8432</v>
      </c>
      <c r="F3652" s="716">
        <v>98.34</v>
      </c>
      <c r="G3652" s="716">
        <v>80.45</v>
      </c>
      <c r="H3652" s="225">
        <f t="shared" si="56"/>
        <v>98.34</v>
      </c>
    </row>
    <row r="3653" spans="1:8" x14ac:dyDescent="0.3">
      <c r="A3653" s="401"/>
      <c r="B3653" s="709">
        <v>39796</v>
      </c>
      <c r="C3653" s="710" t="s">
        <v>11982</v>
      </c>
      <c r="D3653" s="709" t="s">
        <v>136</v>
      </c>
      <c r="E3653" s="709" t="s">
        <v>8432</v>
      </c>
      <c r="F3653" s="716">
        <v>101.86</v>
      </c>
      <c r="G3653" s="716">
        <v>83.32</v>
      </c>
      <c r="H3653" s="225">
        <f t="shared" si="56"/>
        <v>101.86</v>
      </c>
    </row>
    <row r="3654" spans="1:8" x14ac:dyDescent="0.3">
      <c r="A3654" s="401"/>
      <c r="B3654" s="709">
        <v>39797</v>
      </c>
      <c r="C3654" s="710" t="s">
        <v>11983</v>
      </c>
      <c r="D3654" s="709" t="s">
        <v>136</v>
      </c>
      <c r="E3654" s="709" t="s">
        <v>8438</v>
      </c>
      <c r="F3654" s="716">
        <v>159.9</v>
      </c>
      <c r="G3654" s="716">
        <v>130.80000000000001</v>
      </c>
      <c r="H3654" s="225">
        <f t="shared" si="56"/>
        <v>159.9</v>
      </c>
    </row>
    <row r="3655" spans="1:8" x14ac:dyDescent="0.3">
      <c r="A3655" s="401"/>
      <c r="B3655" s="709">
        <v>39798</v>
      </c>
      <c r="C3655" s="710" t="s">
        <v>11984</v>
      </c>
      <c r="D3655" s="709" t="s">
        <v>136</v>
      </c>
      <c r="E3655" s="709" t="s">
        <v>8432</v>
      </c>
      <c r="F3655" s="716">
        <v>274.27999999999997</v>
      </c>
      <c r="G3655" s="716">
        <v>224.36</v>
      </c>
      <c r="H3655" s="225">
        <f t="shared" si="56"/>
        <v>274.27999999999997</v>
      </c>
    </row>
    <row r="3656" spans="1:8" x14ac:dyDescent="0.3">
      <c r="A3656" s="401"/>
      <c r="B3656" s="709">
        <v>39794</v>
      </c>
      <c r="C3656" s="710" t="s">
        <v>11985</v>
      </c>
      <c r="D3656" s="709" t="s">
        <v>136</v>
      </c>
      <c r="E3656" s="709" t="s">
        <v>8432</v>
      </c>
      <c r="F3656" s="716">
        <v>43.24</v>
      </c>
      <c r="G3656" s="716">
        <v>35.369999999999997</v>
      </c>
      <c r="H3656" s="225">
        <f t="shared" si="56"/>
        <v>43.24</v>
      </c>
    </row>
    <row r="3657" spans="1:8" x14ac:dyDescent="0.3">
      <c r="A3657" s="401"/>
      <c r="B3657" s="709">
        <v>39795</v>
      </c>
      <c r="C3657" s="710" t="s">
        <v>11986</v>
      </c>
      <c r="D3657" s="709" t="s">
        <v>136</v>
      </c>
      <c r="E3657" s="709" t="s">
        <v>8432</v>
      </c>
      <c r="F3657" s="716">
        <v>68.31</v>
      </c>
      <c r="G3657" s="716">
        <v>55.87</v>
      </c>
      <c r="H3657" s="225">
        <f t="shared" si="56"/>
        <v>68.31</v>
      </c>
    </row>
    <row r="3658" spans="1:8" x14ac:dyDescent="0.3">
      <c r="A3658" s="401"/>
      <c r="B3658" s="709">
        <v>39801</v>
      </c>
      <c r="C3658" s="710" t="s">
        <v>11987</v>
      </c>
      <c r="D3658" s="709" t="s">
        <v>136</v>
      </c>
      <c r="E3658" s="709" t="s">
        <v>8432</v>
      </c>
      <c r="F3658" s="716">
        <v>144.24</v>
      </c>
      <c r="G3658" s="716">
        <v>117.99</v>
      </c>
      <c r="H3658" s="225">
        <f t="shared" si="56"/>
        <v>144.24</v>
      </c>
    </row>
    <row r="3659" spans="1:8" x14ac:dyDescent="0.3">
      <c r="A3659" s="401"/>
      <c r="B3659" s="709">
        <v>39802</v>
      </c>
      <c r="C3659" s="710" t="s">
        <v>11988</v>
      </c>
      <c r="D3659" s="709" t="s">
        <v>136</v>
      </c>
      <c r="E3659" s="709" t="s">
        <v>8432</v>
      </c>
      <c r="F3659" s="716">
        <v>211.43</v>
      </c>
      <c r="G3659" s="716">
        <v>172.95</v>
      </c>
      <c r="H3659" s="225">
        <f t="shared" ref="H3659:H3722" si="57">IF(F3659&gt;0,F3659,G3659)</f>
        <v>211.43</v>
      </c>
    </row>
    <row r="3660" spans="1:8" x14ac:dyDescent="0.3">
      <c r="A3660" s="401"/>
      <c r="B3660" s="709">
        <v>39803</v>
      </c>
      <c r="C3660" s="710" t="s">
        <v>11989</v>
      </c>
      <c r="D3660" s="709" t="s">
        <v>136</v>
      </c>
      <c r="E3660" s="709" t="s">
        <v>8432</v>
      </c>
      <c r="F3660" s="716">
        <v>294.95</v>
      </c>
      <c r="G3660" s="716">
        <v>241.27</v>
      </c>
      <c r="H3660" s="225">
        <f t="shared" si="57"/>
        <v>294.95</v>
      </c>
    </row>
    <row r="3661" spans="1:8" x14ac:dyDescent="0.3">
      <c r="A3661" s="401"/>
      <c r="B3661" s="709">
        <v>39799</v>
      </c>
      <c r="C3661" s="710" t="s">
        <v>11990</v>
      </c>
      <c r="D3661" s="709" t="s">
        <v>136</v>
      </c>
      <c r="E3661" s="709" t="s">
        <v>8432</v>
      </c>
      <c r="F3661" s="716">
        <v>50.4</v>
      </c>
      <c r="G3661" s="716">
        <v>41.22</v>
      </c>
      <c r="H3661" s="225">
        <f t="shared" si="57"/>
        <v>50.4</v>
      </c>
    </row>
    <row r="3662" spans="1:8" x14ac:dyDescent="0.3">
      <c r="A3662" s="401"/>
      <c r="B3662" s="709">
        <v>39800</v>
      </c>
      <c r="C3662" s="710" t="s">
        <v>11991</v>
      </c>
      <c r="D3662" s="709" t="s">
        <v>136</v>
      </c>
      <c r="E3662" s="709" t="s">
        <v>8432</v>
      </c>
      <c r="F3662" s="716">
        <v>85.85</v>
      </c>
      <c r="G3662" s="716">
        <v>70.23</v>
      </c>
      <c r="H3662" s="225">
        <f t="shared" si="57"/>
        <v>85.85</v>
      </c>
    </row>
    <row r="3663" spans="1:8" x14ac:dyDescent="0.3">
      <c r="A3663" s="401"/>
      <c r="B3663" s="709">
        <v>43837</v>
      </c>
      <c r="C3663" s="710" t="s">
        <v>11992</v>
      </c>
      <c r="D3663" s="709" t="s">
        <v>136</v>
      </c>
      <c r="E3663" s="709" t="s">
        <v>8432</v>
      </c>
      <c r="F3663" s="716">
        <v>1397.99</v>
      </c>
      <c r="G3663" s="716">
        <v>1109.8</v>
      </c>
      <c r="H3663" s="225">
        <f t="shared" si="57"/>
        <v>1397.99</v>
      </c>
    </row>
    <row r="3664" spans="1:8" x14ac:dyDescent="0.3">
      <c r="A3664" s="401"/>
      <c r="B3664" s="709">
        <v>43836</v>
      </c>
      <c r="C3664" s="710" t="s">
        <v>11993</v>
      </c>
      <c r="D3664" s="709" t="s">
        <v>136</v>
      </c>
      <c r="E3664" s="709" t="s">
        <v>8432</v>
      </c>
      <c r="F3664" s="716">
        <v>2844.66</v>
      </c>
      <c r="G3664" s="716">
        <v>2258.2399999999998</v>
      </c>
      <c r="H3664" s="225">
        <f t="shared" si="57"/>
        <v>2844.66</v>
      </c>
    </row>
    <row r="3665" spans="1:8" x14ac:dyDescent="0.3">
      <c r="A3665" s="401"/>
      <c r="B3665" s="709">
        <v>21059</v>
      </c>
      <c r="C3665" s="710" t="s">
        <v>11994</v>
      </c>
      <c r="D3665" s="709" t="s">
        <v>136</v>
      </c>
      <c r="E3665" s="709" t="s">
        <v>8432</v>
      </c>
      <c r="F3665" s="716"/>
      <c r="G3665" s="716">
        <v>52.15</v>
      </c>
      <c r="H3665" s="225">
        <f t="shared" si="57"/>
        <v>52.15</v>
      </c>
    </row>
    <row r="3666" spans="1:8" x14ac:dyDescent="0.3">
      <c r="A3666" s="401"/>
      <c r="B3666" s="709">
        <v>11234</v>
      </c>
      <c r="C3666" s="710" t="s">
        <v>11995</v>
      </c>
      <c r="D3666" s="709" t="s">
        <v>136</v>
      </c>
      <c r="E3666" s="709" t="s">
        <v>8432</v>
      </c>
      <c r="F3666" s="716"/>
      <c r="G3666" s="716">
        <v>78.599999999999994</v>
      </c>
      <c r="H3666" s="225">
        <f t="shared" si="57"/>
        <v>78.599999999999994</v>
      </c>
    </row>
    <row r="3667" spans="1:8" x14ac:dyDescent="0.3">
      <c r="A3667" s="401"/>
      <c r="B3667" s="709">
        <v>21060</v>
      </c>
      <c r="C3667" s="710" t="s">
        <v>11996</v>
      </c>
      <c r="D3667" s="709" t="s">
        <v>136</v>
      </c>
      <c r="E3667" s="709" t="s">
        <v>8432</v>
      </c>
      <c r="F3667" s="716"/>
      <c r="G3667" s="716">
        <v>96.74</v>
      </c>
      <c r="H3667" s="225">
        <f t="shared" si="57"/>
        <v>96.74</v>
      </c>
    </row>
    <row r="3668" spans="1:8" x14ac:dyDescent="0.3">
      <c r="A3668" s="401"/>
      <c r="B3668" s="709">
        <v>21061</v>
      </c>
      <c r="C3668" s="710" t="s">
        <v>11997</v>
      </c>
      <c r="D3668" s="709" t="s">
        <v>136</v>
      </c>
      <c r="E3668" s="709" t="s">
        <v>8432</v>
      </c>
      <c r="F3668" s="716"/>
      <c r="G3668" s="716">
        <v>120.93</v>
      </c>
      <c r="H3668" s="225">
        <f t="shared" si="57"/>
        <v>120.93</v>
      </c>
    </row>
    <row r="3669" spans="1:8" x14ac:dyDescent="0.3">
      <c r="A3669" s="401"/>
      <c r="B3669" s="709">
        <v>21062</v>
      </c>
      <c r="C3669" s="710" t="s">
        <v>11998</v>
      </c>
      <c r="D3669" s="709" t="s">
        <v>136</v>
      </c>
      <c r="E3669" s="709" t="s">
        <v>8432</v>
      </c>
      <c r="F3669" s="716"/>
      <c r="G3669" s="716">
        <v>190.46</v>
      </c>
      <c r="H3669" s="225">
        <f t="shared" si="57"/>
        <v>190.46</v>
      </c>
    </row>
    <row r="3670" spans="1:8" x14ac:dyDescent="0.3">
      <c r="A3670" s="401"/>
      <c r="B3670" s="709">
        <v>11708</v>
      </c>
      <c r="C3670" s="710" t="s">
        <v>11999</v>
      </c>
      <c r="D3670" s="709" t="s">
        <v>136</v>
      </c>
      <c r="E3670" s="709" t="s">
        <v>8432</v>
      </c>
      <c r="F3670" s="716"/>
      <c r="G3670" s="716">
        <v>20.78</v>
      </c>
      <c r="H3670" s="225">
        <f t="shared" si="57"/>
        <v>20.78</v>
      </c>
    </row>
    <row r="3671" spans="1:8" x14ac:dyDescent="0.3">
      <c r="A3671" s="401"/>
      <c r="B3671" s="709">
        <v>11709</v>
      </c>
      <c r="C3671" s="710" t="s">
        <v>12000</v>
      </c>
      <c r="D3671" s="709" t="s">
        <v>136</v>
      </c>
      <c r="E3671" s="709" t="s">
        <v>8432</v>
      </c>
      <c r="F3671" s="716"/>
      <c r="G3671" s="716">
        <v>48.82</v>
      </c>
      <c r="H3671" s="225">
        <f t="shared" si="57"/>
        <v>48.82</v>
      </c>
    </row>
    <row r="3672" spans="1:8" x14ac:dyDescent="0.3">
      <c r="A3672" s="401"/>
      <c r="B3672" s="709">
        <v>11710</v>
      </c>
      <c r="C3672" s="710" t="s">
        <v>12001</v>
      </c>
      <c r="D3672" s="709" t="s">
        <v>136</v>
      </c>
      <c r="E3672" s="709" t="s">
        <v>8432</v>
      </c>
      <c r="F3672" s="716"/>
      <c r="G3672" s="716">
        <v>112.23</v>
      </c>
      <c r="H3672" s="225">
        <f t="shared" si="57"/>
        <v>112.23</v>
      </c>
    </row>
    <row r="3673" spans="1:8" x14ac:dyDescent="0.3">
      <c r="A3673" s="401"/>
      <c r="B3673" s="709">
        <v>11707</v>
      </c>
      <c r="C3673" s="710" t="s">
        <v>12002</v>
      </c>
      <c r="D3673" s="709" t="s">
        <v>136</v>
      </c>
      <c r="E3673" s="709" t="s">
        <v>8432</v>
      </c>
      <c r="F3673" s="716"/>
      <c r="G3673" s="716">
        <v>15.56</v>
      </c>
      <c r="H3673" s="225">
        <f t="shared" si="57"/>
        <v>15.56</v>
      </c>
    </row>
    <row r="3674" spans="1:8" x14ac:dyDescent="0.3">
      <c r="A3674" s="401"/>
      <c r="B3674" s="709">
        <v>5102</v>
      </c>
      <c r="C3674" s="710" t="s">
        <v>12003</v>
      </c>
      <c r="D3674" s="709" t="s">
        <v>136</v>
      </c>
      <c r="E3674" s="709" t="s">
        <v>8432</v>
      </c>
      <c r="F3674" s="716">
        <v>19.18</v>
      </c>
      <c r="G3674" s="716">
        <v>15.44</v>
      </c>
      <c r="H3674" s="225">
        <f t="shared" si="57"/>
        <v>19.18</v>
      </c>
    </row>
    <row r="3675" spans="1:8" x14ac:dyDescent="0.3">
      <c r="A3675" s="401"/>
      <c r="B3675" s="709">
        <v>11711</v>
      </c>
      <c r="C3675" s="710" t="s">
        <v>12004</v>
      </c>
      <c r="D3675" s="709" t="s">
        <v>136</v>
      </c>
      <c r="E3675" s="709" t="s">
        <v>8432</v>
      </c>
      <c r="F3675" s="716">
        <v>15.98</v>
      </c>
      <c r="G3675" s="716">
        <v>12.87</v>
      </c>
      <c r="H3675" s="225">
        <f t="shared" si="57"/>
        <v>15.98</v>
      </c>
    </row>
    <row r="3676" spans="1:8" x14ac:dyDescent="0.3">
      <c r="A3676" s="401"/>
      <c r="B3676" s="709">
        <v>11739</v>
      </c>
      <c r="C3676" s="710" t="s">
        <v>12005</v>
      </c>
      <c r="D3676" s="709" t="s">
        <v>136</v>
      </c>
      <c r="E3676" s="709" t="s">
        <v>8432</v>
      </c>
      <c r="F3676" s="716">
        <v>13.67</v>
      </c>
      <c r="G3676" s="716">
        <v>11</v>
      </c>
      <c r="H3676" s="225">
        <f t="shared" si="57"/>
        <v>13.67</v>
      </c>
    </row>
    <row r="3677" spans="1:8" x14ac:dyDescent="0.3">
      <c r="A3677" s="401"/>
      <c r="B3677" s="709">
        <v>11741</v>
      </c>
      <c r="C3677" s="710" t="s">
        <v>12006</v>
      </c>
      <c r="D3677" s="709" t="s">
        <v>136</v>
      </c>
      <c r="E3677" s="709" t="s">
        <v>8432</v>
      </c>
      <c r="F3677" s="716">
        <v>17.399999999999999</v>
      </c>
      <c r="G3677" s="716">
        <v>14.01</v>
      </c>
      <c r="H3677" s="225">
        <f t="shared" si="57"/>
        <v>17.399999999999999</v>
      </c>
    </row>
    <row r="3678" spans="1:8" x14ac:dyDescent="0.3">
      <c r="A3678" s="401"/>
      <c r="B3678" s="709">
        <v>11745</v>
      </c>
      <c r="C3678" s="710" t="s">
        <v>12007</v>
      </c>
      <c r="D3678" s="709" t="s">
        <v>136</v>
      </c>
      <c r="E3678" s="709" t="s">
        <v>8432</v>
      </c>
      <c r="F3678" s="716">
        <v>22.93</v>
      </c>
      <c r="G3678" s="716">
        <v>18.46</v>
      </c>
      <c r="H3678" s="225">
        <f t="shared" si="57"/>
        <v>22.93</v>
      </c>
    </row>
    <row r="3679" spans="1:8" x14ac:dyDescent="0.3">
      <c r="A3679" s="401"/>
      <c r="B3679" s="709">
        <v>11743</v>
      </c>
      <c r="C3679" s="710" t="s">
        <v>12008</v>
      </c>
      <c r="D3679" s="709" t="s">
        <v>136</v>
      </c>
      <c r="E3679" s="709" t="s">
        <v>8432</v>
      </c>
      <c r="F3679" s="716">
        <v>14.61</v>
      </c>
      <c r="G3679" s="716">
        <v>11.76</v>
      </c>
      <c r="H3679" s="225">
        <f t="shared" si="57"/>
        <v>14.61</v>
      </c>
    </row>
    <row r="3680" spans="1:8" x14ac:dyDescent="0.3">
      <c r="A3680" s="401"/>
      <c r="B3680" s="709">
        <v>5104</v>
      </c>
      <c r="C3680" s="710" t="s">
        <v>12009</v>
      </c>
      <c r="D3680" s="709" t="s">
        <v>175</v>
      </c>
      <c r="E3680" s="709" t="s">
        <v>8432</v>
      </c>
      <c r="F3680" s="716">
        <v>80.349999999999994</v>
      </c>
      <c r="G3680" s="716">
        <v>77.31</v>
      </c>
      <c r="H3680" s="225">
        <f t="shared" si="57"/>
        <v>80.349999999999994</v>
      </c>
    </row>
    <row r="3681" spans="1:8" x14ac:dyDescent="0.3">
      <c r="A3681" s="401"/>
      <c r="B3681" s="709">
        <v>44530</v>
      </c>
      <c r="C3681" s="710" t="s">
        <v>12010</v>
      </c>
      <c r="D3681" s="709" t="s">
        <v>136</v>
      </c>
      <c r="E3681" s="709" t="s">
        <v>8432</v>
      </c>
      <c r="F3681" s="716">
        <v>66.45</v>
      </c>
      <c r="G3681" s="716">
        <v>65.349999999999994</v>
      </c>
      <c r="H3681" s="225">
        <f t="shared" si="57"/>
        <v>66.45</v>
      </c>
    </row>
    <row r="3682" spans="1:8" x14ac:dyDescent="0.3">
      <c r="A3682" s="401"/>
      <c r="B3682" s="709">
        <v>2710</v>
      </c>
      <c r="C3682" s="710" t="s">
        <v>12011</v>
      </c>
      <c r="D3682" s="709" t="s">
        <v>136</v>
      </c>
      <c r="E3682" s="709" t="s">
        <v>8432</v>
      </c>
      <c r="F3682" s="716">
        <v>57.35</v>
      </c>
      <c r="G3682" s="716">
        <v>56.4</v>
      </c>
      <c r="H3682" s="225">
        <f t="shared" si="57"/>
        <v>57.35</v>
      </c>
    </row>
    <row r="3683" spans="1:8" x14ac:dyDescent="0.3">
      <c r="A3683" s="401"/>
      <c r="B3683" s="709">
        <v>14575</v>
      </c>
      <c r="C3683" s="710" t="s">
        <v>12012</v>
      </c>
      <c r="D3683" s="709" t="s">
        <v>136</v>
      </c>
      <c r="E3683" s="709" t="s">
        <v>8432</v>
      </c>
      <c r="F3683" s="716"/>
      <c r="G3683" s="716">
        <v>5358484.8499999996</v>
      </c>
      <c r="H3683" s="225">
        <f t="shared" si="57"/>
        <v>5358484.8499999996</v>
      </c>
    </row>
    <row r="3684" spans="1:8" x14ac:dyDescent="0.3">
      <c r="A3684" s="401"/>
      <c r="B3684" s="709">
        <v>44048</v>
      </c>
      <c r="C3684" s="710" t="s">
        <v>12013</v>
      </c>
      <c r="D3684" s="709" t="s">
        <v>136</v>
      </c>
      <c r="E3684" s="709" t="s">
        <v>8432</v>
      </c>
      <c r="F3684" s="716">
        <v>89.85</v>
      </c>
      <c r="G3684" s="716">
        <v>80.13</v>
      </c>
      <c r="H3684" s="225">
        <f t="shared" si="57"/>
        <v>89.85</v>
      </c>
    </row>
    <row r="3685" spans="1:8" x14ac:dyDescent="0.3">
      <c r="A3685" s="401"/>
      <c r="B3685" s="709">
        <v>44026</v>
      </c>
      <c r="C3685" s="710" t="s">
        <v>12014</v>
      </c>
      <c r="D3685" s="709" t="s">
        <v>136</v>
      </c>
      <c r="E3685" s="709" t="s">
        <v>8432</v>
      </c>
      <c r="F3685" s="716">
        <v>111.59</v>
      </c>
      <c r="G3685" s="716">
        <v>99.51</v>
      </c>
      <c r="H3685" s="225">
        <f t="shared" si="57"/>
        <v>111.59</v>
      </c>
    </row>
    <row r="3686" spans="1:8" x14ac:dyDescent="0.3">
      <c r="A3686" s="401"/>
      <c r="B3686" s="709">
        <v>44024</v>
      </c>
      <c r="C3686" s="710" t="s">
        <v>12015</v>
      </c>
      <c r="D3686" s="709" t="s">
        <v>136</v>
      </c>
      <c r="E3686" s="709" t="s">
        <v>8432</v>
      </c>
      <c r="F3686" s="716">
        <v>53.71</v>
      </c>
      <c r="G3686" s="716">
        <v>47.9</v>
      </c>
      <c r="H3686" s="225">
        <f t="shared" si="57"/>
        <v>53.71</v>
      </c>
    </row>
    <row r="3687" spans="1:8" x14ac:dyDescent="0.3">
      <c r="A3687" s="401"/>
      <c r="B3687" s="709">
        <v>44025</v>
      </c>
      <c r="C3687" s="710" t="s">
        <v>12016</v>
      </c>
      <c r="D3687" s="709" t="s">
        <v>136</v>
      </c>
      <c r="E3687" s="709" t="s">
        <v>8432</v>
      </c>
      <c r="F3687" s="716">
        <v>62.61</v>
      </c>
      <c r="G3687" s="716">
        <v>55.83</v>
      </c>
      <c r="H3687" s="225">
        <f t="shared" si="57"/>
        <v>62.61</v>
      </c>
    </row>
    <row r="3688" spans="1:8" x14ac:dyDescent="0.3">
      <c r="A3688" s="401"/>
      <c r="B3688" s="709">
        <v>44022</v>
      </c>
      <c r="C3688" s="710" t="s">
        <v>12017</v>
      </c>
      <c r="D3688" s="709" t="s">
        <v>136</v>
      </c>
      <c r="E3688" s="709" t="s">
        <v>8432</v>
      </c>
      <c r="F3688" s="716">
        <v>31.98</v>
      </c>
      <c r="G3688" s="716">
        <v>28.52</v>
      </c>
      <c r="H3688" s="225">
        <f t="shared" si="57"/>
        <v>31.98</v>
      </c>
    </row>
    <row r="3689" spans="1:8" x14ac:dyDescent="0.3">
      <c r="A3689" s="401"/>
      <c r="B3689" s="709">
        <v>44023</v>
      </c>
      <c r="C3689" s="710" t="s">
        <v>12018</v>
      </c>
      <c r="D3689" s="709" t="s">
        <v>136</v>
      </c>
      <c r="E3689" s="709" t="s">
        <v>8432</v>
      </c>
      <c r="F3689" s="716">
        <v>43.3</v>
      </c>
      <c r="G3689" s="716">
        <v>38.61</v>
      </c>
      <c r="H3689" s="225">
        <f t="shared" si="57"/>
        <v>43.3</v>
      </c>
    </row>
    <row r="3690" spans="1:8" x14ac:dyDescent="0.3">
      <c r="A3690" s="401"/>
      <c r="B3690" s="709">
        <v>43966</v>
      </c>
      <c r="C3690" s="710" t="s">
        <v>12019</v>
      </c>
      <c r="D3690" s="709" t="s">
        <v>136</v>
      </c>
      <c r="E3690" s="709" t="s">
        <v>8432</v>
      </c>
      <c r="F3690" s="716">
        <v>10.81</v>
      </c>
      <c r="G3690" s="716">
        <v>9.64</v>
      </c>
      <c r="H3690" s="225">
        <f t="shared" si="57"/>
        <v>10.81</v>
      </c>
    </row>
    <row r="3691" spans="1:8" x14ac:dyDescent="0.3">
      <c r="A3691" s="401"/>
      <c r="B3691" s="709">
        <v>43967</v>
      </c>
      <c r="C3691" s="710" t="s">
        <v>12020</v>
      </c>
      <c r="D3691" s="709" t="s">
        <v>136</v>
      </c>
      <c r="E3691" s="709" t="s">
        <v>8432</v>
      </c>
      <c r="F3691" s="716">
        <v>12.57</v>
      </c>
      <c r="G3691" s="716">
        <v>11.21</v>
      </c>
      <c r="H3691" s="225">
        <f t="shared" si="57"/>
        <v>12.57</v>
      </c>
    </row>
    <row r="3692" spans="1:8" x14ac:dyDescent="0.3">
      <c r="A3692" s="401"/>
      <c r="B3692" s="709">
        <v>43968</v>
      </c>
      <c r="C3692" s="710" t="s">
        <v>12021</v>
      </c>
      <c r="D3692" s="709" t="s">
        <v>136</v>
      </c>
      <c r="E3692" s="709" t="s">
        <v>8432</v>
      </c>
      <c r="F3692" s="716">
        <v>14.01</v>
      </c>
      <c r="G3692" s="716">
        <v>12.49</v>
      </c>
      <c r="H3692" s="225">
        <f t="shared" si="57"/>
        <v>14.01</v>
      </c>
    </row>
    <row r="3693" spans="1:8" x14ac:dyDescent="0.3">
      <c r="A3693" s="401"/>
      <c r="B3693" s="709">
        <v>43969</v>
      </c>
      <c r="C3693" s="710" t="s">
        <v>12022</v>
      </c>
      <c r="D3693" s="709" t="s">
        <v>136</v>
      </c>
      <c r="E3693" s="709" t="s">
        <v>8432</v>
      </c>
      <c r="F3693" s="716">
        <v>16.48</v>
      </c>
      <c r="G3693" s="716">
        <v>14.7</v>
      </c>
      <c r="H3693" s="225">
        <f t="shared" si="57"/>
        <v>16.48</v>
      </c>
    </row>
    <row r="3694" spans="1:8" x14ac:dyDescent="0.3">
      <c r="A3694" s="401"/>
      <c r="B3694" s="709">
        <v>44021</v>
      </c>
      <c r="C3694" s="710" t="s">
        <v>12023</v>
      </c>
      <c r="D3694" s="709" t="s">
        <v>136</v>
      </c>
      <c r="E3694" s="709" t="s">
        <v>8432</v>
      </c>
      <c r="F3694" s="716">
        <v>18.899999999999999</v>
      </c>
      <c r="G3694" s="716">
        <v>16.850000000000001</v>
      </c>
      <c r="H3694" s="225">
        <f t="shared" si="57"/>
        <v>18.899999999999999</v>
      </c>
    </row>
    <row r="3695" spans="1:8" x14ac:dyDescent="0.3">
      <c r="A3695" s="401"/>
      <c r="B3695" s="709">
        <v>43970</v>
      </c>
      <c r="C3695" s="710" t="s">
        <v>12024</v>
      </c>
      <c r="D3695" s="709" t="s">
        <v>136</v>
      </c>
      <c r="E3695" s="709" t="s">
        <v>8432</v>
      </c>
      <c r="F3695" s="716">
        <v>9.59</v>
      </c>
      <c r="G3695" s="716">
        <v>8.5500000000000007</v>
      </c>
      <c r="H3695" s="225">
        <f t="shared" si="57"/>
        <v>9.59</v>
      </c>
    </row>
    <row r="3696" spans="1:8" x14ac:dyDescent="0.3">
      <c r="A3696" s="401"/>
      <c r="B3696" s="709">
        <v>20043</v>
      </c>
      <c r="C3696" s="710" t="s">
        <v>12025</v>
      </c>
      <c r="D3696" s="709" t="s">
        <v>136</v>
      </c>
      <c r="E3696" s="709" t="s">
        <v>8432</v>
      </c>
      <c r="F3696" s="716">
        <v>11.82</v>
      </c>
      <c r="G3696" s="716">
        <v>11.93</v>
      </c>
      <c r="H3696" s="225">
        <f t="shared" si="57"/>
        <v>11.82</v>
      </c>
    </row>
    <row r="3697" spans="1:8" x14ac:dyDescent="0.3">
      <c r="A3697" s="401"/>
      <c r="B3697" s="709">
        <v>20044</v>
      </c>
      <c r="C3697" s="710" t="s">
        <v>12026</v>
      </c>
      <c r="D3697" s="709" t="s">
        <v>136</v>
      </c>
      <c r="E3697" s="709" t="s">
        <v>8432</v>
      </c>
      <c r="F3697" s="716">
        <v>13.7</v>
      </c>
      <c r="G3697" s="716">
        <v>13.84</v>
      </c>
      <c r="H3697" s="225">
        <f t="shared" si="57"/>
        <v>13.7</v>
      </c>
    </row>
    <row r="3698" spans="1:8" x14ac:dyDescent="0.3">
      <c r="A3698" s="401"/>
      <c r="B3698" s="709">
        <v>20042</v>
      </c>
      <c r="C3698" s="710" t="s">
        <v>12027</v>
      </c>
      <c r="D3698" s="709" t="s">
        <v>136</v>
      </c>
      <c r="E3698" s="709" t="s">
        <v>8432</v>
      </c>
      <c r="F3698" s="716">
        <v>10.25</v>
      </c>
      <c r="G3698" s="716">
        <v>10.35</v>
      </c>
      <c r="H3698" s="225">
        <f t="shared" si="57"/>
        <v>10.25</v>
      </c>
    </row>
    <row r="3699" spans="1:8" x14ac:dyDescent="0.3">
      <c r="A3699" s="401"/>
      <c r="B3699" s="709">
        <v>20046</v>
      </c>
      <c r="C3699" s="710" t="s">
        <v>12028</v>
      </c>
      <c r="D3699" s="709" t="s">
        <v>136</v>
      </c>
      <c r="E3699" s="709" t="s">
        <v>8432</v>
      </c>
      <c r="F3699" s="716">
        <v>24.27</v>
      </c>
      <c r="G3699" s="716">
        <v>24.5</v>
      </c>
      <c r="H3699" s="225">
        <f t="shared" si="57"/>
        <v>24.27</v>
      </c>
    </row>
    <row r="3700" spans="1:8" x14ac:dyDescent="0.3">
      <c r="A3700" s="401"/>
      <c r="B3700" s="709">
        <v>20047</v>
      </c>
      <c r="C3700" s="710" t="s">
        <v>12029</v>
      </c>
      <c r="D3700" s="709" t="s">
        <v>136</v>
      </c>
      <c r="E3700" s="709" t="s">
        <v>8432</v>
      </c>
      <c r="F3700" s="716">
        <v>72.77</v>
      </c>
      <c r="G3700" s="716">
        <v>73.48</v>
      </c>
      <c r="H3700" s="225">
        <f t="shared" si="57"/>
        <v>72.77</v>
      </c>
    </row>
    <row r="3701" spans="1:8" x14ac:dyDescent="0.3">
      <c r="A3701" s="401"/>
      <c r="B3701" s="709">
        <v>20045</v>
      </c>
      <c r="C3701" s="710" t="s">
        <v>12030</v>
      </c>
      <c r="D3701" s="709" t="s">
        <v>136</v>
      </c>
      <c r="E3701" s="709" t="s">
        <v>8432</v>
      </c>
      <c r="F3701" s="716">
        <v>12.28</v>
      </c>
      <c r="G3701" s="716">
        <v>12.4</v>
      </c>
      <c r="H3701" s="225">
        <f t="shared" si="57"/>
        <v>12.28</v>
      </c>
    </row>
    <row r="3702" spans="1:8" x14ac:dyDescent="0.3">
      <c r="A3702" s="401"/>
      <c r="B3702" s="709">
        <v>20972</v>
      </c>
      <c r="C3702" s="710" t="s">
        <v>12031</v>
      </c>
      <c r="D3702" s="709" t="s">
        <v>136</v>
      </c>
      <c r="E3702" s="709" t="s">
        <v>8432</v>
      </c>
      <c r="F3702" s="716">
        <v>117.85</v>
      </c>
      <c r="G3702" s="716">
        <v>262.85000000000002</v>
      </c>
      <c r="H3702" s="225">
        <f t="shared" si="57"/>
        <v>117.85</v>
      </c>
    </row>
    <row r="3703" spans="1:8" x14ac:dyDescent="0.3">
      <c r="A3703" s="401"/>
      <c r="B3703" s="709">
        <v>11321</v>
      </c>
      <c r="C3703" s="710" t="s">
        <v>12032</v>
      </c>
      <c r="D3703" s="709" t="s">
        <v>136</v>
      </c>
      <c r="E3703" s="709" t="s">
        <v>8432</v>
      </c>
      <c r="F3703" s="716"/>
      <c r="G3703" s="716">
        <v>32.08</v>
      </c>
      <c r="H3703" s="225">
        <f t="shared" si="57"/>
        <v>32.08</v>
      </c>
    </row>
    <row r="3704" spans="1:8" x14ac:dyDescent="0.3">
      <c r="A3704" s="401"/>
      <c r="B3704" s="709">
        <v>11323</v>
      </c>
      <c r="C3704" s="710" t="s">
        <v>12033</v>
      </c>
      <c r="D3704" s="709" t="s">
        <v>136</v>
      </c>
      <c r="E3704" s="709" t="s">
        <v>8432</v>
      </c>
      <c r="F3704" s="716"/>
      <c r="G3704" s="716">
        <v>36.89</v>
      </c>
      <c r="H3704" s="225">
        <f t="shared" si="57"/>
        <v>36.89</v>
      </c>
    </row>
    <row r="3705" spans="1:8" x14ac:dyDescent="0.3">
      <c r="A3705" s="401"/>
      <c r="B3705" s="709">
        <v>20327</v>
      </c>
      <c r="C3705" s="710" t="s">
        <v>12034</v>
      </c>
      <c r="D3705" s="709" t="s">
        <v>136</v>
      </c>
      <c r="E3705" s="709" t="s">
        <v>8432</v>
      </c>
      <c r="F3705" s="716"/>
      <c r="G3705" s="716">
        <v>20.94</v>
      </c>
      <c r="H3705" s="225">
        <f t="shared" si="57"/>
        <v>20.94</v>
      </c>
    </row>
    <row r="3706" spans="1:8" x14ac:dyDescent="0.3">
      <c r="A3706" s="401"/>
      <c r="B3706" s="709">
        <v>6034</v>
      </c>
      <c r="C3706" s="710" t="s">
        <v>12035</v>
      </c>
      <c r="D3706" s="709" t="s">
        <v>136</v>
      </c>
      <c r="E3706" s="709" t="s">
        <v>8432</v>
      </c>
      <c r="F3706" s="716">
        <v>16.190000000000001</v>
      </c>
      <c r="G3706" s="716">
        <v>14.1</v>
      </c>
      <c r="H3706" s="225">
        <f t="shared" si="57"/>
        <v>16.190000000000001</v>
      </c>
    </row>
    <row r="3707" spans="1:8" x14ac:dyDescent="0.3">
      <c r="A3707" s="401"/>
      <c r="B3707" s="709">
        <v>6036</v>
      </c>
      <c r="C3707" s="710" t="s">
        <v>12036</v>
      </c>
      <c r="D3707" s="709" t="s">
        <v>136</v>
      </c>
      <c r="E3707" s="709" t="s">
        <v>8432</v>
      </c>
      <c r="F3707" s="716">
        <v>22.05</v>
      </c>
      <c r="G3707" s="716">
        <v>19.21</v>
      </c>
      <c r="H3707" s="225">
        <f t="shared" si="57"/>
        <v>22.05</v>
      </c>
    </row>
    <row r="3708" spans="1:8" x14ac:dyDescent="0.3">
      <c r="A3708" s="401"/>
      <c r="B3708" s="709">
        <v>6031</v>
      </c>
      <c r="C3708" s="710" t="s">
        <v>12037</v>
      </c>
      <c r="D3708" s="709" t="s">
        <v>136</v>
      </c>
      <c r="E3708" s="709" t="s">
        <v>8438</v>
      </c>
      <c r="F3708" s="716">
        <v>25.91</v>
      </c>
      <c r="G3708" s="716">
        <v>22.57</v>
      </c>
      <c r="H3708" s="225">
        <f t="shared" si="57"/>
        <v>25.91</v>
      </c>
    </row>
    <row r="3709" spans="1:8" x14ac:dyDescent="0.3">
      <c r="A3709" s="401"/>
      <c r="B3709" s="709">
        <v>6029</v>
      </c>
      <c r="C3709" s="710" t="s">
        <v>12038</v>
      </c>
      <c r="D3709" s="709" t="s">
        <v>136</v>
      </c>
      <c r="E3709" s="709" t="s">
        <v>8432</v>
      </c>
      <c r="F3709" s="716">
        <v>26.18</v>
      </c>
      <c r="G3709" s="716">
        <v>22.81</v>
      </c>
      <c r="H3709" s="225">
        <f t="shared" si="57"/>
        <v>26.18</v>
      </c>
    </row>
    <row r="3710" spans="1:8" x14ac:dyDescent="0.3">
      <c r="A3710" s="401"/>
      <c r="B3710" s="709">
        <v>6033</v>
      </c>
      <c r="C3710" s="710" t="s">
        <v>12039</v>
      </c>
      <c r="D3710" s="709" t="s">
        <v>136</v>
      </c>
      <c r="E3710" s="709" t="s">
        <v>8432</v>
      </c>
      <c r="F3710" s="716">
        <v>34.51</v>
      </c>
      <c r="G3710" s="716">
        <v>30.06</v>
      </c>
      <c r="H3710" s="225">
        <f t="shared" si="57"/>
        <v>34.51</v>
      </c>
    </row>
    <row r="3711" spans="1:8" x14ac:dyDescent="0.3">
      <c r="A3711" s="401"/>
      <c r="B3711" s="709">
        <v>11672</v>
      </c>
      <c r="C3711" s="710" t="s">
        <v>12040</v>
      </c>
      <c r="D3711" s="709" t="s">
        <v>136</v>
      </c>
      <c r="E3711" s="709" t="s">
        <v>8432</v>
      </c>
      <c r="F3711" s="716">
        <v>75.069999999999993</v>
      </c>
      <c r="G3711" s="716">
        <v>65.39</v>
      </c>
      <c r="H3711" s="225">
        <f t="shared" si="57"/>
        <v>75.069999999999993</v>
      </c>
    </row>
    <row r="3712" spans="1:8" x14ac:dyDescent="0.3">
      <c r="A3712" s="401"/>
      <c r="B3712" s="709">
        <v>11669</v>
      </c>
      <c r="C3712" s="710" t="s">
        <v>12041</v>
      </c>
      <c r="D3712" s="709" t="s">
        <v>136</v>
      </c>
      <c r="E3712" s="709" t="s">
        <v>8432</v>
      </c>
      <c r="F3712" s="716">
        <v>71.489999999999995</v>
      </c>
      <c r="G3712" s="716">
        <v>62.28</v>
      </c>
      <c r="H3712" s="225">
        <f t="shared" si="57"/>
        <v>71.489999999999995</v>
      </c>
    </row>
    <row r="3713" spans="1:8" x14ac:dyDescent="0.3">
      <c r="A3713" s="401"/>
      <c r="B3713" s="709">
        <v>20055</v>
      </c>
      <c r="C3713" s="710" t="s">
        <v>12042</v>
      </c>
      <c r="D3713" s="709" t="s">
        <v>136</v>
      </c>
      <c r="E3713" s="709" t="s">
        <v>8432</v>
      </c>
      <c r="F3713" s="716">
        <v>53.54</v>
      </c>
      <c r="G3713" s="716">
        <v>46.64</v>
      </c>
      <c r="H3713" s="225">
        <f t="shared" si="57"/>
        <v>53.54</v>
      </c>
    </row>
    <row r="3714" spans="1:8" x14ac:dyDescent="0.3">
      <c r="A3714" s="401"/>
      <c r="B3714" s="709">
        <v>11670</v>
      </c>
      <c r="C3714" s="710" t="s">
        <v>12043</v>
      </c>
      <c r="D3714" s="709" t="s">
        <v>136</v>
      </c>
      <c r="E3714" s="709" t="s">
        <v>8432</v>
      </c>
      <c r="F3714" s="716">
        <v>27.39</v>
      </c>
      <c r="G3714" s="716">
        <v>23.85</v>
      </c>
      <c r="H3714" s="225">
        <f t="shared" si="57"/>
        <v>27.39</v>
      </c>
    </row>
    <row r="3715" spans="1:8" x14ac:dyDescent="0.3">
      <c r="A3715" s="401"/>
      <c r="B3715" s="709">
        <v>11671</v>
      </c>
      <c r="C3715" s="710" t="s">
        <v>12044</v>
      </c>
      <c r="D3715" s="709" t="s">
        <v>136</v>
      </c>
      <c r="E3715" s="709" t="s">
        <v>8432</v>
      </c>
      <c r="F3715" s="716">
        <v>114.89</v>
      </c>
      <c r="G3715" s="716">
        <v>100.08</v>
      </c>
      <c r="H3715" s="225">
        <f t="shared" si="57"/>
        <v>114.89</v>
      </c>
    </row>
    <row r="3716" spans="1:8" x14ac:dyDescent="0.3">
      <c r="A3716" s="401"/>
      <c r="B3716" s="709">
        <v>6032</v>
      </c>
      <c r="C3716" s="710" t="s">
        <v>12045</v>
      </c>
      <c r="D3716" s="709" t="s">
        <v>136</v>
      </c>
      <c r="E3716" s="709" t="s">
        <v>8432</v>
      </c>
      <c r="F3716" s="716">
        <v>32.81</v>
      </c>
      <c r="G3716" s="716">
        <v>28.58</v>
      </c>
      <c r="H3716" s="225">
        <f t="shared" si="57"/>
        <v>32.81</v>
      </c>
    </row>
    <row r="3717" spans="1:8" x14ac:dyDescent="0.3">
      <c r="A3717" s="401"/>
      <c r="B3717" s="709">
        <v>11673</v>
      </c>
      <c r="C3717" s="710" t="s">
        <v>12046</v>
      </c>
      <c r="D3717" s="709" t="s">
        <v>136</v>
      </c>
      <c r="E3717" s="709" t="s">
        <v>8432</v>
      </c>
      <c r="F3717" s="716">
        <v>25.84</v>
      </c>
      <c r="G3717" s="716">
        <v>22.51</v>
      </c>
      <c r="H3717" s="225">
        <f t="shared" si="57"/>
        <v>25.84</v>
      </c>
    </row>
    <row r="3718" spans="1:8" x14ac:dyDescent="0.3">
      <c r="A3718" s="401"/>
      <c r="B3718" s="709">
        <v>11674</v>
      </c>
      <c r="C3718" s="710" t="s">
        <v>12047</v>
      </c>
      <c r="D3718" s="709" t="s">
        <v>136</v>
      </c>
      <c r="E3718" s="709" t="s">
        <v>8432</v>
      </c>
      <c r="F3718" s="716">
        <v>33.28</v>
      </c>
      <c r="G3718" s="716">
        <v>28.99</v>
      </c>
      <c r="H3718" s="225">
        <f t="shared" si="57"/>
        <v>33.28</v>
      </c>
    </row>
    <row r="3719" spans="1:8" x14ac:dyDescent="0.3">
      <c r="A3719" s="401"/>
      <c r="B3719" s="709">
        <v>11675</v>
      </c>
      <c r="C3719" s="710" t="s">
        <v>12048</v>
      </c>
      <c r="D3719" s="709" t="s">
        <v>136</v>
      </c>
      <c r="E3719" s="709" t="s">
        <v>8432</v>
      </c>
      <c r="F3719" s="716">
        <v>52.83</v>
      </c>
      <c r="G3719" s="716">
        <v>46.02</v>
      </c>
      <c r="H3719" s="225">
        <f t="shared" si="57"/>
        <v>52.83</v>
      </c>
    </row>
    <row r="3720" spans="1:8" x14ac:dyDescent="0.3">
      <c r="A3720" s="401"/>
      <c r="B3720" s="709">
        <v>11676</v>
      </c>
      <c r="C3720" s="710" t="s">
        <v>12049</v>
      </c>
      <c r="D3720" s="709" t="s">
        <v>136</v>
      </c>
      <c r="E3720" s="709" t="s">
        <v>8432</v>
      </c>
      <c r="F3720" s="716">
        <v>70.66</v>
      </c>
      <c r="G3720" s="716">
        <v>61.55</v>
      </c>
      <c r="H3720" s="225">
        <f t="shared" si="57"/>
        <v>70.66</v>
      </c>
    </row>
    <row r="3721" spans="1:8" x14ac:dyDescent="0.3">
      <c r="A3721" s="401"/>
      <c r="B3721" s="709">
        <v>11677</v>
      </c>
      <c r="C3721" s="710" t="s">
        <v>12050</v>
      </c>
      <c r="D3721" s="709" t="s">
        <v>136</v>
      </c>
      <c r="E3721" s="709" t="s">
        <v>8432</v>
      </c>
      <c r="F3721" s="716">
        <v>72.97</v>
      </c>
      <c r="G3721" s="716">
        <v>63.57</v>
      </c>
      <c r="H3721" s="225">
        <f t="shared" si="57"/>
        <v>72.97</v>
      </c>
    </row>
    <row r="3722" spans="1:8" x14ac:dyDescent="0.3">
      <c r="A3722" s="401"/>
      <c r="B3722" s="709">
        <v>11678</v>
      </c>
      <c r="C3722" s="710" t="s">
        <v>12051</v>
      </c>
      <c r="D3722" s="709" t="s">
        <v>136</v>
      </c>
      <c r="E3722" s="709" t="s">
        <v>8432</v>
      </c>
      <c r="F3722" s="716">
        <v>133.65</v>
      </c>
      <c r="G3722" s="716">
        <v>116.42</v>
      </c>
      <c r="H3722" s="225">
        <f t="shared" si="57"/>
        <v>133.65</v>
      </c>
    </row>
    <row r="3723" spans="1:8" x14ac:dyDescent="0.3">
      <c r="A3723" s="401"/>
      <c r="B3723" s="709">
        <v>6038</v>
      </c>
      <c r="C3723" s="710" t="s">
        <v>12052</v>
      </c>
      <c r="D3723" s="709" t="s">
        <v>136</v>
      </c>
      <c r="E3723" s="709" t="s">
        <v>8432</v>
      </c>
      <c r="F3723" s="716">
        <v>8.48</v>
      </c>
      <c r="G3723" s="716">
        <v>7.38</v>
      </c>
      <c r="H3723" s="225">
        <f t="shared" ref="H3723:H3786" si="58">IF(F3723&gt;0,F3723,G3723)</f>
        <v>8.48</v>
      </c>
    </row>
    <row r="3724" spans="1:8" x14ac:dyDescent="0.3">
      <c r="A3724" s="401"/>
      <c r="B3724" s="709">
        <v>11718</v>
      </c>
      <c r="C3724" s="710" t="s">
        <v>12053</v>
      </c>
      <c r="D3724" s="709" t="s">
        <v>136</v>
      </c>
      <c r="E3724" s="709" t="s">
        <v>8432</v>
      </c>
      <c r="F3724" s="716">
        <v>24.18</v>
      </c>
      <c r="G3724" s="716">
        <v>21.06</v>
      </c>
      <c r="H3724" s="225">
        <f t="shared" si="58"/>
        <v>24.18</v>
      </c>
    </row>
    <row r="3725" spans="1:8" x14ac:dyDescent="0.3">
      <c r="A3725" s="401"/>
      <c r="B3725" s="709">
        <v>6037</v>
      </c>
      <c r="C3725" s="710" t="s">
        <v>12054</v>
      </c>
      <c r="D3725" s="709" t="s">
        <v>136</v>
      </c>
      <c r="E3725" s="709" t="s">
        <v>8432</v>
      </c>
      <c r="F3725" s="716">
        <v>17.64</v>
      </c>
      <c r="G3725" s="716">
        <v>15.36</v>
      </c>
      <c r="H3725" s="225">
        <f t="shared" si="58"/>
        <v>17.64</v>
      </c>
    </row>
    <row r="3726" spans="1:8" x14ac:dyDescent="0.3">
      <c r="A3726" s="401"/>
      <c r="B3726" s="709">
        <v>11719</v>
      </c>
      <c r="C3726" s="710" t="s">
        <v>12055</v>
      </c>
      <c r="D3726" s="709" t="s">
        <v>136</v>
      </c>
      <c r="E3726" s="709" t="s">
        <v>8432</v>
      </c>
      <c r="F3726" s="716">
        <v>19.61</v>
      </c>
      <c r="G3726" s="716">
        <v>17.079999999999998</v>
      </c>
      <c r="H3726" s="225">
        <f t="shared" si="58"/>
        <v>19.61</v>
      </c>
    </row>
    <row r="3727" spans="1:8" x14ac:dyDescent="0.3">
      <c r="A3727" s="401"/>
      <c r="B3727" s="709">
        <v>6010</v>
      </c>
      <c r="C3727" s="710" t="s">
        <v>12056</v>
      </c>
      <c r="D3727" s="709" t="s">
        <v>136</v>
      </c>
      <c r="E3727" s="709" t="s">
        <v>8432</v>
      </c>
      <c r="F3727" s="716">
        <v>139.05000000000001</v>
      </c>
      <c r="G3727" s="716">
        <v>74.59</v>
      </c>
      <c r="H3727" s="225">
        <f t="shared" si="58"/>
        <v>139.05000000000001</v>
      </c>
    </row>
    <row r="3728" spans="1:8" x14ac:dyDescent="0.3">
      <c r="A3728" s="401"/>
      <c r="B3728" s="709">
        <v>6017</v>
      </c>
      <c r="C3728" s="710" t="s">
        <v>12057</v>
      </c>
      <c r="D3728" s="709" t="s">
        <v>136</v>
      </c>
      <c r="E3728" s="709" t="s">
        <v>8432</v>
      </c>
      <c r="F3728" s="716">
        <v>110.14</v>
      </c>
      <c r="G3728" s="716">
        <v>59.08</v>
      </c>
      <c r="H3728" s="225">
        <f t="shared" si="58"/>
        <v>110.14</v>
      </c>
    </row>
    <row r="3729" spans="1:8" x14ac:dyDescent="0.3">
      <c r="A3729" s="401"/>
      <c r="B3729" s="709">
        <v>6019</v>
      </c>
      <c r="C3729" s="710" t="s">
        <v>12058</v>
      </c>
      <c r="D3729" s="709" t="s">
        <v>136</v>
      </c>
      <c r="E3729" s="709" t="s">
        <v>8432</v>
      </c>
      <c r="F3729" s="716">
        <v>80.81</v>
      </c>
      <c r="G3729" s="716">
        <v>43.35</v>
      </c>
      <c r="H3729" s="225">
        <f t="shared" si="58"/>
        <v>80.81</v>
      </c>
    </row>
    <row r="3730" spans="1:8" x14ac:dyDescent="0.3">
      <c r="A3730" s="401"/>
      <c r="B3730" s="709">
        <v>6020</v>
      </c>
      <c r="C3730" s="710" t="s">
        <v>12059</v>
      </c>
      <c r="D3730" s="709" t="s">
        <v>136</v>
      </c>
      <c r="E3730" s="709" t="s">
        <v>8432</v>
      </c>
      <c r="F3730" s="716">
        <v>48.54</v>
      </c>
      <c r="G3730" s="716">
        <v>26.03</v>
      </c>
      <c r="H3730" s="225">
        <f t="shared" si="58"/>
        <v>48.54</v>
      </c>
    </row>
    <row r="3731" spans="1:8" x14ac:dyDescent="0.3">
      <c r="A3731" s="401"/>
      <c r="B3731" s="709">
        <v>6011</v>
      </c>
      <c r="C3731" s="710" t="s">
        <v>12060</v>
      </c>
      <c r="D3731" s="709" t="s">
        <v>136</v>
      </c>
      <c r="E3731" s="709" t="s">
        <v>8432</v>
      </c>
      <c r="F3731" s="716">
        <v>401.66</v>
      </c>
      <c r="G3731" s="716">
        <v>215.46</v>
      </c>
      <c r="H3731" s="225">
        <f t="shared" si="58"/>
        <v>401.66</v>
      </c>
    </row>
    <row r="3732" spans="1:8" x14ac:dyDescent="0.3">
      <c r="A3732" s="401"/>
      <c r="B3732" s="709">
        <v>6028</v>
      </c>
      <c r="C3732" s="710" t="s">
        <v>12061</v>
      </c>
      <c r="D3732" s="709" t="s">
        <v>136</v>
      </c>
      <c r="E3732" s="709" t="s">
        <v>8432</v>
      </c>
      <c r="F3732" s="716">
        <v>193.67</v>
      </c>
      <c r="G3732" s="716">
        <v>103.89</v>
      </c>
      <c r="H3732" s="225">
        <f t="shared" si="58"/>
        <v>193.67</v>
      </c>
    </row>
    <row r="3733" spans="1:8" x14ac:dyDescent="0.3">
      <c r="A3733" s="401"/>
      <c r="B3733" s="709">
        <v>6012</v>
      </c>
      <c r="C3733" s="710" t="s">
        <v>12062</v>
      </c>
      <c r="D3733" s="709" t="s">
        <v>136</v>
      </c>
      <c r="E3733" s="709" t="s">
        <v>8432</v>
      </c>
      <c r="F3733" s="716">
        <v>486.28</v>
      </c>
      <c r="G3733" s="716">
        <v>260.85000000000002</v>
      </c>
      <c r="H3733" s="225">
        <f t="shared" si="58"/>
        <v>486.28</v>
      </c>
    </row>
    <row r="3734" spans="1:8" x14ac:dyDescent="0.3">
      <c r="A3734" s="401"/>
      <c r="B3734" s="709">
        <v>6016</v>
      </c>
      <c r="C3734" s="710" t="s">
        <v>12063</v>
      </c>
      <c r="D3734" s="709" t="s">
        <v>136</v>
      </c>
      <c r="E3734" s="709" t="s">
        <v>8432</v>
      </c>
      <c r="F3734" s="716">
        <v>51.2</v>
      </c>
      <c r="G3734" s="716">
        <v>27.46</v>
      </c>
      <c r="H3734" s="225">
        <f t="shared" si="58"/>
        <v>51.2</v>
      </c>
    </row>
    <row r="3735" spans="1:8" x14ac:dyDescent="0.3">
      <c r="A3735" s="401"/>
      <c r="B3735" s="709">
        <v>6027</v>
      </c>
      <c r="C3735" s="710" t="s">
        <v>12064</v>
      </c>
      <c r="D3735" s="709" t="s">
        <v>136</v>
      </c>
      <c r="E3735" s="709" t="s">
        <v>8432</v>
      </c>
      <c r="F3735" s="716">
        <v>1013.24</v>
      </c>
      <c r="G3735" s="716">
        <v>543.53</v>
      </c>
      <c r="H3735" s="225">
        <f t="shared" si="58"/>
        <v>1013.24</v>
      </c>
    </row>
    <row r="3736" spans="1:8" x14ac:dyDescent="0.3">
      <c r="A3736" s="401"/>
      <c r="B3736" s="709">
        <v>6015</v>
      </c>
      <c r="C3736" s="710" t="s">
        <v>12065</v>
      </c>
      <c r="D3736" s="709" t="s">
        <v>136</v>
      </c>
      <c r="E3736" s="709" t="s">
        <v>8432</v>
      </c>
      <c r="F3736" s="716">
        <v>222.34</v>
      </c>
      <c r="G3736" s="716">
        <v>119.27</v>
      </c>
      <c r="H3736" s="225">
        <f t="shared" si="58"/>
        <v>222.34</v>
      </c>
    </row>
    <row r="3737" spans="1:8" x14ac:dyDescent="0.3">
      <c r="A3737" s="401"/>
      <c r="B3737" s="709">
        <v>6014</v>
      </c>
      <c r="C3737" s="710" t="s">
        <v>12066</v>
      </c>
      <c r="D3737" s="709" t="s">
        <v>136</v>
      </c>
      <c r="E3737" s="709" t="s">
        <v>8432</v>
      </c>
      <c r="F3737" s="716">
        <v>212.58</v>
      </c>
      <c r="G3737" s="716">
        <v>114.03</v>
      </c>
      <c r="H3737" s="225">
        <f t="shared" si="58"/>
        <v>212.58</v>
      </c>
    </row>
    <row r="3738" spans="1:8" x14ac:dyDescent="0.3">
      <c r="A3738" s="401"/>
      <c r="B3738" s="709">
        <v>6013</v>
      </c>
      <c r="C3738" s="710" t="s">
        <v>12067</v>
      </c>
      <c r="D3738" s="709" t="s">
        <v>136</v>
      </c>
      <c r="E3738" s="709" t="s">
        <v>8432</v>
      </c>
      <c r="F3738" s="716">
        <v>152.88999999999999</v>
      </c>
      <c r="G3738" s="716">
        <v>82.01</v>
      </c>
      <c r="H3738" s="225">
        <f t="shared" si="58"/>
        <v>152.88999999999999</v>
      </c>
    </row>
    <row r="3739" spans="1:8" x14ac:dyDescent="0.3">
      <c r="A3739" s="401"/>
      <c r="B3739" s="709">
        <v>6006</v>
      </c>
      <c r="C3739" s="710" t="s">
        <v>12068</v>
      </c>
      <c r="D3739" s="709" t="s">
        <v>136</v>
      </c>
      <c r="E3739" s="709" t="s">
        <v>8432</v>
      </c>
      <c r="F3739" s="716">
        <v>110.72</v>
      </c>
      <c r="G3739" s="716">
        <v>59.39</v>
      </c>
      <c r="H3739" s="225">
        <f t="shared" si="58"/>
        <v>110.72</v>
      </c>
    </row>
    <row r="3740" spans="1:8" x14ac:dyDescent="0.3">
      <c r="A3740" s="401"/>
      <c r="B3740" s="709">
        <v>6005</v>
      </c>
      <c r="C3740" s="710" t="s">
        <v>12069</v>
      </c>
      <c r="D3740" s="709" t="s">
        <v>136</v>
      </c>
      <c r="E3740" s="709" t="s">
        <v>8438</v>
      </c>
      <c r="F3740" s="716">
        <v>124.9</v>
      </c>
      <c r="G3740" s="716">
        <v>67</v>
      </c>
      <c r="H3740" s="225">
        <f t="shared" si="58"/>
        <v>124.9</v>
      </c>
    </row>
    <row r="3741" spans="1:8" x14ac:dyDescent="0.3">
      <c r="A3741" s="401"/>
      <c r="B3741" s="709">
        <v>11756</v>
      </c>
      <c r="C3741" s="710" t="s">
        <v>12070</v>
      </c>
      <c r="D3741" s="709" t="s">
        <v>136</v>
      </c>
      <c r="E3741" s="709" t="s">
        <v>8432</v>
      </c>
      <c r="F3741" s="716">
        <v>59.65</v>
      </c>
      <c r="G3741" s="716">
        <v>32</v>
      </c>
      <c r="H3741" s="225">
        <f t="shared" si="58"/>
        <v>59.65</v>
      </c>
    </row>
    <row r="3742" spans="1:8" x14ac:dyDescent="0.3">
      <c r="A3742" s="401"/>
      <c r="B3742" s="709">
        <v>10904</v>
      </c>
      <c r="C3742" s="710" t="s">
        <v>12071</v>
      </c>
      <c r="D3742" s="709" t="s">
        <v>136</v>
      </c>
      <c r="E3742" s="709" t="s">
        <v>8438</v>
      </c>
      <c r="F3742" s="716">
        <v>165</v>
      </c>
      <c r="G3742" s="716">
        <v>368</v>
      </c>
      <c r="H3742" s="225">
        <f t="shared" si="58"/>
        <v>165</v>
      </c>
    </row>
    <row r="3743" spans="1:8" x14ac:dyDescent="0.3">
      <c r="A3743" s="401"/>
      <c r="B3743" s="709">
        <v>11752</v>
      </c>
      <c r="C3743" s="710" t="s">
        <v>12072</v>
      </c>
      <c r="D3743" s="709" t="s">
        <v>136</v>
      </c>
      <c r="E3743" s="709" t="s">
        <v>8432</v>
      </c>
      <c r="F3743" s="716">
        <v>34.4</v>
      </c>
      <c r="G3743" s="716">
        <v>18.45</v>
      </c>
      <c r="H3743" s="225">
        <f t="shared" si="58"/>
        <v>34.4</v>
      </c>
    </row>
    <row r="3744" spans="1:8" x14ac:dyDescent="0.3">
      <c r="A3744" s="401"/>
      <c r="B3744" s="709">
        <v>11753</v>
      </c>
      <c r="C3744" s="710" t="s">
        <v>12073</v>
      </c>
      <c r="D3744" s="709" t="s">
        <v>136</v>
      </c>
      <c r="E3744" s="709" t="s">
        <v>8432</v>
      </c>
      <c r="F3744" s="716">
        <v>41.07</v>
      </c>
      <c r="G3744" s="716">
        <v>22.03</v>
      </c>
      <c r="H3744" s="225">
        <f t="shared" si="58"/>
        <v>41.07</v>
      </c>
    </row>
    <row r="3745" spans="1:8" x14ac:dyDescent="0.3">
      <c r="A3745" s="401"/>
      <c r="B3745" s="709">
        <v>6021</v>
      </c>
      <c r="C3745" s="710" t="s">
        <v>12074</v>
      </c>
      <c r="D3745" s="709" t="s">
        <v>136</v>
      </c>
      <c r="E3745" s="709" t="s">
        <v>8432</v>
      </c>
      <c r="F3745" s="716">
        <v>113.96</v>
      </c>
      <c r="G3745" s="716">
        <v>61.13</v>
      </c>
      <c r="H3745" s="225">
        <f t="shared" si="58"/>
        <v>113.96</v>
      </c>
    </row>
    <row r="3746" spans="1:8" x14ac:dyDescent="0.3">
      <c r="A3746" s="401"/>
      <c r="B3746" s="709">
        <v>6024</v>
      </c>
      <c r="C3746" s="710" t="s">
        <v>12075</v>
      </c>
      <c r="D3746" s="709" t="s">
        <v>136</v>
      </c>
      <c r="E3746" s="709" t="s">
        <v>8432</v>
      </c>
      <c r="F3746" s="716">
        <v>117.8</v>
      </c>
      <c r="G3746" s="716">
        <v>63.19</v>
      </c>
      <c r="H3746" s="225">
        <f t="shared" si="58"/>
        <v>117.8</v>
      </c>
    </row>
    <row r="3747" spans="1:8" x14ac:dyDescent="0.3">
      <c r="A3747" s="401"/>
      <c r="B3747" s="709">
        <v>45394</v>
      </c>
      <c r="C3747" s="710" t="s">
        <v>12076</v>
      </c>
      <c r="D3747" s="709" t="s">
        <v>136</v>
      </c>
      <c r="E3747" s="709" t="s">
        <v>8432</v>
      </c>
      <c r="F3747" s="716">
        <v>38.99</v>
      </c>
      <c r="G3747" s="716">
        <v>38.340000000000003</v>
      </c>
      <c r="H3747" s="225">
        <f t="shared" si="58"/>
        <v>38.99</v>
      </c>
    </row>
    <row r="3748" spans="1:8" x14ac:dyDescent="0.3">
      <c r="A3748" s="401"/>
      <c r="B3748" s="709">
        <v>13897</v>
      </c>
      <c r="C3748" s="710" t="s">
        <v>12077</v>
      </c>
      <c r="D3748" s="709" t="s">
        <v>136</v>
      </c>
      <c r="E3748" s="709" t="s">
        <v>8432</v>
      </c>
      <c r="F3748" s="716"/>
      <c r="G3748" s="716">
        <v>7717.01</v>
      </c>
      <c r="H3748" s="225">
        <f t="shared" si="58"/>
        <v>7717.01</v>
      </c>
    </row>
    <row r="3749" spans="1:8" x14ac:dyDescent="0.3">
      <c r="A3749" s="401"/>
      <c r="B3749" s="709">
        <v>34357</v>
      </c>
      <c r="C3749" s="710" t="s">
        <v>12078</v>
      </c>
      <c r="D3749" s="709" t="s">
        <v>175</v>
      </c>
      <c r="E3749" s="709" t="s">
        <v>8432</v>
      </c>
      <c r="F3749" s="716">
        <v>4.6900000000000004</v>
      </c>
      <c r="G3749" s="716">
        <v>4.22</v>
      </c>
      <c r="H3749" s="225">
        <f t="shared" si="58"/>
        <v>4.6900000000000004</v>
      </c>
    </row>
    <row r="3750" spans="1:8" x14ac:dyDescent="0.3">
      <c r="A3750" s="401"/>
      <c r="B3750" s="709">
        <v>37329</v>
      </c>
      <c r="C3750" s="710" t="s">
        <v>12079</v>
      </c>
      <c r="D3750" s="709" t="s">
        <v>175</v>
      </c>
      <c r="E3750" s="709" t="s">
        <v>8432</v>
      </c>
      <c r="F3750" s="716">
        <v>98.93</v>
      </c>
      <c r="G3750" s="716">
        <v>89.04</v>
      </c>
      <c r="H3750" s="225">
        <f t="shared" si="58"/>
        <v>98.93</v>
      </c>
    </row>
    <row r="3751" spans="1:8" x14ac:dyDescent="0.3">
      <c r="A3751" s="401"/>
      <c r="B3751" s="709">
        <v>2510</v>
      </c>
      <c r="C3751" s="710" t="s">
        <v>12080</v>
      </c>
      <c r="D3751" s="709" t="s">
        <v>136</v>
      </c>
      <c r="E3751" s="709" t="s">
        <v>8432</v>
      </c>
      <c r="F3751" s="716"/>
      <c r="G3751" s="716">
        <v>27.23</v>
      </c>
      <c r="H3751" s="225">
        <f t="shared" si="58"/>
        <v>27.23</v>
      </c>
    </row>
    <row r="3752" spans="1:8" x14ac:dyDescent="0.3">
      <c r="A3752" s="401"/>
      <c r="B3752" s="709">
        <v>12359</v>
      </c>
      <c r="C3752" s="710" t="s">
        <v>12081</v>
      </c>
      <c r="D3752" s="709" t="s">
        <v>136</v>
      </c>
      <c r="E3752" s="709" t="s">
        <v>8432</v>
      </c>
      <c r="F3752" s="716">
        <v>173.24</v>
      </c>
      <c r="G3752" s="716">
        <v>130.80000000000001</v>
      </c>
      <c r="H3752" s="225">
        <f t="shared" si="58"/>
        <v>173.24</v>
      </c>
    </row>
    <row r="3753" spans="1:8" x14ac:dyDescent="0.3">
      <c r="A3753" s="401"/>
      <c r="B3753" s="709">
        <v>7353</v>
      </c>
      <c r="C3753" s="710" t="s">
        <v>12082</v>
      </c>
      <c r="D3753" s="709" t="s">
        <v>8120</v>
      </c>
      <c r="E3753" s="709" t="s">
        <v>8432</v>
      </c>
      <c r="F3753" s="716">
        <v>36.85</v>
      </c>
      <c r="G3753" s="716">
        <v>35.75</v>
      </c>
      <c r="H3753" s="225">
        <f t="shared" si="58"/>
        <v>36.85</v>
      </c>
    </row>
    <row r="3754" spans="1:8" x14ac:dyDescent="0.3">
      <c r="A3754" s="401"/>
      <c r="B3754" s="709">
        <v>45264</v>
      </c>
      <c r="C3754" s="710" t="s">
        <v>12083</v>
      </c>
      <c r="D3754" s="709" t="s">
        <v>136</v>
      </c>
      <c r="E3754" s="709" t="s">
        <v>8432</v>
      </c>
      <c r="F3754" s="716">
        <v>30.3</v>
      </c>
      <c r="G3754" s="716">
        <v>29.72</v>
      </c>
      <c r="H3754" s="225">
        <f t="shared" si="58"/>
        <v>30.3</v>
      </c>
    </row>
    <row r="3755" spans="1:8" x14ac:dyDescent="0.3">
      <c r="A3755" s="401"/>
      <c r="B3755" s="709">
        <v>36144</v>
      </c>
      <c r="C3755" s="710" t="s">
        <v>12084</v>
      </c>
      <c r="D3755" s="709" t="s">
        <v>136</v>
      </c>
      <c r="E3755" s="709" t="s">
        <v>8432</v>
      </c>
      <c r="F3755" s="716">
        <v>1.89</v>
      </c>
      <c r="G3755" s="716">
        <v>1.85</v>
      </c>
      <c r="H3755" s="225">
        <f t="shared" si="58"/>
        <v>1.89</v>
      </c>
    </row>
    <row r="3756" spans="1:8" x14ac:dyDescent="0.3">
      <c r="A3756" s="401"/>
      <c r="B3756" s="709">
        <v>10518</v>
      </c>
      <c r="C3756" s="710" t="s">
        <v>12085</v>
      </c>
      <c r="D3756" s="709" t="s">
        <v>136</v>
      </c>
      <c r="E3756" s="709" t="s">
        <v>8432</v>
      </c>
      <c r="F3756" s="716"/>
      <c r="G3756" s="716">
        <v>137.38</v>
      </c>
      <c r="H3756" s="225">
        <f t="shared" si="58"/>
        <v>137.38</v>
      </c>
    </row>
    <row r="3757" spans="1:8" x14ac:dyDescent="0.3">
      <c r="A3757" s="401"/>
      <c r="B3757" s="709">
        <v>36530</v>
      </c>
      <c r="C3757" s="710" t="s">
        <v>12086</v>
      </c>
      <c r="D3757" s="709" t="s">
        <v>136</v>
      </c>
      <c r="E3757" s="709" t="s">
        <v>8432</v>
      </c>
      <c r="F3757" s="716">
        <v>410268.28</v>
      </c>
      <c r="G3757" s="716">
        <v>414878.04</v>
      </c>
      <c r="H3757" s="225">
        <f t="shared" si="58"/>
        <v>410268.28</v>
      </c>
    </row>
    <row r="3758" spans="1:8" x14ac:dyDescent="0.3">
      <c r="A3758" s="401"/>
      <c r="B3758" s="709">
        <v>6046</v>
      </c>
      <c r="C3758" s="710" t="s">
        <v>12087</v>
      </c>
      <c r="D3758" s="709" t="s">
        <v>136</v>
      </c>
      <c r="E3758" s="709" t="s">
        <v>8438</v>
      </c>
      <c r="F3758" s="716">
        <v>445000</v>
      </c>
      <c r="G3758" s="716">
        <v>450000</v>
      </c>
      <c r="H3758" s="225">
        <f t="shared" si="58"/>
        <v>445000</v>
      </c>
    </row>
    <row r="3759" spans="1:8" x14ac:dyDescent="0.3">
      <c r="A3759" s="401"/>
      <c r="B3759" s="709">
        <v>36531</v>
      </c>
      <c r="C3759" s="710" t="s">
        <v>12088</v>
      </c>
      <c r="D3759" s="709" t="s">
        <v>136</v>
      </c>
      <c r="E3759" s="709" t="s">
        <v>8432</v>
      </c>
      <c r="F3759" s="716">
        <v>461280.45</v>
      </c>
      <c r="G3759" s="716">
        <v>466463.38</v>
      </c>
      <c r="H3759" s="225">
        <f t="shared" si="58"/>
        <v>461280.45</v>
      </c>
    </row>
    <row r="3760" spans="1:8" x14ac:dyDescent="0.3">
      <c r="A3760" s="401"/>
      <c r="B3760" s="709">
        <v>34684</v>
      </c>
      <c r="C3760" s="710" t="s">
        <v>12089</v>
      </c>
      <c r="D3760" s="709" t="s">
        <v>168</v>
      </c>
      <c r="E3760" s="709" t="s">
        <v>8432</v>
      </c>
      <c r="F3760" s="716"/>
      <c r="G3760" s="716">
        <v>327.58</v>
      </c>
      <c r="H3760" s="225">
        <f t="shared" si="58"/>
        <v>327.58</v>
      </c>
    </row>
    <row r="3761" spans="1:8" x14ac:dyDescent="0.3">
      <c r="A3761" s="401"/>
      <c r="B3761" s="709">
        <v>34683</v>
      </c>
      <c r="C3761" s="710" t="s">
        <v>12090</v>
      </c>
      <c r="D3761" s="709" t="s">
        <v>168</v>
      </c>
      <c r="E3761" s="709" t="s">
        <v>8432</v>
      </c>
      <c r="F3761" s="716"/>
      <c r="G3761" s="716">
        <v>204.73</v>
      </c>
      <c r="H3761" s="225">
        <f t="shared" si="58"/>
        <v>204.73</v>
      </c>
    </row>
    <row r="3762" spans="1:8" x14ac:dyDescent="0.3">
      <c r="A3762" s="401"/>
      <c r="B3762" s="709">
        <v>44954</v>
      </c>
      <c r="C3762" s="710" t="s">
        <v>12091</v>
      </c>
      <c r="D3762" s="709" t="s">
        <v>168</v>
      </c>
      <c r="E3762" s="709" t="s">
        <v>8432</v>
      </c>
      <c r="F3762" s="716">
        <v>125.8</v>
      </c>
      <c r="G3762" s="716">
        <v>98.55</v>
      </c>
      <c r="H3762" s="225">
        <f t="shared" si="58"/>
        <v>125.8</v>
      </c>
    </row>
    <row r="3763" spans="1:8" x14ac:dyDescent="0.3">
      <c r="A3763" s="401"/>
      <c r="B3763" s="709">
        <v>44955</v>
      </c>
      <c r="C3763" s="710" t="s">
        <v>12092</v>
      </c>
      <c r="D3763" s="709" t="s">
        <v>168</v>
      </c>
      <c r="E3763" s="709" t="s">
        <v>8432</v>
      </c>
      <c r="F3763" s="716">
        <v>183.84</v>
      </c>
      <c r="G3763" s="716">
        <v>144.01</v>
      </c>
      <c r="H3763" s="225">
        <f t="shared" si="58"/>
        <v>183.84</v>
      </c>
    </row>
    <row r="3764" spans="1:8" x14ac:dyDescent="0.3">
      <c r="A3764" s="401"/>
      <c r="B3764" s="709">
        <v>10515</v>
      </c>
      <c r="C3764" s="710" t="s">
        <v>12093</v>
      </c>
      <c r="D3764" s="709" t="s">
        <v>168</v>
      </c>
      <c r="E3764" s="709" t="s">
        <v>8432</v>
      </c>
      <c r="F3764" s="716">
        <v>62.45</v>
      </c>
      <c r="G3764" s="716">
        <v>48.92</v>
      </c>
      <c r="H3764" s="225">
        <f t="shared" si="58"/>
        <v>62.45</v>
      </c>
    </row>
    <row r="3765" spans="1:8" x14ac:dyDescent="0.3">
      <c r="A3765" s="401"/>
      <c r="B3765" s="709">
        <v>153</v>
      </c>
      <c r="C3765" s="710" t="s">
        <v>12094</v>
      </c>
      <c r="D3765" s="709" t="s">
        <v>8120</v>
      </c>
      <c r="E3765" s="709" t="s">
        <v>8432</v>
      </c>
      <c r="F3765" s="716">
        <v>101.97</v>
      </c>
      <c r="G3765" s="716">
        <v>93.47</v>
      </c>
      <c r="H3765" s="225">
        <f t="shared" si="58"/>
        <v>101.97</v>
      </c>
    </row>
    <row r="3766" spans="1:8" x14ac:dyDescent="0.3">
      <c r="A3766" s="401"/>
      <c r="B3766" s="709">
        <v>34682</v>
      </c>
      <c r="C3766" s="710" t="s">
        <v>12095</v>
      </c>
      <c r="D3766" s="709" t="s">
        <v>168</v>
      </c>
      <c r="E3766" s="709" t="s">
        <v>8432</v>
      </c>
      <c r="F3766" s="716"/>
      <c r="G3766" s="716">
        <v>156.56</v>
      </c>
      <c r="H3766" s="225">
        <f t="shared" si="58"/>
        <v>156.56</v>
      </c>
    </row>
    <row r="3767" spans="1:8" x14ac:dyDescent="0.3">
      <c r="A3767" s="401"/>
      <c r="B3767" s="709">
        <v>536</v>
      </c>
      <c r="C3767" s="710" t="s">
        <v>12096</v>
      </c>
      <c r="D3767" s="709" t="s">
        <v>168</v>
      </c>
      <c r="E3767" s="709" t="s">
        <v>8432</v>
      </c>
      <c r="F3767" s="716">
        <v>35.18</v>
      </c>
      <c r="G3767" s="716">
        <v>27.55</v>
      </c>
      <c r="H3767" s="225">
        <f t="shared" si="58"/>
        <v>35.18</v>
      </c>
    </row>
    <row r="3768" spans="1:8" x14ac:dyDescent="0.3">
      <c r="A3768" s="401"/>
      <c r="B3768" s="709">
        <v>20205</v>
      </c>
      <c r="C3768" s="710" t="s">
        <v>12097</v>
      </c>
      <c r="D3768" s="709" t="s">
        <v>159</v>
      </c>
      <c r="E3768" s="709" t="s">
        <v>8432</v>
      </c>
      <c r="F3768" s="716">
        <v>3.48</v>
      </c>
      <c r="G3768" s="716">
        <v>4.25</v>
      </c>
      <c r="H3768" s="225">
        <f t="shared" si="58"/>
        <v>3.48</v>
      </c>
    </row>
    <row r="3769" spans="1:8" x14ac:dyDescent="0.3">
      <c r="A3769" s="401"/>
      <c r="B3769" s="709">
        <v>4412</v>
      </c>
      <c r="C3769" s="710" t="s">
        <v>12098</v>
      </c>
      <c r="D3769" s="709" t="s">
        <v>159</v>
      </c>
      <c r="E3769" s="709" t="s">
        <v>8432</v>
      </c>
      <c r="F3769" s="716">
        <v>2.08</v>
      </c>
      <c r="G3769" s="716">
        <v>2.5499999999999998</v>
      </c>
      <c r="H3769" s="225">
        <f t="shared" si="58"/>
        <v>2.08</v>
      </c>
    </row>
    <row r="3770" spans="1:8" x14ac:dyDescent="0.3">
      <c r="A3770" s="401"/>
      <c r="B3770" s="709">
        <v>4408</v>
      </c>
      <c r="C3770" s="710" t="s">
        <v>12099</v>
      </c>
      <c r="D3770" s="709" t="s">
        <v>159</v>
      </c>
      <c r="E3770" s="709" t="s">
        <v>8432</v>
      </c>
      <c r="F3770" s="716">
        <v>2.6</v>
      </c>
      <c r="G3770" s="716">
        <v>3.18</v>
      </c>
      <c r="H3770" s="225">
        <f t="shared" si="58"/>
        <v>2.6</v>
      </c>
    </row>
    <row r="3771" spans="1:8" x14ac:dyDescent="0.3">
      <c r="A3771" s="401"/>
      <c r="B3771" s="709">
        <v>45213</v>
      </c>
      <c r="C3771" s="710" t="s">
        <v>12100</v>
      </c>
      <c r="D3771" s="709" t="s">
        <v>136</v>
      </c>
      <c r="E3771" s="709" t="s">
        <v>8432</v>
      </c>
      <c r="F3771" s="716">
        <v>35.89</v>
      </c>
      <c r="G3771" s="716">
        <v>35.29</v>
      </c>
      <c r="H3771" s="225">
        <f t="shared" si="58"/>
        <v>35.89</v>
      </c>
    </row>
    <row r="3772" spans="1:8" x14ac:dyDescent="0.3">
      <c r="A3772" s="401"/>
      <c r="B3772" s="709">
        <v>36250</v>
      </c>
      <c r="C3772" s="710" t="s">
        <v>12101</v>
      </c>
      <c r="D3772" s="709" t="s">
        <v>159</v>
      </c>
      <c r="E3772" s="709" t="s">
        <v>8432</v>
      </c>
      <c r="F3772" s="716">
        <v>6.53</v>
      </c>
      <c r="G3772" s="716">
        <v>5.91</v>
      </c>
      <c r="H3772" s="225">
        <f t="shared" si="58"/>
        <v>6.53</v>
      </c>
    </row>
    <row r="3773" spans="1:8" x14ac:dyDescent="0.3">
      <c r="A3773" s="401"/>
      <c r="B3773" s="709">
        <v>10857</v>
      </c>
      <c r="C3773" s="710" t="s">
        <v>12102</v>
      </c>
      <c r="D3773" s="709" t="s">
        <v>159</v>
      </c>
      <c r="E3773" s="709" t="s">
        <v>8432</v>
      </c>
      <c r="F3773" s="716"/>
      <c r="G3773" s="716">
        <v>17.53</v>
      </c>
      <c r="H3773" s="225">
        <f t="shared" si="58"/>
        <v>17.53</v>
      </c>
    </row>
    <row r="3774" spans="1:8" x14ac:dyDescent="0.3">
      <c r="A3774" s="401"/>
      <c r="B3774" s="709">
        <v>4803</v>
      </c>
      <c r="C3774" s="710" t="s">
        <v>14866</v>
      </c>
      <c r="D3774" s="709" t="s">
        <v>159</v>
      </c>
      <c r="E3774" s="709" t="s">
        <v>8432</v>
      </c>
      <c r="F3774" s="716">
        <v>25.9</v>
      </c>
      <c r="G3774" s="716">
        <v>31.33</v>
      </c>
      <c r="H3774" s="225">
        <f t="shared" si="58"/>
        <v>25.9</v>
      </c>
    </row>
    <row r="3775" spans="1:8" x14ac:dyDescent="0.3">
      <c r="A3775" s="401"/>
      <c r="B3775" s="709">
        <v>6186</v>
      </c>
      <c r="C3775" s="710" t="s">
        <v>12103</v>
      </c>
      <c r="D3775" s="709" t="s">
        <v>159</v>
      </c>
      <c r="E3775" s="709" t="s">
        <v>8432</v>
      </c>
      <c r="F3775" s="716">
        <v>21.11</v>
      </c>
      <c r="G3775" s="716">
        <v>28.01</v>
      </c>
      <c r="H3775" s="225">
        <f t="shared" si="58"/>
        <v>21.11</v>
      </c>
    </row>
    <row r="3776" spans="1:8" x14ac:dyDescent="0.3">
      <c r="A3776" s="401"/>
      <c r="B3776" s="709">
        <v>4829</v>
      </c>
      <c r="C3776" s="710" t="s">
        <v>12104</v>
      </c>
      <c r="D3776" s="709" t="s">
        <v>159</v>
      </c>
      <c r="E3776" s="709" t="s">
        <v>8432</v>
      </c>
      <c r="F3776" s="716">
        <v>72.86</v>
      </c>
      <c r="G3776" s="716">
        <v>67.52</v>
      </c>
      <c r="H3776" s="225">
        <f t="shared" si="58"/>
        <v>72.86</v>
      </c>
    </row>
    <row r="3777" spans="1:8" x14ac:dyDescent="0.3">
      <c r="A3777" s="401"/>
      <c r="B3777" s="709">
        <v>39829</v>
      </c>
      <c r="C3777" s="710" t="s">
        <v>12105</v>
      </c>
      <c r="D3777" s="709" t="s">
        <v>159</v>
      </c>
      <c r="E3777" s="709" t="s">
        <v>8438</v>
      </c>
      <c r="F3777" s="716">
        <v>33.29</v>
      </c>
      <c r="G3777" s="716">
        <v>40.11</v>
      </c>
      <c r="H3777" s="225">
        <f t="shared" si="58"/>
        <v>33.29</v>
      </c>
    </row>
    <row r="3778" spans="1:8" x14ac:dyDescent="0.3">
      <c r="A3778" s="401"/>
      <c r="B3778" s="709">
        <v>20231</v>
      </c>
      <c r="C3778" s="710" t="s">
        <v>12106</v>
      </c>
      <c r="D3778" s="709" t="s">
        <v>159</v>
      </c>
      <c r="E3778" s="709" t="s">
        <v>8432</v>
      </c>
      <c r="F3778" s="716">
        <v>71.44</v>
      </c>
      <c r="G3778" s="716">
        <v>66.23</v>
      </c>
      <c r="H3778" s="225">
        <f t="shared" si="58"/>
        <v>71.44</v>
      </c>
    </row>
    <row r="3779" spans="1:8" x14ac:dyDescent="0.3">
      <c r="A3779" s="401"/>
      <c r="B3779" s="709">
        <v>4804</v>
      </c>
      <c r="C3779" s="710" t="s">
        <v>12107</v>
      </c>
      <c r="D3779" s="709" t="s">
        <v>159</v>
      </c>
      <c r="E3779" s="709" t="s">
        <v>8432</v>
      </c>
      <c r="F3779" s="716">
        <v>19.88</v>
      </c>
      <c r="G3779" s="716">
        <v>24.05</v>
      </c>
      <c r="H3779" s="225">
        <f t="shared" si="58"/>
        <v>19.88</v>
      </c>
    </row>
    <row r="3780" spans="1:8" x14ac:dyDescent="0.3">
      <c r="A3780" s="401"/>
      <c r="B3780" s="709">
        <v>34680</v>
      </c>
      <c r="C3780" s="710" t="s">
        <v>12108</v>
      </c>
      <c r="D3780" s="709" t="s">
        <v>159</v>
      </c>
      <c r="E3780" s="709" t="s">
        <v>8432</v>
      </c>
      <c r="F3780" s="716"/>
      <c r="G3780" s="716">
        <v>48.17</v>
      </c>
      <c r="H3780" s="225">
        <f t="shared" si="58"/>
        <v>48.17</v>
      </c>
    </row>
    <row r="3781" spans="1:8" x14ac:dyDescent="0.3">
      <c r="A3781" s="401"/>
      <c r="B3781" s="709">
        <v>11573</v>
      </c>
      <c r="C3781" s="710" t="s">
        <v>12109</v>
      </c>
      <c r="D3781" s="709" t="s">
        <v>136</v>
      </c>
      <c r="E3781" s="709" t="s">
        <v>8432</v>
      </c>
      <c r="F3781" s="716">
        <v>7.04</v>
      </c>
      <c r="G3781" s="716">
        <v>5.83</v>
      </c>
      <c r="H3781" s="225">
        <f t="shared" si="58"/>
        <v>7.04</v>
      </c>
    </row>
    <row r="3782" spans="1:8" x14ac:dyDescent="0.3">
      <c r="A3782" s="401"/>
      <c r="B3782" s="709">
        <v>38401</v>
      </c>
      <c r="C3782" s="710" t="s">
        <v>12110</v>
      </c>
      <c r="D3782" s="709" t="s">
        <v>136</v>
      </c>
      <c r="E3782" s="709" t="s">
        <v>8432</v>
      </c>
      <c r="F3782" s="716">
        <v>57.3</v>
      </c>
      <c r="G3782" s="716">
        <v>64.91</v>
      </c>
      <c r="H3782" s="225">
        <f t="shared" si="58"/>
        <v>57.3</v>
      </c>
    </row>
    <row r="3783" spans="1:8" x14ac:dyDescent="0.3">
      <c r="A3783" s="401"/>
      <c r="B3783" s="709">
        <v>11575</v>
      </c>
      <c r="C3783" s="710" t="s">
        <v>12111</v>
      </c>
      <c r="D3783" s="709" t="s">
        <v>136</v>
      </c>
      <c r="E3783" s="709" t="s">
        <v>8432</v>
      </c>
      <c r="F3783" s="716">
        <v>67.95</v>
      </c>
      <c r="G3783" s="716">
        <v>56.21</v>
      </c>
      <c r="H3783" s="225">
        <f t="shared" si="58"/>
        <v>67.95</v>
      </c>
    </row>
    <row r="3784" spans="1:8" x14ac:dyDescent="0.3">
      <c r="A3784" s="401"/>
      <c r="B3784" s="709">
        <v>38179</v>
      </c>
      <c r="C3784" s="710" t="s">
        <v>12112</v>
      </c>
      <c r="D3784" s="709" t="s">
        <v>136</v>
      </c>
      <c r="E3784" s="709" t="s">
        <v>8432</v>
      </c>
      <c r="F3784" s="716">
        <v>56.18</v>
      </c>
      <c r="G3784" s="716">
        <v>46.48</v>
      </c>
      <c r="H3784" s="225">
        <f t="shared" si="58"/>
        <v>56.18</v>
      </c>
    </row>
    <row r="3785" spans="1:8" x14ac:dyDescent="0.3">
      <c r="A3785" s="401"/>
      <c r="B3785" s="709">
        <v>20256</v>
      </c>
      <c r="C3785" s="710" t="s">
        <v>12113</v>
      </c>
      <c r="D3785" s="709" t="s">
        <v>136</v>
      </c>
      <c r="E3785" s="709" t="s">
        <v>8432</v>
      </c>
      <c r="F3785" s="716">
        <v>0.52</v>
      </c>
      <c r="G3785" s="716">
        <v>0.37</v>
      </c>
      <c r="H3785" s="225">
        <f t="shared" si="58"/>
        <v>0.52</v>
      </c>
    </row>
    <row r="3786" spans="1:8" x14ac:dyDescent="0.3">
      <c r="A3786" s="401"/>
      <c r="B3786" s="709">
        <v>14511</v>
      </c>
      <c r="C3786" s="710" t="s">
        <v>12114</v>
      </c>
      <c r="D3786" s="709" t="s">
        <v>136</v>
      </c>
      <c r="E3786" s="709" t="s">
        <v>8432</v>
      </c>
      <c r="F3786" s="716"/>
      <c r="G3786" s="716">
        <v>943847.3</v>
      </c>
      <c r="H3786" s="225">
        <f t="shared" si="58"/>
        <v>943847.3</v>
      </c>
    </row>
    <row r="3787" spans="1:8" x14ac:dyDescent="0.3">
      <c r="A3787" s="401"/>
      <c r="B3787" s="709">
        <v>10642</v>
      </c>
      <c r="C3787" s="710" t="s">
        <v>12115</v>
      </c>
      <c r="D3787" s="709" t="s">
        <v>136</v>
      </c>
      <c r="E3787" s="709" t="s">
        <v>8438</v>
      </c>
      <c r="F3787" s="716"/>
      <c r="G3787" s="716">
        <v>889150</v>
      </c>
      <c r="H3787" s="225">
        <f t="shared" ref="H3787:H3850" si="59">IF(F3787&gt;0,F3787,G3787)</f>
        <v>889150</v>
      </c>
    </row>
    <row r="3788" spans="1:8" x14ac:dyDescent="0.3">
      <c r="A3788" s="401"/>
      <c r="B3788" s="709">
        <v>14489</v>
      </c>
      <c r="C3788" s="710" t="s">
        <v>12116</v>
      </c>
      <c r="D3788" s="709" t="s">
        <v>136</v>
      </c>
      <c r="E3788" s="709" t="s">
        <v>8432</v>
      </c>
      <c r="F3788" s="716"/>
      <c r="G3788" s="716">
        <v>788659.51</v>
      </c>
      <c r="H3788" s="225">
        <f t="shared" si="59"/>
        <v>788659.51</v>
      </c>
    </row>
    <row r="3789" spans="1:8" x14ac:dyDescent="0.3">
      <c r="A3789" s="401"/>
      <c r="B3789" s="709">
        <v>14513</v>
      </c>
      <c r="C3789" s="710" t="s">
        <v>12117</v>
      </c>
      <c r="D3789" s="709" t="s">
        <v>136</v>
      </c>
      <c r="E3789" s="709" t="s">
        <v>8432</v>
      </c>
      <c r="F3789" s="716"/>
      <c r="G3789" s="716">
        <v>591513.35</v>
      </c>
      <c r="H3789" s="225">
        <f t="shared" si="59"/>
        <v>591513.35</v>
      </c>
    </row>
    <row r="3790" spans="1:8" x14ac:dyDescent="0.3">
      <c r="A3790" s="401"/>
      <c r="B3790" s="709">
        <v>10646</v>
      </c>
      <c r="C3790" s="710" t="s">
        <v>12118</v>
      </c>
      <c r="D3790" s="709" t="s">
        <v>136</v>
      </c>
      <c r="E3790" s="709" t="s">
        <v>8432</v>
      </c>
      <c r="F3790" s="716"/>
      <c r="G3790" s="716">
        <v>568928.76</v>
      </c>
      <c r="H3790" s="225">
        <f t="shared" si="59"/>
        <v>568928.76</v>
      </c>
    </row>
    <row r="3791" spans="1:8" x14ac:dyDescent="0.3">
      <c r="A3791" s="401"/>
      <c r="B3791" s="709">
        <v>6070</v>
      </c>
      <c r="C3791" s="710" t="s">
        <v>12119</v>
      </c>
      <c r="D3791" s="709" t="s">
        <v>136</v>
      </c>
      <c r="E3791" s="709" t="s">
        <v>8432</v>
      </c>
      <c r="F3791" s="716"/>
      <c r="G3791" s="716">
        <v>777371.13</v>
      </c>
      <c r="H3791" s="225">
        <f t="shared" si="59"/>
        <v>777371.13</v>
      </c>
    </row>
    <row r="3792" spans="1:8" x14ac:dyDescent="0.3">
      <c r="A3792" s="401"/>
      <c r="B3792" s="709">
        <v>6069</v>
      </c>
      <c r="C3792" s="710" t="s">
        <v>12120</v>
      </c>
      <c r="D3792" s="709" t="s">
        <v>136</v>
      </c>
      <c r="E3792" s="709" t="s">
        <v>8432</v>
      </c>
      <c r="F3792" s="716"/>
      <c r="G3792" s="716">
        <v>171733</v>
      </c>
      <c r="H3792" s="225">
        <f t="shared" si="59"/>
        <v>171733</v>
      </c>
    </row>
    <row r="3793" spans="1:8" x14ac:dyDescent="0.3">
      <c r="A3793" s="401"/>
      <c r="B3793" s="709">
        <v>14626</v>
      </c>
      <c r="C3793" s="710" t="s">
        <v>12121</v>
      </c>
      <c r="D3793" s="709" t="s">
        <v>136</v>
      </c>
      <c r="E3793" s="709" t="s">
        <v>8432</v>
      </c>
      <c r="F3793" s="716"/>
      <c r="G3793" s="716">
        <v>851043.6</v>
      </c>
      <c r="H3793" s="225">
        <f t="shared" si="59"/>
        <v>851043.6</v>
      </c>
    </row>
    <row r="3794" spans="1:8" x14ac:dyDescent="0.3">
      <c r="A3794" s="401"/>
      <c r="B3794" s="709">
        <v>6067</v>
      </c>
      <c r="C3794" s="710" t="s">
        <v>12122</v>
      </c>
      <c r="D3794" s="709" t="s">
        <v>136</v>
      </c>
      <c r="E3794" s="709" t="s">
        <v>8432</v>
      </c>
      <c r="F3794" s="716"/>
      <c r="G3794" s="716">
        <v>698617.86</v>
      </c>
      <c r="H3794" s="225">
        <f t="shared" si="59"/>
        <v>698617.86</v>
      </c>
    </row>
    <row r="3795" spans="1:8" x14ac:dyDescent="0.3">
      <c r="A3795" s="401"/>
      <c r="B3795" s="709">
        <v>38393</v>
      </c>
      <c r="C3795" s="710" t="s">
        <v>12123</v>
      </c>
      <c r="D3795" s="709" t="s">
        <v>136</v>
      </c>
      <c r="E3795" s="709" t="s">
        <v>8438</v>
      </c>
      <c r="F3795" s="716">
        <v>20.13</v>
      </c>
      <c r="G3795" s="716">
        <v>22.8</v>
      </c>
      <c r="H3795" s="225">
        <f t="shared" si="59"/>
        <v>20.13</v>
      </c>
    </row>
    <row r="3796" spans="1:8" x14ac:dyDescent="0.3">
      <c r="A3796" s="401"/>
      <c r="B3796" s="709">
        <v>45233</v>
      </c>
      <c r="C3796" s="710" t="s">
        <v>12124</v>
      </c>
      <c r="D3796" s="709" t="s">
        <v>136</v>
      </c>
      <c r="E3796" s="709" t="s">
        <v>8432</v>
      </c>
      <c r="F3796" s="716">
        <v>8.6300000000000008</v>
      </c>
      <c r="G3796" s="716">
        <v>9.7799999999999994</v>
      </c>
      <c r="H3796" s="225">
        <f t="shared" si="59"/>
        <v>8.6300000000000008</v>
      </c>
    </row>
    <row r="3797" spans="1:8" x14ac:dyDescent="0.3">
      <c r="A3797" s="401"/>
      <c r="B3797" s="709">
        <v>38390</v>
      </c>
      <c r="C3797" s="710" t="s">
        <v>12125</v>
      </c>
      <c r="D3797" s="709" t="s">
        <v>136</v>
      </c>
      <c r="E3797" s="709" t="s">
        <v>8432</v>
      </c>
      <c r="F3797" s="716">
        <v>49.45</v>
      </c>
      <c r="G3797" s="716">
        <v>56.01</v>
      </c>
      <c r="H3797" s="225">
        <f t="shared" si="59"/>
        <v>49.45</v>
      </c>
    </row>
    <row r="3798" spans="1:8" x14ac:dyDescent="0.3">
      <c r="A3798" s="401"/>
      <c r="B3798" s="709">
        <v>11578</v>
      </c>
      <c r="C3798" s="710" t="s">
        <v>12126</v>
      </c>
      <c r="D3798" s="709" t="s">
        <v>136</v>
      </c>
      <c r="E3798" s="709" t="s">
        <v>8432</v>
      </c>
      <c r="F3798" s="716">
        <v>14.67</v>
      </c>
      <c r="G3798" s="716">
        <v>12.13</v>
      </c>
      <c r="H3798" s="225">
        <f t="shared" si="59"/>
        <v>14.67</v>
      </c>
    </row>
    <row r="3799" spans="1:8" x14ac:dyDescent="0.3">
      <c r="A3799" s="401"/>
      <c r="B3799" s="709">
        <v>11577</v>
      </c>
      <c r="C3799" s="710" t="s">
        <v>12127</v>
      </c>
      <c r="D3799" s="709" t="s">
        <v>136</v>
      </c>
      <c r="E3799" s="709" t="s">
        <v>8432</v>
      </c>
      <c r="F3799" s="716">
        <v>14</v>
      </c>
      <c r="G3799" s="716">
        <v>11.58</v>
      </c>
      <c r="H3799" s="225">
        <f t="shared" si="59"/>
        <v>14</v>
      </c>
    </row>
    <row r="3800" spans="1:8" x14ac:dyDescent="0.3">
      <c r="A3800" s="401"/>
      <c r="B3800" s="709">
        <v>42432</v>
      </c>
      <c r="C3800" s="710" t="s">
        <v>12128</v>
      </c>
      <c r="D3800" s="709" t="s">
        <v>136</v>
      </c>
      <c r="E3800" s="709" t="s">
        <v>8432</v>
      </c>
      <c r="F3800" s="716"/>
      <c r="G3800" s="716">
        <v>2424.64</v>
      </c>
      <c r="H3800" s="225">
        <f t="shared" si="59"/>
        <v>2424.64</v>
      </c>
    </row>
    <row r="3801" spans="1:8" x14ac:dyDescent="0.3">
      <c r="A3801" s="401"/>
      <c r="B3801" s="709">
        <v>42437</v>
      </c>
      <c r="C3801" s="710" t="s">
        <v>12129</v>
      </c>
      <c r="D3801" s="709" t="s">
        <v>136</v>
      </c>
      <c r="E3801" s="709" t="s">
        <v>8432</v>
      </c>
      <c r="F3801" s="716"/>
      <c r="G3801" s="716">
        <v>1843.37</v>
      </c>
      <c r="H3801" s="225">
        <f t="shared" si="59"/>
        <v>1843.37</v>
      </c>
    </row>
    <row r="3802" spans="1:8" x14ac:dyDescent="0.3">
      <c r="A3802" s="401"/>
      <c r="B3802" s="709">
        <v>1116</v>
      </c>
      <c r="C3802" s="710" t="s">
        <v>12130</v>
      </c>
      <c r="D3802" s="709" t="s">
        <v>159</v>
      </c>
      <c r="E3802" s="709" t="s">
        <v>8432</v>
      </c>
      <c r="F3802" s="716">
        <v>19.53</v>
      </c>
      <c r="G3802" s="716">
        <v>19.059999999999999</v>
      </c>
      <c r="H3802" s="225">
        <f t="shared" si="59"/>
        <v>19.53</v>
      </c>
    </row>
    <row r="3803" spans="1:8" x14ac:dyDescent="0.3">
      <c r="A3803" s="401"/>
      <c r="B3803" s="709">
        <v>1115</v>
      </c>
      <c r="C3803" s="710" t="s">
        <v>12131</v>
      </c>
      <c r="D3803" s="709" t="s">
        <v>159</v>
      </c>
      <c r="E3803" s="709" t="s">
        <v>8432</v>
      </c>
      <c r="F3803" s="716">
        <v>23.4</v>
      </c>
      <c r="G3803" s="716">
        <v>22.84</v>
      </c>
      <c r="H3803" s="225">
        <f t="shared" si="59"/>
        <v>23.4</v>
      </c>
    </row>
    <row r="3804" spans="1:8" x14ac:dyDescent="0.3">
      <c r="A3804" s="401"/>
      <c r="B3804" s="709">
        <v>1113</v>
      </c>
      <c r="C3804" s="710" t="s">
        <v>12132</v>
      </c>
      <c r="D3804" s="709" t="s">
        <v>159</v>
      </c>
      <c r="E3804" s="709" t="s">
        <v>8432</v>
      </c>
      <c r="F3804" s="716">
        <v>27.36</v>
      </c>
      <c r="G3804" s="716">
        <v>26.7</v>
      </c>
      <c r="H3804" s="225">
        <f t="shared" si="59"/>
        <v>27.36</v>
      </c>
    </row>
    <row r="3805" spans="1:8" x14ac:dyDescent="0.3">
      <c r="A3805" s="401"/>
      <c r="B3805" s="709">
        <v>1114</v>
      </c>
      <c r="C3805" s="710" t="s">
        <v>12133</v>
      </c>
      <c r="D3805" s="709" t="s">
        <v>159</v>
      </c>
      <c r="E3805" s="709" t="s">
        <v>8432</v>
      </c>
      <c r="F3805" s="716">
        <v>32.590000000000003</v>
      </c>
      <c r="G3805" s="716">
        <v>31.81</v>
      </c>
      <c r="H3805" s="225">
        <f t="shared" si="59"/>
        <v>32.590000000000003</v>
      </c>
    </row>
    <row r="3806" spans="1:8" x14ac:dyDescent="0.3">
      <c r="A3806" s="401"/>
      <c r="B3806" s="709">
        <v>40873</v>
      </c>
      <c r="C3806" s="710" t="s">
        <v>12134</v>
      </c>
      <c r="D3806" s="709" t="s">
        <v>159</v>
      </c>
      <c r="E3806" s="709" t="s">
        <v>8432</v>
      </c>
      <c r="F3806" s="716">
        <v>25.5</v>
      </c>
      <c r="G3806" s="716">
        <v>24.89</v>
      </c>
      <c r="H3806" s="225">
        <f t="shared" si="59"/>
        <v>25.5</v>
      </c>
    </row>
    <row r="3807" spans="1:8" x14ac:dyDescent="0.3">
      <c r="A3807" s="401"/>
      <c r="B3807" s="709">
        <v>20214</v>
      </c>
      <c r="C3807" s="710" t="s">
        <v>12135</v>
      </c>
      <c r="D3807" s="709" t="s">
        <v>136</v>
      </c>
      <c r="E3807" s="709" t="s">
        <v>8432</v>
      </c>
      <c r="F3807" s="716">
        <v>62.85</v>
      </c>
      <c r="G3807" s="716">
        <v>54.2</v>
      </c>
      <c r="H3807" s="225">
        <f t="shared" si="59"/>
        <v>62.85</v>
      </c>
    </row>
    <row r="3808" spans="1:8" x14ac:dyDescent="0.3">
      <c r="A3808" s="401"/>
      <c r="B3808" s="709">
        <v>7237</v>
      </c>
      <c r="C3808" s="710" t="s">
        <v>12136</v>
      </c>
      <c r="D3808" s="709" t="s">
        <v>136</v>
      </c>
      <c r="E3808" s="709" t="s">
        <v>8432</v>
      </c>
      <c r="F3808" s="716">
        <v>61.52</v>
      </c>
      <c r="G3808" s="716">
        <v>53.06</v>
      </c>
      <c r="H3808" s="225">
        <f t="shared" si="59"/>
        <v>61.52</v>
      </c>
    </row>
    <row r="3809" spans="1:8" x14ac:dyDescent="0.3">
      <c r="A3809" s="401"/>
      <c r="B3809" s="709">
        <v>11757</v>
      </c>
      <c r="C3809" s="710" t="s">
        <v>12137</v>
      </c>
      <c r="D3809" s="709" t="s">
        <v>136</v>
      </c>
      <c r="E3809" s="709" t="s">
        <v>8438</v>
      </c>
      <c r="F3809" s="716">
        <v>80.400000000000006</v>
      </c>
      <c r="G3809" s="716">
        <v>45.48</v>
      </c>
      <c r="H3809" s="225">
        <f t="shared" si="59"/>
        <v>80.400000000000006</v>
      </c>
    </row>
    <row r="3810" spans="1:8" x14ac:dyDescent="0.3">
      <c r="A3810" s="401"/>
      <c r="B3810" s="709">
        <v>11758</v>
      </c>
      <c r="C3810" s="710" t="s">
        <v>12138</v>
      </c>
      <c r="D3810" s="709" t="s">
        <v>136</v>
      </c>
      <c r="E3810" s="709" t="s">
        <v>8438</v>
      </c>
      <c r="F3810" s="716">
        <v>45.9</v>
      </c>
      <c r="G3810" s="716">
        <v>55.33</v>
      </c>
      <c r="H3810" s="225">
        <f t="shared" si="59"/>
        <v>45.9</v>
      </c>
    </row>
    <row r="3811" spans="1:8" x14ac:dyDescent="0.3">
      <c r="A3811" s="401"/>
      <c r="B3811" s="709">
        <v>37526</v>
      </c>
      <c r="C3811" s="710" t="s">
        <v>12139</v>
      </c>
      <c r="D3811" s="709" t="s">
        <v>136</v>
      </c>
      <c r="E3811" s="709" t="s">
        <v>8432</v>
      </c>
      <c r="F3811" s="716">
        <v>4.1100000000000003</v>
      </c>
      <c r="G3811" s="716">
        <v>5.18</v>
      </c>
      <c r="H3811" s="225">
        <f t="shared" si="59"/>
        <v>4.1100000000000003</v>
      </c>
    </row>
    <row r="3812" spans="1:8" x14ac:dyDescent="0.3">
      <c r="A3812" s="401"/>
      <c r="B3812" s="709">
        <v>6076</v>
      </c>
      <c r="C3812" s="710" t="s">
        <v>12140</v>
      </c>
      <c r="D3812" s="709" t="s">
        <v>170</v>
      </c>
      <c r="E3812" s="709" t="s">
        <v>8438</v>
      </c>
      <c r="F3812" s="716"/>
      <c r="G3812" s="716">
        <v>71</v>
      </c>
      <c r="H3812" s="225">
        <f t="shared" si="59"/>
        <v>71</v>
      </c>
    </row>
    <row r="3813" spans="1:8" x14ac:dyDescent="0.3">
      <c r="A3813" s="401"/>
      <c r="B3813" s="709">
        <v>13109</v>
      </c>
      <c r="C3813" s="710" t="s">
        <v>12141</v>
      </c>
      <c r="D3813" s="709" t="s">
        <v>136</v>
      </c>
      <c r="E3813" s="709" t="s">
        <v>8432</v>
      </c>
      <c r="F3813" s="716"/>
      <c r="G3813" s="716">
        <v>204.57</v>
      </c>
      <c r="H3813" s="225">
        <f t="shared" si="59"/>
        <v>204.57</v>
      </c>
    </row>
    <row r="3814" spans="1:8" x14ac:dyDescent="0.3">
      <c r="A3814" s="401"/>
      <c r="B3814" s="709">
        <v>13110</v>
      </c>
      <c r="C3814" s="710" t="s">
        <v>12142</v>
      </c>
      <c r="D3814" s="709" t="s">
        <v>136</v>
      </c>
      <c r="E3814" s="709" t="s">
        <v>8432</v>
      </c>
      <c r="F3814" s="716"/>
      <c r="G3814" s="716">
        <v>269.22000000000003</v>
      </c>
      <c r="H3814" s="225">
        <f t="shared" si="59"/>
        <v>269.22000000000003</v>
      </c>
    </row>
    <row r="3815" spans="1:8" x14ac:dyDescent="0.3">
      <c r="A3815" s="401"/>
      <c r="B3815" s="709">
        <v>7581</v>
      </c>
      <c r="C3815" s="710" t="s">
        <v>12143</v>
      </c>
      <c r="D3815" s="709" t="s">
        <v>136</v>
      </c>
      <c r="E3815" s="709" t="s">
        <v>8432</v>
      </c>
      <c r="F3815" s="716"/>
      <c r="G3815" s="716">
        <v>3.44</v>
      </c>
      <c r="H3815" s="225">
        <f t="shared" si="59"/>
        <v>3.44</v>
      </c>
    </row>
    <row r="3816" spans="1:8" x14ac:dyDescent="0.3">
      <c r="A3816" s="401"/>
      <c r="B3816" s="709">
        <v>4509</v>
      </c>
      <c r="C3816" s="710" t="s">
        <v>12144</v>
      </c>
      <c r="D3816" s="709" t="s">
        <v>159</v>
      </c>
      <c r="E3816" s="709" t="s">
        <v>8432</v>
      </c>
      <c r="F3816" s="716">
        <v>3.62</v>
      </c>
      <c r="G3816" s="716">
        <v>4.1900000000000004</v>
      </c>
      <c r="H3816" s="225">
        <f t="shared" si="59"/>
        <v>3.62</v>
      </c>
    </row>
    <row r="3817" spans="1:8" x14ac:dyDescent="0.3">
      <c r="A3817" s="401"/>
      <c r="B3817" s="709">
        <v>4512</v>
      </c>
      <c r="C3817" s="710" t="s">
        <v>12145</v>
      </c>
      <c r="D3817" s="709" t="s">
        <v>159</v>
      </c>
      <c r="E3817" s="709" t="s">
        <v>8432</v>
      </c>
      <c r="F3817" s="716">
        <v>1.73</v>
      </c>
      <c r="G3817" s="716">
        <v>2</v>
      </c>
      <c r="H3817" s="225">
        <f t="shared" si="59"/>
        <v>1.73</v>
      </c>
    </row>
    <row r="3818" spans="1:8" x14ac:dyDescent="0.3">
      <c r="A3818" s="401"/>
      <c r="B3818" s="709">
        <v>4517</v>
      </c>
      <c r="C3818" s="710" t="s">
        <v>12146</v>
      </c>
      <c r="D3818" s="709" t="s">
        <v>159</v>
      </c>
      <c r="E3818" s="709" t="s">
        <v>8432</v>
      </c>
      <c r="F3818" s="716">
        <v>2.5</v>
      </c>
      <c r="G3818" s="716">
        <v>2.89</v>
      </c>
      <c r="H3818" s="225">
        <f t="shared" si="59"/>
        <v>2.5</v>
      </c>
    </row>
    <row r="3819" spans="1:8" x14ac:dyDescent="0.3">
      <c r="A3819" s="401"/>
      <c r="B3819" s="709">
        <v>20206</v>
      </c>
      <c r="C3819" s="710" t="s">
        <v>12147</v>
      </c>
      <c r="D3819" s="709" t="s">
        <v>159</v>
      </c>
      <c r="E3819" s="709" t="s">
        <v>8432</v>
      </c>
      <c r="F3819" s="716">
        <v>9.39</v>
      </c>
      <c r="G3819" s="716">
        <v>11.48</v>
      </c>
      <c r="H3819" s="225">
        <f t="shared" si="59"/>
        <v>9.39</v>
      </c>
    </row>
    <row r="3820" spans="1:8" x14ac:dyDescent="0.3">
      <c r="A3820" s="401"/>
      <c r="B3820" s="709">
        <v>4460</v>
      </c>
      <c r="C3820" s="710" t="s">
        <v>12148</v>
      </c>
      <c r="D3820" s="709" t="s">
        <v>159</v>
      </c>
      <c r="E3820" s="709" t="s">
        <v>8432</v>
      </c>
      <c r="F3820" s="716">
        <v>9.64</v>
      </c>
      <c r="G3820" s="716">
        <v>11.78</v>
      </c>
      <c r="H3820" s="225">
        <f t="shared" si="59"/>
        <v>9.64</v>
      </c>
    </row>
    <row r="3821" spans="1:8" x14ac:dyDescent="0.3">
      <c r="A3821" s="401"/>
      <c r="B3821" s="709">
        <v>4415</v>
      </c>
      <c r="C3821" s="710" t="s">
        <v>12149</v>
      </c>
      <c r="D3821" s="709" t="s">
        <v>159</v>
      </c>
      <c r="E3821" s="709" t="s">
        <v>8432</v>
      </c>
      <c r="F3821" s="716">
        <v>5.16</v>
      </c>
      <c r="G3821" s="716">
        <v>6.31</v>
      </c>
      <c r="H3821" s="225">
        <f t="shared" si="59"/>
        <v>5.16</v>
      </c>
    </row>
    <row r="3822" spans="1:8" x14ac:dyDescent="0.3">
      <c r="A3822" s="401"/>
      <c r="B3822" s="709">
        <v>4417</v>
      </c>
      <c r="C3822" s="710" t="s">
        <v>12150</v>
      </c>
      <c r="D3822" s="709" t="s">
        <v>159</v>
      </c>
      <c r="E3822" s="709" t="s">
        <v>8432</v>
      </c>
      <c r="F3822" s="716">
        <v>7.43</v>
      </c>
      <c r="G3822" s="716">
        <v>9.08</v>
      </c>
      <c r="H3822" s="225">
        <f t="shared" si="59"/>
        <v>7.43</v>
      </c>
    </row>
    <row r="3823" spans="1:8" x14ac:dyDescent="0.3">
      <c r="A3823" s="401"/>
      <c r="B3823" s="709">
        <v>37373</v>
      </c>
      <c r="C3823" s="710" t="s">
        <v>12151</v>
      </c>
      <c r="D3823" s="709" t="s">
        <v>234</v>
      </c>
      <c r="E3823" s="709" t="s">
        <v>8438</v>
      </c>
      <c r="F3823" s="716">
        <v>0.11</v>
      </c>
      <c r="G3823" s="716">
        <v>0.11</v>
      </c>
      <c r="H3823" s="225">
        <f t="shared" si="59"/>
        <v>0.11</v>
      </c>
    </row>
    <row r="3824" spans="1:8" x14ac:dyDescent="0.3">
      <c r="A3824" s="401"/>
      <c r="B3824" s="709">
        <v>40864</v>
      </c>
      <c r="C3824" s="710" t="s">
        <v>12152</v>
      </c>
      <c r="D3824" s="709" t="s">
        <v>208</v>
      </c>
      <c r="E3824" s="709" t="s">
        <v>8438</v>
      </c>
      <c r="F3824" s="716">
        <v>18.28</v>
      </c>
      <c r="G3824" s="716">
        <v>18.28</v>
      </c>
      <c r="H3824" s="225">
        <f t="shared" si="59"/>
        <v>18.28</v>
      </c>
    </row>
    <row r="3825" spans="1:8" x14ac:dyDescent="0.3">
      <c r="A3825" s="401"/>
      <c r="B3825" s="709">
        <v>4734</v>
      </c>
      <c r="C3825" s="710" t="s">
        <v>12153</v>
      </c>
      <c r="D3825" s="709" t="s">
        <v>170</v>
      </c>
      <c r="E3825" s="709" t="s">
        <v>8432</v>
      </c>
      <c r="F3825" s="716">
        <v>335.83</v>
      </c>
      <c r="G3825" s="716">
        <v>286.32</v>
      </c>
      <c r="H3825" s="225">
        <f t="shared" si="59"/>
        <v>335.83</v>
      </c>
    </row>
    <row r="3826" spans="1:8" x14ac:dyDescent="0.3">
      <c r="A3826" s="401"/>
      <c r="B3826" s="709">
        <v>6085</v>
      </c>
      <c r="C3826" s="710" t="s">
        <v>12154</v>
      </c>
      <c r="D3826" s="709" t="s">
        <v>8120</v>
      </c>
      <c r="E3826" s="709" t="s">
        <v>8438</v>
      </c>
      <c r="F3826" s="716">
        <v>8.84</v>
      </c>
      <c r="G3826" s="716">
        <v>11.34</v>
      </c>
      <c r="H3826" s="225">
        <f t="shared" si="59"/>
        <v>8.84</v>
      </c>
    </row>
    <row r="3827" spans="1:8" x14ac:dyDescent="0.3">
      <c r="A3827" s="401"/>
      <c r="B3827" s="709">
        <v>38396</v>
      </c>
      <c r="C3827" s="710" t="s">
        <v>12155</v>
      </c>
      <c r="D3827" s="709" t="s">
        <v>136</v>
      </c>
      <c r="E3827" s="709" t="s">
        <v>8432</v>
      </c>
      <c r="F3827" s="716">
        <v>879.8</v>
      </c>
      <c r="G3827" s="716">
        <v>865.24</v>
      </c>
      <c r="H3827" s="225">
        <f t="shared" si="59"/>
        <v>879.8</v>
      </c>
    </row>
    <row r="3828" spans="1:8" x14ac:dyDescent="0.3">
      <c r="A3828" s="401"/>
      <c r="B3828" s="709">
        <v>11622</v>
      </c>
      <c r="C3828" s="710" t="s">
        <v>12156</v>
      </c>
      <c r="D3828" s="709" t="s">
        <v>175</v>
      </c>
      <c r="E3828" s="709" t="s">
        <v>8432</v>
      </c>
      <c r="F3828" s="716">
        <v>76.83</v>
      </c>
      <c r="G3828" s="716">
        <v>70.430000000000007</v>
      </c>
      <c r="H3828" s="225">
        <f t="shared" si="59"/>
        <v>76.83</v>
      </c>
    </row>
    <row r="3829" spans="1:8" x14ac:dyDescent="0.3">
      <c r="A3829" s="401"/>
      <c r="B3829" s="709">
        <v>43143</v>
      </c>
      <c r="C3829" s="710" t="s">
        <v>12157</v>
      </c>
      <c r="D3829" s="709" t="s">
        <v>8120</v>
      </c>
      <c r="E3829" s="709" t="s">
        <v>8432</v>
      </c>
      <c r="F3829" s="716">
        <v>29.02</v>
      </c>
      <c r="G3829" s="716">
        <v>26.6</v>
      </c>
      <c r="H3829" s="225">
        <f t="shared" si="59"/>
        <v>29.02</v>
      </c>
    </row>
    <row r="3830" spans="1:8" x14ac:dyDescent="0.3">
      <c r="A3830" s="401"/>
      <c r="B3830" s="709">
        <v>7317</v>
      </c>
      <c r="C3830" s="710" t="s">
        <v>12158</v>
      </c>
      <c r="D3830" s="709" t="s">
        <v>175</v>
      </c>
      <c r="E3830" s="709" t="s">
        <v>8432</v>
      </c>
      <c r="F3830" s="716">
        <v>43.08</v>
      </c>
      <c r="G3830" s="716">
        <v>40.380000000000003</v>
      </c>
      <c r="H3830" s="225">
        <f t="shared" si="59"/>
        <v>43.08</v>
      </c>
    </row>
    <row r="3831" spans="1:8" x14ac:dyDescent="0.3">
      <c r="A3831" s="401"/>
      <c r="B3831" s="709">
        <v>142</v>
      </c>
      <c r="C3831" s="710" t="s">
        <v>12159</v>
      </c>
      <c r="D3831" s="709" t="s">
        <v>12160</v>
      </c>
      <c r="E3831" s="709" t="s">
        <v>8432</v>
      </c>
      <c r="F3831" s="716">
        <v>36.25</v>
      </c>
      <c r="G3831" s="716">
        <v>33.229999999999997</v>
      </c>
      <c r="H3831" s="225">
        <f t="shared" si="59"/>
        <v>36.25</v>
      </c>
    </row>
    <row r="3832" spans="1:8" x14ac:dyDescent="0.3">
      <c r="A3832" s="401"/>
      <c r="B3832" s="709">
        <v>43142</v>
      </c>
      <c r="C3832" s="710" t="s">
        <v>12161</v>
      </c>
      <c r="D3832" s="709" t="s">
        <v>8120</v>
      </c>
      <c r="E3832" s="709" t="s">
        <v>8432</v>
      </c>
      <c r="F3832" s="716">
        <v>164.69</v>
      </c>
      <c r="G3832" s="716">
        <v>150.96</v>
      </c>
      <c r="H3832" s="225">
        <f t="shared" si="59"/>
        <v>164.69</v>
      </c>
    </row>
    <row r="3833" spans="1:8" x14ac:dyDescent="0.3">
      <c r="A3833" s="401"/>
      <c r="B3833" s="709">
        <v>38123</v>
      </c>
      <c r="C3833" s="710" t="s">
        <v>12162</v>
      </c>
      <c r="D3833" s="709" t="s">
        <v>175</v>
      </c>
      <c r="E3833" s="709" t="s">
        <v>8432</v>
      </c>
      <c r="F3833" s="716">
        <v>55.88</v>
      </c>
      <c r="G3833" s="716">
        <v>71.69</v>
      </c>
      <c r="H3833" s="225">
        <f t="shared" si="59"/>
        <v>55.88</v>
      </c>
    </row>
    <row r="3834" spans="1:8" x14ac:dyDescent="0.3">
      <c r="A3834" s="401"/>
      <c r="B3834" s="709">
        <v>42699</v>
      </c>
      <c r="C3834" s="710" t="s">
        <v>12163</v>
      </c>
      <c r="D3834" s="709" t="s">
        <v>136</v>
      </c>
      <c r="E3834" s="709" t="s">
        <v>8432</v>
      </c>
      <c r="F3834" s="716">
        <v>42.52</v>
      </c>
      <c r="G3834" s="716">
        <v>42.93</v>
      </c>
      <c r="H3834" s="225">
        <f t="shared" si="59"/>
        <v>42.52</v>
      </c>
    </row>
    <row r="3835" spans="1:8" x14ac:dyDescent="0.3">
      <c r="A3835" s="401"/>
      <c r="B3835" s="709">
        <v>37743</v>
      </c>
      <c r="C3835" s="710" t="s">
        <v>12164</v>
      </c>
      <c r="D3835" s="709" t="s">
        <v>136</v>
      </c>
      <c r="E3835" s="709" t="s">
        <v>8432</v>
      </c>
      <c r="F3835" s="716">
        <v>296001.39</v>
      </c>
      <c r="G3835" s="716">
        <v>236779.76</v>
      </c>
      <c r="H3835" s="225">
        <f t="shared" si="59"/>
        <v>296001.39</v>
      </c>
    </row>
    <row r="3836" spans="1:8" x14ac:dyDescent="0.3">
      <c r="A3836" s="401"/>
      <c r="B3836" s="709">
        <v>37744</v>
      </c>
      <c r="C3836" s="710" t="s">
        <v>12165</v>
      </c>
      <c r="D3836" s="709" t="s">
        <v>136</v>
      </c>
      <c r="E3836" s="709" t="s">
        <v>8432</v>
      </c>
      <c r="F3836" s="716">
        <v>348041.95</v>
      </c>
      <c r="G3836" s="716">
        <v>278408.45</v>
      </c>
      <c r="H3836" s="225">
        <f t="shared" si="59"/>
        <v>348041.95</v>
      </c>
    </row>
    <row r="3837" spans="1:8" x14ac:dyDescent="0.3">
      <c r="A3837" s="401"/>
      <c r="B3837" s="709">
        <v>37741</v>
      </c>
      <c r="C3837" s="710" t="s">
        <v>12166</v>
      </c>
      <c r="D3837" s="709" t="s">
        <v>136</v>
      </c>
      <c r="E3837" s="709" t="s">
        <v>8432</v>
      </c>
      <c r="F3837" s="716">
        <v>269152.44</v>
      </c>
      <c r="G3837" s="716">
        <v>215302.53</v>
      </c>
      <c r="H3837" s="225">
        <f t="shared" si="59"/>
        <v>269152.44</v>
      </c>
    </row>
    <row r="3838" spans="1:8" x14ac:dyDescent="0.3">
      <c r="A3838" s="401"/>
      <c r="B3838" s="709">
        <v>39396</v>
      </c>
      <c r="C3838" s="710" t="s">
        <v>12167</v>
      </c>
      <c r="D3838" s="709" t="s">
        <v>136</v>
      </c>
      <c r="E3838" s="709" t="s">
        <v>8432</v>
      </c>
      <c r="F3838" s="716"/>
      <c r="G3838" s="716">
        <v>53.32</v>
      </c>
      <c r="H3838" s="225">
        <f t="shared" si="59"/>
        <v>53.32</v>
      </c>
    </row>
    <row r="3839" spans="1:8" x14ac:dyDescent="0.3">
      <c r="A3839" s="401"/>
      <c r="B3839" s="709">
        <v>39392</v>
      </c>
      <c r="C3839" s="710" t="s">
        <v>12168</v>
      </c>
      <c r="D3839" s="709" t="s">
        <v>136</v>
      </c>
      <c r="E3839" s="709" t="s">
        <v>8432</v>
      </c>
      <c r="F3839" s="716"/>
      <c r="G3839" s="716">
        <v>60.15</v>
      </c>
      <c r="H3839" s="225">
        <f t="shared" si="59"/>
        <v>60.15</v>
      </c>
    </row>
    <row r="3840" spans="1:8" x14ac:dyDescent="0.3">
      <c r="A3840" s="401"/>
      <c r="B3840" s="709">
        <v>39393</v>
      </c>
      <c r="C3840" s="710" t="s">
        <v>12169</v>
      </c>
      <c r="D3840" s="709" t="s">
        <v>136</v>
      </c>
      <c r="E3840" s="709" t="s">
        <v>8432</v>
      </c>
      <c r="F3840" s="716"/>
      <c r="G3840" s="716">
        <v>37.19</v>
      </c>
      <c r="H3840" s="225">
        <f t="shared" si="59"/>
        <v>37.19</v>
      </c>
    </row>
    <row r="3841" spans="1:8" x14ac:dyDescent="0.3">
      <c r="A3841" s="401"/>
      <c r="B3841" s="709">
        <v>39394</v>
      </c>
      <c r="C3841" s="710" t="s">
        <v>12170</v>
      </c>
      <c r="D3841" s="709" t="s">
        <v>136</v>
      </c>
      <c r="E3841" s="709" t="s">
        <v>8432</v>
      </c>
      <c r="F3841" s="716"/>
      <c r="G3841" s="716">
        <v>41.86</v>
      </c>
      <c r="H3841" s="225">
        <f t="shared" si="59"/>
        <v>41.86</v>
      </c>
    </row>
    <row r="3842" spans="1:8" x14ac:dyDescent="0.3">
      <c r="A3842" s="401"/>
      <c r="B3842" s="709">
        <v>39395</v>
      </c>
      <c r="C3842" s="710" t="s">
        <v>12171</v>
      </c>
      <c r="D3842" s="709" t="s">
        <v>136</v>
      </c>
      <c r="E3842" s="709" t="s">
        <v>8432</v>
      </c>
      <c r="F3842" s="716"/>
      <c r="G3842" s="716">
        <v>38.93</v>
      </c>
      <c r="H3842" s="225">
        <f t="shared" si="59"/>
        <v>38.93</v>
      </c>
    </row>
    <row r="3843" spans="1:8" x14ac:dyDescent="0.3">
      <c r="A3843" s="401"/>
      <c r="B3843" s="709">
        <v>14618</v>
      </c>
      <c r="C3843" s="710" t="s">
        <v>12172</v>
      </c>
      <c r="D3843" s="709" t="s">
        <v>136</v>
      </c>
      <c r="E3843" s="709" t="s">
        <v>8432</v>
      </c>
      <c r="F3843" s="716">
        <v>1487.14</v>
      </c>
      <c r="G3843" s="716">
        <v>1258.6199999999999</v>
      </c>
      <c r="H3843" s="225">
        <f t="shared" si="59"/>
        <v>1487.14</v>
      </c>
    </row>
    <row r="3844" spans="1:8" x14ac:dyDescent="0.3">
      <c r="A3844" s="401"/>
      <c r="B3844" s="709">
        <v>6110</v>
      </c>
      <c r="C3844" s="710" t="s">
        <v>12173</v>
      </c>
      <c r="D3844" s="709" t="s">
        <v>234</v>
      </c>
      <c r="E3844" s="709" t="s">
        <v>8432</v>
      </c>
      <c r="F3844" s="716">
        <v>23.97</v>
      </c>
      <c r="G3844" s="716">
        <v>28.12</v>
      </c>
      <c r="H3844" s="225">
        <f t="shared" si="59"/>
        <v>23.97</v>
      </c>
    </row>
    <row r="3845" spans="1:8" x14ac:dyDescent="0.3">
      <c r="A3845" s="401"/>
      <c r="B3845" s="709">
        <v>40910</v>
      </c>
      <c r="C3845" s="710" t="s">
        <v>12174</v>
      </c>
      <c r="D3845" s="709" t="s">
        <v>208</v>
      </c>
      <c r="E3845" s="709" t="s">
        <v>8432</v>
      </c>
      <c r="F3845" s="716">
        <v>4212.2700000000004</v>
      </c>
      <c r="G3845" s="716">
        <v>4927.0200000000004</v>
      </c>
      <c r="H3845" s="225">
        <f t="shared" si="59"/>
        <v>4212.2700000000004</v>
      </c>
    </row>
    <row r="3846" spans="1:8" x14ac:dyDescent="0.3">
      <c r="A3846" s="401"/>
      <c r="B3846" s="709">
        <v>45255</v>
      </c>
      <c r="C3846" s="710" t="s">
        <v>12175</v>
      </c>
      <c r="D3846" s="709" t="s">
        <v>136</v>
      </c>
      <c r="E3846" s="709" t="s">
        <v>8432</v>
      </c>
      <c r="F3846" s="716">
        <v>40.880000000000003</v>
      </c>
      <c r="G3846" s="716">
        <v>40.200000000000003</v>
      </c>
      <c r="H3846" s="225">
        <f t="shared" si="59"/>
        <v>40.880000000000003</v>
      </c>
    </row>
    <row r="3847" spans="1:8" x14ac:dyDescent="0.3">
      <c r="A3847" s="401"/>
      <c r="B3847" s="709">
        <v>6111</v>
      </c>
      <c r="C3847" s="710" t="s">
        <v>12176</v>
      </c>
      <c r="D3847" s="709" t="s">
        <v>234</v>
      </c>
      <c r="E3847" s="709" t="s">
        <v>8438</v>
      </c>
      <c r="F3847" s="716">
        <v>18.84</v>
      </c>
      <c r="G3847" s="716">
        <v>22.51</v>
      </c>
      <c r="H3847" s="225">
        <f t="shared" si="59"/>
        <v>18.84</v>
      </c>
    </row>
    <row r="3848" spans="1:8" x14ac:dyDescent="0.3">
      <c r="A3848" s="401"/>
      <c r="B3848" s="709">
        <v>41084</v>
      </c>
      <c r="C3848" s="710" t="s">
        <v>12177</v>
      </c>
      <c r="D3848" s="709" t="s">
        <v>208</v>
      </c>
      <c r="E3848" s="709" t="s">
        <v>8432</v>
      </c>
      <c r="F3848" s="716">
        <v>3310.97</v>
      </c>
      <c r="G3848" s="716">
        <v>3942.96</v>
      </c>
      <c r="H3848" s="225">
        <f t="shared" si="59"/>
        <v>3310.97</v>
      </c>
    </row>
    <row r="3849" spans="1:8" x14ac:dyDescent="0.3">
      <c r="A3849" s="401"/>
      <c r="B3849" s="709">
        <v>44535</v>
      </c>
      <c r="C3849" s="710" t="s">
        <v>12178</v>
      </c>
      <c r="D3849" s="709" t="s">
        <v>170</v>
      </c>
      <c r="E3849" s="709" t="s">
        <v>8432</v>
      </c>
      <c r="F3849" s="716">
        <v>64.77</v>
      </c>
      <c r="G3849" s="716">
        <v>49.61</v>
      </c>
      <c r="H3849" s="225">
        <f t="shared" si="59"/>
        <v>64.77</v>
      </c>
    </row>
    <row r="3850" spans="1:8" x14ac:dyDescent="0.3">
      <c r="A3850" s="401"/>
      <c r="B3850" s="709">
        <v>44945</v>
      </c>
      <c r="C3850" s="710" t="s">
        <v>12179</v>
      </c>
      <c r="D3850" s="709" t="s">
        <v>136</v>
      </c>
      <c r="E3850" s="709" t="s">
        <v>8438</v>
      </c>
      <c r="F3850" s="716">
        <v>11.04</v>
      </c>
      <c r="G3850" s="716">
        <v>10.49</v>
      </c>
      <c r="H3850" s="225">
        <f t="shared" si="59"/>
        <v>11.04</v>
      </c>
    </row>
    <row r="3851" spans="1:8" x14ac:dyDescent="0.3">
      <c r="A3851" s="401"/>
      <c r="B3851" s="709">
        <v>38637</v>
      </c>
      <c r="C3851" s="710" t="s">
        <v>12180</v>
      </c>
      <c r="D3851" s="709" t="s">
        <v>136</v>
      </c>
      <c r="E3851" s="709" t="s">
        <v>8432</v>
      </c>
      <c r="F3851" s="716">
        <v>378.69</v>
      </c>
      <c r="G3851" s="716">
        <v>230.06</v>
      </c>
      <c r="H3851" s="225">
        <f t="shared" ref="H3851:H3914" si="60">IF(F3851&gt;0,F3851,G3851)</f>
        <v>378.69</v>
      </c>
    </row>
    <row r="3852" spans="1:8" x14ac:dyDescent="0.3">
      <c r="A3852" s="401"/>
      <c r="B3852" s="709">
        <v>6150</v>
      </c>
      <c r="C3852" s="710" t="s">
        <v>12181</v>
      </c>
      <c r="D3852" s="709" t="s">
        <v>136</v>
      </c>
      <c r="E3852" s="709" t="s">
        <v>8432</v>
      </c>
      <c r="F3852" s="716">
        <v>383.32</v>
      </c>
      <c r="G3852" s="716">
        <v>232.87</v>
      </c>
      <c r="H3852" s="225">
        <f t="shared" si="60"/>
        <v>383.32</v>
      </c>
    </row>
    <row r="3853" spans="1:8" x14ac:dyDescent="0.3">
      <c r="A3853" s="401"/>
      <c r="B3853" s="709">
        <v>6136</v>
      </c>
      <c r="C3853" s="710" t="s">
        <v>12182</v>
      </c>
      <c r="D3853" s="709" t="s">
        <v>136</v>
      </c>
      <c r="E3853" s="709" t="s">
        <v>8438</v>
      </c>
      <c r="F3853" s="716">
        <v>301.31</v>
      </c>
      <c r="G3853" s="716">
        <v>183.05</v>
      </c>
      <c r="H3853" s="225">
        <f t="shared" si="60"/>
        <v>301.31</v>
      </c>
    </row>
    <row r="3854" spans="1:8" x14ac:dyDescent="0.3">
      <c r="A3854" s="401"/>
      <c r="B3854" s="709">
        <v>38638</v>
      </c>
      <c r="C3854" s="710" t="s">
        <v>12183</v>
      </c>
      <c r="D3854" s="709" t="s">
        <v>136</v>
      </c>
      <c r="E3854" s="709" t="s">
        <v>8432</v>
      </c>
      <c r="F3854" s="716">
        <v>319.11</v>
      </c>
      <c r="G3854" s="716">
        <v>193.86</v>
      </c>
      <c r="H3854" s="225">
        <f t="shared" si="60"/>
        <v>319.11</v>
      </c>
    </row>
    <row r="3855" spans="1:8" x14ac:dyDescent="0.3">
      <c r="A3855" s="401"/>
      <c r="B3855" s="709">
        <v>20262</v>
      </c>
      <c r="C3855" s="710" t="s">
        <v>12184</v>
      </c>
      <c r="D3855" s="709" t="s">
        <v>136</v>
      </c>
      <c r="E3855" s="709" t="s">
        <v>8432</v>
      </c>
      <c r="F3855" s="716">
        <v>20.22</v>
      </c>
      <c r="G3855" s="716">
        <v>19.21</v>
      </c>
      <c r="H3855" s="225">
        <f t="shared" si="60"/>
        <v>20.22</v>
      </c>
    </row>
    <row r="3856" spans="1:8" x14ac:dyDescent="0.3">
      <c r="A3856" s="401"/>
      <c r="B3856" s="709">
        <v>6145</v>
      </c>
      <c r="C3856" s="710" t="s">
        <v>12185</v>
      </c>
      <c r="D3856" s="709" t="s">
        <v>136</v>
      </c>
      <c r="E3856" s="709" t="s">
        <v>8432</v>
      </c>
      <c r="F3856" s="716">
        <v>22.34</v>
      </c>
      <c r="G3856" s="716">
        <v>21.22</v>
      </c>
      <c r="H3856" s="225">
        <f t="shared" si="60"/>
        <v>22.34</v>
      </c>
    </row>
    <row r="3857" spans="1:8" x14ac:dyDescent="0.3">
      <c r="A3857" s="401"/>
      <c r="B3857" s="709">
        <v>6149</v>
      </c>
      <c r="C3857" s="710" t="s">
        <v>12186</v>
      </c>
      <c r="D3857" s="709" t="s">
        <v>136</v>
      </c>
      <c r="E3857" s="709" t="s">
        <v>8432</v>
      </c>
      <c r="F3857" s="716">
        <v>14.76</v>
      </c>
      <c r="G3857" s="716">
        <v>14.03</v>
      </c>
      <c r="H3857" s="225">
        <f t="shared" si="60"/>
        <v>14.76</v>
      </c>
    </row>
    <row r="3858" spans="1:8" x14ac:dyDescent="0.3">
      <c r="A3858" s="401"/>
      <c r="B3858" s="709">
        <v>6146</v>
      </c>
      <c r="C3858" s="710" t="s">
        <v>12187</v>
      </c>
      <c r="D3858" s="709" t="s">
        <v>136</v>
      </c>
      <c r="E3858" s="709" t="s">
        <v>8432</v>
      </c>
      <c r="F3858" s="716">
        <v>21.22</v>
      </c>
      <c r="G3858" s="716">
        <v>20.16</v>
      </c>
      <c r="H3858" s="225">
        <f t="shared" si="60"/>
        <v>21.22</v>
      </c>
    </row>
    <row r="3859" spans="1:8" x14ac:dyDescent="0.3">
      <c r="A3859" s="401"/>
      <c r="B3859" s="709">
        <v>44536</v>
      </c>
      <c r="C3859" s="710" t="s">
        <v>12188</v>
      </c>
      <c r="D3859" s="709" t="s">
        <v>175</v>
      </c>
      <c r="E3859" s="709" t="s">
        <v>8432</v>
      </c>
      <c r="F3859" s="716">
        <v>3.05</v>
      </c>
      <c r="G3859" s="716">
        <v>2.79</v>
      </c>
      <c r="H3859" s="225">
        <f t="shared" si="60"/>
        <v>3.05</v>
      </c>
    </row>
    <row r="3860" spans="1:8" x14ac:dyDescent="0.3">
      <c r="A3860" s="401"/>
      <c r="B3860" s="709">
        <v>39961</v>
      </c>
      <c r="C3860" s="710" t="s">
        <v>12189</v>
      </c>
      <c r="D3860" s="709" t="s">
        <v>136</v>
      </c>
      <c r="E3860" s="709" t="s">
        <v>8432</v>
      </c>
      <c r="F3860" s="716">
        <v>23.96</v>
      </c>
      <c r="G3860" s="716">
        <v>21.96</v>
      </c>
      <c r="H3860" s="225">
        <f t="shared" si="60"/>
        <v>23.96</v>
      </c>
    </row>
    <row r="3861" spans="1:8" x14ac:dyDescent="0.3">
      <c r="A3861" s="401"/>
      <c r="B3861" s="709">
        <v>42433</v>
      </c>
      <c r="C3861" s="710" t="s">
        <v>12190</v>
      </c>
      <c r="D3861" s="709" t="s">
        <v>136</v>
      </c>
      <c r="E3861" s="709" t="s">
        <v>8432</v>
      </c>
      <c r="F3861" s="716"/>
      <c r="G3861" s="716">
        <v>4789.18</v>
      </c>
      <c r="H3861" s="225">
        <f t="shared" si="60"/>
        <v>4789.18</v>
      </c>
    </row>
    <row r="3862" spans="1:8" x14ac:dyDescent="0.3">
      <c r="A3862" s="401"/>
      <c r="B3862" s="709">
        <v>42434</v>
      </c>
      <c r="C3862" s="710" t="s">
        <v>12191</v>
      </c>
      <c r="D3862" s="709" t="s">
        <v>136</v>
      </c>
      <c r="E3862" s="709" t="s">
        <v>8432</v>
      </c>
      <c r="F3862" s="716"/>
      <c r="G3862" s="716">
        <v>5175.3999999999996</v>
      </c>
      <c r="H3862" s="225">
        <f t="shared" si="60"/>
        <v>5175.3999999999996</v>
      </c>
    </row>
    <row r="3863" spans="1:8" x14ac:dyDescent="0.3">
      <c r="A3863" s="401"/>
      <c r="B3863" s="709">
        <v>42435</v>
      </c>
      <c r="C3863" s="710" t="s">
        <v>12192</v>
      </c>
      <c r="D3863" s="709" t="s">
        <v>136</v>
      </c>
      <c r="E3863" s="709" t="s">
        <v>8432</v>
      </c>
      <c r="F3863" s="716"/>
      <c r="G3863" s="716">
        <v>2580.7800000000002</v>
      </c>
      <c r="H3863" s="225">
        <f t="shared" si="60"/>
        <v>2580.7800000000002</v>
      </c>
    </row>
    <row r="3864" spans="1:8" x14ac:dyDescent="0.3">
      <c r="A3864" s="401"/>
      <c r="B3864" s="709">
        <v>38061</v>
      </c>
      <c r="C3864" s="710" t="s">
        <v>12193</v>
      </c>
      <c r="D3864" s="709" t="s">
        <v>136</v>
      </c>
      <c r="E3864" s="709" t="s">
        <v>8432</v>
      </c>
      <c r="F3864" s="716">
        <v>51.71</v>
      </c>
      <c r="G3864" s="716">
        <v>46.11</v>
      </c>
      <c r="H3864" s="225">
        <f t="shared" si="60"/>
        <v>51.71</v>
      </c>
    </row>
    <row r="3865" spans="1:8" x14ac:dyDescent="0.3">
      <c r="A3865" s="401"/>
      <c r="B3865" s="709">
        <v>20250</v>
      </c>
      <c r="C3865" s="710" t="s">
        <v>12194</v>
      </c>
      <c r="D3865" s="709" t="s">
        <v>175</v>
      </c>
      <c r="E3865" s="709" t="s">
        <v>8438</v>
      </c>
      <c r="F3865" s="716">
        <v>18.5</v>
      </c>
      <c r="G3865" s="716">
        <v>23.34</v>
      </c>
      <c r="H3865" s="225">
        <f t="shared" si="60"/>
        <v>18.5</v>
      </c>
    </row>
    <row r="3866" spans="1:8" x14ac:dyDescent="0.3">
      <c r="A3866" s="401"/>
      <c r="B3866" s="709">
        <v>13388</v>
      </c>
      <c r="C3866" s="710" t="s">
        <v>12195</v>
      </c>
      <c r="D3866" s="709" t="s">
        <v>175</v>
      </c>
      <c r="E3866" s="709" t="s">
        <v>8432</v>
      </c>
      <c r="F3866" s="716">
        <v>291.79000000000002</v>
      </c>
      <c r="G3866" s="716">
        <v>227.94</v>
      </c>
      <c r="H3866" s="225">
        <f t="shared" si="60"/>
        <v>291.79000000000002</v>
      </c>
    </row>
    <row r="3867" spans="1:8" x14ac:dyDescent="0.3">
      <c r="A3867" s="401"/>
      <c r="B3867" s="709">
        <v>39914</v>
      </c>
      <c r="C3867" s="710" t="s">
        <v>12196</v>
      </c>
      <c r="D3867" s="709" t="s">
        <v>175</v>
      </c>
      <c r="E3867" s="709" t="s">
        <v>8432</v>
      </c>
      <c r="F3867" s="716"/>
      <c r="G3867" s="716">
        <v>346.77</v>
      </c>
      <c r="H3867" s="225">
        <f t="shared" si="60"/>
        <v>346.77</v>
      </c>
    </row>
    <row r="3868" spans="1:8" x14ac:dyDescent="0.3">
      <c r="A3868" s="401"/>
      <c r="B3868" s="709">
        <v>12732</v>
      </c>
      <c r="C3868" s="710" t="s">
        <v>12197</v>
      </c>
      <c r="D3868" s="709" t="s">
        <v>136</v>
      </c>
      <c r="E3868" s="709" t="s">
        <v>8432</v>
      </c>
      <c r="F3868" s="716"/>
      <c r="G3868" s="716">
        <v>400.12</v>
      </c>
      <c r="H3868" s="225">
        <f t="shared" si="60"/>
        <v>400.12</v>
      </c>
    </row>
    <row r="3869" spans="1:8" x14ac:dyDescent="0.3">
      <c r="A3869" s="401"/>
      <c r="B3869" s="709">
        <v>6160</v>
      </c>
      <c r="C3869" s="710" t="s">
        <v>12198</v>
      </c>
      <c r="D3869" s="709" t="s">
        <v>234</v>
      </c>
      <c r="E3869" s="709" t="s">
        <v>8438</v>
      </c>
      <c r="F3869" s="716">
        <v>26.4</v>
      </c>
      <c r="G3869" s="716">
        <v>33.43</v>
      </c>
      <c r="H3869" s="225">
        <f t="shared" si="60"/>
        <v>26.4</v>
      </c>
    </row>
    <row r="3870" spans="1:8" x14ac:dyDescent="0.3">
      <c r="A3870" s="401"/>
      <c r="B3870" s="709">
        <v>41087</v>
      </c>
      <c r="C3870" s="710" t="s">
        <v>12199</v>
      </c>
      <c r="D3870" s="709" t="s">
        <v>208</v>
      </c>
      <c r="E3870" s="709" t="s">
        <v>8432</v>
      </c>
      <c r="F3870" s="716">
        <v>4640.57</v>
      </c>
      <c r="G3870" s="716">
        <v>5856.06</v>
      </c>
      <c r="H3870" s="225">
        <f t="shared" si="60"/>
        <v>4640.57</v>
      </c>
    </row>
    <row r="3871" spans="1:8" x14ac:dyDescent="0.3">
      <c r="A3871" s="401"/>
      <c r="B3871" s="709">
        <v>6166</v>
      </c>
      <c r="C3871" s="710" t="s">
        <v>12200</v>
      </c>
      <c r="D3871" s="709" t="s">
        <v>234</v>
      </c>
      <c r="E3871" s="709" t="s">
        <v>8432</v>
      </c>
      <c r="F3871" s="716">
        <v>29.2</v>
      </c>
      <c r="G3871" s="716">
        <v>36.01</v>
      </c>
      <c r="H3871" s="225">
        <f t="shared" si="60"/>
        <v>29.2</v>
      </c>
    </row>
    <row r="3872" spans="1:8" x14ac:dyDescent="0.3">
      <c r="A3872" s="401"/>
      <c r="B3872" s="709">
        <v>41088</v>
      </c>
      <c r="C3872" s="710" t="s">
        <v>12201</v>
      </c>
      <c r="D3872" s="709" t="s">
        <v>208</v>
      </c>
      <c r="E3872" s="709" t="s">
        <v>8432</v>
      </c>
      <c r="F3872" s="716">
        <v>5133.87</v>
      </c>
      <c r="G3872" s="716">
        <v>6310.91</v>
      </c>
      <c r="H3872" s="225">
        <f t="shared" si="60"/>
        <v>5133.87</v>
      </c>
    </row>
    <row r="3873" spans="1:8" x14ac:dyDescent="0.3">
      <c r="A3873" s="401"/>
      <c r="B3873" s="709">
        <v>20232</v>
      </c>
      <c r="C3873" s="710" t="s">
        <v>12202</v>
      </c>
      <c r="D3873" s="709" t="s">
        <v>159</v>
      </c>
      <c r="E3873" s="709" t="s">
        <v>8432</v>
      </c>
      <c r="F3873" s="716">
        <v>101.13</v>
      </c>
      <c r="G3873" s="716">
        <v>93.75</v>
      </c>
      <c r="H3873" s="225">
        <f t="shared" si="60"/>
        <v>101.13</v>
      </c>
    </row>
    <row r="3874" spans="1:8" x14ac:dyDescent="0.3">
      <c r="A3874" s="401"/>
      <c r="B3874" s="709">
        <v>10856</v>
      </c>
      <c r="C3874" s="710" t="s">
        <v>12203</v>
      </c>
      <c r="D3874" s="709" t="s">
        <v>159</v>
      </c>
      <c r="E3874" s="709" t="s">
        <v>8432</v>
      </c>
      <c r="F3874" s="716"/>
      <c r="G3874" s="716">
        <v>132.47</v>
      </c>
      <c r="H3874" s="225">
        <f t="shared" si="60"/>
        <v>132.47</v>
      </c>
    </row>
    <row r="3875" spans="1:8" x14ac:dyDescent="0.3">
      <c r="A3875" s="401"/>
      <c r="B3875" s="709">
        <v>4828</v>
      </c>
      <c r="C3875" s="710" t="s">
        <v>12204</v>
      </c>
      <c r="D3875" s="709" t="s">
        <v>159</v>
      </c>
      <c r="E3875" s="709" t="s">
        <v>8432</v>
      </c>
      <c r="F3875" s="716">
        <v>108.75</v>
      </c>
      <c r="G3875" s="716">
        <v>100.78</v>
      </c>
      <c r="H3875" s="225">
        <f t="shared" si="60"/>
        <v>108.75</v>
      </c>
    </row>
    <row r="3876" spans="1:8" x14ac:dyDescent="0.3">
      <c r="A3876" s="401"/>
      <c r="B3876" s="709">
        <v>20249</v>
      </c>
      <c r="C3876" s="710" t="s">
        <v>12205</v>
      </c>
      <c r="D3876" s="709" t="s">
        <v>159</v>
      </c>
      <c r="E3876" s="709" t="s">
        <v>8432</v>
      </c>
      <c r="F3876" s="716">
        <v>59.55</v>
      </c>
      <c r="G3876" s="716">
        <v>55.19</v>
      </c>
      <c r="H3876" s="225">
        <f t="shared" si="60"/>
        <v>59.55</v>
      </c>
    </row>
    <row r="3877" spans="1:8" x14ac:dyDescent="0.3">
      <c r="A3877" s="401"/>
      <c r="B3877" s="709">
        <v>11609</v>
      </c>
      <c r="C3877" s="710" t="s">
        <v>12206</v>
      </c>
      <c r="D3877" s="709" t="s">
        <v>8120</v>
      </c>
      <c r="E3877" s="709" t="s">
        <v>8432</v>
      </c>
      <c r="F3877" s="716">
        <v>12.77</v>
      </c>
      <c r="G3877" s="716">
        <v>11.7</v>
      </c>
      <c r="H3877" s="225">
        <f t="shared" si="60"/>
        <v>12.77</v>
      </c>
    </row>
    <row r="3878" spans="1:8" x14ac:dyDescent="0.3">
      <c r="A3878" s="401"/>
      <c r="B3878" s="709">
        <v>20083</v>
      </c>
      <c r="C3878" s="710" t="s">
        <v>12207</v>
      </c>
      <c r="D3878" s="709" t="s">
        <v>136</v>
      </c>
      <c r="E3878" s="709" t="s">
        <v>8432</v>
      </c>
      <c r="F3878" s="716">
        <v>99.2</v>
      </c>
      <c r="G3878" s="716">
        <v>74.97</v>
      </c>
      <c r="H3878" s="225">
        <f t="shared" si="60"/>
        <v>99.2</v>
      </c>
    </row>
    <row r="3879" spans="1:8" x14ac:dyDescent="0.3">
      <c r="A3879" s="401"/>
      <c r="B3879" s="709">
        <v>12295</v>
      </c>
      <c r="C3879" s="710" t="s">
        <v>12208</v>
      </c>
      <c r="D3879" s="709" t="s">
        <v>136</v>
      </c>
      <c r="E3879" s="709" t="s">
        <v>8432</v>
      </c>
      <c r="F3879" s="716">
        <v>4.38</v>
      </c>
      <c r="G3879" s="716">
        <v>3.19</v>
      </c>
      <c r="H3879" s="225">
        <f t="shared" si="60"/>
        <v>4.38</v>
      </c>
    </row>
    <row r="3880" spans="1:8" x14ac:dyDescent="0.3">
      <c r="A3880" s="401"/>
      <c r="B3880" s="709">
        <v>12296</v>
      </c>
      <c r="C3880" s="710" t="s">
        <v>12209</v>
      </c>
      <c r="D3880" s="709" t="s">
        <v>136</v>
      </c>
      <c r="E3880" s="709" t="s">
        <v>8432</v>
      </c>
      <c r="F3880" s="716">
        <v>5.67</v>
      </c>
      <c r="G3880" s="716">
        <v>4.12</v>
      </c>
      <c r="H3880" s="225">
        <f t="shared" si="60"/>
        <v>5.67</v>
      </c>
    </row>
    <row r="3881" spans="1:8" x14ac:dyDescent="0.3">
      <c r="A3881" s="401"/>
      <c r="B3881" s="709">
        <v>12294</v>
      </c>
      <c r="C3881" s="710" t="s">
        <v>12210</v>
      </c>
      <c r="D3881" s="709" t="s">
        <v>136</v>
      </c>
      <c r="E3881" s="709" t="s">
        <v>8432</v>
      </c>
      <c r="F3881" s="716">
        <v>13.63</v>
      </c>
      <c r="G3881" s="716">
        <v>9.9</v>
      </c>
      <c r="H3881" s="225">
        <f t="shared" si="60"/>
        <v>13.63</v>
      </c>
    </row>
    <row r="3882" spans="1:8" x14ac:dyDescent="0.3">
      <c r="A3882" s="401"/>
      <c r="B3882" s="709">
        <v>14543</v>
      </c>
      <c r="C3882" s="710" t="s">
        <v>12211</v>
      </c>
      <c r="D3882" s="709" t="s">
        <v>136</v>
      </c>
      <c r="E3882" s="709" t="s">
        <v>8432</v>
      </c>
      <c r="F3882" s="716">
        <v>9.73</v>
      </c>
      <c r="G3882" s="716">
        <v>7.07</v>
      </c>
      <c r="H3882" s="225">
        <f t="shared" si="60"/>
        <v>9.73</v>
      </c>
    </row>
    <row r="3883" spans="1:8" x14ac:dyDescent="0.3">
      <c r="A3883" s="401"/>
      <c r="B3883" s="709">
        <v>13329</v>
      </c>
      <c r="C3883" s="710" t="s">
        <v>12212</v>
      </c>
      <c r="D3883" s="709" t="s">
        <v>136</v>
      </c>
      <c r="E3883" s="709" t="s">
        <v>8438</v>
      </c>
      <c r="F3883" s="716">
        <v>5.71</v>
      </c>
      <c r="G3883" s="716">
        <v>4.1500000000000004</v>
      </c>
      <c r="H3883" s="225">
        <f t="shared" si="60"/>
        <v>5.71</v>
      </c>
    </row>
    <row r="3884" spans="1:8" x14ac:dyDescent="0.3">
      <c r="A3884" s="401"/>
      <c r="B3884" s="709">
        <v>21047</v>
      </c>
      <c r="C3884" s="710" t="s">
        <v>12213</v>
      </c>
      <c r="D3884" s="709" t="s">
        <v>136</v>
      </c>
      <c r="E3884" s="709" t="s">
        <v>8432</v>
      </c>
      <c r="F3884" s="716"/>
      <c r="G3884" s="716">
        <v>55.22</v>
      </c>
      <c r="H3884" s="225">
        <f t="shared" si="60"/>
        <v>55.22</v>
      </c>
    </row>
    <row r="3885" spans="1:8" x14ac:dyDescent="0.3">
      <c r="A3885" s="401"/>
      <c r="B3885" s="709">
        <v>21042</v>
      </c>
      <c r="C3885" s="710" t="s">
        <v>12214</v>
      </c>
      <c r="D3885" s="709" t="s">
        <v>136</v>
      </c>
      <c r="E3885" s="709" t="s">
        <v>8432</v>
      </c>
      <c r="F3885" s="716"/>
      <c r="G3885" s="716">
        <v>42.56</v>
      </c>
      <c r="H3885" s="225">
        <f t="shared" si="60"/>
        <v>42.56</v>
      </c>
    </row>
    <row r="3886" spans="1:8" x14ac:dyDescent="0.3">
      <c r="A3886" s="401"/>
      <c r="B3886" s="709">
        <v>21043</v>
      </c>
      <c r="C3886" s="710" t="s">
        <v>12215</v>
      </c>
      <c r="D3886" s="709" t="s">
        <v>136</v>
      </c>
      <c r="E3886" s="709" t="s">
        <v>8432</v>
      </c>
      <c r="F3886" s="716"/>
      <c r="G3886" s="716">
        <v>53.76</v>
      </c>
      <c r="H3886" s="225">
        <f t="shared" si="60"/>
        <v>53.76</v>
      </c>
    </row>
    <row r="3887" spans="1:8" x14ac:dyDescent="0.3">
      <c r="A3887" s="401"/>
      <c r="B3887" s="709">
        <v>21044</v>
      </c>
      <c r="C3887" s="710" t="s">
        <v>12216</v>
      </c>
      <c r="D3887" s="709" t="s">
        <v>136</v>
      </c>
      <c r="E3887" s="709" t="s">
        <v>8432</v>
      </c>
      <c r="F3887" s="716"/>
      <c r="G3887" s="716">
        <v>37.450000000000003</v>
      </c>
      <c r="H3887" s="225">
        <f t="shared" si="60"/>
        <v>37.450000000000003</v>
      </c>
    </row>
    <row r="3888" spans="1:8" x14ac:dyDescent="0.3">
      <c r="A3888" s="401"/>
      <c r="B3888" s="709">
        <v>21045</v>
      </c>
      <c r="C3888" s="710" t="s">
        <v>12217</v>
      </c>
      <c r="D3888" s="709" t="s">
        <v>136</v>
      </c>
      <c r="E3888" s="709" t="s">
        <v>8432</v>
      </c>
      <c r="F3888" s="716"/>
      <c r="G3888" s="716">
        <v>51.3</v>
      </c>
      <c r="H3888" s="225">
        <f t="shared" si="60"/>
        <v>51.3</v>
      </c>
    </row>
    <row r="3889" spans="1:8" x14ac:dyDescent="0.3">
      <c r="A3889" s="401"/>
      <c r="B3889" s="709">
        <v>21041</v>
      </c>
      <c r="C3889" s="710" t="s">
        <v>12218</v>
      </c>
      <c r="D3889" s="709" t="s">
        <v>136</v>
      </c>
      <c r="E3889" s="709" t="s">
        <v>8432</v>
      </c>
      <c r="F3889" s="716"/>
      <c r="G3889" s="716">
        <v>44.24</v>
      </c>
      <c r="H3889" s="225">
        <f t="shared" si="60"/>
        <v>44.24</v>
      </c>
    </row>
    <row r="3890" spans="1:8" x14ac:dyDescent="0.3">
      <c r="A3890" s="401"/>
      <c r="B3890" s="709">
        <v>21040</v>
      </c>
      <c r="C3890" s="710" t="s">
        <v>12219</v>
      </c>
      <c r="D3890" s="709" t="s">
        <v>136</v>
      </c>
      <c r="E3890" s="709" t="s">
        <v>8438</v>
      </c>
      <c r="F3890" s="716"/>
      <c r="G3890" s="716">
        <v>36.65</v>
      </c>
      <c r="H3890" s="225">
        <f t="shared" si="60"/>
        <v>36.65</v>
      </c>
    </row>
    <row r="3891" spans="1:8" x14ac:dyDescent="0.3">
      <c r="A3891" s="401"/>
      <c r="B3891" s="709">
        <v>14149</v>
      </c>
      <c r="C3891" s="710" t="s">
        <v>12220</v>
      </c>
      <c r="D3891" s="709" t="s">
        <v>10467</v>
      </c>
      <c r="E3891" s="709" t="s">
        <v>8432</v>
      </c>
      <c r="F3891" s="716">
        <v>192.35</v>
      </c>
      <c r="G3891" s="716">
        <v>220.65</v>
      </c>
      <c r="H3891" s="225">
        <f t="shared" si="60"/>
        <v>192.35</v>
      </c>
    </row>
    <row r="3892" spans="1:8" x14ac:dyDescent="0.3">
      <c r="A3892" s="401"/>
      <c r="B3892" s="709">
        <v>38099</v>
      </c>
      <c r="C3892" s="710" t="s">
        <v>12221</v>
      </c>
      <c r="D3892" s="709" t="s">
        <v>136</v>
      </c>
      <c r="E3892" s="709" t="s">
        <v>8432</v>
      </c>
      <c r="F3892" s="716">
        <v>1.7</v>
      </c>
      <c r="G3892" s="716">
        <v>1.63</v>
      </c>
      <c r="H3892" s="225">
        <f t="shared" si="60"/>
        <v>1.7</v>
      </c>
    </row>
    <row r="3893" spans="1:8" x14ac:dyDescent="0.3">
      <c r="A3893" s="401"/>
      <c r="B3893" s="709">
        <v>38100</v>
      </c>
      <c r="C3893" s="710" t="s">
        <v>12222</v>
      </c>
      <c r="D3893" s="709" t="s">
        <v>136</v>
      </c>
      <c r="E3893" s="709" t="s">
        <v>8432</v>
      </c>
      <c r="F3893" s="716">
        <v>2.78</v>
      </c>
      <c r="G3893" s="716">
        <v>2.66</v>
      </c>
      <c r="H3893" s="225">
        <f t="shared" si="60"/>
        <v>2.78</v>
      </c>
    </row>
    <row r="3894" spans="1:8" x14ac:dyDescent="0.3">
      <c r="A3894" s="401"/>
      <c r="B3894" s="709">
        <v>7576</v>
      </c>
      <c r="C3894" s="710" t="s">
        <v>12223</v>
      </c>
      <c r="D3894" s="709" t="s">
        <v>136</v>
      </c>
      <c r="E3894" s="709" t="s">
        <v>8432</v>
      </c>
      <c r="F3894" s="716"/>
      <c r="G3894" s="716">
        <v>141.30000000000001</v>
      </c>
      <c r="H3894" s="225">
        <f t="shared" si="60"/>
        <v>141.30000000000001</v>
      </c>
    </row>
    <row r="3895" spans="1:8" x14ac:dyDescent="0.3">
      <c r="A3895" s="401"/>
      <c r="B3895" s="709">
        <v>3384</v>
      </c>
      <c r="C3895" s="710" t="s">
        <v>12224</v>
      </c>
      <c r="D3895" s="709" t="s">
        <v>136</v>
      </c>
      <c r="E3895" s="709" t="s">
        <v>8432</v>
      </c>
      <c r="F3895" s="716">
        <v>11.89</v>
      </c>
      <c r="G3895" s="716">
        <v>8.24</v>
      </c>
      <c r="H3895" s="225">
        <f t="shared" si="60"/>
        <v>11.89</v>
      </c>
    </row>
    <row r="3896" spans="1:8" x14ac:dyDescent="0.3">
      <c r="A3896" s="401"/>
      <c r="B3896" s="709">
        <v>7572</v>
      </c>
      <c r="C3896" s="710" t="s">
        <v>12225</v>
      </c>
      <c r="D3896" s="709" t="s">
        <v>136</v>
      </c>
      <c r="E3896" s="709" t="s">
        <v>8432</v>
      </c>
      <c r="F3896" s="716">
        <v>8.4499999999999993</v>
      </c>
      <c r="G3896" s="716">
        <v>7.54</v>
      </c>
      <c r="H3896" s="225">
        <f t="shared" si="60"/>
        <v>8.4499999999999993</v>
      </c>
    </row>
    <row r="3897" spans="1:8" x14ac:dyDescent="0.3">
      <c r="A3897" s="401"/>
      <c r="B3897" s="709">
        <v>3396</v>
      </c>
      <c r="C3897" s="710" t="s">
        <v>12226</v>
      </c>
      <c r="D3897" s="709" t="s">
        <v>136</v>
      </c>
      <c r="E3897" s="709" t="s">
        <v>8432</v>
      </c>
      <c r="F3897" s="716">
        <v>5.71</v>
      </c>
      <c r="G3897" s="716">
        <v>5.09</v>
      </c>
      <c r="H3897" s="225">
        <f t="shared" si="60"/>
        <v>5.71</v>
      </c>
    </row>
    <row r="3898" spans="1:8" x14ac:dyDescent="0.3">
      <c r="A3898" s="401"/>
      <c r="B3898" s="709">
        <v>45230</v>
      </c>
      <c r="C3898" s="710" t="s">
        <v>12227</v>
      </c>
      <c r="D3898" s="709" t="s">
        <v>136</v>
      </c>
      <c r="E3898" s="709" t="s">
        <v>8432</v>
      </c>
      <c r="F3898" s="716">
        <v>40.799999999999997</v>
      </c>
      <c r="G3898" s="716">
        <v>46.21</v>
      </c>
      <c r="H3898" s="225">
        <f t="shared" si="60"/>
        <v>40.799999999999997</v>
      </c>
    </row>
    <row r="3899" spans="1:8" x14ac:dyDescent="0.3">
      <c r="A3899" s="401"/>
      <c r="B3899" s="709">
        <v>37590</v>
      </c>
      <c r="C3899" s="710" t="s">
        <v>12228</v>
      </c>
      <c r="D3899" s="709" t="s">
        <v>136</v>
      </c>
      <c r="E3899" s="709" t="s">
        <v>8432</v>
      </c>
      <c r="F3899" s="716">
        <v>18.399999999999999</v>
      </c>
      <c r="G3899" s="716">
        <v>16.86</v>
      </c>
      <c r="H3899" s="225">
        <f t="shared" si="60"/>
        <v>18.399999999999999</v>
      </c>
    </row>
    <row r="3900" spans="1:8" x14ac:dyDescent="0.3">
      <c r="A3900" s="401"/>
      <c r="B3900" s="709">
        <v>37591</v>
      </c>
      <c r="C3900" s="710" t="s">
        <v>12229</v>
      </c>
      <c r="D3900" s="709" t="s">
        <v>136</v>
      </c>
      <c r="E3900" s="709" t="s">
        <v>8432</v>
      </c>
      <c r="F3900" s="716">
        <v>22.11</v>
      </c>
      <c r="G3900" s="716">
        <v>20.27</v>
      </c>
      <c r="H3900" s="225">
        <f t="shared" si="60"/>
        <v>22.11</v>
      </c>
    </row>
    <row r="3901" spans="1:8" x14ac:dyDescent="0.3">
      <c r="A3901" s="401"/>
      <c r="B3901" s="709">
        <v>12626</v>
      </c>
      <c r="C3901" s="710" t="s">
        <v>12230</v>
      </c>
      <c r="D3901" s="709" t="s">
        <v>136</v>
      </c>
      <c r="E3901" s="709" t="s">
        <v>8432</v>
      </c>
      <c r="F3901" s="716">
        <v>53.79</v>
      </c>
      <c r="G3901" s="716">
        <v>54.31</v>
      </c>
      <c r="H3901" s="225">
        <f t="shared" si="60"/>
        <v>53.79</v>
      </c>
    </row>
    <row r="3902" spans="1:8" x14ac:dyDescent="0.3">
      <c r="A3902" s="401"/>
      <c r="B3902" s="709">
        <v>11033</v>
      </c>
      <c r="C3902" s="710" t="s">
        <v>12231</v>
      </c>
      <c r="D3902" s="709" t="s">
        <v>136</v>
      </c>
      <c r="E3902" s="709" t="s">
        <v>8432</v>
      </c>
      <c r="F3902" s="716">
        <v>6.07</v>
      </c>
      <c r="G3902" s="716">
        <v>6.8</v>
      </c>
      <c r="H3902" s="225">
        <f t="shared" si="60"/>
        <v>6.07</v>
      </c>
    </row>
    <row r="3903" spans="1:8" x14ac:dyDescent="0.3">
      <c r="A3903" s="401"/>
      <c r="B3903" s="709">
        <v>44188</v>
      </c>
      <c r="C3903" s="710" t="s">
        <v>14867</v>
      </c>
      <c r="D3903" s="709" t="s">
        <v>136</v>
      </c>
      <c r="E3903" s="709" t="s">
        <v>8432</v>
      </c>
      <c r="F3903" s="716"/>
      <c r="G3903" s="716">
        <v>24.75</v>
      </c>
      <c r="H3903" s="225">
        <f t="shared" si="60"/>
        <v>24.75</v>
      </c>
    </row>
    <row r="3904" spans="1:8" x14ac:dyDescent="0.3">
      <c r="A3904" s="401"/>
      <c r="B3904" s="709">
        <v>390</v>
      </c>
      <c r="C3904" s="710" t="s">
        <v>12232</v>
      </c>
      <c r="D3904" s="709" t="s">
        <v>136</v>
      </c>
      <c r="E3904" s="709" t="s">
        <v>8432</v>
      </c>
      <c r="F3904" s="716">
        <v>10.34</v>
      </c>
      <c r="G3904" s="716">
        <v>9.2200000000000006</v>
      </c>
      <c r="H3904" s="225">
        <f t="shared" si="60"/>
        <v>10.34</v>
      </c>
    </row>
    <row r="3905" spans="1:8" x14ac:dyDescent="0.3">
      <c r="A3905" s="401"/>
      <c r="B3905" s="709">
        <v>44187</v>
      </c>
      <c r="C3905" s="710" t="s">
        <v>14868</v>
      </c>
      <c r="D3905" s="709" t="s">
        <v>136</v>
      </c>
      <c r="E3905" s="709" t="s">
        <v>8432</v>
      </c>
      <c r="F3905" s="716"/>
      <c r="G3905" s="716">
        <v>6.24</v>
      </c>
      <c r="H3905" s="225">
        <f t="shared" si="60"/>
        <v>6.24</v>
      </c>
    </row>
    <row r="3906" spans="1:8" x14ac:dyDescent="0.3">
      <c r="A3906" s="401"/>
      <c r="B3906" s="709">
        <v>44190</v>
      </c>
      <c r="C3906" s="710" t="s">
        <v>14869</v>
      </c>
      <c r="D3906" s="709" t="s">
        <v>136</v>
      </c>
      <c r="E3906" s="709" t="s">
        <v>8432</v>
      </c>
      <c r="F3906" s="716"/>
      <c r="G3906" s="716">
        <v>8.42</v>
      </c>
      <c r="H3906" s="225">
        <f t="shared" si="60"/>
        <v>8.42</v>
      </c>
    </row>
    <row r="3907" spans="1:8" x14ac:dyDescent="0.3">
      <c r="A3907" s="401"/>
      <c r="B3907" s="709">
        <v>42436</v>
      </c>
      <c r="C3907" s="710" t="s">
        <v>12233</v>
      </c>
      <c r="D3907" s="709" t="s">
        <v>136</v>
      </c>
      <c r="E3907" s="709" t="s">
        <v>8432</v>
      </c>
      <c r="F3907" s="716"/>
      <c r="G3907" s="716">
        <v>2701.34</v>
      </c>
      <c r="H3907" s="225">
        <f t="shared" si="60"/>
        <v>2701.34</v>
      </c>
    </row>
    <row r="3908" spans="1:8" x14ac:dyDescent="0.3">
      <c r="A3908" s="401"/>
      <c r="B3908" s="709">
        <v>6194</v>
      </c>
      <c r="C3908" s="710" t="s">
        <v>12234</v>
      </c>
      <c r="D3908" s="709" t="s">
        <v>159</v>
      </c>
      <c r="E3908" s="709" t="s">
        <v>8432</v>
      </c>
      <c r="F3908" s="716">
        <v>5.0999999999999996</v>
      </c>
      <c r="G3908" s="716">
        <v>5.89</v>
      </c>
      <c r="H3908" s="225">
        <f t="shared" si="60"/>
        <v>5.0999999999999996</v>
      </c>
    </row>
    <row r="3909" spans="1:8" x14ac:dyDescent="0.3">
      <c r="A3909" s="401"/>
      <c r="B3909" s="709">
        <v>10567</v>
      </c>
      <c r="C3909" s="710" t="s">
        <v>12235</v>
      </c>
      <c r="D3909" s="709" t="s">
        <v>159</v>
      </c>
      <c r="E3909" s="709" t="s">
        <v>8432</v>
      </c>
      <c r="F3909" s="716">
        <v>8.07</v>
      </c>
      <c r="G3909" s="716">
        <v>9.33</v>
      </c>
      <c r="H3909" s="225">
        <f t="shared" si="60"/>
        <v>8.07</v>
      </c>
    </row>
    <row r="3910" spans="1:8" x14ac:dyDescent="0.3">
      <c r="A3910" s="401"/>
      <c r="B3910" s="709">
        <v>6212</v>
      </c>
      <c r="C3910" s="710" t="s">
        <v>12236</v>
      </c>
      <c r="D3910" s="709" t="s">
        <v>159</v>
      </c>
      <c r="E3910" s="709" t="s">
        <v>8438</v>
      </c>
      <c r="F3910" s="716">
        <v>11.85</v>
      </c>
      <c r="G3910" s="716">
        <v>13.69</v>
      </c>
      <c r="H3910" s="225">
        <f t="shared" si="60"/>
        <v>11.85</v>
      </c>
    </row>
    <row r="3911" spans="1:8" x14ac:dyDescent="0.3">
      <c r="A3911" s="401"/>
      <c r="B3911" s="709">
        <v>3993</v>
      </c>
      <c r="C3911" s="710" t="s">
        <v>12237</v>
      </c>
      <c r="D3911" s="709" t="s">
        <v>168</v>
      </c>
      <c r="E3911" s="709" t="s">
        <v>8432</v>
      </c>
      <c r="F3911" s="716">
        <v>124.77</v>
      </c>
      <c r="G3911" s="716">
        <v>152.54</v>
      </c>
      <c r="H3911" s="225">
        <f t="shared" si="60"/>
        <v>124.77</v>
      </c>
    </row>
    <row r="3912" spans="1:8" x14ac:dyDescent="0.3">
      <c r="A3912" s="401"/>
      <c r="B3912" s="709">
        <v>3990</v>
      </c>
      <c r="C3912" s="710" t="s">
        <v>12238</v>
      </c>
      <c r="D3912" s="709" t="s">
        <v>159</v>
      </c>
      <c r="E3912" s="709" t="s">
        <v>8432</v>
      </c>
      <c r="F3912" s="716">
        <v>23.47</v>
      </c>
      <c r="G3912" s="716">
        <v>28.7</v>
      </c>
      <c r="H3912" s="225">
        <f t="shared" si="60"/>
        <v>23.47</v>
      </c>
    </row>
    <row r="3913" spans="1:8" x14ac:dyDescent="0.3">
      <c r="A3913" s="401"/>
      <c r="B3913" s="709">
        <v>3992</v>
      </c>
      <c r="C3913" s="710" t="s">
        <v>12239</v>
      </c>
      <c r="D3913" s="709" t="s">
        <v>159</v>
      </c>
      <c r="E3913" s="709" t="s">
        <v>8432</v>
      </c>
      <c r="F3913" s="716">
        <v>31.69</v>
      </c>
      <c r="G3913" s="716">
        <v>38.75</v>
      </c>
      <c r="H3913" s="225">
        <f t="shared" si="60"/>
        <v>31.69</v>
      </c>
    </row>
    <row r="3914" spans="1:8" x14ac:dyDescent="0.3">
      <c r="A3914" s="401"/>
      <c r="B3914" s="709">
        <v>6178</v>
      </c>
      <c r="C3914" s="710" t="s">
        <v>12240</v>
      </c>
      <c r="D3914" s="709" t="s">
        <v>168</v>
      </c>
      <c r="E3914" s="709" t="s">
        <v>8432</v>
      </c>
      <c r="F3914" s="716">
        <v>352.09</v>
      </c>
      <c r="G3914" s="716">
        <v>467.16</v>
      </c>
      <c r="H3914" s="225">
        <f t="shared" si="60"/>
        <v>352.09</v>
      </c>
    </row>
    <row r="3915" spans="1:8" x14ac:dyDescent="0.3">
      <c r="A3915" s="401"/>
      <c r="B3915" s="709">
        <v>6180</v>
      </c>
      <c r="C3915" s="710" t="s">
        <v>12241</v>
      </c>
      <c r="D3915" s="709" t="s">
        <v>168</v>
      </c>
      <c r="E3915" s="709" t="s">
        <v>8438</v>
      </c>
      <c r="F3915" s="716">
        <v>380</v>
      </c>
      <c r="G3915" s="716">
        <v>504.19</v>
      </c>
      <c r="H3915" s="225">
        <f t="shared" ref="H3915:H3978" si="61">IF(F3915&gt;0,F3915,G3915)</f>
        <v>380</v>
      </c>
    </row>
    <row r="3916" spans="1:8" x14ac:dyDescent="0.3">
      <c r="A3916" s="401"/>
      <c r="B3916" s="709">
        <v>6182</v>
      </c>
      <c r="C3916" s="710" t="s">
        <v>12242</v>
      </c>
      <c r="D3916" s="709" t="s">
        <v>168</v>
      </c>
      <c r="E3916" s="709" t="s">
        <v>8432</v>
      </c>
      <c r="F3916" s="716">
        <v>471.67</v>
      </c>
      <c r="G3916" s="716">
        <v>625.83000000000004</v>
      </c>
      <c r="H3916" s="225">
        <f t="shared" si="61"/>
        <v>471.67</v>
      </c>
    </row>
    <row r="3917" spans="1:8" x14ac:dyDescent="0.3">
      <c r="A3917" s="401"/>
      <c r="B3917" s="709">
        <v>43614</v>
      </c>
      <c r="C3917" s="710" t="s">
        <v>12243</v>
      </c>
      <c r="D3917" s="709" t="s">
        <v>159</v>
      </c>
      <c r="E3917" s="709" t="s">
        <v>8432</v>
      </c>
      <c r="F3917" s="716">
        <v>15.86</v>
      </c>
      <c r="G3917" s="716">
        <v>19.39</v>
      </c>
      <c r="H3917" s="225">
        <f t="shared" si="61"/>
        <v>15.86</v>
      </c>
    </row>
    <row r="3918" spans="1:8" x14ac:dyDescent="0.3">
      <c r="A3918" s="401"/>
      <c r="B3918" s="709">
        <v>6193</v>
      </c>
      <c r="C3918" s="710" t="s">
        <v>12244</v>
      </c>
      <c r="D3918" s="709" t="s">
        <v>159</v>
      </c>
      <c r="E3918" s="709" t="s">
        <v>8432</v>
      </c>
      <c r="F3918" s="716">
        <v>19.3</v>
      </c>
      <c r="G3918" s="716">
        <v>23.6</v>
      </c>
      <c r="H3918" s="225">
        <f t="shared" si="61"/>
        <v>19.3</v>
      </c>
    </row>
    <row r="3919" spans="1:8" x14ac:dyDescent="0.3">
      <c r="A3919" s="401"/>
      <c r="B3919" s="709">
        <v>6189</v>
      </c>
      <c r="C3919" s="710" t="s">
        <v>12245</v>
      </c>
      <c r="D3919" s="709" t="s">
        <v>159</v>
      </c>
      <c r="E3919" s="709" t="s">
        <v>8432</v>
      </c>
      <c r="F3919" s="716">
        <v>28.17</v>
      </c>
      <c r="G3919" s="716">
        <v>34.44</v>
      </c>
      <c r="H3919" s="225">
        <f t="shared" si="61"/>
        <v>28.17</v>
      </c>
    </row>
    <row r="3920" spans="1:8" x14ac:dyDescent="0.3">
      <c r="A3920" s="401"/>
      <c r="B3920" s="709">
        <v>6214</v>
      </c>
      <c r="C3920" s="710" t="s">
        <v>12246</v>
      </c>
      <c r="D3920" s="709" t="s">
        <v>168</v>
      </c>
      <c r="E3920" s="709" t="s">
        <v>8432</v>
      </c>
      <c r="F3920" s="716">
        <v>220.55</v>
      </c>
      <c r="G3920" s="716">
        <v>292.64</v>
      </c>
      <c r="H3920" s="225">
        <f t="shared" si="61"/>
        <v>220.55</v>
      </c>
    </row>
    <row r="3921" spans="1:8" x14ac:dyDescent="0.3">
      <c r="A3921" s="401"/>
      <c r="B3921" s="709">
        <v>44027</v>
      </c>
      <c r="C3921" s="710" t="s">
        <v>12247</v>
      </c>
      <c r="D3921" s="709" t="s">
        <v>136</v>
      </c>
      <c r="E3921" s="709" t="s">
        <v>8432</v>
      </c>
      <c r="F3921" s="716">
        <v>1.3</v>
      </c>
      <c r="G3921" s="716">
        <v>1.1599999999999999</v>
      </c>
      <c r="H3921" s="225">
        <f t="shared" si="61"/>
        <v>1.3</v>
      </c>
    </row>
    <row r="3922" spans="1:8" x14ac:dyDescent="0.3">
      <c r="A3922" s="401"/>
      <c r="B3922" s="709">
        <v>36153</v>
      </c>
      <c r="C3922" s="710" t="s">
        <v>12248</v>
      </c>
      <c r="D3922" s="709" t="s">
        <v>136</v>
      </c>
      <c r="E3922" s="709" t="s">
        <v>8432</v>
      </c>
      <c r="F3922" s="716">
        <v>227.78</v>
      </c>
      <c r="G3922" s="716">
        <v>223.39</v>
      </c>
      <c r="H3922" s="225">
        <f t="shared" si="61"/>
        <v>227.78</v>
      </c>
    </row>
    <row r="3923" spans="1:8" x14ac:dyDescent="0.3">
      <c r="A3923" s="401"/>
      <c r="B3923" s="709">
        <v>10742</v>
      </c>
      <c r="C3923" s="710" t="s">
        <v>12249</v>
      </c>
      <c r="D3923" s="709" t="s">
        <v>136</v>
      </c>
      <c r="E3923" s="709" t="s">
        <v>8438</v>
      </c>
      <c r="F3923" s="716">
        <v>881.67</v>
      </c>
      <c r="G3923" s="716">
        <v>862.84</v>
      </c>
      <c r="H3923" s="225">
        <f t="shared" si="61"/>
        <v>881.67</v>
      </c>
    </row>
    <row r="3924" spans="1:8" x14ac:dyDescent="0.3">
      <c r="A3924" s="401"/>
      <c r="B3924" s="709">
        <v>45239</v>
      </c>
      <c r="C3924" s="710" t="s">
        <v>12250</v>
      </c>
      <c r="D3924" s="709" t="s">
        <v>136</v>
      </c>
      <c r="E3924" s="709" t="s">
        <v>8432</v>
      </c>
      <c r="F3924" s="716">
        <v>26.73</v>
      </c>
      <c r="G3924" s="716">
        <v>26.28</v>
      </c>
      <c r="H3924" s="225">
        <f t="shared" si="61"/>
        <v>26.73</v>
      </c>
    </row>
    <row r="3925" spans="1:8" x14ac:dyDescent="0.3">
      <c r="A3925" s="401"/>
      <c r="B3925" s="709">
        <v>38465</v>
      </c>
      <c r="C3925" s="710" t="s">
        <v>12251</v>
      </c>
      <c r="D3925" s="709" t="s">
        <v>136</v>
      </c>
      <c r="E3925" s="709" t="s">
        <v>8432</v>
      </c>
      <c r="F3925" s="716">
        <v>73.849999999999994</v>
      </c>
      <c r="G3925" s="716">
        <v>72.62</v>
      </c>
      <c r="H3925" s="225">
        <f t="shared" si="61"/>
        <v>73.849999999999994</v>
      </c>
    </row>
    <row r="3926" spans="1:8" x14ac:dyDescent="0.3">
      <c r="A3926" s="401"/>
      <c r="B3926" s="709">
        <v>7543</v>
      </c>
      <c r="C3926" s="710" t="s">
        <v>12252</v>
      </c>
      <c r="D3926" s="709" t="s">
        <v>136</v>
      </c>
      <c r="E3926" s="709" t="s">
        <v>8432</v>
      </c>
      <c r="F3926" s="716">
        <v>6.87</v>
      </c>
      <c r="G3926" s="716">
        <v>4.53</v>
      </c>
      <c r="H3926" s="225">
        <f t="shared" si="61"/>
        <v>6.87</v>
      </c>
    </row>
    <row r="3927" spans="1:8" x14ac:dyDescent="0.3">
      <c r="A3927" s="401"/>
      <c r="B3927" s="709">
        <v>43427</v>
      </c>
      <c r="C3927" s="710" t="s">
        <v>12253</v>
      </c>
      <c r="D3927" s="709" t="s">
        <v>136</v>
      </c>
      <c r="E3927" s="709" t="s">
        <v>8432</v>
      </c>
      <c r="F3927" s="716">
        <v>2249.14</v>
      </c>
      <c r="G3927" s="716">
        <v>2180.25</v>
      </c>
      <c r="H3927" s="225">
        <f t="shared" si="61"/>
        <v>2249.14</v>
      </c>
    </row>
    <row r="3928" spans="1:8" x14ac:dyDescent="0.3">
      <c r="A3928" s="401"/>
      <c r="B3928" s="709">
        <v>41613</v>
      </c>
      <c r="C3928" s="710" t="s">
        <v>12254</v>
      </c>
      <c r="D3928" s="709" t="s">
        <v>136</v>
      </c>
      <c r="E3928" s="709" t="s">
        <v>8432</v>
      </c>
      <c r="F3928" s="716">
        <v>144.57</v>
      </c>
      <c r="G3928" s="716">
        <v>140.15</v>
      </c>
      <c r="H3928" s="225">
        <f t="shared" si="61"/>
        <v>144.57</v>
      </c>
    </row>
    <row r="3929" spans="1:8" x14ac:dyDescent="0.3">
      <c r="A3929" s="401"/>
      <c r="B3929" s="709">
        <v>41614</v>
      </c>
      <c r="C3929" s="710" t="s">
        <v>12255</v>
      </c>
      <c r="D3929" s="709" t="s">
        <v>136</v>
      </c>
      <c r="E3929" s="709" t="s">
        <v>8432</v>
      </c>
      <c r="F3929" s="716">
        <v>184.22</v>
      </c>
      <c r="G3929" s="716">
        <v>178.57</v>
      </c>
      <c r="H3929" s="225">
        <f t="shared" si="61"/>
        <v>184.22</v>
      </c>
    </row>
    <row r="3930" spans="1:8" x14ac:dyDescent="0.3">
      <c r="A3930" s="401"/>
      <c r="B3930" s="709">
        <v>41615</v>
      </c>
      <c r="C3930" s="710" t="s">
        <v>12256</v>
      </c>
      <c r="D3930" s="709" t="s">
        <v>136</v>
      </c>
      <c r="E3930" s="709" t="s">
        <v>8432</v>
      </c>
      <c r="F3930" s="716">
        <v>284.72000000000003</v>
      </c>
      <c r="G3930" s="716">
        <v>276</v>
      </c>
      <c r="H3930" s="225">
        <f t="shared" si="61"/>
        <v>284.72000000000003</v>
      </c>
    </row>
    <row r="3931" spans="1:8" x14ac:dyDescent="0.3">
      <c r="A3931" s="401"/>
      <c r="B3931" s="709">
        <v>41616</v>
      </c>
      <c r="C3931" s="710" t="s">
        <v>12257</v>
      </c>
      <c r="D3931" s="709" t="s">
        <v>136</v>
      </c>
      <c r="E3931" s="709" t="s">
        <v>8432</v>
      </c>
      <c r="F3931" s="716">
        <v>425.42</v>
      </c>
      <c r="G3931" s="716">
        <v>412.39</v>
      </c>
      <c r="H3931" s="225">
        <f t="shared" si="61"/>
        <v>425.42</v>
      </c>
    </row>
    <row r="3932" spans="1:8" x14ac:dyDescent="0.3">
      <c r="A3932" s="401"/>
      <c r="B3932" s="709">
        <v>41617</v>
      </c>
      <c r="C3932" s="710" t="s">
        <v>12258</v>
      </c>
      <c r="D3932" s="709" t="s">
        <v>136</v>
      </c>
      <c r="E3932" s="709" t="s">
        <v>8432</v>
      </c>
      <c r="F3932" s="716">
        <v>845.9</v>
      </c>
      <c r="G3932" s="716">
        <v>819.99</v>
      </c>
      <c r="H3932" s="225">
        <f t="shared" si="61"/>
        <v>845.9</v>
      </c>
    </row>
    <row r="3933" spans="1:8" x14ac:dyDescent="0.3">
      <c r="A3933" s="401"/>
      <c r="B3933" s="709">
        <v>41618</v>
      </c>
      <c r="C3933" s="710" t="s">
        <v>12259</v>
      </c>
      <c r="D3933" s="709" t="s">
        <v>136</v>
      </c>
      <c r="E3933" s="709" t="s">
        <v>8432</v>
      </c>
      <c r="F3933" s="716">
        <v>1557.26</v>
      </c>
      <c r="G3933" s="716">
        <v>1509.56</v>
      </c>
      <c r="H3933" s="225">
        <f t="shared" si="61"/>
        <v>1557.26</v>
      </c>
    </row>
    <row r="3934" spans="1:8" x14ac:dyDescent="0.3">
      <c r="A3934" s="401"/>
      <c r="B3934" s="709">
        <v>43428</v>
      </c>
      <c r="C3934" s="710" t="s">
        <v>12260</v>
      </c>
      <c r="D3934" s="709" t="s">
        <v>136</v>
      </c>
      <c r="E3934" s="709" t="s">
        <v>8432</v>
      </c>
      <c r="F3934" s="716">
        <v>2735.35</v>
      </c>
      <c r="G3934" s="716">
        <v>2651.57</v>
      </c>
      <c r="H3934" s="225">
        <f t="shared" si="61"/>
        <v>2735.35</v>
      </c>
    </row>
    <row r="3935" spans="1:8" x14ac:dyDescent="0.3">
      <c r="A3935" s="401"/>
      <c r="B3935" s="709">
        <v>41619</v>
      </c>
      <c r="C3935" s="710" t="s">
        <v>12261</v>
      </c>
      <c r="D3935" s="709" t="s">
        <v>136</v>
      </c>
      <c r="E3935" s="709" t="s">
        <v>8432</v>
      </c>
      <c r="F3935" s="716">
        <v>177.22</v>
      </c>
      <c r="G3935" s="716">
        <v>171.79</v>
      </c>
      <c r="H3935" s="225">
        <f t="shared" si="61"/>
        <v>177.22</v>
      </c>
    </row>
    <row r="3936" spans="1:8" x14ac:dyDescent="0.3">
      <c r="A3936" s="401"/>
      <c r="B3936" s="709">
        <v>41620</v>
      </c>
      <c r="C3936" s="710" t="s">
        <v>12262</v>
      </c>
      <c r="D3936" s="709" t="s">
        <v>136</v>
      </c>
      <c r="E3936" s="709" t="s">
        <v>8432</v>
      </c>
      <c r="F3936" s="716">
        <v>223.86</v>
      </c>
      <c r="G3936" s="716">
        <v>217</v>
      </c>
      <c r="H3936" s="225">
        <f t="shared" si="61"/>
        <v>223.86</v>
      </c>
    </row>
    <row r="3937" spans="1:8" x14ac:dyDescent="0.3">
      <c r="A3937" s="401"/>
      <c r="B3937" s="709">
        <v>41622</v>
      </c>
      <c r="C3937" s="710" t="s">
        <v>12263</v>
      </c>
      <c r="D3937" s="709" t="s">
        <v>136</v>
      </c>
      <c r="E3937" s="709" t="s">
        <v>8432</v>
      </c>
      <c r="F3937" s="716">
        <v>388.26</v>
      </c>
      <c r="G3937" s="716">
        <v>376.37</v>
      </c>
      <c r="H3937" s="225">
        <f t="shared" si="61"/>
        <v>388.26</v>
      </c>
    </row>
    <row r="3938" spans="1:8" x14ac:dyDescent="0.3">
      <c r="A3938" s="401"/>
      <c r="B3938" s="709">
        <v>41623</v>
      </c>
      <c r="C3938" s="710" t="s">
        <v>12264</v>
      </c>
      <c r="D3938" s="709" t="s">
        <v>136</v>
      </c>
      <c r="E3938" s="709" t="s">
        <v>8432</v>
      </c>
      <c r="F3938" s="716">
        <v>596.97</v>
      </c>
      <c r="G3938" s="716">
        <v>578.67999999999995</v>
      </c>
      <c r="H3938" s="225">
        <f t="shared" si="61"/>
        <v>596.97</v>
      </c>
    </row>
    <row r="3939" spans="1:8" x14ac:dyDescent="0.3">
      <c r="A3939" s="401"/>
      <c r="B3939" s="709">
        <v>41624</v>
      </c>
      <c r="C3939" s="710" t="s">
        <v>12265</v>
      </c>
      <c r="D3939" s="709" t="s">
        <v>136</v>
      </c>
      <c r="E3939" s="709" t="s">
        <v>8432</v>
      </c>
      <c r="F3939" s="716">
        <v>1119.32</v>
      </c>
      <c r="G3939" s="716">
        <v>1085.04</v>
      </c>
      <c r="H3939" s="225">
        <f t="shared" si="61"/>
        <v>1119.32</v>
      </c>
    </row>
    <row r="3940" spans="1:8" x14ac:dyDescent="0.3">
      <c r="A3940" s="401"/>
      <c r="B3940" s="709">
        <v>41625</v>
      </c>
      <c r="C3940" s="710" t="s">
        <v>12266</v>
      </c>
      <c r="D3940" s="709" t="s">
        <v>136</v>
      </c>
      <c r="E3940" s="709" t="s">
        <v>8432</v>
      </c>
      <c r="F3940" s="716">
        <v>1722.13</v>
      </c>
      <c r="G3940" s="716">
        <v>1669.38</v>
      </c>
      <c r="H3940" s="225">
        <f t="shared" si="61"/>
        <v>1722.13</v>
      </c>
    </row>
    <row r="3941" spans="1:8" x14ac:dyDescent="0.3">
      <c r="A3941" s="401"/>
      <c r="B3941" s="709">
        <v>39346</v>
      </c>
      <c r="C3941" s="710" t="s">
        <v>12267</v>
      </c>
      <c r="D3941" s="709" t="s">
        <v>136</v>
      </c>
      <c r="E3941" s="709" t="s">
        <v>8432</v>
      </c>
      <c r="F3941" s="716">
        <v>4.24</v>
      </c>
      <c r="G3941" s="716">
        <v>2.79</v>
      </c>
      <c r="H3941" s="225">
        <f t="shared" si="61"/>
        <v>4.24</v>
      </c>
    </row>
    <row r="3942" spans="1:8" x14ac:dyDescent="0.3">
      <c r="A3942" s="401"/>
      <c r="B3942" s="709">
        <v>39350</v>
      </c>
      <c r="C3942" s="710" t="s">
        <v>12268</v>
      </c>
      <c r="D3942" s="709" t="s">
        <v>136</v>
      </c>
      <c r="E3942" s="709" t="s">
        <v>8432</v>
      </c>
      <c r="F3942" s="716">
        <v>4.57</v>
      </c>
      <c r="G3942" s="716">
        <v>3.01</v>
      </c>
      <c r="H3942" s="225">
        <f t="shared" si="61"/>
        <v>4.57</v>
      </c>
    </row>
    <row r="3943" spans="1:8" x14ac:dyDescent="0.3">
      <c r="A3943" s="401"/>
      <c r="B3943" s="709">
        <v>39351</v>
      </c>
      <c r="C3943" s="710" t="s">
        <v>12269</v>
      </c>
      <c r="D3943" s="709" t="s">
        <v>136</v>
      </c>
      <c r="E3943" s="709" t="s">
        <v>8432</v>
      </c>
      <c r="F3943" s="716">
        <v>5.29</v>
      </c>
      <c r="G3943" s="716">
        <v>3.48</v>
      </c>
      <c r="H3943" s="225">
        <f t="shared" si="61"/>
        <v>5.29</v>
      </c>
    </row>
    <row r="3944" spans="1:8" x14ac:dyDescent="0.3">
      <c r="A3944" s="401"/>
      <c r="B3944" s="709">
        <v>39352</v>
      </c>
      <c r="C3944" s="710" t="s">
        <v>12270</v>
      </c>
      <c r="D3944" s="709" t="s">
        <v>136</v>
      </c>
      <c r="E3944" s="709" t="s">
        <v>8432</v>
      </c>
      <c r="F3944" s="716">
        <v>4.24</v>
      </c>
      <c r="G3944" s="716">
        <v>2.79</v>
      </c>
      <c r="H3944" s="225">
        <f t="shared" si="61"/>
        <v>4.24</v>
      </c>
    </row>
    <row r="3945" spans="1:8" x14ac:dyDescent="0.3">
      <c r="A3945" s="401"/>
      <c r="B3945" s="709">
        <v>38837</v>
      </c>
      <c r="C3945" s="710" t="s">
        <v>12271</v>
      </c>
      <c r="D3945" s="709" t="s">
        <v>136</v>
      </c>
      <c r="E3945" s="709" t="s">
        <v>8432</v>
      </c>
      <c r="F3945" s="716">
        <v>14.09</v>
      </c>
      <c r="G3945" s="716">
        <v>8.81</v>
      </c>
      <c r="H3945" s="225">
        <f t="shared" si="61"/>
        <v>14.09</v>
      </c>
    </row>
    <row r="3946" spans="1:8" x14ac:dyDescent="0.3">
      <c r="A3946" s="401"/>
      <c r="B3946" s="709">
        <v>38836</v>
      </c>
      <c r="C3946" s="710" t="s">
        <v>12272</v>
      </c>
      <c r="D3946" s="709" t="s">
        <v>136</v>
      </c>
      <c r="E3946" s="709" t="s">
        <v>8432</v>
      </c>
      <c r="F3946" s="716">
        <v>9.84</v>
      </c>
      <c r="G3946" s="716">
        <v>6.15</v>
      </c>
      <c r="H3946" s="225">
        <f t="shared" si="61"/>
        <v>9.84</v>
      </c>
    </row>
    <row r="3947" spans="1:8" x14ac:dyDescent="0.3">
      <c r="A3947" s="401"/>
      <c r="B3947" s="709">
        <v>2666</v>
      </c>
      <c r="C3947" s="710" t="s">
        <v>12273</v>
      </c>
      <c r="D3947" s="709" t="s">
        <v>136</v>
      </c>
      <c r="E3947" s="709" t="s">
        <v>8432</v>
      </c>
      <c r="F3947" s="716">
        <v>10.039999999999999</v>
      </c>
      <c r="G3947" s="716">
        <v>6</v>
      </c>
      <c r="H3947" s="225">
        <f t="shared" si="61"/>
        <v>10.039999999999999</v>
      </c>
    </row>
    <row r="3948" spans="1:8" x14ac:dyDescent="0.3">
      <c r="A3948" s="401"/>
      <c r="B3948" s="709">
        <v>2668</v>
      </c>
      <c r="C3948" s="710" t="s">
        <v>12274</v>
      </c>
      <c r="D3948" s="709" t="s">
        <v>136</v>
      </c>
      <c r="E3948" s="709" t="s">
        <v>8432</v>
      </c>
      <c r="F3948" s="716">
        <v>11.47</v>
      </c>
      <c r="G3948" s="716">
        <v>6.86</v>
      </c>
      <c r="H3948" s="225">
        <f t="shared" si="61"/>
        <v>11.47</v>
      </c>
    </row>
    <row r="3949" spans="1:8" x14ac:dyDescent="0.3">
      <c r="A3949" s="401"/>
      <c r="B3949" s="709">
        <v>2664</v>
      </c>
      <c r="C3949" s="710" t="s">
        <v>12275</v>
      </c>
      <c r="D3949" s="709" t="s">
        <v>136</v>
      </c>
      <c r="E3949" s="709" t="s">
        <v>8432</v>
      </c>
      <c r="F3949" s="716">
        <v>16.91</v>
      </c>
      <c r="G3949" s="716">
        <v>10.11</v>
      </c>
      <c r="H3949" s="225">
        <f t="shared" si="61"/>
        <v>16.91</v>
      </c>
    </row>
    <row r="3950" spans="1:8" x14ac:dyDescent="0.3">
      <c r="A3950" s="401"/>
      <c r="B3950" s="709">
        <v>2662</v>
      </c>
      <c r="C3950" s="710" t="s">
        <v>12276</v>
      </c>
      <c r="D3950" s="709" t="s">
        <v>136</v>
      </c>
      <c r="E3950" s="709" t="s">
        <v>8432</v>
      </c>
      <c r="F3950" s="716">
        <v>20.75</v>
      </c>
      <c r="G3950" s="716">
        <v>12.41</v>
      </c>
      <c r="H3950" s="225">
        <f t="shared" si="61"/>
        <v>20.75</v>
      </c>
    </row>
    <row r="3951" spans="1:8" x14ac:dyDescent="0.3">
      <c r="A3951" s="401"/>
      <c r="B3951" s="709">
        <v>20964</v>
      </c>
      <c r="C3951" s="710" t="s">
        <v>12277</v>
      </c>
      <c r="D3951" s="709" t="s">
        <v>136</v>
      </c>
      <c r="E3951" s="709" t="s">
        <v>8432</v>
      </c>
      <c r="F3951" s="716">
        <v>64.42</v>
      </c>
      <c r="G3951" s="716">
        <v>143.69</v>
      </c>
      <c r="H3951" s="225">
        <f t="shared" si="61"/>
        <v>64.42</v>
      </c>
    </row>
    <row r="3952" spans="1:8" x14ac:dyDescent="0.3">
      <c r="A3952" s="401"/>
      <c r="B3952" s="709">
        <v>10905</v>
      </c>
      <c r="C3952" s="710" t="s">
        <v>12278</v>
      </c>
      <c r="D3952" s="709" t="s">
        <v>136</v>
      </c>
      <c r="E3952" s="709" t="s">
        <v>8432</v>
      </c>
      <c r="F3952" s="716">
        <v>86.42</v>
      </c>
      <c r="G3952" s="716">
        <v>192.76</v>
      </c>
      <c r="H3952" s="225">
        <f t="shared" si="61"/>
        <v>86.42</v>
      </c>
    </row>
    <row r="3953" spans="1:8" x14ac:dyDescent="0.3">
      <c r="A3953" s="401"/>
      <c r="B3953" s="709">
        <v>11289</v>
      </c>
      <c r="C3953" s="710" t="s">
        <v>12279</v>
      </c>
      <c r="D3953" s="709" t="s">
        <v>136</v>
      </c>
      <c r="E3953" s="709" t="s">
        <v>8432</v>
      </c>
      <c r="F3953" s="716"/>
      <c r="G3953" s="716">
        <v>84.65</v>
      </c>
      <c r="H3953" s="225">
        <f t="shared" si="61"/>
        <v>84.65</v>
      </c>
    </row>
    <row r="3954" spans="1:8" x14ac:dyDescent="0.3">
      <c r="A3954" s="401"/>
      <c r="B3954" s="709">
        <v>11241</v>
      </c>
      <c r="C3954" s="710" t="s">
        <v>12280</v>
      </c>
      <c r="D3954" s="709" t="s">
        <v>136</v>
      </c>
      <c r="E3954" s="709" t="s">
        <v>8432</v>
      </c>
      <c r="F3954" s="716"/>
      <c r="G3954" s="716">
        <v>211.62</v>
      </c>
      <c r="H3954" s="225">
        <f t="shared" si="61"/>
        <v>211.62</v>
      </c>
    </row>
    <row r="3955" spans="1:8" x14ac:dyDescent="0.3">
      <c r="A3955" s="401"/>
      <c r="B3955" s="709">
        <v>11301</v>
      </c>
      <c r="C3955" s="710" t="s">
        <v>12281</v>
      </c>
      <c r="D3955" s="709" t="s">
        <v>136</v>
      </c>
      <c r="E3955" s="709" t="s">
        <v>8432</v>
      </c>
      <c r="F3955" s="716"/>
      <c r="G3955" s="716">
        <v>536.62</v>
      </c>
      <c r="H3955" s="225">
        <f t="shared" si="61"/>
        <v>536.62</v>
      </c>
    </row>
    <row r="3956" spans="1:8" x14ac:dyDescent="0.3">
      <c r="A3956" s="401"/>
      <c r="B3956" s="709">
        <v>21090</v>
      </c>
      <c r="C3956" s="710" t="s">
        <v>12282</v>
      </c>
      <c r="D3956" s="709" t="s">
        <v>136</v>
      </c>
      <c r="E3956" s="709" t="s">
        <v>8432</v>
      </c>
      <c r="F3956" s="716"/>
      <c r="G3956" s="716">
        <v>657.55</v>
      </c>
      <c r="H3956" s="225">
        <f t="shared" si="61"/>
        <v>657.55</v>
      </c>
    </row>
    <row r="3957" spans="1:8" x14ac:dyDescent="0.3">
      <c r="A3957" s="401"/>
      <c r="B3957" s="709">
        <v>11315</v>
      </c>
      <c r="C3957" s="710" t="s">
        <v>12283</v>
      </c>
      <c r="D3957" s="709" t="s">
        <v>136</v>
      </c>
      <c r="E3957" s="709" t="s">
        <v>8432</v>
      </c>
      <c r="F3957" s="716"/>
      <c r="G3957" s="716">
        <v>128.47999999999999</v>
      </c>
      <c r="H3957" s="225">
        <f t="shared" si="61"/>
        <v>128.47999999999999</v>
      </c>
    </row>
    <row r="3958" spans="1:8" x14ac:dyDescent="0.3">
      <c r="A3958" s="401"/>
      <c r="B3958" s="709">
        <v>21071</v>
      </c>
      <c r="C3958" s="710" t="s">
        <v>12284</v>
      </c>
      <c r="D3958" s="709" t="s">
        <v>136</v>
      </c>
      <c r="E3958" s="709" t="s">
        <v>8432</v>
      </c>
      <c r="F3958" s="716"/>
      <c r="G3958" s="716">
        <v>196.51</v>
      </c>
      <c r="H3958" s="225">
        <f t="shared" si="61"/>
        <v>196.51</v>
      </c>
    </row>
    <row r="3959" spans="1:8" x14ac:dyDescent="0.3">
      <c r="A3959" s="401"/>
      <c r="B3959" s="709">
        <v>14112</v>
      </c>
      <c r="C3959" s="710" t="s">
        <v>12285</v>
      </c>
      <c r="D3959" s="709" t="s">
        <v>136</v>
      </c>
      <c r="E3959" s="709" t="s">
        <v>8432</v>
      </c>
      <c r="F3959" s="716"/>
      <c r="G3959" s="716">
        <v>274.36</v>
      </c>
      <c r="H3959" s="225">
        <f t="shared" si="61"/>
        <v>274.36</v>
      </c>
    </row>
    <row r="3960" spans="1:8" x14ac:dyDescent="0.3">
      <c r="A3960" s="401"/>
      <c r="B3960" s="709">
        <v>11316</v>
      </c>
      <c r="C3960" s="710" t="s">
        <v>12286</v>
      </c>
      <c r="D3960" s="709" t="s">
        <v>136</v>
      </c>
      <c r="E3960" s="709" t="s">
        <v>8432</v>
      </c>
      <c r="F3960" s="716"/>
      <c r="G3960" s="716">
        <v>423.25</v>
      </c>
      <c r="H3960" s="225">
        <f t="shared" si="61"/>
        <v>423.25</v>
      </c>
    </row>
    <row r="3961" spans="1:8" x14ac:dyDescent="0.3">
      <c r="A3961" s="401"/>
      <c r="B3961" s="709">
        <v>6243</v>
      </c>
      <c r="C3961" s="710" t="s">
        <v>12287</v>
      </c>
      <c r="D3961" s="709" t="s">
        <v>136</v>
      </c>
      <c r="E3961" s="709" t="s">
        <v>8438</v>
      </c>
      <c r="F3961" s="716"/>
      <c r="G3961" s="716">
        <v>487.5</v>
      </c>
      <c r="H3961" s="225">
        <f t="shared" si="61"/>
        <v>487.5</v>
      </c>
    </row>
    <row r="3962" spans="1:8" x14ac:dyDescent="0.3">
      <c r="A3962" s="401"/>
      <c r="B3962" s="709">
        <v>6240</v>
      </c>
      <c r="C3962" s="710" t="s">
        <v>12288</v>
      </c>
      <c r="D3962" s="709" t="s">
        <v>136</v>
      </c>
      <c r="E3962" s="709" t="s">
        <v>8432</v>
      </c>
      <c r="F3962" s="716"/>
      <c r="G3962" s="716">
        <v>645.46</v>
      </c>
      <c r="H3962" s="225">
        <f t="shared" si="61"/>
        <v>645.46</v>
      </c>
    </row>
    <row r="3963" spans="1:8" x14ac:dyDescent="0.3">
      <c r="A3963" s="401"/>
      <c r="B3963" s="709">
        <v>11296</v>
      </c>
      <c r="C3963" s="710" t="s">
        <v>12289</v>
      </c>
      <c r="D3963" s="709" t="s">
        <v>136</v>
      </c>
      <c r="E3963" s="709" t="s">
        <v>8432</v>
      </c>
      <c r="F3963" s="716"/>
      <c r="G3963" s="716">
        <v>2056.56</v>
      </c>
      <c r="H3963" s="225">
        <f t="shared" si="61"/>
        <v>2056.56</v>
      </c>
    </row>
    <row r="3964" spans="1:8" x14ac:dyDescent="0.3">
      <c r="A3964" s="401"/>
      <c r="B3964" s="709">
        <v>11299</v>
      </c>
      <c r="C3964" s="710" t="s">
        <v>12290</v>
      </c>
      <c r="D3964" s="709" t="s">
        <v>136</v>
      </c>
      <c r="E3964" s="709" t="s">
        <v>8432</v>
      </c>
      <c r="F3964" s="716"/>
      <c r="G3964" s="716">
        <v>696.1</v>
      </c>
      <c r="H3964" s="225">
        <f t="shared" si="61"/>
        <v>696.1</v>
      </c>
    </row>
    <row r="3965" spans="1:8" x14ac:dyDescent="0.3">
      <c r="A3965" s="401"/>
      <c r="B3965" s="709">
        <v>11688</v>
      </c>
      <c r="C3965" s="710" t="s">
        <v>12291</v>
      </c>
      <c r="D3965" s="709" t="s">
        <v>136</v>
      </c>
      <c r="E3965" s="709" t="s">
        <v>8432</v>
      </c>
      <c r="F3965" s="716">
        <v>536.76</v>
      </c>
      <c r="G3965" s="716">
        <v>498.65</v>
      </c>
      <c r="H3965" s="225">
        <f t="shared" si="61"/>
        <v>536.76</v>
      </c>
    </row>
    <row r="3966" spans="1:8" x14ac:dyDescent="0.3">
      <c r="A3966" s="401"/>
      <c r="B3966" s="709">
        <v>37736</v>
      </c>
      <c r="C3966" s="710" t="s">
        <v>12292</v>
      </c>
      <c r="D3966" s="709" t="s">
        <v>136</v>
      </c>
      <c r="E3966" s="709" t="s">
        <v>8438</v>
      </c>
      <c r="F3966" s="716"/>
      <c r="G3966" s="716">
        <v>91750</v>
      </c>
      <c r="H3966" s="225">
        <f t="shared" si="61"/>
        <v>91750</v>
      </c>
    </row>
    <row r="3967" spans="1:8" x14ac:dyDescent="0.3">
      <c r="A3967" s="401"/>
      <c r="B3967" s="709">
        <v>37739</v>
      </c>
      <c r="C3967" s="710" t="s">
        <v>12293</v>
      </c>
      <c r="D3967" s="709" t="s">
        <v>136</v>
      </c>
      <c r="E3967" s="709" t="s">
        <v>8432</v>
      </c>
      <c r="F3967" s="716"/>
      <c r="G3967" s="716">
        <v>112923.07</v>
      </c>
      <c r="H3967" s="225">
        <f t="shared" si="61"/>
        <v>112923.07</v>
      </c>
    </row>
    <row r="3968" spans="1:8" x14ac:dyDescent="0.3">
      <c r="A3968" s="401"/>
      <c r="B3968" s="709">
        <v>37738</v>
      </c>
      <c r="C3968" s="710" t="s">
        <v>12294</v>
      </c>
      <c r="D3968" s="709" t="s">
        <v>136</v>
      </c>
      <c r="E3968" s="709" t="s">
        <v>8432</v>
      </c>
      <c r="F3968" s="716"/>
      <c r="G3968" s="716">
        <v>76560.62</v>
      </c>
      <c r="H3968" s="225">
        <f t="shared" si="61"/>
        <v>76560.62</v>
      </c>
    </row>
    <row r="3969" spans="1:8" x14ac:dyDescent="0.3">
      <c r="A3969" s="401"/>
      <c r="B3969" s="709">
        <v>25014</v>
      </c>
      <c r="C3969" s="710" t="s">
        <v>12295</v>
      </c>
      <c r="D3969" s="709" t="s">
        <v>136</v>
      </c>
      <c r="E3969" s="709" t="s">
        <v>8432</v>
      </c>
      <c r="F3969" s="716"/>
      <c r="G3969" s="716">
        <v>127575.45</v>
      </c>
      <c r="H3969" s="225">
        <f t="shared" si="61"/>
        <v>127575.45</v>
      </c>
    </row>
    <row r="3970" spans="1:8" x14ac:dyDescent="0.3">
      <c r="A3970" s="401"/>
      <c r="B3970" s="709">
        <v>14405</v>
      </c>
      <c r="C3970" s="710" t="s">
        <v>12296</v>
      </c>
      <c r="D3970" s="709" t="s">
        <v>136</v>
      </c>
      <c r="E3970" s="709" t="s">
        <v>8432</v>
      </c>
      <c r="F3970" s="716"/>
      <c r="G3970" s="716">
        <v>156956.93</v>
      </c>
      <c r="H3970" s="225">
        <f t="shared" si="61"/>
        <v>156956.93</v>
      </c>
    </row>
    <row r="3971" spans="1:8" x14ac:dyDescent="0.3">
      <c r="A3971" s="401"/>
      <c r="B3971" s="709">
        <v>20271</v>
      </c>
      <c r="C3971" s="710" t="s">
        <v>12297</v>
      </c>
      <c r="D3971" s="709" t="s">
        <v>136</v>
      </c>
      <c r="E3971" s="709" t="s">
        <v>8432</v>
      </c>
      <c r="F3971" s="716">
        <v>717.5</v>
      </c>
      <c r="G3971" s="716">
        <v>668.64</v>
      </c>
      <c r="H3971" s="225">
        <f t="shared" si="61"/>
        <v>717.5</v>
      </c>
    </row>
    <row r="3972" spans="1:8" x14ac:dyDescent="0.3">
      <c r="A3972" s="401"/>
      <c r="B3972" s="709">
        <v>10423</v>
      </c>
      <c r="C3972" s="710" t="s">
        <v>12298</v>
      </c>
      <c r="D3972" s="709" t="s">
        <v>136</v>
      </c>
      <c r="E3972" s="709" t="s">
        <v>8432</v>
      </c>
      <c r="F3972" s="716">
        <v>526.80999999999995</v>
      </c>
      <c r="G3972" s="716">
        <v>490.93</v>
      </c>
      <c r="H3972" s="225">
        <f t="shared" si="61"/>
        <v>526.80999999999995</v>
      </c>
    </row>
    <row r="3973" spans="1:8" x14ac:dyDescent="0.3">
      <c r="A3973" s="401"/>
      <c r="B3973" s="709">
        <v>36790</v>
      </c>
      <c r="C3973" s="710" t="s">
        <v>12299</v>
      </c>
      <c r="D3973" s="709" t="s">
        <v>136</v>
      </c>
      <c r="E3973" s="709" t="s">
        <v>8432</v>
      </c>
      <c r="F3973" s="716">
        <v>424.93</v>
      </c>
      <c r="G3973" s="716">
        <v>476.24</v>
      </c>
      <c r="H3973" s="225">
        <f t="shared" si="61"/>
        <v>424.93</v>
      </c>
    </row>
    <row r="3974" spans="1:8" x14ac:dyDescent="0.3">
      <c r="A3974" s="401"/>
      <c r="B3974" s="709">
        <v>37589</v>
      </c>
      <c r="C3974" s="710" t="s">
        <v>12300</v>
      </c>
      <c r="D3974" s="709" t="s">
        <v>136</v>
      </c>
      <c r="E3974" s="709" t="s">
        <v>8432</v>
      </c>
      <c r="F3974" s="716">
        <v>520.65</v>
      </c>
      <c r="G3974" s="716">
        <v>583.52</v>
      </c>
      <c r="H3974" s="225">
        <f t="shared" si="61"/>
        <v>520.65</v>
      </c>
    </row>
    <row r="3975" spans="1:8" x14ac:dyDescent="0.3">
      <c r="A3975" s="401"/>
      <c r="B3975" s="709">
        <v>11690</v>
      </c>
      <c r="C3975" s="710" t="s">
        <v>12301</v>
      </c>
      <c r="D3975" s="709" t="s">
        <v>136</v>
      </c>
      <c r="E3975" s="709" t="s">
        <v>8432</v>
      </c>
      <c r="F3975" s="716">
        <v>276.58</v>
      </c>
      <c r="G3975" s="716">
        <v>309.98</v>
      </c>
      <c r="H3975" s="225">
        <f t="shared" si="61"/>
        <v>276.58</v>
      </c>
    </row>
    <row r="3976" spans="1:8" x14ac:dyDescent="0.3">
      <c r="A3976" s="401"/>
      <c r="B3976" s="709">
        <v>20234</v>
      </c>
      <c r="C3976" s="710" t="s">
        <v>12302</v>
      </c>
      <c r="D3976" s="709" t="s">
        <v>136</v>
      </c>
      <c r="E3976" s="709" t="s">
        <v>8432</v>
      </c>
      <c r="F3976" s="716">
        <v>350.02</v>
      </c>
      <c r="G3976" s="716">
        <v>392.29</v>
      </c>
      <c r="H3976" s="225">
        <f t="shared" si="61"/>
        <v>350.02</v>
      </c>
    </row>
    <row r="3977" spans="1:8" x14ac:dyDescent="0.3">
      <c r="A3977" s="401"/>
      <c r="B3977" s="709">
        <v>44480</v>
      </c>
      <c r="C3977" s="710" t="s">
        <v>12303</v>
      </c>
      <c r="D3977" s="709" t="s">
        <v>170</v>
      </c>
      <c r="E3977" s="709" t="s">
        <v>8432</v>
      </c>
      <c r="F3977" s="716">
        <v>20.239999999999998</v>
      </c>
      <c r="G3977" s="716">
        <v>16.84</v>
      </c>
      <c r="H3977" s="225">
        <f t="shared" si="61"/>
        <v>20.239999999999998</v>
      </c>
    </row>
    <row r="3978" spans="1:8" x14ac:dyDescent="0.3">
      <c r="A3978" s="401"/>
      <c r="B3978" s="709">
        <v>11457</v>
      </c>
      <c r="C3978" s="710" t="s">
        <v>12304</v>
      </c>
      <c r="D3978" s="709" t="s">
        <v>136</v>
      </c>
      <c r="E3978" s="709" t="s">
        <v>8432</v>
      </c>
      <c r="F3978" s="716">
        <v>55.55</v>
      </c>
      <c r="G3978" s="716">
        <v>45.95</v>
      </c>
      <c r="H3978" s="225">
        <f t="shared" si="61"/>
        <v>55.55</v>
      </c>
    </row>
    <row r="3979" spans="1:8" x14ac:dyDescent="0.3">
      <c r="A3979" s="401"/>
      <c r="B3979" s="709">
        <v>44073</v>
      </c>
      <c r="C3979" s="710" t="s">
        <v>12305</v>
      </c>
      <c r="D3979" s="709" t="s">
        <v>159</v>
      </c>
      <c r="E3979" s="709" t="s">
        <v>8432</v>
      </c>
      <c r="F3979" s="716">
        <v>0.81</v>
      </c>
      <c r="G3979" s="716">
        <v>0.96</v>
      </c>
      <c r="H3979" s="225">
        <f t="shared" ref="H3979:H4042" si="62">IF(F3979&gt;0,F3979,G3979)</f>
        <v>0.81</v>
      </c>
    </row>
    <row r="3980" spans="1:8" x14ac:dyDescent="0.3">
      <c r="A3980" s="401"/>
      <c r="B3980" s="709">
        <v>3593</v>
      </c>
      <c r="C3980" s="710" t="s">
        <v>12306</v>
      </c>
      <c r="D3980" s="709" t="s">
        <v>136</v>
      </c>
      <c r="E3980" s="709" t="s">
        <v>8432</v>
      </c>
      <c r="F3980" s="716">
        <v>72.22</v>
      </c>
      <c r="G3980" s="716">
        <v>98.47</v>
      </c>
      <c r="H3980" s="225">
        <f t="shared" si="62"/>
        <v>72.22</v>
      </c>
    </row>
    <row r="3981" spans="1:8" x14ac:dyDescent="0.3">
      <c r="A3981" s="401"/>
      <c r="B3981" s="709">
        <v>3588</v>
      </c>
      <c r="C3981" s="710" t="s">
        <v>12307</v>
      </c>
      <c r="D3981" s="709" t="s">
        <v>136</v>
      </c>
      <c r="E3981" s="709" t="s">
        <v>8432</v>
      </c>
      <c r="F3981" s="716">
        <v>55.67</v>
      </c>
      <c r="G3981" s="716">
        <v>75.900000000000006</v>
      </c>
      <c r="H3981" s="225">
        <f t="shared" si="62"/>
        <v>55.67</v>
      </c>
    </row>
    <row r="3982" spans="1:8" x14ac:dyDescent="0.3">
      <c r="A3982" s="401"/>
      <c r="B3982" s="709">
        <v>3587</v>
      </c>
      <c r="C3982" s="710" t="s">
        <v>12308</v>
      </c>
      <c r="D3982" s="709" t="s">
        <v>136</v>
      </c>
      <c r="E3982" s="709" t="s">
        <v>8432</v>
      </c>
      <c r="F3982" s="716">
        <v>34.54</v>
      </c>
      <c r="G3982" s="716">
        <v>47.1</v>
      </c>
      <c r="H3982" s="225">
        <f t="shared" si="62"/>
        <v>34.54</v>
      </c>
    </row>
    <row r="3983" spans="1:8" x14ac:dyDescent="0.3">
      <c r="A3983" s="401"/>
      <c r="B3983" s="709">
        <v>3585</v>
      </c>
      <c r="C3983" s="710" t="s">
        <v>12309</v>
      </c>
      <c r="D3983" s="709" t="s">
        <v>136</v>
      </c>
      <c r="E3983" s="709" t="s">
        <v>8432</v>
      </c>
      <c r="F3983" s="716">
        <v>17.190000000000001</v>
      </c>
      <c r="G3983" s="716">
        <v>23.44</v>
      </c>
      <c r="H3983" s="225">
        <f t="shared" si="62"/>
        <v>17.190000000000001</v>
      </c>
    </row>
    <row r="3984" spans="1:8" x14ac:dyDescent="0.3">
      <c r="A3984" s="401"/>
      <c r="B3984" s="709">
        <v>3590</v>
      </c>
      <c r="C3984" s="710" t="s">
        <v>12310</v>
      </c>
      <c r="D3984" s="709" t="s">
        <v>136</v>
      </c>
      <c r="E3984" s="709" t="s">
        <v>8432</v>
      </c>
      <c r="F3984" s="716">
        <v>205.05</v>
      </c>
      <c r="G3984" s="716">
        <v>279.58999999999997</v>
      </c>
      <c r="H3984" s="225">
        <f t="shared" si="62"/>
        <v>205.05</v>
      </c>
    </row>
    <row r="3985" spans="1:8" x14ac:dyDescent="0.3">
      <c r="A3985" s="401"/>
      <c r="B3985" s="709">
        <v>3589</v>
      </c>
      <c r="C3985" s="710" t="s">
        <v>12311</v>
      </c>
      <c r="D3985" s="709" t="s">
        <v>136</v>
      </c>
      <c r="E3985" s="709" t="s">
        <v>8432</v>
      </c>
      <c r="F3985" s="716">
        <v>110.06</v>
      </c>
      <c r="G3985" s="716">
        <v>150.07</v>
      </c>
      <c r="H3985" s="225">
        <f t="shared" si="62"/>
        <v>110.06</v>
      </c>
    </row>
    <row r="3986" spans="1:8" x14ac:dyDescent="0.3">
      <c r="A3986" s="401"/>
      <c r="B3986" s="709">
        <v>3592</v>
      </c>
      <c r="C3986" s="710" t="s">
        <v>12312</v>
      </c>
      <c r="D3986" s="709" t="s">
        <v>136</v>
      </c>
      <c r="E3986" s="709" t="s">
        <v>8432</v>
      </c>
      <c r="F3986" s="716">
        <v>324.13</v>
      </c>
      <c r="G3986" s="716">
        <v>441.96</v>
      </c>
      <c r="H3986" s="225">
        <f t="shared" si="62"/>
        <v>324.13</v>
      </c>
    </row>
    <row r="3987" spans="1:8" x14ac:dyDescent="0.3">
      <c r="A3987" s="401"/>
      <c r="B3987" s="709">
        <v>3586</v>
      </c>
      <c r="C3987" s="710" t="s">
        <v>12313</v>
      </c>
      <c r="D3987" s="709" t="s">
        <v>136</v>
      </c>
      <c r="E3987" s="709" t="s">
        <v>8432</v>
      </c>
      <c r="F3987" s="716">
        <v>22.52</v>
      </c>
      <c r="G3987" s="716">
        <v>30.71</v>
      </c>
      <c r="H3987" s="225">
        <f t="shared" si="62"/>
        <v>22.52</v>
      </c>
    </row>
    <row r="3988" spans="1:8" x14ac:dyDescent="0.3">
      <c r="A3988" s="401"/>
      <c r="B3988" s="709">
        <v>3591</v>
      </c>
      <c r="C3988" s="710" t="s">
        <v>12314</v>
      </c>
      <c r="D3988" s="709" t="s">
        <v>136</v>
      </c>
      <c r="E3988" s="709" t="s">
        <v>8432</v>
      </c>
      <c r="F3988" s="716">
        <v>519.59</v>
      </c>
      <c r="G3988" s="716">
        <v>708.48</v>
      </c>
      <c r="H3988" s="225">
        <f t="shared" si="62"/>
        <v>519.59</v>
      </c>
    </row>
    <row r="3989" spans="1:8" x14ac:dyDescent="0.3">
      <c r="A3989" s="401"/>
      <c r="B3989" s="709">
        <v>40396</v>
      </c>
      <c r="C3989" s="710" t="s">
        <v>12315</v>
      </c>
      <c r="D3989" s="709" t="s">
        <v>136</v>
      </c>
      <c r="E3989" s="709" t="s">
        <v>8432</v>
      </c>
      <c r="F3989" s="716">
        <v>182.42</v>
      </c>
      <c r="G3989" s="716">
        <v>132.28</v>
      </c>
      <c r="H3989" s="225">
        <f t="shared" si="62"/>
        <v>182.42</v>
      </c>
    </row>
    <row r="3990" spans="1:8" x14ac:dyDescent="0.3">
      <c r="A3990" s="401"/>
      <c r="B3990" s="709">
        <v>40395</v>
      </c>
      <c r="C3990" s="710" t="s">
        <v>12316</v>
      </c>
      <c r="D3990" s="709" t="s">
        <v>136</v>
      </c>
      <c r="E3990" s="709" t="s">
        <v>8432</v>
      </c>
      <c r="F3990" s="716">
        <v>140</v>
      </c>
      <c r="G3990" s="716">
        <v>101.52</v>
      </c>
      <c r="H3990" s="225">
        <f t="shared" si="62"/>
        <v>140</v>
      </c>
    </row>
    <row r="3991" spans="1:8" x14ac:dyDescent="0.3">
      <c r="A3991" s="401"/>
      <c r="B3991" s="709">
        <v>40394</v>
      </c>
      <c r="C3991" s="710" t="s">
        <v>12317</v>
      </c>
      <c r="D3991" s="709" t="s">
        <v>136</v>
      </c>
      <c r="E3991" s="709" t="s">
        <v>8432</v>
      </c>
      <c r="F3991" s="716">
        <v>91.15</v>
      </c>
      <c r="G3991" s="716">
        <v>66.09</v>
      </c>
      <c r="H3991" s="225">
        <f t="shared" si="62"/>
        <v>91.15</v>
      </c>
    </row>
    <row r="3992" spans="1:8" x14ac:dyDescent="0.3">
      <c r="A3992" s="401"/>
      <c r="B3992" s="709">
        <v>40392</v>
      </c>
      <c r="C3992" s="710" t="s">
        <v>12318</v>
      </c>
      <c r="D3992" s="709" t="s">
        <v>136</v>
      </c>
      <c r="E3992" s="709" t="s">
        <v>8432</v>
      </c>
      <c r="F3992" s="716">
        <v>45.05</v>
      </c>
      <c r="G3992" s="716">
        <v>32.659999999999997</v>
      </c>
      <c r="H3992" s="225">
        <f t="shared" si="62"/>
        <v>45.05</v>
      </c>
    </row>
    <row r="3993" spans="1:8" x14ac:dyDescent="0.3">
      <c r="A3993" s="401"/>
      <c r="B3993" s="709">
        <v>40398</v>
      </c>
      <c r="C3993" s="710" t="s">
        <v>12319</v>
      </c>
      <c r="D3993" s="709" t="s">
        <v>136</v>
      </c>
      <c r="E3993" s="709" t="s">
        <v>8432</v>
      </c>
      <c r="F3993" s="716">
        <v>585.25</v>
      </c>
      <c r="G3993" s="716">
        <v>424.39</v>
      </c>
      <c r="H3993" s="225">
        <f t="shared" si="62"/>
        <v>585.25</v>
      </c>
    </row>
    <row r="3994" spans="1:8" x14ac:dyDescent="0.3">
      <c r="A3994" s="401"/>
      <c r="B3994" s="709">
        <v>40397</v>
      </c>
      <c r="C3994" s="710" t="s">
        <v>12320</v>
      </c>
      <c r="D3994" s="709" t="s">
        <v>136</v>
      </c>
      <c r="E3994" s="709" t="s">
        <v>8432</v>
      </c>
      <c r="F3994" s="716">
        <v>299.70999999999998</v>
      </c>
      <c r="G3994" s="716">
        <v>217.34</v>
      </c>
      <c r="H3994" s="225">
        <f t="shared" si="62"/>
        <v>299.70999999999998</v>
      </c>
    </row>
    <row r="3995" spans="1:8" x14ac:dyDescent="0.3">
      <c r="A3995" s="401"/>
      <c r="B3995" s="709">
        <v>40399</v>
      </c>
      <c r="C3995" s="710" t="s">
        <v>12321</v>
      </c>
      <c r="D3995" s="709" t="s">
        <v>136</v>
      </c>
      <c r="E3995" s="709" t="s">
        <v>8432</v>
      </c>
      <c r="F3995" s="716">
        <v>957.46</v>
      </c>
      <c r="G3995" s="716">
        <v>694.3</v>
      </c>
      <c r="H3995" s="225">
        <f t="shared" si="62"/>
        <v>957.46</v>
      </c>
    </row>
    <row r="3996" spans="1:8" x14ac:dyDescent="0.3">
      <c r="A3996" s="401"/>
      <c r="B3996" s="709">
        <v>40393</v>
      </c>
      <c r="C3996" s="710" t="s">
        <v>12322</v>
      </c>
      <c r="D3996" s="709" t="s">
        <v>136</v>
      </c>
      <c r="E3996" s="709" t="s">
        <v>8432</v>
      </c>
      <c r="F3996" s="716">
        <v>58.02</v>
      </c>
      <c r="G3996" s="716">
        <v>42.07</v>
      </c>
      <c r="H3996" s="225">
        <f t="shared" si="62"/>
        <v>58.02</v>
      </c>
    </row>
    <row r="3997" spans="1:8" x14ac:dyDescent="0.3">
      <c r="A3997" s="401"/>
      <c r="B3997" s="709">
        <v>44253</v>
      </c>
      <c r="C3997" s="710" t="s">
        <v>12323</v>
      </c>
      <c r="D3997" s="709" t="s">
        <v>136</v>
      </c>
      <c r="E3997" s="709" t="s">
        <v>8432</v>
      </c>
      <c r="F3997" s="716">
        <v>391.99</v>
      </c>
      <c r="G3997" s="716">
        <v>286.66000000000003</v>
      </c>
      <c r="H3997" s="225">
        <f t="shared" si="62"/>
        <v>391.99</v>
      </c>
    </row>
    <row r="3998" spans="1:8" x14ac:dyDescent="0.3">
      <c r="A3998" s="401"/>
      <c r="B3998" s="709">
        <v>21121</v>
      </c>
      <c r="C3998" s="710" t="s">
        <v>12324</v>
      </c>
      <c r="D3998" s="709" t="s">
        <v>136</v>
      </c>
      <c r="E3998" s="709" t="s">
        <v>8432</v>
      </c>
      <c r="F3998" s="716">
        <v>5.62</v>
      </c>
      <c r="G3998" s="716">
        <v>4.1100000000000003</v>
      </c>
      <c r="H3998" s="225">
        <f t="shared" si="62"/>
        <v>5.62</v>
      </c>
    </row>
    <row r="3999" spans="1:8" x14ac:dyDescent="0.3">
      <c r="A3999" s="401"/>
      <c r="B3999" s="709">
        <v>38010</v>
      </c>
      <c r="C3999" s="710" t="s">
        <v>12325</v>
      </c>
      <c r="D3999" s="709" t="s">
        <v>136</v>
      </c>
      <c r="E3999" s="709" t="s">
        <v>8432</v>
      </c>
      <c r="F3999" s="716">
        <v>7</v>
      </c>
      <c r="G3999" s="716">
        <v>5.12</v>
      </c>
      <c r="H3999" s="225">
        <f t="shared" si="62"/>
        <v>7</v>
      </c>
    </row>
    <row r="4000" spans="1:8" x14ac:dyDescent="0.3">
      <c r="A4000" s="401"/>
      <c r="B4000" s="709">
        <v>38011</v>
      </c>
      <c r="C4000" s="710" t="s">
        <v>12326</v>
      </c>
      <c r="D4000" s="709" t="s">
        <v>136</v>
      </c>
      <c r="E4000" s="709" t="s">
        <v>8432</v>
      </c>
      <c r="F4000" s="716">
        <v>14.03</v>
      </c>
      <c r="G4000" s="716">
        <v>10.26</v>
      </c>
      <c r="H4000" s="225">
        <f t="shared" si="62"/>
        <v>14.03</v>
      </c>
    </row>
    <row r="4001" spans="1:8" x14ac:dyDescent="0.3">
      <c r="A4001" s="401"/>
      <c r="B4001" s="709">
        <v>38012</v>
      </c>
      <c r="C4001" s="710" t="s">
        <v>12327</v>
      </c>
      <c r="D4001" s="709" t="s">
        <v>136</v>
      </c>
      <c r="E4001" s="709" t="s">
        <v>8432</v>
      </c>
      <c r="F4001" s="716">
        <v>53.51</v>
      </c>
      <c r="G4001" s="716">
        <v>39.130000000000003</v>
      </c>
      <c r="H4001" s="225">
        <f t="shared" si="62"/>
        <v>53.51</v>
      </c>
    </row>
    <row r="4002" spans="1:8" x14ac:dyDescent="0.3">
      <c r="A4002" s="401"/>
      <c r="B4002" s="709">
        <v>38013</v>
      </c>
      <c r="C4002" s="710" t="s">
        <v>12328</v>
      </c>
      <c r="D4002" s="709" t="s">
        <v>136</v>
      </c>
      <c r="E4002" s="709" t="s">
        <v>8432</v>
      </c>
      <c r="F4002" s="716">
        <v>68.739999999999995</v>
      </c>
      <c r="G4002" s="716">
        <v>50.27</v>
      </c>
      <c r="H4002" s="225">
        <f t="shared" si="62"/>
        <v>68.739999999999995</v>
      </c>
    </row>
    <row r="4003" spans="1:8" x14ac:dyDescent="0.3">
      <c r="A4003" s="401"/>
      <c r="B4003" s="709">
        <v>38014</v>
      </c>
      <c r="C4003" s="710" t="s">
        <v>12329</v>
      </c>
      <c r="D4003" s="709" t="s">
        <v>136</v>
      </c>
      <c r="E4003" s="709" t="s">
        <v>8432</v>
      </c>
      <c r="F4003" s="716">
        <v>114.8</v>
      </c>
      <c r="G4003" s="716">
        <v>83.95</v>
      </c>
      <c r="H4003" s="225">
        <f t="shared" si="62"/>
        <v>114.8</v>
      </c>
    </row>
    <row r="4004" spans="1:8" x14ac:dyDescent="0.3">
      <c r="A4004" s="401"/>
      <c r="B4004" s="709">
        <v>38015</v>
      </c>
      <c r="C4004" s="710" t="s">
        <v>12330</v>
      </c>
      <c r="D4004" s="709" t="s">
        <v>136</v>
      </c>
      <c r="E4004" s="709" t="s">
        <v>8432</v>
      </c>
      <c r="F4004" s="716">
        <v>269.88</v>
      </c>
      <c r="G4004" s="716">
        <v>197.36</v>
      </c>
      <c r="H4004" s="225">
        <f t="shared" si="62"/>
        <v>269.88</v>
      </c>
    </row>
    <row r="4005" spans="1:8" x14ac:dyDescent="0.3">
      <c r="A4005" s="401"/>
      <c r="B4005" s="709">
        <v>38016</v>
      </c>
      <c r="C4005" s="710" t="s">
        <v>12331</v>
      </c>
      <c r="D4005" s="709" t="s">
        <v>136</v>
      </c>
      <c r="E4005" s="709" t="s">
        <v>8432</v>
      </c>
      <c r="F4005" s="716">
        <v>313.85000000000002</v>
      </c>
      <c r="G4005" s="716">
        <v>229.51</v>
      </c>
      <c r="H4005" s="225">
        <f t="shared" si="62"/>
        <v>313.85000000000002</v>
      </c>
    </row>
    <row r="4006" spans="1:8" x14ac:dyDescent="0.3">
      <c r="A4006" s="401"/>
      <c r="B4006" s="709">
        <v>12741</v>
      </c>
      <c r="C4006" s="710" t="s">
        <v>12332</v>
      </c>
      <c r="D4006" s="709" t="s">
        <v>136</v>
      </c>
      <c r="E4006" s="709" t="s">
        <v>8432</v>
      </c>
      <c r="F4006" s="716"/>
      <c r="G4006" s="716">
        <v>1921.27</v>
      </c>
      <c r="H4006" s="225">
        <f t="shared" si="62"/>
        <v>1921.27</v>
      </c>
    </row>
    <row r="4007" spans="1:8" x14ac:dyDescent="0.3">
      <c r="A4007" s="401"/>
      <c r="B4007" s="709">
        <v>12733</v>
      </c>
      <c r="C4007" s="710" t="s">
        <v>12333</v>
      </c>
      <c r="D4007" s="709" t="s">
        <v>136</v>
      </c>
      <c r="E4007" s="709" t="s">
        <v>8432</v>
      </c>
      <c r="F4007" s="716"/>
      <c r="G4007" s="716">
        <v>9.66</v>
      </c>
      <c r="H4007" s="225">
        <f t="shared" si="62"/>
        <v>9.66</v>
      </c>
    </row>
    <row r="4008" spans="1:8" x14ac:dyDescent="0.3">
      <c r="A4008" s="401"/>
      <c r="B4008" s="709">
        <v>12734</v>
      </c>
      <c r="C4008" s="710" t="s">
        <v>12334</v>
      </c>
      <c r="D4008" s="709" t="s">
        <v>136</v>
      </c>
      <c r="E4008" s="709" t="s">
        <v>8432</v>
      </c>
      <c r="F4008" s="716"/>
      <c r="G4008" s="716">
        <v>20.6</v>
      </c>
      <c r="H4008" s="225">
        <f t="shared" si="62"/>
        <v>20.6</v>
      </c>
    </row>
    <row r="4009" spans="1:8" x14ac:dyDescent="0.3">
      <c r="A4009" s="401"/>
      <c r="B4009" s="709">
        <v>12735</v>
      </c>
      <c r="C4009" s="710" t="s">
        <v>12335</v>
      </c>
      <c r="D4009" s="709" t="s">
        <v>136</v>
      </c>
      <c r="E4009" s="709" t="s">
        <v>8432</v>
      </c>
      <c r="F4009" s="716"/>
      <c r="G4009" s="716">
        <v>33.89</v>
      </c>
      <c r="H4009" s="225">
        <f t="shared" si="62"/>
        <v>33.89</v>
      </c>
    </row>
    <row r="4010" spans="1:8" x14ac:dyDescent="0.3">
      <c r="A4010" s="401"/>
      <c r="B4010" s="709">
        <v>12736</v>
      </c>
      <c r="C4010" s="710" t="s">
        <v>12336</v>
      </c>
      <c r="D4010" s="709" t="s">
        <v>136</v>
      </c>
      <c r="E4010" s="709" t="s">
        <v>8432</v>
      </c>
      <c r="F4010" s="716"/>
      <c r="G4010" s="716">
        <v>77.489999999999995</v>
      </c>
      <c r="H4010" s="225">
        <f t="shared" si="62"/>
        <v>77.489999999999995</v>
      </c>
    </row>
    <row r="4011" spans="1:8" x14ac:dyDescent="0.3">
      <c r="A4011" s="401"/>
      <c r="B4011" s="709">
        <v>12737</v>
      </c>
      <c r="C4011" s="710" t="s">
        <v>12337</v>
      </c>
      <c r="D4011" s="709" t="s">
        <v>136</v>
      </c>
      <c r="E4011" s="709" t="s">
        <v>8432</v>
      </c>
      <c r="F4011" s="716"/>
      <c r="G4011" s="716">
        <v>99.83</v>
      </c>
      <c r="H4011" s="225">
        <f t="shared" si="62"/>
        <v>99.83</v>
      </c>
    </row>
    <row r="4012" spans="1:8" x14ac:dyDescent="0.3">
      <c r="A4012" s="401"/>
      <c r="B4012" s="709">
        <v>12738</v>
      </c>
      <c r="C4012" s="710" t="s">
        <v>12338</v>
      </c>
      <c r="D4012" s="709" t="s">
        <v>136</v>
      </c>
      <c r="E4012" s="709" t="s">
        <v>8432</v>
      </c>
      <c r="F4012" s="716"/>
      <c r="G4012" s="716">
        <v>197.3</v>
      </c>
      <c r="H4012" s="225">
        <f t="shared" si="62"/>
        <v>197.3</v>
      </c>
    </row>
    <row r="4013" spans="1:8" x14ac:dyDescent="0.3">
      <c r="A4013" s="401"/>
      <c r="B4013" s="709">
        <v>12739</v>
      </c>
      <c r="C4013" s="710" t="s">
        <v>12339</v>
      </c>
      <c r="D4013" s="709" t="s">
        <v>136</v>
      </c>
      <c r="E4013" s="709" t="s">
        <v>8432</v>
      </c>
      <c r="F4013" s="716"/>
      <c r="G4013" s="716">
        <v>561.64</v>
      </c>
      <c r="H4013" s="225">
        <f t="shared" si="62"/>
        <v>561.64</v>
      </c>
    </row>
    <row r="4014" spans="1:8" x14ac:dyDescent="0.3">
      <c r="A4014" s="401"/>
      <c r="B4014" s="709">
        <v>12740</v>
      </c>
      <c r="C4014" s="710" t="s">
        <v>12340</v>
      </c>
      <c r="D4014" s="709" t="s">
        <v>136</v>
      </c>
      <c r="E4014" s="709" t="s">
        <v>8432</v>
      </c>
      <c r="F4014" s="716"/>
      <c r="G4014" s="716">
        <v>878.72</v>
      </c>
      <c r="H4014" s="225">
        <f t="shared" si="62"/>
        <v>878.72</v>
      </c>
    </row>
    <row r="4015" spans="1:8" x14ac:dyDescent="0.3">
      <c r="A4015" s="401"/>
      <c r="B4015" s="709">
        <v>6297</v>
      </c>
      <c r="C4015" s="710" t="s">
        <v>12341</v>
      </c>
      <c r="D4015" s="709" t="s">
        <v>136</v>
      </c>
      <c r="E4015" s="709" t="s">
        <v>8432</v>
      </c>
      <c r="F4015" s="716">
        <v>33.270000000000003</v>
      </c>
      <c r="G4015" s="716">
        <v>45.37</v>
      </c>
      <c r="H4015" s="225">
        <f t="shared" si="62"/>
        <v>33.270000000000003</v>
      </c>
    </row>
    <row r="4016" spans="1:8" x14ac:dyDescent="0.3">
      <c r="A4016" s="401"/>
      <c r="B4016" s="709">
        <v>6296</v>
      </c>
      <c r="C4016" s="710" t="s">
        <v>12342</v>
      </c>
      <c r="D4016" s="709" t="s">
        <v>136</v>
      </c>
      <c r="E4016" s="709" t="s">
        <v>8432</v>
      </c>
      <c r="F4016" s="716">
        <v>26.26</v>
      </c>
      <c r="G4016" s="716">
        <v>35.81</v>
      </c>
      <c r="H4016" s="225">
        <f t="shared" si="62"/>
        <v>26.26</v>
      </c>
    </row>
    <row r="4017" spans="1:8" x14ac:dyDescent="0.3">
      <c r="A4017" s="401"/>
      <c r="B4017" s="709">
        <v>6323</v>
      </c>
      <c r="C4017" s="710" t="s">
        <v>12343</v>
      </c>
      <c r="D4017" s="709" t="s">
        <v>136</v>
      </c>
      <c r="E4017" s="709" t="s">
        <v>8432</v>
      </c>
      <c r="F4017" s="716">
        <v>17.16</v>
      </c>
      <c r="G4017" s="716">
        <v>23.4</v>
      </c>
      <c r="H4017" s="225">
        <f t="shared" si="62"/>
        <v>17.16</v>
      </c>
    </row>
    <row r="4018" spans="1:8" x14ac:dyDescent="0.3">
      <c r="A4018" s="401"/>
      <c r="B4018" s="709">
        <v>6294</v>
      </c>
      <c r="C4018" s="710" t="s">
        <v>12344</v>
      </c>
      <c r="D4018" s="709" t="s">
        <v>136</v>
      </c>
      <c r="E4018" s="709" t="s">
        <v>8432</v>
      </c>
      <c r="F4018" s="716">
        <v>7.49</v>
      </c>
      <c r="G4018" s="716">
        <v>10.210000000000001</v>
      </c>
      <c r="H4018" s="225">
        <f t="shared" si="62"/>
        <v>7.49</v>
      </c>
    </row>
    <row r="4019" spans="1:8" x14ac:dyDescent="0.3">
      <c r="A4019" s="401"/>
      <c r="B4019" s="709">
        <v>6299</v>
      </c>
      <c r="C4019" s="710" t="s">
        <v>12345</v>
      </c>
      <c r="D4019" s="709" t="s">
        <v>136</v>
      </c>
      <c r="E4019" s="709" t="s">
        <v>8432</v>
      </c>
      <c r="F4019" s="716">
        <v>100.08</v>
      </c>
      <c r="G4019" s="716">
        <v>136.46</v>
      </c>
      <c r="H4019" s="225">
        <f t="shared" si="62"/>
        <v>100.08</v>
      </c>
    </row>
    <row r="4020" spans="1:8" x14ac:dyDescent="0.3">
      <c r="A4020" s="401"/>
      <c r="B4020" s="709">
        <v>6298</v>
      </c>
      <c r="C4020" s="710" t="s">
        <v>12346</v>
      </c>
      <c r="D4020" s="709" t="s">
        <v>136</v>
      </c>
      <c r="E4020" s="709" t="s">
        <v>8432</v>
      </c>
      <c r="F4020" s="716">
        <v>52.71</v>
      </c>
      <c r="G4020" s="716">
        <v>71.87</v>
      </c>
      <c r="H4020" s="225">
        <f t="shared" si="62"/>
        <v>52.71</v>
      </c>
    </row>
    <row r="4021" spans="1:8" x14ac:dyDescent="0.3">
      <c r="A4021" s="401"/>
      <c r="B4021" s="709">
        <v>6322</v>
      </c>
      <c r="C4021" s="710" t="s">
        <v>12347</v>
      </c>
      <c r="D4021" s="709" t="s">
        <v>136</v>
      </c>
      <c r="E4021" s="709" t="s">
        <v>8432</v>
      </c>
      <c r="F4021" s="716">
        <v>134.04</v>
      </c>
      <c r="G4021" s="716">
        <v>182.77</v>
      </c>
      <c r="H4021" s="225">
        <f t="shared" si="62"/>
        <v>134.04</v>
      </c>
    </row>
    <row r="4022" spans="1:8" x14ac:dyDescent="0.3">
      <c r="A4022" s="401"/>
      <c r="B4022" s="709">
        <v>6295</v>
      </c>
      <c r="C4022" s="710" t="s">
        <v>12348</v>
      </c>
      <c r="D4022" s="709" t="s">
        <v>136</v>
      </c>
      <c r="E4022" s="709" t="s">
        <v>8432</v>
      </c>
      <c r="F4022" s="716">
        <v>10.66</v>
      </c>
      <c r="G4022" s="716">
        <v>14.54</v>
      </c>
      <c r="H4022" s="225">
        <f t="shared" si="62"/>
        <v>10.66</v>
      </c>
    </row>
    <row r="4023" spans="1:8" x14ac:dyDescent="0.3">
      <c r="A4023" s="401"/>
      <c r="B4023" s="709">
        <v>6300</v>
      </c>
      <c r="C4023" s="710" t="s">
        <v>12349</v>
      </c>
      <c r="D4023" s="709" t="s">
        <v>136</v>
      </c>
      <c r="E4023" s="709" t="s">
        <v>8432</v>
      </c>
      <c r="F4023" s="716">
        <v>247.13</v>
      </c>
      <c r="G4023" s="716">
        <v>336.97</v>
      </c>
      <c r="H4023" s="225">
        <f t="shared" si="62"/>
        <v>247.13</v>
      </c>
    </row>
    <row r="4024" spans="1:8" x14ac:dyDescent="0.3">
      <c r="A4024" s="401"/>
      <c r="B4024" s="709">
        <v>6321</v>
      </c>
      <c r="C4024" s="710" t="s">
        <v>12350</v>
      </c>
      <c r="D4024" s="709" t="s">
        <v>136</v>
      </c>
      <c r="E4024" s="709" t="s">
        <v>8432</v>
      </c>
      <c r="F4024" s="716">
        <v>353.01</v>
      </c>
      <c r="G4024" s="716">
        <v>481.34</v>
      </c>
      <c r="H4024" s="225">
        <f t="shared" si="62"/>
        <v>353.01</v>
      </c>
    </row>
    <row r="4025" spans="1:8" x14ac:dyDescent="0.3">
      <c r="A4025" s="401"/>
      <c r="B4025" s="709">
        <v>6301</v>
      </c>
      <c r="C4025" s="710" t="s">
        <v>12351</v>
      </c>
      <c r="D4025" s="709" t="s">
        <v>136</v>
      </c>
      <c r="E4025" s="709" t="s">
        <v>8432</v>
      </c>
      <c r="F4025" s="716">
        <v>827.42</v>
      </c>
      <c r="G4025" s="716">
        <v>1128.2</v>
      </c>
      <c r="H4025" s="225">
        <f t="shared" si="62"/>
        <v>827.42</v>
      </c>
    </row>
    <row r="4026" spans="1:8" x14ac:dyDescent="0.3">
      <c r="A4026" s="401"/>
      <c r="B4026" s="709">
        <v>7105</v>
      </c>
      <c r="C4026" s="710" t="s">
        <v>12352</v>
      </c>
      <c r="D4026" s="709" t="s">
        <v>136</v>
      </c>
      <c r="E4026" s="709" t="s">
        <v>8432</v>
      </c>
      <c r="F4026" s="716">
        <v>54.05</v>
      </c>
      <c r="G4026" s="716">
        <v>54.57</v>
      </c>
      <c r="H4026" s="225">
        <f t="shared" si="62"/>
        <v>54.05</v>
      </c>
    </row>
    <row r="4027" spans="1:8" x14ac:dyDescent="0.3">
      <c r="A4027" s="401"/>
      <c r="B4027" s="709">
        <v>20183</v>
      </c>
      <c r="C4027" s="710" t="s">
        <v>12353</v>
      </c>
      <c r="D4027" s="709" t="s">
        <v>136</v>
      </c>
      <c r="E4027" s="709" t="s">
        <v>8432</v>
      </c>
      <c r="F4027" s="716">
        <v>66.599999999999994</v>
      </c>
      <c r="G4027" s="716">
        <v>67.239999999999995</v>
      </c>
      <c r="H4027" s="225">
        <f t="shared" si="62"/>
        <v>66.599999999999994</v>
      </c>
    </row>
    <row r="4028" spans="1:8" x14ac:dyDescent="0.3">
      <c r="A4028" s="401"/>
      <c r="B4028" s="709">
        <v>38448</v>
      </c>
      <c r="C4028" s="710" t="s">
        <v>12354</v>
      </c>
      <c r="D4028" s="709" t="s">
        <v>136</v>
      </c>
      <c r="E4028" s="709" t="s">
        <v>8432</v>
      </c>
      <c r="F4028" s="716">
        <v>302.19</v>
      </c>
      <c r="G4028" s="716">
        <v>305.12</v>
      </c>
      <c r="H4028" s="225">
        <f t="shared" si="62"/>
        <v>302.19</v>
      </c>
    </row>
    <row r="4029" spans="1:8" x14ac:dyDescent="0.3">
      <c r="A4029" s="401"/>
      <c r="B4029" s="709">
        <v>20182</v>
      </c>
      <c r="C4029" s="710" t="s">
        <v>12355</v>
      </c>
      <c r="D4029" s="709" t="s">
        <v>136</v>
      </c>
      <c r="E4029" s="709" t="s">
        <v>8432</v>
      </c>
      <c r="F4029" s="716">
        <v>38.72</v>
      </c>
      <c r="G4029" s="716">
        <v>39.090000000000003</v>
      </c>
      <c r="H4029" s="225">
        <f t="shared" si="62"/>
        <v>38.72</v>
      </c>
    </row>
    <row r="4030" spans="1:8" x14ac:dyDescent="0.3">
      <c r="A4030" s="401"/>
      <c r="B4030" s="709">
        <v>7119</v>
      </c>
      <c r="C4030" s="710" t="s">
        <v>12356</v>
      </c>
      <c r="D4030" s="709" t="s">
        <v>136</v>
      </c>
      <c r="E4030" s="709" t="s">
        <v>8432</v>
      </c>
      <c r="F4030" s="716">
        <v>13.9</v>
      </c>
      <c r="G4030" s="716">
        <v>14.17</v>
      </c>
      <c r="H4030" s="225">
        <f t="shared" si="62"/>
        <v>13.9</v>
      </c>
    </row>
    <row r="4031" spans="1:8" x14ac:dyDescent="0.3">
      <c r="A4031" s="401"/>
      <c r="B4031" s="709">
        <v>7126</v>
      </c>
      <c r="C4031" s="710" t="s">
        <v>12357</v>
      </c>
      <c r="D4031" s="709" t="s">
        <v>136</v>
      </c>
      <c r="E4031" s="709" t="s">
        <v>8432</v>
      </c>
      <c r="F4031" s="716">
        <v>28.37</v>
      </c>
      <c r="G4031" s="716">
        <v>28.92</v>
      </c>
      <c r="H4031" s="225">
        <f t="shared" si="62"/>
        <v>28.37</v>
      </c>
    </row>
    <row r="4032" spans="1:8" x14ac:dyDescent="0.3">
      <c r="A4032" s="401"/>
      <c r="B4032" s="709">
        <v>7120</v>
      </c>
      <c r="C4032" s="710" t="s">
        <v>12358</v>
      </c>
      <c r="D4032" s="709" t="s">
        <v>136</v>
      </c>
      <c r="E4032" s="709" t="s">
        <v>8432</v>
      </c>
      <c r="F4032" s="716">
        <v>10.66</v>
      </c>
      <c r="G4032" s="716">
        <v>10.87</v>
      </c>
      <c r="H4032" s="225">
        <f t="shared" si="62"/>
        <v>10.66</v>
      </c>
    </row>
    <row r="4033" spans="1:8" x14ac:dyDescent="0.3">
      <c r="A4033" s="401"/>
      <c r="B4033" s="709">
        <v>6319</v>
      </c>
      <c r="C4033" s="710" t="s">
        <v>12359</v>
      </c>
      <c r="D4033" s="709" t="s">
        <v>136</v>
      </c>
      <c r="E4033" s="709" t="s">
        <v>8432</v>
      </c>
      <c r="F4033" s="716">
        <v>39.090000000000003</v>
      </c>
      <c r="G4033" s="716">
        <v>53.3</v>
      </c>
      <c r="H4033" s="225">
        <f t="shared" si="62"/>
        <v>39.090000000000003</v>
      </c>
    </row>
    <row r="4034" spans="1:8" x14ac:dyDescent="0.3">
      <c r="A4034" s="401"/>
      <c r="B4034" s="709">
        <v>6304</v>
      </c>
      <c r="C4034" s="710" t="s">
        <v>12360</v>
      </c>
      <c r="D4034" s="709" t="s">
        <v>136</v>
      </c>
      <c r="E4034" s="709" t="s">
        <v>8432</v>
      </c>
      <c r="F4034" s="716">
        <v>39.090000000000003</v>
      </c>
      <c r="G4034" s="716">
        <v>53.3</v>
      </c>
      <c r="H4034" s="225">
        <f t="shared" si="62"/>
        <v>39.090000000000003</v>
      </c>
    </row>
    <row r="4035" spans="1:8" x14ac:dyDescent="0.3">
      <c r="A4035" s="401"/>
      <c r="B4035" s="709">
        <v>21116</v>
      </c>
      <c r="C4035" s="710" t="s">
        <v>12361</v>
      </c>
      <c r="D4035" s="709" t="s">
        <v>136</v>
      </c>
      <c r="E4035" s="709" t="s">
        <v>8432</v>
      </c>
      <c r="F4035" s="716">
        <v>29.6</v>
      </c>
      <c r="G4035" s="716">
        <v>40.36</v>
      </c>
      <c r="H4035" s="225">
        <f t="shared" si="62"/>
        <v>29.6</v>
      </c>
    </row>
    <row r="4036" spans="1:8" x14ac:dyDescent="0.3">
      <c r="A4036" s="401"/>
      <c r="B4036" s="709">
        <v>6320</v>
      </c>
      <c r="C4036" s="710" t="s">
        <v>12362</v>
      </c>
      <c r="D4036" s="709" t="s">
        <v>136</v>
      </c>
      <c r="E4036" s="709" t="s">
        <v>8432</v>
      </c>
      <c r="F4036" s="716">
        <v>20.13</v>
      </c>
      <c r="G4036" s="716">
        <v>27.45</v>
      </c>
      <c r="H4036" s="225">
        <f t="shared" si="62"/>
        <v>20.13</v>
      </c>
    </row>
    <row r="4037" spans="1:8" x14ac:dyDescent="0.3">
      <c r="A4037" s="401"/>
      <c r="B4037" s="709">
        <v>6303</v>
      </c>
      <c r="C4037" s="710" t="s">
        <v>12363</v>
      </c>
      <c r="D4037" s="709" t="s">
        <v>136</v>
      </c>
      <c r="E4037" s="709" t="s">
        <v>8432</v>
      </c>
      <c r="F4037" s="716">
        <v>20.13</v>
      </c>
      <c r="G4037" s="716">
        <v>27.45</v>
      </c>
      <c r="H4037" s="225">
        <f t="shared" si="62"/>
        <v>20.13</v>
      </c>
    </row>
    <row r="4038" spans="1:8" x14ac:dyDescent="0.3">
      <c r="A4038" s="401"/>
      <c r="B4038" s="709">
        <v>6308</v>
      </c>
      <c r="C4038" s="710" t="s">
        <v>12364</v>
      </c>
      <c r="D4038" s="709" t="s">
        <v>136</v>
      </c>
      <c r="E4038" s="709" t="s">
        <v>8432</v>
      </c>
      <c r="F4038" s="716">
        <v>108.17</v>
      </c>
      <c r="G4038" s="716">
        <v>147.5</v>
      </c>
      <c r="H4038" s="225">
        <f t="shared" si="62"/>
        <v>108.17</v>
      </c>
    </row>
    <row r="4039" spans="1:8" x14ac:dyDescent="0.3">
      <c r="A4039" s="401"/>
      <c r="B4039" s="709">
        <v>6317</v>
      </c>
      <c r="C4039" s="710" t="s">
        <v>12365</v>
      </c>
      <c r="D4039" s="709" t="s">
        <v>136</v>
      </c>
      <c r="E4039" s="709" t="s">
        <v>8432</v>
      </c>
      <c r="F4039" s="716">
        <v>108.17</v>
      </c>
      <c r="G4039" s="716">
        <v>147.5</v>
      </c>
      <c r="H4039" s="225">
        <f t="shared" si="62"/>
        <v>108.17</v>
      </c>
    </row>
    <row r="4040" spans="1:8" x14ac:dyDescent="0.3">
      <c r="A4040" s="401"/>
      <c r="B4040" s="709">
        <v>6307</v>
      </c>
      <c r="C4040" s="710" t="s">
        <v>12366</v>
      </c>
      <c r="D4040" s="709" t="s">
        <v>136</v>
      </c>
      <c r="E4040" s="709" t="s">
        <v>8432</v>
      </c>
      <c r="F4040" s="716">
        <v>108.17</v>
      </c>
      <c r="G4040" s="716">
        <v>147.5</v>
      </c>
      <c r="H4040" s="225">
        <f t="shared" si="62"/>
        <v>108.17</v>
      </c>
    </row>
    <row r="4041" spans="1:8" x14ac:dyDescent="0.3">
      <c r="A4041" s="401"/>
      <c r="B4041" s="709">
        <v>6309</v>
      </c>
      <c r="C4041" s="710" t="s">
        <v>12367</v>
      </c>
      <c r="D4041" s="709" t="s">
        <v>136</v>
      </c>
      <c r="E4041" s="709" t="s">
        <v>8432</v>
      </c>
      <c r="F4041" s="716">
        <v>111.32</v>
      </c>
      <c r="G4041" s="716">
        <v>151.78</v>
      </c>
      <c r="H4041" s="225">
        <f t="shared" si="62"/>
        <v>111.32</v>
      </c>
    </row>
    <row r="4042" spans="1:8" x14ac:dyDescent="0.3">
      <c r="A4042" s="401"/>
      <c r="B4042" s="709">
        <v>6318</v>
      </c>
      <c r="C4042" s="710" t="s">
        <v>12368</v>
      </c>
      <c r="D4042" s="709" t="s">
        <v>136</v>
      </c>
      <c r="E4042" s="709" t="s">
        <v>8432</v>
      </c>
      <c r="F4042" s="716">
        <v>58.35</v>
      </c>
      <c r="G4042" s="716">
        <v>79.56</v>
      </c>
      <c r="H4042" s="225">
        <f t="shared" si="62"/>
        <v>58.35</v>
      </c>
    </row>
    <row r="4043" spans="1:8" x14ac:dyDescent="0.3">
      <c r="A4043" s="401"/>
      <c r="B4043" s="709">
        <v>6306</v>
      </c>
      <c r="C4043" s="710" t="s">
        <v>12369</v>
      </c>
      <c r="D4043" s="709" t="s">
        <v>136</v>
      </c>
      <c r="E4043" s="709" t="s">
        <v>8432</v>
      </c>
      <c r="F4043" s="716">
        <v>58.35</v>
      </c>
      <c r="G4043" s="716">
        <v>79.56</v>
      </c>
      <c r="H4043" s="225">
        <f t="shared" ref="H4043:H4106" si="63">IF(F4043&gt;0,F4043,G4043)</f>
        <v>58.35</v>
      </c>
    </row>
    <row r="4044" spans="1:8" x14ac:dyDescent="0.3">
      <c r="A4044" s="401"/>
      <c r="B4044" s="709">
        <v>6305</v>
      </c>
      <c r="C4044" s="710" t="s">
        <v>12370</v>
      </c>
      <c r="D4044" s="709" t="s">
        <v>136</v>
      </c>
      <c r="E4044" s="709" t="s">
        <v>8432</v>
      </c>
      <c r="F4044" s="716">
        <v>58.35</v>
      </c>
      <c r="G4044" s="716">
        <v>79.56</v>
      </c>
      <c r="H4044" s="225">
        <f t="shared" si="63"/>
        <v>58.35</v>
      </c>
    </row>
    <row r="4045" spans="1:8" x14ac:dyDescent="0.3">
      <c r="A4045" s="401"/>
      <c r="B4045" s="709">
        <v>6312</v>
      </c>
      <c r="C4045" s="710" t="s">
        <v>12371</v>
      </c>
      <c r="D4045" s="709" t="s">
        <v>136</v>
      </c>
      <c r="E4045" s="709" t="s">
        <v>8432</v>
      </c>
      <c r="F4045" s="716">
        <v>155.6</v>
      </c>
      <c r="G4045" s="716">
        <v>212.16</v>
      </c>
      <c r="H4045" s="225">
        <f t="shared" si="63"/>
        <v>155.6</v>
      </c>
    </row>
    <row r="4046" spans="1:8" x14ac:dyDescent="0.3">
      <c r="A4046" s="401"/>
      <c r="B4046" s="709">
        <v>6311</v>
      </c>
      <c r="C4046" s="710" t="s">
        <v>12372</v>
      </c>
      <c r="D4046" s="709" t="s">
        <v>136</v>
      </c>
      <c r="E4046" s="709" t="s">
        <v>8432</v>
      </c>
      <c r="F4046" s="716">
        <v>155.6</v>
      </c>
      <c r="G4046" s="716">
        <v>212.16</v>
      </c>
      <c r="H4046" s="225">
        <f t="shared" si="63"/>
        <v>155.6</v>
      </c>
    </row>
    <row r="4047" spans="1:8" x14ac:dyDescent="0.3">
      <c r="A4047" s="401"/>
      <c r="B4047" s="709">
        <v>6310</v>
      </c>
      <c r="C4047" s="710" t="s">
        <v>12373</v>
      </c>
      <c r="D4047" s="709" t="s">
        <v>136</v>
      </c>
      <c r="E4047" s="709" t="s">
        <v>8432</v>
      </c>
      <c r="F4047" s="716">
        <v>155.6</v>
      </c>
      <c r="G4047" s="716">
        <v>212.16</v>
      </c>
      <c r="H4047" s="225">
        <f t="shared" si="63"/>
        <v>155.6</v>
      </c>
    </row>
    <row r="4048" spans="1:8" x14ac:dyDescent="0.3">
      <c r="A4048" s="401"/>
      <c r="B4048" s="709">
        <v>6314</v>
      </c>
      <c r="C4048" s="710" t="s">
        <v>12374</v>
      </c>
      <c r="D4048" s="709" t="s">
        <v>136</v>
      </c>
      <c r="E4048" s="709" t="s">
        <v>8432</v>
      </c>
      <c r="F4048" s="716">
        <v>155.6</v>
      </c>
      <c r="G4048" s="716">
        <v>212.16</v>
      </c>
      <c r="H4048" s="225">
        <f t="shared" si="63"/>
        <v>155.6</v>
      </c>
    </row>
    <row r="4049" spans="1:8" x14ac:dyDescent="0.3">
      <c r="A4049" s="401"/>
      <c r="B4049" s="709">
        <v>6313</v>
      </c>
      <c r="C4049" s="710" t="s">
        <v>12375</v>
      </c>
      <c r="D4049" s="709" t="s">
        <v>136</v>
      </c>
      <c r="E4049" s="709" t="s">
        <v>8432</v>
      </c>
      <c r="F4049" s="716">
        <v>155.6</v>
      </c>
      <c r="G4049" s="716">
        <v>212.16</v>
      </c>
      <c r="H4049" s="225">
        <f t="shared" si="63"/>
        <v>155.6</v>
      </c>
    </row>
    <row r="4050" spans="1:8" x14ac:dyDescent="0.3">
      <c r="A4050" s="401"/>
      <c r="B4050" s="709">
        <v>6302</v>
      </c>
      <c r="C4050" s="710" t="s">
        <v>12376</v>
      </c>
      <c r="D4050" s="709" t="s">
        <v>136</v>
      </c>
      <c r="E4050" s="709" t="s">
        <v>8432</v>
      </c>
      <c r="F4050" s="716">
        <v>12.37</v>
      </c>
      <c r="G4050" s="716">
        <v>16.87</v>
      </c>
      <c r="H4050" s="225">
        <f t="shared" si="63"/>
        <v>12.37</v>
      </c>
    </row>
    <row r="4051" spans="1:8" x14ac:dyDescent="0.3">
      <c r="A4051" s="401"/>
      <c r="B4051" s="709">
        <v>6315</v>
      </c>
      <c r="C4051" s="710" t="s">
        <v>12377</v>
      </c>
      <c r="D4051" s="709" t="s">
        <v>136</v>
      </c>
      <c r="E4051" s="709" t="s">
        <v>8432</v>
      </c>
      <c r="F4051" s="716">
        <v>294.61</v>
      </c>
      <c r="G4051" s="716">
        <v>401.72</v>
      </c>
      <c r="H4051" s="225">
        <f t="shared" si="63"/>
        <v>294.61</v>
      </c>
    </row>
    <row r="4052" spans="1:8" x14ac:dyDescent="0.3">
      <c r="A4052" s="401"/>
      <c r="B4052" s="709">
        <v>6316</v>
      </c>
      <c r="C4052" s="710" t="s">
        <v>12378</v>
      </c>
      <c r="D4052" s="709" t="s">
        <v>136</v>
      </c>
      <c r="E4052" s="709" t="s">
        <v>8432</v>
      </c>
      <c r="F4052" s="716">
        <v>294.61</v>
      </c>
      <c r="G4052" s="716">
        <v>401.72</v>
      </c>
      <c r="H4052" s="225">
        <f t="shared" si="63"/>
        <v>294.61</v>
      </c>
    </row>
    <row r="4053" spans="1:8" x14ac:dyDescent="0.3">
      <c r="A4053" s="401"/>
      <c r="B4053" s="709">
        <v>39324</v>
      </c>
      <c r="C4053" s="710" t="s">
        <v>12379</v>
      </c>
      <c r="D4053" s="709" t="s">
        <v>136</v>
      </c>
      <c r="E4053" s="709" t="s">
        <v>8432</v>
      </c>
      <c r="F4053" s="716">
        <v>7.32</v>
      </c>
      <c r="G4053" s="716">
        <v>5.35</v>
      </c>
      <c r="H4053" s="225">
        <f t="shared" si="63"/>
        <v>7.32</v>
      </c>
    </row>
    <row r="4054" spans="1:8" x14ac:dyDescent="0.3">
      <c r="A4054" s="401"/>
      <c r="B4054" s="709">
        <v>39325</v>
      </c>
      <c r="C4054" s="710" t="s">
        <v>12380</v>
      </c>
      <c r="D4054" s="709" t="s">
        <v>136</v>
      </c>
      <c r="E4054" s="709" t="s">
        <v>8432</v>
      </c>
      <c r="F4054" s="716">
        <v>11.03</v>
      </c>
      <c r="G4054" s="716">
        <v>8.06</v>
      </c>
      <c r="H4054" s="225">
        <f t="shared" si="63"/>
        <v>11.03</v>
      </c>
    </row>
    <row r="4055" spans="1:8" x14ac:dyDescent="0.3">
      <c r="A4055" s="401"/>
      <c r="B4055" s="709">
        <v>39326</v>
      </c>
      <c r="C4055" s="710" t="s">
        <v>12381</v>
      </c>
      <c r="D4055" s="709" t="s">
        <v>136</v>
      </c>
      <c r="E4055" s="709" t="s">
        <v>8432</v>
      </c>
      <c r="F4055" s="716">
        <v>39.57</v>
      </c>
      <c r="G4055" s="716">
        <v>28.94</v>
      </c>
      <c r="H4055" s="225">
        <f t="shared" si="63"/>
        <v>39.57</v>
      </c>
    </row>
    <row r="4056" spans="1:8" x14ac:dyDescent="0.3">
      <c r="A4056" s="401"/>
      <c r="B4056" s="709">
        <v>39327</v>
      </c>
      <c r="C4056" s="710" t="s">
        <v>12382</v>
      </c>
      <c r="D4056" s="709" t="s">
        <v>136</v>
      </c>
      <c r="E4056" s="709" t="s">
        <v>8432</v>
      </c>
      <c r="F4056" s="716">
        <v>59.7</v>
      </c>
      <c r="G4056" s="716">
        <v>43.66</v>
      </c>
      <c r="H4056" s="225">
        <f t="shared" si="63"/>
        <v>59.7</v>
      </c>
    </row>
    <row r="4057" spans="1:8" x14ac:dyDescent="0.3">
      <c r="A4057" s="401"/>
      <c r="B4057" s="709">
        <v>11378</v>
      </c>
      <c r="C4057" s="710" t="s">
        <v>12383</v>
      </c>
      <c r="D4057" s="709" t="s">
        <v>136</v>
      </c>
      <c r="E4057" s="709" t="s">
        <v>8432</v>
      </c>
      <c r="F4057" s="716"/>
      <c r="G4057" s="716">
        <v>100.34</v>
      </c>
      <c r="H4057" s="225">
        <f t="shared" si="63"/>
        <v>100.34</v>
      </c>
    </row>
    <row r="4058" spans="1:8" x14ac:dyDescent="0.3">
      <c r="A4058" s="401"/>
      <c r="B4058" s="709">
        <v>11379</v>
      </c>
      <c r="C4058" s="710" t="s">
        <v>12384</v>
      </c>
      <c r="D4058" s="709" t="s">
        <v>136</v>
      </c>
      <c r="E4058" s="709" t="s">
        <v>8432</v>
      </c>
      <c r="F4058" s="716"/>
      <c r="G4058" s="716">
        <v>84.79</v>
      </c>
      <c r="H4058" s="225">
        <f t="shared" si="63"/>
        <v>84.79</v>
      </c>
    </row>
    <row r="4059" spans="1:8" x14ac:dyDescent="0.3">
      <c r="A4059" s="401"/>
      <c r="B4059" s="709">
        <v>11493</v>
      </c>
      <c r="C4059" s="710" t="s">
        <v>12385</v>
      </c>
      <c r="D4059" s="709" t="s">
        <v>136</v>
      </c>
      <c r="E4059" s="709" t="s">
        <v>8432</v>
      </c>
      <c r="F4059" s="716"/>
      <c r="G4059" s="716">
        <v>48.91</v>
      </c>
      <c r="H4059" s="225">
        <f t="shared" si="63"/>
        <v>48.91</v>
      </c>
    </row>
    <row r="4060" spans="1:8" x14ac:dyDescent="0.3">
      <c r="A4060" s="401"/>
      <c r="B4060" s="709">
        <v>7106</v>
      </c>
      <c r="C4060" s="710" t="s">
        <v>12386</v>
      </c>
      <c r="D4060" s="709" t="s">
        <v>136</v>
      </c>
      <c r="E4060" s="709" t="s">
        <v>8432</v>
      </c>
      <c r="F4060" s="716">
        <v>175.54</v>
      </c>
      <c r="G4060" s="716">
        <v>178.97</v>
      </c>
      <c r="H4060" s="225">
        <f t="shared" si="63"/>
        <v>175.54</v>
      </c>
    </row>
    <row r="4061" spans="1:8" x14ac:dyDescent="0.3">
      <c r="A4061" s="401"/>
      <c r="B4061" s="709">
        <v>7104</v>
      </c>
      <c r="C4061" s="710" t="s">
        <v>12387</v>
      </c>
      <c r="D4061" s="709" t="s">
        <v>136</v>
      </c>
      <c r="E4061" s="709" t="s">
        <v>8432</v>
      </c>
      <c r="F4061" s="716">
        <v>4.7300000000000004</v>
      </c>
      <c r="G4061" s="716">
        <v>4.82</v>
      </c>
      <c r="H4061" s="225">
        <f t="shared" si="63"/>
        <v>4.7300000000000004</v>
      </c>
    </row>
    <row r="4062" spans="1:8" x14ac:dyDescent="0.3">
      <c r="A4062" s="401"/>
      <c r="B4062" s="709">
        <v>7136</v>
      </c>
      <c r="C4062" s="710" t="s">
        <v>12388</v>
      </c>
      <c r="D4062" s="709" t="s">
        <v>136</v>
      </c>
      <c r="E4062" s="709" t="s">
        <v>8432</v>
      </c>
      <c r="F4062" s="716">
        <v>8.24</v>
      </c>
      <c r="G4062" s="716">
        <v>8.4</v>
      </c>
      <c r="H4062" s="225">
        <f t="shared" si="63"/>
        <v>8.24</v>
      </c>
    </row>
    <row r="4063" spans="1:8" x14ac:dyDescent="0.3">
      <c r="A4063" s="401"/>
      <c r="B4063" s="709">
        <v>7128</v>
      </c>
      <c r="C4063" s="710" t="s">
        <v>12389</v>
      </c>
      <c r="D4063" s="709" t="s">
        <v>136</v>
      </c>
      <c r="E4063" s="709" t="s">
        <v>8432</v>
      </c>
      <c r="F4063" s="716">
        <v>10.69</v>
      </c>
      <c r="G4063" s="716">
        <v>10.9</v>
      </c>
      <c r="H4063" s="225">
        <f t="shared" si="63"/>
        <v>10.69</v>
      </c>
    </row>
    <row r="4064" spans="1:8" x14ac:dyDescent="0.3">
      <c r="A4064" s="401"/>
      <c r="B4064" s="709">
        <v>7108</v>
      </c>
      <c r="C4064" s="710" t="s">
        <v>12390</v>
      </c>
      <c r="D4064" s="709" t="s">
        <v>136</v>
      </c>
      <c r="E4064" s="709" t="s">
        <v>8432</v>
      </c>
      <c r="F4064" s="716">
        <v>10.66</v>
      </c>
      <c r="G4064" s="716">
        <v>10.87</v>
      </c>
      <c r="H4064" s="225">
        <f t="shared" si="63"/>
        <v>10.66</v>
      </c>
    </row>
    <row r="4065" spans="1:8" x14ac:dyDescent="0.3">
      <c r="A4065" s="401"/>
      <c r="B4065" s="709">
        <v>7129</v>
      </c>
      <c r="C4065" s="710" t="s">
        <v>12391</v>
      </c>
      <c r="D4065" s="709" t="s">
        <v>136</v>
      </c>
      <c r="E4065" s="709" t="s">
        <v>8432</v>
      </c>
      <c r="F4065" s="716">
        <v>12.55</v>
      </c>
      <c r="G4065" s="716">
        <v>12.8</v>
      </c>
      <c r="H4065" s="225">
        <f t="shared" si="63"/>
        <v>12.55</v>
      </c>
    </row>
    <row r="4066" spans="1:8" x14ac:dyDescent="0.3">
      <c r="A4066" s="401"/>
      <c r="B4066" s="709">
        <v>7130</v>
      </c>
      <c r="C4066" s="710" t="s">
        <v>12392</v>
      </c>
      <c r="D4066" s="709" t="s">
        <v>136</v>
      </c>
      <c r="E4066" s="709" t="s">
        <v>8432</v>
      </c>
      <c r="F4066" s="716">
        <v>18.23</v>
      </c>
      <c r="G4066" s="716">
        <v>18.59</v>
      </c>
      <c r="H4066" s="225">
        <f t="shared" si="63"/>
        <v>18.23</v>
      </c>
    </row>
    <row r="4067" spans="1:8" x14ac:dyDescent="0.3">
      <c r="A4067" s="401"/>
      <c r="B4067" s="709">
        <v>7131</v>
      </c>
      <c r="C4067" s="710" t="s">
        <v>12393</v>
      </c>
      <c r="D4067" s="709" t="s">
        <v>136</v>
      </c>
      <c r="E4067" s="709" t="s">
        <v>8432</v>
      </c>
      <c r="F4067" s="716">
        <v>22.3</v>
      </c>
      <c r="G4067" s="716">
        <v>22.74</v>
      </c>
      <c r="H4067" s="225">
        <f t="shared" si="63"/>
        <v>22.3</v>
      </c>
    </row>
    <row r="4068" spans="1:8" x14ac:dyDescent="0.3">
      <c r="A4068" s="401"/>
      <c r="B4068" s="709">
        <v>7132</v>
      </c>
      <c r="C4068" s="710" t="s">
        <v>12394</v>
      </c>
      <c r="D4068" s="709" t="s">
        <v>136</v>
      </c>
      <c r="E4068" s="709" t="s">
        <v>8432</v>
      </c>
      <c r="F4068" s="716">
        <v>52.51</v>
      </c>
      <c r="G4068" s="716">
        <v>53.53</v>
      </c>
      <c r="H4068" s="225">
        <f t="shared" si="63"/>
        <v>52.51</v>
      </c>
    </row>
    <row r="4069" spans="1:8" x14ac:dyDescent="0.3">
      <c r="A4069" s="401"/>
      <c r="B4069" s="709">
        <v>7133</v>
      </c>
      <c r="C4069" s="710" t="s">
        <v>12395</v>
      </c>
      <c r="D4069" s="709" t="s">
        <v>136</v>
      </c>
      <c r="E4069" s="709" t="s">
        <v>8432</v>
      </c>
      <c r="F4069" s="716">
        <v>121.33</v>
      </c>
      <c r="G4069" s="716">
        <v>123.7</v>
      </c>
      <c r="H4069" s="225">
        <f t="shared" si="63"/>
        <v>121.33</v>
      </c>
    </row>
    <row r="4070" spans="1:8" x14ac:dyDescent="0.3">
      <c r="A4070" s="401"/>
      <c r="B4070" s="709">
        <v>37422</v>
      </c>
      <c r="C4070" s="710" t="s">
        <v>12396</v>
      </c>
      <c r="D4070" s="709" t="s">
        <v>136</v>
      </c>
      <c r="E4070" s="709" t="s">
        <v>8432</v>
      </c>
      <c r="F4070" s="716">
        <v>87.22</v>
      </c>
      <c r="G4070" s="716">
        <v>59.7</v>
      </c>
      <c r="H4070" s="225">
        <f t="shared" si="63"/>
        <v>87.22</v>
      </c>
    </row>
    <row r="4071" spans="1:8" x14ac:dyDescent="0.3">
      <c r="A4071" s="401"/>
      <c r="B4071" s="709">
        <v>37420</v>
      </c>
      <c r="C4071" s="710" t="s">
        <v>12397</v>
      </c>
      <c r="D4071" s="709" t="s">
        <v>136</v>
      </c>
      <c r="E4071" s="709" t="s">
        <v>8432</v>
      </c>
      <c r="F4071" s="716">
        <v>68.180000000000007</v>
      </c>
      <c r="G4071" s="716">
        <v>46.67</v>
      </c>
      <c r="H4071" s="225">
        <f t="shared" si="63"/>
        <v>68.180000000000007</v>
      </c>
    </row>
    <row r="4072" spans="1:8" x14ac:dyDescent="0.3">
      <c r="A4072" s="401"/>
      <c r="B4072" s="709">
        <v>37421</v>
      </c>
      <c r="C4072" s="710" t="s">
        <v>12398</v>
      </c>
      <c r="D4072" s="709" t="s">
        <v>136</v>
      </c>
      <c r="E4072" s="709" t="s">
        <v>8432</v>
      </c>
      <c r="F4072" s="716">
        <v>93.18</v>
      </c>
      <c r="G4072" s="716">
        <v>63.78</v>
      </c>
      <c r="H4072" s="225">
        <f t="shared" si="63"/>
        <v>93.18</v>
      </c>
    </row>
    <row r="4073" spans="1:8" x14ac:dyDescent="0.3">
      <c r="A4073" s="401"/>
      <c r="B4073" s="709">
        <v>37443</v>
      </c>
      <c r="C4073" s="710" t="s">
        <v>12399</v>
      </c>
      <c r="D4073" s="709" t="s">
        <v>136</v>
      </c>
      <c r="E4073" s="709" t="s">
        <v>8432</v>
      </c>
      <c r="F4073" s="716">
        <v>209.81</v>
      </c>
      <c r="G4073" s="716">
        <v>211.28</v>
      </c>
      <c r="H4073" s="225">
        <f t="shared" si="63"/>
        <v>209.81</v>
      </c>
    </row>
    <row r="4074" spans="1:8" x14ac:dyDescent="0.3">
      <c r="A4074" s="401"/>
      <c r="B4074" s="709">
        <v>37444</v>
      </c>
      <c r="C4074" s="710" t="s">
        <v>12400</v>
      </c>
      <c r="D4074" s="709" t="s">
        <v>136</v>
      </c>
      <c r="E4074" s="709" t="s">
        <v>8432</v>
      </c>
      <c r="F4074" s="716">
        <v>213.37</v>
      </c>
      <c r="G4074" s="716">
        <v>214.87</v>
      </c>
      <c r="H4074" s="225">
        <f t="shared" si="63"/>
        <v>213.37</v>
      </c>
    </row>
    <row r="4075" spans="1:8" x14ac:dyDescent="0.3">
      <c r="A4075" s="401"/>
      <c r="B4075" s="709">
        <v>37445</v>
      </c>
      <c r="C4075" s="710" t="s">
        <v>12401</v>
      </c>
      <c r="D4075" s="709" t="s">
        <v>136</v>
      </c>
      <c r="E4075" s="709" t="s">
        <v>8432</v>
      </c>
      <c r="F4075" s="716">
        <v>323.41000000000003</v>
      </c>
      <c r="G4075" s="716">
        <v>325.68</v>
      </c>
      <c r="H4075" s="225">
        <f t="shared" si="63"/>
        <v>323.41000000000003</v>
      </c>
    </row>
    <row r="4076" spans="1:8" x14ac:dyDescent="0.3">
      <c r="A4076" s="401"/>
      <c r="B4076" s="709">
        <v>37446</v>
      </c>
      <c r="C4076" s="710" t="s">
        <v>12402</v>
      </c>
      <c r="D4076" s="709" t="s">
        <v>136</v>
      </c>
      <c r="E4076" s="709" t="s">
        <v>8432</v>
      </c>
      <c r="F4076" s="716">
        <v>352.57</v>
      </c>
      <c r="G4076" s="716">
        <v>355.04</v>
      </c>
      <c r="H4076" s="225">
        <f t="shared" si="63"/>
        <v>352.57</v>
      </c>
    </row>
    <row r="4077" spans="1:8" x14ac:dyDescent="0.3">
      <c r="A4077" s="401"/>
      <c r="B4077" s="709">
        <v>37447</v>
      </c>
      <c r="C4077" s="710" t="s">
        <v>12403</v>
      </c>
      <c r="D4077" s="709" t="s">
        <v>136</v>
      </c>
      <c r="E4077" s="709" t="s">
        <v>8432</v>
      </c>
      <c r="F4077" s="716">
        <v>358.09</v>
      </c>
      <c r="G4077" s="716">
        <v>360.6</v>
      </c>
      <c r="H4077" s="225">
        <f t="shared" si="63"/>
        <v>358.09</v>
      </c>
    </row>
    <row r="4078" spans="1:8" x14ac:dyDescent="0.3">
      <c r="A4078" s="401"/>
      <c r="B4078" s="709">
        <v>37448</v>
      </c>
      <c r="C4078" s="710" t="s">
        <v>12404</v>
      </c>
      <c r="D4078" s="709" t="s">
        <v>136</v>
      </c>
      <c r="E4078" s="709" t="s">
        <v>8432</v>
      </c>
      <c r="F4078" s="716">
        <v>491.18</v>
      </c>
      <c r="G4078" s="716">
        <v>494.62</v>
      </c>
      <c r="H4078" s="225">
        <f t="shared" si="63"/>
        <v>491.18</v>
      </c>
    </row>
    <row r="4079" spans="1:8" x14ac:dyDescent="0.3">
      <c r="A4079" s="401"/>
      <c r="B4079" s="709">
        <v>37440</v>
      </c>
      <c r="C4079" s="710" t="s">
        <v>12405</v>
      </c>
      <c r="D4079" s="709" t="s">
        <v>136</v>
      </c>
      <c r="E4079" s="709" t="s">
        <v>8432</v>
      </c>
      <c r="F4079" s="716">
        <v>166.53</v>
      </c>
      <c r="G4079" s="716">
        <v>167.7</v>
      </c>
      <c r="H4079" s="225">
        <f t="shared" si="63"/>
        <v>166.53</v>
      </c>
    </row>
    <row r="4080" spans="1:8" x14ac:dyDescent="0.3">
      <c r="A4080" s="401"/>
      <c r="B4080" s="709">
        <v>37441</v>
      </c>
      <c r="C4080" s="710" t="s">
        <v>12406</v>
      </c>
      <c r="D4080" s="709" t="s">
        <v>136</v>
      </c>
      <c r="E4080" s="709" t="s">
        <v>8432</v>
      </c>
      <c r="F4080" s="716">
        <v>166.53</v>
      </c>
      <c r="G4080" s="716">
        <v>167.7</v>
      </c>
      <c r="H4080" s="225">
        <f t="shared" si="63"/>
        <v>166.53</v>
      </c>
    </row>
    <row r="4081" spans="1:8" x14ac:dyDescent="0.3">
      <c r="A4081" s="401"/>
      <c r="B4081" s="709">
        <v>37442</v>
      </c>
      <c r="C4081" s="710" t="s">
        <v>12407</v>
      </c>
      <c r="D4081" s="709" t="s">
        <v>136</v>
      </c>
      <c r="E4081" s="709" t="s">
        <v>8432</v>
      </c>
      <c r="F4081" s="716">
        <v>200.58</v>
      </c>
      <c r="G4081" s="716">
        <v>201.99</v>
      </c>
      <c r="H4081" s="225">
        <f t="shared" si="63"/>
        <v>200.58</v>
      </c>
    </row>
    <row r="4082" spans="1:8" x14ac:dyDescent="0.3">
      <c r="A4082" s="401"/>
      <c r="B4082" s="709">
        <v>38017</v>
      </c>
      <c r="C4082" s="710" t="s">
        <v>12408</v>
      </c>
      <c r="D4082" s="709" t="s">
        <v>136</v>
      </c>
      <c r="E4082" s="709" t="s">
        <v>8432</v>
      </c>
      <c r="F4082" s="716">
        <v>14.96</v>
      </c>
      <c r="G4082" s="716">
        <v>10.94</v>
      </c>
      <c r="H4082" s="225">
        <f t="shared" si="63"/>
        <v>14.96</v>
      </c>
    </row>
    <row r="4083" spans="1:8" x14ac:dyDescent="0.3">
      <c r="A4083" s="401"/>
      <c r="B4083" s="709">
        <v>38018</v>
      </c>
      <c r="C4083" s="710" t="s">
        <v>12409</v>
      </c>
      <c r="D4083" s="709" t="s">
        <v>136</v>
      </c>
      <c r="E4083" s="709" t="s">
        <v>8432</v>
      </c>
      <c r="F4083" s="716">
        <v>16.82</v>
      </c>
      <c r="G4083" s="716">
        <v>12.3</v>
      </c>
      <c r="H4083" s="225">
        <f t="shared" si="63"/>
        <v>16.82</v>
      </c>
    </row>
    <row r="4084" spans="1:8" x14ac:dyDescent="0.3">
      <c r="A4084" s="401"/>
      <c r="B4084" s="709">
        <v>39895</v>
      </c>
      <c r="C4084" s="710" t="s">
        <v>12410</v>
      </c>
      <c r="D4084" s="709" t="s">
        <v>136</v>
      </c>
      <c r="E4084" s="709" t="s">
        <v>8432</v>
      </c>
      <c r="F4084" s="716"/>
      <c r="G4084" s="716">
        <v>69.790000000000006</v>
      </c>
      <c r="H4084" s="225">
        <f t="shared" si="63"/>
        <v>69.790000000000006</v>
      </c>
    </row>
    <row r="4085" spans="1:8" x14ac:dyDescent="0.3">
      <c r="A4085" s="401"/>
      <c r="B4085" s="709">
        <v>39896</v>
      </c>
      <c r="C4085" s="710" t="s">
        <v>12411</v>
      </c>
      <c r="D4085" s="709" t="s">
        <v>136</v>
      </c>
      <c r="E4085" s="709" t="s">
        <v>8432</v>
      </c>
      <c r="F4085" s="716"/>
      <c r="G4085" s="716">
        <v>102.29</v>
      </c>
      <c r="H4085" s="225">
        <f t="shared" si="63"/>
        <v>102.29</v>
      </c>
    </row>
    <row r="4086" spans="1:8" x14ac:dyDescent="0.3">
      <c r="A4086" s="401"/>
      <c r="B4086" s="709">
        <v>44038</v>
      </c>
      <c r="C4086" s="710" t="s">
        <v>12412</v>
      </c>
      <c r="D4086" s="709" t="s">
        <v>136</v>
      </c>
      <c r="E4086" s="709" t="s">
        <v>8432</v>
      </c>
      <c r="F4086" s="716">
        <v>260.95</v>
      </c>
      <c r="G4086" s="716">
        <v>232.72</v>
      </c>
      <c r="H4086" s="225">
        <f t="shared" si="63"/>
        <v>260.95</v>
      </c>
    </row>
    <row r="4087" spans="1:8" x14ac:dyDescent="0.3">
      <c r="A4087" s="401"/>
      <c r="B4087" s="709">
        <v>44040</v>
      </c>
      <c r="C4087" s="710" t="s">
        <v>12413</v>
      </c>
      <c r="D4087" s="709" t="s">
        <v>136</v>
      </c>
      <c r="E4087" s="709" t="s">
        <v>8432</v>
      </c>
      <c r="F4087" s="716">
        <v>332.96</v>
      </c>
      <c r="G4087" s="716">
        <v>296.93</v>
      </c>
      <c r="H4087" s="225">
        <f t="shared" si="63"/>
        <v>332.96</v>
      </c>
    </row>
    <row r="4088" spans="1:8" x14ac:dyDescent="0.3">
      <c r="A4088" s="401"/>
      <c r="B4088" s="709">
        <v>44035</v>
      </c>
      <c r="C4088" s="710" t="s">
        <v>12414</v>
      </c>
      <c r="D4088" s="709" t="s">
        <v>136</v>
      </c>
      <c r="E4088" s="709" t="s">
        <v>8432</v>
      </c>
      <c r="F4088" s="716">
        <v>155.26</v>
      </c>
      <c r="G4088" s="716">
        <v>138.46</v>
      </c>
      <c r="H4088" s="225">
        <f t="shared" si="63"/>
        <v>155.26</v>
      </c>
    </row>
    <row r="4089" spans="1:8" x14ac:dyDescent="0.3">
      <c r="A4089" s="401"/>
      <c r="B4089" s="709">
        <v>44037</v>
      </c>
      <c r="C4089" s="710" t="s">
        <v>12415</v>
      </c>
      <c r="D4089" s="709" t="s">
        <v>136</v>
      </c>
      <c r="E4089" s="709" t="s">
        <v>8432</v>
      </c>
      <c r="F4089" s="716">
        <v>197.55</v>
      </c>
      <c r="G4089" s="716">
        <v>176.17</v>
      </c>
      <c r="H4089" s="225">
        <f t="shared" si="63"/>
        <v>197.55</v>
      </c>
    </row>
    <row r="4090" spans="1:8" x14ac:dyDescent="0.3">
      <c r="A4090" s="401"/>
      <c r="B4090" s="709">
        <v>44033</v>
      </c>
      <c r="C4090" s="710" t="s">
        <v>12416</v>
      </c>
      <c r="D4090" s="709" t="s">
        <v>136</v>
      </c>
      <c r="E4090" s="709" t="s">
        <v>8432</v>
      </c>
      <c r="F4090" s="716">
        <v>61.41</v>
      </c>
      <c r="G4090" s="716">
        <v>54.76</v>
      </c>
      <c r="H4090" s="225">
        <f t="shared" si="63"/>
        <v>61.41</v>
      </c>
    </row>
    <row r="4091" spans="1:8" x14ac:dyDescent="0.3">
      <c r="A4091" s="401"/>
      <c r="B4091" s="709">
        <v>44034</v>
      </c>
      <c r="C4091" s="710" t="s">
        <v>12417</v>
      </c>
      <c r="D4091" s="709" t="s">
        <v>136</v>
      </c>
      <c r="E4091" s="709" t="s">
        <v>8432</v>
      </c>
      <c r="F4091" s="716">
        <v>84.41</v>
      </c>
      <c r="G4091" s="716">
        <v>75.27</v>
      </c>
      <c r="H4091" s="225">
        <f t="shared" si="63"/>
        <v>84.41</v>
      </c>
    </row>
    <row r="4092" spans="1:8" x14ac:dyDescent="0.3">
      <c r="A4092" s="401"/>
      <c r="B4092" s="709">
        <v>44028</v>
      </c>
      <c r="C4092" s="710" t="s">
        <v>12418</v>
      </c>
      <c r="D4092" s="709" t="s">
        <v>136</v>
      </c>
      <c r="E4092" s="709" t="s">
        <v>8432</v>
      </c>
      <c r="F4092" s="716">
        <v>24.64</v>
      </c>
      <c r="G4092" s="716">
        <v>21.98</v>
      </c>
      <c r="H4092" s="225">
        <f t="shared" si="63"/>
        <v>24.64</v>
      </c>
    </row>
    <row r="4093" spans="1:8" x14ac:dyDescent="0.3">
      <c r="A4093" s="401"/>
      <c r="B4093" s="709">
        <v>44029</v>
      </c>
      <c r="C4093" s="710" t="s">
        <v>12419</v>
      </c>
      <c r="D4093" s="709" t="s">
        <v>136</v>
      </c>
      <c r="E4093" s="709" t="s">
        <v>8432</v>
      </c>
      <c r="F4093" s="716">
        <v>26.19</v>
      </c>
      <c r="G4093" s="716">
        <v>23.36</v>
      </c>
      <c r="H4093" s="225">
        <f t="shared" si="63"/>
        <v>26.19</v>
      </c>
    </row>
    <row r="4094" spans="1:8" x14ac:dyDescent="0.3">
      <c r="A4094" s="401"/>
      <c r="B4094" s="709">
        <v>44030</v>
      </c>
      <c r="C4094" s="710" t="s">
        <v>12420</v>
      </c>
      <c r="D4094" s="709" t="s">
        <v>136</v>
      </c>
      <c r="E4094" s="709" t="s">
        <v>8432</v>
      </c>
      <c r="F4094" s="716">
        <v>31.47</v>
      </c>
      <c r="G4094" s="716">
        <v>28.06</v>
      </c>
      <c r="H4094" s="225">
        <f t="shared" si="63"/>
        <v>31.47</v>
      </c>
    </row>
    <row r="4095" spans="1:8" x14ac:dyDescent="0.3">
      <c r="A4095" s="401"/>
      <c r="B4095" s="709">
        <v>44031</v>
      </c>
      <c r="C4095" s="710" t="s">
        <v>12421</v>
      </c>
      <c r="D4095" s="709" t="s">
        <v>136</v>
      </c>
      <c r="E4095" s="709" t="s">
        <v>8432</v>
      </c>
      <c r="F4095" s="716">
        <v>38.630000000000003</v>
      </c>
      <c r="G4095" s="716">
        <v>34.450000000000003</v>
      </c>
      <c r="H4095" s="225">
        <f t="shared" si="63"/>
        <v>38.630000000000003</v>
      </c>
    </row>
    <row r="4096" spans="1:8" x14ac:dyDescent="0.3">
      <c r="A4096" s="401"/>
      <c r="B4096" s="709">
        <v>44032</v>
      </c>
      <c r="C4096" s="710" t="s">
        <v>12422</v>
      </c>
      <c r="D4096" s="709" t="s">
        <v>136</v>
      </c>
      <c r="E4096" s="709" t="s">
        <v>8432</v>
      </c>
      <c r="F4096" s="716">
        <v>43.84</v>
      </c>
      <c r="G4096" s="716">
        <v>39.090000000000003</v>
      </c>
      <c r="H4096" s="225">
        <f t="shared" si="63"/>
        <v>43.84</v>
      </c>
    </row>
    <row r="4097" spans="1:8" x14ac:dyDescent="0.3">
      <c r="A4097" s="401"/>
      <c r="B4097" s="709">
        <v>44036</v>
      </c>
      <c r="C4097" s="710" t="s">
        <v>12423</v>
      </c>
      <c r="D4097" s="709" t="s">
        <v>136</v>
      </c>
      <c r="E4097" s="709" t="s">
        <v>8432</v>
      </c>
      <c r="F4097" s="716">
        <v>18.100000000000001</v>
      </c>
      <c r="G4097" s="716">
        <v>16.14</v>
      </c>
      <c r="H4097" s="225">
        <f t="shared" si="63"/>
        <v>18.100000000000001</v>
      </c>
    </row>
    <row r="4098" spans="1:8" x14ac:dyDescent="0.3">
      <c r="A4098" s="401"/>
      <c r="B4098" s="709">
        <v>44039</v>
      </c>
      <c r="C4098" s="710" t="s">
        <v>12424</v>
      </c>
      <c r="D4098" s="709" t="s">
        <v>136</v>
      </c>
      <c r="E4098" s="709" t="s">
        <v>8432</v>
      </c>
      <c r="F4098" s="716">
        <v>22.02</v>
      </c>
      <c r="G4098" s="716">
        <v>19.64</v>
      </c>
      <c r="H4098" s="225">
        <f t="shared" si="63"/>
        <v>22.02</v>
      </c>
    </row>
    <row r="4099" spans="1:8" x14ac:dyDescent="0.3">
      <c r="A4099" s="401"/>
      <c r="B4099" s="709">
        <v>38873</v>
      </c>
      <c r="C4099" s="710" t="s">
        <v>12425</v>
      </c>
      <c r="D4099" s="709" t="s">
        <v>136</v>
      </c>
      <c r="E4099" s="709" t="s">
        <v>8432</v>
      </c>
      <c r="F4099" s="716">
        <v>26.84</v>
      </c>
      <c r="G4099" s="716">
        <v>16.77</v>
      </c>
      <c r="H4099" s="225">
        <f t="shared" si="63"/>
        <v>26.84</v>
      </c>
    </row>
    <row r="4100" spans="1:8" x14ac:dyDescent="0.3">
      <c r="A4100" s="401"/>
      <c r="B4100" s="709">
        <v>38874</v>
      </c>
      <c r="C4100" s="710" t="s">
        <v>12426</v>
      </c>
      <c r="D4100" s="709" t="s">
        <v>136</v>
      </c>
      <c r="E4100" s="709" t="s">
        <v>8432</v>
      </c>
      <c r="F4100" s="716">
        <v>33.979999999999997</v>
      </c>
      <c r="G4100" s="716">
        <v>21.24</v>
      </c>
      <c r="H4100" s="225">
        <f t="shared" si="63"/>
        <v>33.979999999999997</v>
      </c>
    </row>
    <row r="4101" spans="1:8" x14ac:dyDescent="0.3">
      <c r="A4101" s="401"/>
      <c r="B4101" s="709">
        <v>38875</v>
      </c>
      <c r="C4101" s="710" t="s">
        <v>12427</v>
      </c>
      <c r="D4101" s="709" t="s">
        <v>136</v>
      </c>
      <c r="E4101" s="709" t="s">
        <v>8432</v>
      </c>
      <c r="F4101" s="716">
        <v>53.86</v>
      </c>
      <c r="G4101" s="716">
        <v>33.659999999999997</v>
      </c>
      <c r="H4101" s="225">
        <f t="shared" si="63"/>
        <v>53.86</v>
      </c>
    </row>
    <row r="4102" spans="1:8" x14ac:dyDescent="0.3">
      <c r="A4102" s="401"/>
      <c r="B4102" s="709">
        <v>38876</v>
      </c>
      <c r="C4102" s="710" t="s">
        <v>12428</v>
      </c>
      <c r="D4102" s="709" t="s">
        <v>136</v>
      </c>
      <c r="E4102" s="709" t="s">
        <v>8432</v>
      </c>
      <c r="F4102" s="716">
        <v>72.37</v>
      </c>
      <c r="G4102" s="716">
        <v>45.23</v>
      </c>
      <c r="H4102" s="225">
        <f t="shared" si="63"/>
        <v>72.37</v>
      </c>
    </row>
    <row r="4103" spans="1:8" x14ac:dyDescent="0.3">
      <c r="A4103" s="401"/>
      <c r="B4103" s="709">
        <v>39000</v>
      </c>
      <c r="C4103" s="710" t="s">
        <v>12429</v>
      </c>
      <c r="D4103" s="709" t="s">
        <v>136</v>
      </c>
      <c r="E4103" s="709" t="s">
        <v>8432</v>
      </c>
      <c r="F4103" s="716">
        <v>34.65</v>
      </c>
      <c r="G4103" s="716">
        <v>38.85</v>
      </c>
      <c r="H4103" s="225">
        <f t="shared" si="63"/>
        <v>34.65</v>
      </c>
    </row>
    <row r="4104" spans="1:8" x14ac:dyDescent="0.3">
      <c r="A4104" s="401"/>
      <c r="B4104" s="709">
        <v>38674</v>
      </c>
      <c r="C4104" s="710" t="s">
        <v>12430</v>
      </c>
      <c r="D4104" s="709" t="s">
        <v>136</v>
      </c>
      <c r="E4104" s="709" t="s">
        <v>8432</v>
      </c>
      <c r="F4104" s="716">
        <v>50.34</v>
      </c>
      <c r="G4104" s="716">
        <v>36.82</v>
      </c>
      <c r="H4104" s="225">
        <f t="shared" si="63"/>
        <v>50.34</v>
      </c>
    </row>
    <row r="4105" spans="1:8" x14ac:dyDescent="0.3">
      <c r="A4105" s="401"/>
      <c r="B4105" s="709">
        <v>38019</v>
      </c>
      <c r="C4105" s="710" t="s">
        <v>12431</v>
      </c>
      <c r="D4105" s="709" t="s">
        <v>136</v>
      </c>
      <c r="E4105" s="709" t="s">
        <v>8432</v>
      </c>
      <c r="F4105" s="716">
        <v>10.65</v>
      </c>
      <c r="G4105" s="716">
        <v>7.79</v>
      </c>
      <c r="H4105" s="225">
        <f t="shared" si="63"/>
        <v>10.65</v>
      </c>
    </row>
    <row r="4106" spans="1:8" x14ac:dyDescent="0.3">
      <c r="A4106" s="401"/>
      <c r="B4106" s="709">
        <v>38020</v>
      </c>
      <c r="C4106" s="710" t="s">
        <v>12432</v>
      </c>
      <c r="D4106" s="709" t="s">
        <v>136</v>
      </c>
      <c r="E4106" s="709" t="s">
        <v>8432</v>
      </c>
      <c r="F4106" s="716">
        <v>13.12</v>
      </c>
      <c r="G4106" s="716">
        <v>9.59</v>
      </c>
      <c r="H4106" s="225">
        <f t="shared" si="63"/>
        <v>13.12</v>
      </c>
    </row>
    <row r="4107" spans="1:8" x14ac:dyDescent="0.3">
      <c r="A4107" s="401"/>
      <c r="B4107" s="709">
        <v>38454</v>
      </c>
      <c r="C4107" s="710" t="s">
        <v>12433</v>
      </c>
      <c r="D4107" s="709" t="s">
        <v>136</v>
      </c>
      <c r="E4107" s="709" t="s">
        <v>8432</v>
      </c>
      <c r="F4107" s="716">
        <v>12.99</v>
      </c>
      <c r="G4107" s="716">
        <v>14.57</v>
      </c>
      <c r="H4107" s="225">
        <f t="shared" ref="H4107:H4170" si="64">IF(F4107&gt;0,F4107,G4107)</f>
        <v>12.99</v>
      </c>
    </row>
    <row r="4108" spans="1:8" x14ac:dyDescent="0.3">
      <c r="A4108" s="401"/>
      <c r="B4108" s="709">
        <v>38455</v>
      </c>
      <c r="C4108" s="710" t="s">
        <v>12434</v>
      </c>
      <c r="D4108" s="709" t="s">
        <v>136</v>
      </c>
      <c r="E4108" s="709" t="s">
        <v>8432</v>
      </c>
      <c r="F4108" s="716">
        <v>17.39</v>
      </c>
      <c r="G4108" s="716">
        <v>19.5</v>
      </c>
      <c r="H4108" s="225">
        <f t="shared" si="64"/>
        <v>17.39</v>
      </c>
    </row>
    <row r="4109" spans="1:8" x14ac:dyDescent="0.3">
      <c r="A4109" s="401"/>
      <c r="B4109" s="709">
        <v>38462</v>
      </c>
      <c r="C4109" s="710" t="s">
        <v>12435</v>
      </c>
      <c r="D4109" s="709" t="s">
        <v>136</v>
      </c>
      <c r="E4109" s="709" t="s">
        <v>8432</v>
      </c>
      <c r="F4109" s="716">
        <v>280.45</v>
      </c>
      <c r="G4109" s="716">
        <v>314.43</v>
      </c>
      <c r="H4109" s="225">
        <f t="shared" si="64"/>
        <v>280.45</v>
      </c>
    </row>
    <row r="4110" spans="1:8" x14ac:dyDescent="0.3">
      <c r="A4110" s="401"/>
      <c r="B4110" s="709">
        <v>36362</v>
      </c>
      <c r="C4110" s="710" t="s">
        <v>12436</v>
      </c>
      <c r="D4110" s="709" t="s">
        <v>136</v>
      </c>
      <c r="E4110" s="709" t="s">
        <v>8432</v>
      </c>
      <c r="F4110" s="716">
        <v>3.87</v>
      </c>
      <c r="G4110" s="716">
        <v>4.34</v>
      </c>
      <c r="H4110" s="225">
        <f t="shared" si="64"/>
        <v>3.87</v>
      </c>
    </row>
    <row r="4111" spans="1:8" x14ac:dyDescent="0.3">
      <c r="A4111" s="401"/>
      <c r="B4111" s="709">
        <v>36298</v>
      </c>
      <c r="C4111" s="710" t="s">
        <v>12437</v>
      </c>
      <c r="D4111" s="709" t="s">
        <v>136</v>
      </c>
      <c r="E4111" s="709" t="s">
        <v>8432</v>
      </c>
      <c r="F4111" s="716">
        <v>3.33</v>
      </c>
      <c r="G4111" s="716">
        <v>3.74</v>
      </c>
      <c r="H4111" s="225">
        <f t="shared" si="64"/>
        <v>3.33</v>
      </c>
    </row>
    <row r="4112" spans="1:8" x14ac:dyDescent="0.3">
      <c r="A4112" s="401"/>
      <c r="B4112" s="709">
        <v>38456</v>
      </c>
      <c r="C4112" s="710" t="s">
        <v>12438</v>
      </c>
      <c r="D4112" s="709" t="s">
        <v>136</v>
      </c>
      <c r="E4112" s="709" t="s">
        <v>8432</v>
      </c>
      <c r="F4112" s="716">
        <v>8.2899999999999991</v>
      </c>
      <c r="G4112" s="716">
        <v>9.3000000000000007</v>
      </c>
      <c r="H4112" s="225">
        <f t="shared" si="64"/>
        <v>8.2899999999999991</v>
      </c>
    </row>
    <row r="4113" spans="1:8" x14ac:dyDescent="0.3">
      <c r="A4113" s="401"/>
      <c r="B4113" s="709">
        <v>38457</v>
      </c>
      <c r="C4113" s="710" t="s">
        <v>12439</v>
      </c>
      <c r="D4113" s="709" t="s">
        <v>136</v>
      </c>
      <c r="E4113" s="709" t="s">
        <v>8432</v>
      </c>
      <c r="F4113" s="716">
        <v>15.11</v>
      </c>
      <c r="G4113" s="716">
        <v>16.940000000000001</v>
      </c>
      <c r="H4113" s="225">
        <f t="shared" si="64"/>
        <v>15.11</v>
      </c>
    </row>
    <row r="4114" spans="1:8" x14ac:dyDescent="0.3">
      <c r="A4114" s="401"/>
      <c r="B4114" s="709">
        <v>38458</v>
      </c>
      <c r="C4114" s="710" t="s">
        <v>12440</v>
      </c>
      <c r="D4114" s="709" t="s">
        <v>136</v>
      </c>
      <c r="E4114" s="709" t="s">
        <v>8432</v>
      </c>
      <c r="F4114" s="716">
        <v>29.11</v>
      </c>
      <c r="G4114" s="716">
        <v>32.64</v>
      </c>
      <c r="H4114" s="225">
        <f t="shared" si="64"/>
        <v>29.11</v>
      </c>
    </row>
    <row r="4115" spans="1:8" x14ac:dyDescent="0.3">
      <c r="A4115" s="401"/>
      <c r="B4115" s="709">
        <v>38459</v>
      </c>
      <c r="C4115" s="710" t="s">
        <v>12441</v>
      </c>
      <c r="D4115" s="709" t="s">
        <v>136</v>
      </c>
      <c r="E4115" s="709" t="s">
        <v>8432</v>
      </c>
      <c r="F4115" s="716">
        <v>45.76</v>
      </c>
      <c r="G4115" s="716">
        <v>51.31</v>
      </c>
      <c r="H4115" s="225">
        <f t="shared" si="64"/>
        <v>45.76</v>
      </c>
    </row>
    <row r="4116" spans="1:8" x14ac:dyDescent="0.3">
      <c r="A4116" s="401"/>
      <c r="B4116" s="709">
        <v>38460</v>
      </c>
      <c r="C4116" s="710" t="s">
        <v>12442</v>
      </c>
      <c r="D4116" s="709" t="s">
        <v>136</v>
      </c>
      <c r="E4116" s="709" t="s">
        <v>8432</v>
      </c>
      <c r="F4116" s="716">
        <v>98.17</v>
      </c>
      <c r="G4116" s="716">
        <v>110.07</v>
      </c>
      <c r="H4116" s="225">
        <f t="shared" si="64"/>
        <v>98.17</v>
      </c>
    </row>
    <row r="4117" spans="1:8" x14ac:dyDescent="0.3">
      <c r="A4117" s="401"/>
      <c r="B4117" s="709">
        <v>38461</v>
      </c>
      <c r="C4117" s="710" t="s">
        <v>12443</v>
      </c>
      <c r="D4117" s="709" t="s">
        <v>136</v>
      </c>
      <c r="E4117" s="709" t="s">
        <v>8432</v>
      </c>
      <c r="F4117" s="716">
        <v>131.74</v>
      </c>
      <c r="G4117" s="716">
        <v>147.69999999999999</v>
      </c>
      <c r="H4117" s="225">
        <f t="shared" si="64"/>
        <v>131.74</v>
      </c>
    </row>
    <row r="4118" spans="1:8" x14ac:dyDescent="0.3">
      <c r="A4118" s="401"/>
      <c r="B4118" s="709">
        <v>7094</v>
      </c>
      <c r="C4118" s="710" t="s">
        <v>12444</v>
      </c>
      <c r="D4118" s="709" t="s">
        <v>136</v>
      </c>
      <c r="E4118" s="709" t="s">
        <v>8432</v>
      </c>
      <c r="F4118" s="716">
        <v>15.45</v>
      </c>
      <c r="G4118" s="716">
        <v>15.75</v>
      </c>
      <c r="H4118" s="225">
        <f t="shared" si="64"/>
        <v>15.45</v>
      </c>
    </row>
    <row r="4119" spans="1:8" x14ac:dyDescent="0.3">
      <c r="A4119" s="401"/>
      <c r="B4119" s="709">
        <v>7116</v>
      </c>
      <c r="C4119" s="710" t="s">
        <v>12445</v>
      </c>
      <c r="D4119" s="709" t="s">
        <v>136</v>
      </c>
      <c r="E4119" s="709" t="s">
        <v>8432</v>
      </c>
      <c r="F4119" s="716">
        <v>4.8499999999999996</v>
      </c>
      <c r="G4119" s="716">
        <v>4.8899999999999997</v>
      </c>
      <c r="H4119" s="225">
        <f t="shared" si="64"/>
        <v>4.8499999999999996</v>
      </c>
    </row>
    <row r="4120" spans="1:8" x14ac:dyDescent="0.3">
      <c r="A4120" s="401"/>
      <c r="B4120" s="709">
        <v>7118</v>
      </c>
      <c r="C4120" s="710" t="s">
        <v>12446</v>
      </c>
      <c r="D4120" s="709" t="s">
        <v>136</v>
      </c>
      <c r="E4120" s="709" t="s">
        <v>8432</v>
      </c>
      <c r="F4120" s="716">
        <v>31.77</v>
      </c>
      <c r="G4120" s="716">
        <v>32.39</v>
      </c>
      <c r="H4120" s="225">
        <f t="shared" si="64"/>
        <v>31.77</v>
      </c>
    </row>
    <row r="4121" spans="1:8" x14ac:dyDescent="0.3">
      <c r="A4121" s="401"/>
      <c r="B4121" s="709">
        <v>7098</v>
      </c>
      <c r="C4121" s="710" t="s">
        <v>12447</v>
      </c>
      <c r="D4121" s="709" t="s">
        <v>136</v>
      </c>
      <c r="E4121" s="709" t="s">
        <v>8432</v>
      </c>
      <c r="F4121" s="716">
        <v>4.72</v>
      </c>
      <c r="G4121" s="716">
        <v>4.8099999999999996</v>
      </c>
      <c r="H4121" s="225">
        <f t="shared" si="64"/>
        <v>4.72</v>
      </c>
    </row>
    <row r="4122" spans="1:8" x14ac:dyDescent="0.3">
      <c r="A4122" s="401"/>
      <c r="B4122" s="709">
        <v>7110</v>
      </c>
      <c r="C4122" s="710" t="s">
        <v>12448</v>
      </c>
      <c r="D4122" s="709" t="s">
        <v>136</v>
      </c>
      <c r="E4122" s="709" t="s">
        <v>8432</v>
      </c>
      <c r="F4122" s="716">
        <v>60.39</v>
      </c>
      <c r="G4122" s="716">
        <v>61.57</v>
      </c>
      <c r="H4122" s="225">
        <f t="shared" si="64"/>
        <v>60.39</v>
      </c>
    </row>
    <row r="4123" spans="1:8" x14ac:dyDescent="0.3">
      <c r="A4123" s="401"/>
      <c r="B4123" s="709">
        <v>7123</v>
      </c>
      <c r="C4123" s="710" t="s">
        <v>12449</v>
      </c>
      <c r="D4123" s="709" t="s">
        <v>136</v>
      </c>
      <c r="E4123" s="709" t="s">
        <v>8432</v>
      </c>
      <c r="F4123" s="716">
        <v>5.71</v>
      </c>
      <c r="G4123" s="716">
        <v>5.82</v>
      </c>
      <c r="H4123" s="225">
        <f t="shared" si="64"/>
        <v>5.71</v>
      </c>
    </row>
    <row r="4124" spans="1:8" x14ac:dyDescent="0.3">
      <c r="A4124" s="401"/>
      <c r="B4124" s="709">
        <v>7121</v>
      </c>
      <c r="C4124" s="710" t="s">
        <v>12450</v>
      </c>
      <c r="D4124" s="709" t="s">
        <v>136</v>
      </c>
      <c r="E4124" s="709" t="s">
        <v>8432</v>
      </c>
      <c r="F4124" s="716">
        <v>11.29</v>
      </c>
      <c r="G4124" s="716">
        <v>11.51</v>
      </c>
      <c r="H4124" s="225">
        <f t="shared" si="64"/>
        <v>11.29</v>
      </c>
    </row>
    <row r="4125" spans="1:8" x14ac:dyDescent="0.3">
      <c r="A4125" s="401"/>
      <c r="B4125" s="709">
        <v>7137</v>
      </c>
      <c r="C4125" s="710" t="s">
        <v>12451</v>
      </c>
      <c r="D4125" s="709" t="s">
        <v>136</v>
      </c>
      <c r="E4125" s="709" t="s">
        <v>8432</v>
      </c>
      <c r="F4125" s="716">
        <v>12.34</v>
      </c>
      <c r="G4125" s="716">
        <v>12.58</v>
      </c>
      <c r="H4125" s="225">
        <f t="shared" si="64"/>
        <v>12.34</v>
      </c>
    </row>
    <row r="4126" spans="1:8" x14ac:dyDescent="0.3">
      <c r="A4126" s="401"/>
      <c r="B4126" s="709">
        <v>7122</v>
      </c>
      <c r="C4126" s="710" t="s">
        <v>12452</v>
      </c>
      <c r="D4126" s="709" t="s">
        <v>136</v>
      </c>
      <c r="E4126" s="709" t="s">
        <v>8432</v>
      </c>
      <c r="F4126" s="716">
        <v>13.58</v>
      </c>
      <c r="G4126" s="716">
        <v>13.84</v>
      </c>
      <c r="H4126" s="225">
        <f t="shared" si="64"/>
        <v>13.58</v>
      </c>
    </row>
    <row r="4127" spans="1:8" x14ac:dyDescent="0.3">
      <c r="A4127" s="401"/>
      <c r="B4127" s="709">
        <v>7114</v>
      </c>
      <c r="C4127" s="710" t="s">
        <v>12453</v>
      </c>
      <c r="D4127" s="709" t="s">
        <v>136</v>
      </c>
      <c r="E4127" s="709" t="s">
        <v>8432</v>
      </c>
      <c r="F4127" s="716">
        <v>15.79</v>
      </c>
      <c r="G4127" s="716">
        <v>16.100000000000001</v>
      </c>
      <c r="H4127" s="225">
        <f t="shared" si="64"/>
        <v>15.79</v>
      </c>
    </row>
    <row r="4128" spans="1:8" x14ac:dyDescent="0.3">
      <c r="A4128" s="401"/>
      <c r="B4128" s="709">
        <v>7109</v>
      </c>
      <c r="C4128" s="710" t="s">
        <v>12454</v>
      </c>
      <c r="D4128" s="709" t="s">
        <v>136</v>
      </c>
      <c r="E4128" s="709" t="s">
        <v>8432</v>
      </c>
      <c r="F4128" s="716">
        <v>3.13</v>
      </c>
      <c r="G4128" s="716">
        <v>3.19</v>
      </c>
      <c r="H4128" s="225">
        <f t="shared" si="64"/>
        <v>3.13</v>
      </c>
    </row>
    <row r="4129" spans="1:8" x14ac:dyDescent="0.3">
      <c r="A4129" s="401"/>
      <c r="B4129" s="709">
        <v>7135</v>
      </c>
      <c r="C4129" s="710" t="s">
        <v>12455</v>
      </c>
      <c r="D4129" s="709" t="s">
        <v>136</v>
      </c>
      <c r="E4129" s="709" t="s">
        <v>8432</v>
      </c>
      <c r="F4129" s="716">
        <v>6.41</v>
      </c>
      <c r="G4129" s="716">
        <v>6.54</v>
      </c>
      <c r="H4129" s="225">
        <f t="shared" si="64"/>
        <v>6.41</v>
      </c>
    </row>
    <row r="4130" spans="1:8" x14ac:dyDescent="0.3">
      <c r="A4130" s="401"/>
      <c r="B4130" s="709">
        <v>37947</v>
      </c>
      <c r="C4130" s="710" t="s">
        <v>12456</v>
      </c>
      <c r="D4130" s="709" t="s">
        <v>136</v>
      </c>
      <c r="E4130" s="709" t="s">
        <v>8432</v>
      </c>
      <c r="F4130" s="716">
        <v>5.21</v>
      </c>
      <c r="G4130" s="716">
        <v>5.31</v>
      </c>
      <c r="H4130" s="225">
        <f t="shared" si="64"/>
        <v>5.21</v>
      </c>
    </row>
    <row r="4131" spans="1:8" x14ac:dyDescent="0.3">
      <c r="A4131" s="401"/>
      <c r="B4131" s="709">
        <v>7103</v>
      </c>
      <c r="C4131" s="710" t="s">
        <v>12457</v>
      </c>
      <c r="D4131" s="709" t="s">
        <v>136</v>
      </c>
      <c r="E4131" s="709" t="s">
        <v>8432</v>
      </c>
      <c r="F4131" s="716">
        <v>16.98</v>
      </c>
      <c r="G4131" s="716">
        <v>17.309999999999999</v>
      </c>
      <c r="H4131" s="225">
        <f t="shared" si="64"/>
        <v>16.98</v>
      </c>
    </row>
    <row r="4132" spans="1:8" x14ac:dyDescent="0.3">
      <c r="A4132" s="401"/>
      <c r="B4132" s="709">
        <v>40419</v>
      </c>
      <c r="C4132" s="710" t="s">
        <v>12458</v>
      </c>
      <c r="D4132" s="709" t="s">
        <v>136</v>
      </c>
      <c r="E4132" s="709" t="s">
        <v>8432</v>
      </c>
      <c r="F4132" s="716"/>
      <c r="G4132" s="716">
        <v>35.61</v>
      </c>
      <c r="H4132" s="225">
        <f t="shared" si="64"/>
        <v>35.61</v>
      </c>
    </row>
    <row r="4133" spans="1:8" x14ac:dyDescent="0.3">
      <c r="A4133" s="401"/>
      <c r="B4133" s="709">
        <v>40420</v>
      </c>
      <c r="C4133" s="710" t="s">
        <v>12459</v>
      </c>
      <c r="D4133" s="709" t="s">
        <v>136</v>
      </c>
      <c r="E4133" s="709" t="s">
        <v>8432</v>
      </c>
      <c r="F4133" s="716"/>
      <c r="G4133" s="716">
        <v>51.95</v>
      </c>
      <c r="H4133" s="225">
        <f t="shared" si="64"/>
        <v>51.95</v>
      </c>
    </row>
    <row r="4134" spans="1:8" x14ac:dyDescent="0.3">
      <c r="A4134" s="401"/>
      <c r="B4134" s="709">
        <v>40421</v>
      </c>
      <c r="C4134" s="710" t="s">
        <v>12460</v>
      </c>
      <c r="D4134" s="709" t="s">
        <v>136</v>
      </c>
      <c r="E4134" s="709" t="s">
        <v>8432</v>
      </c>
      <c r="F4134" s="716"/>
      <c r="G4134" s="716">
        <v>55.31</v>
      </c>
      <c r="H4134" s="225">
        <f t="shared" si="64"/>
        <v>55.31</v>
      </c>
    </row>
    <row r="4135" spans="1:8" x14ac:dyDescent="0.3">
      <c r="A4135" s="401"/>
      <c r="B4135" s="709">
        <v>38905</v>
      </c>
      <c r="C4135" s="710" t="s">
        <v>12461</v>
      </c>
      <c r="D4135" s="709" t="s">
        <v>136</v>
      </c>
      <c r="E4135" s="709" t="s">
        <v>8432</v>
      </c>
      <c r="F4135" s="716">
        <v>34.729999999999997</v>
      </c>
      <c r="G4135" s="716">
        <v>21.7</v>
      </c>
      <c r="H4135" s="225">
        <f t="shared" si="64"/>
        <v>34.729999999999997</v>
      </c>
    </row>
    <row r="4136" spans="1:8" x14ac:dyDescent="0.3">
      <c r="A4136" s="401"/>
      <c r="B4136" s="709">
        <v>38907</v>
      </c>
      <c r="C4136" s="710" t="s">
        <v>12462</v>
      </c>
      <c r="D4136" s="709" t="s">
        <v>136</v>
      </c>
      <c r="E4136" s="709" t="s">
        <v>8432</v>
      </c>
      <c r="F4136" s="716">
        <v>33.479999999999997</v>
      </c>
      <c r="G4136" s="716">
        <v>20.92</v>
      </c>
      <c r="H4136" s="225">
        <f t="shared" si="64"/>
        <v>33.479999999999997</v>
      </c>
    </row>
    <row r="4137" spans="1:8" x14ac:dyDescent="0.3">
      <c r="A4137" s="401"/>
      <c r="B4137" s="709">
        <v>38910</v>
      </c>
      <c r="C4137" s="710" t="s">
        <v>12463</v>
      </c>
      <c r="D4137" s="709" t="s">
        <v>136</v>
      </c>
      <c r="E4137" s="709" t="s">
        <v>8432</v>
      </c>
      <c r="F4137" s="716">
        <v>39.159999999999997</v>
      </c>
      <c r="G4137" s="716">
        <v>24.47</v>
      </c>
      <c r="H4137" s="225">
        <f t="shared" si="64"/>
        <v>39.159999999999997</v>
      </c>
    </row>
    <row r="4138" spans="1:8" x14ac:dyDescent="0.3">
      <c r="A4138" s="401"/>
      <c r="B4138" s="709">
        <v>11655</v>
      </c>
      <c r="C4138" s="710" t="s">
        <v>12464</v>
      </c>
      <c r="D4138" s="709" t="s">
        <v>136</v>
      </c>
      <c r="E4138" s="709" t="s">
        <v>8432</v>
      </c>
      <c r="F4138" s="716">
        <v>22.4</v>
      </c>
      <c r="G4138" s="716">
        <v>22.62</v>
      </c>
      <c r="H4138" s="225">
        <f t="shared" si="64"/>
        <v>22.4</v>
      </c>
    </row>
    <row r="4139" spans="1:8" x14ac:dyDescent="0.3">
      <c r="A4139" s="401"/>
      <c r="B4139" s="709">
        <v>11656</v>
      </c>
      <c r="C4139" s="710" t="s">
        <v>12465</v>
      </c>
      <c r="D4139" s="709" t="s">
        <v>136</v>
      </c>
      <c r="E4139" s="709" t="s">
        <v>8432</v>
      </c>
      <c r="F4139" s="716">
        <v>25.72</v>
      </c>
      <c r="G4139" s="716">
        <v>25.97</v>
      </c>
      <c r="H4139" s="225">
        <f t="shared" si="64"/>
        <v>25.72</v>
      </c>
    </row>
    <row r="4140" spans="1:8" x14ac:dyDescent="0.3">
      <c r="A4140" s="401"/>
      <c r="B4140" s="709">
        <v>7091</v>
      </c>
      <c r="C4140" s="710" t="s">
        <v>12466</v>
      </c>
      <c r="D4140" s="709" t="s">
        <v>136</v>
      </c>
      <c r="E4140" s="709" t="s">
        <v>8432</v>
      </c>
      <c r="F4140" s="716">
        <v>21.07</v>
      </c>
      <c r="G4140" s="716">
        <v>21.27</v>
      </c>
      <c r="H4140" s="225">
        <f t="shared" si="64"/>
        <v>21.07</v>
      </c>
    </row>
    <row r="4141" spans="1:8" x14ac:dyDescent="0.3">
      <c r="A4141" s="401"/>
      <c r="B4141" s="709">
        <v>37948</v>
      </c>
      <c r="C4141" s="710" t="s">
        <v>12467</v>
      </c>
      <c r="D4141" s="709" t="s">
        <v>136</v>
      </c>
      <c r="E4141" s="709" t="s">
        <v>8432</v>
      </c>
      <c r="F4141" s="716">
        <v>4.88</v>
      </c>
      <c r="G4141" s="716">
        <v>4.93</v>
      </c>
      <c r="H4141" s="225">
        <f t="shared" si="64"/>
        <v>4.88</v>
      </c>
    </row>
    <row r="4142" spans="1:8" x14ac:dyDescent="0.3">
      <c r="A4142" s="401"/>
      <c r="B4142" s="709">
        <v>7097</v>
      </c>
      <c r="C4142" s="710" t="s">
        <v>12468</v>
      </c>
      <c r="D4142" s="709" t="s">
        <v>136</v>
      </c>
      <c r="E4142" s="709" t="s">
        <v>8432</v>
      </c>
      <c r="F4142" s="716">
        <v>9.9</v>
      </c>
      <c r="G4142" s="716">
        <v>9.99</v>
      </c>
      <c r="H4142" s="225">
        <f t="shared" si="64"/>
        <v>9.9</v>
      </c>
    </row>
    <row r="4143" spans="1:8" x14ac:dyDescent="0.3">
      <c r="A4143" s="401"/>
      <c r="B4143" s="709">
        <v>11658</v>
      </c>
      <c r="C4143" s="710" t="s">
        <v>12469</v>
      </c>
      <c r="D4143" s="709" t="s">
        <v>136</v>
      </c>
      <c r="E4143" s="709" t="s">
        <v>8432</v>
      </c>
      <c r="F4143" s="716">
        <v>21.87</v>
      </c>
      <c r="G4143" s="716">
        <v>22.08</v>
      </c>
      <c r="H4143" s="225">
        <f t="shared" si="64"/>
        <v>21.87</v>
      </c>
    </row>
    <row r="4144" spans="1:8" x14ac:dyDescent="0.3">
      <c r="A4144" s="401"/>
      <c r="B4144" s="709">
        <v>7146</v>
      </c>
      <c r="C4144" s="710" t="s">
        <v>12470</v>
      </c>
      <c r="D4144" s="709" t="s">
        <v>136</v>
      </c>
      <c r="E4144" s="709" t="s">
        <v>8432</v>
      </c>
      <c r="F4144" s="716">
        <v>206.71</v>
      </c>
      <c r="G4144" s="716">
        <v>210.75</v>
      </c>
      <c r="H4144" s="225">
        <f t="shared" si="64"/>
        <v>206.71</v>
      </c>
    </row>
    <row r="4145" spans="1:8" x14ac:dyDescent="0.3">
      <c r="A4145" s="401"/>
      <c r="B4145" s="709">
        <v>7138</v>
      </c>
      <c r="C4145" s="710" t="s">
        <v>12471</v>
      </c>
      <c r="D4145" s="709" t="s">
        <v>136</v>
      </c>
      <c r="E4145" s="709" t="s">
        <v>8432</v>
      </c>
      <c r="F4145" s="716">
        <v>1.31</v>
      </c>
      <c r="G4145" s="716">
        <v>1.33</v>
      </c>
      <c r="H4145" s="225">
        <f t="shared" si="64"/>
        <v>1.31</v>
      </c>
    </row>
    <row r="4146" spans="1:8" x14ac:dyDescent="0.3">
      <c r="A4146" s="401"/>
      <c r="B4146" s="709">
        <v>7139</v>
      </c>
      <c r="C4146" s="710" t="s">
        <v>12472</v>
      </c>
      <c r="D4146" s="709" t="s">
        <v>136</v>
      </c>
      <c r="E4146" s="709" t="s">
        <v>8432</v>
      </c>
      <c r="F4146" s="716">
        <v>1.48</v>
      </c>
      <c r="G4146" s="716">
        <v>1.51</v>
      </c>
      <c r="H4146" s="225">
        <f t="shared" si="64"/>
        <v>1.48</v>
      </c>
    </row>
    <row r="4147" spans="1:8" x14ac:dyDescent="0.3">
      <c r="A4147" s="401"/>
      <c r="B4147" s="709">
        <v>7140</v>
      </c>
      <c r="C4147" s="710" t="s">
        <v>12473</v>
      </c>
      <c r="D4147" s="709" t="s">
        <v>136</v>
      </c>
      <c r="E4147" s="709" t="s">
        <v>8432</v>
      </c>
      <c r="F4147" s="716">
        <v>4.6500000000000004</v>
      </c>
      <c r="G4147" s="716">
        <v>4.74</v>
      </c>
      <c r="H4147" s="225">
        <f t="shared" si="64"/>
        <v>4.6500000000000004</v>
      </c>
    </row>
    <row r="4148" spans="1:8" x14ac:dyDescent="0.3">
      <c r="A4148" s="401"/>
      <c r="B4148" s="709">
        <v>7141</v>
      </c>
      <c r="C4148" s="710" t="s">
        <v>12474</v>
      </c>
      <c r="D4148" s="709" t="s">
        <v>136</v>
      </c>
      <c r="E4148" s="709" t="s">
        <v>8432</v>
      </c>
      <c r="F4148" s="716">
        <v>11.37</v>
      </c>
      <c r="G4148" s="716">
        <v>11.59</v>
      </c>
      <c r="H4148" s="225">
        <f t="shared" si="64"/>
        <v>11.37</v>
      </c>
    </row>
    <row r="4149" spans="1:8" x14ac:dyDescent="0.3">
      <c r="A4149" s="401"/>
      <c r="B4149" s="709">
        <v>7143</v>
      </c>
      <c r="C4149" s="710" t="s">
        <v>12475</v>
      </c>
      <c r="D4149" s="709" t="s">
        <v>136</v>
      </c>
      <c r="E4149" s="709" t="s">
        <v>8432</v>
      </c>
      <c r="F4149" s="716">
        <v>38.159999999999997</v>
      </c>
      <c r="G4149" s="716">
        <v>38.909999999999997</v>
      </c>
      <c r="H4149" s="225">
        <f t="shared" si="64"/>
        <v>38.159999999999997</v>
      </c>
    </row>
    <row r="4150" spans="1:8" x14ac:dyDescent="0.3">
      <c r="A4150" s="401"/>
      <c r="B4150" s="709">
        <v>7144</v>
      </c>
      <c r="C4150" s="710" t="s">
        <v>12476</v>
      </c>
      <c r="D4150" s="709" t="s">
        <v>136</v>
      </c>
      <c r="E4150" s="709" t="s">
        <v>8432</v>
      </c>
      <c r="F4150" s="716">
        <v>70.8</v>
      </c>
      <c r="G4150" s="716">
        <v>72.180000000000007</v>
      </c>
      <c r="H4150" s="225">
        <f t="shared" si="64"/>
        <v>70.8</v>
      </c>
    </row>
    <row r="4151" spans="1:8" x14ac:dyDescent="0.3">
      <c r="A4151" s="401"/>
      <c r="B4151" s="709">
        <v>7145</v>
      </c>
      <c r="C4151" s="710" t="s">
        <v>12477</v>
      </c>
      <c r="D4151" s="709" t="s">
        <v>136</v>
      </c>
      <c r="E4151" s="709" t="s">
        <v>8432</v>
      </c>
      <c r="F4151" s="716">
        <v>96.27</v>
      </c>
      <c r="G4151" s="716">
        <v>98.15</v>
      </c>
      <c r="H4151" s="225">
        <f t="shared" si="64"/>
        <v>96.27</v>
      </c>
    </row>
    <row r="4152" spans="1:8" x14ac:dyDescent="0.3">
      <c r="A4152" s="401"/>
      <c r="B4152" s="709">
        <v>7142</v>
      </c>
      <c r="C4152" s="710" t="s">
        <v>12478</v>
      </c>
      <c r="D4152" s="709" t="s">
        <v>136</v>
      </c>
      <c r="E4152" s="709" t="s">
        <v>8432</v>
      </c>
      <c r="F4152" s="716">
        <v>11.89</v>
      </c>
      <c r="G4152" s="716">
        <v>12.12</v>
      </c>
      <c r="H4152" s="225">
        <f t="shared" si="64"/>
        <v>11.89</v>
      </c>
    </row>
    <row r="4153" spans="1:8" x14ac:dyDescent="0.3">
      <c r="A4153" s="401"/>
      <c r="B4153" s="709">
        <v>39322</v>
      </c>
      <c r="C4153" s="710" t="s">
        <v>12479</v>
      </c>
      <c r="D4153" s="709" t="s">
        <v>136</v>
      </c>
      <c r="E4153" s="709" t="s">
        <v>8432</v>
      </c>
      <c r="F4153" s="716">
        <v>16.52</v>
      </c>
      <c r="G4153" s="716">
        <v>10.32</v>
      </c>
      <c r="H4153" s="225">
        <f t="shared" si="64"/>
        <v>16.52</v>
      </c>
    </row>
    <row r="4154" spans="1:8" x14ac:dyDescent="0.3">
      <c r="A4154" s="401"/>
      <c r="B4154" s="709">
        <v>39289</v>
      </c>
      <c r="C4154" s="710" t="s">
        <v>12480</v>
      </c>
      <c r="D4154" s="709" t="s">
        <v>136</v>
      </c>
      <c r="E4154" s="709" t="s">
        <v>8432</v>
      </c>
      <c r="F4154" s="716">
        <v>30.79</v>
      </c>
      <c r="G4154" s="716">
        <v>19.239999999999998</v>
      </c>
      <c r="H4154" s="225">
        <f t="shared" si="64"/>
        <v>30.79</v>
      </c>
    </row>
    <row r="4155" spans="1:8" x14ac:dyDescent="0.3">
      <c r="A4155" s="401"/>
      <c r="B4155" s="709">
        <v>39290</v>
      </c>
      <c r="C4155" s="710" t="s">
        <v>12481</v>
      </c>
      <c r="D4155" s="709" t="s">
        <v>136</v>
      </c>
      <c r="E4155" s="709" t="s">
        <v>8432</v>
      </c>
      <c r="F4155" s="716">
        <v>51.99</v>
      </c>
      <c r="G4155" s="716">
        <v>32.49</v>
      </c>
      <c r="H4155" s="225">
        <f t="shared" si="64"/>
        <v>51.99</v>
      </c>
    </row>
    <row r="4156" spans="1:8" x14ac:dyDescent="0.3">
      <c r="A4156" s="401"/>
      <c r="B4156" s="709">
        <v>39291</v>
      </c>
      <c r="C4156" s="710" t="s">
        <v>12482</v>
      </c>
      <c r="D4156" s="709" t="s">
        <v>136</v>
      </c>
      <c r="E4156" s="709" t="s">
        <v>8432</v>
      </c>
      <c r="F4156" s="716">
        <v>57.49</v>
      </c>
      <c r="G4156" s="716">
        <v>35.93</v>
      </c>
      <c r="H4156" s="225">
        <f t="shared" si="64"/>
        <v>57.49</v>
      </c>
    </row>
    <row r="4157" spans="1:8" x14ac:dyDescent="0.3">
      <c r="A4157" s="401"/>
      <c r="B4157" s="709">
        <v>41892</v>
      </c>
      <c r="C4157" s="710" t="s">
        <v>12483</v>
      </c>
      <c r="D4157" s="709" t="s">
        <v>136</v>
      </c>
      <c r="E4157" s="709" t="s">
        <v>8432</v>
      </c>
      <c r="F4157" s="716"/>
      <c r="G4157" s="716">
        <v>126.27</v>
      </c>
      <c r="H4157" s="225">
        <f t="shared" si="64"/>
        <v>126.27</v>
      </c>
    </row>
    <row r="4158" spans="1:8" x14ac:dyDescent="0.3">
      <c r="A4158" s="401"/>
      <c r="B4158" s="709">
        <v>7048</v>
      </c>
      <c r="C4158" s="710" t="s">
        <v>12484</v>
      </c>
      <c r="D4158" s="709" t="s">
        <v>136</v>
      </c>
      <c r="E4158" s="709" t="s">
        <v>8432</v>
      </c>
      <c r="F4158" s="716"/>
      <c r="G4158" s="716">
        <v>27.25</v>
      </c>
      <c r="H4158" s="225">
        <f t="shared" si="64"/>
        <v>27.25</v>
      </c>
    </row>
    <row r="4159" spans="1:8" x14ac:dyDescent="0.3">
      <c r="A4159" s="401"/>
      <c r="B4159" s="709">
        <v>7088</v>
      </c>
      <c r="C4159" s="710" t="s">
        <v>12485</v>
      </c>
      <c r="D4159" s="709" t="s">
        <v>136</v>
      </c>
      <c r="E4159" s="709" t="s">
        <v>8432</v>
      </c>
      <c r="F4159" s="716"/>
      <c r="G4159" s="716">
        <v>59.6</v>
      </c>
      <c r="H4159" s="225">
        <f t="shared" si="64"/>
        <v>59.6</v>
      </c>
    </row>
    <row r="4160" spans="1:8" x14ac:dyDescent="0.3">
      <c r="A4160" s="401"/>
      <c r="B4160" s="709">
        <v>7070</v>
      </c>
      <c r="C4160" s="710" t="s">
        <v>12486</v>
      </c>
      <c r="D4160" s="709" t="s">
        <v>136</v>
      </c>
      <c r="E4160" s="709" t="s">
        <v>8432</v>
      </c>
      <c r="F4160" s="716">
        <v>271.06</v>
      </c>
      <c r="G4160" s="716">
        <v>273.68</v>
      </c>
      <c r="H4160" s="225">
        <f t="shared" si="64"/>
        <v>271.06</v>
      </c>
    </row>
    <row r="4161" spans="1:8" x14ac:dyDescent="0.3">
      <c r="A4161" s="401"/>
      <c r="B4161" s="709">
        <v>20179</v>
      </c>
      <c r="C4161" s="710" t="s">
        <v>12487</v>
      </c>
      <c r="D4161" s="709" t="s">
        <v>136</v>
      </c>
      <c r="E4161" s="709" t="s">
        <v>8432</v>
      </c>
      <c r="F4161" s="716">
        <v>57.65</v>
      </c>
      <c r="G4161" s="716">
        <v>58.21</v>
      </c>
      <c r="H4161" s="225">
        <f t="shared" si="64"/>
        <v>57.65</v>
      </c>
    </row>
    <row r="4162" spans="1:8" x14ac:dyDescent="0.3">
      <c r="A4162" s="401"/>
      <c r="B4162" s="709">
        <v>20178</v>
      </c>
      <c r="C4162" s="710" t="s">
        <v>12488</v>
      </c>
      <c r="D4162" s="709" t="s">
        <v>136</v>
      </c>
      <c r="E4162" s="709" t="s">
        <v>8432</v>
      </c>
      <c r="F4162" s="716">
        <v>69.099999999999994</v>
      </c>
      <c r="G4162" s="716">
        <v>69.77</v>
      </c>
      <c r="H4162" s="225">
        <f t="shared" si="64"/>
        <v>69.099999999999994</v>
      </c>
    </row>
    <row r="4163" spans="1:8" x14ac:dyDescent="0.3">
      <c r="A4163" s="401"/>
      <c r="B4163" s="709">
        <v>20180</v>
      </c>
      <c r="C4163" s="710" t="s">
        <v>12489</v>
      </c>
      <c r="D4163" s="709" t="s">
        <v>136</v>
      </c>
      <c r="E4163" s="709" t="s">
        <v>8432</v>
      </c>
      <c r="F4163" s="716">
        <v>114.05</v>
      </c>
      <c r="G4163" s="716">
        <v>115.15</v>
      </c>
      <c r="H4163" s="225">
        <f t="shared" si="64"/>
        <v>114.05</v>
      </c>
    </row>
    <row r="4164" spans="1:8" x14ac:dyDescent="0.3">
      <c r="A4164" s="401"/>
      <c r="B4164" s="709">
        <v>20181</v>
      </c>
      <c r="C4164" s="710" t="s">
        <v>12490</v>
      </c>
      <c r="D4164" s="709" t="s">
        <v>136</v>
      </c>
      <c r="E4164" s="709" t="s">
        <v>8432</v>
      </c>
      <c r="F4164" s="716">
        <v>152.71</v>
      </c>
      <c r="G4164" s="716">
        <v>154.19</v>
      </c>
      <c r="H4164" s="225">
        <f t="shared" si="64"/>
        <v>152.71</v>
      </c>
    </row>
    <row r="4165" spans="1:8" x14ac:dyDescent="0.3">
      <c r="A4165" s="401"/>
      <c r="B4165" s="709">
        <v>20177</v>
      </c>
      <c r="C4165" s="710" t="s">
        <v>12491</v>
      </c>
      <c r="D4165" s="709" t="s">
        <v>136</v>
      </c>
      <c r="E4165" s="709" t="s">
        <v>8432</v>
      </c>
      <c r="F4165" s="716">
        <v>37.770000000000003</v>
      </c>
      <c r="G4165" s="716">
        <v>38.14</v>
      </c>
      <c r="H4165" s="225">
        <f t="shared" si="64"/>
        <v>37.770000000000003</v>
      </c>
    </row>
    <row r="4166" spans="1:8" x14ac:dyDescent="0.3">
      <c r="A4166" s="401"/>
      <c r="B4166" s="709">
        <v>40945</v>
      </c>
      <c r="C4166" s="710" t="s">
        <v>12492</v>
      </c>
      <c r="D4166" s="709" t="s">
        <v>234</v>
      </c>
      <c r="E4166" s="709" t="s">
        <v>8432</v>
      </c>
      <c r="F4166" s="716">
        <v>33.380000000000003</v>
      </c>
      <c r="G4166" s="716">
        <v>63.49</v>
      </c>
      <c r="H4166" s="225">
        <f t="shared" si="64"/>
        <v>33.380000000000003</v>
      </c>
    </row>
    <row r="4167" spans="1:8" x14ac:dyDescent="0.3">
      <c r="A4167" s="401"/>
      <c r="B4167" s="709">
        <v>40946</v>
      </c>
      <c r="C4167" s="710" t="s">
        <v>12493</v>
      </c>
      <c r="D4167" s="709" t="s">
        <v>208</v>
      </c>
      <c r="E4167" s="709" t="s">
        <v>8432</v>
      </c>
      <c r="F4167" s="716">
        <v>5867.79</v>
      </c>
      <c r="G4167" s="716">
        <v>11122.74</v>
      </c>
      <c r="H4167" s="225">
        <f t="shared" si="64"/>
        <v>5867.79</v>
      </c>
    </row>
    <row r="4168" spans="1:8" x14ac:dyDescent="0.3">
      <c r="A4168" s="401"/>
      <c r="B4168" s="709">
        <v>7153</v>
      </c>
      <c r="C4168" s="710" t="s">
        <v>12494</v>
      </c>
      <c r="D4168" s="709" t="s">
        <v>234</v>
      </c>
      <c r="E4168" s="709" t="s">
        <v>8432</v>
      </c>
      <c r="F4168" s="716">
        <v>35.96</v>
      </c>
      <c r="G4168" s="716">
        <v>61.66</v>
      </c>
      <c r="H4168" s="225">
        <f t="shared" si="64"/>
        <v>35.96</v>
      </c>
    </row>
    <row r="4169" spans="1:8" x14ac:dyDescent="0.3">
      <c r="A4169" s="401"/>
      <c r="B4169" s="709">
        <v>41089</v>
      </c>
      <c r="C4169" s="710" t="s">
        <v>12495</v>
      </c>
      <c r="D4169" s="709" t="s">
        <v>208</v>
      </c>
      <c r="E4169" s="709" t="s">
        <v>8432</v>
      </c>
      <c r="F4169" s="716">
        <v>6320.45</v>
      </c>
      <c r="G4169" s="716">
        <v>10803.04</v>
      </c>
      <c r="H4169" s="225">
        <f t="shared" si="64"/>
        <v>6320.45</v>
      </c>
    </row>
    <row r="4170" spans="1:8" x14ac:dyDescent="0.3">
      <c r="A4170" s="401"/>
      <c r="B4170" s="709">
        <v>40943</v>
      </c>
      <c r="C4170" s="710" t="s">
        <v>12496</v>
      </c>
      <c r="D4170" s="709" t="s">
        <v>234</v>
      </c>
      <c r="E4170" s="709" t="s">
        <v>8432</v>
      </c>
      <c r="F4170" s="716">
        <v>41.47</v>
      </c>
      <c r="G4170" s="716">
        <v>75.25</v>
      </c>
      <c r="H4170" s="225">
        <f t="shared" si="64"/>
        <v>41.47</v>
      </c>
    </row>
    <row r="4171" spans="1:8" x14ac:dyDescent="0.3">
      <c r="A4171" s="401"/>
      <c r="B4171" s="709">
        <v>40944</v>
      </c>
      <c r="C4171" s="710" t="s">
        <v>12497</v>
      </c>
      <c r="D4171" s="709" t="s">
        <v>208</v>
      </c>
      <c r="E4171" s="709" t="s">
        <v>8432</v>
      </c>
      <c r="F4171" s="716">
        <v>7289.67</v>
      </c>
      <c r="G4171" s="716">
        <v>13181.68</v>
      </c>
      <c r="H4171" s="225">
        <f t="shared" ref="H4171:H4234" si="65">IF(F4171&gt;0,F4171,G4171)</f>
        <v>7289.67</v>
      </c>
    </row>
    <row r="4172" spans="1:8" x14ac:dyDescent="0.3">
      <c r="A4172" s="401"/>
      <c r="B4172" s="709">
        <v>6175</v>
      </c>
      <c r="C4172" s="710" t="s">
        <v>12498</v>
      </c>
      <c r="D4172" s="709" t="s">
        <v>234</v>
      </c>
      <c r="E4172" s="709" t="s">
        <v>8432</v>
      </c>
      <c r="F4172" s="716">
        <v>40.29</v>
      </c>
      <c r="G4172" s="716">
        <v>34.53</v>
      </c>
      <c r="H4172" s="225">
        <f t="shared" si="65"/>
        <v>40.29</v>
      </c>
    </row>
    <row r="4173" spans="1:8" x14ac:dyDescent="0.3">
      <c r="A4173" s="401"/>
      <c r="B4173" s="709">
        <v>41092</v>
      </c>
      <c r="C4173" s="710" t="s">
        <v>12499</v>
      </c>
      <c r="D4173" s="709" t="s">
        <v>208</v>
      </c>
      <c r="E4173" s="709" t="s">
        <v>8432</v>
      </c>
      <c r="F4173" s="716">
        <v>7082.12</v>
      </c>
      <c r="G4173" s="716">
        <v>6050.45</v>
      </c>
      <c r="H4173" s="225">
        <f t="shared" si="65"/>
        <v>7082.12</v>
      </c>
    </row>
    <row r="4174" spans="1:8" x14ac:dyDescent="0.3">
      <c r="A4174" s="401"/>
      <c r="B4174" s="709">
        <v>37712</v>
      </c>
      <c r="C4174" s="710" t="s">
        <v>12500</v>
      </c>
      <c r="D4174" s="709" t="s">
        <v>168</v>
      </c>
      <c r="E4174" s="709" t="s">
        <v>8432</v>
      </c>
      <c r="F4174" s="716">
        <v>64.12</v>
      </c>
      <c r="G4174" s="716">
        <v>66.17</v>
      </c>
      <c r="H4174" s="225">
        <f t="shared" si="65"/>
        <v>64.12</v>
      </c>
    </row>
    <row r="4175" spans="1:8" x14ac:dyDescent="0.3">
      <c r="A4175" s="401"/>
      <c r="B4175" s="709">
        <v>34558</v>
      </c>
      <c r="C4175" s="710" t="s">
        <v>12501</v>
      </c>
      <c r="D4175" s="709" t="s">
        <v>159</v>
      </c>
      <c r="E4175" s="709" t="s">
        <v>8432</v>
      </c>
      <c r="F4175" s="716">
        <v>3.19</v>
      </c>
      <c r="G4175" s="716">
        <v>2.62</v>
      </c>
      <c r="H4175" s="225">
        <f t="shared" si="65"/>
        <v>3.19</v>
      </c>
    </row>
    <row r="4176" spans="1:8" x14ac:dyDescent="0.3">
      <c r="A4176" s="401"/>
      <c r="B4176" s="709">
        <v>34547</v>
      </c>
      <c r="C4176" s="710" t="s">
        <v>12502</v>
      </c>
      <c r="D4176" s="709" t="s">
        <v>159</v>
      </c>
      <c r="E4176" s="709" t="s">
        <v>8432</v>
      </c>
      <c r="F4176" s="716">
        <v>3.92</v>
      </c>
      <c r="G4176" s="716">
        <v>3.22</v>
      </c>
      <c r="H4176" s="225">
        <f t="shared" si="65"/>
        <v>3.92</v>
      </c>
    </row>
    <row r="4177" spans="1:8" x14ac:dyDescent="0.3">
      <c r="A4177" s="401"/>
      <c r="B4177" s="709">
        <v>34548</v>
      </c>
      <c r="C4177" s="710" t="s">
        <v>12503</v>
      </c>
      <c r="D4177" s="709" t="s">
        <v>159</v>
      </c>
      <c r="E4177" s="709" t="s">
        <v>8432</v>
      </c>
      <c r="F4177" s="716">
        <v>6.43</v>
      </c>
      <c r="G4177" s="716">
        <v>5.28</v>
      </c>
      <c r="H4177" s="225">
        <f t="shared" si="65"/>
        <v>6.43</v>
      </c>
    </row>
    <row r="4178" spans="1:8" x14ac:dyDescent="0.3">
      <c r="A4178" s="401"/>
      <c r="B4178" s="709">
        <v>34550</v>
      </c>
      <c r="C4178" s="710" t="s">
        <v>12504</v>
      </c>
      <c r="D4178" s="709" t="s">
        <v>159</v>
      </c>
      <c r="E4178" s="709" t="s">
        <v>8432</v>
      </c>
      <c r="F4178" s="716">
        <v>1.69</v>
      </c>
      <c r="G4178" s="716">
        <v>1.39</v>
      </c>
      <c r="H4178" s="225">
        <f t="shared" si="65"/>
        <v>1.69</v>
      </c>
    </row>
    <row r="4179" spans="1:8" x14ac:dyDescent="0.3">
      <c r="A4179" s="401"/>
      <c r="B4179" s="709">
        <v>34557</v>
      </c>
      <c r="C4179" s="710" t="s">
        <v>12505</v>
      </c>
      <c r="D4179" s="709" t="s">
        <v>159</v>
      </c>
      <c r="E4179" s="709" t="s">
        <v>8432</v>
      </c>
      <c r="F4179" s="716">
        <v>2.48</v>
      </c>
      <c r="G4179" s="716">
        <v>2.04</v>
      </c>
      <c r="H4179" s="225">
        <f t="shared" si="65"/>
        <v>2.48</v>
      </c>
    </row>
    <row r="4180" spans="1:8" x14ac:dyDescent="0.3">
      <c r="A4180" s="401"/>
      <c r="B4180" s="709">
        <v>37411</v>
      </c>
      <c r="C4180" s="710" t="s">
        <v>12506</v>
      </c>
      <c r="D4180" s="709" t="s">
        <v>168</v>
      </c>
      <c r="E4180" s="709" t="s">
        <v>8432</v>
      </c>
      <c r="F4180" s="716">
        <v>18.149999999999999</v>
      </c>
      <c r="G4180" s="716">
        <v>14.92</v>
      </c>
      <c r="H4180" s="225">
        <f t="shared" si="65"/>
        <v>18.149999999999999</v>
      </c>
    </row>
    <row r="4181" spans="1:8" x14ac:dyDescent="0.3">
      <c r="A4181" s="401"/>
      <c r="B4181" s="709">
        <v>39508</v>
      </c>
      <c r="C4181" s="710" t="s">
        <v>12507</v>
      </c>
      <c r="D4181" s="709" t="s">
        <v>168</v>
      </c>
      <c r="E4181" s="709" t="s">
        <v>8432</v>
      </c>
      <c r="F4181" s="716">
        <v>10.19</v>
      </c>
      <c r="G4181" s="716">
        <v>8.3800000000000008</v>
      </c>
      <c r="H4181" s="225">
        <f t="shared" si="65"/>
        <v>10.19</v>
      </c>
    </row>
    <row r="4182" spans="1:8" x14ac:dyDescent="0.3">
      <c r="A4182" s="401"/>
      <c r="B4182" s="709">
        <v>39507</v>
      </c>
      <c r="C4182" s="710" t="s">
        <v>12508</v>
      </c>
      <c r="D4182" s="709" t="s">
        <v>168</v>
      </c>
      <c r="E4182" s="709" t="s">
        <v>8432</v>
      </c>
      <c r="F4182" s="716">
        <v>15.21</v>
      </c>
      <c r="G4182" s="716">
        <v>12.5</v>
      </c>
      <c r="H4182" s="225">
        <f t="shared" si="65"/>
        <v>15.21</v>
      </c>
    </row>
    <row r="4183" spans="1:8" x14ac:dyDescent="0.3">
      <c r="A4183" s="401"/>
      <c r="B4183" s="709">
        <v>7155</v>
      </c>
      <c r="C4183" s="710" t="s">
        <v>12509</v>
      </c>
      <c r="D4183" s="709" t="s">
        <v>168</v>
      </c>
      <c r="E4183" s="709" t="s">
        <v>8432</v>
      </c>
      <c r="F4183" s="716">
        <v>19.52</v>
      </c>
      <c r="G4183" s="716">
        <v>16.05</v>
      </c>
      <c r="H4183" s="225">
        <f t="shared" si="65"/>
        <v>19.52</v>
      </c>
    </row>
    <row r="4184" spans="1:8" x14ac:dyDescent="0.3">
      <c r="A4184" s="401"/>
      <c r="B4184" s="709">
        <v>42406</v>
      </c>
      <c r="C4184" s="710" t="s">
        <v>12510</v>
      </c>
      <c r="D4184" s="709" t="s">
        <v>168</v>
      </c>
      <c r="E4184" s="709" t="s">
        <v>8432</v>
      </c>
      <c r="F4184" s="716">
        <v>22.38</v>
      </c>
      <c r="G4184" s="716">
        <v>18.399999999999999</v>
      </c>
      <c r="H4184" s="225">
        <f t="shared" si="65"/>
        <v>22.38</v>
      </c>
    </row>
    <row r="4185" spans="1:8" x14ac:dyDescent="0.3">
      <c r="A4185" s="401"/>
      <c r="B4185" s="709">
        <v>7156</v>
      </c>
      <c r="C4185" s="710" t="s">
        <v>12511</v>
      </c>
      <c r="D4185" s="709" t="s">
        <v>168</v>
      </c>
      <c r="E4185" s="709" t="s">
        <v>8438</v>
      </c>
      <c r="F4185" s="716">
        <v>28.01</v>
      </c>
      <c r="G4185" s="716">
        <v>23.03</v>
      </c>
      <c r="H4185" s="225">
        <f t="shared" si="65"/>
        <v>28.01</v>
      </c>
    </row>
    <row r="4186" spans="1:8" x14ac:dyDescent="0.3">
      <c r="A4186" s="401"/>
      <c r="B4186" s="709">
        <v>43127</v>
      </c>
      <c r="C4186" s="710" t="s">
        <v>12512</v>
      </c>
      <c r="D4186" s="709" t="s">
        <v>168</v>
      </c>
      <c r="E4186" s="709" t="s">
        <v>8432</v>
      </c>
      <c r="F4186" s="716">
        <v>40.08</v>
      </c>
      <c r="G4186" s="716">
        <v>32.96</v>
      </c>
      <c r="H4186" s="225">
        <f t="shared" si="65"/>
        <v>40.08</v>
      </c>
    </row>
    <row r="4187" spans="1:8" x14ac:dyDescent="0.3">
      <c r="A4187" s="401"/>
      <c r="B4187" s="709">
        <v>10917</v>
      </c>
      <c r="C4187" s="710" t="s">
        <v>12513</v>
      </c>
      <c r="D4187" s="709" t="s">
        <v>168</v>
      </c>
      <c r="E4187" s="709" t="s">
        <v>8432</v>
      </c>
      <c r="F4187" s="716">
        <v>8.4600000000000009</v>
      </c>
      <c r="G4187" s="716">
        <v>6.95</v>
      </c>
      <c r="H4187" s="225">
        <f t="shared" si="65"/>
        <v>8.4600000000000009</v>
      </c>
    </row>
    <row r="4188" spans="1:8" x14ac:dyDescent="0.3">
      <c r="A4188" s="401"/>
      <c r="B4188" s="709">
        <v>21141</v>
      </c>
      <c r="C4188" s="710" t="s">
        <v>12514</v>
      </c>
      <c r="D4188" s="709" t="s">
        <v>168</v>
      </c>
      <c r="E4188" s="709" t="s">
        <v>8432</v>
      </c>
      <c r="F4188" s="716">
        <v>13.1</v>
      </c>
      <c r="G4188" s="716">
        <v>10.77</v>
      </c>
      <c r="H4188" s="225">
        <f t="shared" si="65"/>
        <v>13.1</v>
      </c>
    </row>
    <row r="4189" spans="1:8" x14ac:dyDescent="0.3">
      <c r="A4189" s="401"/>
      <c r="B4189" s="709">
        <v>39509</v>
      </c>
      <c r="C4189" s="710" t="s">
        <v>12515</v>
      </c>
      <c r="D4189" s="709" t="s">
        <v>168</v>
      </c>
      <c r="E4189" s="709" t="s">
        <v>8432</v>
      </c>
      <c r="F4189" s="716">
        <v>12.6</v>
      </c>
      <c r="G4189" s="716">
        <v>10.36</v>
      </c>
      <c r="H4189" s="225">
        <f t="shared" si="65"/>
        <v>12.6</v>
      </c>
    </row>
    <row r="4190" spans="1:8" x14ac:dyDescent="0.3">
      <c r="A4190" s="401"/>
      <c r="B4190" s="709">
        <v>44529</v>
      </c>
      <c r="C4190" s="710" t="s">
        <v>12516</v>
      </c>
      <c r="D4190" s="709" t="s">
        <v>168</v>
      </c>
      <c r="E4190" s="709" t="s">
        <v>8432</v>
      </c>
      <c r="F4190" s="716">
        <v>16.61</v>
      </c>
      <c r="G4190" s="716">
        <v>20.96</v>
      </c>
      <c r="H4190" s="225">
        <f t="shared" si="65"/>
        <v>16.61</v>
      </c>
    </row>
    <row r="4191" spans="1:8" x14ac:dyDescent="0.3">
      <c r="A4191" s="401"/>
      <c r="B4191" s="709">
        <v>7167</v>
      </c>
      <c r="C4191" s="710" t="s">
        <v>12517</v>
      </c>
      <c r="D4191" s="709" t="s">
        <v>168</v>
      </c>
      <c r="E4191" s="709" t="s">
        <v>8432</v>
      </c>
      <c r="F4191" s="716">
        <v>29.08</v>
      </c>
      <c r="G4191" s="716">
        <v>26.55</v>
      </c>
      <c r="H4191" s="225">
        <f t="shared" si="65"/>
        <v>29.08</v>
      </c>
    </row>
    <row r="4192" spans="1:8" x14ac:dyDescent="0.3">
      <c r="A4192" s="401"/>
      <c r="B4192" s="709">
        <v>10928</v>
      </c>
      <c r="C4192" s="710" t="s">
        <v>12518</v>
      </c>
      <c r="D4192" s="709" t="s">
        <v>168</v>
      </c>
      <c r="E4192" s="709" t="s">
        <v>8432</v>
      </c>
      <c r="F4192" s="716">
        <v>16.71</v>
      </c>
      <c r="G4192" s="716">
        <v>15.26</v>
      </c>
      <c r="H4192" s="225">
        <f t="shared" si="65"/>
        <v>16.71</v>
      </c>
    </row>
    <row r="4193" spans="1:8" x14ac:dyDescent="0.3">
      <c r="A4193" s="401"/>
      <c r="B4193" s="709">
        <v>10933</v>
      </c>
      <c r="C4193" s="710" t="s">
        <v>12519</v>
      </c>
      <c r="D4193" s="709" t="s">
        <v>168</v>
      </c>
      <c r="E4193" s="709" t="s">
        <v>8432</v>
      </c>
      <c r="F4193" s="716">
        <v>25.2</v>
      </c>
      <c r="G4193" s="716">
        <v>23.01</v>
      </c>
      <c r="H4193" s="225">
        <f t="shared" si="65"/>
        <v>25.2</v>
      </c>
    </row>
    <row r="4194" spans="1:8" x14ac:dyDescent="0.3">
      <c r="A4194" s="401"/>
      <c r="B4194" s="709">
        <v>7158</v>
      </c>
      <c r="C4194" s="710" t="s">
        <v>12520</v>
      </c>
      <c r="D4194" s="709" t="s">
        <v>168</v>
      </c>
      <c r="E4194" s="709" t="s">
        <v>8438</v>
      </c>
      <c r="F4194" s="716">
        <v>42.75</v>
      </c>
      <c r="G4194" s="716">
        <v>39.03</v>
      </c>
      <c r="H4194" s="225">
        <f t="shared" si="65"/>
        <v>42.75</v>
      </c>
    </row>
    <row r="4195" spans="1:8" x14ac:dyDescent="0.3">
      <c r="A4195" s="401"/>
      <c r="B4195" s="709">
        <v>10927</v>
      </c>
      <c r="C4195" s="710" t="s">
        <v>12521</v>
      </c>
      <c r="D4195" s="709" t="s">
        <v>168</v>
      </c>
      <c r="E4195" s="709" t="s">
        <v>8432</v>
      </c>
      <c r="F4195" s="716">
        <v>27.34</v>
      </c>
      <c r="G4195" s="716">
        <v>24.96</v>
      </c>
      <c r="H4195" s="225">
        <f t="shared" si="65"/>
        <v>27.34</v>
      </c>
    </row>
    <row r="4196" spans="1:8" x14ac:dyDescent="0.3">
      <c r="A4196" s="401"/>
      <c r="B4196" s="709">
        <v>7162</v>
      </c>
      <c r="C4196" s="710" t="s">
        <v>12522</v>
      </c>
      <c r="D4196" s="709" t="s">
        <v>168</v>
      </c>
      <c r="E4196" s="709" t="s">
        <v>8432</v>
      </c>
      <c r="F4196" s="716">
        <v>66.900000000000006</v>
      </c>
      <c r="G4196" s="716">
        <v>61.08</v>
      </c>
      <c r="H4196" s="225">
        <f t="shared" si="65"/>
        <v>66.900000000000006</v>
      </c>
    </row>
    <row r="4197" spans="1:8" x14ac:dyDescent="0.3">
      <c r="A4197" s="401"/>
      <c r="B4197" s="709">
        <v>10932</v>
      </c>
      <c r="C4197" s="710" t="s">
        <v>12523</v>
      </c>
      <c r="D4197" s="709" t="s">
        <v>168</v>
      </c>
      <c r="E4197" s="709" t="s">
        <v>8432</v>
      </c>
      <c r="F4197" s="716">
        <v>116.36</v>
      </c>
      <c r="G4197" s="716">
        <v>106.23</v>
      </c>
      <c r="H4197" s="225">
        <f t="shared" si="65"/>
        <v>116.36</v>
      </c>
    </row>
    <row r="4198" spans="1:8" x14ac:dyDescent="0.3">
      <c r="A4198" s="401"/>
      <c r="B4198" s="709">
        <v>10937</v>
      </c>
      <c r="C4198" s="710" t="s">
        <v>12524</v>
      </c>
      <c r="D4198" s="709" t="s">
        <v>168</v>
      </c>
      <c r="E4198" s="709" t="s">
        <v>8432</v>
      </c>
      <c r="F4198" s="716">
        <v>29.91</v>
      </c>
      <c r="G4198" s="716">
        <v>27.3</v>
      </c>
      <c r="H4198" s="225">
        <f t="shared" si="65"/>
        <v>29.91</v>
      </c>
    </row>
    <row r="4199" spans="1:8" x14ac:dyDescent="0.3">
      <c r="A4199" s="401"/>
      <c r="B4199" s="709">
        <v>10935</v>
      </c>
      <c r="C4199" s="710" t="s">
        <v>12525</v>
      </c>
      <c r="D4199" s="709" t="s">
        <v>168</v>
      </c>
      <c r="E4199" s="709" t="s">
        <v>8432</v>
      </c>
      <c r="F4199" s="716">
        <v>51.87</v>
      </c>
      <c r="G4199" s="716">
        <v>47.36</v>
      </c>
      <c r="H4199" s="225">
        <f t="shared" si="65"/>
        <v>51.87</v>
      </c>
    </row>
    <row r="4200" spans="1:8" x14ac:dyDescent="0.3">
      <c r="A4200" s="401"/>
      <c r="B4200" s="709">
        <v>10931</v>
      </c>
      <c r="C4200" s="710" t="s">
        <v>12526</v>
      </c>
      <c r="D4200" s="709" t="s">
        <v>168</v>
      </c>
      <c r="E4200" s="709" t="s">
        <v>8432</v>
      </c>
      <c r="F4200" s="716">
        <v>14.59</v>
      </c>
      <c r="G4200" s="716">
        <v>13.32</v>
      </c>
      <c r="H4200" s="225">
        <f t="shared" si="65"/>
        <v>14.59</v>
      </c>
    </row>
    <row r="4201" spans="1:8" x14ac:dyDescent="0.3">
      <c r="A4201" s="401"/>
      <c r="B4201" s="709">
        <v>7164</v>
      </c>
      <c r="C4201" s="710" t="s">
        <v>12527</v>
      </c>
      <c r="D4201" s="709" t="s">
        <v>168</v>
      </c>
      <c r="E4201" s="709" t="s">
        <v>8432</v>
      </c>
      <c r="F4201" s="716">
        <v>48.28</v>
      </c>
      <c r="G4201" s="716">
        <v>44.08</v>
      </c>
      <c r="H4201" s="225">
        <f t="shared" si="65"/>
        <v>48.28</v>
      </c>
    </row>
    <row r="4202" spans="1:8" x14ac:dyDescent="0.3">
      <c r="A4202" s="401"/>
      <c r="B4202" s="709">
        <v>36887</v>
      </c>
      <c r="C4202" s="710" t="s">
        <v>12528</v>
      </c>
      <c r="D4202" s="709" t="s">
        <v>168</v>
      </c>
      <c r="E4202" s="709" t="s">
        <v>8432</v>
      </c>
      <c r="F4202" s="716">
        <v>14.94</v>
      </c>
      <c r="G4202" s="716">
        <v>9.06</v>
      </c>
      <c r="H4202" s="225">
        <f t="shared" si="65"/>
        <v>14.94</v>
      </c>
    </row>
    <row r="4203" spans="1:8" x14ac:dyDescent="0.3">
      <c r="A4203" s="401"/>
      <c r="B4203" s="709">
        <v>34630</v>
      </c>
      <c r="C4203" s="710" t="s">
        <v>12529</v>
      </c>
      <c r="D4203" s="709" t="s">
        <v>136</v>
      </c>
      <c r="E4203" s="709" t="s">
        <v>8432</v>
      </c>
      <c r="F4203" s="716">
        <v>1042.1099999999999</v>
      </c>
      <c r="G4203" s="716">
        <v>1075.3800000000001</v>
      </c>
      <c r="H4203" s="225">
        <f t="shared" si="65"/>
        <v>1042.1099999999999</v>
      </c>
    </row>
    <row r="4204" spans="1:8" x14ac:dyDescent="0.3">
      <c r="A4204" s="401"/>
      <c r="B4204" s="709">
        <v>7161</v>
      </c>
      <c r="C4204" s="710" t="s">
        <v>12530</v>
      </c>
      <c r="D4204" s="709" t="s">
        <v>168</v>
      </c>
      <c r="E4204" s="709" t="s">
        <v>8432</v>
      </c>
      <c r="F4204" s="716">
        <v>6.01</v>
      </c>
      <c r="G4204" s="716">
        <v>5.48</v>
      </c>
      <c r="H4204" s="225">
        <f t="shared" si="65"/>
        <v>6.01</v>
      </c>
    </row>
    <row r="4205" spans="1:8" x14ac:dyDescent="0.3">
      <c r="A4205" s="401"/>
      <c r="B4205" s="709">
        <v>7170</v>
      </c>
      <c r="C4205" s="710" t="s">
        <v>12531</v>
      </c>
      <c r="D4205" s="709" t="s">
        <v>168</v>
      </c>
      <c r="E4205" s="709" t="s">
        <v>8432</v>
      </c>
      <c r="F4205" s="716">
        <v>3.61</v>
      </c>
      <c r="G4205" s="716">
        <v>2.19</v>
      </c>
      <c r="H4205" s="225">
        <f t="shared" si="65"/>
        <v>3.61</v>
      </c>
    </row>
    <row r="4206" spans="1:8" x14ac:dyDescent="0.3">
      <c r="A4206" s="401"/>
      <c r="B4206" s="709">
        <v>37524</v>
      </c>
      <c r="C4206" s="710" t="s">
        <v>12532</v>
      </c>
      <c r="D4206" s="709" t="s">
        <v>159</v>
      </c>
      <c r="E4206" s="709" t="s">
        <v>8438</v>
      </c>
      <c r="F4206" s="716">
        <v>3.3</v>
      </c>
      <c r="G4206" s="716">
        <v>2</v>
      </c>
      <c r="H4206" s="225">
        <f t="shared" si="65"/>
        <v>3.3</v>
      </c>
    </row>
    <row r="4207" spans="1:8" x14ac:dyDescent="0.3">
      <c r="A4207" s="401"/>
      <c r="B4207" s="709">
        <v>37525</v>
      </c>
      <c r="C4207" s="710" t="s">
        <v>12533</v>
      </c>
      <c r="D4207" s="709" t="s">
        <v>159</v>
      </c>
      <c r="E4207" s="709" t="s">
        <v>8432</v>
      </c>
      <c r="F4207" s="716">
        <v>4.51</v>
      </c>
      <c r="G4207" s="716">
        <v>2.73</v>
      </c>
      <c r="H4207" s="225">
        <f t="shared" si="65"/>
        <v>4.51</v>
      </c>
    </row>
    <row r="4208" spans="1:8" x14ac:dyDescent="0.3">
      <c r="A4208" s="401"/>
      <c r="B4208" s="709">
        <v>36789</v>
      </c>
      <c r="C4208" s="710" t="s">
        <v>12534</v>
      </c>
      <c r="D4208" s="709" t="s">
        <v>136</v>
      </c>
      <c r="E4208" s="709" t="s">
        <v>8432</v>
      </c>
      <c r="F4208" s="716">
        <v>4.87</v>
      </c>
      <c r="G4208" s="716">
        <v>5.49</v>
      </c>
      <c r="H4208" s="225">
        <f t="shared" si="65"/>
        <v>4.87</v>
      </c>
    </row>
    <row r="4209" spans="1:8" x14ac:dyDescent="0.3">
      <c r="A4209" s="401"/>
      <c r="B4209" s="709">
        <v>7173</v>
      </c>
      <c r="C4209" s="710" t="s">
        <v>12535</v>
      </c>
      <c r="D4209" s="709" t="s">
        <v>11577</v>
      </c>
      <c r="E4209" s="709" t="s">
        <v>8438</v>
      </c>
      <c r="F4209" s="716">
        <v>3150</v>
      </c>
      <c r="G4209" s="716">
        <v>3550</v>
      </c>
      <c r="H4209" s="225">
        <f t="shared" si="65"/>
        <v>3150</v>
      </c>
    </row>
    <row r="4210" spans="1:8" x14ac:dyDescent="0.3">
      <c r="A4210" s="401"/>
      <c r="B4210" s="709">
        <v>7175</v>
      </c>
      <c r="C4210" s="710" t="s">
        <v>12536</v>
      </c>
      <c r="D4210" s="709" t="s">
        <v>136</v>
      </c>
      <c r="E4210" s="709" t="s">
        <v>8432</v>
      </c>
      <c r="F4210" s="716">
        <v>3.56</v>
      </c>
      <c r="G4210" s="716">
        <v>4.01</v>
      </c>
      <c r="H4210" s="225">
        <f t="shared" si="65"/>
        <v>3.56</v>
      </c>
    </row>
    <row r="4211" spans="1:8" x14ac:dyDescent="0.3">
      <c r="A4211" s="401"/>
      <c r="B4211" s="709">
        <v>40741</v>
      </c>
      <c r="C4211" s="710" t="s">
        <v>12537</v>
      </c>
      <c r="D4211" s="709" t="s">
        <v>136</v>
      </c>
      <c r="E4211" s="709" t="s">
        <v>8432</v>
      </c>
      <c r="F4211" s="716">
        <v>4.1100000000000003</v>
      </c>
      <c r="G4211" s="716">
        <v>3.52</v>
      </c>
      <c r="H4211" s="225">
        <f t="shared" si="65"/>
        <v>4.1100000000000003</v>
      </c>
    </row>
    <row r="4212" spans="1:8" x14ac:dyDescent="0.3">
      <c r="A4212" s="401"/>
      <c r="B4212" s="709">
        <v>7184</v>
      </c>
      <c r="C4212" s="710" t="s">
        <v>12538</v>
      </c>
      <c r="D4212" s="709" t="s">
        <v>168</v>
      </c>
      <c r="E4212" s="709" t="s">
        <v>8438</v>
      </c>
      <c r="F4212" s="716">
        <v>53.2</v>
      </c>
      <c r="G4212" s="716">
        <v>40.61</v>
      </c>
      <c r="H4212" s="225">
        <f t="shared" si="65"/>
        <v>53.2</v>
      </c>
    </row>
    <row r="4213" spans="1:8" x14ac:dyDescent="0.3">
      <c r="A4213" s="401"/>
      <c r="B4213" s="709">
        <v>34458</v>
      </c>
      <c r="C4213" s="710" t="s">
        <v>12539</v>
      </c>
      <c r="D4213" s="709" t="s">
        <v>136</v>
      </c>
      <c r="E4213" s="709" t="s">
        <v>8432</v>
      </c>
      <c r="F4213" s="716">
        <v>171.64</v>
      </c>
      <c r="G4213" s="716">
        <v>148.02000000000001</v>
      </c>
      <c r="H4213" s="225">
        <f t="shared" si="65"/>
        <v>171.64</v>
      </c>
    </row>
    <row r="4214" spans="1:8" x14ac:dyDescent="0.3">
      <c r="A4214" s="401"/>
      <c r="B4214" s="709">
        <v>34464</v>
      </c>
      <c r="C4214" s="710" t="s">
        <v>12540</v>
      </c>
      <c r="D4214" s="709" t="s">
        <v>136</v>
      </c>
      <c r="E4214" s="709" t="s">
        <v>8432</v>
      </c>
      <c r="F4214" s="716">
        <v>255.49</v>
      </c>
      <c r="G4214" s="716">
        <v>220.34</v>
      </c>
      <c r="H4214" s="225">
        <f t="shared" si="65"/>
        <v>255.49</v>
      </c>
    </row>
    <row r="4215" spans="1:8" x14ac:dyDescent="0.3">
      <c r="A4215" s="401"/>
      <c r="B4215" s="709">
        <v>34468</v>
      </c>
      <c r="C4215" s="710" t="s">
        <v>12541</v>
      </c>
      <c r="D4215" s="709" t="s">
        <v>136</v>
      </c>
      <c r="E4215" s="709" t="s">
        <v>8432</v>
      </c>
      <c r="F4215" s="716">
        <v>322.11</v>
      </c>
      <c r="G4215" s="716">
        <v>277.77999999999997</v>
      </c>
      <c r="H4215" s="225">
        <f t="shared" si="65"/>
        <v>322.11</v>
      </c>
    </row>
    <row r="4216" spans="1:8" x14ac:dyDescent="0.3">
      <c r="A4216" s="401"/>
      <c r="B4216" s="709">
        <v>34473</v>
      </c>
      <c r="C4216" s="710" t="s">
        <v>12542</v>
      </c>
      <c r="D4216" s="709" t="s">
        <v>136</v>
      </c>
      <c r="E4216" s="709" t="s">
        <v>8432</v>
      </c>
      <c r="F4216" s="716">
        <v>195.4</v>
      </c>
      <c r="G4216" s="716">
        <v>168.51</v>
      </c>
      <c r="H4216" s="225">
        <f t="shared" si="65"/>
        <v>195.4</v>
      </c>
    </row>
    <row r="4217" spans="1:8" x14ac:dyDescent="0.3">
      <c r="A4217" s="401"/>
      <c r="B4217" s="709">
        <v>34480</v>
      </c>
      <c r="C4217" s="710" t="s">
        <v>12543</v>
      </c>
      <c r="D4217" s="709" t="s">
        <v>136</v>
      </c>
      <c r="E4217" s="709" t="s">
        <v>8432</v>
      </c>
      <c r="F4217" s="716">
        <v>361.11</v>
      </c>
      <c r="G4217" s="716">
        <v>311.41000000000003</v>
      </c>
      <c r="H4217" s="225">
        <f t="shared" si="65"/>
        <v>361.11</v>
      </c>
    </row>
    <row r="4218" spans="1:8" x14ac:dyDescent="0.3">
      <c r="A4218" s="401"/>
      <c r="B4218" s="709">
        <v>34486</v>
      </c>
      <c r="C4218" s="710" t="s">
        <v>12544</v>
      </c>
      <c r="D4218" s="709" t="s">
        <v>136</v>
      </c>
      <c r="E4218" s="709" t="s">
        <v>8432</v>
      </c>
      <c r="F4218" s="716">
        <v>427.54</v>
      </c>
      <c r="G4218" s="716">
        <v>368.7</v>
      </c>
      <c r="H4218" s="225">
        <f t="shared" si="65"/>
        <v>427.54</v>
      </c>
    </row>
    <row r="4219" spans="1:8" x14ac:dyDescent="0.3">
      <c r="A4219" s="401"/>
      <c r="B4219" s="709">
        <v>7190</v>
      </c>
      <c r="C4219" s="710" t="s">
        <v>12545</v>
      </c>
      <c r="D4219" s="709" t="s">
        <v>136</v>
      </c>
      <c r="E4219" s="709" t="s">
        <v>8432</v>
      </c>
      <c r="F4219" s="716">
        <v>14.27</v>
      </c>
      <c r="G4219" s="716">
        <v>12.31</v>
      </c>
      <c r="H4219" s="225">
        <f t="shared" si="65"/>
        <v>14.27</v>
      </c>
    </row>
    <row r="4220" spans="1:8" x14ac:dyDescent="0.3">
      <c r="A4220" s="401"/>
      <c r="B4220" s="709">
        <v>34417</v>
      </c>
      <c r="C4220" s="710" t="s">
        <v>12546</v>
      </c>
      <c r="D4220" s="709" t="s">
        <v>136</v>
      </c>
      <c r="E4220" s="709" t="s">
        <v>8432</v>
      </c>
      <c r="F4220" s="716">
        <v>22.84</v>
      </c>
      <c r="G4220" s="716">
        <v>19.7</v>
      </c>
      <c r="H4220" s="225">
        <f t="shared" si="65"/>
        <v>22.84</v>
      </c>
    </row>
    <row r="4221" spans="1:8" x14ac:dyDescent="0.3">
      <c r="A4221" s="401"/>
      <c r="B4221" s="709">
        <v>7213</v>
      </c>
      <c r="C4221" s="710" t="s">
        <v>12547</v>
      </c>
      <c r="D4221" s="709" t="s">
        <v>168</v>
      </c>
      <c r="E4221" s="709" t="s">
        <v>8432</v>
      </c>
      <c r="F4221" s="716">
        <v>20.95</v>
      </c>
      <c r="G4221" s="716">
        <v>18.059999999999999</v>
      </c>
      <c r="H4221" s="225">
        <f t="shared" si="65"/>
        <v>20.95</v>
      </c>
    </row>
    <row r="4222" spans="1:8" x14ac:dyDescent="0.3">
      <c r="A4222" s="401"/>
      <c r="B4222" s="709">
        <v>7195</v>
      </c>
      <c r="C4222" s="710" t="s">
        <v>12548</v>
      </c>
      <c r="D4222" s="709" t="s">
        <v>136</v>
      </c>
      <c r="E4222" s="709" t="s">
        <v>8432</v>
      </c>
      <c r="F4222" s="716">
        <v>61.5</v>
      </c>
      <c r="G4222" s="716">
        <v>53.04</v>
      </c>
      <c r="H4222" s="225">
        <f t="shared" si="65"/>
        <v>61.5</v>
      </c>
    </row>
    <row r="4223" spans="1:8" x14ac:dyDescent="0.3">
      <c r="A4223" s="401"/>
      <c r="B4223" s="709">
        <v>7186</v>
      </c>
      <c r="C4223" s="710" t="s">
        <v>12549</v>
      </c>
      <c r="D4223" s="709" t="s">
        <v>136</v>
      </c>
      <c r="E4223" s="709" t="s">
        <v>8438</v>
      </c>
      <c r="F4223" s="716">
        <v>67</v>
      </c>
      <c r="G4223" s="716">
        <v>57.78</v>
      </c>
      <c r="H4223" s="225">
        <f t="shared" si="65"/>
        <v>67</v>
      </c>
    </row>
    <row r="4224" spans="1:8" x14ac:dyDescent="0.3">
      <c r="A4224" s="401"/>
      <c r="B4224" s="709">
        <v>7194</v>
      </c>
      <c r="C4224" s="710" t="s">
        <v>12550</v>
      </c>
      <c r="D4224" s="709" t="s">
        <v>168</v>
      </c>
      <c r="E4224" s="709" t="s">
        <v>8432</v>
      </c>
      <c r="F4224" s="716">
        <v>30.89</v>
      </c>
      <c r="G4224" s="716">
        <v>26.64</v>
      </c>
      <c r="H4224" s="225">
        <f t="shared" si="65"/>
        <v>30.89</v>
      </c>
    </row>
    <row r="4225" spans="1:8" x14ac:dyDescent="0.3">
      <c r="A4225" s="401"/>
      <c r="B4225" s="709">
        <v>7197</v>
      </c>
      <c r="C4225" s="710" t="s">
        <v>12551</v>
      </c>
      <c r="D4225" s="709" t="s">
        <v>136</v>
      </c>
      <c r="E4225" s="709" t="s">
        <v>8432</v>
      </c>
      <c r="F4225" s="716">
        <v>130.38</v>
      </c>
      <c r="G4225" s="716">
        <v>112.44</v>
      </c>
      <c r="H4225" s="225">
        <f t="shared" si="65"/>
        <v>130.38</v>
      </c>
    </row>
    <row r="4226" spans="1:8" x14ac:dyDescent="0.3">
      <c r="A4226" s="401"/>
      <c r="B4226" s="709">
        <v>7192</v>
      </c>
      <c r="C4226" s="710" t="s">
        <v>12552</v>
      </c>
      <c r="D4226" s="709" t="s">
        <v>136</v>
      </c>
      <c r="E4226" s="709" t="s">
        <v>8432</v>
      </c>
      <c r="F4226" s="716">
        <v>116.81</v>
      </c>
      <c r="G4226" s="716">
        <v>100.74</v>
      </c>
      <c r="H4226" s="225">
        <f t="shared" si="65"/>
        <v>116.81</v>
      </c>
    </row>
    <row r="4227" spans="1:8" x14ac:dyDescent="0.3">
      <c r="A4227" s="401"/>
      <c r="B4227" s="709">
        <v>7193</v>
      </c>
      <c r="C4227" s="710" t="s">
        <v>12553</v>
      </c>
      <c r="D4227" s="709" t="s">
        <v>136</v>
      </c>
      <c r="E4227" s="709" t="s">
        <v>8432</v>
      </c>
      <c r="F4227" s="716">
        <v>131.51</v>
      </c>
      <c r="G4227" s="716">
        <v>113.41</v>
      </c>
      <c r="H4227" s="225">
        <f t="shared" si="65"/>
        <v>131.51</v>
      </c>
    </row>
    <row r="4228" spans="1:8" x14ac:dyDescent="0.3">
      <c r="A4228" s="401"/>
      <c r="B4228" s="709">
        <v>7189</v>
      </c>
      <c r="C4228" s="710" t="s">
        <v>12554</v>
      </c>
      <c r="D4228" s="709" t="s">
        <v>136</v>
      </c>
      <c r="E4228" s="709" t="s">
        <v>8432</v>
      </c>
      <c r="F4228" s="716">
        <v>152.83000000000001</v>
      </c>
      <c r="G4228" s="716">
        <v>131.80000000000001</v>
      </c>
      <c r="H4228" s="225">
        <f t="shared" si="65"/>
        <v>152.83000000000001</v>
      </c>
    </row>
    <row r="4229" spans="1:8" x14ac:dyDescent="0.3">
      <c r="A4229" s="401"/>
      <c r="B4229" s="709">
        <v>34402</v>
      </c>
      <c r="C4229" s="710" t="s">
        <v>12555</v>
      </c>
      <c r="D4229" s="709" t="s">
        <v>136</v>
      </c>
      <c r="E4229" s="709" t="s">
        <v>8432</v>
      </c>
      <c r="F4229" s="716">
        <v>215.77</v>
      </c>
      <c r="G4229" s="716">
        <v>186.07</v>
      </c>
      <c r="H4229" s="225">
        <f t="shared" si="65"/>
        <v>215.77</v>
      </c>
    </row>
    <row r="4230" spans="1:8" x14ac:dyDescent="0.3">
      <c r="A4230" s="401"/>
      <c r="B4230" s="709">
        <v>7245</v>
      </c>
      <c r="C4230" s="710" t="s">
        <v>12556</v>
      </c>
      <c r="D4230" s="709" t="s">
        <v>136</v>
      </c>
      <c r="E4230" s="709" t="s">
        <v>8432</v>
      </c>
      <c r="F4230" s="716">
        <v>32.79</v>
      </c>
      <c r="G4230" s="716">
        <v>33.1</v>
      </c>
      <c r="H4230" s="225">
        <f t="shared" si="65"/>
        <v>32.79</v>
      </c>
    </row>
    <row r="4231" spans="1:8" x14ac:dyDescent="0.3">
      <c r="A4231" s="401"/>
      <c r="B4231" s="709">
        <v>34425</v>
      </c>
      <c r="C4231" s="710" t="s">
        <v>12557</v>
      </c>
      <c r="D4231" s="709" t="s">
        <v>136</v>
      </c>
      <c r="E4231" s="709" t="s">
        <v>8432</v>
      </c>
      <c r="F4231" s="716">
        <v>138.61000000000001</v>
      </c>
      <c r="G4231" s="716">
        <v>119.53</v>
      </c>
      <c r="H4231" s="225">
        <f t="shared" si="65"/>
        <v>138.61000000000001</v>
      </c>
    </row>
    <row r="4232" spans="1:8" x14ac:dyDescent="0.3">
      <c r="A4232" s="401"/>
      <c r="B4232" s="709">
        <v>7223</v>
      </c>
      <c r="C4232" s="710" t="s">
        <v>12558</v>
      </c>
      <c r="D4232" s="709" t="s">
        <v>136</v>
      </c>
      <c r="E4232" s="709" t="s">
        <v>8432</v>
      </c>
      <c r="F4232" s="716">
        <v>154.46</v>
      </c>
      <c r="G4232" s="716">
        <v>133.21</v>
      </c>
      <c r="H4232" s="225">
        <f t="shared" si="65"/>
        <v>154.46</v>
      </c>
    </row>
    <row r="4233" spans="1:8" x14ac:dyDescent="0.3">
      <c r="A4233" s="401"/>
      <c r="B4233" s="709">
        <v>7234</v>
      </c>
      <c r="C4233" s="710" t="s">
        <v>12559</v>
      </c>
      <c r="D4233" s="709" t="s">
        <v>136</v>
      </c>
      <c r="E4233" s="709" t="s">
        <v>8432</v>
      </c>
      <c r="F4233" s="716">
        <v>233.08</v>
      </c>
      <c r="G4233" s="716">
        <v>201.01</v>
      </c>
      <c r="H4233" s="225">
        <f t="shared" si="65"/>
        <v>233.08</v>
      </c>
    </row>
    <row r="4234" spans="1:8" x14ac:dyDescent="0.3">
      <c r="A4234" s="401"/>
      <c r="B4234" s="709">
        <v>7224</v>
      </c>
      <c r="C4234" s="710" t="s">
        <v>12560</v>
      </c>
      <c r="D4234" s="709" t="s">
        <v>136</v>
      </c>
      <c r="E4234" s="709" t="s">
        <v>8432</v>
      </c>
      <c r="F4234" s="716">
        <v>283.95999999999998</v>
      </c>
      <c r="G4234" s="716">
        <v>244.88</v>
      </c>
      <c r="H4234" s="225">
        <f t="shared" si="65"/>
        <v>283.95999999999998</v>
      </c>
    </row>
    <row r="4235" spans="1:8" x14ac:dyDescent="0.3">
      <c r="A4235" s="401"/>
      <c r="B4235" s="709">
        <v>7225</v>
      </c>
      <c r="C4235" s="710" t="s">
        <v>12561</v>
      </c>
      <c r="D4235" s="709" t="s">
        <v>136</v>
      </c>
      <c r="E4235" s="709" t="s">
        <v>8432</v>
      </c>
      <c r="F4235" s="716">
        <v>304.48</v>
      </c>
      <c r="G4235" s="716">
        <v>262.58</v>
      </c>
      <c r="H4235" s="225">
        <f t="shared" ref="H4235:H4298" si="66">IF(F4235&gt;0,F4235,G4235)</f>
        <v>304.48</v>
      </c>
    </row>
    <row r="4236" spans="1:8" x14ac:dyDescent="0.3">
      <c r="A4236" s="401"/>
      <c r="B4236" s="709">
        <v>7226</v>
      </c>
      <c r="C4236" s="710" t="s">
        <v>12562</v>
      </c>
      <c r="D4236" s="709" t="s">
        <v>136</v>
      </c>
      <c r="E4236" s="709" t="s">
        <v>8432</v>
      </c>
      <c r="F4236" s="716">
        <v>324.92</v>
      </c>
      <c r="G4236" s="716">
        <v>280.20999999999998</v>
      </c>
      <c r="H4236" s="225">
        <f t="shared" si="66"/>
        <v>324.92</v>
      </c>
    </row>
    <row r="4237" spans="1:8" x14ac:dyDescent="0.3">
      <c r="A4237" s="401"/>
      <c r="B4237" s="709">
        <v>7227</v>
      </c>
      <c r="C4237" s="710" t="s">
        <v>12563</v>
      </c>
      <c r="D4237" s="709" t="s">
        <v>136</v>
      </c>
      <c r="E4237" s="709" t="s">
        <v>8432</v>
      </c>
      <c r="F4237" s="716">
        <v>369.85</v>
      </c>
      <c r="G4237" s="716">
        <v>318.95</v>
      </c>
      <c r="H4237" s="225">
        <f t="shared" si="66"/>
        <v>369.85</v>
      </c>
    </row>
    <row r="4238" spans="1:8" x14ac:dyDescent="0.3">
      <c r="A4238" s="401"/>
      <c r="B4238" s="709">
        <v>7212</v>
      </c>
      <c r="C4238" s="710" t="s">
        <v>12564</v>
      </c>
      <c r="D4238" s="709" t="s">
        <v>136</v>
      </c>
      <c r="E4238" s="709" t="s">
        <v>8432</v>
      </c>
      <c r="F4238" s="716">
        <v>406.37</v>
      </c>
      <c r="G4238" s="716">
        <v>350.45</v>
      </c>
      <c r="H4238" s="225">
        <f t="shared" si="66"/>
        <v>406.37</v>
      </c>
    </row>
    <row r="4239" spans="1:8" x14ac:dyDescent="0.3">
      <c r="A4239" s="401"/>
      <c r="B4239" s="709">
        <v>7229</v>
      </c>
      <c r="C4239" s="710" t="s">
        <v>12565</v>
      </c>
      <c r="D4239" s="709" t="s">
        <v>136</v>
      </c>
      <c r="E4239" s="709" t="s">
        <v>8432</v>
      </c>
      <c r="F4239" s="716">
        <v>257.58</v>
      </c>
      <c r="G4239" s="716">
        <v>222.14</v>
      </c>
      <c r="H4239" s="225">
        <f t="shared" si="66"/>
        <v>257.58</v>
      </c>
    </row>
    <row r="4240" spans="1:8" x14ac:dyDescent="0.3">
      <c r="A4240" s="401"/>
      <c r="B4240" s="709">
        <v>7230</v>
      </c>
      <c r="C4240" s="710" t="s">
        <v>12566</v>
      </c>
      <c r="D4240" s="709" t="s">
        <v>136</v>
      </c>
      <c r="E4240" s="709" t="s">
        <v>8432</v>
      </c>
      <c r="F4240" s="716">
        <v>428.83</v>
      </c>
      <c r="G4240" s="716">
        <v>369.81</v>
      </c>
      <c r="H4240" s="225">
        <f t="shared" si="66"/>
        <v>428.83</v>
      </c>
    </row>
    <row r="4241" spans="1:8" x14ac:dyDescent="0.3">
      <c r="A4241" s="401"/>
      <c r="B4241" s="709">
        <v>7231</v>
      </c>
      <c r="C4241" s="710" t="s">
        <v>12567</v>
      </c>
      <c r="D4241" s="709" t="s">
        <v>136</v>
      </c>
      <c r="E4241" s="709" t="s">
        <v>8432</v>
      </c>
      <c r="F4241" s="716">
        <v>608.33000000000004</v>
      </c>
      <c r="G4241" s="716">
        <v>524.61</v>
      </c>
      <c r="H4241" s="225">
        <f t="shared" si="66"/>
        <v>608.33000000000004</v>
      </c>
    </row>
    <row r="4242" spans="1:8" x14ac:dyDescent="0.3">
      <c r="A4242" s="401"/>
      <c r="B4242" s="709">
        <v>7220</v>
      </c>
      <c r="C4242" s="710" t="s">
        <v>12568</v>
      </c>
      <c r="D4242" s="709" t="s">
        <v>136</v>
      </c>
      <c r="E4242" s="709" t="s">
        <v>8432</v>
      </c>
      <c r="F4242" s="716">
        <v>750.92</v>
      </c>
      <c r="G4242" s="716">
        <v>647.58000000000004</v>
      </c>
      <c r="H4242" s="225">
        <f t="shared" si="66"/>
        <v>750.92</v>
      </c>
    </row>
    <row r="4243" spans="1:8" x14ac:dyDescent="0.3">
      <c r="A4243" s="401"/>
      <c r="B4243" s="709">
        <v>34447</v>
      </c>
      <c r="C4243" s="710" t="s">
        <v>12569</v>
      </c>
      <c r="D4243" s="709" t="s">
        <v>136</v>
      </c>
      <c r="E4243" s="709" t="s">
        <v>8432</v>
      </c>
      <c r="F4243" s="716">
        <v>839.63</v>
      </c>
      <c r="G4243" s="716">
        <v>724.09</v>
      </c>
      <c r="H4243" s="225">
        <f t="shared" si="66"/>
        <v>839.63</v>
      </c>
    </row>
    <row r="4244" spans="1:8" x14ac:dyDescent="0.3">
      <c r="A4244" s="401"/>
      <c r="B4244" s="709">
        <v>7233</v>
      </c>
      <c r="C4244" s="710" t="s">
        <v>12570</v>
      </c>
      <c r="D4244" s="709" t="s">
        <v>136</v>
      </c>
      <c r="E4244" s="709" t="s">
        <v>8432</v>
      </c>
      <c r="F4244" s="716">
        <v>963.19</v>
      </c>
      <c r="G4244" s="716">
        <v>830.65</v>
      </c>
      <c r="H4244" s="225">
        <f t="shared" si="66"/>
        <v>963.19</v>
      </c>
    </row>
    <row r="4245" spans="1:8" x14ac:dyDescent="0.3">
      <c r="A4245" s="401"/>
      <c r="B4245" s="709">
        <v>40740</v>
      </c>
      <c r="C4245" s="710" t="s">
        <v>12571</v>
      </c>
      <c r="D4245" s="709" t="s">
        <v>168</v>
      </c>
      <c r="E4245" s="709" t="s">
        <v>8432</v>
      </c>
      <c r="F4245" s="716">
        <v>158.52000000000001</v>
      </c>
      <c r="G4245" s="716">
        <v>181.27</v>
      </c>
      <c r="H4245" s="225">
        <f t="shared" si="66"/>
        <v>158.52000000000001</v>
      </c>
    </row>
    <row r="4246" spans="1:8" x14ac:dyDescent="0.3">
      <c r="A4246" s="401"/>
      <c r="B4246" s="709">
        <v>25007</v>
      </c>
      <c r="C4246" s="710" t="s">
        <v>12572</v>
      </c>
      <c r="D4246" s="709" t="s">
        <v>168</v>
      </c>
      <c r="E4246" s="709" t="s">
        <v>8438</v>
      </c>
      <c r="F4246" s="716">
        <v>45.36</v>
      </c>
      <c r="G4246" s="716">
        <v>51.87</v>
      </c>
      <c r="H4246" s="225">
        <f t="shared" si="66"/>
        <v>45.36</v>
      </c>
    </row>
    <row r="4247" spans="1:8" x14ac:dyDescent="0.3">
      <c r="A4247" s="401"/>
      <c r="B4247" s="709">
        <v>43071</v>
      </c>
      <c r="C4247" s="710" t="s">
        <v>12573</v>
      </c>
      <c r="D4247" s="709" t="s">
        <v>168</v>
      </c>
      <c r="E4247" s="709" t="s">
        <v>8432</v>
      </c>
      <c r="F4247" s="716">
        <v>178.49</v>
      </c>
      <c r="G4247" s="716">
        <v>204.11</v>
      </c>
      <c r="H4247" s="225">
        <f t="shared" si="66"/>
        <v>178.49</v>
      </c>
    </row>
    <row r="4248" spans="1:8" x14ac:dyDescent="0.3">
      <c r="A4248" s="401"/>
      <c r="B4248" s="709">
        <v>39520</v>
      </c>
      <c r="C4248" s="710" t="s">
        <v>12574</v>
      </c>
      <c r="D4248" s="709" t="s">
        <v>168</v>
      </c>
      <c r="E4248" s="709" t="s">
        <v>8432</v>
      </c>
      <c r="F4248" s="716">
        <v>145.62</v>
      </c>
      <c r="G4248" s="716">
        <v>166.52</v>
      </c>
      <c r="H4248" s="225">
        <f t="shared" si="66"/>
        <v>145.62</v>
      </c>
    </row>
    <row r="4249" spans="1:8" x14ac:dyDescent="0.3">
      <c r="A4249" s="401"/>
      <c r="B4249" s="709">
        <v>39521</v>
      </c>
      <c r="C4249" s="710" t="s">
        <v>12575</v>
      </c>
      <c r="D4249" s="709" t="s">
        <v>168</v>
      </c>
      <c r="E4249" s="709" t="s">
        <v>8432</v>
      </c>
      <c r="F4249" s="716">
        <v>150.38</v>
      </c>
      <c r="G4249" s="716">
        <v>171.96</v>
      </c>
      <c r="H4249" s="225">
        <f t="shared" si="66"/>
        <v>150.38</v>
      </c>
    </row>
    <row r="4250" spans="1:8" x14ac:dyDescent="0.3">
      <c r="A4250" s="401"/>
      <c r="B4250" s="709">
        <v>39522</v>
      </c>
      <c r="C4250" s="710" t="s">
        <v>12576</v>
      </c>
      <c r="D4250" s="709" t="s">
        <v>168</v>
      </c>
      <c r="E4250" s="709" t="s">
        <v>8432</v>
      </c>
      <c r="F4250" s="716">
        <v>155.28</v>
      </c>
      <c r="G4250" s="716">
        <v>177.57</v>
      </c>
      <c r="H4250" s="225">
        <f t="shared" si="66"/>
        <v>155.28</v>
      </c>
    </row>
    <row r="4251" spans="1:8" x14ac:dyDescent="0.3">
      <c r="A4251" s="401"/>
      <c r="B4251" s="709">
        <v>7243</v>
      </c>
      <c r="C4251" s="710" t="s">
        <v>12577</v>
      </c>
      <c r="D4251" s="709" t="s">
        <v>168</v>
      </c>
      <c r="E4251" s="709" t="s">
        <v>8432</v>
      </c>
      <c r="F4251" s="716">
        <v>47.4</v>
      </c>
      <c r="G4251" s="716">
        <v>54.2</v>
      </c>
      <c r="H4251" s="225">
        <f t="shared" si="66"/>
        <v>47.4</v>
      </c>
    </row>
    <row r="4252" spans="1:8" x14ac:dyDescent="0.3">
      <c r="A4252" s="401"/>
      <c r="B4252" s="709">
        <v>7246</v>
      </c>
      <c r="C4252" s="710" t="s">
        <v>12578</v>
      </c>
      <c r="D4252" s="709" t="s">
        <v>136</v>
      </c>
      <c r="E4252" s="709" t="s">
        <v>8432</v>
      </c>
      <c r="F4252" s="716">
        <v>36.21</v>
      </c>
      <c r="G4252" s="716">
        <v>36.549999999999997</v>
      </c>
      <c r="H4252" s="225">
        <f t="shared" si="66"/>
        <v>36.21</v>
      </c>
    </row>
    <row r="4253" spans="1:8" x14ac:dyDescent="0.3">
      <c r="A4253" s="401"/>
      <c r="B4253" s="709">
        <v>12869</v>
      </c>
      <c r="C4253" s="710" t="s">
        <v>12579</v>
      </c>
      <c r="D4253" s="709" t="s">
        <v>234</v>
      </c>
      <c r="E4253" s="709" t="s">
        <v>8432</v>
      </c>
      <c r="F4253" s="716">
        <v>23.67</v>
      </c>
      <c r="G4253" s="716">
        <v>27.39</v>
      </c>
      <c r="H4253" s="225">
        <f t="shared" si="66"/>
        <v>23.67</v>
      </c>
    </row>
    <row r="4254" spans="1:8" x14ac:dyDescent="0.3">
      <c r="A4254" s="401"/>
      <c r="B4254" s="709">
        <v>41097</v>
      </c>
      <c r="C4254" s="710" t="s">
        <v>12580</v>
      </c>
      <c r="D4254" s="709" t="s">
        <v>208</v>
      </c>
      <c r="E4254" s="709" t="s">
        <v>8432</v>
      </c>
      <c r="F4254" s="716">
        <v>4162.1899999999996</v>
      </c>
      <c r="G4254" s="716">
        <v>4797.83</v>
      </c>
      <c r="H4254" s="225">
        <f t="shared" si="66"/>
        <v>4162.1899999999996</v>
      </c>
    </row>
    <row r="4255" spans="1:8" x14ac:dyDescent="0.3">
      <c r="A4255" s="401"/>
      <c r="B4255" s="709">
        <v>1574</v>
      </c>
      <c r="C4255" s="710" t="s">
        <v>12581</v>
      </c>
      <c r="D4255" s="709" t="s">
        <v>136</v>
      </c>
      <c r="E4255" s="709" t="s">
        <v>8432</v>
      </c>
      <c r="F4255" s="716">
        <v>2.08</v>
      </c>
      <c r="G4255" s="716">
        <v>1.76</v>
      </c>
      <c r="H4255" s="225">
        <f t="shared" si="66"/>
        <v>2.08</v>
      </c>
    </row>
    <row r="4256" spans="1:8" x14ac:dyDescent="0.3">
      <c r="A4256" s="401"/>
      <c r="B4256" s="709">
        <v>1581</v>
      </c>
      <c r="C4256" s="710" t="s">
        <v>12582</v>
      </c>
      <c r="D4256" s="709" t="s">
        <v>136</v>
      </c>
      <c r="E4256" s="709" t="s">
        <v>8432</v>
      </c>
      <c r="F4256" s="716">
        <v>14.45</v>
      </c>
      <c r="G4256" s="716">
        <v>12.23</v>
      </c>
      <c r="H4256" s="225">
        <f t="shared" si="66"/>
        <v>14.45</v>
      </c>
    </row>
    <row r="4257" spans="1:8" x14ac:dyDescent="0.3">
      <c r="A4257" s="401"/>
      <c r="B4257" s="709">
        <v>1575</v>
      </c>
      <c r="C4257" s="710" t="s">
        <v>12583</v>
      </c>
      <c r="D4257" s="709" t="s">
        <v>136</v>
      </c>
      <c r="E4257" s="709" t="s">
        <v>8432</v>
      </c>
      <c r="F4257" s="716">
        <v>2.4700000000000002</v>
      </c>
      <c r="G4257" s="716">
        <v>2.09</v>
      </c>
      <c r="H4257" s="225">
        <f t="shared" si="66"/>
        <v>2.4700000000000002</v>
      </c>
    </row>
    <row r="4258" spans="1:8" x14ac:dyDescent="0.3">
      <c r="A4258" s="401"/>
      <c r="B4258" s="709">
        <v>1570</v>
      </c>
      <c r="C4258" s="710" t="s">
        <v>12584</v>
      </c>
      <c r="D4258" s="709" t="s">
        <v>136</v>
      </c>
      <c r="E4258" s="709" t="s">
        <v>8432</v>
      </c>
      <c r="F4258" s="716">
        <v>1.24</v>
      </c>
      <c r="G4258" s="716">
        <v>1.05</v>
      </c>
      <c r="H4258" s="225">
        <f t="shared" si="66"/>
        <v>1.24</v>
      </c>
    </row>
    <row r="4259" spans="1:8" x14ac:dyDescent="0.3">
      <c r="A4259" s="401"/>
      <c r="B4259" s="709">
        <v>1576</v>
      </c>
      <c r="C4259" s="710" t="s">
        <v>12585</v>
      </c>
      <c r="D4259" s="709" t="s">
        <v>136</v>
      </c>
      <c r="E4259" s="709" t="s">
        <v>8432</v>
      </c>
      <c r="F4259" s="716">
        <v>3.42</v>
      </c>
      <c r="G4259" s="716">
        <v>2.9</v>
      </c>
      <c r="H4259" s="225">
        <f t="shared" si="66"/>
        <v>3.42</v>
      </c>
    </row>
    <row r="4260" spans="1:8" x14ac:dyDescent="0.3">
      <c r="A4260" s="401"/>
      <c r="B4260" s="709">
        <v>1577</v>
      </c>
      <c r="C4260" s="710" t="s">
        <v>12586</v>
      </c>
      <c r="D4260" s="709" t="s">
        <v>136</v>
      </c>
      <c r="E4260" s="709" t="s">
        <v>8432</v>
      </c>
      <c r="F4260" s="716">
        <v>3.86</v>
      </c>
      <c r="G4260" s="716">
        <v>3.27</v>
      </c>
      <c r="H4260" s="225">
        <f t="shared" si="66"/>
        <v>3.86</v>
      </c>
    </row>
    <row r="4261" spans="1:8" x14ac:dyDescent="0.3">
      <c r="A4261" s="401"/>
      <c r="B4261" s="709">
        <v>1571</v>
      </c>
      <c r="C4261" s="710" t="s">
        <v>12587</v>
      </c>
      <c r="D4261" s="709" t="s">
        <v>136</v>
      </c>
      <c r="E4261" s="709" t="s">
        <v>8432</v>
      </c>
      <c r="F4261" s="716">
        <v>1.61</v>
      </c>
      <c r="G4261" s="716">
        <v>1.37</v>
      </c>
      <c r="H4261" s="225">
        <f t="shared" si="66"/>
        <v>1.61</v>
      </c>
    </row>
    <row r="4262" spans="1:8" x14ac:dyDescent="0.3">
      <c r="A4262" s="401"/>
      <c r="B4262" s="709">
        <v>1578</v>
      </c>
      <c r="C4262" s="710" t="s">
        <v>12588</v>
      </c>
      <c r="D4262" s="709" t="s">
        <v>136</v>
      </c>
      <c r="E4262" s="709" t="s">
        <v>8432</v>
      </c>
      <c r="F4262" s="716">
        <v>6.69</v>
      </c>
      <c r="G4262" s="716">
        <v>5.67</v>
      </c>
      <c r="H4262" s="225">
        <f t="shared" si="66"/>
        <v>6.69</v>
      </c>
    </row>
    <row r="4263" spans="1:8" x14ac:dyDescent="0.3">
      <c r="A4263" s="401"/>
      <c r="B4263" s="709">
        <v>1573</v>
      </c>
      <c r="C4263" s="710" t="s">
        <v>12589</v>
      </c>
      <c r="D4263" s="709" t="s">
        <v>136</v>
      </c>
      <c r="E4263" s="709" t="s">
        <v>8432</v>
      </c>
      <c r="F4263" s="716">
        <v>1.93</v>
      </c>
      <c r="G4263" s="716">
        <v>1.63</v>
      </c>
      <c r="H4263" s="225">
        <f t="shared" si="66"/>
        <v>1.93</v>
      </c>
    </row>
    <row r="4264" spans="1:8" x14ac:dyDescent="0.3">
      <c r="A4264" s="401"/>
      <c r="B4264" s="709">
        <v>1579</v>
      </c>
      <c r="C4264" s="710" t="s">
        <v>12590</v>
      </c>
      <c r="D4264" s="709" t="s">
        <v>136</v>
      </c>
      <c r="E4264" s="709" t="s">
        <v>8432</v>
      </c>
      <c r="F4264" s="716">
        <v>8.34</v>
      </c>
      <c r="G4264" s="716">
        <v>7.06</v>
      </c>
      <c r="H4264" s="225">
        <f t="shared" si="66"/>
        <v>8.34</v>
      </c>
    </row>
    <row r="4265" spans="1:8" x14ac:dyDescent="0.3">
      <c r="A4265" s="401"/>
      <c r="B4265" s="709">
        <v>1580</v>
      </c>
      <c r="C4265" s="710" t="s">
        <v>12591</v>
      </c>
      <c r="D4265" s="709" t="s">
        <v>136</v>
      </c>
      <c r="E4265" s="709" t="s">
        <v>8432</v>
      </c>
      <c r="F4265" s="716">
        <v>10.27</v>
      </c>
      <c r="G4265" s="716">
        <v>8.6999999999999993</v>
      </c>
      <c r="H4265" s="225">
        <f t="shared" si="66"/>
        <v>10.27</v>
      </c>
    </row>
    <row r="4266" spans="1:8" x14ac:dyDescent="0.3">
      <c r="A4266" s="401"/>
      <c r="B4266" s="709">
        <v>39321</v>
      </c>
      <c r="C4266" s="710" t="s">
        <v>12592</v>
      </c>
      <c r="D4266" s="709" t="s">
        <v>136</v>
      </c>
      <c r="E4266" s="709" t="s">
        <v>8432</v>
      </c>
      <c r="F4266" s="716">
        <v>28.89</v>
      </c>
      <c r="G4266" s="716">
        <v>29.16</v>
      </c>
      <c r="H4266" s="225">
        <f t="shared" si="66"/>
        <v>28.89</v>
      </c>
    </row>
    <row r="4267" spans="1:8" x14ac:dyDescent="0.3">
      <c r="A4267" s="401"/>
      <c r="B4267" s="709">
        <v>39319</v>
      </c>
      <c r="C4267" s="710" t="s">
        <v>12593</v>
      </c>
      <c r="D4267" s="709" t="s">
        <v>136</v>
      </c>
      <c r="E4267" s="709" t="s">
        <v>8432</v>
      </c>
      <c r="F4267" s="716">
        <v>12.02</v>
      </c>
      <c r="G4267" s="716">
        <v>12.14</v>
      </c>
      <c r="H4267" s="225">
        <f t="shared" si="66"/>
        <v>12.02</v>
      </c>
    </row>
    <row r="4268" spans="1:8" x14ac:dyDescent="0.3">
      <c r="A4268" s="401"/>
      <c r="B4268" s="709">
        <v>39320</v>
      </c>
      <c r="C4268" s="710" t="s">
        <v>12594</v>
      </c>
      <c r="D4268" s="709" t="s">
        <v>136</v>
      </c>
      <c r="E4268" s="709" t="s">
        <v>8432</v>
      </c>
      <c r="F4268" s="716">
        <v>23.11</v>
      </c>
      <c r="G4268" s="716">
        <v>23.33</v>
      </c>
      <c r="H4268" s="225">
        <f t="shared" si="66"/>
        <v>23.11</v>
      </c>
    </row>
    <row r="4269" spans="1:8" x14ac:dyDescent="0.3">
      <c r="A4269" s="401"/>
      <c r="B4269" s="709">
        <v>1542</v>
      </c>
      <c r="C4269" s="710" t="s">
        <v>12595</v>
      </c>
      <c r="D4269" s="709" t="s">
        <v>136</v>
      </c>
      <c r="E4269" s="709" t="s">
        <v>8432</v>
      </c>
      <c r="F4269" s="716">
        <v>28.46</v>
      </c>
      <c r="G4269" s="716">
        <v>24.1</v>
      </c>
      <c r="H4269" s="225">
        <f t="shared" si="66"/>
        <v>28.46</v>
      </c>
    </row>
    <row r="4270" spans="1:8" x14ac:dyDescent="0.3">
      <c r="A4270" s="401"/>
      <c r="B4270" s="709">
        <v>1591</v>
      </c>
      <c r="C4270" s="710" t="s">
        <v>12596</v>
      </c>
      <c r="D4270" s="709" t="s">
        <v>136</v>
      </c>
      <c r="E4270" s="709" t="s">
        <v>8432</v>
      </c>
      <c r="F4270" s="716">
        <v>31.86</v>
      </c>
      <c r="G4270" s="716">
        <v>26.98</v>
      </c>
      <c r="H4270" s="225">
        <f t="shared" si="66"/>
        <v>31.86</v>
      </c>
    </row>
    <row r="4271" spans="1:8" x14ac:dyDescent="0.3">
      <c r="A4271" s="401"/>
      <c r="B4271" s="709">
        <v>1547</v>
      </c>
      <c r="C4271" s="710" t="s">
        <v>12597</v>
      </c>
      <c r="D4271" s="709" t="s">
        <v>136</v>
      </c>
      <c r="E4271" s="709" t="s">
        <v>8432</v>
      </c>
      <c r="F4271" s="716">
        <v>166.93</v>
      </c>
      <c r="G4271" s="716">
        <v>141.36000000000001</v>
      </c>
      <c r="H4271" s="225">
        <f t="shared" si="66"/>
        <v>166.93</v>
      </c>
    </row>
    <row r="4272" spans="1:8" x14ac:dyDescent="0.3">
      <c r="A4272" s="401"/>
      <c r="B4272" s="709">
        <v>38196</v>
      </c>
      <c r="C4272" s="710" t="s">
        <v>12598</v>
      </c>
      <c r="D4272" s="709" t="s">
        <v>136</v>
      </c>
      <c r="E4272" s="709" t="s">
        <v>8432</v>
      </c>
      <c r="F4272" s="716">
        <v>32.51</v>
      </c>
      <c r="G4272" s="716">
        <v>27.53</v>
      </c>
      <c r="H4272" s="225">
        <f t="shared" si="66"/>
        <v>32.51</v>
      </c>
    </row>
    <row r="4273" spans="1:8" x14ac:dyDescent="0.3">
      <c r="A4273" s="401"/>
      <c r="B4273" s="709">
        <v>1543</v>
      </c>
      <c r="C4273" s="710" t="s">
        <v>12599</v>
      </c>
      <c r="D4273" s="709" t="s">
        <v>136</v>
      </c>
      <c r="E4273" s="709" t="s">
        <v>8432</v>
      </c>
      <c r="F4273" s="716">
        <v>34.549999999999997</v>
      </c>
      <c r="G4273" s="716">
        <v>29.26</v>
      </c>
      <c r="H4273" s="225">
        <f t="shared" si="66"/>
        <v>34.549999999999997</v>
      </c>
    </row>
    <row r="4274" spans="1:8" x14ac:dyDescent="0.3">
      <c r="A4274" s="401"/>
      <c r="B4274" s="709">
        <v>1585</v>
      </c>
      <c r="C4274" s="710" t="s">
        <v>12600</v>
      </c>
      <c r="D4274" s="709" t="s">
        <v>136</v>
      </c>
      <c r="E4274" s="709" t="s">
        <v>8432</v>
      </c>
      <c r="F4274" s="716">
        <v>6.69</v>
      </c>
      <c r="G4274" s="716">
        <v>5.67</v>
      </c>
      <c r="H4274" s="225">
        <f t="shared" si="66"/>
        <v>6.69</v>
      </c>
    </row>
    <row r="4275" spans="1:8" x14ac:dyDescent="0.3">
      <c r="A4275" s="401"/>
      <c r="B4275" s="709">
        <v>1593</v>
      </c>
      <c r="C4275" s="710" t="s">
        <v>12601</v>
      </c>
      <c r="D4275" s="709" t="s">
        <v>136</v>
      </c>
      <c r="E4275" s="709" t="s">
        <v>8432</v>
      </c>
      <c r="F4275" s="716">
        <v>35.53</v>
      </c>
      <c r="G4275" s="716">
        <v>30.09</v>
      </c>
      <c r="H4275" s="225">
        <f t="shared" si="66"/>
        <v>35.53</v>
      </c>
    </row>
    <row r="4276" spans="1:8" x14ac:dyDescent="0.3">
      <c r="A4276" s="401"/>
      <c r="B4276" s="709">
        <v>11838</v>
      </c>
      <c r="C4276" s="710" t="s">
        <v>12602</v>
      </c>
      <c r="D4276" s="709" t="s">
        <v>136</v>
      </c>
      <c r="E4276" s="709" t="s">
        <v>8432</v>
      </c>
      <c r="F4276" s="716">
        <v>46.88</v>
      </c>
      <c r="G4276" s="716">
        <v>39.700000000000003</v>
      </c>
      <c r="H4276" s="225">
        <f t="shared" si="66"/>
        <v>46.88</v>
      </c>
    </row>
    <row r="4277" spans="1:8" x14ac:dyDescent="0.3">
      <c r="A4277" s="401"/>
      <c r="B4277" s="709">
        <v>1594</v>
      </c>
      <c r="C4277" s="710" t="s">
        <v>12603</v>
      </c>
      <c r="D4277" s="709" t="s">
        <v>136</v>
      </c>
      <c r="E4277" s="709" t="s">
        <v>8432</v>
      </c>
      <c r="F4277" s="716">
        <v>47.4</v>
      </c>
      <c r="G4277" s="716">
        <v>40.14</v>
      </c>
      <c r="H4277" s="225">
        <f t="shared" si="66"/>
        <v>47.4</v>
      </c>
    </row>
    <row r="4278" spans="1:8" x14ac:dyDescent="0.3">
      <c r="A4278" s="401"/>
      <c r="B4278" s="709">
        <v>1586</v>
      </c>
      <c r="C4278" s="710" t="s">
        <v>12604</v>
      </c>
      <c r="D4278" s="709" t="s">
        <v>136</v>
      </c>
      <c r="E4278" s="709" t="s">
        <v>8432</v>
      </c>
      <c r="F4278" s="716">
        <v>8.4700000000000006</v>
      </c>
      <c r="G4278" s="716">
        <v>7.17</v>
      </c>
      <c r="H4278" s="225">
        <f t="shared" si="66"/>
        <v>8.4700000000000006</v>
      </c>
    </row>
    <row r="4279" spans="1:8" x14ac:dyDescent="0.3">
      <c r="A4279" s="401"/>
      <c r="B4279" s="709">
        <v>11839</v>
      </c>
      <c r="C4279" s="710" t="s">
        <v>12605</v>
      </c>
      <c r="D4279" s="709" t="s">
        <v>136</v>
      </c>
      <c r="E4279" s="709" t="s">
        <v>8432</v>
      </c>
      <c r="F4279" s="716">
        <v>68.22</v>
      </c>
      <c r="G4279" s="716">
        <v>57.77</v>
      </c>
      <c r="H4279" s="225">
        <f t="shared" si="66"/>
        <v>68.22</v>
      </c>
    </row>
    <row r="4280" spans="1:8" x14ac:dyDescent="0.3">
      <c r="A4280" s="401"/>
      <c r="B4280" s="709">
        <v>1587</v>
      </c>
      <c r="C4280" s="710" t="s">
        <v>12606</v>
      </c>
      <c r="D4280" s="709" t="s">
        <v>136</v>
      </c>
      <c r="E4280" s="709" t="s">
        <v>8432</v>
      </c>
      <c r="F4280" s="716">
        <v>8.6199999999999992</v>
      </c>
      <c r="G4280" s="716">
        <v>7.3</v>
      </c>
      <c r="H4280" s="225">
        <f t="shared" si="66"/>
        <v>8.6199999999999992</v>
      </c>
    </row>
    <row r="4281" spans="1:8" x14ac:dyDescent="0.3">
      <c r="A4281" s="401"/>
      <c r="B4281" s="709">
        <v>1545</v>
      </c>
      <c r="C4281" s="710" t="s">
        <v>12607</v>
      </c>
      <c r="D4281" s="709" t="s">
        <v>136</v>
      </c>
      <c r="E4281" s="709" t="s">
        <v>8432</v>
      </c>
      <c r="F4281" s="716">
        <v>81.86</v>
      </c>
      <c r="G4281" s="716">
        <v>69.319999999999993</v>
      </c>
      <c r="H4281" s="225">
        <f t="shared" si="66"/>
        <v>81.86</v>
      </c>
    </row>
    <row r="4282" spans="1:8" x14ac:dyDescent="0.3">
      <c r="A4282" s="401"/>
      <c r="B4282" s="709">
        <v>1588</v>
      </c>
      <c r="C4282" s="710" t="s">
        <v>12608</v>
      </c>
      <c r="D4282" s="709" t="s">
        <v>136</v>
      </c>
      <c r="E4282" s="709" t="s">
        <v>8432</v>
      </c>
      <c r="F4282" s="716">
        <v>11.83</v>
      </c>
      <c r="G4282" s="716">
        <v>10.02</v>
      </c>
      <c r="H4282" s="225">
        <f t="shared" si="66"/>
        <v>11.83</v>
      </c>
    </row>
    <row r="4283" spans="1:8" x14ac:dyDescent="0.3">
      <c r="A4283" s="401"/>
      <c r="B4283" s="709">
        <v>1535</v>
      </c>
      <c r="C4283" s="710" t="s">
        <v>12609</v>
      </c>
      <c r="D4283" s="709" t="s">
        <v>136</v>
      </c>
      <c r="E4283" s="709" t="s">
        <v>8432</v>
      </c>
      <c r="F4283" s="716">
        <v>6.82</v>
      </c>
      <c r="G4283" s="716">
        <v>5.77</v>
      </c>
      <c r="H4283" s="225">
        <f t="shared" si="66"/>
        <v>6.82</v>
      </c>
    </row>
    <row r="4284" spans="1:8" x14ac:dyDescent="0.3">
      <c r="A4284" s="401"/>
      <c r="B4284" s="709">
        <v>1589</v>
      </c>
      <c r="C4284" s="710" t="s">
        <v>12610</v>
      </c>
      <c r="D4284" s="709" t="s">
        <v>136</v>
      </c>
      <c r="E4284" s="709" t="s">
        <v>8432</v>
      </c>
      <c r="F4284" s="716">
        <v>12.2</v>
      </c>
      <c r="G4284" s="716">
        <v>10.33</v>
      </c>
      <c r="H4284" s="225">
        <f t="shared" si="66"/>
        <v>12.2</v>
      </c>
    </row>
    <row r="4285" spans="1:8" x14ac:dyDescent="0.3">
      <c r="A4285" s="401"/>
      <c r="B4285" s="709">
        <v>1546</v>
      </c>
      <c r="C4285" s="710" t="s">
        <v>12611</v>
      </c>
      <c r="D4285" s="709" t="s">
        <v>136</v>
      </c>
      <c r="E4285" s="709" t="s">
        <v>8432</v>
      </c>
      <c r="F4285" s="716">
        <v>138.13999999999999</v>
      </c>
      <c r="G4285" s="716">
        <v>116.98</v>
      </c>
      <c r="H4285" s="225">
        <f t="shared" si="66"/>
        <v>138.13999999999999</v>
      </c>
    </row>
    <row r="4286" spans="1:8" x14ac:dyDescent="0.3">
      <c r="A4286" s="401"/>
      <c r="B4286" s="709">
        <v>1590</v>
      </c>
      <c r="C4286" s="710" t="s">
        <v>12612</v>
      </c>
      <c r="D4286" s="709" t="s">
        <v>136</v>
      </c>
      <c r="E4286" s="709" t="s">
        <v>8432</v>
      </c>
      <c r="F4286" s="716">
        <v>21.49</v>
      </c>
      <c r="G4286" s="716">
        <v>18.190000000000001</v>
      </c>
      <c r="H4286" s="225">
        <f t="shared" si="66"/>
        <v>21.49</v>
      </c>
    </row>
    <row r="4287" spans="1:8" x14ac:dyDescent="0.3">
      <c r="A4287" s="401"/>
      <c r="B4287" s="709">
        <v>38415</v>
      </c>
      <c r="C4287" s="710" t="s">
        <v>12613</v>
      </c>
      <c r="D4287" s="709" t="s">
        <v>136</v>
      </c>
      <c r="E4287" s="709" t="s">
        <v>8432</v>
      </c>
      <c r="F4287" s="716">
        <v>644.84</v>
      </c>
      <c r="G4287" s="716">
        <v>545.75</v>
      </c>
      <c r="H4287" s="225">
        <f t="shared" si="66"/>
        <v>644.84</v>
      </c>
    </row>
    <row r="4288" spans="1:8" x14ac:dyDescent="0.3">
      <c r="A4288" s="401"/>
      <c r="B4288" s="709">
        <v>38414</v>
      </c>
      <c r="C4288" s="710" t="s">
        <v>12614</v>
      </c>
      <c r="D4288" s="709" t="s">
        <v>136</v>
      </c>
      <c r="E4288" s="709" t="s">
        <v>8432</v>
      </c>
      <c r="F4288" s="716">
        <v>822.53</v>
      </c>
      <c r="G4288" s="716">
        <v>696.14</v>
      </c>
      <c r="H4288" s="225">
        <f t="shared" si="66"/>
        <v>822.53</v>
      </c>
    </row>
    <row r="4289" spans="1:8" x14ac:dyDescent="0.3">
      <c r="A4289" s="401"/>
      <c r="B4289" s="709">
        <v>38128</v>
      </c>
      <c r="C4289" s="710" t="s">
        <v>12615</v>
      </c>
      <c r="D4289" s="709" t="s">
        <v>175</v>
      </c>
      <c r="E4289" s="709" t="s">
        <v>8438</v>
      </c>
      <c r="F4289" s="716">
        <v>0.94</v>
      </c>
      <c r="G4289" s="716">
        <v>1.1000000000000001</v>
      </c>
      <c r="H4289" s="225">
        <f t="shared" si="66"/>
        <v>0.94</v>
      </c>
    </row>
    <row r="4290" spans="1:8" x14ac:dyDescent="0.3">
      <c r="A4290" s="401"/>
      <c r="B4290" s="709">
        <v>7253</v>
      </c>
      <c r="C4290" s="710" t="s">
        <v>12616</v>
      </c>
      <c r="D4290" s="709" t="s">
        <v>170</v>
      </c>
      <c r="E4290" s="709" t="s">
        <v>8432</v>
      </c>
      <c r="F4290" s="716">
        <v>201.42</v>
      </c>
      <c r="G4290" s="716">
        <v>235.71</v>
      </c>
      <c r="H4290" s="225">
        <f t="shared" si="66"/>
        <v>201.42</v>
      </c>
    </row>
    <row r="4291" spans="1:8" x14ac:dyDescent="0.3">
      <c r="A4291" s="401"/>
      <c r="B4291" s="709">
        <v>4806</v>
      </c>
      <c r="C4291" s="710" t="s">
        <v>12617</v>
      </c>
      <c r="D4291" s="709" t="s">
        <v>159</v>
      </c>
      <c r="E4291" s="709" t="s">
        <v>8432</v>
      </c>
      <c r="F4291" s="716">
        <v>15.04</v>
      </c>
      <c r="G4291" s="716">
        <v>18.190000000000001</v>
      </c>
      <c r="H4291" s="225">
        <f t="shared" si="66"/>
        <v>15.04</v>
      </c>
    </row>
    <row r="4292" spans="1:8" x14ac:dyDescent="0.3">
      <c r="A4292" s="401"/>
      <c r="B4292" s="709">
        <v>34401</v>
      </c>
      <c r="C4292" s="710" t="s">
        <v>12618</v>
      </c>
      <c r="D4292" s="709" t="s">
        <v>136</v>
      </c>
      <c r="E4292" s="709" t="s">
        <v>8432</v>
      </c>
      <c r="F4292" s="716">
        <v>1.82</v>
      </c>
      <c r="G4292" s="716">
        <v>1.72</v>
      </c>
      <c r="H4292" s="225">
        <f t="shared" si="66"/>
        <v>1.82</v>
      </c>
    </row>
    <row r="4293" spans="1:8" x14ac:dyDescent="0.3">
      <c r="A4293" s="401"/>
      <c r="B4293" s="709">
        <v>7256</v>
      </c>
      <c r="C4293" s="710" t="s">
        <v>12619</v>
      </c>
      <c r="D4293" s="709" t="s">
        <v>136</v>
      </c>
      <c r="E4293" s="709" t="s">
        <v>8432</v>
      </c>
      <c r="F4293" s="716">
        <v>1.3</v>
      </c>
      <c r="G4293" s="716">
        <v>1.23</v>
      </c>
      <c r="H4293" s="225">
        <f t="shared" si="66"/>
        <v>1.3</v>
      </c>
    </row>
    <row r="4294" spans="1:8" x14ac:dyDescent="0.3">
      <c r="A4294" s="401"/>
      <c r="B4294" s="709">
        <v>7260</v>
      </c>
      <c r="C4294" s="710" t="s">
        <v>12620</v>
      </c>
      <c r="D4294" s="709" t="s">
        <v>136</v>
      </c>
      <c r="E4294" s="709" t="s">
        <v>8432</v>
      </c>
      <c r="F4294" s="716">
        <v>2.4500000000000002</v>
      </c>
      <c r="G4294" s="716">
        <v>2.3199999999999998</v>
      </c>
      <c r="H4294" s="225">
        <f t="shared" si="66"/>
        <v>2.4500000000000002</v>
      </c>
    </row>
    <row r="4295" spans="1:8" x14ac:dyDescent="0.3">
      <c r="A4295" s="401"/>
      <c r="B4295" s="709">
        <v>7258</v>
      </c>
      <c r="C4295" s="710" t="s">
        <v>12621</v>
      </c>
      <c r="D4295" s="709" t="s">
        <v>136</v>
      </c>
      <c r="E4295" s="709" t="s">
        <v>8432</v>
      </c>
      <c r="F4295" s="716">
        <v>0.63</v>
      </c>
      <c r="G4295" s="716">
        <v>0.6</v>
      </c>
      <c r="H4295" s="225">
        <f t="shared" si="66"/>
        <v>0.63</v>
      </c>
    </row>
    <row r="4296" spans="1:8" x14ac:dyDescent="0.3">
      <c r="A4296" s="401"/>
      <c r="B4296" s="709">
        <v>34400</v>
      </c>
      <c r="C4296" s="710" t="s">
        <v>12622</v>
      </c>
      <c r="D4296" s="709" t="s">
        <v>136</v>
      </c>
      <c r="E4296" s="709" t="s">
        <v>8432</v>
      </c>
      <c r="F4296" s="716">
        <v>5.05</v>
      </c>
      <c r="G4296" s="716">
        <v>4.78</v>
      </c>
      <c r="H4296" s="225">
        <f t="shared" si="66"/>
        <v>5.05</v>
      </c>
    </row>
    <row r="4297" spans="1:8" x14ac:dyDescent="0.3">
      <c r="A4297" s="401"/>
      <c r="B4297" s="709">
        <v>10617</v>
      </c>
      <c r="C4297" s="710" t="s">
        <v>12623</v>
      </c>
      <c r="D4297" s="709" t="s">
        <v>136</v>
      </c>
      <c r="E4297" s="709" t="s">
        <v>8432</v>
      </c>
      <c r="F4297" s="716">
        <v>6.51</v>
      </c>
      <c r="G4297" s="716">
        <v>6.16</v>
      </c>
      <c r="H4297" s="225">
        <f t="shared" si="66"/>
        <v>6.51</v>
      </c>
    </row>
    <row r="4298" spans="1:8" x14ac:dyDescent="0.3">
      <c r="A4298" s="401"/>
      <c r="B4298" s="709">
        <v>44261</v>
      </c>
      <c r="C4298" s="710" t="s">
        <v>12624</v>
      </c>
      <c r="D4298" s="709" t="s">
        <v>136</v>
      </c>
      <c r="E4298" s="709" t="s">
        <v>8432</v>
      </c>
      <c r="F4298" s="716">
        <v>191.91</v>
      </c>
      <c r="G4298" s="716">
        <v>193.77</v>
      </c>
      <c r="H4298" s="225">
        <f t="shared" si="66"/>
        <v>191.91</v>
      </c>
    </row>
    <row r="4299" spans="1:8" x14ac:dyDescent="0.3">
      <c r="A4299" s="401"/>
      <c r="B4299" s="709">
        <v>7274</v>
      </c>
      <c r="C4299" s="710" t="s">
        <v>12625</v>
      </c>
      <c r="D4299" s="709" t="s">
        <v>136</v>
      </c>
      <c r="E4299" s="709" t="s">
        <v>8432</v>
      </c>
      <c r="F4299" s="716">
        <v>92.91</v>
      </c>
      <c r="G4299" s="716">
        <v>93.81</v>
      </c>
      <c r="H4299" s="225">
        <f t="shared" ref="H4299:H4362" si="67">IF(F4299&gt;0,F4299,G4299)</f>
        <v>92.91</v>
      </c>
    </row>
    <row r="4300" spans="1:8" x14ac:dyDescent="0.3">
      <c r="A4300" s="401"/>
      <c r="B4300" s="709">
        <v>44326</v>
      </c>
      <c r="C4300" s="710" t="s">
        <v>12626</v>
      </c>
      <c r="D4300" s="709" t="s">
        <v>136</v>
      </c>
      <c r="E4300" s="709" t="s">
        <v>8432</v>
      </c>
      <c r="F4300" s="716">
        <v>2006.66</v>
      </c>
      <c r="G4300" s="716">
        <v>2026.08</v>
      </c>
      <c r="H4300" s="225">
        <f t="shared" si="67"/>
        <v>2006.66</v>
      </c>
    </row>
    <row r="4301" spans="1:8" x14ac:dyDescent="0.3">
      <c r="A4301" s="401"/>
      <c r="B4301" s="709">
        <v>154</v>
      </c>
      <c r="C4301" s="710" t="s">
        <v>12627</v>
      </c>
      <c r="D4301" s="709" t="s">
        <v>8120</v>
      </c>
      <c r="E4301" s="709" t="s">
        <v>8432</v>
      </c>
      <c r="F4301" s="716">
        <v>76.650000000000006</v>
      </c>
      <c r="G4301" s="716">
        <v>70.260000000000005</v>
      </c>
      <c r="H4301" s="225">
        <f t="shared" si="67"/>
        <v>76.650000000000006</v>
      </c>
    </row>
    <row r="4302" spans="1:8" x14ac:dyDescent="0.3">
      <c r="A4302" s="401"/>
      <c r="B4302" s="709">
        <v>38121</v>
      </c>
      <c r="C4302" s="710" t="s">
        <v>12628</v>
      </c>
      <c r="D4302" s="709" t="s">
        <v>8120</v>
      </c>
      <c r="E4302" s="709" t="s">
        <v>8432</v>
      </c>
      <c r="F4302" s="716">
        <v>18.489999999999998</v>
      </c>
      <c r="G4302" s="716">
        <v>23.72</v>
      </c>
      <c r="H4302" s="225">
        <f t="shared" si="67"/>
        <v>18.489999999999998</v>
      </c>
    </row>
    <row r="4303" spans="1:8" x14ac:dyDescent="0.3">
      <c r="A4303" s="401"/>
      <c r="B4303" s="709">
        <v>43776</v>
      </c>
      <c r="C4303" s="710" t="s">
        <v>12629</v>
      </c>
      <c r="D4303" s="709" t="s">
        <v>8120</v>
      </c>
      <c r="E4303" s="709" t="s">
        <v>8432</v>
      </c>
      <c r="F4303" s="716">
        <v>29.59</v>
      </c>
      <c r="G4303" s="716">
        <v>29.22</v>
      </c>
      <c r="H4303" s="225">
        <f t="shared" si="67"/>
        <v>29.59</v>
      </c>
    </row>
    <row r="4304" spans="1:8" x14ac:dyDescent="0.3">
      <c r="A4304" s="401"/>
      <c r="B4304" s="709">
        <v>7343</v>
      </c>
      <c r="C4304" s="710" t="s">
        <v>12630</v>
      </c>
      <c r="D4304" s="709" t="s">
        <v>8120</v>
      </c>
      <c r="E4304" s="709" t="s">
        <v>8432</v>
      </c>
      <c r="F4304" s="716">
        <v>27.2</v>
      </c>
      <c r="G4304" s="716">
        <v>34.89</v>
      </c>
      <c r="H4304" s="225">
        <f t="shared" si="67"/>
        <v>27.2</v>
      </c>
    </row>
    <row r="4305" spans="1:8" x14ac:dyDescent="0.3">
      <c r="A4305" s="401"/>
      <c r="B4305" s="709">
        <v>7348</v>
      </c>
      <c r="C4305" s="710" t="s">
        <v>12631</v>
      </c>
      <c r="D4305" s="709" t="s">
        <v>8120</v>
      </c>
      <c r="E4305" s="709" t="s">
        <v>8432</v>
      </c>
      <c r="F4305" s="716">
        <v>22.31</v>
      </c>
      <c r="G4305" s="716">
        <v>21.64</v>
      </c>
      <c r="H4305" s="225">
        <f t="shared" si="67"/>
        <v>22.31</v>
      </c>
    </row>
    <row r="4306" spans="1:8" x14ac:dyDescent="0.3">
      <c r="A4306" s="401"/>
      <c r="B4306" s="709">
        <v>7313</v>
      </c>
      <c r="C4306" s="710" t="s">
        <v>12632</v>
      </c>
      <c r="D4306" s="709" t="s">
        <v>8120</v>
      </c>
      <c r="E4306" s="709" t="s">
        <v>8432</v>
      </c>
      <c r="F4306" s="716">
        <v>22.75</v>
      </c>
      <c r="G4306" s="716">
        <v>21.32</v>
      </c>
      <c r="H4306" s="225">
        <f t="shared" si="67"/>
        <v>22.75</v>
      </c>
    </row>
    <row r="4307" spans="1:8" x14ac:dyDescent="0.3">
      <c r="A4307" s="401"/>
      <c r="B4307" s="709">
        <v>7319</v>
      </c>
      <c r="C4307" s="710" t="s">
        <v>12633</v>
      </c>
      <c r="D4307" s="709" t="s">
        <v>8120</v>
      </c>
      <c r="E4307" s="709" t="s">
        <v>8432</v>
      </c>
      <c r="F4307" s="716">
        <v>13.02</v>
      </c>
      <c r="G4307" s="716">
        <v>12.2</v>
      </c>
      <c r="H4307" s="225">
        <f t="shared" si="67"/>
        <v>13.02</v>
      </c>
    </row>
    <row r="4308" spans="1:8" x14ac:dyDescent="0.3">
      <c r="A4308" s="401"/>
      <c r="B4308" s="709">
        <v>7314</v>
      </c>
      <c r="C4308" s="710" t="s">
        <v>12634</v>
      </c>
      <c r="D4308" s="709" t="s">
        <v>8120</v>
      </c>
      <c r="E4308" s="709" t="s">
        <v>8432</v>
      </c>
      <c r="F4308" s="716">
        <v>64.64</v>
      </c>
      <c r="G4308" s="716">
        <v>82.92</v>
      </c>
      <c r="H4308" s="225">
        <f t="shared" si="67"/>
        <v>64.64</v>
      </c>
    </row>
    <row r="4309" spans="1:8" x14ac:dyDescent="0.3">
      <c r="A4309" s="401"/>
      <c r="B4309" s="709">
        <v>7304</v>
      </c>
      <c r="C4309" s="710" t="s">
        <v>12635</v>
      </c>
      <c r="D4309" s="709" t="s">
        <v>8120</v>
      </c>
      <c r="E4309" s="709" t="s">
        <v>8432</v>
      </c>
      <c r="F4309" s="716">
        <v>87.68</v>
      </c>
      <c r="G4309" s="716">
        <v>86.59</v>
      </c>
      <c r="H4309" s="225">
        <f t="shared" si="67"/>
        <v>87.68</v>
      </c>
    </row>
    <row r="4310" spans="1:8" x14ac:dyDescent="0.3">
      <c r="A4310" s="401"/>
      <c r="B4310" s="709">
        <v>43649</v>
      </c>
      <c r="C4310" s="710" t="s">
        <v>12636</v>
      </c>
      <c r="D4310" s="709" t="s">
        <v>8120</v>
      </c>
      <c r="E4310" s="709" t="s">
        <v>8432</v>
      </c>
      <c r="F4310" s="716">
        <v>45.35</v>
      </c>
      <c r="G4310" s="716">
        <v>44.78</v>
      </c>
      <c r="H4310" s="225">
        <f t="shared" si="67"/>
        <v>45.35</v>
      </c>
    </row>
    <row r="4311" spans="1:8" x14ac:dyDescent="0.3">
      <c r="A4311" s="401"/>
      <c r="B4311" s="709">
        <v>43650</v>
      </c>
      <c r="C4311" s="710" t="s">
        <v>12637</v>
      </c>
      <c r="D4311" s="709" t="s">
        <v>8120</v>
      </c>
      <c r="E4311" s="709" t="s">
        <v>8432</v>
      </c>
      <c r="F4311" s="716">
        <v>42.85</v>
      </c>
      <c r="G4311" s="716">
        <v>42.32</v>
      </c>
      <c r="H4311" s="225">
        <f t="shared" si="67"/>
        <v>42.85</v>
      </c>
    </row>
    <row r="4312" spans="1:8" x14ac:dyDescent="0.3">
      <c r="A4312" s="401"/>
      <c r="B4312" s="709">
        <v>7311</v>
      </c>
      <c r="C4312" s="710" t="s">
        <v>12638</v>
      </c>
      <c r="D4312" s="709" t="s">
        <v>8120</v>
      </c>
      <c r="E4312" s="709" t="s">
        <v>8432</v>
      </c>
      <c r="F4312" s="716">
        <v>43.9</v>
      </c>
      <c r="G4312" s="716">
        <v>43.35</v>
      </c>
      <c r="H4312" s="225">
        <f t="shared" si="67"/>
        <v>43.9</v>
      </c>
    </row>
    <row r="4313" spans="1:8" x14ac:dyDescent="0.3">
      <c r="A4313" s="401"/>
      <c r="B4313" s="709">
        <v>7292</v>
      </c>
      <c r="C4313" s="710" t="s">
        <v>12639</v>
      </c>
      <c r="D4313" s="709" t="s">
        <v>8120</v>
      </c>
      <c r="E4313" s="709" t="s">
        <v>8438</v>
      </c>
      <c r="F4313" s="716">
        <v>42.5</v>
      </c>
      <c r="G4313" s="716">
        <v>41.97</v>
      </c>
      <c r="H4313" s="225">
        <f t="shared" si="67"/>
        <v>42.5</v>
      </c>
    </row>
    <row r="4314" spans="1:8" x14ac:dyDescent="0.3">
      <c r="A4314" s="401"/>
      <c r="B4314" s="709">
        <v>7293</v>
      </c>
      <c r="C4314" s="710" t="s">
        <v>12640</v>
      </c>
      <c r="D4314" s="709" t="s">
        <v>8120</v>
      </c>
      <c r="E4314" s="709" t="s">
        <v>8432</v>
      </c>
      <c r="F4314" s="716">
        <v>47.02</v>
      </c>
      <c r="G4314" s="716">
        <v>46.43</v>
      </c>
      <c r="H4314" s="225">
        <f t="shared" si="67"/>
        <v>47.02</v>
      </c>
    </row>
    <row r="4315" spans="1:8" x14ac:dyDescent="0.3">
      <c r="A4315" s="401"/>
      <c r="B4315" s="709">
        <v>7306</v>
      </c>
      <c r="C4315" s="710" t="s">
        <v>12641</v>
      </c>
      <c r="D4315" s="709" t="s">
        <v>8120</v>
      </c>
      <c r="E4315" s="709" t="s">
        <v>8432</v>
      </c>
      <c r="F4315" s="716">
        <v>51.89</v>
      </c>
      <c r="G4315" s="716">
        <v>51.24</v>
      </c>
      <c r="H4315" s="225">
        <f t="shared" si="67"/>
        <v>51.89</v>
      </c>
    </row>
    <row r="4316" spans="1:8" x14ac:dyDescent="0.3">
      <c r="A4316" s="401"/>
      <c r="B4316" s="709">
        <v>7288</v>
      </c>
      <c r="C4316" s="710" t="s">
        <v>12642</v>
      </c>
      <c r="D4316" s="709" t="s">
        <v>8120</v>
      </c>
      <c r="E4316" s="709" t="s">
        <v>8432</v>
      </c>
      <c r="F4316" s="716">
        <v>43.08</v>
      </c>
      <c r="G4316" s="716">
        <v>42.55</v>
      </c>
      <c r="H4316" s="225">
        <f t="shared" si="67"/>
        <v>43.08</v>
      </c>
    </row>
    <row r="4317" spans="1:8" x14ac:dyDescent="0.3">
      <c r="A4317" s="401"/>
      <c r="B4317" s="709">
        <v>43625</v>
      </c>
      <c r="C4317" s="710" t="s">
        <v>12643</v>
      </c>
      <c r="D4317" s="709" t="s">
        <v>8120</v>
      </c>
      <c r="E4317" s="709" t="s">
        <v>8432</v>
      </c>
      <c r="F4317" s="716">
        <v>34.79</v>
      </c>
      <c r="G4317" s="716">
        <v>34.35</v>
      </c>
      <c r="H4317" s="225">
        <f t="shared" si="67"/>
        <v>34.79</v>
      </c>
    </row>
    <row r="4318" spans="1:8" x14ac:dyDescent="0.3">
      <c r="A4318" s="401"/>
      <c r="B4318" s="709">
        <v>43647</v>
      </c>
      <c r="C4318" s="710" t="s">
        <v>12644</v>
      </c>
      <c r="D4318" s="709" t="s">
        <v>8120</v>
      </c>
      <c r="E4318" s="709" t="s">
        <v>8432</v>
      </c>
      <c r="F4318" s="716">
        <v>31.6</v>
      </c>
      <c r="G4318" s="716">
        <v>31.2</v>
      </c>
      <c r="H4318" s="225">
        <f t="shared" si="67"/>
        <v>31.6</v>
      </c>
    </row>
    <row r="4319" spans="1:8" x14ac:dyDescent="0.3">
      <c r="A4319" s="401"/>
      <c r="B4319" s="709">
        <v>43648</v>
      </c>
      <c r="C4319" s="710" t="s">
        <v>12645</v>
      </c>
      <c r="D4319" s="709" t="s">
        <v>8120</v>
      </c>
      <c r="E4319" s="709" t="s">
        <v>8432</v>
      </c>
      <c r="F4319" s="716">
        <v>30.49</v>
      </c>
      <c r="G4319" s="716">
        <v>30.11</v>
      </c>
      <c r="H4319" s="225">
        <f t="shared" si="67"/>
        <v>30.49</v>
      </c>
    </row>
    <row r="4320" spans="1:8" x14ac:dyDescent="0.3">
      <c r="A4320" s="401"/>
      <c r="B4320" s="709">
        <v>35693</v>
      </c>
      <c r="C4320" s="710" t="s">
        <v>12646</v>
      </c>
      <c r="D4320" s="709" t="s">
        <v>8120</v>
      </c>
      <c r="E4320" s="709" t="s">
        <v>8432</v>
      </c>
      <c r="F4320" s="716">
        <v>13.87</v>
      </c>
      <c r="G4320" s="716">
        <v>13.46</v>
      </c>
      <c r="H4320" s="225">
        <f t="shared" si="67"/>
        <v>13.87</v>
      </c>
    </row>
    <row r="4321" spans="1:8" x14ac:dyDescent="0.3">
      <c r="A4321" s="401"/>
      <c r="B4321" s="709">
        <v>7356</v>
      </c>
      <c r="C4321" s="710" t="s">
        <v>12647</v>
      </c>
      <c r="D4321" s="709" t="s">
        <v>8120</v>
      </c>
      <c r="E4321" s="709" t="s">
        <v>8438</v>
      </c>
      <c r="F4321" s="716">
        <v>33.26</v>
      </c>
      <c r="G4321" s="716">
        <v>32.26</v>
      </c>
      <c r="H4321" s="225">
        <f t="shared" si="67"/>
        <v>33.26</v>
      </c>
    </row>
    <row r="4322" spans="1:8" x14ac:dyDescent="0.3">
      <c r="A4322" s="401"/>
      <c r="B4322" s="709">
        <v>35692</v>
      </c>
      <c r="C4322" s="710" t="s">
        <v>12648</v>
      </c>
      <c r="D4322" s="709" t="s">
        <v>8120</v>
      </c>
      <c r="E4322" s="709" t="s">
        <v>8432</v>
      </c>
      <c r="F4322" s="716">
        <v>21.77</v>
      </c>
      <c r="G4322" s="716">
        <v>21.11</v>
      </c>
      <c r="H4322" s="225">
        <f t="shared" si="67"/>
        <v>21.77</v>
      </c>
    </row>
    <row r="4323" spans="1:8" x14ac:dyDescent="0.3">
      <c r="A4323" s="401"/>
      <c r="B4323" s="709">
        <v>43624</v>
      </c>
      <c r="C4323" s="710" t="s">
        <v>12649</v>
      </c>
      <c r="D4323" s="709" t="s">
        <v>8120</v>
      </c>
      <c r="E4323" s="709" t="s">
        <v>8432</v>
      </c>
      <c r="F4323" s="716">
        <v>40.54</v>
      </c>
      <c r="G4323" s="716">
        <v>39.32</v>
      </c>
      <c r="H4323" s="225">
        <f t="shared" si="67"/>
        <v>40.54</v>
      </c>
    </row>
    <row r="4324" spans="1:8" x14ac:dyDescent="0.3">
      <c r="A4324" s="401"/>
      <c r="B4324" s="709">
        <v>7342</v>
      </c>
      <c r="C4324" s="710" t="s">
        <v>12650</v>
      </c>
      <c r="D4324" s="709" t="s">
        <v>175</v>
      </c>
      <c r="E4324" s="709" t="s">
        <v>8432</v>
      </c>
      <c r="F4324" s="716">
        <v>2.4900000000000002</v>
      </c>
      <c r="G4324" s="716">
        <v>2.34</v>
      </c>
      <c r="H4324" s="225">
        <f t="shared" si="67"/>
        <v>2.4900000000000002</v>
      </c>
    </row>
    <row r="4325" spans="1:8" x14ac:dyDescent="0.3">
      <c r="A4325" s="401"/>
      <c r="B4325" s="709">
        <v>7350</v>
      </c>
      <c r="C4325" s="710" t="s">
        <v>12651</v>
      </c>
      <c r="D4325" s="709" t="s">
        <v>8120</v>
      </c>
      <c r="E4325" s="709" t="s">
        <v>8432</v>
      </c>
      <c r="F4325" s="716">
        <v>48.01</v>
      </c>
      <c r="G4325" s="716">
        <v>46.56</v>
      </c>
      <c r="H4325" s="225">
        <f t="shared" si="67"/>
        <v>48.01</v>
      </c>
    </row>
    <row r="4326" spans="1:8" x14ac:dyDescent="0.3">
      <c r="A4326" s="401"/>
      <c r="B4326" s="709">
        <v>39574</v>
      </c>
      <c r="C4326" s="710" t="s">
        <v>12652</v>
      </c>
      <c r="D4326" s="709" t="s">
        <v>136</v>
      </c>
      <c r="E4326" s="709" t="s">
        <v>8432</v>
      </c>
      <c r="F4326" s="716">
        <v>4.57</v>
      </c>
      <c r="G4326" s="716">
        <v>3.61</v>
      </c>
      <c r="H4326" s="225">
        <f t="shared" si="67"/>
        <v>4.57</v>
      </c>
    </row>
    <row r="4327" spans="1:8" x14ac:dyDescent="0.3">
      <c r="A4327" s="401"/>
      <c r="B4327" s="709">
        <v>11060</v>
      </c>
      <c r="C4327" s="710" t="s">
        <v>12653</v>
      </c>
      <c r="D4327" s="709" t="s">
        <v>136</v>
      </c>
      <c r="E4327" s="709" t="s">
        <v>8432</v>
      </c>
      <c r="F4327" s="716">
        <v>35.99</v>
      </c>
      <c r="G4327" s="716">
        <v>40.340000000000003</v>
      </c>
      <c r="H4327" s="225">
        <f t="shared" si="67"/>
        <v>35.99</v>
      </c>
    </row>
    <row r="4328" spans="1:8" x14ac:dyDescent="0.3">
      <c r="A4328" s="401"/>
      <c r="B4328" s="709">
        <v>37401</v>
      </c>
      <c r="C4328" s="710" t="s">
        <v>12654</v>
      </c>
      <c r="D4328" s="709" t="s">
        <v>136</v>
      </c>
      <c r="E4328" s="709" t="s">
        <v>8432</v>
      </c>
      <c r="F4328" s="716">
        <v>47.78</v>
      </c>
      <c r="G4328" s="716">
        <v>57.6</v>
      </c>
      <c r="H4328" s="225">
        <f t="shared" si="67"/>
        <v>47.78</v>
      </c>
    </row>
    <row r="4329" spans="1:8" x14ac:dyDescent="0.3">
      <c r="A4329" s="401"/>
      <c r="B4329" s="709">
        <v>38101</v>
      </c>
      <c r="C4329" s="710" t="s">
        <v>12655</v>
      </c>
      <c r="D4329" s="709" t="s">
        <v>136</v>
      </c>
      <c r="E4329" s="709" t="s">
        <v>8432</v>
      </c>
      <c r="F4329" s="716">
        <v>8.81</v>
      </c>
      <c r="G4329" s="716">
        <v>8.42</v>
      </c>
      <c r="H4329" s="225">
        <f t="shared" si="67"/>
        <v>8.81</v>
      </c>
    </row>
    <row r="4330" spans="1:8" x14ac:dyDescent="0.3">
      <c r="A4330" s="401"/>
      <c r="B4330" s="709">
        <v>7528</v>
      </c>
      <c r="C4330" s="710" t="s">
        <v>12656</v>
      </c>
      <c r="D4330" s="709" t="s">
        <v>136</v>
      </c>
      <c r="E4330" s="709" t="s">
        <v>8438</v>
      </c>
      <c r="F4330" s="716">
        <v>10.35</v>
      </c>
      <c r="G4330" s="716">
        <v>9.9</v>
      </c>
      <c r="H4330" s="225">
        <f t="shared" si="67"/>
        <v>10.35</v>
      </c>
    </row>
    <row r="4331" spans="1:8" x14ac:dyDescent="0.3">
      <c r="A4331" s="401"/>
      <c r="B4331" s="709">
        <v>12147</v>
      </c>
      <c r="C4331" s="710" t="s">
        <v>12657</v>
      </c>
      <c r="D4331" s="709" t="s">
        <v>136</v>
      </c>
      <c r="E4331" s="709" t="s">
        <v>8432</v>
      </c>
      <c r="F4331" s="716">
        <v>15.78</v>
      </c>
      <c r="G4331" s="716">
        <v>15.09</v>
      </c>
      <c r="H4331" s="225">
        <f t="shared" si="67"/>
        <v>15.78</v>
      </c>
    </row>
    <row r="4332" spans="1:8" x14ac:dyDescent="0.3">
      <c r="A4332" s="401"/>
      <c r="B4332" s="709">
        <v>38075</v>
      </c>
      <c r="C4332" s="710" t="s">
        <v>12658</v>
      </c>
      <c r="D4332" s="709" t="s">
        <v>136</v>
      </c>
      <c r="E4332" s="709" t="s">
        <v>8432</v>
      </c>
      <c r="F4332" s="716">
        <v>17.93</v>
      </c>
      <c r="G4332" s="716">
        <v>17.149999999999999</v>
      </c>
      <c r="H4332" s="225">
        <f t="shared" si="67"/>
        <v>17.93</v>
      </c>
    </row>
    <row r="4333" spans="1:8" x14ac:dyDescent="0.3">
      <c r="A4333" s="401"/>
      <c r="B4333" s="709">
        <v>38102</v>
      </c>
      <c r="C4333" s="710" t="s">
        <v>12659</v>
      </c>
      <c r="D4333" s="709" t="s">
        <v>136</v>
      </c>
      <c r="E4333" s="709" t="s">
        <v>8432</v>
      </c>
      <c r="F4333" s="716">
        <v>11.27</v>
      </c>
      <c r="G4333" s="716">
        <v>10.78</v>
      </c>
      <c r="H4333" s="225">
        <f t="shared" si="67"/>
        <v>11.27</v>
      </c>
    </row>
    <row r="4334" spans="1:8" x14ac:dyDescent="0.3">
      <c r="A4334" s="401"/>
      <c r="B4334" s="709">
        <v>7525</v>
      </c>
      <c r="C4334" s="710" t="s">
        <v>12660</v>
      </c>
      <c r="D4334" s="709" t="s">
        <v>136</v>
      </c>
      <c r="E4334" s="709" t="s">
        <v>8432</v>
      </c>
      <c r="F4334" s="716">
        <v>50.96</v>
      </c>
      <c r="G4334" s="716">
        <v>48.74</v>
      </c>
      <c r="H4334" s="225">
        <f t="shared" si="67"/>
        <v>50.96</v>
      </c>
    </row>
    <row r="4335" spans="1:8" x14ac:dyDescent="0.3">
      <c r="A4335" s="401"/>
      <c r="B4335" s="709">
        <v>7524</v>
      </c>
      <c r="C4335" s="710" t="s">
        <v>12661</v>
      </c>
      <c r="D4335" s="709" t="s">
        <v>136</v>
      </c>
      <c r="E4335" s="709" t="s">
        <v>8432</v>
      </c>
      <c r="F4335" s="716">
        <v>48.02</v>
      </c>
      <c r="G4335" s="716">
        <v>45.93</v>
      </c>
      <c r="H4335" s="225">
        <f t="shared" si="67"/>
        <v>48.02</v>
      </c>
    </row>
    <row r="4336" spans="1:8" x14ac:dyDescent="0.3">
      <c r="A4336" s="401"/>
      <c r="B4336" s="709">
        <v>38105</v>
      </c>
      <c r="C4336" s="710" t="s">
        <v>12662</v>
      </c>
      <c r="D4336" s="709" t="s">
        <v>136</v>
      </c>
      <c r="E4336" s="709" t="s">
        <v>8432</v>
      </c>
      <c r="F4336" s="716">
        <v>12.33</v>
      </c>
      <c r="G4336" s="716">
        <v>11.8</v>
      </c>
      <c r="H4336" s="225">
        <f t="shared" si="67"/>
        <v>12.33</v>
      </c>
    </row>
    <row r="4337" spans="1:8" x14ac:dyDescent="0.3">
      <c r="A4337" s="401"/>
      <c r="B4337" s="709">
        <v>38084</v>
      </c>
      <c r="C4337" s="710" t="s">
        <v>12663</v>
      </c>
      <c r="D4337" s="709" t="s">
        <v>136</v>
      </c>
      <c r="E4337" s="709" t="s">
        <v>8432</v>
      </c>
      <c r="F4337" s="716">
        <v>17.52</v>
      </c>
      <c r="G4337" s="716">
        <v>16.760000000000002</v>
      </c>
      <c r="H4337" s="225">
        <f t="shared" si="67"/>
        <v>17.52</v>
      </c>
    </row>
    <row r="4338" spans="1:8" x14ac:dyDescent="0.3">
      <c r="A4338" s="401"/>
      <c r="B4338" s="709">
        <v>38103</v>
      </c>
      <c r="C4338" s="710" t="s">
        <v>12664</v>
      </c>
      <c r="D4338" s="709" t="s">
        <v>136</v>
      </c>
      <c r="E4338" s="709" t="s">
        <v>8432</v>
      </c>
      <c r="F4338" s="716">
        <v>18.52</v>
      </c>
      <c r="G4338" s="716">
        <v>17.71</v>
      </c>
      <c r="H4338" s="225">
        <f t="shared" si="67"/>
        <v>18.52</v>
      </c>
    </row>
    <row r="4339" spans="1:8" x14ac:dyDescent="0.3">
      <c r="A4339" s="401"/>
      <c r="B4339" s="709">
        <v>38082</v>
      </c>
      <c r="C4339" s="710" t="s">
        <v>12665</v>
      </c>
      <c r="D4339" s="709" t="s">
        <v>136</v>
      </c>
      <c r="E4339" s="709" t="s">
        <v>8432</v>
      </c>
      <c r="F4339" s="716">
        <v>22.81</v>
      </c>
      <c r="G4339" s="716">
        <v>21.82</v>
      </c>
      <c r="H4339" s="225">
        <f t="shared" si="67"/>
        <v>22.81</v>
      </c>
    </row>
    <row r="4340" spans="1:8" x14ac:dyDescent="0.3">
      <c r="A4340" s="401"/>
      <c r="B4340" s="709">
        <v>38104</v>
      </c>
      <c r="C4340" s="710" t="s">
        <v>12666</v>
      </c>
      <c r="D4340" s="709" t="s">
        <v>136</v>
      </c>
      <c r="E4340" s="709" t="s">
        <v>8432</v>
      </c>
      <c r="F4340" s="716">
        <v>36.26</v>
      </c>
      <c r="G4340" s="716">
        <v>34.68</v>
      </c>
      <c r="H4340" s="225">
        <f t="shared" si="67"/>
        <v>36.26</v>
      </c>
    </row>
    <row r="4341" spans="1:8" x14ac:dyDescent="0.3">
      <c r="A4341" s="401"/>
      <c r="B4341" s="709">
        <v>38083</v>
      </c>
      <c r="C4341" s="710" t="s">
        <v>12667</v>
      </c>
      <c r="D4341" s="709" t="s">
        <v>136</v>
      </c>
      <c r="E4341" s="709" t="s">
        <v>8432</v>
      </c>
      <c r="F4341" s="716">
        <v>40.26</v>
      </c>
      <c r="G4341" s="716">
        <v>38.51</v>
      </c>
      <c r="H4341" s="225">
        <f t="shared" si="67"/>
        <v>40.26</v>
      </c>
    </row>
    <row r="4342" spans="1:8" x14ac:dyDescent="0.3">
      <c r="A4342" s="401"/>
      <c r="B4342" s="709">
        <v>38076</v>
      </c>
      <c r="C4342" s="710" t="s">
        <v>12668</v>
      </c>
      <c r="D4342" s="709" t="s">
        <v>136</v>
      </c>
      <c r="E4342" s="709" t="s">
        <v>8432</v>
      </c>
      <c r="F4342" s="716">
        <v>20.100000000000001</v>
      </c>
      <c r="G4342" s="716">
        <v>19.22</v>
      </c>
      <c r="H4342" s="225">
        <f t="shared" si="67"/>
        <v>20.100000000000001</v>
      </c>
    </row>
    <row r="4343" spans="1:8" x14ac:dyDescent="0.3">
      <c r="A4343" s="401"/>
      <c r="B4343" s="709">
        <v>7592</v>
      </c>
      <c r="C4343" s="710" t="s">
        <v>12669</v>
      </c>
      <c r="D4343" s="709" t="s">
        <v>234</v>
      </c>
      <c r="E4343" s="709" t="s">
        <v>8438</v>
      </c>
      <c r="F4343" s="716">
        <v>42.26</v>
      </c>
      <c r="G4343" s="716">
        <v>80.37</v>
      </c>
      <c r="H4343" s="225">
        <f t="shared" si="67"/>
        <v>42.26</v>
      </c>
    </row>
    <row r="4344" spans="1:8" x14ac:dyDescent="0.3">
      <c r="A4344" s="401"/>
      <c r="B4344" s="709">
        <v>40820</v>
      </c>
      <c r="C4344" s="710" t="s">
        <v>12670</v>
      </c>
      <c r="D4344" s="709" t="s">
        <v>208</v>
      </c>
      <c r="E4344" s="709" t="s">
        <v>8432</v>
      </c>
      <c r="F4344" s="716">
        <v>7426.41</v>
      </c>
      <c r="G4344" s="716">
        <v>14077.15</v>
      </c>
      <c r="H4344" s="225">
        <f t="shared" si="67"/>
        <v>7426.41</v>
      </c>
    </row>
    <row r="4345" spans="1:8" x14ac:dyDescent="0.3">
      <c r="A4345" s="401"/>
      <c r="B4345" s="709">
        <v>11826</v>
      </c>
      <c r="C4345" s="710" t="s">
        <v>12671</v>
      </c>
      <c r="D4345" s="709" t="s">
        <v>136</v>
      </c>
      <c r="E4345" s="709" t="s">
        <v>8432</v>
      </c>
      <c r="F4345" s="716">
        <v>108.02</v>
      </c>
      <c r="G4345" s="716">
        <v>93.25</v>
      </c>
      <c r="H4345" s="225">
        <f t="shared" si="67"/>
        <v>108.02</v>
      </c>
    </row>
    <row r="4346" spans="1:8" x14ac:dyDescent="0.3">
      <c r="A4346" s="401"/>
      <c r="B4346" s="709">
        <v>7606</v>
      </c>
      <c r="C4346" s="710" t="s">
        <v>12672</v>
      </c>
      <c r="D4346" s="709" t="s">
        <v>136</v>
      </c>
      <c r="E4346" s="709" t="s">
        <v>8432</v>
      </c>
      <c r="F4346" s="716">
        <v>129.91</v>
      </c>
      <c r="G4346" s="716">
        <v>112.14</v>
      </c>
      <c r="H4346" s="225">
        <f t="shared" si="67"/>
        <v>129.91</v>
      </c>
    </row>
    <row r="4347" spans="1:8" x14ac:dyDescent="0.3">
      <c r="A4347" s="401"/>
      <c r="B4347" s="709">
        <v>11825</v>
      </c>
      <c r="C4347" s="710" t="s">
        <v>12673</v>
      </c>
      <c r="D4347" s="709" t="s">
        <v>136</v>
      </c>
      <c r="E4347" s="709" t="s">
        <v>8432</v>
      </c>
      <c r="F4347" s="716">
        <v>136.66</v>
      </c>
      <c r="G4347" s="716">
        <v>117.97</v>
      </c>
      <c r="H4347" s="225">
        <f t="shared" si="67"/>
        <v>136.66</v>
      </c>
    </row>
    <row r="4348" spans="1:8" x14ac:dyDescent="0.3">
      <c r="A4348" s="401"/>
      <c r="B4348" s="709">
        <v>11767</v>
      </c>
      <c r="C4348" s="710" t="s">
        <v>12674</v>
      </c>
      <c r="D4348" s="709" t="s">
        <v>136</v>
      </c>
      <c r="E4348" s="709" t="s">
        <v>8432</v>
      </c>
      <c r="F4348" s="716">
        <v>363.97</v>
      </c>
      <c r="G4348" s="716">
        <v>314.2</v>
      </c>
      <c r="H4348" s="225">
        <f t="shared" si="67"/>
        <v>363.97</v>
      </c>
    </row>
    <row r="4349" spans="1:8" x14ac:dyDescent="0.3">
      <c r="A4349" s="401"/>
      <c r="B4349" s="709">
        <v>11763</v>
      </c>
      <c r="C4349" s="710" t="s">
        <v>12675</v>
      </c>
      <c r="D4349" s="709" t="s">
        <v>136</v>
      </c>
      <c r="E4349" s="709" t="s">
        <v>8432</v>
      </c>
      <c r="F4349" s="716">
        <v>283.68</v>
      </c>
      <c r="G4349" s="716">
        <v>244.89</v>
      </c>
      <c r="H4349" s="225">
        <f t="shared" si="67"/>
        <v>283.68</v>
      </c>
    </row>
    <row r="4350" spans="1:8" x14ac:dyDescent="0.3">
      <c r="A4350" s="401"/>
      <c r="B4350" s="709">
        <v>11764</v>
      </c>
      <c r="C4350" s="710" t="s">
        <v>12676</v>
      </c>
      <c r="D4350" s="709" t="s">
        <v>136</v>
      </c>
      <c r="E4350" s="709" t="s">
        <v>8432</v>
      </c>
      <c r="F4350" s="716">
        <v>232.74</v>
      </c>
      <c r="G4350" s="716">
        <v>200.92</v>
      </c>
      <c r="H4350" s="225">
        <f t="shared" si="67"/>
        <v>232.74</v>
      </c>
    </row>
    <row r="4351" spans="1:8" x14ac:dyDescent="0.3">
      <c r="A4351" s="401"/>
      <c r="B4351" s="709">
        <v>11829</v>
      </c>
      <c r="C4351" s="710" t="s">
        <v>12677</v>
      </c>
      <c r="D4351" s="709" t="s">
        <v>136</v>
      </c>
      <c r="E4351" s="709" t="s">
        <v>8432</v>
      </c>
      <c r="F4351" s="716">
        <v>56.25</v>
      </c>
      <c r="G4351" s="716">
        <v>48.56</v>
      </c>
      <c r="H4351" s="225">
        <f t="shared" si="67"/>
        <v>56.25</v>
      </c>
    </row>
    <row r="4352" spans="1:8" x14ac:dyDescent="0.3">
      <c r="A4352" s="401"/>
      <c r="B4352" s="709">
        <v>11830</v>
      </c>
      <c r="C4352" s="710" t="s">
        <v>12678</v>
      </c>
      <c r="D4352" s="709" t="s">
        <v>136</v>
      </c>
      <c r="E4352" s="709" t="s">
        <v>8432</v>
      </c>
      <c r="F4352" s="716">
        <v>60.74</v>
      </c>
      <c r="G4352" s="716">
        <v>52.44</v>
      </c>
      <c r="H4352" s="225">
        <f t="shared" si="67"/>
        <v>60.74</v>
      </c>
    </row>
    <row r="4353" spans="1:8" x14ac:dyDescent="0.3">
      <c r="A4353" s="401"/>
      <c r="B4353" s="709">
        <v>11765</v>
      </c>
      <c r="C4353" s="710" t="s">
        <v>12679</v>
      </c>
      <c r="D4353" s="709" t="s">
        <v>136</v>
      </c>
      <c r="E4353" s="709" t="s">
        <v>8432</v>
      </c>
      <c r="F4353" s="716">
        <v>155.11000000000001</v>
      </c>
      <c r="G4353" s="716">
        <v>133.9</v>
      </c>
      <c r="H4353" s="225">
        <f t="shared" si="67"/>
        <v>155.11000000000001</v>
      </c>
    </row>
    <row r="4354" spans="1:8" x14ac:dyDescent="0.3">
      <c r="A4354" s="401"/>
      <c r="B4354" s="709">
        <v>11766</v>
      </c>
      <c r="C4354" s="710" t="s">
        <v>12680</v>
      </c>
      <c r="D4354" s="709" t="s">
        <v>136</v>
      </c>
      <c r="E4354" s="709" t="s">
        <v>8432</v>
      </c>
      <c r="F4354" s="716">
        <v>84.84</v>
      </c>
      <c r="G4354" s="716">
        <v>73.239999999999995</v>
      </c>
      <c r="H4354" s="225">
        <f t="shared" si="67"/>
        <v>84.84</v>
      </c>
    </row>
    <row r="4355" spans="1:8" x14ac:dyDescent="0.3">
      <c r="A4355" s="401"/>
      <c r="B4355" s="709">
        <v>11824</v>
      </c>
      <c r="C4355" s="710" t="s">
        <v>12681</v>
      </c>
      <c r="D4355" s="709" t="s">
        <v>136</v>
      </c>
      <c r="E4355" s="709" t="s">
        <v>8432</v>
      </c>
      <c r="F4355" s="716">
        <v>99.79</v>
      </c>
      <c r="G4355" s="716">
        <v>86.15</v>
      </c>
      <c r="H4355" s="225">
        <f t="shared" si="67"/>
        <v>99.79</v>
      </c>
    </row>
    <row r="4356" spans="1:8" x14ac:dyDescent="0.3">
      <c r="A4356" s="401"/>
      <c r="B4356" s="709">
        <v>44045</v>
      </c>
      <c r="C4356" s="710" t="s">
        <v>12682</v>
      </c>
      <c r="D4356" s="709" t="s">
        <v>136</v>
      </c>
      <c r="E4356" s="709" t="s">
        <v>8432</v>
      </c>
      <c r="F4356" s="716">
        <v>628.69000000000005</v>
      </c>
      <c r="G4356" s="716">
        <v>321.18</v>
      </c>
      <c r="H4356" s="225">
        <f t="shared" si="67"/>
        <v>628.69000000000005</v>
      </c>
    </row>
    <row r="4357" spans="1:8" x14ac:dyDescent="0.3">
      <c r="A4357" s="401"/>
      <c r="B4357" s="709">
        <v>39702</v>
      </c>
      <c r="C4357" s="710" t="s">
        <v>12683</v>
      </c>
      <c r="D4357" s="709" t="s">
        <v>136</v>
      </c>
      <c r="E4357" s="709" t="s">
        <v>8432</v>
      </c>
      <c r="F4357" s="716">
        <v>4175.3500000000004</v>
      </c>
      <c r="G4357" s="716">
        <v>2133.0500000000002</v>
      </c>
      <c r="H4357" s="225">
        <f t="shared" si="67"/>
        <v>4175.3500000000004</v>
      </c>
    </row>
    <row r="4358" spans="1:8" x14ac:dyDescent="0.3">
      <c r="A4358" s="401"/>
      <c r="B4358" s="709">
        <v>13415</v>
      </c>
      <c r="C4358" s="710" t="s">
        <v>12684</v>
      </c>
      <c r="D4358" s="709" t="s">
        <v>136</v>
      </c>
      <c r="E4358" s="709" t="s">
        <v>8438</v>
      </c>
      <c r="F4358" s="716">
        <v>137.08000000000001</v>
      </c>
      <c r="G4358" s="716">
        <v>70.03</v>
      </c>
      <c r="H4358" s="225">
        <f t="shared" si="67"/>
        <v>137.08000000000001</v>
      </c>
    </row>
    <row r="4359" spans="1:8" x14ac:dyDescent="0.3">
      <c r="A4359" s="401"/>
      <c r="B4359" s="709">
        <v>7602</v>
      </c>
      <c r="C4359" s="710" t="s">
        <v>12685</v>
      </c>
      <c r="D4359" s="709" t="s">
        <v>136</v>
      </c>
      <c r="E4359" s="709" t="s">
        <v>8432</v>
      </c>
      <c r="F4359" s="716">
        <v>87.48</v>
      </c>
      <c r="G4359" s="716">
        <v>44.69</v>
      </c>
      <c r="H4359" s="225">
        <f t="shared" si="67"/>
        <v>87.48</v>
      </c>
    </row>
    <row r="4360" spans="1:8" x14ac:dyDescent="0.3">
      <c r="A4360" s="401"/>
      <c r="B4360" s="709">
        <v>7603</v>
      </c>
      <c r="C4360" s="710" t="s">
        <v>12686</v>
      </c>
      <c r="D4360" s="709" t="s">
        <v>136</v>
      </c>
      <c r="E4360" s="709" t="s">
        <v>8432</v>
      </c>
      <c r="F4360" s="716">
        <v>74.209999999999994</v>
      </c>
      <c r="G4360" s="716">
        <v>37.909999999999997</v>
      </c>
      <c r="H4360" s="225">
        <f t="shared" si="67"/>
        <v>74.209999999999994</v>
      </c>
    </row>
    <row r="4361" spans="1:8" x14ac:dyDescent="0.3">
      <c r="A4361" s="401"/>
      <c r="B4361" s="709">
        <v>11777</v>
      </c>
      <c r="C4361" s="710" t="s">
        <v>12687</v>
      </c>
      <c r="D4361" s="709" t="s">
        <v>136</v>
      </c>
      <c r="E4361" s="709" t="s">
        <v>8432</v>
      </c>
      <c r="F4361" s="716">
        <v>201.46</v>
      </c>
      <c r="G4361" s="716">
        <v>244.55</v>
      </c>
      <c r="H4361" s="225">
        <f t="shared" si="67"/>
        <v>201.46</v>
      </c>
    </row>
    <row r="4362" spans="1:8" x14ac:dyDescent="0.3">
      <c r="A4362" s="401"/>
      <c r="B4362" s="709">
        <v>13417</v>
      </c>
      <c r="C4362" s="710" t="s">
        <v>12688</v>
      </c>
      <c r="D4362" s="709" t="s">
        <v>136</v>
      </c>
      <c r="E4362" s="709" t="s">
        <v>8432</v>
      </c>
      <c r="F4362" s="716">
        <v>178.54</v>
      </c>
      <c r="G4362" s="716">
        <v>91.21</v>
      </c>
      <c r="H4362" s="225">
        <f t="shared" si="67"/>
        <v>178.54</v>
      </c>
    </row>
    <row r="4363" spans="1:8" x14ac:dyDescent="0.3">
      <c r="A4363" s="401"/>
      <c r="B4363" s="709">
        <v>36791</v>
      </c>
      <c r="C4363" s="710" t="s">
        <v>12689</v>
      </c>
      <c r="D4363" s="709" t="s">
        <v>136</v>
      </c>
      <c r="E4363" s="709" t="s">
        <v>8432</v>
      </c>
      <c r="F4363" s="716">
        <v>267.95999999999998</v>
      </c>
      <c r="G4363" s="716">
        <v>136.88999999999999</v>
      </c>
      <c r="H4363" s="225">
        <f t="shared" ref="H4363:H4426" si="68">IF(F4363&gt;0,F4363,G4363)</f>
        <v>267.95999999999998</v>
      </c>
    </row>
    <row r="4364" spans="1:8" x14ac:dyDescent="0.3">
      <c r="A4364" s="401"/>
      <c r="B4364" s="709">
        <v>36795</v>
      </c>
      <c r="C4364" s="710" t="s">
        <v>12690</v>
      </c>
      <c r="D4364" s="709" t="s">
        <v>136</v>
      </c>
      <c r="E4364" s="709" t="s">
        <v>8432</v>
      </c>
      <c r="F4364" s="716">
        <v>3387.92</v>
      </c>
      <c r="G4364" s="716">
        <v>1730.78</v>
      </c>
      <c r="H4364" s="225">
        <f t="shared" si="68"/>
        <v>3387.92</v>
      </c>
    </row>
    <row r="4365" spans="1:8" x14ac:dyDescent="0.3">
      <c r="A4365" s="401"/>
      <c r="B4365" s="709">
        <v>36796</v>
      </c>
      <c r="C4365" s="710" t="s">
        <v>12691</v>
      </c>
      <c r="D4365" s="709" t="s">
        <v>136</v>
      </c>
      <c r="E4365" s="709" t="s">
        <v>8432</v>
      </c>
      <c r="F4365" s="716">
        <v>281.52999999999997</v>
      </c>
      <c r="G4365" s="716">
        <v>143.82</v>
      </c>
      <c r="H4365" s="225">
        <f t="shared" si="68"/>
        <v>281.52999999999997</v>
      </c>
    </row>
    <row r="4366" spans="1:8" x14ac:dyDescent="0.3">
      <c r="A4366" s="401"/>
      <c r="B4366" s="709">
        <v>36792</v>
      </c>
      <c r="C4366" s="710" t="s">
        <v>12692</v>
      </c>
      <c r="D4366" s="709" t="s">
        <v>136</v>
      </c>
      <c r="E4366" s="709" t="s">
        <v>8432</v>
      </c>
      <c r="F4366" s="716">
        <v>356.63</v>
      </c>
      <c r="G4366" s="716">
        <v>182.19</v>
      </c>
      <c r="H4366" s="225">
        <f t="shared" si="68"/>
        <v>356.63</v>
      </c>
    </row>
    <row r="4367" spans="1:8" x14ac:dyDescent="0.3">
      <c r="A4367" s="401"/>
      <c r="B4367" s="709">
        <v>11773</v>
      </c>
      <c r="C4367" s="710" t="s">
        <v>12693</v>
      </c>
      <c r="D4367" s="709" t="s">
        <v>136</v>
      </c>
      <c r="E4367" s="709" t="s">
        <v>8432</v>
      </c>
      <c r="F4367" s="716">
        <v>237.4</v>
      </c>
      <c r="G4367" s="716">
        <v>121.28</v>
      </c>
      <c r="H4367" s="225">
        <f t="shared" si="68"/>
        <v>237.4</v>
      </c>
    </row>
    <row r="4368" spans="1:8" x14ac:dyDescent="0.3">
      <c r="A4368" s="401"/>
      <c r="B4368" s="709">
        <v>11762</v>
      </c>
      <c r="C4368" s="710" t="s">
        <v>12694</v>
      </c>
      <c r="D4368" s="709" t="s">
        <v>136</v>
      </c>
      <c r="E4368" s="709" t="s">
        <v>8432</v>
      </c>
      <c r="F4368" s="716">
        <v>112.6</v>
      </c>
      <c r="G4368" s="716">
        <v>57.52</v>
      </c>
      <c r="H4368" s="225">
        <f t="shared" si="68"/>
        <v>112.6</v>
      </c>
    </row>
    <row r="4369" spans="1:8" x14ac:dyDescent="0.3">
      <c r="A4369" s="401"/>
      <c r="B4369" s="709">
        <v>7604</v>
      </c>
      <c r="C4369" s="710" t="s">
        <v>12695</v>
      </c>
      <c r="D4369" s="709" t="s">
        <v>136</v>
      </c>
      <c r="E4369" s="709" t="s">
        <v>8432</v>
      </c>
      <c r="F4369" s="716">
        <v>95.35</v>
      </c>
      <c r="G4369" s="716">
        <v>48.71</v>
      </c>
      <c r="H4369" s="225">
        <f t="shared" si="68"/>
        <v>95.35</v>
      </c>
    </row>
    <row r="4370" spans="1:8" x14ac:dyDescent="0.3">
      <c r="A4370" s="401"/>
      <c r="B4370" s="709">
        <v>13984</v>
      </c>
      <c r="C4370" s="710" t="s">
        <v>12696</v>
      </c>
      <c r="D4370" s="709" t="s">
        <v>136</v>
      </c>
      <c r="E4370" s="709" t="s">
        <v>8432</v>
      </c>
      <c r="F4370" s="716">
        <v>138.57</v>
      </c>
      <c r="G4370" s="716">
        <v>70.790000000000006</v>
      </c>
      <c r="H4370" s="225">
        <f t="shared" si="68"/>
        <v>138.57</v>
      </c>
    </row>
    <row r="4371" spans="1:8" x14ac:dyDescent="0.3">
      <c r="A4371" s="401"/>
      <c r="B4371" s="709">
        <v>11772</v>
      </c>
      <c r="C4371" s="710" t="s">
        <v>12697</v>
      </c>
      <c r="D4371" s="709" t="s">
        <v>136</v>
      </c>
      <c r="E4371" s="709" t="s">
        <v>8432</v>
      </c>
      <c r="F4371" s="716">
        <v>238.15</v>
      </c>
      <c r="G4371" s="716">
        <v>121.66</v>
      </c>
      <c r="H4371" s="225">
        <f t="shared" si="68"/>
        <v>238.15</v>
      </c>
    </row>
    <row r="4372" spans="1:8" x14ac:dyDescent="0.3">
      <c r="A4372" s="401"/>
      <c r="B4372" s="709">
        <v>13983</v>
      </c>
      <c r="C4372" s="710" t="s">
        <v>12698</v>
      </c>
      <c r="D4372" s="709" t="s">
        <v>136</v>
      </c>
      <c r="E4372" s="709" t="s">
        <v>8432</v>
      </c>
      <c r="F4372" s="716">
        <v>180.35</v>
      </c>
      <c r="G4372" s="716">
        <v>92.13</v>
      </c>
      <c r="H4372" s="225">
        <f t="shared" si="68"/>
        <v>180.35</v>
      </c>
    </row>
    <row r="4373" spans="1:8" x14ac:dyDescent="0.3">
      <c r="A4373" s="401"/>
      <c r="B4373" s="709">
        <v>13416</v>
      </c>
      <c r="C4373" s="710" t="s">
        <v>12699</v>
      </c>
      <c r="D4373" s="709" t="s">
        <v>136</v>
      </c>
      <c r="E4373" s="709" t="s">
        <v>8432</v>
      </c>
      <c r="F4373" s="716">
        <v>160.19</v>
      </c>
      <c r="G4373" s="716">
        <v>81.83</v>
      </c>
      <c r="H4373" s="225">
        <f t="shared" si="68"/>
        <v>160.19</v>
      </c>
    </row>
    <row r="4374" spans="1:8" x14ac:dyDescent="0.3">
      <c r="A4374" s="401"/>
      <c r="B4374" s="709">
        <v>40329</v>
      </c>
      <c r="C4374" s="710" t="s">
        <v>12700</v>
      </c>
      <c r="D4374" s="709" t="s">
        <v>136</v>
      </c>
      <c r="E4374" s="709" t="s">
        <v>8438</v>
      </c>
      <c r="F4374" s="716">
        <v>35.25</v>
      </c>
      <c r="G4374" s="716">
        <v>30.43</v>
      </c>
      <c r="H4374" s="225">
        <f t="shared" si="68"/>
        <v>35.25</v>
      </c>
    </row>
    <row r="4375" spans="1:8" x14ac:dyDescent="0.3">
      <c r="A4375" s="401"/>
      <c r="B4375" s="709">
        <v>11823</v>
      </c>
      <c r="C4375" s="710" t="s">
        <v>12701</v>
      </c>
      <c r="D4375" s="709" t="s">
        <v>136</v>
      </c>
      <c r="E4375" s="709" t="s">
        <v>8432</v>
      </c>
      <c r="F4375" s="716">
        <v>14.85</v>
      </c>
      <c r="G4375" s="716">
        <v>12.82</v>
      </c>
      <c r="H4375" s="225">
        <f t="shared" si="68"/>
        <v>14.85</v>
      </c>
    </row>
    <row r="4376" spans="1:8" x14ac:dyDescent="0.3">
      <c r="A4376" s="401"/>
      <c r="B4376" s="709">
        <v>11822</v>
      </c>
      <c r="C4376" s="710" t="s">
        <v>12702</v>
      </c>
      <c r="D4376" s="709" t="s">
        <v>136</v>
      </c>
      <c r="E4376" s="709" t="s">
        <v>8432</v>
      </c>
      <c r="F4376" s="716">
        <v>35.1</v>
      </c>
      <c r="G4376" s="716">
        <v>33.35</v>
      </c>
      <c r="H4376" s="225">
        <f t="shared" si="68"/>
        <v>35.1</v>
      </c>
    </row>
    <row r="4377" spans="1:8" x14ac:dyDescent="0.3">
      <c r="A4377" s="401"/>
      <c r="B4377" s="709">
        <v>11831</v>
      </c>
      <c r="C4377" s="710" t="s">
        <v>12703</v>
      </c>
      <c r="D4377" s="709" t="s">
        <v>136</v>
      </c>
      <c r="E4377" s="709" t="s">
        <v>8432</v>
      </c>
      <c r="F4377" s="716">
        <v>21.12</v>
      </c>
      <c r="G4377" s="716">
        <v>20.07</v>
      </c>
      <c r="H4377" s="225">
        <f t="shared" si="68"/>
        <v>21.12</v>
      </c>
    </row>
    <row r="4378" spans="1:8" x14ac:dyDescent="0.3">
      <c r="A4378" s="401"/>
      <c r="B4378" s="709">
        <v>45249</v>
      </c>
      <c r="C4378" s="710" t="s">
        <v>12704</v>
      </c>
      <c r="D4378" s="709" t="s">
        <v>136</v>
      </c>
      <c r="E4378" s="709" t="s">
        <v>8432</v>
      </c>
      <c r="F4378" s="716">
        <v>175.22</v>
      </c>
      <c r="G4378" s="716">
        <v>172.32</v>
      </c>
      <c r="H4378" s="225">
        <f t="shared" si="68"/>
        <v>175.22</v>
      </c>
    </row>
    <row r="4379" spans="1:8" x14ac:dyDescent="0.3">
      <c r="A4379" s="401"/>
      <c r="B4379" s="709">
        <v>7613</v>
      </c>
      <c r="C4379" s="710" t="s">
        <v>12705</v>
      </c>
      <c r="D4379" s="709" t="s">
        <v>136</v>
      </c>
      <c r="E4379" s="709" t="s">
        <v>8432</v>
      </c>
      <c r="F4379" s="716"/>
      <c r="G4379" s="716">
        <v>122260.92</v>
      </c>
      <c r="H4379" s="225">
        <f t="shared" si="68"/>
        <v>122260.92</v>
      </c>
    </row>
    <row r="4380" spans="1:8" x14ac:dyDescent="0.3">
      <c r="A4380" s="401"/>
      <c r="B4380" s="709">
        <v>7619</v>
      </c>
      <c r="C4380" s="710" t="s">
        <v>12706</v>
      </c>
      <c r="D4380" s="709" t="s">
        <v>136</v>
      </c>
      <c r="E4380" s="709" t="s">
        <v>8432</v>
      </c>
      <c r="F4380" s="716"/>
      <c r="G4380" s="716">
        <v>18898.919999999998</v>
      </c>
      <c r="H4380" s="225">
        <f t="shared" si="68"/>
        <v>18898.919999999998</v>
      </c>
    </row>
    <row r="4381" spans="1:8" x14ac:dyDescent="0.3">
      <c r="A4381" s="401"/>
      <c r="B4381" s="709">
        <v>12076</v>
      </c>
      <c r="C4381" s="710" t="s">
        <v>12707</v>
      </c>
      <c r="D4381" s="709" t="s">
        <v>136</v>
      </c>
      <c r="E4381" s="709" t="s">
        <v>8432</v>
      </c>
      <c r="F4381" s="716"/>
      <c r="G4381" s="716">
        <v>8669.23</v>
      </c>
      <c r="H4381" s="225">
        <f t="shared" si="68"/>
        <v>8669.23</v>
      </c>
    </row>
    <row r="4382" spans="1:8" x14ac:dyDescent="0.3">
      <c r="A4382" s="401"/>
      <c r="B4382" s="709">
        <v>7614</v>
      </c>
      <c r="C4382" s="710" t="s">
        <v>12708</v>
      </c>
      <c r="D4382" s="709" t="s">
        <v>136</v>
      </c>
      <c r="E4382" s="709" t="s">
        <v>8432</v>
      </c>
      <c r="F4382" s="716"/>
      <c r="G4382" s="716">
        <v>23836.04</v>
      </c>
      <c r="H4382" s="225">
        <f t="shared" si="68"/>
        <v>23836.04</v>
      </c>
    </row>
    <row r="4383" spans="1:8" x14ac:dyDescent="0.3">
      <c r="A4383" s="401"/>
      <c r="B4383" s="709">
        <v>7618</v>
      </c>
      <c r="C4383" s="710" t="s">
        <v>12709</v>
      </c>
      <c r="D4383" s="709" t="s">
        <v>136</v>
      </c>
      <c r="E4383" s="709" t="s">
        <v>8432</v>
      </c>
      <c r="F4383" s="716"/>
      <c r="G4383" s="716">
        <v>154594.67000000001</v>
      </c>
      <c r="H4383" s="225">
        <f t="shared" si="68"/>
        <v>154594.67000000001</v>
      </c>
    </row>
    <row r="4384" spans="1:8" x14ac:dyDescent="0.3">
      <c r="A4384" s="401"/>
      <c r="B4384" s="709">
        <v>7620</v>
      </c>
      <c r="C4384" s="710" t="s">
        <v>12710</v>
      </c>
      <c r="D4384" s="709" t="s">
        <v>136</v>
      </c>
      <c r="E4384" s="709" t="s">
        <v>8432</v>
      </c>
      <c r="F4384" s="716"/>
      <c r="G4384" s="716">
        <v>33438.46</v>
      </c>
      <c r="H4384" s="225">
        <f t="shared" si="68"/>
        <v>33438.46</v>
      </c>
    </row>
    <row r="4385" spans="1:8" x14ac:dyDescent="0.3">
      <c r="A4385" s="401"/>
      <c r="B4385" s="709">
        <v>7610</v>
      </c>
      <c r="C4385" s="710" t="s">
        <v>12711</v>
      </c>
      <c r="D4385" s="709" t="s">
        <v>136</v>
      </c>
      <c r="E4385" s="709" t="s">
        <v>8432</v>
      </c>
      <c r="F4385" s="716"/>
      <c r="G4385" s="716">
        <v>10588.84</v>
      </c>
      <c r="H4385" s="225">
        <f t="shared" si="68"/>
        <v>10588.84</v>
      </c>
    </row>
    <row r="4386" spans="1:8" x14ac:dyDescent="0.3">
      <c r="A4386" s="401"/>
      <c r="B4386" s="709">
        <v>7615</v>
      </c>
      <c r="C4386" s="710" t="s">
        <v>12712</v>
      </c>
      <c r="D4386" s="709" t="s">
        <v>136</v>
      </c>
      <c r="E4386" s="709" t="s">
        <v>8432</v>
      </c>
      <c r="F4386" s="716"/>
      <c r="G4386" s="716">
        <v>39011.53</v>
      </c>
      <c r="H4386" s="225">
        <f t="shared" si="68"/>
        <v>39011.53</v>
      </c>
    </row>
    <row r="4387" spans="1:8" x14ac:dyDescent="0.3">
      <c r="A4387" s="401"/>
      <c r="B4387" s="709">
        <v>7617</v>
      </c>
      <c r="C4387" s="710" t="s">
        <v>12713</v>
      </c>
      <c r="D4387" s="709" t="s">
        <v>136</v>
      </c>
      <c r="E4387" s="709" t="s">
        <v>8432</v>
      </c>
      <c r="F4387" s="716"/>
      <c r="G4387" s="716">
        <v>11827.3</v>
      </c>
      <c r="H4387" s="225">
        <f t="shared" si="68"/>
        <v>11827.3</v>
      </c>
    </row>
    <row r="4388" spans="1:8" x14ac:dyDescent="0.3">
      <c r="A4388" s="401"/>
      <c r="B4388" s="709">
        <v>7616</v>
      </c>
      <c r="C4388" s="710" t="s">
        <v>12714</v>
      </c>
      <c r="D4388" s="709" t="s">
        <v>136</v>
      </c>
      <c r="E4388" s="709" t="s">
        <v>8432</v>
      </c>
      <c r="F4388" s="716"/>
      <c r="G4388" s="716">
        <v>63660.63</v>
      </c>
      <c r="H4388" s="225">
        <f t="shared" si="68"/>
        <v>63660.63</v>
      </c>
    </row>
    <row r="4389" spans="1:8" x14ac:dyDescent="0.3">
      <c r="A4389" s="401"/>
      <c r="B4389" s="709">
        <v>7611</v>
      </c>
      <c r="C4389" s="710" t="s">
        <v>12715</v>
      </c>
      <c r="D4389" s="709" t="s">
        <v>136</v>
      </c>
      <c r="E4389" s="709" t="s">
        <v>8438</v>
      </c>
      <c r="F4389" s="716"/>
      <c r="G4389" s="716">
        <v>15295</v>
      </c>
      <c r="H4389" s="225">
        <f t="shared" si="68"/>
        <v>15295</v>
      </c>
    </row>
    <row r="4390" spans="1:8" x14ac:dyDescent="0.3">
      <c r="A4390" s="401"/>
      <c r="B4390" s="709">
        <v>7612</v>
      </c>
      <c r="C4390" s="710" t="s">
        <v>12716</v>
      </c>
      <c r="D4390" s="709" t="s">
        <v>136</v>
      </c>
      <c r="E4390" s="709" t="s">
        <v>8432</v>
      </c>
      <c r="F4390" s="716"/>
      <c r="G4390" s="716">
        <v>87321.44</v>
      </c>
      <c r="H4390" s="225">
        <f t="shared" si="68"/>
        <v>87321.44</v>
      </c>
    </row>
    <row r="4391" spans="1:8" x14ac:dyDescent="0.3">
      <c r="A4391" s="401"/>
      <c r="B4391" s="709">
        <v>37371</v>
      </c>
      <c r="C4391" s="710" t="s">
        <v>12717</v>
      </c>
      <c r="D4391" s="709" t="s">
        <v>234</v>
      </c>
      <c r="E4391" s="709" t="s">
        <v>8438</v>
      </c>
      <c r="F4391" s="716">
        <v>1.02</v>
      </c>
      <c r="G4391" s="716">
        <v>1.07</v>
      </c>
      <c r="H4391" s="225">
        <f t="shared" si="68"/>
        <v>1.02</v>
      </c>
    </row>
    <row r="4392" spans="1:8" x14ac:dyDescent="0.3">
      <c r="A4392" s="401"/>
      <c r="B4392" s="709">
        <v>40861</v>
      </c>
      <c r="C4392" s="710" t="s">
        <v>12718</v>
      </c>
      <c r="D4392" s="709" t="s">
        <v>208</v>
      </c>
      <c r="E4392" s="709" t="s">
        <v>8438</v>
      </c>
      <c r="F4392" s="716">
        <v>170.05</v>
      </c>
      <c r="G4392" s="716">
        <v>176.94</v>
      </c>
      <c r="H4392" s="225">
        <f t="shared" si="68"/>
        <v>170.05</v>
      </c>
    </row>
    <row r="4393" spans="1:8" x14ac:dyDescent="0.3">
      <c r="A4393" s="401"/>
      <c r="B4393" s="709">
        <v>36509</v>
      </c>
      <c r="C4393" s="710" t="s">
        <v>12719</v>
      </c>
      <c r="D4393" s="709" t="s">
        <v>136</v>
      </c>
      <c r="E4393" s="709" t="s">
        <v>8432</v>
      </c>
      <c r="F4393" s="716">
        <v>1075376.08</v>
      </c>
      <c r="G4393" s="716">
        <v>1130275.1599999999</v>
      </c>
      <c r="H4393" s="225">
        <f t="shared" si="68"/>
        <v>1075376.08</v>
      </c>
    </row>
    <row r="4394" spans="1:8" x14ac:dyDescent="0.3">
      <c r="A4394" s="401"/>
      <c r="B4394" s="709">
        <v>7622</v>
      </c>
      <c r="C4394" s="710" t="s">
        <v>12720</v>
      </c>
      <c r="D4394" s="709" t="s">
        <v>136</v>
      </c>
      <c r="E4394" s="709" t="s">
        <v>8432</v>
      </c>
      <c r="F4394" s="716">
        <v>1027464.84</v>
      </c>
      <c r="G4394" s="716">
        <v>1079918</v>
      </c>
      <c r="H4394" s="225">
        <f t="shared" si="68"/>
        <v>1027464.84</v>
      </c>
    </row>
    <row r="4395" spans="1:8" x14ac:dyDescent="0.3">
      <c r="A4395" s="401"/>
      <c r="B4395" s="709">
        <v>7624</v>
      </c>
      <c r="C4395" s="710" t="s">
        <v>12721</v>
      </c>
      <c r="D4395" s="709" t="s">
        <v>136</v>
      </c>
      <c r="E4395" s="709" t="s">
        <v>8438</v>
      </c>
      <c r="F4395" s="716">
        <v>1332000</v>
      </c>
      <c r="G4395" s="716">
        <v>1400000</v>
      </c>
      <c r="H4395" s="225">
        <f t="shared" si="68"/>
        <v>1332000</v>
      </c>
    </row>
    <row r="4396" spans="1:8" x14ac:dyDescent="0.3">
      <c r="A4396" s="401"/>
      <c r="B4396" s="709">
        <v>7625</v>
      </c>
      <c r="C4396" s="710" t="s">
        <v>12722</v>
      </c>
      <c r="D4396" s="709" t="s">
        <v>136</v>
      </c>
      <c r="E4396" s="709" t="s">
        <v>8432</v>
      </c>
      <c r="F4396" s="716">
        <v>1323853.08</v>
      </c>
      <c r="G4396" s="716">
        <v>1391437.18</v>
      </c>
      <c r="H4396" s="225">
        <f t="shared" si="68"/>
        <v>1323853.08</v>
      </c>
    </row>
    <row r="4397" spans="1:8" x14ac:dyDescent="0.3">
      <c r="A4397" s="401"/>
      <c r="B4397" s="709">
        <v>7623</v>
      </c>
      <c r="C4397" s="710" t="s">
        <v>12723</v>
      </c>
      <c r="D4397" s="709" t="s">
        <v>136</v>
      </c>
      <c r="E4397" s="709" t="s">
        <v>8432</v>
      </c>
      <c r="F4397" s="716">
        <v>4363047.38</v>
      </c>
      <c r="G4397" s="716">
        <v>4585785.54</v>
      </c>
      <c r="H4397" s="225">
        <f t="shared" si="68"/>
        <v>4363047.38</v>
      </c>
    </row>
    <row r="4398" spans="1:8" x14ac:dyDescent="0.3">
      <c r="A4398" s="401"/>
      <c r="B4398" s="709">
        <v>36511</v>
      </c>
      <c r="C4398" s="710" t="s">
        <v>12724</v>
      </c>
      <c r="D4398" s="709" t="s">
        <v>136</v>
      </c>
      <c r="E4398" s="709" t="s">
        <v>8432</v>
      </c>
      <c r="F4398" s="716">
        <v>354766.33</v>
      </c>
      <c r="G4398" s="716">
        <v>361588.76</v>
      </c>
      <c r="H4398" s="225">
        <f t="shared" si="68"/>
        <v>354766.33</v>
      </c>
    </row>
    <row r="4399" spans="1:8" x14ac:dyDescent="0.3">
      <c r="A4399" s="401"/>
      <c r="B4399" s="709">
        <v>7640</v>
      </c>
      <c r="C4399" s="710" t="s">
        <v>12725</v>
      </c>
      <c r="D4399" s="709" t="s">
        <v>136</v>
      </c>
      <c r="E4399" s="709" t="s">
        <v>8438</v>
      </c>
      <c r="F4399" s="716">
        <v>260000</v>
      </c>
      <c r="G4399" s="716">
        <v>265000</v>
      </c>
      <c r="H4399" s="225">
        <f t="shared" si="68"/>
        <v>260000</v>
      </c>
    </row>
    <row r="4400" spans="1:8" x14ac:dyDescent="0.3">
      <c r="A4400" s="401"/>
      <c r="B4400" s="709">
        <v>11572</v>
      </c>
      <c r="C4400" s="710" t="s">
        <v>12726</v>
      </c>
      <c r="D4400" s="709" t="s">
        <v>136</v>
      </c>
      <c r="E4400" s="709" t="s">
        <v>8432</v>
      </c>
      <c r="F4400" s="716">
        <v>37.76</v>
      </c>
      <c r="G4400" s="716">
        <v>31.24</v>
      </c>
      <c r="H4400" s="225">
        <f t="shared" si="68"/>
        <v>37.76</v>
      </c>
    </row>
    <row r="4401" spans="1:8" x14ac:dyDescent="0.3">
      <c r="A4401" s="401"/>
      <c r="B4401" s="709">
        <v>36149</v>
      </c>
      <c r="C4401" s="710" t="s">
        <v>12727</v>
      </c>
      <c r="D4401" s="709" t="s">
        <v>136</v>
      </c>
      <c r="E4401" s="709" t="s">
        <v>8432</v>
      </c>
      <c r="F4401" s="716">
        <v>199.74</v>
      </c>
      <c r="G4401" s="716">
        <v>195.9</v>
      </c>
      <c r="H4401" s="225">
        <f t="shared" si="68"/>
        <v>199.74</v>
      </c>
    </row>
    <row r="4402" spans="1:8" x14ac:dyDescent="0.3">
      <c r="A4402" s="401"/>
      <c r="B4402" s="709">
        <v>42407</v>
      </c>
      <c r="C4402" s="710" t="s">
        <v>12728</v>
      </c>
      <c r="D4402" s="709" t="s">
        <v>159</v>
      </c>
      <c r="E4402" s="709" t="s">
        <v>8432</v>
      </c>
      <c r="F4402" s="716">
        <v>6.39</v>
      </c>
      <c r="G4402" s="716">
        <v>5.25</v>
      </c>
      <c r="H4402" s="225">
        <f t="shared" si="68"/>
        <v>6.39</v>
      </c>
    </row>
    <row r="4403" spans="1:8" x14ac:dyDescent="0.3">
      <c r="A4403" s="401"/>
      <c r="B4403" s="709">
        <v>45200</v>
      </c>
      <c r="C4403" s="710" t="s">
        <v>12729</v>
      </c>
      <c r="D4403" s="709" t="s">
        <v>136</v>
      </c>
      <c r="E4403" s="709" t="s">
        <v>8432</v>
      </c>
      <c r="F4403" s="716">
        <v>28.06</v>
      </c>
      <c r="G4403" s="716">
        <v>27.6</v>
      </c>
      <c r="H4403" s="225">
        <f t="shared" si="68"/>
        <v>28.06</v>
      </c>
    </row>
    <row r="4404" spans="1:8" x14ac:dyDescent="0.3">
      <c r="A4404" s="401"/>
      <c r="B4404" s="709">
        <v>11581</v>
      </c>
      <c r="C4404" s="710" t="s">
        <v>12730</v>
      </c>
      <c r="D4404" s="709" t="s">
        <v>159</v>
      </c>
      <c r="E4404" s="709" t="s">
        <v>8432</v>
      </c>
      <c r="F4404" s="716">
        <v>24.92</v>
      </c>
      <c r="G4404" s="716">
        <v>20.62</v>
      </c>
      <c r="H4404" s="225">
        <f t="shared" si="68"/>
        <v>24.92</v>
      </c>
    </row>
    <row r="4405" spans="1:8" x14ac:dyDescent="0.3">
      <c r="A4405" s="401"/>
      <c r="B4405" s="709">
        <v>43605</v>
      </c>
      <c r="C4405" s="710" t="s">
        <v>12731</v>
      </c>
      <c r="D4405" s="709" t="s">
        <v>159</v>
      </c>
      <c r="E4405" s="709" t="s">
        <v>8432</v>
      </c>
      <c r="F4405" s="716">
        <v>50.99</v>
      </c>
      <c r="G4405" s="716">
        <v>42.18</v>
      </c>
      <c r="H4405" s="225">
        <f t="shared" si="68"/>
        <v>50.99</v>
      </c>
    </row>
    <row r="4406" spans="1:8" x14ac:dyDescent="0.3">
      <c r="A4406" s="401"/>
      <c r="B4406" s="709">
        <v>11580</v>
      </c>
      <c r="C4406" s="710" t="s">
        <v>12732</v>
      </c>
      <c r="D4406" s="709" t="s">
        <v>159</v>
      </c>
      <c r="E4406" s="709" t="s">
        <v>8432</v>
      </c>
      <c r="F4406" s="716">
        <v>10</v>
      </c>
      <c r="G4406" s="716">
        <v>8.27</v>
      </c>
      <c r="H4406" s="225">
        <f t="shared" si="68"/>
        <v>10</v>
      </c>
    </row>
    <row r="4407" spans="1:8" x14ac:dyDescent="0.3">
      <c r="A4407" s="401"/>
      <c r="B4407" s="709">
        <v>38386</v>
      </c>
      <c r="C4407" s="710" t="s">
        <v>12733</v>
      </c>
      <c r="D4407" s="709" t="s">
        <v>136</v>
      </c>
      <c r="E4407" s="709" t="s">
        <v>8432</v>
      </c>
      <c r="F4407" s="716">
        <v>6.13</v>
      </c>
      <c r="G4407" s="716">
        <v>6.94</v>
      </c>
      <c r="H4407" s="225">
        <f t="shared" si="68"/>
        <v>6.13</v>
      </c>
    </row>
    <row r="4408" spans="1:8" x14ac:dyDescent="0.3">
      <c r="A4408" s="401"/>
      <c r="B4408" s="709">
        <v>45231</v>
      </c>
      <c r="C4408" s="710" t="s">
        <v>12734</v>
      </c>
      <c r="D4408" s="709" t="s">
        <v>136</v>
      </c>
      <c r="E4408" s="709" t="s">
        <v>8432</v>
      </c>
      <c r="F4408" s="716">
        <v>5.6</v>
      </c>
      <c r="G4408" s="716">
        <v>6.34</v>
      </c>
      <c r="H4408" s="225">
        <f t="shared" si="68"/>
        <v>5.6</v>
      </c>
    </row>
    <row r="4409" spans="1:8" x14ac:dyDescent="0.3">
      <c r="A4409" s="401"/>
      <c r="B4409" s="709">
        <v>45232</v>
      </c>
      <c r="C4409" s="710" t="s">
        <v>12735</v>
      </c>
      <c r="D4409" s="709" t="s">
        <v>136</v>
      </c>
      <c r="E4409" s="709" t="s">
        <v>8432</v>
      </c>
      <c r="F4409" s="716">
        <v>9.86</v>
      </c>
      <c r="G4409" s="716">
        <v>11.16</v>
      </c>
      <c r="H4409" s="225">
        <f t="shared" si="68"/>
        <v>9.86</v>
      </c>
    </row>
    <row r="4410" spans="1:8" x14ac:dyDescent="0.3">
      <c r="A4410" s="401"/>
      <c r="B4410" s="709">
        <v>39848</v>
      </c>
      <c r="C4410" s="710" t="s">
        <v>12736</v>
      </c>
      <c r="D4410" s="709" t="s">
        <v>159</v>
      </c>
      <c r="E4410" s="709" t="s">
        <v>8432</v>
      </c>
      <c r="F4410" s="716">
        <v>1.99</v>
      </c>
      <c r="G4410" s="716">
        <v>2.0099999999999998</v>
      </c>
      <c r="H4410" s="225">
        <f t="shared" si="68"/>
        <v>1.99</v>
      </c>
    </row>
    <row r="4411" spans="1:8" x14ac:dyDescent="0.3">
      <c r="A4411" s="401"/>
      <c r="B4411" s="709">
        <v>7667</v>
      </c>
      <c r="C4411" s="710" t="s">
        <v>12737</v>
      </c>
      <c r="D4411" s="709" t="s">
        <v>159</v>
      </c>
      <c r="E4411" s="709" t="s">
        <v>8432</v>
      </c>
      <c r="F4411" s="716">
        <v>2644.76</v>
      </c>
      <c r="G4411" s="716">
        <v>2896.24</v>
      </c>
      <c r="H4411" s="225">
        <f t="shared" si="68"/>
        <v>2644.76</v>
      </c>
    </row>
    <row r="4412" spans="1:8" x14ac:dyDescent="0.3">
      <c r="A4412" s="401"/>
      <c r="B4412" s="709">
        <v>7660</v>
      </c>
      <c r="C4412" s="710" t="s">
        <v>12738</v>
      </c>
      <c r="D4412" s="709" t="s">
        <v>159</v>
      </c>
      <c r="E4412" s="709" t="s">
        <v>8432</v>
      </c>
      <c r="F4412" s="716">
        <v>3371.43</v>
      </c>
      <c r="G4412" s="716">
        <v>3692.02</v>
      </c>
      <c r="H4412" s="225">
        <f t="shared" si="68"/>
        <v>3371.43</v>
      </c>
    </row>
    <row r="4413" spans="1:8" x14ac:dyDescent="0.3">
      <c r="A4413" s="401"/>
      <c r="B4413" s="709">
        <v>7676</v>
      </c>
      <c r="C4413" s="710" t="s">
        <v>12739</v>
      </c>
      <c r="D4413" s="709" t="s">
        <v>159</v>
      </c>
      <c r="E4413" s="709" t="s">
        <v>8432</v>
      </c>
      <c r="F4413" s="716">
        <v>3409.96</v>
      </c>
      <c r="G4413" s="716">
        <v>3734.22</v>
      </c>
      <c r="H4413" s="225">
        <f t="shared" si="68"/>
        <v>3409.96</v>
      </c>
    </row>
    <row r="4414" spans="1:8" x14ac:dyDescent="0.3">
      <c r="A4414" s="401"/>
      <c r="B4414" s="709">
        <v>20999</v>
      </c>
      <c r="C4414" s="710" t="s">
        <v>12740</v>
      </c>
      <c r="D4414" s="709" t="s">
        <v>159</v>
      </c>
      <c r="E4414" s="709" t="s">
        <v>8432</v>
      </c>
      <c r="F4414" s="716">
        <v>10.65</v>
      </c>
      <c r="G4414" s="716">
        <v>10.72</v>
      </c>
      <c r="H4414" s="225">
        <f t="shared" si="68"/>
        <v>10.65</v>
      </c>
    </row>
    <row r="4415" spans="1:8" x14ac:dyDescent="0.3">
      <c r="A4415" s="401"/>
      <c r="B4415" s="709">
        <v>21001</v>
      </c>
      <c r="C4415" s="710" t="s">
        <v>12741</v>
      </c>
      <c r="D4415" s="709" t="s">
        <v>159</v>
      </c>
      <c r="E4415" s="709" t="s">
        <v>8438</v>
      </c>
      <c r="F4415" s="716">
        <v>19.87</v>
      </c>
      <c r="G4415" s="716">
        <v>20</v>
      </c>
      <c r="H4415" s="225">
        <f t="shared" si="68"/>
        <v>19.87</v>
      </c>
    </row>
    <row r="4416" spans="1:8" x14ac:dyDescent="0.3">
      <c r="A4416" s="401"/>
      <c r="B4416" s="709">
        <v>21003</v>
      </c>
      <c r="C4416" s="710" t="s">
        <v>12742</v>
      </c>
      <c r="D4416" s="709" t="s">
        <v>159</v>
      </c>
      <c r="E4416" s="709" t="s">
        <v>8432</v>
      </c>
      <c r="F4416" s="716">
        <v>32.65</v>
      </c>
      <c r="G4416" s="716">
        <v>32.86</v>
      </c>
      <c r="H4416" s="225">
        <f t="shared" si="68"/>
        <v>32.65</v>
      </c>
    </row>
    <row r="4417" spans="1:8" x14ac:dyDescent="0.3">
      <c r="A4417" s="401"/>
      <c r="B4417" s="709">
        <v>21006</v>
      </c>
      <c r="C4417" s="710" t="s">
        <v>12743</v>
      </c>
      <c r="D4417" s="709" t="s">
        <v>159</v>
      </c>
      <c r="E4417" s="709" t="s">
        <v>8432</v>
      </c>
      <c r="F4417" s="716">
        <v>69.290000000000006</v>
      </c>
      <c r="G4417" s="716">
        <v>69.75</v>
      </c>
      <c r="H4417" s="225">
        <f t="shared" si="68"/>
        <v>69.290000000000006</v>
      </c>
    </row>
    <row r="4418" spans="1:8" x14ac:dyDescent="0.3">
      <c r="A4418" s="401"/>
      <c r="B4418" s="709">
        <v>21019</v>
      </c>
      <c r="C4418" s="710" t="s">
        <v>12744</v>
      </c>
      <c r="D4418" s="709" t="s">
        <v>159</v>
      </c>
      <c r="E4418" s="709" t="s">
        <v>8432</v>
      </c>
      <c r="F4418" s="716">
        <v>24.08</v>
      </c>
      <c r="G4418" s="716">
        <v>24.24</v>
      </c>
      <c r="H4418" s="225">
        <f t="shared" si="68"/>
        <v>24.08</v>
      </c>
    </row>
    <row r="4419" spans="1:8" x14ac:dyDescent="0.3">
      <c r="A4419" s="401"/>
      <c r="B4419" s="709">
        <v>21021</v>
      </c>
      <c r="C4419" s="710" t="s">
        <v>12745</v>
      </c>
      <c r="D4419" s="709" t="s">
        <v>159</v>
      </c>
      <c r="E4419" s="709" t="s">
        <v>8432</v>
      </c>
      <c r="F4419" s="716">
        <v>38.08</v>
      </c>
      <c r="G4419" s="716">
        <v>38.32</v>
      </c>
      <c r="H4419" s="225">
        <f t="shared" si="68"/>
        <v>38.08</v>
      </c>
    </row>
    <row r="4420" spans="1:8" x14ac:dyDescent="0.3">
      <c r="A4420" s="401"/>
      <c r="B4420" s="709">
        <v>21024</v>
      </c>
      <c r="C4420" s="710" t="s">
        <v>12746</v>
      </c>
      <c r="D4420" s="709" t="s">
        <v>159</v>
      </c>
      <c r="E4420" s="709" t="s">
        <v>8432</v>
      </c>
      <c r="F4420" s="716">
        <v>81.58</v>
      </c>
      <c r="G4420" s="716">
        <v>82.12</v>
      </c>
      <c r="H4420" s="225">
        <f t="shared" si="68"/>
        <v>81.58</v>
      </c>
    </row>
    <row r="4421" spans="1:8" x14ac:dyDescent="0.3">
      <c r="A4421" s="401"/>
      <c r="B4421" s="709">
        <v>40624</v>
      </c>
      <c r="C4421" s="710" t="s">
        <v>12747</v>
      </c>
      <c r="D4421" s="709" t="s">
        <v>159</v>
      </c>
      <c r="E4421" s="709" t="s">
        <v>8432</v>
      </c>
      <c r="F4421" s="716">
        <v>73.010000000000005</v>
      </c>
      <c r="G4421" s="716">
        <v>79.959999999999994</v>
      </c>
      <c r="H4421" s="225">
        <f t="shared" si="68"/>
        <v>73.010000000000005</v>
      </c>
    </row>
    <row r="4422" spans="1:8" x14ac:dyDescent="0.3">
      <c r="A4422" s="401"/>
      <c r="B4422" s="709">
        <v>42575</v>
      </c>
      <c r="C4422" s="710" t="s">
        <v>12748</v>
      </c>
      <c r="D4422" s="709" t="s">
        <v>159</v>
      </c>
      <c r="E4422" s="709" t="s">
        <v>8432</v>
      </c>
      <c r="F4422" s="716">
        <v>67</v>
      </c>
      <c r="G4422" s="716">
        <v>73.37</v>
      </c>
      <c r="H4422" s="225">
        <f t="shared" si="68"/>
        <v>67</v>
      </c>
    </row>
    <row r="4423" spans="1:8" x14ac:dyDescent="0.3">
      <c r="A4423" s="401"/>
      <c r="B4423" s="709">
        <v>42574</v>
      </c>
      <c r="C4423" s="710" t="s">
        <v>12749</v>
      </c>
      <c r="D4423" s="709" t="s">
        <v>159</v>
      </c>
      <c r="E4423" s="709" t="s">
        <v>8432</v>
      </c>
      <c r="F4423" s="716">
        <v>50</v>
      </c>
      <c r="G4423" s="716">
        <v>54.75</v>
      </c>
      <c r="H4423" s="225">
        <f t="shared" si="68"/>
        <v>50</v>
      </c>
    </row>
    <row r="4424" spans="1:8" x14ac:dyDescent="0.3">
      <c r="A4424" s="401"/>
      <c r="B4424" s="709">
        <v>13127</v>
      </c>
      <c r="C4424" s="710" t="s">
        <v>12750</v>
      </c>
      <c r="D4424" s="709" t="s">
        <v>159</v>
      </c>
      <c r="E4424" s="709" t="s">
        <v>8432</v>
      </c>
      <c r="F4424" s="716">
        <v>32.57</v>
      </c>
      <c r="G4424" s="716">
        <v>35.659999999999997</v>
      </c>
      <c r="H4424" s="225">
        <f t="shared" si="68"/>
        <v>32.57</v>
      </c>
    </row>
    <row r="4425" spans="1:8" x14ac:dyDescent="0.3">
      <c r="A4425" s="401"/>
      <c r="B4425" s="709">
        <v>13137</v>
      </c>
      <c r="C4425" s="710" t="s">
        <v>12751</v>
      </c>
      <c r="D4425" s="709" t="s">
        <v>159</v>
      </c>
      <c r="E4425" s="709" t="s">
        <v>8432</v>
      </c>
      <c r="F4425" s="716">
        <v>43.22</v>
      </c>
      <c r="G4425" s="716">
        <v>47.33</v>
      </c>
      <c r="H4425" s="225">
        <f t="shared" si="68"/>
        <v>43.22</v>
      </c>
    </row>
    <row r="4426" spans="1:8" x14ac:dyDescent="0.3">
      <c r="A4426" s="401"/>
      <c r="B4426" s="709">
        <v>20989</v>
      </c>
      <c r="C4426" s="710" t="s">
        <v>12752</v>
      </c>
      <c r="D4426" s="709" t="s">
        <v>159</v>
      </c>
      <c r="E4426" s="709" t="s">
        <v>8432</v>
      </c>
      <c r="F4426" s="716">
        <v>1548.31</v>
      </c>
      <c r="G4426" s="716">
        <v>1695.54</v>
      </c>
      <c r="H4426" s="225">
        <f t="shared" si="68"/>
        <v>1548.31</v>
      </c>
    </row>
    <row r="4427" spans="1:8" x14ac:dyDescent="0.3">
      <c r="A4427" s="401"/>
      <c r="B4427" s="709">
        <v>21147</v>
      </c>
      <c r="C4427" s="710" t="s">
        <v>12753</v>
      </c>
      <c r="D4427" s="709" t="s">
        <v>159</v>
      </c>
      <c r="E4427" s="709" t="s">
        <v>8432</v>
      </c>
      <c r="F4427" s="716">
        <v>145.16999999999999</v>
      </c>
      <c r="G4427" s="716">
        <v>158.97</v>
      </c>
      <c r="H4427" s="225">
        <f t="shared" ref="H4427:H4490" si="69">IF(F4427&gt;0,F4427,G4427)</f>
        <v>145.16999999999999</v>
      </c>
    </row>
    <row r="4428" spans="1:8" x14ac:dyDescent="0.3">
      <c r="A4428" s="401"/>
      <c r="B4428" s="709">
        <v>21148</v>
      </c>
      <c r="C4428" s="710" t="s">
        <v>12754</v>
      </c>
      <c r="D4428" s="709" t="s">
        <v>159</v>
      </c>
      <c r="E4428" s="709" t="s">
        <v>8438</v>
      </c>
      <c r="F4428" s="716">
        <v>89.6</v>
      </c>
      <c r="G4428" s="716">
        <v>98.12</v>
      </c>
      <c r="H4428" s="225">
        <f t="shared" si="69"/>
        <v>89.6</v>
      </c>
    </row>
    <row r="4429" spans="1:8" x14ac:dyDescent="0.3">
      <c r="A4429" s="401"/>
      <c r="B4429" s="709">
        <v>20984</v>
      </c>
      <c r="C4429" s="710" t="s">
        <v>12755</v>
      </c>
      <c r="D4429" s="709" t="s">
        <v>159</v>
      </c>
      <c r="E4429" s="709" t="s">
        <v>8432</v>
      </c>
      <c r="F4429" s="716">
        <v>2970.9</v>
      </c>
      <c r="G4429" s="716">
        <v>3253.4</v>
      </c>
      <c r="H4429" s="225">
        <f t="shared" si="69"/>
        <v>2970.9</v>
      </c>
    </row>
    <row r="4430" spans="1:8" x14ac:dyDescent="0.3">
      <c r="A4430" s="401"/>
      <c r="B4430" s="709">
        <v>13042</v>
      </c>
      <c r="C4430" s="710" t="s">
        <v>12756</v>
      </c>
      <c r="D4430" s="709" t="s">
        <v>159</v>
      </c>
      <c r="E4430" s="709" t="s">
        <v>8432</v>
      </c>
      <c r="F4430" s="716">
        <v>1646.32</v>
      </c>
      <c r="G4430" s="716">
        <v>1802.87</v>
      </c>
      <c r="H4430" s="225">
        <f t="shared" si="69"/>
        <v>1646.32</v>
      </c>
    </row>
    <row r="4431" spans="1:8" x14ac:dyDescent="0.3">
      <c r="A4431" s="401"/>
      <c r="B4431" s="709">
        <v>42576</v>
      </c>
      <c r="C4431" s="710" t="s">
        <v>12757</v>
      </c>
      <c r="D4431" s="709" t="s">
        <v>159</v>
      </c>
      <c r="E4431" s="709" t="s">
        <v>8432</v>
      </c>
      <c r="F4431" s="716">
        <v>182.77</v>
      </c>
      <c r="G4431" s="716">
        <v>200.15</v>
      </c>
      <c r="H4431" s="225">
        <f t="shared" si="69"/>
        <v>182.77</v>
      </c>
    </row>
    <row r="4432" spans="1:8" x14ac:dyDescent="0.3">
      <c r="A4432" s="401"/>
      <c r="B4432" s="709">
        <v>21150</v>
      </c>
      <c r="C4432" s="710" t="s">
        <v>12758</v>
      </c>
      <c r="D4432" s="709" t="s">
        <v>159</v>
      </c>
      <c r="E4432" s="709" t="s">
        <v>8432</v>
      </c>
      <c r="F4432" s="716">
        <v>44.43</v>
      </c>
      <c r="G4432" s="716">
        <v>48.65</v>
      </c>
      <c r="H4432" s="225">
        <f t="shared" si="69"/>
        <v>44.43</v>
      </c>
    </row>
    <row r="4433" spans="1:8" x14ac:dyDescent="0.3">
      <c r="A4433" s="401"/>
      <c r="B4433" s="709">
        <v>13141</v>
      </c>
      <c r="C4433" s="710" t="s">
        <v>12759</v>
      </c>
      <c r="D4433" s="709" t="s">
        <v>159</v>
      </c>
      <c r="E4433" s="709" t="s">
        <v>8432</v>
      </c>
      <c r="F4433" s="716">
        <v>55.97</v>
      </c>
      <c r="G4433" s="716">
        <v>61.3</v>
      </c>
      <c r="H4433" s="225">
        <f t="shared" si="69"/>
        <v>55.97</v>
      </c>
    </row>
    <row r="4434" spans="1:8" x14ac:dyDescent="0.3">
      <c r="A4434" s="401"/>
      <c r="B4434" s="709">
        <v>21151</v>
      </c>
      <c r="C4434" s="710" t="s">
        <v>12760</v>
      </c>
      <c r="D4434" s="709" t="s">
        <v>159</v>
      </c>
      <c r="E4434" s="709" t="s">
        <v>8432</v>
      </c>
      <c r="F4434" s="716">
        <v>265.93</v>
      </c>
      <c r="G4434" s="716">
        <v>291.22000000000003</v>
      </c>
      <c r="H4434" s="225">
        <f t="shared" si="69"/>
        <v>265.93</v>
      </c>
    </row>
    <row r="4435" spans="1:8" x14ac:dyDescent="0.3">
      <c r="A4435" s="401"/>
      <c r="B4435" s="709">
        <v>13142</v>
      </c>
      <c r="C4435" s="710" t="s">
        <v>12761</v>
      </c>
      <c r="D4435" s="709" t="s">
        <v>159</v>
      </c>
      <c r="E4435" s="709" t="s">
        <v>8432</v>
      </c>
      <c r="F4435" s="716">
        <v>380.17</v>
      </c>
      <c r="G4435" s="716">
        <v>416.32</v>
      </c>
      <c r="H4435" s="225">
        <f t="shared" si="69"/>
        <v>380.17</v>
      </c>
    </row>
    <row r="4436" spans="1:8" x14ac:dyDescent="0.3">
      <c r="A4436" s="401"/>
      <c r="B4436" s="709">
        <v>42577</v>
      </c>
      <c r="C4436" s="710" t="s">
        <v>12762</v>
      </c>
      <c r="D4436" s="709" t="s">
        <v>159</v>
      </c>
      <c r="E4436" s="709" t="s">
        <v>8432</v>
      </c>
      <c r="F4436" s="716">
        <v>417.15</v>
      </c>
      <c r="G4436" s="716">
        <v>456.82</v>
      </c>
      <c r="H4436" s="225">
        <f t="shared" si="69"/>
        <v>417.15</v>
      </c>
    </row>
    <row r="4437" spans="1:8" x14ac:dyDescent="0.3">
      <c r="A4437" s="401"/>
      <c r="B4437" s="709">
        <v>20994</v>
      </c>
      <c r="C4437" s="710" t="s">
        <v>12763</v>
      </c>
      <c r="D4437" s="709" t="s">
        <v>159</v>
      </c>
      <c r="E4437" s="709" t="s">
        <v>8432</v>
      </c>
      <c r="F4437" s="716">
        <v>716.79</v>
      </c>
      <c r="G4437" s="716">
        <v>784.95</v>
      </c>
      <c r="H4437" s="225">
        <f t="shared" si="69"/>
        <v>716.79</v>
      </c>
    </row>
    <row r="4438" spans="1:8" x14ac:dyDescent="0.3">
      <c r="A4438" s="401"/>
      <c r="B4438" s="709">
        <v>7672</v>
      </c>
      <c r="C4438" s="710" t="s">
        <v>12764</v>
      </c>
      <c r="D4438" s="709" t="s">
        <v>159</v>
      </c>
      <c r="E4438" s="709" t="s">
        <v>8432</v>
      </c>
      <c r="F4438" s="716">
        <v>469.57</v>
      </c>
      <c r="G4438" s="716">
        <v>514.22</v>
      </c>
      <c r="H4438" s="225">
        <f t="shared" si="69"/>
        <v>469.57</v>
      </c>
    </row>
    <row r="4439" spans="1:8" x14ac:dyDescent="0.3">
      <c r="A4439" s="401"/>
      <c r="B4439" s="709">
        <v>20995</v>
      </c>
      <c r="C4439" s="710" t="s">
        <v>12765</v>
      </c>
      <c r="D4439" s="709" t="s">
        <v>159</v>
      </c>
      <c r="E4439" s="709" t="s">
        <v>8432</v>
      </c>
      <c r="F4439" s="716">
        <v>941.99</v>
      </c>
      <c r="G4439" s="716">
        <v>1031.56</v>
      </c>
      <c r="H4439" s="225">
        <f t="shared" si="69"/>
        <v>941.99</v>
      </c>
    </row>
    <row r="4440" spans="1:8" x14ac:dyDescent="0.3">
      <c r="A4440" s="401"/>
      <c r="B4440" s="709">
        <v>7690</v>
      </c>
      <c r="C4440" s="710" t="s">
        <v>12766</v>
      </c>
      <c r="D4440" s="709" t="s">
        <v>159</v>
      </c>
      <c r="E4440" s="709" t="s">
        <v>8432</v>
      </c>
      <c r="F4440" s="716">
        <v>544.82000000000005</v>
      </c>
      <c r="G4440" s="716">
        <v>596.62</v>
      </c>
      <c r="H4440" s="225">
        <f t="shared" si="69"/>
        <v>544.82000000000005</v>
      </c>
    </row>
    <row r="4441" spans="1:8" x14ac:dyDescent="0.3">
      <c r="A4441" s="401"/>
      <c r="B4441" s="709">
        <v>20980</v>
      </c>
      <c r="C4441" s="710" t="s">
        <v>12767</v>
      </c>
      <c r="D4441" s="709" t="s">
        <v>159</v>
      </c>
      <c r="E4441" s="709" t="s">
        <v>8432</v>
      </c>
      <c r="F4441" s="716">
        <v>594.34</v>
      </c>
      <c r="G4441" s="716">
        <v>650.86</v>
      </c>
      <c r="H4441" s="225">
        <f t="shared" si="69"/>
        <v>594.34</v>
      </c>
    </row>
    <row r="4442" spans="1:8" x14ac:dyDescent="0.3">
      <c r="A4442" s="401"/>
      <c r="B4442" s="709">
        <v>7661</v>
      </c>
      <c r="C4442" s="710" t="s">
        <v>12768</v>
      </c>
      <c r="D4442" s="709" t="s">
        <v>159</v>
      </c>
      <c r="E4442" s="709" t="s">
        <v>8432</v>
      </c>
      <c r="F4442" s="716">
        <v>707.02</v>
      </c>
      <c r="G4442" s="716">
        <v>774.25</v>
      </c>
      <c r="H4442" s="225">
        <f t="shared" si="69"/>
        <v>707.02</v>
      </c>
    </row>
    <row r="4443" spans="1:8" x14ac:dyDescent="0.3">
      <c r="A4443" s="401"/>
      <c r="B4443" s="709">
        <v>21016</v>
      </c>
      <c r="C4443" s="710" t="s">
        <v>12769</v>
      </c>
      <c r="D4443" s="709" t="s">
        <v>159</v>
      </c>
      <c r="E4443" s="709" t="s">
        <v>8432</v>
      </c>
      <c r="F4443" s="716">
        <v>154.09</v>
      </c>
      <c r="G4443" s="716">
        <v>161.63</v>
      </c>
      <c r="H4443" s="225">
        <f t="shared" si="69"/>
        <v>154.09</v>
      </c>
    </row>
    <row r="4444" spans="1:8" x14ac:dyDescent="0.3">
      <c r="A4444" s="401"/>
      <c r="B4444" s="709">
        <v>21008</v>
      </c>
      <c r="C4444" s="710" t="s">
        <v>12770</v>
      </c>
      <c r="D4444" s="709" t="s">
        <v>159</v>
      </c>
      <c r="E4444" s="709" t="s">
        <v>8432</v>
      </c>
      <c r="F4444" s="716">
        <v>18</v>
      </c>
      <c r="G4444" s="716">
        <v>18.88</v>
      </c>
      <c r="H4444" s="225">
        <f t="shared" si="69"/>
        <v>18</v>
      </c>
    </row>
    <row r="4445" spans="1:8" x14ac:dyDescent="0.3">
      <c r="A4445" s="401"/>
      <c r="B4445" s="709">
        <v>21009</v>
      </c>
      <c r="C4445" s="710" t="s">
        <v>12771</v>
      </c>
      <c r="D4445" s="709" t="s">
        <v>159</v>
      </c>
      <c r="E4445" s="709" t="s">
        <v>8432</v>
      </c>
      <c r="F4445" s="716">
        <v>23.44</v>
      </c>
      <c r="G4445" s="716">
        <v>24.58</v>
      </c>
      <c r="H4445" s="225">
        <f t="shared" si="69"/>
        <v>23.44</v>
      </c>
    </row>
    <row r="4446" spans="1:8" x14ac:dyDescent="0.3">
      <c r="A4446" s="401"/>
      <c r="B4446" s="709">
        <v>21010</v>
      </c>
      <c r="C4446" s="710" t="s">
        <v>12772</v>
      </c>
      <c r="D4446" s="709" t="s">
        <v>159</v>
      </c>
      <c r="E4446" s="709" t="s">
        <v>8438</v>
      </c>
      <c r="F4446" s="716">
        <v>31.47</v>
      </c>
      <c r="G4446" s="716">
        <v>33.01</v>
      </c>
      <c r="H4446" s="225">
        <f t="shared" si="69"/>
        <v>31.47</v>
      </c>
    </row>
    <row r="4447" spans="1:8" x14ac:dyDescent="0.3">
      <c r="A4447" s="401"/>
      <c r="B4447" s="709">
        <v>21011</v>
      </c>
      <c r="C4447" s="710" t="s">
        <v>12773</v>
      </c>
      <c r="D4447" s="709" t="s">
        <v>159</v>
      </c>
      <c r="E4447" s="709" t="s">
        <v>8432</v>
      </c>
      <c r="F4447" s="716">
        <v>45.87</v>
      </c>
      <c r="G4447" s="716">
        <v>48.11</v>
      </c>
      <c r="H4447" s="225">
        <f t="shared" si="69"/>
        <v>45.87</v>
      </c>
    </row>
    <row r="4448" spans="1:8" x14ac:dyDescent="0.3">
      <c r="A4448" s="401"/>
      <c r="B4448" s="709">
        <v>21012</v>
      </c>
      <c r="C4448" s="710" t="s">
        <v>12774</v>
      </c>
      <c r="D4448" s="709" t="s">
        <v>159</v>
      </c>
      <c r="E4448" s="709" t="s">
        <v>8432</v>
      </c>
      <c r="F4448" s="716">
        <v>50.68</v>
      </c>
      <c r="G4448" s="716">
        <v>53.16</v>
      </c>
      <c r="H4448" s="225">
        <f t="shared" si="69"/>
        <v>50.68</v>
      </c>
    </row>
    <row r="4449" spans="1:8" x14ac:dyDescent="0.3">
      <c r="A4449" s="401"/>
      <c r="B4449" s="709">
        <v>21013</v>
      </c>
      <c r="C4449" s="710" t="s">
        <v>12775</v>
      </c>
      <c r="D4449" s="709" t="s">
        <v>159</v>
      </c>
      <c r="E4449" s="709" t="s">
        <v>8432</v>
      </c>
      <c r="F4449" s="716">
        <v>66.14</v>
      </c>
      <c r="G4449" s="716">
        <v>69.38</v>
      </c>
      <c r="H4449" s="225">
        <f t="shared" si="69"/>
        <v>66.14</v>
      </c>
    </row>
    <row r="4450" spans="1:8" x14ac:dyDescent="0.3">
      <c r="A4450" s="401"/>
      <c r="B4450" s="709">
        <v>21014</v>
      </c>
      <c r="C4450" s="710" t="s">
        <v>12776</v>
      </c>
      <c r="D4450" s="709" t="s">
        <v>159</v>
      </c>
      <c r="E4450" s="709" t="s">
        <v>8432</v>
      </c>
      <c r="F4450" s="716">
        <v>92.55</v>
      </c>
      <c r="G4450" s="716">
        <v>97.08</v>
      </c>
      <c r="H4450" s="225">
        <f t="shared" si="69"/>
        <v>92.55</v>
      </c>
    </row>
    <row r="4451" spans="1:8" x14ac:dyDescent="0.3">
      <c r="A4451" s="401"/>
      <c r="B4451" s="709">
        <v>21015</v>
      </c>
      <c r="C4451" s="710" t="s">
        <v>12777</v>
      </c>
      <c r="D4451" s="709" t="s">
        <v>159</v>
      </c>
      <c r="E4451" s="709" t="s">
        <v>8432</v>
      </c>
      <c r="F4451" s="716">
        <v>106.33</v>
      </c>
      <c r="G4451" s="716">
        <v>111.53</v>
      </c>
      <c r="H4451" s="225">
        <f t="shared" si="69"/>
        <v>106.33</v>
      </c>
    </row>
    <row r="4452" spans="1:8" x14ac:dyDescent="0.3">
      <c r="A4452" s="401"/>
      <c r="B4452" s="709">
        <v>40626</v>
      </c>
      <c r="C4452" s="710" t="s">
        <v>12778</v>
      </c>
      <c r="D4452" s="709" t="s">
        <v>159</v>
      </c>
      <c r="E4452" s="709" t="s">
        <v>8432</v>
      </c>
      <c r="F4452" s="716">
        <v>34.630000000000003</v>
      </c>
      <c r="G4452" s="716">
        <v>36.33</v>
      </c>
      <c r="H4452" s="225">
        <f t="shared" si="69"/>
        <v>34.630000000000003</v>
      </c>
    </row>
    <row r="4453" spans="1:8" x14ac:dyDescent="0.3">
      <c r="A4453" s="401"/>
      <c r="B4453" s="709">
        <v>7697</v>
      </c>
      <c r="C4453" s="710" t="s">
        <v>12779</v>
      </c>
      <c r="D4453" s="709" t="s">
        <v>159</v>
      </c>
      <c r="E4453" s="709" t="s">
        <v>8432</v>
      </c>
      <c r="F4453" s="716">
        <v>50.73</v>
      </c>
      <c r="G4453" s="716">
        <v>53.22</v>
      </c>
      <c r="H4453" s="225">
        <f t="shared" si="69"/>
        <v>50.73</v>
      </c>
    </row>
    <row r="4454" spans="1:8" x14ac:dyDescent="0.3">
      <c r="A4454" s="401"/>
      <c r="B4454" s="709">
        <v>7698</v>
      </c>
      <c r="C4454" s="710" t="s">
        <v>12780</v>
      </c>
      <c r="D4454" s="709" t="s">
        <v>159</v>
      </c>
      <c r="E4454" s="709" t="s">
        <v>8432</v>
      </c>
      <c r="F4454" s="716">
        <v>43.67</v>
      </c>
      <c r="G4454" s="716">
        <v>45.81</v>
      </c>
      <c r="H4454" s="225">
        <f t="shared" si="69"/>
        <v>43.67</v>
      </c>
    </row>
    <row r="4455" spans="1:8" x14ac:dyDescent="0.3">
      <c r="A4455" s="401"/>
      <c r="B4455" s="709">
        <v>7691</v>
      </c>
      <c r="C4455" s="710" t="s">
        <v>12781</v>
      </c>
      <c r="D4455" s="709" t="s">
        <v>159</v>
      </c>
      <c r="E4455" s="709" t="s">
        <v>8432</v>
      </c>
      <c r="F4455" s="716">
        <v>18.45</v>
      </c>
      <c r="G4455" s="716">
        <v>19.36</v>
      </c>
      <c r="H4455" s="225">
        <f t="shared" si="69"/>
        <v>18.45</v>
      </c>
    </row>
    <row r="4456" spans="1:8" x14ac:dyDescent="0.3">
      <c r="A4456" s="401"/>
      <c r="B4456" s="709">
        <v>7696</v>
      </c>
      <c r="C4456" s="710" t="s">
        <v>12782</v>
      </c>
      <c r="D4456" s="709" t="s">
        <v>159</v>
      </c>
      <c r="E4456" s="709" t="s">
        <v>8432</v>
      </c>
      <c r="F4456" s="716">
        <v>73.16</v>
      </c>
      <c r="G4456" s="716">
        <v>76.739999999999995</v>
      </c>
      <c r="H4456" s="225">
        <f t="shared" si="69"/>
        <v>73.16</v>
      </c>
    </row>
    <row r="4457" spans="1:8" x14ac:dyDescent="0.3">
      <c r="A4457" s="401"/>
      <c r="B4457" s="709">
        <v>7701</v>
      </c>
      <c r="C4457" s="710" t="s">
        <v>12783</v>
      </c>
      <c r="D4457" s="709" t="s">
        <v>159</v>
      </c>
      <c r="E4457" s="709" t="s">
        <v>8432</v>
      </c>
      <c r="F4457" s="716">
        <v>90.79</v>
      </c>
      <c r="G4457" s="716">
        <v>95.24</v>
      </c>
      <c r="H4457" s="225">
        <f t="shared" si="69"/>
        <v>90.79</v>
      </c>
    </row>
    <row r="4458" spans="1:8" x14ac:dyDescent="0.3">
      <c r="A4458" s="401"/>
      <c r="B4458" s="709">
        <v>7694</v>
      </c>
      <c r="C4458" s="710" t="s">
        <v>12784</v>
      </c>
      <c r="D4458" s="709" t="s">
        <v>159</v>
      </c>
      <c r="E4458" s="709" t="s">
        <v>8432</v>
      </c>
      <c r="F4458" s="716">
        <v>122.18</v>
      </c>
      <c r="G4458" s="716">
        <v>128.16</v>
      </c>
      <c r="H4458" s="225">
        <f t="shared" si="69"/>
        <v>122.18</v>
      </c>
    </row>
    <row r="4459" spans="1:8" x14ac:dyDescent="0.3">
      <c r="A4459" s="401"/>
      <c r="B4459" s="709">
        <v>7700</v>
      </c>
      <c r="C4459" s="710" t="s">
        <v>12785</v>
      </c>
      <c r="D4459" s="709" t="s">
        <v>159</v>
      </c>
      <c r="E4459" s="709" t="s">
        <v>8432</v>
      </c>
      <c r="F4459" s="716">
        <v>23.34</v>
      </c>
      <c r="G4459" s="716">
        <v>24.48</v>
      </c>
      <c r="H4459" s="225">
        <f t="shared" si="69"/>
        <v>23.34</v>
      </c>
    </row>
    <row r="4460" spans="1:8" x14ac:dyDescent="0.3">
      <c r="A4460" s="401"/>
      <c r="B4460" s="709">
        <v>7693</v>
      </c>
      <c r="C4460" s="710" t="s">
        <v>12786</v>
      </c>
      <c r="D4460" s="709" t="s">
        <v>159</v>
      </c>
      <c r="E4460" s="709" t="s">
        <v>8432</v>
      </c>
      <c r="F4460" s="716">
        <v>168.27</v>
      </c>
      <c r="G4460" s="716">
        <v>176.5</v>
      </c>
      <c r="H4460" s="225">
        <f t="shared" si="69"/>
        <v>168.27</v>
      </c>
    </row>
    <row r="4461" spans="1:8" x14ac:dyDescent="0.3">
      <c r="A4461" s="401"/>
      <c r="B4461" s="709">
        <v>7692</v>
      </c>
      <c r="C4461" s="710" t="s">
        <v>12787</v>
      </c>
      <c r="D4461" s="709" t="s">
        <v>159</v>
      </c>
      <c r="E4461" s="709" t="s">
        <v>8432</v>
      </c>
      <c r="F4461" s="716">
        <v>251.93</v>
      </c>
      <c r="G4461" s="716">
        <v>264.26</v>
      </c>
      <c r="H4461" s="225">
        <f t="shared" si="69"/>
        <v>251.93</v>
      </c>
    </row>
    <row r="4462" spans="1:8" x14ac:dyDescent="0.3">
      <c r="A4462" s="401"/>
      <c r="B4462" s="709">
        <v>7695</v>
      </c>
      <c r="C4462" s="710" t="s">
        <v>12788</v>
      </c>
      <c r="D4462" s="709" t="s">
        <v>159</v>
      </c>
      <c r="E4462" s="709" t="s">
        <v>8432</v>
      </c>
      <c r="F4462" s="716">
        <v>273.23</v>
      </c>
      <c r="G4462" s="716">
        <v>286.60000000000002</v>
      </c>
      <c r="H4462" s="225">
        <f t="shared" si="69"/>
        <v>273.23</v>
      </c>
    </row>
    <row r="4463" spans="1:8" x14ac:dyDescent="0.3">
      <c r="A4463" s="401"/>
      <c r="B4463" s="709">
        <v>13356</v>
      </c>
      <c r="C4463" s="710" t="s">
        <v>12789</v>
      </c>
      <c r="D4463" s="709" t="s">
        <v>159</v>
      </c>
      <c r="E4463" s="709" t="s">
        <v>8432</v>
      </c>
      <c r="F4463" s="716">
        <v>19.809999999999999</v>
      </c>
      <c r="G4463" s="716">
        <v>20.78</v>
      </c>
      <c r="H4463" s="225">
        <f t="shared" si="69"/>
        <v>19.809999999999999</v>
      </c>
    </row>
    <row r="4464" spans="1:8" x14ac:dyDescent="0.3">
      <c r="A4464" s="401"/>
      <c r="B4464" s="709">
        <v>36365</v>
      </c>
      <c r="C4464" s="710" t="s">
        <v>12790</v>
      </c>
      <c r="D4464" s="709" t="s">
        <v>159</v>
      </c>
      <c r="E4464" s="709" t="s">
        <v>8432</v>
      </c>
      <c r="F4464" s="716">
        <v>52.87</v>
      </c>
      <c r="G4464" s="716">
        <v>53.38</v>
      </c>
      <c r="H4464" s="225">
        <f t="shared" si="69"/>
        <v>52.87</v>
      </c>
    </row>
    <row r="4465" spans="1:8" x14ac:dyDescent="0.3">
      <c r="A4465" s="401"/>
      <c r="B4465" s="709">
        <v>41930</v>
      </c>
      <c r="C4465" s="710" t="s">
        <v>12791</v>
      </c>
      <c r="D4465" s="709" t="s">
        <v>159</v>
      </c>
      <c r="E4465" s="709" t="s">
        <v>8432</v>
      </c>
      <c r="F4465" s="716">
        <v>176.08</v>
      </c>
      <c r="G4465" s="716">
        <v>177.79</v>
      </c>
      <c r="H4465" s="225">
        <f t="shared" si="69"/>
        <v>176.08</v>
      </c>
    </row>
    <row r="4466" spans="1:8" x14ac:dyDescent="0.3">
      <c r="A4466" s="401"/>
      <c r="B4466" s="709">
        <v>41931</v>
      </c>
      <c r="C4466" s="710" t="s">
        <v>12792</v>
      </c>
      <c r="D4466" s="709" t="s">
        <v>159</v>
      </c>
      <c r="E4466" s="709" t="s">
        <v>8432</v>
      </c>
      <c r="F4466" s="716">
        <v>275.79000000000002</v>
      </c>
      <c r="G4466" s="716">
        <v>278.45999999999998</v>
      </c>
      <c r="H4466" s="225">
        <f t="shared" si="69"/>
        <v>275.79000000000002</v>
      </c>
    </row>
    <row r="4467" spans="1:8" x14ac:dyDescent="0.3">
      <c r="A4467" s="401"/>
      <c r="B4467" s="709">
        <v>41932</v>
      </c>
      <c r="C4467" s="710" t="s">
        <v>12793</v>
      </c>
      <c r="D4467" s="709" t="s">
        <v>159</v>
      </c>
      <c r="E4467" s="709" t="s">
        <v>8432</v>
      </c>
      <c r="F4467" s="716">
        <v>424.49</v>
      </c>
      <c r="G4467" s="716">
        <v>428.6</v>
      </c>
      <c r="H4467" s="225">
        <f t="shared" si="69"/>
        <v>424.49</v>
      </c>
    </row>
    <row r="4468" spans="1:8" x14ac:dyDescent="0.3">
      <c r="A4468" s="401"/>
      <c r="B4468" s="709">
        <v>41933</v>
      </c>
      <c r="C4468" s="710" t="s">
        <v>12794</v>
      </c>
      <c r="D4468" s="709" t="s">
        <v>159</v>
      </c>
      <c r="E4468" s="709" t="s">
        <v>8432</v>
      </c>
      <c r="F4468" s="716">
        <v>599.9</v>
      </c>
      <c r="G4468" s="716">
        <v>605.71</v>
      </c>
      <c r="H4468" s="225">
        <f t="shared" si="69"/>
        <v>599.9</v>
      </c>
    </row>
    <row r="4469" spans="1:8" x14ac:dyDescent="0.3">
      <c r="A4469" s="401"/>
      <c r="B4469" s="709">
        <v>41934</v>
      </c>
      <c r="C4469" s="710" t="s">
        <v>12795</v>
      </c>
      <c r="D4469" s="709" t="s">
        <v>159</v>
      </c>
      <c r="E4469" s="709" t="s">
        <v>8432</v>
      </c>
      <c r="F4469" s="716">
        <v>698.66</v>
      </c>
      <c r="G4469" s="716">
        <v>705.42</v>
      </c>
      <c r="H4469" s="225">
        <f t="shared" si="69"/>
        <v>698.66</v>
      </c>
    </row>
    <row r="4470" spans="1:8" x14ac:dyDescent="0.3">
      <c r="A4470" s="401"/>
      <c r="B4470" s="709">
        <v>41936</v>
      </c>
      <c r="C4470" s="710" t="s">
        <v>12796</v>
      </c>
      <c r="D4470" s="709" t="s">
        <v>159</v>
      </c>
      <c r="E4470" s="709" t="s">
        <v>8432</v>
      </c>
      <c r="F4470" s="716">
        <v>103.68</v>
      </c>
      <c r="G4470" s="716">
        <v>104.69</v>
      </c>
      <c r="H4470" s="225">
        <f t="shared" si="69"/>
        <v>103.68</v>
      </c>
    </row>
    <row r="4471" spans="1:8" x14ac:dyDescent="0.3">
      <c r="A4471" s="401"/>
      <c r="B4471" s="709">
        <v>44812</v>
      </c>
      <c r="C4471" s="710" t="s">
        <v>12797</v>
      </c>
      <c r="D4471" s="709" t="s">
        <v>159</v>
      </c>
      <c r="E4471" s="709" t="s">
        <v>8432</v>
      </c>
      <c r="F4471" s="716">
        <v>693.75</v>
      </c>
      <c r="G4471" s="716">
        <v>414.85</v>
      </c>
      <c r="H4471" s="225">
        <f t="shared" si="69"/>
        <v>693.75</v>
      </c>
    </row>
    <row r="4472" spans="1:8" x14ac:dyDescent="0.3">
      <c r="A4472" s="401"/>
      <c r="B4472" s="709">
        <v>41785</v>
      </c>
      <c r="C4472" s="710" t="s">
        <v>12798</v>
      </c>
      <c r="D4472" s="709" t="s">
        <v>159</v>
      </c>
      <c r="E4472" s="709" t="s">
        <v>8432</v>
      </c>
      <c r="F4472" s="716">
        <v>2570.96</v>
      </c>
      <c r="G4472" s="716">
        <v>1537.41</v>
      </c>
      <c r="H4472" s="225">
        <f t="shared" si="69"/>
        <v>2570.96</v>
      </c>
    </row>
    <row r="4473" spans="1:8" x14ac:dyDescent="0.3">
      <c r="A4473" s="401"/>
      <c r="B4473" s="709">
        <v>41781</v>
      </c>
      <c r="C4473" s="710" t="s">
        <v>12799</v>
      </c>
      <c r="D4473" s="709" t="s">
        <v>159</v>
      </c>
      <c r="E4473" s="709" t="s">
        <v>8432</v>
      </c>
      <c r="F4473" s="716">
        <v>464.23</v>
      </c>
      <c r="G4473" s="716">
        <v>277.60000000000002</v>
      </c>
      <c r="H4473" s="225">
        <f t="shared" si="69"/>
        <v>464.23</v>
      </c>
    </row>
    <row r="4474" spans="1:8" x14ac:dyDescent="0.3">
      <c r="A4474" s="401"/>
      <c r="B4474" s="709">
        <v>41783</v>
      </c>
      <c r="C4474" s="710" t="s">
        <v>12800</v>
      </c>
      <c r="D4474" s="709" t="s">
        <v>159</v>
      </c>
      <c r="E4474" s="709" t="s">
        <v>8432</v>
      </c>
      <c r="F4474" s="716">
        <v>1668.94</v>
      </c>
      <c r="G4474" s="716">
        <v>998.01</v>
      </c>
      <c r="H4474" s="225">
        <f t="shared" si="69"/>
        <v>1668.94</v>
      </c>
    </row>
    <row r="4475" spans="1:8" x14ac:dyDescent="0.3">
      <c r="A4475" s="401"/>
      <c r="B4475" s="709">
        <v>41786</v>
      </c>
      <c r="C4475" s="710" t="s">
        <v>12801</v>
      </c>
      <c r="D4475" s="709" t="s">
        <v>159</v>
      </c>
      <c r="E4475" s="709" t="s">
        <v>8432</v>
      </c>
      <c r="F4475" s="716">
        <v>3553.23</v>
      </c>
      <c r="G4475" s="716">
        <v>2124.79</v>
      </c>
      <c r="H4475" s="225">
        <f t="shared" si="69"/>
        <v>3553.23</v>
      </c>
    </row>
    <row r="4476" spans="1:8" x14ac:dyDescent="0.3">
      <c r="A4476" s="401"/>
      <c r="B4476" s="709">
        <v>41779</v>
      </c>
      <c r="C4476" s="710" t="s">
        <v>12802</v>
      </c>
      <c r="D4476" s="709" t="s">
        <v>159</v>
      </c>
      <c r="E4476" s="709" t="s">
        <v>8432</v>
      </c>
      <c r="F4476" s="716">
        <v>182.83</v>
      </c>
      <c r="G4476" s="716">
        <v>109.33</v>
      </c>
      <c r="H4476" s="225">
        <f t="shared" si="69"/>
        <v>182.83</v>
      </c>
    </row>
    <row r="4477" spans="1:8" x14ac:dyDescent="0.3">
      <c r="A4477" s="401"/>
      <c r="B4477" s="709">
        <v>41780</v>
      </c>
      <c r="C4477" s="710" t="s">
        <v>12803</v>
      </c>
      <c r="D4477" s="709" t="s">
        <v>159</v>
      </c>
      <c r="E4477" s="709" t="s">
        <v>8432</v>
      </c>
      <c r="F4477" s="716">
        <v>286.44</v>
      </c>
      <c r="G4477" s="716">
        <v>171.28</v>
      </c>
      <c r="H4477" s="225">
        <f t="shared" si="69"/>
        <v>286.44</v>
      </c>
    </row>
    <row r="4478" spans="1:8" x14ac:dyDescent="0.3">
      <c r="A4478" s="401"/>
      <c r="B4478" s="709">
        <v>41782</v>
      </c>
      <c r="C4478" s="710" t="s">
        <v>12804</v>
      </c>
      <c r="D4478" s="709" t="s">
        <v>159</v>
      </c>
      <c r="E4478" s="709" t="s">
        <v>8432</v>
      </c>
      <c r="F4478" s="716">
        <v>1026.07</v>
      </c>
      <c r="G4478" s="716">
        <v>613.58000000000004</v>
      </c>
      <c r="H4478" s="225">
        <f t="shared" si="69"/>
        <v>1026.07</v>
      </c>
    </row>
    <row r="4479" spans="1:8" x14ac:dyDescent="0.3">
      <c r="A4479" s="401"/>
      <c r="B4479" s="709">
        <v>38130</v>
      </c>
      <c r="C4479" s="710" t="s">
        <v>12805</v>
      </c>
      <c r="D4479" s="709" t="s">
        <v>159</v>
      </c>
      <c r="E4479" s="709" t="s">
        <v>8432</v>
      </c>
      <c r="F4479" s="716">
        <v>60.98</v>
      </c>
      <c r="G4479" s="716">
        <v>44.59</v>
      </c>
      <c r="H4479" s="225">
        <f t="shared" si="69"/>
        <v>60.98</v>
      </c>
    </row>
    <row r="4480" spans="1:8" x14ac:dyDescent="0.3">
      <c r="A4480" s="401"/>
      <c r="B4480" s="709">
        <v>44260</v>
      </c>
      <c r="C4480" s="710" t="s">
        <v>12806</v>
      </c>
      <c r="D4480" s="709" t="s">
        <v>159</v>
      </c>
      <c r="E4480" s="709" t="s">
        <v>8432</v>
      </c>
      <c r="F4480" s="716">
        <v>577.16</v>
      </c>
      <c r="G4480" s="716">
        <v>422.07</v>
      </c>
      <c r="H4480" s="225">
        <f t="shared" si="69"/>
        <v>577.16</v>
      </c>
    </row>
    <row r="4481" spans="1:8" x14ac:dyDescent="0.3">
      <c r="A4481" s="401"/>
      <c r="B4481" s="709">
        <v>21123</v>
      </c>
      <c r="C4481" s="710" t="s">
        <v>12807</v>
      </c>
      <c r="D4481" s="709" t="s">
        <v>159</v>
      </c>
      <c r="E4481" s="709" t="s">
        <v>8438</v>
      </c>
      <c r="F4481" s="716">
        <v>16.97</v>
      </c>
      <c r="G4481" s="716">
        <v>12.41</v>
      </c>
      <c r="H4481" s="225">
        <f t="shared" si="69"/>
        <v>16.97</v>
      </c>
    </row>
    <row r="4482" spans="1:8" x14ac:dyDescent="0.3">
      <c r="A4482" s="401"/>
      <c r="B4482" s="709">
        <v>21124</v>
      </c>
      <c r="C4482" s="710" t="s">
        <v>12808</v>
      </c>
      <c r="D4482" s="709" t="s">
        <v>159</v>
      </c>
      <c r="E4482" s="709" t="s">
        <v>8432</v>
      </c>
      <c r="F4482" s="716">
        <v>27.11</v>
      </c>
      <c r="G4482" s="716">
        <v>19.82</v>
      </c>
      <c r="H4482" s="225">
        <f t="shared" si="69"/>
        <v>27.11</v>
      </c>
    </row>
    <row r="4483" spans="1:8" x14ac:dyDescent="0.3">
      <c r="A4483" s="401"/>
      <c r="B4483" s="709">
        <v>21125</v>
      </c>
      <c r="C4483" s="710" t="s">
        <v>12809</v>
      </c>
      <c r="D4483" s="709" t="s">
        <v>159</v>
      </c>
      <c r="E4483" s="709" t="s">
        <v>8432</v>
      </c>
      <c r="F4483" s="716">
        <v>46.69</v>
      </c>
      <c r="G4483" s="716">
        <v>34.14</v>
      </c>
      <c r="H4483" s="225">
        <f t="shared" si="69"/>
        <v>46.69</v>
      </c>
    </row>
    <row r="4484" spans="1:8" x14ac:dyDescent="0.3">
      <c r="A4484" s="401"/>
      <c r="B4484" s="709">
        <v>38028</v>
      </c>
      <c r="C4484" s="710" t="s">
        <v>12810</v>
      </c>
      <c r="D4484" s="709" t="s">
        <v>159</v>
      </c>
      <c r="E4484" s="709" t="s">
        <v>8432</v>
      </c>
      <c r="F4484" s="716">
        <v>81.64</v>
      </c>
      <c r="G4484" s="716">
        <v>59.7</v>
      </c>
      <c r="H4484" s="225">
        <f t="shared" si="69"/>
        <v>81.64</v>
      </c>
    </row>
    <row r="4485" spans="1:8" x14ac:dyDescent="0.3">
      <c r="A4485" s="401"/>
      <c r="B4485" s="709">
        <v>38029</v>
      </c>
      <c r="C4485" s="710" t="s">
        <v>12811</v>
      </c>
      <c r="D4485" s="709" t="s">
        <v>159</v>
      </c>
      <c r="E4485" s="709" t="s">
        <v>8432</v>
      </c>
      <c r="F4485" s="716">
        <v>119.49</v>
      </c>
      <c r="G4485" s="716">
        <v>87.38</v>
      </c>
      <c r="H4485" s="225">
        <f t="shared" si="69"/>
        <v>119.49</v>
      </c>
    </row>
    <row r="4486" spans="1:8" x14ac:dyDescent="0.3">
      <c r="A4486" s="401"/>
      <c r="B4486" s="709">
        <v>38030</v>
      </c>
      <c r="C4486" s="710" t="s">
        <v>12812</v>
      </c>
      <c r="D4486" s="709" t="s">
        <v>159</v>
      </c>
      <c r="E4486" s="709" t="s">
        <v>8432</v>
      </c>
      <c r="F4486" s="716">
        <v>193.21</v>
      </c>
      <c r="G4486" s="716">
        <v>141.29</v>
      </c>
      <c r="H4486" s="225">
        <f t="shared" si="69"/>
        <v>193.21</v>
      </c>
    </row>
    <row r="4487" spans="1:8" x14ac:dyDescent="0.3">
      <c r="A4487" s="401"/>
      <c r="B4487" s="709">
        <v>38031</v>
      </c>
      <c r="C4487" s="710" t="s">
        <v>12813</v>
      </c>
      <c r="D4487" s="709" t="s">
        <v>159</v>
      </c>
      <c r="E4487" s="709" t="s">
        <v>8432</v>
      </c>
      <c r="F4487" s="716">
        <v>303.26</v>
      </c>
      <c r="G4487" s="716">
        <v>221.77</v>
      </c>
      <c r="H4487" s="225">
        <f t="shared" si="69"/>
        <v>303.26</v>
      </c>
    </row>
    <row r="4488" spans="1:8" x14ac:dyDescent="0.3">
      <c r="A4488" s="401"/>
      <c r="B4488" s="709">
        <v>39735</v>
      </c>
      <c r="C4488" s="710" t="s">
        <v>12814</v>
      </c>
      <c r="D4488" s="709" t="s">
        <v>159</v>
      </c>
      <c r="E4488" s="709" t="s">
        <v>8432</v>
      </c>
      <c r="F4488" s="716">
        <v>73.25</v>
      </c>
      <c r="G4488" s="716">
        <v>55.44</v>
      </c>
      <c r="H4488" s="225">
        <f t="shared" si="69"/>
        <v>73.25</v>
      </c>
    </row>
    <row r="4489" spans="1:8" x14ac:dyDescent="0.3">
      <c r="A4489" s="401"/>
      <c r="B4489" s="709">
        <v>39734</v>
      </c>
      <c r="C4489" s="710" t="s">
        <v>12815</v>
      </c>
      <c r="D4489" s="709" t="s">
        <v>159</v>
      </c>
      <c r="E4489" s="709" t="s">
        <v>8432</v>
      </c>
      <c r="F4489" s="716">
        <v>86.89</v>
      </c>
      <c r="G4489" s="716">
        <v>65.760000000000005</v>
      </c>
      <c r="H4489" s="225">
        <f t="shared" si="69"/>
        <v>86.89</v>
      </c>
    </row>
    <row r="4490" spans="1:8" x14ac:dyDescent="0.3">
      <c r="A4490" s="401"/>
      <c r="B4490" s="709">
        <v>39736</v>
      </c>
      <c r="C4490" s="710" t="s">
        <v>12816</v>
      </c>
      <c r="D4490" s="709" t="s">
        <v>159</v>
      </c>
      <c r="E4490" s="709" t="s">
        <v>8432</v>
      </c>
      <c r="F4490" s="716">
        <v>99.16</v>
      </c>
      <c r="G4490" s="716">
        <v>75.05</v>
      </c>
      <c r="H4490" s="225">
        <f t="shared" si="69"/>
        <v>99.16</v>
      </c>
    </row>
    <row r="4491" spans="1:8" x14ac:dyDescent="0.3">
      <c r="A4491" s="401"/>
      <c r="B4491" s="709">
        <v>39739</v>
      </c>
      <c r="C4491" s="710" t="s">
        <v>12817</v>
      </c>
      <c r="D4491" s="709" t="s">
        <v>159</v>
      </c>
      <c r="E4491" s="709" t="s">
        <v>8432</v>
      </c>
      <c r="F4491" s="716">
        <v>68.569999999999993</v>
      </c>
      <c r="G4491" s="716">
        <v>51.9</v>
      </c>
      <c r="H4491" s="225">
        <f t="shared" ref="H4491:H4554" si="70">IF(F4491&gt;0,F4491,G4491)</f>
        <v>68.569999999999993</v>
      </c>
    </row>
    <row r="4492" spans="1:8" x14ac:dyDescent="0.3">
      <c r="A4492" s="401"/>
      <c r="B4492" s="709">
        <v>39737</v>
      </c>
      <c r="C4492" s="710" t="s">
        <v>12818</v>
      </c>
      <c r="D4492" s="709" t="s">
        <v>159</v>
      </c>
      <c r="E4492" s="709" t="s">
        <v>8432</v>
      </c>
      <c r="F4492" s="716">
        <v>13.34</v>
      </c>
      <c r="G4492" s="716">
        <v>10.09</v>
      </c>
      <c r="H4492" s="225">
        <f t="shared" si="70"/>
        <v>13.34</v>
      </c>
    </row>
    <row r="4493" spans="1:8" x14ac:dyDescent="0.3">
      <c r="A4493" s="401"/>
      <c r="B4493" s="709">
        <v>39738</v>
      </c>
      <c r="C4493" s="710" t="s">
        <v>12819</v>
      </c>
      <c r="D4493" s="709" t="s">
        <v>159</v>
      </c>
      <c r="E4493" s="709" t="s">
        <v>8432</v>
      </c>
      <c r="F4493" s="716">
        <v>4.82</v>
      </c>
      <c r="G4493" s="716">
        <v>3.65</v>
      </c>
      <c r="H4493" s="225">
        <f t="shared" si="70"/>
        <v>4.82</v>
      </c>
    </row>
    <row r="4494" spans="1:8" x14ac:dyDescent="0.3">
      <c r="A4494" s="401"/>
      <c r="B4494" s="709">
        <v>39733</v>
      </c>
      <c r="C4494" s="710" t="s">
        <v>12820</v>
      </c>
      <c r="D4494" s="709" t="s">
        <v>159</v>
      </c>
      <c r="E4494" s="709" t="s">
        <v>8432</v>
      </c>
      <c r="F4494" s="716">
        <v>118.67</v>
      </c>
      <c r="G4494" s="716">
        <v>89.82</v>
      </c>
      <c r="H4494" s="225">
        <f t="shared" si="70"/>
        <v>118.67</v>
      </c>
    </row>
    <row r="4495" spans="1:8" x14ac:dyDescent="0.3">
      <c r="A4495" s="401"/>
      <c r="B4495" s="709">
        <v>39854</v>
      </c>
      <c r="C4495" s="710" t="s">
        <v>12821</v>
      </c>
      <c r="D4495" s="709" t="s">
        <v>159</v>
      </c>
      <c r="E4495" s="709" t="s">
        <v>8432</v>
      </c>
      <c r="F4495" s="716">
        <v>120.35</v>
      </c>
      <c r="G4495" s="716">
        <v>91.09</v>
      </c>
      <c r="H4495" s="225">
        <f t="shared" si="70"/>
        <v>120.35</v>
      </c>
    </row>
    <row r="4496" spans="1:8" x14ac:dyDescent="0.3">
      <c r="A4496" s="401"/>
      <c r="B4496" s="709">
        <v>39740</v>
      </c>
      <c r="C4496" s="710" t="s">
        <v>12822</v>
      </c>
      <c r="D4496" s="709" t="s">
        <v>159</v>
      </c>
      <c r="E4496" s="709" t="s">
        <v>8432</v>
      </c>
      <c r="F4496" s="716">
        <v>65.849999999999994</v>
      </c>
      <c r="G4496" s="716">
        <v>49.84</v>
      </c>
      <c r="H4496" s="225">
        <f t="shared" si="70"/>
        <v>65.849999999999994</v>
      </c>
    </row>
    <row r="4497" spans="1:8" x14ac:dyDescent="0.3">
      <c r="A4497" s="401"/>
      <c r="B4497" s="709">
        <v>39741</v>
      </c>
      <c r="C4497" s="710" t="s">
        <v>12823</v>
      </c>
      <c r="D4497" s="709" t="s">
        <v>159</v>
      </c>
      <c r="E4497" s="709" t="s">
        <v>8432</v>
      </c>
      <c r="F4497" s="716">
        <v>12.13</v>
      </c>
      <c r="G4497" s="716">
        <v>9.18</v>
      </c>
      <c r="H4497" s="225">
        <f t="shared" si="70"/>
        <v>12.13</v>
      </c>
    </row>
    <row r="4498" spans="1:8" x14ac:dyDescent="0.3">
      <c r="A4498" s="401"/>
      <c r="B4498" s="709">
        <v>39853</v>
      </c>
      <c r="C4498" s="710" t="s">
        <v>12824</v>
      </c>
      <c r="D4498" s="709" t="s">
        <v>159</v>
      </c>
      <c r="E4498" s="709" t="s">
        <v>8432</v>
      </c>
      <c r="F4498" s="716">
        <v>15.94</v>
      </c>
      <c r="G4498" s="716">
        <v>12.06</v>
      </c>
      <c r="H4498" s="225">
        <f t="shared" si="70"/>
        <v>15.94</v>
      </c>
    </row>
    <row r="4499" spans="1:8" x14ac:dyDescent="0.3">
      <c r="A4499" s="401"/>
      <c r="B4499" s="709">
        <v>39742</v>
      </c>
      <c r="C4499" s="710" t="s">
        <v>12825</v>
      </c>
      <c r="D4499" s="709" t="s">
        <v>159</v>
      </c>
      <c r="E4499" s="709" t="s">
        <v>8432</v>
      </c>
      <c r="F4499" s="716">
        <v>52.93</v>
      </c>
      <c r="G4499" s="716">
        <v>40.06</v>
      </c>
      <c r="H4499" s="225">
        <f t="shared" si="70"/>
        <v>52.93</v>
      </c>
    </row>
    <row r="4500" spans="1:8" x14ac:dyDescent="0.3">
      <c r="A4500" s="401"/>
      <c r="B4500" s="709">
        <v>39751</v>
      </c>
      <c r="C4500" s="710" t="s">
        <v>12826</v>
      </c>
      <c r="D4500" s="709" t="s">
        <v>159</v>
      </c>
      <c r="E4500" s="709" t="s">
        <v>8432</v>
      </c>
      <c r="F4500" s="716"/>
      <c r="G4500" s="716">
        <v>245.08</v>
      </c>
      <c r="H4500" s="225">
        <f t="shared" si="70"/>
        <v>245.08</v>
      </c>
    </row>
    <row r="4501" spans="1:8" x14ac:dyDescent="0.3">
      <c r="A4501" s="401"/>
      <c r="B4501" s="709">
        <v>39750</v>
      </c>
      <c r="C4501" s="710" t="s">
        <v>12827</v>
      </c>
      <c r="D4501" s="709" t="s">
        <v>159</v>
      </c>
      <c r="E4501" s="709" t="s">
        <v>8432</v>
      </c>
      <c r="F4501" s="716"/>
      <c r="G4501" s="716">
        <v>203.7</v>
      </c>
      <c r="H4501" s="225">
        <f t="shared" si="70"/>
        <v>203.7</v>
      </c>
    </row>
    <row r="4502" spans="1:8" x14ac:dyDescent="0.3">
      <c r="A4502" s="401"/>
      <c r="B4502" s="709">
        <v>39749</v>
      </c>
      <c r="C4502" s="710" t="s">
        <v>12828</v>
      </c>
      <c r="D4502" s="709" t="s">
        <v>159</v>
      </c>
      <c r="E4502" s="709" t="s">
        <v>8432</v>
      </c>
      <c r="F4502" s="716"/>
      <c r="G4502" s="716">
        <v>134.87</v>
      </c>
      <c r="H4502" s="225">
        <f t="shared" si="70"/>
        <v>134.87</v>
      </c>
    </row>
    <row r="4503" spans="1:8" x14ac:dyDescent="0.3">
      <c r="A4503" s="401"/>
      <c r="B4503" s="709">
        <v>39747</v>
      </c>
      <c r="C4503" s="710" t="s">
        <v>12829</v>
      </c>
      <c r="D4503" s="709" t="s">
        <v>159</v>
      </c>
      <c r="E4503" s="709" t="s">
        <v>8432</v>
      </c>
      <c r="F4503" s="716"/>
      <c r="G4503" s="716">
        <v>65.52</v>
      </c>
      <c r="H4503" s="225">
        <f t="shared" si="70"/>
        <v>65.52</v>
      </c>
    </row>
    <row r="4504" spans="1:8" x14ac:dyDescent="0.3">
      <c r="A4504" s="401"/>
      <c r="B4504" s="709">
        <v>39753</v>
      </c>
      <c r="C4504" s="710" t="s">
        <v>12830</v>
      </c>
      <c r="D4504" s="709" t="s">
        <v>159</v>
      </c>
      <c r="E4504" s="709" t="s">
        <v>8432</v>
      </c>
      <c r="F4504" s="716"/>
      <c r="G4504" s="716">
        <v>451.12</v>
      </c>
      <c r="H4504" s="225">
        <f t="shared" si="70"/>
        <v>451.12</v>
      </c>
    </row>
    <row r="4505" spans="1:8" x14ac:dyDescent="0.3">
      <c r="A4505" s="401"/>
      <c r="B4505" s="709">
        <v>39752</v>
      </c>
      <c r="C4505" s="710" t="s">
        <v>12831</v>
      </c>
      <c r="D4505" s="709" t="s">
        <v>159</v>
      </c>
      <c r="E4505" s="709" t="s">
        <v>8432</v>
      </c>
      <c r="F4505" s="716"/>
      <c r="G4505" s="716">
        <v>348.72</v>
      </c>
      <c r="H4505" s="225">
        <f t="shared" si="70"/>
        <v>348.72</v>
      </c>
    </row>
    <row r="4506" spans="1:8" x14ac:dyDescent="0.3">
      <c r="A4506" s="401"/>
      <c r="B4506" s="709">
        <v>39754</v>
      </c>
      <c r="C4506" s="710" t="s">
        <v>12832</v>
      </c>
      <c r="D4506" s="709" t="s">
        <v>159</v>
      </c>
      <c r="E4506" s="709" t="s">
        <v>8432</v>
      </c>
      <c r="F4506" s="716"/>
      <c r="G4506" s="716">
        <v>664.63</v>
      </c>
      <c r="H4506" s="225">
        <f t="shared" si="70"/>
        <v>664.63</v>
      </c>
    </row>
    <row r="4507" spans="1:8" x14ac:dyDescent="0.3">
      <c r="A4507" s="401"/>
      <c r="B4507" s="709">
        <v>39748</v>
      </c>
      <c r="C4507" s="710" t="s">
        <v>12833</v>
      </c>
      <c r="D4507" s="709" t="s">
        <v>159</v>
      </c>
      <c r="E4507" s="709" t="s">
        <v>8432</v>
      </c>
      <c r="F4507" s="716"/>
      <c r="G4507" s="716">
        <v>106.02</v>
      </c>
      <c r="H4507" s="225">
        <f t="shared" si="70"/>
        <v>106.02</v>
      </c>
    </row>
    <row r="4508" spans="1:8" x14ac:dyDescent="0.3">
      <c r="A4508" s="401"/>
      <c r="B4508" s="709">
        <v>39755</v>
      </c>
      <c r="C4508" s="710" t="s">
        <v>12834</v>
      </c>
      <c r="D4508" s="709" t="s">
        <v>159</v>
      </c>
      <c r="E4508" s="709" t="s">
        <v>8432</v>
      </c>
      <c r="F4508" s="716"/>
      <c r="G4508" s="716">
        <v>1007.73</v>
      </c>
      <c r="H4508" s="225">
        <f t="shared" si="70"/>
        <v>1007.73</v>
      </c>
    </row>
    <row r="4509" spans="1:8" x14ac:dyDescent="0.3">
      <c r="A4509" s="401"/>
      <c r="B4509" s="709">
        <v>12742</v>
      </c>
      <c r="C4509" s="710" t="s">
        <v>12835</v>
      </c>
      <c r="D4509" s="709" t="s">
        <v>159</v>
      </c>
      <c r="E4509" s="709" t="s">
        <v>8432</v>
      </c>
      <c r="F4509" s="716"/>
      <c r="G4509" s="716">
        <v>797.94</v>
      </c>
      <c r="H4509" s="225">
        <f t="shared" si="70"/>
        <v>797.94</v>
      </c>
    </row>
    <row r="4510" spans="1:8" x14ac:dyDescent="0.3">
      <c r="A4510" s="401"/>
      <c r="B4510" s="709">
        <v>12713</v>
      </c>
      <c r="C4510" s="710" t="s">
        <v>12836</v>
      </c>
      <c r="D4510" s="709" t="s">
        <v>159</v>
      </c>
      <c r="E4510" s="709" t="s">
        <v>8438</v>
      </c>
      <c r="F4510" s="716"/>
      <c r="G4510" s="716">
        <v>42.32</v>
      </c>
      <c r="H4510" s="225">
        <f t="shared" si="70"/>
        <v>42.32</v>
      </c>
    </row>
    <row r="4511" spans="1:8" x14ac:dyDescent="0.3">
      <c r="A4511" s="401"/>
      <c r="B4511" s="709">
        <v>12743</v>
      </c>
      <c r="C4511" s="710" t="s">
        <v>12837</v>
      </c>
      <c r="D4511" s="709" t="s">
        <v>159</v>
      </c>
      <c r="E4511" s="709" t="s">
        <v>8432</v>
      </c>
      <c r="F4511" s="716"/>
      <c r="G4511" s="716">
        <v>72.8</v>
      </c>
      <c r="H4511" s="225">
        <f t="shared" si="70"/>
        <v>72.8</v>
      </c>
    </row>
    <row r="4512" spans="1:8" x14ac:dyDescent="0.3">
      <c r="A4512" s="401"/>
      <c r="B4512" s="709">
        <v>12744</v>
      </c>
      <c r="C4512" s="710" t="s">
        <v>12838</v>
      </c>
      <c r="D4512" s="709" t="s">
        <v>159</v>
      </c>
      <c r="E4512" s="709" t="s">
        <v>8432</v>
      </c>
      <c r="F4512" s="716"/>
      <c r="G4512" s="716">
        <v>92.39</v>
      </c>
      <c r="H4512" s="225">
        <f t="shared" si="70"/>
        <v>92.39</v>
      </c>
    </row>
    <row r="4513" spans="1:8" x14ac:dyDescent="0.3">
      <c r="A4513" s="401"/>
      <c r="B4513" s="709">
        <v>12745</v>
      </c>
      <c r="C4513" s="710" t="s">
        <v>12839</v>
      </c>
      <c r="D4513" s="709" t="s">
        <v>159</v>
      </c>
      <c r="E4513" s="709" t="s">
        <v>8432</v>
      </c>
      <c r="F4513" s="716"/>
      <c r="G4513" s="716">
        <v>134.18</v>
      </c>
      <c r="H4513" s="225">
        <f t="shared" si="70"/>
        <v>134.18</v>
      </c>
    </row>
    <row r="4514" spans="1:8" x14ac:dyDescent="0.3">
      <c r="A4514" s="401"/>
      <c r="B4514" s="709">
        <v>12746</v>
      </c>
      <c r="C4514" s="710" t="s">
        <v>12840</v>
      </c>
      <c r="D4514" s="709" t="s">
        <v>159</v>
      </c>
      <c r="E4514" s="709" t="s">
        <v>8432</v>
      </c>
      <c r="F4514" s="716"/>
      <c r="G4514" s="716">
        <v>181.19</v>
      </c>
      <c r="H4514" s="225">
        <f t="shared" si="70"/>
        <v>181.19</v>
      </c>
    </row>
    <row r="4515" spans="1:8" x14ac:dyDescent="0.3">
      <c r="A4515" s="401"/>
      <c r="B4515" s="709">
        <v>12747</v>
      </c>
      <c r="C4515" s="710" t="s">
        <v>12841</v>
      </c>
      <c r="D4515" s="709" t="s">
        <v>159</v>
      </c>
      <c r="E4515" s="709" t="s">
        <v>8432</v>
      </c>
      <c r="F4515" s="716"/>
      <c r="G4515" s="716">
        <v>262.76</v>
      </c>
      <c r="H4515" s="225">
        <f t="shared" si="70"/>
        <v>262.76</v>
      </c>
    </row>
    <row r="4516" spans="1:8" x14ac:dyDescent="0.3">
      <c r="A4516" s="401"/>
      <c r="B4516" s="709">
        <v>12748</v>
      </c>
      <c r="C4516" s="710" t="s">
        <v>12842</v>
      </c>
      <c r="D4516" s="709" t="s">
        <v>159</v>
      </c>
      <c r="E4516" s="709" t="s">
        <v>8432</v>
      </c>
      <c r="F4516" s="716"/>
      <c r="G4516" s="716">
        <v>370.18</v>
      </c>
      <c r="H4516" s="225">
        <f t="shared" si="70"/>
        <v>370.18</v>
      </c>
    </row>
    <row r="4517" spans="1:8" x14ac:dyDescent="0.3">
      <c r="A4517" s="401"/>
      <c r="B4517" s="709">
        <v>12749</v>
      </c>
      <c r="C4517" s="710" t="s">
        <v>12843</v>
      </c>
      <c r="D4517" s="709" t="s">
        <v>159</v>
      </c>
      <c r="E4517" s="709" t="s">
        <v>8432</v>
      </c>
      <c r="F4517" s="716"/>
      <c r="G4517" s="716">
        <v>541.14</v>
      </c>
      <c r="H4517" s="225">
        <f t="shared" si="70"/>
        <v>541.14</v>
      </c>
    </row>
    <row r="4518" spans="1:8" x14ac:dyDescent="0.3">
      <c r="A4518" s="401"/>
      <c r="B4518" s="709">
        <v>39660</v>
      </c>
      <c r="C4518" s="710" t="s">
        <v>12844</v>
      </c>
      <c r="D4518" s="709" t="s">
        <v>159</v>
      </c>
      <c r="E4518" s="709" t="s">
        <v>8432</v>
      </c>
      <c r="F4518" s="716"/>
      <c r="G4518" s="716">
        <v>55.76</v>
      </c>
      <c r="H4518" s="225">
        <f t="shared" si="70"/>
        <v>55.76</v>
      </c>
    </row>
    <row r="4519" spans="1:8" x14ac:dyDescent="0.3">
      <c r="A4519" s="401"/>
      <c r="B4519" s="709">
        <v>39662</v>
      </c>
      <c r="C4519" s="710" t="s">
        <v>12845</v>
      </c>
      <c r="D4519" s="709" t="s">
        <v>159</v>
      </c>
      <c r="E4519" s="709" t="s">
        <v>8432</v>
      </c>
      <c r="F4519" s="716"/>
      <c r="G4519" s="716">
        <v>26.72</v>
      </c>
      <c r="H4519" s="225">
        <f t="shared" si="70"/>
        <v>26.72</v>
      </c>
    </row>
    <row r="4520" spans="1:8" x14ac:dyDescent="0.3">
      <c r="A4520" s="401"/>
      <c r="B4520" s="709">
        <v>39661</v>
      </c>
      <c r="C4520" s="710" t="s">
        <v>12846</v>
      </c>
      <c r="D4520" s="709" t="s">
        <v>159</v>
      </c>
      <c r="E4520" s="709" t="s">
        <v>8432</v>
      </c>
      <c r="F4520" s="716"/>
      <c r="G4520" s="716">
        <v>18.22</v>
      </c>
      <c r="H4520" s="225">
        <f t="shared" si="70"/>
        <v>18.22</v>
      </c>
    </row>
    <row r="4521" spans="1:8" x14ac:dyDescent="0.3">
      <c r="A4521" s="401"/>
      <c r="B4521" s="709">
        <v>39666</v>
      </c>
      <c r="C4521" s="710" t="s">
        <v>12847</v>
      </c>
      <c r="D4521" s="709" t="s">
        <v>159</v>
      </c>
      <c r="E4521" s="709" t="s">
        <v>8432</v>
      </c>
      <c r="F4521" s="716"/>
      <c r="G4521" s="716">
        <v>83.88</v>
      </c>
      <c r="H4521" s="225">
        <f t="shared" si="70"/>
        <v>83.88</v>
      </c>
    </row>
    <row r="4522" spans="1:8" x14ac:dyDescent="0.3">
      <c r="A4522" s="401"/>
      <c r="B4522" s="709">
        <v>39664</v>
      </c>
      <c r="C4522" s="710" t="s">
        <v>12848</v>
      </c>
      <c r="D4522" s="709" t="s">
        <v>159</v>
      </c>
      <c r="E4522" s="709" t="s">
        <v>8432</v>
      </c>
      <c r="F4522" s="716"/>
      <c r="G4522" s="716">
        <v>41.11</v>
      </c>
      <c r="H4522" s="225">
        <f t="shared" si="70"/>
        <v>41.11</v>
      </c>
    </row>
    <row r="4523" spans="1:8" x14ac:dyDescent="0.3">
      <c r="A4523" s="401"/>
      <c r="B4523" s="709">
        <v>39663</v>
      </c>
      <c r="C4523" s="710" t="s">
        <v>12849</v>
      </c>
      <c r="D4523" s="709" t="s">
        <v>159</v>
      </c>
      <c r="E4523" s="709" t="s">
        <v>8432</v>
      </c>
      <c r="F4523" s="716"/>
      <c r="G4523" s="716">
        <v>32.86</v>
      </c>
      <c r="H4523" s="225">
        <f t="shared" si="70"/>
        <v>32.86</v>
      </c>
    </row>
    <row r="4524" spans="1:8" x14ac:dyDescent="0.3">
      <c r="A4524" s="401"/>
      <c r="B4524" s="709">
        <v>39665</v>
      </c>
      <c r="C4524" s="710" t="s">
        <v>12850</v>
      </c>
      <c r="D4524" s="709" t="s">
        <v>159</v>
      </c>
      <c r="E4524" s="709" t="s">
        <v>8432</v>
      </c>
      <c r="F4524" s="716"/>
      <c r="G4524" s="716">
        <v>69.349999999999994</v>
      </c>
      <c r="H4524" s="225">
        <f t="shared" si="70"/>
        <v>69.349999999999994</v>
      </c>
    </row>
    <row r="4525" spans="1:8" x14ac:dyDescent="0.3">
      <c r="A4525" s="401"/>
      <c r="B4525" s="709">
        <v>7753</v>
      </c>
      <c r="C4525" s="710" t="s">
        <v>12851</v>
      </c>
      <c r="D4525" s="709" t="s">
        <v>159</v>
      </c>
      <c r="E4525" s="709" t="s">
        <v>8432</v>
      </c>
      <c r="F4525" s="716">
        <v>541</v>
      </c>
      <c r="G4525" s="716">
        <v>524.42999999999995</v>
      </c>
      <c r="H4525" s="225">
        <f t="shared" si="70"/>
        <v>541</v>
      </c>
    </row>
    <row r="4526" spans="1:8" x14ac:dyDescent="0.3">
      <c r="A4526" s="401"/>
      <c r="B4526" s="709">
        <v>13256</v>
      </c>
      <c r="C4526" s="710" t="s">
        <v>12852</v>
      </c>
      <c r="D4526" s="709" t="s">
        <v>159</v>
      </c>
      <c r="E4526" s="709" t="s">
        <v>8432</v>
      </c>
      <c r="F4526" s="716">
        <v>757.87</v>
      </c>
      <c r="G4526" s="716">
        <v>734.66</v>
      </c>
      <c r="H4526" s="225">
        <f t="shared" si="70"/>
        <v>757.87</v>
      </c>
    </row>
    <row r="4527" spans="1:8" x14ac:dyDescent="0.3">
      <c r="A4527" s="401"/>
      <c r="B4527" s="709">
        <v>7757</v>
      </c>
      <c r="C4527" s="710" t="s">
        <v>12853</v>
      </c>
      <c r="D4527" s="709" t="s">
        <v>159</v>
      </c>
      <c r="E4527" s="709" t="s">
        <v>8432</v>
      </c>
      <c r="F4527" s="716">
        <v>808.01</v>
      </c>
      <c r="G4527" s="716">
        <v>783.26</v>
      </c>
      <c r="H4527" s="225">
        <f t="shared" si="70"/>
        <v>808.01</v>
      </c>
    </row>
    <row r="4528" spans="1:8" x14ac:dyDescent="0.3">
      <c r="A4528" s="401"/>
      <c r="B4528" s="709">
        <v>7758</v>
      </c>
      <c r="C4528" s="710" t="s">
        <v>12854</v>
      </c>
      <c r="D4528" s="709" t="s">
        <v>159</v>
      </c>
      <c r="E4528" s="709" t="s">
        <v>8432</v>
      </c>
      <c r="F4528" s="716">
        <v>1170.6300000000001</v>
      </c>
      <c r="G4528" s="716">
        <v>1134.77</v>
      </c>
      <c r="H4528" s="225">
        <f t="shared" si="70"/>
        <v>1170.6300000000001</v>
      </c>
    </row>
    <row r="4529" spans="1:8" x14ac:dyDescent="0.3">
      <c r="A4529" s="401"/>
      <c r="B4529" s="709">
        <v>7759</v>
      </c>
      <c r="C4529" s="710" t="s">
        <v>12855</v>
      </c>
      <c r="D4529" s="709" t="s">
        <v>159</v>
      </c>
      <c r="E4529" s="709" t="s">
        <v>8432</v>
      </c>
      <c r="F4529" s="716">
        <v>3243.81</v>
      </c>
      <c r="G4529" s="716">
        <v>3144.45</v>
      </c>
      <c r="H4529" s="225">
        <f t="shared" si="70"/>
        <v>3243.81</v>
      </c>
    </row>
    <row r="4530" spans="1:8" x14ac:dyDescent="0.3">
      <c r="A4530" s="401"/>
      <c r="B4530" s="709">
        <v>40334</v>
      </c>
      <c r="C4530" s="710" t="s">
        <v>12856</v>
      </c>
      <c r="D4530" s="709" t="s">
        <v>159</v>
      </c>
      <c r="E4530" s="709" t="s">
        <v>8432</v>
      </c>
      <c r="F4530" s="716">
        <v>127.09</v>
      </c>
      <c r="G4530" s="716">
        <v>123.19</v>
      </c>
      <c r="H4530" s="225">
        <f t="shared" si="70"/>
        <v>127.09</v>
      </c>
    </row>
    <row r="4531" spans="1:8" x14ac:dyDescent="0.3">
      <c r="A4531" s="401"/>
      <c r="B4531" s="709">
        <v>7745</v>
      </c>
      <c r="C4531" s="710" t="s">
        <v>12857</v>
      </c>
      <c r="D4531" s="709" t="s">
        <v>159</v>
      </c>
      <c r="E4531" s="709" t="s">
        <v>8432</v>
      </c>
      <c r="F4531" s="716">
        <v>143.41</v>
      </c>
      <c r="G4531" s="716">
        <v>139.02000000000001</v>
      </c>
      <c r="H4531" s="225">
        <f t="shared" si="70"/>
        <v>143.41</v>
      </c>
    </row>
    <row r="4532" spans="1:8" x14ac:dyDescent="0.3">
      <c r="A4532" s="401"/>
      <c r="B4532" s="709">
        <v>7742</v>
      </c>
      <c r="C4532" s="710" t="s">
        <v>12858</v>
      </c>
      <c r="D4532" s="709" t="s">
        <v>159</v>
      </c>
      <c r="E4532" s="709" t="s">
        <v>8432</v>
      </c>
      <c r="F4532" s="716">
        <v>378.23</v>
      </c>
      <c r="G4532" s="716">
        <v>366.65</v>
      </c>
      <c r="H4532" s="225">
        <f t="shared" si="70"/>
        <v>378.23</v>
      </c>
    </row>
    <row r="4533" spans="1:8" x14ac:dyDescent="0.3">
      <c r="A4533" s="401"/>
      <c r="B4533" s="709">
        <v>7750</v>
      </c>
      <c r="C4533" s="710" t="s">
        <v>12859</v>
      </c>
      <c r="D4533" s="709" t="s">
        <v>159</v>
      </c>
      <c r="E4533" s="709" t="s">
        <v>8432</v>
      </c>
      <c r="F4533" s="716">
        <v>461.72</v>
      </c>
      <c r="G4533" s="716">
        <v>447.57</v>
      </c>
      <c r="H4533" s="225">
        <f t="shared" si="70"/>
        <v>461.72</v>
      </c>
    </row>
    <row r="4534" spans="1:8" x14ac:dyDescent="0.3">
      <c r="A4534" s="401"/>
      <c r="B4534" s="709">
        <v>7756</v>
      </c>
      <c r="C4534" s="710" t="s">
        <v>12860</v>
      </c>
      <c r="D4534" s="709" t="s">
        <v>159</v>
      </c>
      <c r="E4534" s="709" t="s">
        <v>8432</v>
      </c>
      <c r="F4534" s="716">
        <v>530.51</v>
      </c>
      <c r="G4534" s="716">
        <v>514.26</v>
      </c>
      <c r="H4534" s="225">
        <f t="shared" si="70"/>
        <v>530.51</v>
      </c>
    </row>
    <row r="4535" spans="1:8" x14ac:dyDescent="0.3">
      <c r="A4535" s="401"/>
      <c r="B4535" s="709">
        <v>7725</v>
      </c>
      <c r="C4535" s="710" t="s">
        <v>12861</v>
      </c>
      <c r="D4535" s="709" t="s">
        <v>159</v>
      </c>
      <c r="E4535" s="709" t="s">
        <v>8438</v>
      </c>
      <c r="F4535" s="716">
        <v>277.5</v>
      </c>
      <c r="G4535" s="716">
        <v>269</v>
      </c>
      <c r="H4535" s="225">
        <f t="shared" si="70"/>
        <v>277.5</v>
      </c>
    </row>
    <row r="4536" spans="1:8" x14ac:dyDescent="0.3">
      <c r="A4536" s="401"/>
      <c r="B4536" s="709">
        <v>7765</v>
      </c>
      <c r="C4536" s="710" t="s">
        <v>12862</v>
      </c>
      <c r="D4536" s="709" t="s">
        <v>159</v>
      </c>
      <c r="E4536" s="709" t="s">
        <v>8432</v>
      </c>
      <c r="F4536" s="716">
        <v>594.64</v>
      </c>
      <c r="G4536" s="716">
        <v>576.41999999999996</v>
      </c>
      <c r="H4536" s="225">
        <f t="shared" si="70"/>
        <v>594.64</v>
      </c>
    </row>
    <row r="4537" spans="1:8" x14ac:dyDescent="0.3">
      <c r="A4537" s="401"/>
      <c r="B4537" s="709">
        <v>12569</v>
      </c>
      <c r="C4537" s="710" t="s">
        <v>12863</v>
      </c>
      <c r="D4537" s="709" t="s">
        <v>159</v>
      </c>
      <c r="E4537" s="709" t="s">
        <v>8432</v>
      </c>
      <c r="F4537" s="716">
        <v>820.84</v>
      </c>
      <c r="G4537" s="716">
        <v>795.69</v>
      </c>
      <c r="H4537" s="225">
        <f t="shared" si="70"/>
        <v>820.84</v>
      </c>
    </row>
    <row r="4538" spans="1:8" x14ac:dyDescent="0.3">
      <c r="A4538" s="401"/>
      <c r="B4538" s="709">
        <v>7766</v>
      </c>
      <c r="C4538" s="710" t="s">
        <v>12864</v>
      </c>
      <c r="D4538" s="709" t="s">
        <v>159</v>
      </c>
      <c r="E4538" s="709" t="s">
        <v>8432</v>
      </c>
      <c r="F4538" s="716">
        <v>872.14</v>
      </c>
      <c r="G4538" s="716">
        <v>845.42</v>
      </c>
      <c r="H4538" s="225">
        <f t="shared" si="70"/>
        <v>872.14</v>
      </c>
    </row>
    <row r="4539" spans="1:8" x14ac:dyDescent="0.3">
      <c r="A4539" s="401"/>
      <c r="B4539" s="709">
        <v>7767</v>
      </c>
      <c r="C4539" s="710" t="s">
        <v>12865</v>
      </c>
      <c r="D4539" s="709" t="s">
        <v>159</v>
      </c>
      <c r="E4539" s="709" t="s">
        <v>8432</v>
      </c>
      <c r="F4539" s="716">
        <v>1252.24</v>
      </c>
      <c r="G4539" s="716">
        <v>1213.8900000000001</v>
      </c>
      <c r="H4539" s="225">
        <f t="shared" si="70"/>
        <v>1252.24</v>
      </c>
    </row>
    <row r="4540" spans="1:8" x14ac:dyDescent="0.3">
      <c r="A4540" s="401"/>
      <c r="B4540" s="709">
        <v>7727</v>
      </c>
      <c r="C4540" s="710" t="s">
        <v>12866</v>
      </c>
      <c r="D4540" s="709" t="s">
        <v>159</v>
      </c>
      <c r="E4540" s="709" t="s">
        <v>8432</v>
      </c>
      <c r="F4540" s="716">
        <v>3637.81</v>
      </c>
      <c r="G4540" s="716">
        <v>3526.38</v>
      </c>
      <c r="H4540" s="225">
        <f t="shared" si="70"/>
        <v>3637.81</v>
      </c>
    </row>
    <row r="4541" spans="1:8" x14ac:dyDescent="0.3">
      <c r="A4541" s="401"/>
      <c r="B4541" s="709">
        <v>7760</v>
      </c>
      <c r="C4541" s="710" t="s">
        <v>12867</v>
      </c>
      <c r="D4541" s="709" t="s">
        <v>159</v>
      </c>
      <c r="E4541" s="709" t="s">
        <v>8432</v>
      </c>
      <c r="F4541" s="716">
        <v>144.57</v>
      </c>
      <c r="G4541" s="716">
        <v>140.15</v>
      </c>
      <c r="H4541" s="225">
        <f t="shared" si="70"/>
        <v>144.57</v>
      </c>
    </row>
    <row r="4542" spans="1:8" x14ac:dyDescent="0.3">
      <c r="A4542" s="401"/>
      <c r="B4542" s="709">
        <v>7761</v>
      </c>
      <c r="C4542" s="710" t="s">
        <v>12868</v>
      </c>
      <c r="D4542" s="709" t="s">
        <v>159</v>
      </c>
      <c r="E4542" s="709" t="s">
        <v>8432</v>
      </c>
      <c r="F4542" s="716">
        <v>151.57</v>
      </c>
      <c r="G4542" s="716">
        <v>146.93</v>
      </c>
      <c r="H4542" s="225">
        <f t="shared" si="70"/>
        <v>151.57</v>
      </c>
    </row>
    <row r="4543" spans="1:8" x14ac:dyDescent="0.3">
      <c r="A4543" s="401"/>
      <c r="B4543" s="709">
        <v>7752</v>
      </c>
      <c r="C4543" s="710" t="s">
        <v>12869</v>
      </c>
      <c r="D4543" s="709" t="s">
        <v>159</v>
      </c>
      <c r="E4543" s="709" t="s">
        <v>8432</v>
      </c>
      <c r="F4543" s="716">
        <v>184.22</v>
      </c>
      <c r="G4543" s="716">
        <v>178.57</v>
      </c>
      <c r="H4543" s="225">
        <f t="shared" si="70"/>
        <v>184.22</v>
      </c>
    </row>
    <row r="4544" spans="1:8" x14ac:dyDescent="0.3">
      <c r="A4544" s="401"/>
      <c r="B4544" s="709">
        <v>7762</v>
      </c>
      <c r="C4544" s="710" t="s">
        <v>12870</v>
      </c>
      <c r="D4544" s="709" t="s">
        <v>159</v>
      </c>
      <c r="E4544" s="709" t="s">
        <v>8432</v>
      </c>
      <c r="F4544" s="716">
        <v>240.77</v>
      </c>
      <c r="G4544" s="716">
        <v>233.39</v>
      </c>
      <c r="H4544" s="225">
        <f t="shared" si="70"/>
        <v>240.77</v>
      </c>
    </row>
    <row r="4545" spans="1:8" x14ac:dyDescent="0.3">
      <c r="A4545" s="401"/>
      <c r="B4545" s="709">
        <v>7722</v>
      </c>
      <c r="C4545" s="710" t="s">
        <v>12871</v>
      </c>
      <c r="D4545" s="709" t="s">
        <v>159</v>
      </c>
      <c r="E4545" s="709" t="s">
        <v>8432</v>
      </c>
      <c r="F4545" s="716">
        <v>368.44</v>
      </c>
      <c r="G4545" s="716">
        <v>357.15</v>
      </c>
      <c r="H4545" s="225">
        <f t="shared" si="70"/>
        <v>368.44</v>
      </c>
    </row>
    <row r="4546" spans="1:8" x14ac:dyDescent="0.3">
      <c r="A4546" s="401"/>
      <c r="B4546" s="709">
        <v>7763</v>
      </c>
      <c r="C4546" s="710" t="s">
        <v>12872</v>
      </c>
      <c r="D4546" s="709" t="s">
        <v>159</v>
      </c>
      <c r="E4546" s="709" t="s">
        <v>8432</v>
      </c>
      <c r="F4546" s="716">
        <v>448.89</v>
      </c>
      <c r="G4546" s="716">
        <v>435.14</v>
      </c>
      <c r="H4546" s="225">
        <f t="shared" si="70"/>
        <v>448.89</v>
      </c>
    </row>
    <row r="4547" spans="1:8" x14ac:dyDescent="0.3">
      <c r="A4547" s="401"/>
      <c r="B4547" s="709">
        <v>7764</v>
      </c>
      <c r="C4547" s="710" t="s">
        <v>12873</v>
      </c>
      <c r="D4547" s="709" t="s">
        <v>159</v>
      </c>
      <c r="E4547" s="709" t="s">
        <v>8432</v>
      </c>
      <c r="F4547" s="716">
        <v>536.34</v>
      </c>
      <c r="G4547" s="716">
        <v>519.91</v>
      </c>
      <c r="H4547" s="225">
        <f t="shared" si="70"/>
        <v>536.34</v>
      </c>
    </row>
    <row r="4548" spans="1:8" x14ac:dyDescent="0.3">
      <c r="A4548" s="401"/>
      <c r="B4548" s="709">
        <v>12572</v>
      </c>
      <c r="C4548" s="710" t="s">
        <v>12874</v>
      </c>
      <c r="D4548" s="709" t="s">
        <v>159</v>
      </c>
      <c r="E4548" s="709" t="s">
        <v>8432</v>
      </c>
      <c r="F4548" s="716">
        <v>757.87</v>
      </c>
      <c r="G4548" s="716">
        <v>734.66</v>
      </c>
      <c r="H4548" s="225">
        <f t="shared" si="70"/>
        <v>757.87</v>
      </c>
    </row>
    <row r="4549" spans="1:8" x14ac:dyDescent="0.3">
      <c r="A4549" s="401"/>
      <c r="B4549" s="709">
        <v>12573</v>
      </c>
      <c r="C4549" s="710" t="s">
        <v>12875</v>
      </c>
      <c r="D4549" s="709" t="s">
        <v>159</v>
      </c>
      <c r="E4549" s="709" t="s">
        <v>8432</v>
      </c>
      <c r="F4549" s="716">
        <v>996.9</v>
      </c>
      <c r="G4549" s="716">
        <v>966.36</v>
      </c>
      <c r="H4549" s="225">
        <f t="shared" si="70"/>
        <v>996.9</v>
      </c>
    </row>
    <row r="4550" spans="1:8" x14ac:dyDescent="0.3">
      <c r="A4550" s="401"/>
      <c r="B4550" s="709">
        <v>12574</v>
      </c>
      <c r="C4550" s="710" t="s">
        <v>12876</v>
      </c>
      <c r="D4550" s="709" t="s">
        <v>159</v>
      </c>
      <c r="E4550" s="709" t="s">
        <v>8432</v>
      </c>
      <c r="F4550" s="716">
        <v>1205.3699999999999</v>
      </c>
      <c r="G4550" s="716">
        <v>1168.45</v>
      </c>
      <c r="H4550" s="225">
        <f t="shared" si="70"/>
        <v>1205.3699999999999</v>
      </c>
    </row>
    <row r="4551" spans="1:8" x14ac:dyDescent="0.3">
      <c r="A4551" s="401"/>
      <c r="B4551" s="709">
        <v>12575</v>
      </c>
      <c r="C4551" s="710" t="s">
        <v>12877</v>
      </c>
      <c r="D4551" s="709" t="s">
        <v>159</v>
      </c>
      <c r="E4551" s="709" t="s">
        <v>8432</v>
      </c>
      <c r="F4551" s="716">
        <v>1830.56</v>
      </c>
      <c r="G4551" s="716">
        <v>1774.49</v>
      </c>
      <c r="H4551" s="225">
        <f t="shared" si="70"/>
        <v>1830.56</v>
      </c>
    </row>
    <row r="4552" spans="1:8" x14ac:dyDescent="0.3">
      <c r="A4552" s="401"/>
      <c r="B4552" s="709">
        <v>12576</v>
      </c>
      <c r="C4552" s="710" t="s">
        <v>12878</v>
      </c>
      <c r="D4552" s="709" t="s">
        <v>159</v>
      </c>
      <c r="E4552" s="709" t="s">
        <v>8432</v>
      </c>
      <c r="F4552" s="716">
        <v>221.53</v>
      </c>
      <c r="G4552" s="716">
        <v>214.74</v>
      </c>
      <c r="H4552" s="225">
        <f t="shared" si="70"/>
        <v>221.53</v>
      </c>
    </row>
    <row r="4553" spans="1:8" x14ac:dyDescent="0.3">
      <c r="A4553" s="401"/>
      <c r="B4553" s="709">
        <v>12577</v>
      </c>
      <c r="C4553" s="710" t="s">
        <v>12879</v>
      </c>
      <c r="D4553" s="709" t="s">
        <v>159</v>
      </c>
      <c r="E4553" s="709" t="s">
        <v>8432</v>
      </c>
      <c r="F4553" s="716">
        <v>298.48</v>
      </c>
      <c r="G4553" s="716">
        <v>289.33999999999997</v>
      </c>
      <c r="H4553" s="225">
        <f t="shared" si="70"/>
        <v>298.48</v>
      </c>
    </row>
    <row r="4554" spans="1:8" x14ac:dyDescent="0.3">
      <c r="A4554" s="401"/>
      <c r="B4554" s="709">
        <v>12578</v>
      </c>
      <c r="C4554" s="710" t="s">
        <v>12880</v>
      </c>
      <c r="D4554" s="709" t="s">
        <v>159</v>
      </c>
      <c r="E4554" s="709" t="s">
        <v>8432</v>
      </c>
      <c r="F4554" s="716">
        <v>361.44</v>
      </c>
      <c r="G4554" s="716">
        <v>350.37</v>
      </c>
      <c r="H4554" s="225">
        <f t="shared" si="70"/>
        <v>361.44</v>
      </c>
    </row>
    <row r="4555" spans="1:8" x14ac:dyDescent="0.3">
      <c r="A4555" s="401"/>
      <c r="B4555" s="709">
        <v>12579</v>
      </c>
      <c r="C4555" s="710" t="s">
        <v>12881</v>
      </c>
      <c r="D4555" s="709" t="s">
        <v>159</v>
      </c>
      <c r="E4555" s="709" t="s">
        <v>8432</v>
      </c>
      <c r="F4555" s="716">
        <v>622.62</v>
      </c>
      <c r="G4555" s="716">
        <v>603.54999999999995</v>
      </c>
      <c r="H4555" s="225">
        <f t="shared" ref="H4555:H4618" si="71">IF(F4555&gt;0,F4555,G4555)</f>
        <v>622.62</v>
      </c>
    </row>
    <row r="4556" spans="1:8" x14ac:dyDescent="0.3">
      <c r="A4556" s="401"/>
      <c r="B4556" s="709">
        <v>12580</v>
      </c>
      <c r="C4556" s="710" t="s">
        <v>12882</v>
      </c>
      <c r="D4556" s="709" t="s">
        <v>159</v>
      </c>
      <c r="E4556" s="709" t="s">
        <v>8432</v>
      </c>
      <c r="F4556" s="716">
        <v>648.74</v>
      </c>
      <c r="G4556" s="716">
        <v>628.87</v>
      </c>
      <c r="H4556" s="225">
        <f t="shared" si="71"/>
        <v>648.74</v>
      </c>
    </row>
    <row r="4557" spans="1:8" x14ac:dyDescent="0.3">
      <c r="A4557" s="401"/>
      <c r="B4557" s="709">
        <v>12581</v>
      </c>
      <c r="C4557" s="710" t="s">
        <v>12883</v>
      </c>
      <c r="D4557" s="709" t="s">
        <v>159</v>
      </c>
      <c r="E4557" s="709" t="s">
        <v>8432</v>
      </c>
      <c r="F4557" s="716">
        <v>694.91</v>
      </c>
      <c r="G4557" s="716">
        <v>673.63</v>
      </c>
      <c r="H4557" s="225">
        <f t="shared" si="71"/>
        <v>694.91</v>
      </c>
    </row>
    <row r="4558" spans="1:8" x14ac:dyDescent="0.3">
      <c r="A4558" s="401"/>
      <c r="B4558" s="709">
        <v>7720</v>
      </c>
      <c r="C4558" s="710" t="s">
        <v>12884</v>
      </c>
      <c r="D4558" s="709" t="s">
        <v>159</v>
      </c>
      <c r="E4558" s="709" t="s">
        <v>8432</v>
      </c>
      <c r="F4558" s="716">
        <v>1086.68</v>
      </c>
      <c r="G4558" s="716">
        <v>1053.3900000000001</v>
      </c>
      <c r="H4558" s="225">
        <f t="shared" si="71"/>
        <v>1086.68</v>
      </c>
    </row>
    <row r="4559" spans="1:8" x14ac:dyDescent="0.3">
      <c r="A4559" s="401"/>
      <c r="B4559" s="709">
        <v>40335</v>
      </c>
      <c r="C4559" s="710" t="s">
        <v>12885</v>
      </c>
      <c r="D4559" s="709" t="s">
        <v>159</v>
      </c>
      <c r="E4559" s="709" t="s">
        <v>8432</v>
      </c>
      <c r="F4559" s="716">
        <v>227.36</v>
      </c>
      <c r="G4559" s="716">
        <v>220.39</v>
      </c>
      <c r="H4559" s="225">
        <f t="shared" si="71"/>
        <v>227.36</v>
      </c>
    </row>
    <row r="4560" spans="1:8" x14ac:dyDescent="0.3">
      <c r="A4560" s="401"/>
      <c r="B4560" s="709">
        <v>7740</v>
      </c>
      <c r="C4560" s="710" t="s">
        <v>12886</v>
      </c>
      <c r="D4560" s="709" t="s">
        <v>159</v>
      </c>
      <c r="E4560" s="709" t="s">
        <v>8432</v>
      </c>
      <c r="F4560" s="716">
        <v>233.19</v>
      </c>
      <c r="G4560" s="716">
        <v>226.05</v>
      </c>
      <c r="H4560" s="225">
        <f t="shared" si="71"/>
        <v>233.19</v>
      </c>
    </row>
    <row r="4561" spans="1:8" x14ac:dyDescent="0.3">
      <c r="A4561" s="401"/>
      <c r="B4561" s="709">
        <v>7741</v>
      </c>
      <c r="C4561" s="710" t="s">
        <v>12887</v>
      </c>
      <c r="D4561" s="709" t="s">
        <v>159</v>
      </c>
      <c r="E4561" s="709" t="s">
        <v>8432</v>
      </c>
      <c r="F4561" s="716">
        <v>431.4</v>
      </c>
      <c r="G4561" s="716">
        <v>418.19</v>
      </c>
      <c r="H4561" s="225">
        <f t="shared" si="71"/>
        <v>431.4</v>
      </c>
    </row>
    <row r="4562" spans="1:8" x14ac:dyDescent="0.3">
      <c r="A4562" s="401"/>
      <c r="B4562" s="709">
        <v>7774</v>
      </c>
      <c r="C4562" s="710" t="s">
        <v>12888</v>
      </c>
      <c r="D4562" s="709" t="s">
        <v>159</v>
      </c>
      <c r="E4562" s="709" t="s">
        <v>8432</v>
      </c>
      <c r="F4562" s="716">
        <v>529.34</v>
      </c>
      <c r="G4562" s="716">
        <v>513.13</v>
      </c>
      <c r="H4562" s="225">
        <f t="shared" si="71"/>
        <v>529.34</v>
      </c>
    </row>
    <row r="4563" spans="1:8" x14ac:dyDescent="0.3">
      <c r="A4563" s="401"/>
      <c r="B4563" s="709">
        <v>7744</v>
      </c>
      <c r="C4563" s="710" t="s">
        <v>12889</v>
      </c>
      <c r="D4563" s="709" t="s">
        <v>159</v>
      </c>
      <c r="E4563" s="709" t="s">
        <v>8432</v>
      </c>
      <c r="F4563" s="716">
        <v>691.41</v>
      </c>
      <c r="G4563" s="716">
        <v>670.23</v>
      </c>
      <c r="H4563" s="225">
        <f t="shared" si="71"/>
        <v>691.41</v>
      </c>
    </row>
    <row r="4564" spans="1:8" x14ac:dyDescent="0.3">
      <c r="A4564" s="401"/>
      <c r="B4564" s="709">
        <v>7773</v>
      </c>
      <c r="C4564" s="710" t="s">
        <v>12890</v>
      </c>
      <c r="D4564" s="709" t="s">
        <v>159</v>
      </c>
      <c r="E4564" s="709" t="s">
        <v>8432</v>
      </c>
      <c r="F4564" s="716">
        <v>706.69</v>
      </c>
      <c r="G4564" s="716">
        <v>685.04</v>
      </c>
      <c r="H4564" s="225">
        <f t="shared" si="71"/>
        <v>706.69</v>
      </c>
    </row>
    <row r="4565" spans="1:8" x14ac:dyDescent="0.3">
      <c r="A4565" s="401"/>
      <c r="B4565" s="709">
        <v>7754</v>
      </c>
      <c r="C4565" s="710" t="s">
        <v>12891</v>
      </c>
      <c r="D4565" s="709" t="s">
        <v>159</v>
      </c>
      <c r="E4565" s="709" t="s">
        <v>8432</v>
      </c>
      <c r="F4565" s="716">
        <v>1071.52</v>
      </c>
      <c r="G4565" s="716">
        <v>1038.7</v>
      </c>
      <c r="H4565" s="225">
        <f t="shared" si="71"/>
        <v>1071.52</v>
      </c>
    </row>
    <row r="4566" spans="1:8" x14ac:dyDescent="0.3">
      <c r="A4566" s="401"/>
      <c r="B4566" s="709">
        <v>7735</v>
      </c>
      <c r="C4566" s="710" t="s">
        <v>12892</v>
      </c>
      <c r="D4566" s="709" t="s">
        <v>159</v>
      </c>
      <c r="E4566" s="709" t="s">
        <v>8432</v>
      </c>
      <c r="F4566" s="716">
        <v>1387.5</v>
      </c>
      <c r="G4566" s="716">
        <v>1345</v>
      </c>
      <c r="H4566" s="225">
        <f t="shared" si="71"/>
        <v>1387.5</v>
      </c>
    </row>
    <row r="4567" spans="1:8" x14ac:dyDescent="0.3">
      <c r="A4567" s="401"/>
      <c r="B4567" s="709">
        <v>7755</v>
      </c>
      <c r="C4567" s="710" t="s">
        <v>12893</v>
      </c>
      <c r="D4567" s="709" t="s">
        <v>159</v>
      </c>
      <c r="E4567" s="709" t="s">
        <v>8432</v>
      </c>
      <c r="F4567" s="716">
        <v>275.16000000000003</v>
      </c>
      <c r="G4567" s="716">
        <v>266.73</v>
      </c>
      <c r="H4567" s="225">
        <f t="shared" si="71"/>
        <v>275.16000000000003</v>
      </c>
    </row>
    <row r="4568" spans="1:8" x14ac:dyDescent="0.3">
      <c r="A4568" s="401"/>
      <c r="B4568" s="709">
        <v>7776</v>
      </c>
      <c r="C4568" s="710" t="s">
        <v>12894</v>
      </c>
      <c r="D4568" s="709" t="s">
        <v>159</v>
      </c>
      <c r="E4568" s="709" t="s">
        <v>8432</v>
      </c>
      <c r="F4568" s="716">
        <v>573.65</v>
      </c>
      <c r="G4568" s="716">
        <v>556.08000000000004</v>
      </c>
      <c r="H4568" s="225">
        <f t="shared" si="71"/>
        <v>573.65</v>
      </c>
    </row>
    <row r="4569" spans="1:8" x14ac:dyDescent="0.3">
      <c r="A4569" s="401"/>
      <c r="B4569" s="709">
        <v>7743</v>
      </c>
      <c r="C4569" s="710" t="s">
        <v>12895</v>
      </c>
      <c r="D4569" s="709" t="s">
        <v>159</v>
      </c>
      <c r="E4569" s="709" t="s">
        <v>8432</v>
      </c>
      <c r="F4569" s="716">
        <v>607.46</v>
      </c>
      <c r="G4569" s="716">
        <v>588.86</v>
      </c>
      <c r="H4569" s="225">
        <f t="shared" si="71"/>
        <v>607.46</v>
      </c>
    </row>
    <row r="4570" spans="1:8" x14ac:dyDescent="0.3">
      <c r="A4570" s="401"/>
      <c r="B4570" s="709">
        <v>7733</v>
      </c>
      <c r="C4570" s="710" t="s">
        <v>12896</v>
      </c>
      <c r="D4570" s="709" t="s">
        <v>159</v>
      </c>
      <c r="E4570" s="709" t="s">
        <v>8432</v>
      </c>
      <c r="F4570" s="716">
        <v>792.85</v>
      </c>
      <c r="G4570" s="716">
        <v>768.57</v>
      </c>
      <c r="H4570" s="225">
        <f t="shared" si="71"/>
        <v>792.85</v>
      </c>
    </row>
    <row r="4571" spans="1:8" x14ac:dyDescent="0.3">
      <c r="A4571" s="401"/>
      <c r="B4571" s="709">
        <v>7775</v>
      </c>
      <c r="C4571" s="710" t="s">
        <v>12897</v>
      </c>
      <c r="D4571" s="709" t="s">
        <v>159</v>
      </c>
      <c r="E4571" s="709" t="s">
        <v>8432</v>
      </c>
      <c r="F4571" s="716">
        <v>868.64</v>
      </c>
      <c r="G4571" s="716">
        <v>842.03</v>
      </c>
      <c r="H4571" s="225">
        <f t="shared" si="71"/>
        <v>868.64</v>
      </c>
    </row>
    <row r="4572" spans="1:8" x14ac:dyDescent="0.3">
      <c r="A4572" s="401"/>
      <c r="B4572" s="709">
        <v>7734</v>
      </c>
      <c r="C4572" s="710" t="s">
        <v>12898</v>
      </c>
      <c r="D4572" s="709" t="s">
        <v>159</v>
      </c>
      <c r="E4572" s="709" t="s">
        <v>8432</v>
      </c>
      <c r="F4572" s="716">
        <v>1230.0899999999999</v>
      </c>
      <c r="G4572" s="716">
        <v>1192.4100000000001</v>
      </c>
      <c r="H4572" s="225">
        <f t="shared" si="71"/>
        <v>1230.0899999999999</v>
      </c>
    </row>
    <row r="4573" spans="1:8" x14ac:dyDescent="0.3">
      <c r="A4573" s="401"/>
      <c r="B4573" s="709">
        <v>7714</v>
      </c>
      <c r="C4573" s="710" t="s">
        <v>12899</v>
      </c>
      <c r="D4573" s="709" t="s">
        <v>159</v>
      </c>
      <c r="E4573" s="709" t="s">
        <v>8432</v>
      </c>
      <c r="F4573" s="716">
        <v>171.39</v>
      </c>
      <c r="G4573" s="716">
        <v>166.14</v>
      </c>
      <c r="H4573" s="225">
        <f t="shared" si="71"/>
        <v>171.39</v>
      </c>
    </row>
    <row r="4574" spans="1:8" x14ac:dyDescent="0.3">
      <c r="A4574" s="401"/>
      <c r="B4574" s="709">
        <v>37449</v>
      </c>
      <c r="C4574" s="710" t="s">
        <v>12900</v>
      </c>
      <c r="D4574" s="709" t="s">
        <v>159</v>
      </c>
      <c r="E4574" s="709" t="s">
        <v>8432</v>
      </c>
      <c r="F4574" s="716">
        <v>39.24</v>
      </c>
      <c r="G4574" s="716">
        <v>42.89</v>
      </c>
      <c r="H4574" s="225">
        <f t="shared" si="71"/>
        <v>39.24</v>
      </c>
    </row>
    <row r="4575" spans="1:8" x14ac:dyDescent="0.3">
      <c r="A4575" s="401"/>
      <c r="B4575" s="709">
        <v>37450</v>
      </c>
      <c r="C4575" s="710" t="s">
        <v>12901</v>
      </c>
      <c r="D4575" s="709" t="s">
        <v>159</v>
      </c>
      <c r="E4575" s="709" t="s">
        <v>8432</v>
      </c>
      <c r="F4575" s="716">
        <v>54.94</v>
      </c>
      <c r="G4575" s="716">
        <v>60.05</v>
      </c>
      <c r="H4575" s="225">
        <f t="shared" si="71"/>
        <v>54.94</v>
      </c>
    </row>
    <row r="4576" spans="1:8" x14ac:dyDescent="0.3">
      <c r="A4576" s="401"/>
      <c r="B4576" s="709">
        <v>37451</v>
      </c>
      <c r="C4576" s="710" t="s">
        <v>12902</v>
      </c>
      <c r="D4576" s="709" t="s">
        <v>159</v>
      </c>
      <c r="E4576" s="709" t="s">
        <v>8432</v>
      </c>
      <c r="F4576" s="716">
        <v>76.7</v>
      </c>
      <c r="G4576" s="716">
        <v>83.83</v>
      </c>
      <c r="H4576" s="225">
        <f t="shared" si="71"/>
        <v>76.7</v>
      </c>
    </row>
    <row r="4577" spans="1:8" x14ac:dyDescent="0.3">
      <c r="A4577" s="401"/>
      <c r="B4577" s="709">
        <v>37452</v>
      </c>
      <c r="C4577" s="710" t="s">
        <v>12903</v>
      </c>
      <c r="D4577" s="709" t="s">
        <v>159</v>
      </c>
      <c r="E4577" s="709" t="s">
        <v>8432</v>
      </c>
      <c r="F4577" s="716">
        <v>111.48</v>
      </c>
      <c r="G4577" s="716">
        <v>121.85</v>
      </c>
      <c r="H4577" s="225">
        <f t="shared" si="71"/>
        <v>111.48</v>
      </c>
    </row>
    <row r="4578" spans="1:8" x14ac:dyDescent="0.3">
      <c r="A4578" s="401"/>
      <c r="B4578" s="709">
        <v>37453</v>
      </c>
      <c r="C4578" s="710" t="s">
        <v>12904</v>
      </c>
      <c r="D4578" s="709" t="s">
        <v>159</v>
      </c>
      <c r="E4578" s="709" t="s">
        <v>8432</v>
      </c>
      <c r="F4578" s="716">
        <v>128.38</v>
      </c>
      <c r="G4578" s="716">
        <v>140.33000000000001</v>
      </c>
      <c r="H4578" s="225">
        <f t="shared" si="71"/>
        <v>128.38</v>
      </c>
    </row>
    <row r="4579" spans="1:8" x14ac:dyDescent="0.3">
      <c r="A4579" s="401"/>
      <c r="B4579" s="709">
        <v>7778</v>
      </c>
      <c r="C4579" s="710" t="s">
        <v>12905</v>
      </c>
      <c r="D4579" s="709" t="s">
        <v>159</v>
      </c>
      <c r="E4579" s="709" t="s">
        <v>8432</v>
      </c>
      <c r="F4579" s="716">
        <v>48.16</v>
      </c>
      <c r="G4579" s="716">
        <v>52.64</v>
      </c>
      <c r="H4579" s="225">
        <f t="shared" si="71"/>
        <v>48.16</v>
      </c>
    </row>
    <row r="4580" spans="1:8" x14ac:dyDescent="0.3">
      <c r="A4580" s="401"/>
      <c r="B4580" s="709">
        <v>7796</v>
      </c>
      <c r="C4580" s="710" t="s">
        <v>12906</v>
      </c>
      <c r="D4580" s="709" t="s">
        <v>159</v>
      </c>
      <c r="E4580" s="709" t="s">
        <v>8438</v>
      </c>
      <c r="F4580" s="716">
        <v>66</v>
      </c>
      <c r="G4580" s="716">
        <v>72.14</v>
      </c>
      <c r="H4580" s="225">
        <f t="shared" si="71"/>
        <v>66</v>
      </c>
    </row>
    <row r="4581" spans="1:8" x14ac:dyDescent="0.3">
      <c r="A4581" s="401"/>
      <c r="B4581" s="709">
        <v>7781</v>
      </c>
      <c r="C4581" s="710" t="s">
        <v>12907</v>
      </c>
      <c r="D4581" s="709" t="s">
        <v>159</v>
      </c>
      <c r="E4581" s="709" t="s">
        <v>8432</v>
      </c>
      <c r="F4581" s="716">
        <v>77.989999999999995</v>
      </c>
      <c r="G4581" s="716">
        <v>85.25</v>
      </c>
      <c r="H4581" s="225">
        <f t="shared" si="71"/>
        <v>77.989999999999995</v>
      </c>
    </row>
    <row r="4582" spans="1:8" x14ac:dyDescent="0.3">
      <c r="A4582" s="401"/>
      <c r="B4582" s="709">
        <v>7795</v>
      </c>
      <c r="C4582" s="710" t="s">
        <v>12908</v>
      </c>
      <c r="D4582" s="709" t="s">
        <v>159</v>
      </c>
      <c r="E4582" s="709" t="s">
        <v>8432</v>
      </c>
      <c r="F4582" s="716">
        <v>116.07</v>
      </c>
      <c r="G4582" s="716">
        <v>126.87</v>
      </c>
      <c r="H4582" s="225">
        <f t="shared" si="71"/>
        <v>116.07</v>
      </c>
    </row>
    <row r="4583" spans="1:8" x14ac:dyDescent="0.3">
      <c r="A4583" s="401"/>
      <c r="B4583" s="709">
        <v>7791</v>
      </c>
      <c r="C4583" s="710" t="s">
        <v>12909</v>
      </c>
      <c r="D4583" s="709" t="s">
        <v>159</v>
      </c>
      <c r="E4583" s="709" t="s">
        <v>8432</v>
      </c>
      <c r="F4583" s="716">
        <v>138.94999999999999</v>
      </c>
      <c r="G4583" s="716">
        <v>151.88</v>
      </c>
      <c r="H4583" s="225">
        <f t="shared" si="71"/>
        <v>138.94999999999999</v>
      </c>
    </row>
    <row r="4584" spans="1:8" x14ac:dyDescent="0.3">
      <c r="A4584" s="401"/>
      <c r="B4584" s="709">
        <v>7783</v>
      </c>
      <c r="C4584" s="710" t="s">
        <v>12910</v>
      </c>
      <c r="D4584" s="709" t="s">
        <v>159</v>
      </c>
      <c r="E4584" s="709" t="s">
        <v>8432</v>
      </c>
      <c r="F4584" s="716">
        <v>49.24</v>
      </c>
      <c r="G4584" s="716">
        <v>53.82</v>
      </c>
      <c r="H4584" s="225">
        <f t="shared" si="71"/>
        <v>49.24</v>
      </c>
    </row>
    <row r="4585" spans="1:8" x14ac:dyDescent="0.3">
      <c r="A4585" s="401"/>
      <c r="B4585" s="709">
        <v>7790</v>
      </c>
      <c r="C4585" s="710" t="s">
        <v>12911</v>
      </c>
      <c r="D4585" s="709" t="s">
        <v>159</v>
      </c>
      <c r="E4585" s="709" t="s">
        <v>8432</v>
      </c>
      <c r="F4585" s="716">
        <v>77.59</v>
      </c>
      <c r="G4585" s="716">
        <v>84.81</v>
      </c>
      <c r="H4585" s="225">
        <f t="shared" si="71"/>
        <v>77.59</v>
      </c>
    </row>
    <row r="4586" spans="1:8" x14ac:dyDescent="0.3">
      <c r="A4586" s="401"/>
      <c r="B4586" s="709">
        <v>7785</v>
      </c>
      <c r="C4586" s="710" t="s">
        <v>12912</v>
      </c>
      <c r="D4586" s="709" t="s">
        <v>159</v>
      </c>
      <c r="E4586" s="709" t="s">
        <v>8432</v>
      </c>
      <c r="F4586" s="716">
        <v>85.62</v>
      </c>
      <c r="G4586" s="716">
        <v>93.58</v>
      </c>
      <c r="H4586" s="225">
        <f t="shared" si="71"/>
        <v>85.62</v>
      </c>
    </row>
    <row r="4587" spans="1:8" x14ac:dyDescent="0.3">
      <c r="A4587" s="401"/>
      <c r="B4587" s="709">
        <v>7792</v>
      </c>
      <c r="C4587" s="710" t="s">
        <v>12913</v>
      </c>
      <c r="D4587" s="709" t="s">
        <v>159</v>
      </c>
      <c r="E4587" s="709" t="s">
        <v>8432</v>
      </c>
      <c r="F4587" s="716">
        <v>121.43</v>
      </c>
      <c r="G4587" s="716">
        <v>132.72</v>
      </c>
      <c r="H4587" s="225">
        <f t="shared" si="71"/>
        <v>121.43</v>
      </c>
    </row>
    <row r="4588" spans="1:8" x14ac:dyDescent="0.3">
      <c r="A4588" s="401"/>
      <c r="B4588" s="709">
        <v>7793</v>
      </c>
      <c r="C4588" s="710" t="s">
        <v>12914</v>
      </c>
      <c r="D4588" s="709" t="s">
        <v>159</v>
      </c>
      <c r="E4588" s="709" t="s">
        <v>8432</v>
      </c>
      <c r="F4588" s="716">
        <v>143.41</v>
      </c>
      <c r="G4588" s="716">
        <v>156.75</v>
      </c>
      <c r="H4588" s="225">
        <f t="shared" si="71"/>
        <v>143.41</v>
      </c>
    </row>
    <row r="4589" spans="1:8" x14ac:dyDescent="0.3">
      <c r="A4589" s="401"/>
      <c r="B4589" s="709">
        <v>13159</v>
      </c>
      <c r="C4589" s="710" t="s">
        <v>12915</v>
      </c>
      <c r="D4589" s="709" t="s">
        <v>159</v>
      </c>
      <c r="E4589" s="709" t="s">
        <v>8432</v>
      </c>
      <c r="F4589" s="716">
        <v>124.86</v>
      </c>
      <c r="G4589" s="716">
        <v>136.47999999999999</v>
      </c>
      <c r="H4589" s="225">
        <f t="shared" si="71"/>
        <v>124.86</v>
      </c>
    </row>
    <row r="4590" spans="1:8" x14ac:dyDescent="0.3">
      <c r="A4590" s="401"/>
      <c r="B4590" s="709">
        <v>13168</v>
      </c>
      <c r="C4590" s="710" t="s">
        <v>12916</v>
      </c>
      <c r="D4590" s="709" t="s">
        <v>159</v>
      </c>
      <c r="E4590" s="709" t="s">
        <v>8432</v>
      </c>
      <c r="F4590" s="716">
        <v>151.62</v>
      </c>
      <c r="G4590" s="716">
        <v>165.72</v>
      </c>
      <c r="H4590" s="225">
        <f t="shared" si="71"/>
        <v>151.62</v>
      </c>
    </row>
    <row r="4591" spans="1:8" x14ac:dyDescent="0.3">
      <c r="A4591" s="401"/>
      <c r="B4591" s="709">
        <v>13173</v>
      </c>
      <c r="C4591" s="710" t="s">
        <v>12917</v>
      </c>
      <c r="D4591" s="709" t="s">
        <v>159</v>
      </c>
      <c r="E4591" s="709" t="s">
        <v>8432</v>
      </c>
      <c r="F4591" s="716">
        <v>205.13</v>
      </c>
      <c r="G4591" s="716">
        <v>224.21</v>
      </c>
      <c r="H4591" s="225">
        <f t="shared" si="71"/>
        <v>205.13</v>
      </c>
    </row>
    <row r="4592" spans="1:8" x14ac:dyDescent="0.3">
      <c r="A4592" s="401"/>
      <c r="B4592" s="709">
        <v>12583</v>
      </c>
      <c r="C4592" s="710" t="s">
        <v>12918</v>
      </c>
      <c r="D4592" s="709" t="s">
        <v>159</v>
      </c>
      <c r="E4592" s="709" t="s">
        <v>8432</v>
      </c>
      <c r="F4592" s="716">
        <v>41.02</v>
      </c>
      <c r="G4592" s="716">
        <v>44.84</v>
      </c>
      <c r="H4592" s="225">
        <f t="shared" si="71"/>
        <v>41.02</v>
      </c>
    </row>
    <row r="4593" spans="1:8" x14ac:dyDescent="0.3">
      <c r="A4593" s="401"/>
      <c r="B4593" s="709">
        <v>12584</v>
      </c>
      <c r="C4593" s="710" t="s">
        <v>12919</v>
      </c>
      <c r="D4593" s="709" t="s">
        <v>159</v>
      </c>
      <c r="E4593" s="709" t="s">
        <v>8432</v>
      </c>
      <c r="F4593" s="716">
        <v>53.51</v>
      </c>
      <c r="G4593" s="716">
        <v>58.49</v>
      </c>
      <c r="H4593" s="225">
        <f t="shared" si="71"/>
        <v>53.51</v>
      </c>
    </row>
    <row r="4594" spans="1:8" x14ac:dyDescent="0.3">
      <c r="A4594" s="401"/>
      <c r="B4594" s="709">
        <v>12613</v>
      </c>
      <c r="C4594" s="710" t="s">
        <v>12920</v>
      </c>
      <c r="D4594" s="709" t="s">
        <v>136</v>
      </c>
      <c r="E4594" s="709" t="s">
        <v>8432</v>
      </c>
      <c r="F4594" s="716">
        <v>29.17</v>
      </c>
      <c r="G4594" s="716">
        <v>23.49</v>
      </c>
      <c r="H4594" s="225">
        <f t="shared" si="71"/>
        <v>29.17</v>
      </c>
    </row>
    <row r="4595" spans="1:8" x14ac:dyDescent="0.3">
      <c r="A4595" s="401"/>
      <c r="B4595" s="709">
        <v>1031</v>
      </c>
      <c r="C4595" s="710" t="s">
        <v>12921</v>
      </c>
      <c r="D4595" s="709" t="s">
        <v>136</v>
      </c>
      <c r="E4595" s="709" t="s">
        <v>8432</v>
      </c>
      <c r="F4595" s="716">
        <v>16.809999999999999</v>
      </c>
      <c r="G4595" s="716">
        <v>17.87</v>
      </c>
      <c r="H4595" s="225">
        <f t="shared" si="71"/>
        <v>16.809999999999999</v>
      </c>
    </row>
    <row r="4596" spans="1:8" x14ac:dyDescent="0.3">
      <c r="A4596" s="401"/>
      <c r="B4596" s="709">
        <v>39707</v>
      </c>
      <c r="C4596" s="710" t="s">
        <v>12922</v>
      </c>
      <c r="D4596" s="709" t="s">
        <v>159</v>
      </c>
      <c r="E4596" s="709" t="s">
        <v>8432</v>
      </c>
      <c r="F4596" s="716">
        <v>5.85</v>
      </c>
      <c r="G4596" s="716">
        <v>4.43</v>
      </c>
      <c r="H4596" s="225">
        <f t="shared" si="71"/>
        <v>5.85</v>
      </c>
    </row>
    <row r="4597" spans="1:8" x14ac:dyDescent="0.3">
      <c r="A4597" s="401"/>
      <c r="B4597" s="709">
        <v>39708</v>
      </c>
      <c r="C4597" s="710" t="s">
        <v>12923</v>
      </c>
      <c r="D4597" s="709" t="s">
        <v>159</v>
      </c>
      <c r="E4597" s="709" t="s">
        <v>8432</v>
      </c>
      <c r="F4597" s="716">
        <v>5.67</v>
      </c>
      <c r="G4597" s="716">
        <v>4.29</v>
      </c>
      <c r="H4597" s="225">
        <f t="shared" si="71"/>
        <v>5.67</v>
      </c>
    </row>
    <row r="4598" spans="1:8" x14ac:dyDescent="0.3">
      <c r="A4598" s="401"/>
      <c r="B4598" s="709">
        <v>39710</v>
      </c>
      <c r="C4598" s="710" t="s">
        <v>12924</v>
      </c>
      <c r="D4598" s="709" t="s">
        <v>159</v>
      </c>
      <c r="E4598" s="709" t="s">
        <v>8432</v>
      </c>
      <c r="F4598" s="716">
        <v>3.99</v>
      </c>
      <c r="G4598" s="716">
        <v>3.02</v>
      </c>
      <c r="H4598" s="225">
        <f t="shared" si="71"/>
        <v>3.99</v>
      </c>
    </row>
    <row r="4599" spans="1:8" x14ac:dyDescent="0.3">
      <c r="A4599" s="401"/>
      <c r="B4599" s="709">
        <v>39709</v>
      </c>
      <c r="C4599" s="710" t="s">
        <v>12925</v>
      </c>
      <c r="D4599" s="709" t="s">
        <v>159</v>
      </c>
      <c r="E4599" s="709" t="s">
        <v>8432</v>
      </c>
      <c r="F4599" s="716">
        <v>5.54</v>
      </c>
      <c r="G4599" s="716">
        <v>4.1900000000000004</v>
      </c>
      <c r="H4599" s="225">
        <f t="shared" si="71"/>
        <v>5.54</v>
      </c>
    </row>
    <row r="4600" spans="1:8" x14ac:dyDescent="0.3">
      <c r="A4600" s="401"/>
      <c r="B4600" s="709">
        <v>39711</v>
      </c>
      <c r="C4600" s="710" t="s">
        <v>12926</v>
      </c>
      <c r="D4600" s="709" t="s">
        <v>159</v>
      </c>
      <c r="E4600" s="709" t="s">
        <v>8432</v>
      </c>
      <c r="F4600" s="716">
        <v>6.22</v>
      </c>
      <c r="G4600" s="716">
        <v>4.7</v>
      </c>
      <c r="H4600" s="225">
        <f t="shared" si="71"/>
        <v>6.22</v>
      </c>
    </row>
    <row r="4601" spans="1:8" x14ac:dyDescent="0.3">
      <c r="A4601" s="401"/>
      <c r="B4601" s="709">
        <v>39714</v>
      </c>
      <c r="C4601" s="710" t="s">
        <v>12927</v>
      </c>
      <c r="D4601" s="709" t="s">
        <v>159</v>
      </c>
      <c r="E4601" s="709" t="s">
        <v>8432</v>
      </c>
      <c r="F4601" s="716">
        <v>3.95</v>
      </c>
      <c r="G4601" s="716">
        <v>2.99</v>
      </c>
      <c r="H4601" s="225">
        <f t="shared" si="71"/>
        <v>3.95</v>
      </c>
    </row>
    <row r="4602" spans="1:8" x14ac:dyDescent="0.3">
      <c r="A4602" s="401"/>
      <c r="B4602" s="709">
        <v>39712</v>
      </c>
      <c r="C4602" s="710" t="s">
        <v>12928</v>
      </c>
      <c r="D4602" s="709" t="s">
        <v>159</v>
      </c>
      <c r="E4602" s="709" t="s">
        <v>8438</v>
      </c>
      <c r="F4602" s="716">
        <v>2.1800000000000002</v>
      </c>
      <c r="G4602" s="716">
        <v>1.65</v>
      </c>
      <c r="H4602" s="225">
        <f t="shared" si="71"/>
        <v>2.1800000000000002</v>
      </c>
    </row>
    <row r="4603" spans="1:8" x14ac:dyDescent="0.3">
      <c r="A4603" s="401"/>
      <c r="B4603" s="709">
        <v>39713</v>
      </c>
      <c r="C4603" s="710" t="s">
        <v>12929</v>
      </c>
      <c r="D4603" s="709" t="s">
        <v>159</v>
      </c>
      <c r="E4603" s="709" t="s">
        <v>8432</v>
      </c>
      <c r="F4603" s="716">
        <v>1.72</v>
      </c>
      <c r="G4603" s="716">
        <v>1.3</v>
      </c>
      <c r="H4603" s="225">
        <f t="shared" si="71"/>
        <v>1.72</v>
      </c>
    </row>
    <row r="4604" spans="1:8" x14ac:dyDescent="0.3">
      <c r="A4604" s="401"/>
      <c r="B4604" s="709">
        <v>39715</v>
      </c>
      <c r="C4604" s="710" t="s">
        <v>12930</v>
      </c>
      <c r="D4604" s="709" t="s">
        <v>159</v>
      </c>
      <c r="E4604" s="709" t="s">
        <v>8432</v>
      </c>
      <c r="F4604" s="716">
        <v>2.81</v>
      </c>
      <c r="G4604" s="716">
        <v>2.13</v>
      </c>
      <c r="H4604" s="225">
        <f t="shared" si="71"/>
        <v>2.81</v>
      </c>
    </row>
    <row r="4605" spans="1:8" x14ac:dyDescent="0.3">
      <c r="A4605" s="401"/>
      <c r="B4605" s="709">
        <v>39716</v>
      </c>
      <c r="C4605" s="710" t="s">
        <v>12931</v>
      </c>
      <c r="D4605" s="709" t="s">
        <v>159</v>
      </c>
      <c r="E4605" s="709" t="s">
        <v>8432</v>
      </c>
      <c r="F4605" s="716">
        <v>2.13</v>
      </c>
      <c r="G4605" s="716">
        <v>1.61</v>
      </c>
      <c r="H4605" s="225">
        <f t="shared" si="71"/>
        <v>2.13</v>
      </c>
    </row>
    <row r="4606" spans="1:8" x14ac:dyDescent="0.3">
      <c r="A4606" s="401"/>
      <c r="B4606" s="709">
        <v>39718</v>
      </c>
      <c r="C4606" s="710" t="s">
        <v>12932</v>
      </c>
      <c r="D4606" s="709" t="s">
        <v>159</v>
      </c>
      <c r="E4606" s="709" t="s">
        <v>8432</v>
      </c>
      <c r="F4606" s="716">
        <v>3.63</v>
      </c>
      <c r="G4606" s="716">
        <v>2.75</v>
      </c>
      <c r="H4606" s="225">
        <f t="shared" si="71"/>
        <v>3.63</v>
      </c>
    </row>
    <row r="4607" spans="1:8" x14ac:dyDescent="0.3">
      <c r="A4607" s="401"/>
      <c r="B4607" s="709">
        <v>9813</v>
      </c>
      <c r="C4607" s="710" t="s">
        <v>12933</v>
      </c>
      <c r="D4607" s="709" t="s">
        <v>159</v>
      </c>
      <c r="E4607" s="709" t="s">
        <v>8438</v>
      </c>
      <c r="F4607" s="716">
        <v>5.7</v>
      </c>
      <c r="G4607" s="716">
        <v>5.74</v>
      </c>
      <c r="H4607" s="225">
        <f t="shared" si="71"/>
        <v>5.7</v>
      </c>
    </row>
    <row r="4608" spans="1:8" x14ac:dyDescent="0.3">
      <c r="A4608" s="401"/>
      <c r="B4608" s="709">
        <v>9815</v>
      </c>
      <c r="C4608" s="710" t="s">
        <v>12934</v>
      </c>
      <c r="D4608" s="709" t="s">
        <v>159</v>
      </c>
      <c r="E4608" s="709" t="s">
        <v>8432</v>
      </c>
      <c r="F4608" s="716">
        <v>11.25</v>
      </c>
      <c r="G4608" s="716">
        <v>11.33</v>
      </c>
      <c r="H4608" s="225">
        <f t="shared" si="71"/>
        <v>11.25</v>
      </c>
    </row>
    <row r="4609" spans="1:8" x14ac:dyDescent="0.3">
      <c r="A4609" s="401"/>
      <c r="B4609" s="709">
        <v>44543</v>
      </c>
      <c r="C4609" s="710" t="s">
        <v>12935</v>
      </c>
      <c r="D4609" s="709" t="s">
        <v>159</v>
      </c>
      <c r="E4609" s="709" t="s">
        <v>8432</v>
      </c>
      <c r="F4609" s="716">
        <v>5601.2</v>
      </c>
      <c r="G4609" s="716">
        <v>5640.5</v>
      </c>
      <c r="H4609" s="225">
        <f t="shared" si="71"/>
        <v>5601.2</v>
      </c>
    </row>
    <row r="4610" spans="1:8" x14ac:dyDescent="0.3">
      <c r="A4610" s="401"/>
      <c r="B4610" s="709">
        <v>44526</v>
      </c>
      <c r="C4610" s="710" t="s">
        <v>12936</v>
      </c>
      <c r="D4610" s="709" t="s">
        <v>159</v>
      </c>
      <c r="E4610" s="709" t="s">
        <v>8432</v>
      </c>
      <c r="F4610" s="716">
        <v>137.28</v>
      </c>
      <c r="G4610" s="716">
        <v>138.24</v>
      </c>
      <c r="H4610" s="225">
        <f t="shared" si="71"/>
        <v>137.28</v>
      </c>
    </row>
    <row r="4611" spans="1:8" x14ac:dyDescent="0.3">
      <c r="A4611" s="401"/>
      <c r="B4611" s="709">
        <v>45133</v>
      </c>
      <c r="C4611" s="710" t="s">
        <v>14870</v>
      </c>
      <c r="D4611" s="709" t="s">
        <v>159</v>
      </c>
      <c r="E4611" s="709" t="s">
        <v>8432</v>
      </c>
      <c r="F4611" s="716">
        <v>8404.8799999999992</v>
      </c>
      <c r="G4611" s="716">
        <v>8463.86</v>
      </c>
      <c r="H4611" s="225">
        <f t="shared" si="71"/>
        <v>8404.8799999999992</v>
      </c>
    </row>
    <row r="4612" spans="1:8" x14ac:dyDescent="0.3">
      <c r="A4612" s="401"/>
      <c r="B4612" s="709">
        <v>45132</v>
      </c>
      <c r="C4612" s="710" t="s">
        <v>14871</v>
      </c>
      <c r="D4612" s="709" t="s">
        <v>159</v>
      </c>
      <c r="E4612" s="709" t="s">
        <v>8432</v>
      </c>
      <c r="F4612" s="716">
        <v>11028.69</v>
      </c>
      <c r="G4612" s="716">
        <v>11106.09</v>
      </c>
      <c r="H4612" s="225">
        <f t="shared" si="71"/>
        <v>11028.69</v>
      </c>
    </row>
    <row r="4613" spans="1:8" x14ac:dyDescent="0.3">
      <c r="A4613" s="401"/>
      <c r="B4613" s="709">
        <v>44545</v>
      </c>
      <c r="C4613" s="710" t="s">
        <v>12937</v>
      </c>
      <c r="D4613" s="709" t="s">
        <v>159</v>
      </c>
      <c r="E4613" s="709" t="s">
        <v>8432</v>
      </c>
      <c r="F4613" s="716">
        <v>294.67</v>
      </c>
      <c r="G4613" s="716">
        <v>296.74</v>
      </c>
      <c r="H4613" s="225">
        <f t="shared" si="71"/>
        <v>294.67</v>
      </c>
    </row>
    <row r="4614" spans="1:8" x14ac:dyDescent="0.3">
      <c r="A4614" s="401"/>
      <c r="B4614" s="709">
        <v>45131</v>
      </c>
      <c r="C4614" s="710" t="s">
        <v>14872</v>
      </c>
      <c r="D4614" s="709" t="s">
        <v>159</v>
      </c>
      <c r="E4614" s="709" t="s">
        <v>8432</v>
      </c>
      <c r="F4614" s="716">
        <v>14280.7</v>
      </c>
      <c r="G4614" s="716">
        <v>14380.91</v>
      </c>
      <c r="H4614" s="225">
        <f t="shared" si="71"/>
        <v>14280.7</v>
      </c>
    </row>
    <row r="4615" spans="1:8" x14ac:dyDescent="0.3">
      <c r="A4615" s="401"/>
      <c r="B4615" s="709">
        <v>44525</v>
      </c>
      <c r="C4615" s="710" t="s">
        <v>12938</v>
      </c>
      <c r="D4615" s="709" t="s">
        <v>159</v>
      </c>
      <c r="E4615" s="709" t="s">
        <v>8432</v>
      </c>
      <c r="F4615" s="716">
        <v>5080.25</v>
      </c>
      <c r="G4615" s="716">
        <v>5115.8999999999996</v>
      </c>
      <c r="H4615" s="225">
        <f t="shared" si="71"/>
        <v>5080.25</v>
      </c>
    </row>
    <row r="4616" spans="1:8" x14ac:dyDescent="0.3">
      <c r="A4616" s="401"/>
      <c r="B4616" s="709">
        <v>44547</v>
      </c>
      <c r="C4616" s="710" t="s">
        <v>12939</v>
      </c>
      <c r="D4616" s="709" t="s">
        <v>159</v>
      </c>
      <c r="E4616" s="709" t="s">
        <v>8432</v>
      </c>
      <c r="F4616" s="716">
        <v>459.35</v>
      </c>
      <c r="G4616" s="716">
        <v>462.57</v>
      </c>
      <c r="H4616" s="225">
        <f t="shared" si="71"/>
        <v>459.35</v>
      </c>
    </row>
    <row r="4617" spans="1:8" x14ac:dyDescent="0.3">
      <c r="A4617" s="401"/>
      <c r="B4617" s="709">
        <v>44519</v>
      </c>
      <c r="C4617" s="710" t="s">
        <v>12940</v>
      </c>
      <c r="D4617" s="709" t="s">
        <v>159</v>
      </c>
      <c r="E4617" s="709" t="s">
        <v>8432</v>
      </c>
      <c r="F4617" s="716">
        <v>1125.53</v>
      </c>
      <c r="G4617" s="716">
        <v>1133.43</v>
      </c>
      <c r="H4617" s="225">
        <f t="shared" si="71"/>
        <v>1125.53</v>
      </c>
    </row>
    <row r="4618" spans="1:8" x14ac:dyDescent="0.3">
      <c r="A4618" s="401"/>
      <c r="B4618" s="709">
        <v>44520</v>
      </c>
      <c r="C4618" s="710" t="s">
        <v>12941</v>
      </c>
      <c r="D4618" s="709" t="s">
        <v>159</v>
      </c>
      <c r="E4618" s="709" t="s">
        <v>8432</v>
      </c>
      <c r="F4618" s="716">
        <v>1812.82</v>
      </c>
      <c r="G4618" s="716">
        <v>1825.54</v>
      </c>
      <c r="H4618" s="225">
        <f t="shared" si="71"/>
        <v>1812.82</v>
      </c>
    </row>
    <row r="4619" spans="1:8" x14ac:dyDescent="0.3">
      <c r="A4619" s="401"/>
      <c r="B4619" s="709">
        <v>44521</v>
      </c>
      <c r="C4619" s="710" t="s">
        <v>12942</v>
      </c>
      <c r="D4619" s="709" t="s">
        <v>159</v>
      </c>
      <c r="E4619" s="709" t="s">
        <v>8432</v>
      </c>
      <c r="F4619" s="716">
        <v>29.24</v>
      </c>
      <c r="G4619" s="716">
        <v>29.45</v>
      </c>
      <c r="H4619" s="225">
        <f t="shared" ref="H4619:H4682" si="72">IF(F4619&gt;0,F4619,G4619)</f>
        <v>29.24</v>
      </c>
    </row>
    <row r="4620" spans="1:8" x14ac:dyDescent="0.3">
      <c r="A4620" s="401"/>
      <c r="B4620" s="709">
        <v>44522</v>
      </c>
      <c r="C4620" s="710" t="s">
        <v>12943</v>
      </c>
      <c r="D4620" s="709" t="s">
        <v>159</v>
      </c>
      <c r="E4620" s="709" t="s">
        <v>8432</v>
      </c>
      <c r="F4620" s="716">
        <v>3182.64</v>
      </c>
      <c r="G4620" s="716">
        <v>3204.97</v>
      </c>
      <c r="H4620" s="225">
        <f t="shared" si="72"/>
        <v>3182.64</v>
      </c>
    </row>
    <row r="4621" spans="1:8" x14ac:dyDescent="0.3">
      <c r="A4621" s="401"/>
      <c r="B4621" s="709">
        <v>44523</v>
      </c>
      <c r="C4621" s="710" t="s">
        <v>12944</v>
      </c>
      <c r="D4621" s="709" t="s">
        <v>159</v>
      </c>
      <c r="E4621" s="709" t="s">
        <v>8432</v>
      </c>
      <c r="F4621" s="716">
        <v>4733.4799999999996</v>
      </c>
      <c r="G4621" s="716">
        <v>4766.7</v>
      </c>
      <c r="H4621" s="225">
        <f t="shared" si="72"/>
        <v>4733.4799999999996</v>
      </c>
    </row>
    <row r="4622" spans="1:8" x14ac:dyDescent="0.3">
      <c r="A4622" s="401"/>
      <c r="B4622" s="709">
        <v>44527</v>
      </c>
      <c r="C4622" s="710" t="s">
        <v>12945</v>
      </c>
      <c r="D4622" s="709" t="s">
        <v>159</v>
      </c>
      <c r="E4622" s="709" t="s">
        <v>8432</v>
      </c>
      <c r="F4622" s="716">
        <v>2373.7199999999998</v>
      </c>
      <c r="G4622" s="716">
        <v>2390.38</v>
      </c>
      <c r="H4622" s="225">
        <f t="shared" si="72"/>
        <v>2373.7199999999998</v>
      </c>
    </row>
    <row r="4623" spans="1:8" x14ac:dyDescent="0.3">
      <c r="A4623" s="401"/>
      <c r="B4623" s="709">
        <v>44524</v>
      </c>
      <c r="C4623" s="710" t="s">
        <v>12946</v>
      </c>
      <c r="D4623" s="709" t="s">
        <v>159</v>
      </c>
      <c r="E4623" s="709" t="s">
        <v>8432</v>
      </c>
      <c r="F4623" s="716">
        <v>65.400000000000006</v>
      </c>
      <c r="G4623" s="716">
        <v>65.86</v>
      </c>
      <c r="H4623" s="225">
        <f t="shared" si="72"/>
        <v>65.400000000000006</v>
      </c>
    </row>
    <row r="4624" spans="1:8" x14ac:dyDescent="0.3">
      <c r="A4624" s="401"/>
      <c r="B4624" s="709">
        <v>44542</v>
      </c>
      <c r="C4624" s="710" t="s">
        <v>12947</v>
      </c>
      <c r="D4624" s="709" t="s">
        <v>159</v>
      </c>
      <c r="E4624" s="709" t="s">
        <v>8432</v>
      </c>
      <c r="F4624" s="716">
        <v>3096.91</v>
      </c>
      <c r="G4624" s="716">
        <v>3118.64</v>
      </c>
      <c r="H4624" s="225">
        <f t="shared" si="72"/>
        <v>3096.91</v>
      </c>
    </row>
    <row r="4625" spans="1:8" x14ac:dyDescent="0.3">
      <c r="A4625" s="401"/>
      <c r="B4625" s="709">
        <v>9877</v>
      </c>
      <c r="C4625" s="710" t="s">
        <v>12948</v>
      </c>
      <c r="D4625" s="709" t="s">
        <v>159</v>
      </c>
      <c r="E4625" s="709" t="s">
        <v>8432</v>
      </c>
      <c r="F4625" s="716">
        <v>162.88</v>
      </c>
      <c r="G4625" s="716">
        <v>164.46</v>
      </c>
      <c r="H4625" s="225">
        <f t="shared" si="72"/>
        <v>162.88</v>
      </c>
    </row>
    <row r="4626" spans="1:8" x14ac:dyDescent="0.3">
      <c r="A4626" s="401"/>
      <c r="B4626" s="709">
        <v>9878</v>
      </c>
      <c r="C4626" s="710" t="s">
        <v>12949</v>
      </c>
      <c r="D4626" s="709" t="s">
        <v>159</v>
      </c>
      <c r="E4626" s="709" t="s">
        <v>8432</v>
      </c>
      <c r="F4626" s="716">
        <v>200.52</v>
      </c>
      <c r="G4626" s="716">
        <v>202.46</v>
      </c>
      <c r="H4626" s="225">
        <f t="shared" si="72"/>
        <v>200.52</v>
      </c>
    </row>
    <row r="4627" spans="1:8" x14ac:dyDescent="0.3">
      <c r="A4627" s="401"/>
      <c r="B4627" s="709">
        <v>41986</v>
      </c>
      <c r="C4627" s="710" t="s">
        <v>12950</v>
      </c>
      <c r="D4627" s="709" t="s">
        <v>159</v>
      </c>
      <c r="E4627" s="709" t="s">
        <v>8432</v>
      </c>
      <c r="F4627" s="716">
        <v>2802.21</v>
      </c>
      <c r="G4627" s="716">
        <v>3068.67</v>
      </c>
      <c r="H4627" s="225">
        <f t="shared" si="72"/>
        <v>2802.21</v>
      </c>
    </row>
    <row r="4628" spans="1:8" x14ac:dyDescent="0.3">
      <c r="A4628" s="401"/>
      <c r="B4628" s="709">
        <v>43422</v>
      </c>
      <c r="C4628" s="710" t="s">
        <v>12951</v>
      </c>
      <c r="D4628" s="709" t="s">
        <v>159</v>
      </c>
      <c r="E4628" s="709" t="s">
        <v>8432</v>
      </c>
      <c r="F4628" s="716">
        <v>3436.64</v>
      </c>
      <c r="G4628" s="716">
        <v>3763.43</v>
      </c>
      <c r="H4628" s="225">
        <f t="shared" si="72"/>
        <v>3436.64</v>
      </c>
    </row>
    <row r="4629" spans="1:8" x14ac:dyDescent="0.3">
      <c r="A4629" s="401"/>
      <c r="B4629" s="709">
        <v>41987</v>
      </c>
      <c r="C4629" s="710" t="s">
        <v>12952</v>
      </c>
      <c r="D4629" s="709" t="s">
        <v>159</v>
      </c>
      <c r="E4629" s="709" t="s">
        <v>8432</v>
      </c>
      <c r="F4629" s="716">
        <v>3983.35</v>
      </c>
      <c r="G4629" s="716">
        <v>4362.12</v>
      </c>
      <c r="H4629" s="225">
        <f t="shared" si="72"/>
        <v>3983.35</v>
      </c>
    </row>
    <row r="4630" spans="1:8" x14ac:dyDescent="0.3">
      <c r="A4630" s="401"/>
      <c r="B4630" s="709">
        <v>41988</v>
      </c>
      <c r="C4630" s="710" t="s">
        <v>12953</v>
      </c>
      <c r="D4630" s="709" t="s">
        <v>159</v>
      </c>
      <c r="E4630" s="709" t="s">
        <v>8432</v>
      </c>
      <c r="F4630" s="716">
        <v>5261.44</v>
      </c>
      <c r="G4630" s="716">
        <v>5761.75</v>
      </c>
      <c r="H4630" s="225">
        <f t="shared" si="72"/>
        <v>5261.44</v>
      </c>
    </row>
    <row r="4631" spans="1:8" x14ac:dyDescent="0.3">
      <c r="A4631" s="401"/>
      <c r="B4631" s="709">
        <v>41697</v>
      </c>
      <c r="C4631" s="710" t="s">
        <v>12954</v>
      </c>
      <c r="D4631" s="709" t="s">
        <v>159</v>
      </c>
      <c r="E4631" s="709" t="s">
        <v>8432</v>
      </c>
      <c r="F4631" s="716">
        <v>932.57</v>
      </c>
      <c r="G4631" s="716">
        <v>1021.25</v>
      </c>
      <c r="H4631" s="225">
        <f t="shared" si="72"/>
        <v>932.57</v>
      </c>
    </row>
    <row r="4632" spans="1:8" x14ac:dyDescent="0.3">
      <c r="A4632" s="401"/>
      <c r="B4632" s="709">
        <v>41985</v>
      </c>
      <c r="C4632" s="710" t="s">
        <v>12955</v>
      </c>
      <c r="D4632" s="709" t="s">
        <v>159</v>
      </c>
      <c r="E4632" s="709" t="s">
        <v>8432</v>
      </c>
      <c r="F4632" s="716">
        <v>1298.82</v>
      </c>
      <c r="G4632" s="716">
        <v>1422.33</v>
      </c>
      <c r="H4632" s="225">
        <f t="shared" si="72"/>
        <v>1298.82</v>
      </c>
    </row>
    <row r="4633" spans="1:8" x14ac:dyDescent="0.3">
      <c r="A4633" s="401"/>
      <c r="B4633" s="709">
        <v>41699</v>
      </c>
      <c r="C4633" s="710" t="s">
        <v>12956</v>
      </c>
      <c r="D4633" s="709" t="s">
        <v>159</v>
      </c>
      <c r="E4633" s="709" t="s">
        <v>8432</v>
      </c>
      <c r="F4633" s="716">
        <v>1849.46</v>
      </c>
      <c r="G4633" s="716">
        <v>2025.33</v>
      </c>
      <c r="H4633" s="225">
        <f t="shared" si="72"/>
        <v>1849.46</v>
      </c>
    </row>
    <row r="4634" spans="1:8" x14ac:dyDescent="0.3">
      <c r="A4634" s="401"/>
      <c r="B4634" s="709">
        <v>38053</v>
      </c>
      <c r="C4634" s="710" t="s">
        <v>12957</v>
      </c>
      <c r="D4634" s="709" t="s">
        <v>159</v>
      </c>
      <c r="E4634" s="709" t="s">
        <v>8432</v>
      </c>
      <c r="F4634" s="716"/>
      <c r="G4634" s="716">
        <v>22.1</v>
      </c>
      <c r="H4634" s="225">
        <f t="shared" si="72"/>
        <v>22.1</v>
      </c>
    </row>
    <row r="4635" spans="1:8" x14ac:dyDescent="0.3">
      <c r="A4635" s="401"/>
      <c r="B4635" s="709">
        <v>38054</v>
      </c>
      <c r="C4635" s="710" t="s">
        <v>12958</v>
      </c>
      <c r="D4635" s="709" t="s">
        <v>159</v>
      </c>
      <c r="E4635" s="709" t="s">
        <v>8432</v>
      </c>
      <c r="F4635" s="716"/>
      <c r="G4635" s="716">
        <v>37.99</v>
      </c>
      <c r="H4635" s="225">
        <f t="shared" si="72"/>
        <v>37.99</v>
      </c>
    </row>
    <row r="4636" spans="1:8" x14ac:dyDescent="0.3">
      <c r="A4636" s="401"/>
      <c r="B4636" s="709">
        <v>38052</v>
      </c>
      <c r="C4636" s="710" t="s">
        <v>12959</v>
      </c>
      <c r="D4636" s="709" t="s">
        <v>159</v>
      </c>
      <c r="E4636" s="709" t="s">
        <v>8438</v>
      </c>
      <c r="F4636" s="716"/>
      <c r="G4636" s="716">
        <v>10.7</v>
      </c>
      <c r="H4636" s="225">
        <f t="shared" si="72"/>
        <v>10.7</v>
      </c>
    </row>
    <row r="4637" spans="1:8" x14ac:dyDescent="0.3">
      <c r="A4637" s="401"/>
      <c r="B4637" s="709">
        <v>38051</v>
      </c>
      <c r="C4637" s="710" t="s">
        <v>12960</v>
      </c>
      <c r="D4637" s="709" t="s">
        <v>159</v>
      </c>
      <c r="E4637" s="709" t="s">
        <v>8432</v>
      </c>
      <c r="F4637" s="716"/>
      <c r="G4637" s="716">
        <v>6.67</v>
      </c>
      <c r="H4637" s="225">
        <f t="shared" si="72"/>
        <v>6.67</v>
      </c>
    </row>
    <row r="4638" spans="1:8" x14ac:dyDescent="0.3">
      <c r="A4638" s="401"/>
      <c r="B4638" s="709">
        <v>38787</v>
      </c>
      <c r="C4638" s="710" t="s">
        <v>12961</v>
      </c>
      <c r="D4638" s="709" t="s">
        <v>159</v>
      </c>
      <c r="E4638" s="709" t="s">
        <v>8438</v>
      </c>
      <c r="F4638" s="716">
        <v>7.49</v>
      </c>
      <c r="G4638" s="716">
        <v>5.2</v>
      </c>
      <c r="H4638" s="225">
        <f t="shared" si="72"/>
        <v>7.49</v>
      </c>
    </row>
    <row r="4639" spans="1:8" x14ac:dyDescent="0.3">
      <c r="A4639" s="401"/>
      <c r="B4639" s="709">
        <v>38825</v>
      </c>
      <c r="C4639" s="710" t="s">
        <v>12962</v>
      </c>
      <c r="D4639" s="709" t="s">
        <v>159</v>
      </c>
      <c r="E4639" s="709" t="s">
        <v>8432</v>
      </c>
      <c r="F4639" s="716">
        <v>9.68</v>
      </c>
      <c r="G4639" s="716">
        <v>6.72</v>
      </c>
      <c r="H4639" s="225">
        <f t="shared" si="72"/>
        <v>9.68</v>
      </c>
    </row>
    <row r="4640" spans="1:8" x14ac:dyDescent="0.3">
      <c r="A4640" s="401"/>
      <c r="B4640" s="709">
        <v>38826</v>
      </c>
      <c r="C4640" s="710" t="s">
        <v>12963</v>
      </c>
      <c r="D4640" s="709" t="s">
        <v>159</v>
      </c>
      <c r="E4640" s="709" t="s">
        <v>8432</v>
      </c>
      <c r="F4640" s="716">
        <v>13.77</v>
      </c>
      <c r="G4640" s="716">
        <v>9.56</v>
      </c>
      <c r="H4640" s="225">
        <f t="shared" si="72"/>
        <v>13.77</v>
      </c>
    </row>
    <row r="4641" spans="1:8" x14ac:dyDescent="0.3">
      <c r="A4641" s="401"/>
      <c r="B4641" s="709">
        <v>38827</v>
      </c>
      <c r="C4641" s="710" t="s">
        <v>12964</v>
      </c>
      <c r="D4641" s="709" t="s">
        <v>159</v>
      </c>
      <c r="E4641" s="709" t="s">
        <v>8432</v>
      </c>
      <c r="F4641" s="716">
        <v>22.52</v>
      </c>
      <c r="G4641" s="716">
        <v>15.63</v>
      </c>
      <c r="H4641" s="225">
        <f t="shared" si="72"/>
        <v>22.52</v>
      </c>
    </row>
    <row r="4642" spans="1:8" x14ac:dyDescent="0.3">
      <c r="A4642" s="401"/>
      <c r="B4642" s="709">
        <v>38828</v>
      </c>
      <c r="C4642" s="710" t="s">
        <v>12965</v>
      </c>
      <c r="D4642" s="709" t="s">
        <v>159</v>
      </c>
      <c r="E4642" s="709" t="s">
        <v>8432</v>
      </c>
      <c r="F4642" s="716">
        <v>14.43</v>
      </c>
      <c r="G4642" s="716">
        <v>10.01</v>
      </c>
      <c r="H4642" s="225">
        <f t="shared" si="72"/>
        <v>14.43</v>
      </c>
    </row>
    <row r="4643" spans="1:8" x14ac:dyDescent="0.3">
      <c r="A4643" s="401"/>
      <c r="B4643" s="709">
        <v>38829</v>
      </c>
      <c r="C4643" s="710" t="s">
        <v>12966</v>
      </c>
      <c r="D4643" s="709" t="s">
        <v>159</v>
      </c>
      <c r="E4643" s="709" t="s">
        <v>8432</v>
      </c>
      <c r="F4643" s="716">
        <v>23.63</v>
      </c>
      <c r="G4643" s="716">
        <v>16.399999999999999</v>
      </c>
      <c r="H4643" s="225">
        <f t="shared" si="72"/>
        <v>23.63</v>
      </c>
    </row>
    <row r="4644" spans="1:8" x14ac:dyDescent="0.3">
      <c r="A4644" s="401"/>
      <c r="B4644" s="709">
        <v>38830</v>
      </c>
      <c r="C4644" s="710" t="s">
        <v>12967</v>
      </c>
      <c r="D4644" s="709" t="s">
        <v>159</v>
      </c>
      <c r="E4644" s="709" t="s">
        <v>8432</v>
      </c>
      <c r="F4644" s="716">
        <v>32.72</v>
      </c>
      <c r="G4644" s="716">
        <v>22.71</v>
      </c>
      <c r="H4644" s="225">
        <f t="shared" si="72"/>
        <v>32.72</v>
      </c>
    </row>
    <row r="4645" spans="1:8" x14ac:dyDescent="0.3">
      <c r="A4645" s="401"/>
      <c r="B4645" s="709">
        <v>38831</v>
      </c>
      <c r="C4645" s="710" t="s">
        <v>12968</v>
      </c>
      <c r="D4645" s="709" t="s">
        <v>159</v>
      </c>
      <c r="E4645" s="709" t="s">
        <v>8432</v>
      </c>
      <c r="F4645" s="716">
        <v>45.63</v>
      </c>
      <c r="G4645" s="716">
        <v>31.67</v>
      </c>
      <c r="H4645" s="225">
        <f t="shared" si="72"/>
        <v>45.63</v>
      </c>
    </row>
    <row r="4646" spans="1:8" x14ac:dyDescent="0.3">
      <c r="A4646" s="401"/>
      <c r="B4646" s="709">
        <v>36274</v>
      </c>
      <c r="C4646" s="710" t="s">
        <v>12969</v>
      </c>
      <c r="D4646" s="709" t="s">
        <v>159</v>
      </c>
      <c r="E4646" s="709" t="s">
        <v>8438</v>
      </c>
      <c r="F4646" s="716">
        <v>10.4</v>
      </c>
      <c r="G4646" s="716">
        <v>11.66</v>
      </c>
      <c r="H4646" s="225">
        <f t="shared" si="72"/>
        <v>10.4</v>
      </c>
    </row>
    <row r="4647" spans="1:8" x14ac:dyDescent="0.3">
      <c r="A4647" s="401"/>
      <c r="B4647" s="709">
        <v>36278</v>
      </c>
      <c r="C4647" s="710" t="s">
        <v>12970</v>
      </c>
      <c r="D4647" s="709" t="s">
        <v>159</v>
      </c>
      <c r="E4647" s="709" t="s">
        <v>8432</v>
      </c>
      <c r="F4647" s="716">
        <v>14.1</v>
      </c>
      <c r="G4647" s="716">
        <v>15.81</v>
      </c>
      <c r="H4647" s="225">
        <f t="shared" si="72"/>
        <v>14.1</v>
      </c>
    </row>
    <row r="4648" spans="1:8" x14ac:dyDescent="0.3">
      <c r="A4648" s="401"/>
      <c r="B4648" s="709">
        <v>38977</v>
      </c>
      <c r="C4648" s="710" t="s">
        <v>12971</v>
      </c>
      <c r="D4648" s="709" t="s">
        <v>159</v>
      </c>
      <c r="E4648" s="709" t="s">
        <v>8432</v>
      </c>
      <c r="F4648" s="716">
        <v>137.97</v>
      </c>
      <c r="G4648" s="716">
        <v>154.69</v>
      </c>
      <c r="H4648" s="225">
        <f t="shared" si="72"/>
        <v>137.97</v>
      </c>
    </row>
    <row r="4649" spans="1:8" x14ac:dyDescent="0.3">
      <c r="A4649" s="401"/>
      <c r="B4649" s="709">
        <v>38971</v>
      </c>
      <c r="C4649" s="710" t="s">
        <v>12972</v>
      </c>
      <c r="D4649" s="709" t="s">
        <v>159</v>
      </c>
      <c r="E4649" s="709" t="s">
        <v>8432</v>
      </c>
      <c r="F4649" s="716">
        <v>11.58</v>
      </c>
      <c r="G4649" s="716">
        <v>12.98</v>
      </c>
      <c r="H4649" s="225">
        <f t="shared" si="72"/>
        <v>11.58</v>
      </c>
    </row>
    <row r="4650" spans="1:8" x14ac:dyDescent="0.3">
      <c r="A4650" s="401"/>
      <c r="B4650" s="709">
        <v>38972</v>
      </c>
      <c r="C4650" s="710" t="s">
        <v>12973</v>
      </c>
      <c r="D4650" s="709" t="s">
        <v>159</v>
      </c>
      <c r="E4650" s="709" t="s">
        <v>8432</v>
      </c>
      <c r="F4650" s="716">
        <v>15.61</v>
      </c>
      <c r="G4650" s="716">
        <v>17.5</v>
      </c>
      <c r="H4650" s="225">
        <f t="shared" si="72"/>
        <v>15.61</v>
      </c>
    </row>
    <row r="4651" spans="1:8" x14ac:dyDescent="0.3">
      <c r="A4651" s="401"/>
      <c r="B4651" s="709">
        <v>38973</v>
      </c>
      <c r="C4651" s="710" t="s">
        <v>12974</v>
      </c>
      <c r="D4651" s="709" t="s">
        <v>159</v>
      </c>
      <c r="E4651" s="709" t="s">
        <v>8432</v>
      </c>
      <c r="F4651" s="716">
        <v>25.8</v>
      </c>
      <c r="G4651" s="716">
        <v>28.92</v>
      </c>
      <c r="H4651" s="225">
        <f t="shared" si="72"/>
        <v>25.8</v>
      </c>
    </row>
    <row r="4652" spans="1:8" x14ac:dyDescent="0.3">
      <c r="A4652" s="401"/>
      <c r="B4652" s="709">
        <v>38974</v>
      </c>
      <c r="C4652" s="710" t="s">
        <v>12975</v>
      </c>
      <c r="D4652" s="709" t="s">
        <v>159</v>
      </c>
      <c r="E4652" s="709" t="s">
        <v>8432</v>
      </c>
      <c r="F4652" s="716">
        <v>41.89</v>
      </c>
      <c r="G4652" s="716">
        <v>46.97</v>
      </c>
      <c r="H4652" s="225">
        <f t="shared" si="72"/>
        <v>41.89</v>
      </c>
    </row>
    <row r="4653" spans="1:8" x14ac:dyDescent="0.3">
      <c r="A4653" s="401"/>
      <c r="B4653" s="709">
        <v>38975</v>
      </c>
      <c r="C4653" s="710" t="s">
        <v>12976</v>
      </c>
      <c r="D4653" s="709" t="s">
        <v>159</v>
      </c>
      <c r="E4653" s="709" t="s">
        <v>8432</v>
      </c>
      <c r="F4653" s="716">
        <v>53.72</v>
      </c>
      <c r="G4653" s="716">
        <v>60.23</v>
      </c>
      <c r="H4653" s="225">
        <f t="shared" si="72"/>
        <v>53.72</v>
      </c>
    </row>
    <row r="4654" spans="1:8" x14ac:dyDescent="0.3">
      <c r="A4654" s="401"/>
      <c r="B4654" s="709">
        <v>38976</v>
      </c>
      <c r="C4654" s="710" t="s">
        <v>12977</v>
      </c>
      <c r="D4654" s="709" t="s">
        <v>159</v>
      </c>
      <c r="E4654" s="709" t="s">
        <v>8432</v>
      </c>
      <c r="F4654" s="716">
        <v>92.34</v>
      </c>
      <c r="G4654" s="716">
        <v>103.53</v>
      </c>
      <c r="H4654" s="225">
        <f t="shared" si="72"/>
        <v>92.34</v>
      </c>
    </row>
    <row r="4655" spans="1:8" x14ac:dyDescent="0.3">
      <c r="A4655" s="401"/>
      <c r="B4655" s="709">
        <v>44176</v>
      </c>
      <c r="C4655" s="710" t="s">
        <v>12978</v>
      </c>
      <c r="D4655" s="709" t="s">
        <v>159</v>
      </c>
      <c r="E4655" s="709" t="s">
        <v>8432</v>
      </c>
      <c r="F4655" s="716">
        <v>21.22</v>
      </c>
      <c r="G4655" s="716">
        <v>23.79</v>
      </c>
      <c r="H4655" s="225">
        <f t="shared" si="72"/>
        <v>21.22</v>
      </c>
    </row>
    <row r="4656" spans="1:8" x14ac:dyDescent="0.3">
      <c r="A4656" s="401"/>
      <c r="B4656" s="709">
        <v>38986</v>
      </c>
      <c r="C4656" s="710" t="s">
        <v>12979</v>
      </c>
      <c r="D4656" s="709" t="s">
        <v>159</v>
      </c>
      <c r="E4656" s="709" t="s">
        <v>8432</v>
      </c>
      <c r="F4656" s="716">
        <v>278.75</v>
      </c>
      <c r="G4656" s="716">
        <v>312.52999999999997</v>
      </c>
      <c r="H4656" s="225">
        <f t="shared" si="72"/>
        <v>278.75</v>
      </c>
    </row>
    <row r="4657" spans="1:8" x14ac:dyDescent="0.3">
      <c r="A4657" s="401"/>
      <c r="B4657" s="709">
        <v>38978</v>
      </c>
      <c r="C4657" s="710" t="s">
        <v>12980</v>
      </c>
      <c r="D4657" s="709" t="s">
        <v>159</v>
      </c>
      <c r="E4657" s="709" t="s">
        <v>8432</v>
      </c>
      <c r="F4657" s="716">
        <v>11.43</v>
      </c>
      <c r="G4657" s="716">
        <v>12.82</v>
      </c>
      <c r="H4657" s="225">
        <f t="shared" si="72"/>
        <v>11.43</v>
      </c>
    </row>
    <row r="4658" spans="1:8" x14ac:dyDescent="0.3">
      <c r="A4658" s="401"/>
      <c r="B4658" s="709">
        <v>38979</v>
      </c>
      <c r="C4658" s="710" t="s">
        <v>12981</v>
      </c>
      <c r="D4658" s="709" t="s">
        <v>159</v>
      </c>
      <c r="E4658" s="709" t="s">
        <v>8432</v>
      </c>
      <c r="F4658" s="716">
        <v>15.81</v>
      </c>
      <c r="G4658" s="716">
        <v>17.72</v>
      </c>
      <c r="H4658" s="225">
        <f t="shared" si="72"/>
        <v>15.81</v>
      </c>
    </row>
    <row r="4659" spans="1:8" x14ac:dyDescent="0.3">
      <c r="A4659" s="401"/>
      <c r="B4659" s="709">
        <v>38980</v>
      </c>
      <c r="C4659" s="710" t="s">
        <v>12982</v>
      </c>
      <c r="D4659" s="709" t="s">
        <v>159</v>
      </c>
      <c r="E4659" s="709" t="s">
        <v>8432</v>
      </c>
      <c r="F4659" s="716">
        <v>21.16</v>
      </c>
      <c r="G4659" s="716">
        <v>23.72</v>
      </c>
      <c r="H4659" s="225">
        <f t="shared" si="72"/>
        <v>21.16</v>
      </c>
    </row>
    <row r="4660" spans="1:8" x14ac:dyDescent="0.3">
      <c r="A4660" s="401"/>
      <c r="B4660" s="709">
        <v>38981</v>
      </c>
      <c r="C4660" s="710" t="s">
        <v>12983</v>
      </c>
      <c r="D4660" s="709" t="s">
        <v>159</v>
      </c>
      <c r="E4660" s="709" t="s">
        <v>8432</v>
      </c>
      <c r="F4660" s="716">
        <v>30.53</v>
      </c>
      <c r="G4660" s="716">
        <v>34.229999999999997</v>
      </c>
      <c r="H4660" s="225">
        <f t="shared" si="72"/>
        <v>30.53</v>
      </c>
    </row>
    <row r="4661" spans="1:8" x14ac:dyDescent="0.3">
      <c r="A4661" s="401"/>
      <c r="B4661" s="709">
        <v>38982</v>
      </c>
      <c r="C4661" s="710" t="s">
        <v>12984</v>
      </c>
      <c r="D4661" s="709" t="s">
        <v>159</v>
      </c>
      <c r="E4661" s="709" t="s">
        <v>8432</v>
      </c>
      <c r="F4661" s="716">
        <v>48.24</v>
      </c>
      <c r="G4661" s="716">
        <v>54.08</v>
      </c>
      <c r="H4661" s="225">
        <f t="shared" si="72"/>
        <v>48.24</v>
      </c>
    </row>
    <row r="4662" spans="1:8" x14ac:dyDescent="0.3">
      <c r="A4662" s="401"/>
      <c r="B4662" s="709">
        <v>38983</v>
      </c>
      <c r="C4662" s="710" t="s">
        <v>12985</v>
      </c>
      <c r="D4662" s="709" t="s">
        <v>159</v>
      </c>
      <c r="E4662" s="709" t="s">
        <v>8432</v>
      </c>
      <c r="F4662" s="716">
        <v>84.88</v>
      </c>
      <c r="G4662" s="716">
        <v>95.16</v>
      </c>
      <c r="H4662" s="225">
        <f t="shared" si="72"/>
        <v>84.88</v>
      </c>
    </row>
    <row r="4663" spans="1:8" x14ac:dyDescent="0.3">
      <c r="A4663" s="401"/>
      <c r="B4663" s="709">
        <v>38984</v>
      </c>
      <c r="C4663" s="710" t="s">
        <v>12986</v>
      </c>
      <c r="D4663" s="709" t="s">
        <v>159</v>
      </c>
      <c r="E4663" s="709" t="s">
        <v>8432</v>
      </c>
      <c r="F4663" s="716">
        <v>116.68</v>
      </c>
      <c r="G4663" s="716">
        <v>130.81</v>
      </c>
      <c r="H4663" s="225">
        <f t="shared" si="72"/>
        <v>116.68</v>
      </c>
    </row>
    <row r="4664" spans="1:8" x14ac:dyDescent="0.3">
      <c r="A4664" s="401"/>
      <c r="B4664" s="709">
        <v>38985</v>
      </c>
      <c r="C4664" s="710" t="s">
        <v>12987</v>
      </c>
      <c r="D4664" s="709" t="s">
        <v>159</v>
      </c>
      <c r="E4664" s="709" t="s">
        <v>8432</v>
      </c>
      <c r="F4664" s="716">
        <v>200.6</v>
      </c>
      <c r="G4664" s="716">
        <v>224.9</v>
      </c>
      <c r="H4664" s="225">
        <f t="shared" si="72"/>
        <v>200.6</v>
      </c>
    </row>
    <row r="4665" spans="1:8" x14ac:dyDescent="0.3">
      <c r="A4665" s="401"/>
      <c r="B4665" s="709">
        <v>38032</v>
      </c>
      <c r="C4665" s="710" t="s">
        <v>12988</v>
      </c>
      <c r="D4665" s="709" t="s">
        <v>159</v>
      </c>
      <c r="E4665" s="709" t="s">
        <v>8432</v>
      </c>
      <c r="F4665" s="716">
        <v>77.569999999999993</v>
      </c>
      <c r="G4665" s="716">
        <v>78.319999999999993</v>
      </c>
      <c r="H4665" s="225">
        <f t="shared" si="72"/>
        <v>77.569999999999993</v>
      </c>
    </row>
    <row r="4666" spans="1:8" x14ac:dyDescent="0.3">
      <c r="A4666" s="401"/>
      <c r="B4666" s="709">
        <v>38033</v>
      </c>
      <c r="C4666" s="710" t="s">
        <v>12989</v>
      </c>
      <c r="D4666" s="709" t="s">
        <v>159</v>
      </c>
      <c r="E4666" s="709" t="s">
        <v>8432</v>
      </c>
      <c r="F4666" s="716">
        <v>131.85</v>
      </c>
      <c r="G4666" s="716">
        <v>133.13</v>
      </c>
      <c r="H4666" s="225">
        <f t="shared" si="72"/>
        <v>131.85</v>
      </c>
    </row>
    <row r="4667" spans="1:8" x14ac:dyDescent="0.3">
      <c r="A4667" s="401"/>
      <c r="B4667" s="709">
        <v>38034</v>
      </c>
      <c r="C4667" s="710" t="s">
        <v>12990</v>
      </c>
      <c r="D4667" s="709" t="s">
        <v>159</v>
      </c>
      <c r="E4667" s="709" t="s">
        <v>8432</v>
      </c>
      <c r="F4667" s="716">
        <v>206.55</v>
      </c>
      <c r="G4667" s="716">
        <v>208.55</v>
      </c>
      <c r="H4667" s="225">
        <f t="shared" si="72"/>
        <v>206.55</v>
      </c>
    </row>
    <row r="4668" spans="1:8" x14ac:dyDescent="0.3">
      <c r="A4668" s="401"/>
      <c r="B4668" s="709">
        <v>38035</v>
      </c>
      <c r="C4668" s="710" t="s">
        <v>12991</v>
      </c>
      <c r="D4668" s="709" t="s">
        <v>159</v>
      </c>
      <c r="E4668" s="709" t="s">
        <v>8432</v>
      </c>
      <c r="F4668" s="716">
        <v>303.86</v>
      </c>
      <c r="G4668" s="716">
        <v>306.8</v>
      </c>
      <c r="H4668" s="225">
        <f t="shared" si="72"/>
        <v>303.86</v>
      </c>
    </row>
    <row r="4669" spans="1:8" x14ac:dyDescent="0.3">
      <c r="A4669" s="401"/>
      <c r="B4669" s="709">
        <v>38036</v>
      </c>
      <c r="C4669" s="710" t="s">
        <v>12992</v>
      </c>
      <c r="D4669" s="709" t="s">
        <v>159</v>
      </c>
      <c r="E4669" s="709" t="s">
        <v>8432</v>
      </c>
      <c r="F4669" s="716">
        <v>409.34</v>
      </c>
      <c r="G4669" s="716">
        <v>413.3</v>
      </c>
      <c r="H4669" s="225">
        <f t="shared" si="72"/>
        <v>409.34</v>
      </c>
    </row>
    <row r="4670" spans="1:8" x14ac:dyDescent="0.3">
      <c r="A4670" s="401"/>
      <c r="B4670" s="709">
        <v>38037</v>
      </c>
      <c r="C4670" s="710" t="s">
        <v>12993</v>
      </c>
      <c r="D4670" s="709" t="s">
        <v>159</v>
      </c>
      <c r="E4670" s="709" t="s">
        <v>8432</v>
      </c>
      <c r="F4670" s="716">
        <v>540.67999999999995</v>
      </c>
      <c r="G4670" s="716">
        <v>545.91</v>
      </c>
      <c r="H4670" s="225">
        <f t="shared" si="72"/>
        <v>540.67999999999995</v>
      </c>
    </row>
    <row r="4671" spans="1:8" x14ac:dyDescent="0.3">
      <c r="A4671" s="401"/>
      <c r="B4671" s="709">
        <v>9850</v>
      </c>
      <c r="C4671" s="710" t="s">
        <v>12994</v>
      </c>
      <c r="D4671" s="709" t="s">
        <v>159</v>
      </c>
      <c r="E4671" s="709" t="s">
        <v>8438</v>
      </c>
      <c r="F4671" s="716"/>
      <c r="G4671" s="716">
        <v>111.56</v>
      </c>
      <c r="H4671" s="225">
        <f t="shared" si="72"/>
        <v>111.56</v>
      </c>
    </row>
    <row r="4672" spans="1:8" x14ac:dyDescent="0.3">
      <c r="A4672" s="401"/>
      <c r="B4672" s="709">
        <v>9853</v>
      </c>
      <c r="C4672" s="710" t="s">
        <v>12995</v>
      </c>
      <c r="D4672" s="709" t="s">
        <v>159</v>
      </c>
      <c r="E4672" s="709" t="s">
        <v>8432</v>
      </c>
      <c r="F4672" s="716"/>
      <c r="G4672" s="716">
        <v>198.38</v>
      </c>
      <c r="H4672" s="225">
        <f t="shared" si="72"/>
        <v>198.38</v>
      </c>
    </row>
    <row r="4673" spans="1:8" x14ac:dyDescent="0.3">
      <c r="A4673" s="401"/>
      <c r="B4673" s="709">
        <v>9854</v>
      </c>
      <c r="C4673" s="710" t="s">
        <v>12996</v>
      </c>
      <c r="D4673" s="709" t="s">
        <v>159</v>
      </c>
      <c r="E4673" s="709" t="s">
        <v>8432</v>
      </c>
      <c r="F4673" s="716"/>
      <c r="G4673" s="716">
        <v>86.92</v>
      </c>
      <c r="H4673" s="225">
        <f t="shared" si="72"/>
        <v>86.92</v>
      </c>
    </row>
    <row r="4674" spans="1:8" x14ac:dyDescent="0.3">
      <c r="A4674" s="401"/>
      <c r="B4674" s="709">
        <v>9851</v>
      </c>
      <c r="C4674" s="710" t="s">
        <v>12997</v>
      </c>
      <c r="D4674" s="709" t="s">
        <v>159</v>
      </c>
      <c r="E4674" s="709" t="s">
        <v>8432</v>
      </c>
      <c r="F4674" s="716"/>
      <c r="G4674" s="716">
        <v>150.72</v>
      </c>
      <c r="H4674" s="225">
        <f t="shared" si="72"/>
        <v>150.72</v>
      </c>
    </row>
    <row r="4675" spans="1:8" x14ac:dyDescent="0.3">
      <c r="A4675" s="401"/>
      <c r="B4675" s="709">
        <v>9825</v>
      </c>
      <c r="C4675" s="710" t="s">
        <v>12998</v>
      </c>
      <c r="D4675" s="709" t="s">
        <v>159</v>
      </c>
      <c r="E4675" s="709" t="s">
        <v>8432</v>
      </c>
      <c r="F4675" s="716"/>
      <c r="G4675" s="716">
        <v>51.17</v>
      </c>
      <c r="H4675" s="225">
        <f t="shared" si="72"/>
        <v>51.17</v>
      </c>
    </row>
    <row r="4676" spans="1:8" x14ac:dyDescent="0.3">
      <c r="A4676" s="401"/>
      <c r="B4676" s="709">
        <v>9828</v>
      </c>
      <c r="C4676" s="710" t="s">
        <v>12999</v>
      </c>
      <c r="D4676" s="709" t="s">
        <v>159</v>
      </c>
      <c r="E4676" s="709" t="s">
        <v>8432</v>
      </c>
      <c r="F4676" s="716"/>
      <c r="G4676" s="716">
        <v>137.72</v>
      </c>
      <c r="H4676" s="225">
        <f t="shared" si="72"/>
        <v>137.72</v>
      </c>
    </row>
    <row r="4677" spans="1:8" x14ac:dyDescent="0.3">
      <c r="A4677" s="401"/>
      <c r="B4677" s="709">
        <v>9829</v>
      </c>
      <c r="C4677" s="710" t="s">
        <v>13000</v>
      </c>
      <c r="D4677" s="709" t="s">
        <v>159</v>
      </c>
      <c r="E4677" s="709" t="s">
        <v>8432</v>
      </c>
      <c r="F4677" s="716"/>
      <c r="G4677" s="716">
        <v>233.39</v>
      </c>
      <c r="H4677" s="225">
        <f t="shared" si="72"/>
        <v>233.39</v>
      </c>
    </row>
    <row r="4678" spans="1:8" x14ac:dyDescent="0.3">
      <c r="A4678" s="401"/>
      <c r="B4678" s="709">
        <v>9826</v>
      </c>
      <c r="C4678" s="710" t="s">
        <v>13001</v>
      </c>
      <c r="D4678" s="709" t="s">
        <v>159</v>
      </c>
      <c r="E4678" s="709" t="s">
        <v>8432</v>
      </c>
      <c r="F4678" s="716"/>
      <c r="G4678" s="716">
        <v>355.31</v>
      </c>
      <c r="H4678" s="225">
        <f t="shared" si="72"/>
        <v>355.31</v>
      </c>
    </row>
    <row r="4679" spans="1:8" x14ac:dyDescent="0.3">
      <c r="A4679" s="401"/>
      <c r="B4679" s="709">
        <v>9827</v>
      </c>
      <c r="C4679" s="710" t="s">
        <v>13002</v>
      </c>
      <c r="D4679" s="709" t="s">
        <v>159</v>
      </c>
      <c r="E4679" s="709" t="s">
        <v>8432</v>
      </c>
      <c r="F4679" s="716"/>
      <c r="G4679" s="716">
        <v>504.54</v>
      </c>
      <c r="H4679" s="225">
        <f t="shared" si="72"/>
        <v>504.54</v>
      </c>
    </row>
    <row r="4680" spans="1:8" x14ac:dyDescent="0.3">
      <c r="A4680" s="401"/>
      <c r="B4680" s="709">
        <v>36374</v>
      </c>
      <c r="C4680" s="710" t="s">
        <v>13003</v>
      </c>
      <c r="D4680" s="709" t="s">
        <v>159</v>
      </c>
      <c r="E4680" s="709" t="s">
        <v>8432</v>
      </c>
      <c r="F4680" s="716"/>
      <c r="G4680" s="716">
        <v>61.33</v>
      </c>
      <c r="H4680" s="225">
        <f t="shared" si="72"/>
        <v>61.33</v>
      </c>
    </row>
    <row r="4681" spans="1:8" x14ac:dyDescent="0.3">
      <c r="A4681" s="401"/>
      <c r="B4681" s="709">
        <v>36084</v>
      </c>
      <c r="C4681" s="710" t="s">
        <v>13004</v>
      </c>
      <c r="D4681" s="709" t="s">
        <v>159</v>
      </c>
      <c r="E4681" s="709" t="s">
        <v>8438</v>
      </c>
      <c r="F4681" s="716"/>
      <c r="G4681" s="716">
        <v>18.170000000000002</v>
      </c>
      <c r="H4681" s="225">
        <f t="shared" si="72"/>
        <v>18.170000000000002</v>
      </c>
    </row>
    <row r="4682" spans="1:8" x14ac:dyDescent="0.3">
      <c r="A4682" s="401"/>
      <c r="B4682" s="709">
        <v>36373</v>
      </c>
      <c r="C4682" s="710" t="s">
        <v>13005</v>
      </c>
      <c r="D4682" s="709" t="s">
        <v>159</v>
      </c>
      <c r="E4682" s="709" t="s">
        <v>8432</v>
      </c>
      <c r="F4682" s="716"/>
      <c r="G4682" s="716">
        <v>37.729999999999997</v>
      </c>
      <c r="H4682" s="225">
        <f t="shared" si="72"/>
        <v>37.729999999999997</v>
      </c>
    </row>
    <row r="4683" spans="1:8" x14ac:dyDescent="0.3">
      <c r="A4683" s="401"/>
      <c r="B4683" s="709">
        <v>36377</v>
      </c>
      <c r="C4683" s="710" t="s">
        <v>13006</v>
      </c>
      <c r="D4683" s="709" t="s">
        <v>159</v>
      </c>
      <c r="E4683" s="709" t="s">
        <v>8432</v>
      </c>
      <c r="F4683" s="716"/>
      <c r="G4683" s="716">
        <v>73.569999999999993</v>
      </c>
      <c r="H4683" s="225">
        <f t="shared" ref="H4683:H4746" si="73">IF(F4683&gt;0,F4683,G4683)</f>
        <v>73.569999999999993</v>
      </c>
    </row>
    <row r="4684" spans="1:8" x14ac:dyDescent="0.3">
      <c r="A4684" s="401"/>
      <c r="B4684" s="709">
        <v>36375</v>
      </c>
      <c r="C4684" s="710" t="s">
        <v>13007</v>
      </c>
      <c r="D4684" s="709" t="s">
        <v>159</v>
      </c>
      <c r="E4684" s="709" t="s">
        <v>8432</v>
      </c>
      <c r="F4684" s="716"/>
      <c r="G4684" s="716">
        <v>22.42</v>
      </c>
      <c r="H4684" s="225">
        <f t="shared" si="73"/>
        <v>22.42</v>
      </c>
    </row>
    <row r="4685" spans="1:8" x14ac:dyDescent="0.3">
      <c r="A4685" s="401"/>
      <c r="B4685" s="709">
        <v>36376</v>
      </c>
      <c r="C4685" s="710" t="s">
        <v>13008</v>
      </c>
      <c r="D4685" s="709" t="s">
        <v>159</v>
      </c>
      <c r="E4685" s="709" t="s">
        <v>8432</v>
      </c>
      <c r="F4685" s="716"/>
      <c r="G4685" s="716">
        <v>44.03</v>
      </c>
      <c r="H4685" s="225">
        <f t="shared" si="73"/>
        <v>44.03</v>
      </c>
    </row>
    <row r="4686" spans="1:8" x14ac:dyDescent="0.3">
      <c r="A4686" s="401"/>
      <c r="B4686" s="709">
        <v>36380</v>
      </c>
      <c r="C4686" s="710" t="s">
        <v>13009</v>
      </c>
      <c r="D4686" s="709" t="s">
        <v>159</v>
      </c>
      <c r="E4686" s="709" t="s">
        <v>8432</v>
      </c>
      <c r="F4686" s="716"/>
      <c r="G4686" s="716">
        <v>91.99</v>
      </c>
      <c r="H4686" s="225">
        <f t="shared" si="73"/>
        <v>91.99</v>
      </c>
    </row>
    <row r="4687" spans="1:8" x14ac:dyDescent="0.3">
      <c r="A4687" s="401"/>
      <c r="B4687" s="709">
        <v>36378</v>
      </c>
      <c r="C4687" s="710" t="s">
        <v>13010</v>
      </c>
      <c r="D4687" s="709" t="s">
        <v>159</v>
      </c>
      <c r="E4687" s="709" t="s">
        <v>8432</v>
      </c>
      <c r="F4687" s="716"/>
      <c r="G4687" s="716">
        <v>27.56</v>
      </c>
      <c r="H4687" s="225">
        <f t="shared" si="73"/>
        <v>27.56</v>
      </c>
    </row>
    <row r="4688" spans="1:8" x14ac:dyDescent="0.3">
      <c r="A4688" s="401"/>
      <c r="B4688" s="709">
        <v>36379</v>
      </c>
      <c r="C4688" s="710" t="s">
        <v>13011</v>
      </c>
      <c r="D4688" s="709" t="s">
        <v>159</v>
      </c>
      <c r="E4688" s="709" t="s">
        <v>8432</v>
      </c>
      <c r="F4688" s="716"/>
      <c r="G4688" s="716">
        <v>55.57</v>
      </c>
      <c r="H4688" s="225">
        <f t="shared" si="73"/>
        <v>55.57</v>
      </c>
    </row>
    <row r="4689" spans="1:8" x14ac:dyDescent="0.3">
      <c r="A4689" s="401"/>
      <c r="B4689" s="709">
        <v>9859</v>
      </c>
      <c r="C4689" s="710" t="s">
        <v>13012</v>
      </c>
      <c r="D4689" s="709" t="s">
        <v>159</v>
      </c>
      <c r="E4689" s="709" t="s">
        <v>8432</v>
      </c>
      <c r="F4689" s="716">
        <v>12.53</v>
      </c>
      <c r="G4689" s="716">
        <v>12.78</v>
      </c>
      <c r="H4689" s="225">
        <f t="shared" si="73"/>
        <v>12.53</v>
      </c>
    </row>
    <row r="4690" spans="1:8" x14ac:dyDescent="0.3">
      <c r="A4690" s="401"/>
      <c r="B4690" s="709">
        <v>9836</v>
      </c>
      <c r="C4690" s="710" t="s">
        <v>13013</v>
      </c>
      <c r="D4690" s="709" t="s">
        <v>159</v>
      </c>
      <c r="E4690" s="709" t="s">
        <v>8438</v>
      </c>
      <c r="F4690" s="716">
        <v>19.63</v>
      </c>
      <c r="G4690" s="716">
        <v>19.82</v>
      </c>
      <c r="H4690" s="225">
        <f t="shared" si="73"/>
        <v>19.63</v>
      </c>
    </row>
    <row r="4691" spans="1:8" x14ac:dyDescent="0.3">
      <c r="A4691" s="401"/>
      <c r="B4691" s="709">
        <v>20065</v>
      </c>
      <c r="C4691" s="710" t="s">
        <v>13014</v>
      </c>
      <c r="D4691" s="709" t="s">
        <v>159</v>
      </c>
      <c r="E4691" s="709" t="s">
        <v>8432</v>
      </c>
      <c r="F4691" s="716">
        <v>51.31</v>
      </c>
      <c r="G4691" s="716">
        <v>51.81</v>
      </c>
      <c r="H4691" s="225">
        <f t="shared" si="73"/>
        <v>51.31</v>
      </c>
    </row>
    <row r="4692" spans="1:8" x14ac:dyDescent="0.3">
      <c r="A4692" s="401"/>
      <c r="B4692" s="709">
        <v>9835</v>
      </c>
      <c r="C4692" s="710" t="s">
        <v>13015</v>
      </c>
      <c r="D4692" s="709" t="s">
        <v>159</v>
      </c>
      <c r="E4692" s="709" t="s">
        <v>8432</v>
      </c>
      <c r="F4692" s="716">
        <v>8.58</v>
      </c>
      <c r="G4692" s="716">
        <v>8.66</v>
      </c>
      <c r="H4692" s="225">
        <f t="shared" si="73"/>
        <v>8.58</v>
      </c>
    </row>
    <row r="4693" spans="1:8" x14ac:dyDescent="0.3">
      <c r="A4693" s="401"/>
      <c r="B4693" s="709">
        <v>9838</v>
      </c>
      <c r="C4693" s="710" t="s">
        <v>13016</v>
      </c>
      <c r="D4693" s="709" t="s">
        <v>159</v>
      </c>
      <c r="E4693" s="709" t="s">
        <v>8432</v>
      </c>
      <c r="F4693" s="716">
        <v>14.16</v>
      </c>
      <c r="G4693" s="716">
        <v>14.3</v>
      </c>
      <c r="H4693" s="225">
        <f t="shared" si="73"/>
        <v>14.16</v>
      </c>
    </row>
    <row r="4694" spans="1:8" x14ac:dyDescent="0.3">
      <c r="A4694" s="401"/>
      <c r="B4694" s="709">
        <v>9837</v>
      </c>
      <c r="C4694" s="710" t="s">
        <v>13017</v>
      </c>
      <c r="D4694" s="709" t="s">
        <v>159</v>
      </c>
      <c r="E4694" s="709" t="s">
        <v>8432</v>
      </c>
      <c r="F4694" s="716">
        <v>18.579999999999998</v>
      </c>
      <c r="G4694" s="716">
        <v>18.760000000000002</v>
      </c>
      <c r="H4694" s="225">
        <f t="shared" si="73"/>
        <v>18.579999999999998</v>
      </c>
    </row>
    <row r="4695" spans="1:8" x14ac:dyDescent="0.3">
      <c r="A4695" s="401"/>
      <c r="B4695" s="709">
        <v>44315</v>
      </c>
      <c r="C4695" s="710" t="s">
        <v>13018</v>
      </c>
      <c r="D4695" s="709" t="s">
        <v>159</v>
      </c>
      <c r="E4695" s="709" t="s">
        <v>8432</v>
      </c>
      <c r="F4695" s="716">
        <v>76.849999999999994</v>
      </c>
      <c r="G4695" s="716">
        <v>77.599999999999994</v>
      </c>
      <c r="H4695" s="225">
        <f t="shared" si="73"/>
        <v>76.849999999999994</v>
      </c>
    </row>
    <row r="4696" spans="1:8" x14ac:dyDescent="0.3">
      <c r="A4696" s="401"/>
      <c r="B4696" s="709">
        <v>9862</v>
      </c>
      <c r="C4696" s="710" t="s">
        <v>13019</v>
      </c>
      <c r="D4696" s="709" t="s">
        <v>159</v>
      </c>
      <c r="E4696" s="709" t="s">
        <v>8432</v>
      </c>
      <c r="F4696" s="716">
        <v>38.630000000000003</v>
      </c>
      <c r="G4696" s="716">
        <v>39.39</v>
      </c>
      <c r="H4696" s="225">
        <f t="shared" si="73"/>
        <v>38.630000000000003</v>
      </c>
    </row>
    <row r="4697" spans="1:8" x14ac:dyDescent="0.3">
      <c r="A4697" s="401"/>
      <c r="B4697" s="709">
        <v>9861</v>
      </c>
      <c r="C4697" s="710" t="s">
        <v>13020</v>
      </c>
      <c r="D4697" s="709" t="s">
        <v>159</v>
      </c>
      <c r="E4697" s="709" t="s">
        <v>8432</v>
      </c>
      <c r="F4697" s="716">
        <v>30.34</v>
      </c>
      <c r="G4697" s="716">
        <v>30.93</v>
      </c>
      <c r="H4697" s="225">
        <f t="shared" si="73"/>
        <v>30.34</v>
      </c>
    </row>
    <row r="4698" spans="1:8" x14ac:dyDescent="0.3">
      <c r="A4698" s="401"/>
      <c r="B4698" s="709">
        <v>9866</v>
      </c>
      <c r="C4698" s="710" t="s">
        <v>13021</v>
      </c>
      <c r="D4698" s="709" t="s">
        <v>159</v>
      </c>
      <c r="E4698" s="709" t="s">
        <v>8432</v>
      </c>
      <c r="F4698" s="716">
        <v>26.18</v>
      </c>
      <c r="G4698" s="716">
        <v>26.69</v>
      </c>
      <c r="H4698" s="225">
        <f t="shared" si="73"/>
        <v>26.18</v>
      </c>
    </row>
    <row r="4699" spans="1:8" x14ac:dyDescent="0.3">
      <c r="A4699" s="401"/>
      <c r="B4699" s="709">
        <v>9856</v>
      </c>
      <c r="C4699" s="710" t="s">
        <v>13022</v>
      </c>
      <c r="D4699" s="709" t="s">
        <v>159</v>
      </c>
      <c r="E4699" s="709" t="s">
        <v>8432</v>
      </c>
      <c r="F4699" s="716">
        <v>9.7799999999999994</v>
      </c>
      <c r="G4699" s="716">
        <v>9.98</v>
      </c>
      <c r="H4699" s="225">
        <f t="shared" si="73"/>
        <v>9.7799999999999994</v>
      </c>
    </row>
    <row r="4700" spans="1:8" x14ac:dyDescent="0.3">
      <c r="A4700" s="401"/>
      <c r="B4700" s="709">
        <v>9863</v>
      </c>
      <c r="C4700" s="710" t="s">
        <v>13023</v>
      </c>
      <c r="D4700" s="709" t="s">
        <v>159</v>
      </c>
      <c r="E4700" s="709" t="s">
        <v>8432</v>
      </c>
      <c r="F4700" s="716">
        <v>75.739999999999995</v>
      </c>
      <c r="G4700" s="716">
        <v>77.22</v>
      </c>
      <c r="H4700" s="225">
        <f t="shared" si="73"/>
        <v>75.739999999999995</v>
      </c>
    </row>
    <row r="4701" spans="1:8" x14ac:dyDescent="0.3">
      <c r="A4701" s="401"/>
      <c r="B4701" s="709">
        <v>9860</v>
      </c>
      <c r="C4701" s="710" t="s">
        <v>13024</v>
      </c>
      <c r="D4701" s="709" t="s">
        <v>159</v>
      </c>
      <c r="E4701" s="709" t="s">
        <v>8432</v>
      </c>
      <c r="F4701" s="716">
        <v>55.28</v>
      </c>
      <c r="G4701" s="716">
        <v>56.36</v>
      </c>
      <c r="H4701" s="225">
        <f t="shared" si="73"/>
        <v>55.28</v>
      </c>
    </row>
    <row r="4702" spans="1:8" x14ac:dyDescent="0.3">
      <c r="A4702" s="401"/>
      <c r="B4702" s="709">
        <v>9841</v>
      </c>
      <c r="C4702" s="710" t="s">
        <v>13025</v>
      </c>
      <c r="D4702" s="709" t="s">
        <v>159</v>
      </c>
      <c r="E4702" s="709" t="s">
        <v>8432</v>
      </c>
      <c r="F4702" s="716">
        <v>36.97</v>
      </c>
      <c r="G4702" s="716">
        <v>37.32</v>
      </c>
      <c r="H4702" s="225">
        <f t="shared" si="73"/>
        <v>36.97</v>
      </c>
    </row>
    <row r="4703" spans="1:8" x14ac:dyDescent="0.3">
      <c r="A4703" s="401"/>
      <c r="B4703" s="709">
        <v>9840</v>
      </c>
      <c r="C4703" s="710" t="s">
        <v>13026</v>
      </c>
      <c r="D4703" s="709" t="s">
        <v>159</v>
      </c>
      <c r="E4703" s="709" t="s">
        <v>8432</v>
      </c>
      <c r="F4703" s="716">
        <v>78.09</v>
      </c>
      <c r="G4703" s="716">
        <v>78.84</v>
      </c>
      <c r="H4703" s="225">
        <f t="shared" si="73"/>
        <v>78.09</v>
      </c>
    </row>
    <row r="4704" spans="1:8" x14ac:dyDescent="0.3">
      <c r="A4704" s="401"/>
      <c r="B4704" s="709">
        <v>20067</v>
      </c>
      <c r="C4704" s="710" t="s">
        <v>13027</v>
      </c>
      <c r="D4704" s="709" t="s">
        <v>159</v>
      </c>
      <c r="E4704" s="709" t="s">
        <v>8432</v>
      </c>
      <c r="F4704" s="716">
        <v>11.99</v>
      </c>
      <c r="G4704" s="716">
        <v>12.1</v>
      </c>
      <c r="H4704" s="225">
        <f t="shared" si="73"/>
        <v>11.99</v>
      </c>
    </row>
    <row r="4705" spans="1:8" x14ac:dyDescent="0.3">
      <c r="A4705" s="401"/>
      <c r="B4705" s="709">
        <v>20068</v>
      </c>
      <c r="C4705" s="710" t="s">
        <v>13028</v>
      </c>
      <c r="D4705" s="709" t="s">
        <v>159</v>
      </c>
      <c r="E4705" s="709" t="s">
        <v>8432</v>
      </c>
      <c r="F4705" s="716">
        <v>16.88</v>
      </c>
      <c r="G4705" s="716">
        <v>17.05</v>
      </c>
      <c r="H4705" s="225">
        <f t="shared" si="73"/>
        <v>16.88</v>
      </c>
    </row>
    <row r="4706" spans="1:8" x14ac:dyDescent="0.3">
      <c r="A4706" s="401"/>
      <c r="B4706" s="709">
        <v>9839</v>
      </c>
      <c r="C4706" s="710" t="s">
        <v>13029</v>
      </c>
      <c r="D4706" s="709" t="s">
        <v>159</v>
      </c>
      <c r="E4706" s="709" t="s">
        <v>8432</v>
      </c>
      <c r="F4706" s="716">
        <v>30.62</v>
      </c>
      <c r="G4706" s="716">
        <v>30.92</v>
      </c>
      <c r="H4706" s="225">
        <f t="shared" si="73"/>
        <v>30.62</v>
      </c>
    </row>
    <row r="4707" spans="1:8" x14ac:dyDescent="0.3">
      <c r="A4707" s="401"/>
      <c r="B4707" s="709">
        <v>9870</v>
      </c>
      <c r="C4707" s="710" t="s">
        <v>13030</v>
      </c>
      <c r="D4707" s="709" t="s">
        <v>159</v>
      </c>
      <c r="E4707" s="709" t="s">
        <v>8432</v>
      </c>
      <c r="F4707" s="716">
        <v>112.95</v>
      </c>
      <c r="G4707" s="716">
        <v>115.16</v>
      </c>
      <c r="H4707" s="225">
        <f t="shared" si="73"/>
        <v>112.95</v>
      </c>
    </row>
    <row r="4708" spans="1:8" x14ac:dyDescent="0.3">
      <c r="A4708" s="401"/>
      <c r="B4708" s="709">
        <v>9867</v>
      </c>
      <c r="C4708" s="710" t="s">
        <v>13031</v>
      </c>
      <c r="D4708" s="709" t="s">
        <v>159</v>
      </c>
      <c r="E4708" s="709" t="s">
        <v>8432</v>
      </c>
      <c r="F4708" s="716">
        <v>4.54</v>
      </c>
      <c r="G4708" s="716">
        <v>4.63</v>
      </c>
      <c r="H4708" s="225">
        <f t="shared" si="73"/>
        <v>4.54</v>
      </c>
    </row>
    <row r="4709" spans="1:8" x14ac:dyDescent="0.3">
      <c r="A4709" s="401"/>
      <c r="B4709" s="709">
        <v>9868</v>
      </c>
      <c r="C4709" s="710" t="s">
        <v>13032</v>
      </c>
      <c r="D4709" s="709" t="s">
        <v>159</v>
      </c>
      <c r="E4709" s="709" t="s">
        <v>8438</v>
      </c>
      <c r="F4709" s="716">
        <v>5.12</v>
      </c>
      <c r="G4709" s="716">
        <v>5.22</v>
      </c>
      <c r="H4709" s="225">
        <f t="shared" si="73"/>
        <v>5.12</v>
      </c>
    </row>
    <row r="4710" spans="1:8" x14ac:dyDescent="0.3">
      <c r="A4710" s="401"/>
      <c r="B4710" s="709">
        <v>9869</v>
      </c>
      <c r="C4710" s="710" t="s">
        <v>13033</v>
      </c>
      <c r="D4710" s="709" t="s">
        <v>159</v>
      </c>
      <c r="E4710" s="709" t="s">
        <v>8432</v>
      </c>
      <c r="F4710" s="716">
        <v>11.05</v>
      </c>
      <c r="G4710" s="716">
        <v>11.26</v>
      </c>
      <c r="H4710" s="225">
        <f t="shared" si="73"/>
        <v>11.05</v>
      </c>
    </row>
    <row r="4711" spans="1:8" x14ac:dyDescent="0.3">
      <c r="A4711" s="401"/>
      <c r="B4711" s="709">
        <v>9874</v>
      </c>
      <c r="C4711" s="710" t="s">
        <v>13034</v>
      </c>
      <c r="D4711" s="709" t="s">
        <v>159</v>
      </c>
      <c r="E4711" s="709" t="s">
        <v>8432</v>
      </c>
      <c r="F4711" s="716">
        <v>17.350000000000001</v>
      </c>
      <c r="G4711" s="716">
        <v>17.690000000000001</v>
      </c>
      <c r="H4711" s="225">
        <f t="shared" si="73"/>
        <v>17.350000000000001</v>
      </c>
    </row>
    <row r="4712" spans="1:8" x14ac:dyDescent="0.3">
      <c r="A4712" s="401"/>
      <c r="B4712" s="709">
        <v>9875</v>
      </c>
      <c r="C4712" s="710" t="s">
        <v>13035</v>
      </c>
      <c r="D4712" s="709" t="s">
        <v>159</v>
      </c>
      <c r="E4712" s="709" t="s">
        <v>8432</v>
      </c>
      <c r="F4712" s="716">
        <v>19.03</v>
      </c>
      <c r="G4712" s="716">
        <v>19.399999999999999</v>
      </c>
      <c r="H4712" s="225">
        <f t="shared" si="73"/>
        <v>19.03</v>
      </c>
    </row>
    <row r="4713" spans="1:8" x14ac:dyDescent="0.3">
      <c r="A4713" s="401"/>
      <c r="B4713" s="709">
        <v>9873</v>
      </c>
      <c r="C4713" s="710" t="s">
        <v>13036</v>
      </c>
      <c r="D4713" s="709" t="s">
        <v>159</v>
      </c>
      <c r="E4713" s="709" t="s">
        <v>8432</v>
      </c>
      <c r="F4713" s="716">
        <v>31.31</v>
      </c>
      <c r="G4713" s="716">
        <v>31.92</v>
      </c>
      <c r="H4713" s="225">
        <f t="shared" si="73"/>
        <v>31.31</v>
      </c>
    </row>
    <row r="4714" spans="1:8" x14ac:dyDescent="0.3">
      <c r="A4714" s="401"/>
      <c r="B4714" s="709">
        <v>9871</v>
      </c>
      <c r="C4714" s="710" t="s">
        <v>13037</v>
      </c>
      <c r="D4714" s="709" t="s">
        <v>159</v>
      </c>
      <c r="E4714" s="709" t="s">
        <v>8432</v>
      </c>
      <c r="F4714" s="716">
        <v>51.88</v>
      </c>
      <c r="G4714" s="716">
        <v>52.9</v>
      </c>
      <c r="H4714" s="225">
        <f t="shared" si="73"/>
        <v>51.88</v>
      </c>
    </row>
    <row r="4715" spans="1:8" x14ac:dyDescent="0.3">
      <c r="A4715" s="401"/>
      <c r="B4715" s="709">
        <v>9872</v>
      </c>
      <c r="C4715" s="710" t="s">
        <v>13038</v>
      </c>
      <c r="D4715" s="709" t="s">
        <v>159</v>
      </c>
      <c r="E4715" s="709" t="s">
        <v>8432</v>
      </c>
      <c r="F4715" s="716">
        <v>72.180000000000007</v>
      </c>
      <c r="G4715" s="716">
        <v>73.59</v>
      </c>
      <c r="H4715" s="225">
        <f t="shared" si="73"/>
        <v>72.180000000000007</v>
      </c>
    </row>
    <row r="4716" spans="1:8" x14ac:dyDescent="0.3">
      <c r="A4716" s="401"/>
      <c r="B4716" s="709">
        <v>12425</v>
      </c>
      <c r="C4716" s="710" t="s">
        <v>13039</v>
      </c>
      <c r="D4716" s="709" t="s">
        <v>136</v>
      </c>
      <c r="E4716" s="709" t="s">
        <v>8432</v>
      </c>
      <c r="F4716" s="716">
        <v>49.57</v>
      </c>
      <c r="G4716" s="716">
        <v>67.599999999999994</v>
      </c>
      <c r="H4716" s="225">
        <f t="shared" si="73"/>
        <v>49.57</v>
      </c>
    </row>
    <row r="4717" spans="1:8" x14ac:dyDescent="0.3">
      <c r="A4717" s="401"/>
      <c r="B4717" s="709">
        <v>12426</v>
      </c>
      <c r="C4717" s="710" t="s">
        <v>13040</v>
      </c>
      <c r="D4717" s="709" t="s">
        <v>136</v>
      </c>
      <c r="E4717" s="709" t="s">
        <v>8432</v>
      </c>
      <c r="F4717" s="716">
        <v>36.08</v>
      </c>
      <c r="G4717" s="716">
        <v>49.2</v>
      </c>
      <c r="H4717" s="225">
        <f t="shared" si="73"/>
        <v>36.08</v>
      </c>
    </row>
    <row r="4718" spans="1:8" x14ac:dyDescent="0.3">
      <c r="A4718" s="401"/>
      <c r="B4718" s="709">
        <v>12427</v>
      </c>
      <c r="C4718" s="710" t="s">
        <v>13041</v>
      </c>
      <c r="D4718" s="709" t="s">
        <v>136</v>
      </c>
      <c r="E4718" s="709" t="s">
        <v>8432</v>
      </c>
      <c r="F4718" s="716">
        <v>205.77</v>
      </c>
      <c r="G4718" s="716">
        <v>280.57</v>
      </c>
      <c r="H4718" s="225">
        <f t="shared" si="73"/>
        <v>205.77</v>
      </c>
    </row>
    <row r="4719" spans="1:8" x14ac:dyDescent="0.3">
      <c r="A4719" s="401"/>
      <c r="B4719" s="709">
        <v>12428</v>
      </c>
      <c r="C4719" s="710" t="s">
        <v>13042</v>
      </c>
      <c r="D4719" s="709" t="s">
        <v>136</v>
      </c>
      <c r="E4719" s="709" t="s">
        <v>8432</v>
      </c>
      <c r="F4719" s="716">
        <v>132.07</v>
      </c>
      <c r="G4719" s="716">
        <v>180.09</v>
      </c>
      <c r="H4719" s="225">
        <f t="shared" si="73"/>
        <v>132.07</v>
      </c>
    </row>
    <row r="4720" spans="1:8" x14ac:dyDescent="0.3">
      <c r="A4720" s="401"/>
      <c r="B4720" s="709">
        <v>12429</v>
      </c>
      <c r="C4720" s="710" t="s">
        <v>13043</v>
      </c>
      <c r="D4720" s="709" t="s">
        <v>136</v>
      </c>
      <c r="E4720" s="709" t="s">
        <v>8432</v>
      </c>
      <c r="F4720" s="716">
        <v>332.73</v>
      </c>
      <c r="G4720" s="716">
        <v>453.69</v>
      </c>
      <c r="H4720" s="225">
        <f t="shared" si="73"/>
        <v>332.73</v>
      </c>
    </row>
    <row r="4721" spans="1:8" x14ac:dyDescent="0.3">
      <c r="A4721" s="401"/>
      <c r="B4721" s="709">
        <v>12430</v>
      </c>
      <c r="C4721" s="710" t="s">
        <v>13044</v>
      </c>
      <c r="D4721" s="709" t="s">
        <v>136</v>
      </c>
      <c r="E4721" s="709" t="s">
        <v>8432</v>
      </c>
      <c r="F4721" s="716">
        <v>44.24</v>
      </c>
      <c r="G4721" s="716">
        <v>60.32</v>
      </c>
      <c r="H4721" s="225">
        <f t="shared" si="73"/>
        <v>44.24</v>
      </c>
    </row>
    <row r="4722" spans="1:8" x14ac:dyDescent="0.3">
      <c r="A4722" s="401"/>
      <c r="B4722" s="709">
        <v>12431</v>
      </c>
      <c r="C4722" s="710" t="s">
        <v>13045</v>
      </c>
      <c r="D4722" s="709" t="s">
        <v>136</v>
      </c>
      <c r="E4722" s="709" t="s">
        <v>8432</v>
      </c>
      <c r="F4722" s="716">
        <v>566.25</v>
      </c>
      <c r="G4722" s="716">
        <v>772.1</v>
      </c>
      <c r="H4722" s="225">
        <f t="shared" si="73"/>
        <v>566.25</v>
      </c>
    </row>
    <row r="4723" spans="1:8" x14ac:dyDescent="0.3">
      <c r="A4723" s="401"/>
      <c r="B4723" s="709">
        <v>12432</v>
      </c>
      <c r="C4723" s="710" t="s">
        <v>13046</v>
      </c>
      <c r="D4723" s="709" t="s">
        <v>136</v>
      </c>
      <c r="E4723" s="709" t="s">
        <v>8432</v>
      </c>
      <c r="F4723" s="716">
        <v>116.46</v>
      </c>
      <c r="G4723" s="716">
        <v>158.80000000000001</v>
      </c>
      <c r="H4723" s="225">
        <f t="shared" si="73"/>
        <v>116.46</v>
      </c>
    </row>
    <row r="4724" spans="1:8" x14ac:dyDescent="0.3">
      <c r="A4724" s="401"/>
      <c r="B4724" s="709">
        <v>12433</v>
      </c>
      <c r="C4724" s="710" t="s">
        <v>13047</v>
      </c>
      <c r="D4724" s="709" t="s">
        <v>136</v>
      </c>
      <c r="E4724" s="709" t="s">
        <v>8432</v>
      </c>
      <c r="F4724" s="716">
        <v>74.14</v>
      </c>
      <c r="G4724" s="716">
        <v>101.09</v>
      </c>
      <c r="H4724" s="225">
        <f t="shared" si="73"/>
        <v>74.14</v>
      </c>
    </row>
    <row r="4725" spans="1:8" x14ac:dyDescent="0.3">
      <c r="A4725" s="401"/>
      <c r="B4725" s="709">
        <v>12434</v>
      </c>
      <c r="C4725" s="710" t="s">
        <v>13048</v>
      </c>
      <c r="D4725" s="709" t="s">
        <v>136</v>
      </c>
      <c r="E4725" s="709" t="s">
        <v>8432</v>
      </c>
      <c r="F4725" s="716">
        <v>37.950000000000003</v>
      </c>
      <c r="G4725" s="716">
        <v>51.75</v>
      </c>
      <c r="H4725" s="225">
        <f t="shared" si="73"/>
        <v>37.950000000000003</v>
      </c>
    </row>
    <row r="4726" spans="1:8" x14ac:dyDescent="0.3">
      <c r="A4726" s="401"/>
      <c r="B4726" s="709">
        <v>12435</v>
      </c>
      <c r="C4726" s="710" t="s">
        <v>13049</v>
      </c>
      <c r="D4726" s="709" t="s">
        <v>136</v>
      </c>
      <c r="E4726" s="709" t="s">
        <v>8432</v>
      </c>
      <c r="F4726" s="716">
        <v>229.44</v>
      </c>
      <c r="G4726" s="716">
        <v>312.85000000000002</v>
      </c>
      <c r="H4726" s="225">
        <f t="shared" si="73"/>
        <v>229.44</v>
      </c>
    </row>
    <row r="4727" spans="1:8" x14ac:dyDescent="0.3">
      <c r="A4727" s="401"/>
      <c r="B4727" s="709">
        <v>12437</v>
      </c>
      <c r="C4727" s="710" t="s">
        <v>13050</v>
      </c>
      <c r="D4727" s="709" t="s">
        <v>136</v>
      </c>
      <c r="E4727" s="709" t="s">
        <v>8432</v>
      </c>
      <c r="F4727" s="716">
        <v>185.3</v>
      </c>
      <c r="G4727" s="716">
        <v>252.67</v>
      </c>
      <c r="H4727" s="225">
        <f t="shared" si="73"/>
        <v>185.3</v>
      </c>
    </row>
    <row r="4728" spans="1:8" x14ac:dyDescent="0.3">
      <c r="A4728" s="401"/>
      <c r="B4728" s="709">
        <v>12438</v>
      </c>
      <c r="C4728" s="710" t="s">
        <v>13051</v>
      </c>
      <c r="D4728" s="709" t="s">
        <v>136</v>
      </c>
      <c r="E4728" s="709" t="s">
        <v>8432</v>
      </c>
      <c r="F4728" s="716">
        <v>335.34</v>
      </c>
      <c r="G4728" s="716">
        <v>457.25</v>
      </c>
      <c r="H4728" s="225">
        <f t="shared" si="73"/>
        <v>335.34</v>
      </c>
    </row>
    <row r="4729" spans="1:8" x14ac:dyDescent="0.3">
      <c r="A4729" s="401"/>
      <c r="B4729" s="709">
        <v>12439</v>
      </c>
      <c r="C4729" s="710" t="s">
        <v>13052</v>
      </c>
      <c r="D4729" s="709" t="s">
        <v>136</v>
      </c>
      <c r="E4729" s="709" t="s">
        <v>8432</v>
      </c>
      <c r="F4729" s="716">
        <v>59.47</v>
      </c>
      <c r="G4729" s="716">
        <v>81.09</v>
      </c>
      <c r="H4729" s="225">
        <f t="shared" si="73"/>
        <v>59.47</v>
      </c>
    </row>
    <row r="4730" spans="1:8" x14ac:dyDescent="0.3">
      <c r="A4730" s="401"/>
      <c r="B4730" s="709">
        <v>12436</v>
      </c>
      <c r="C4730" s="710" t="s">
        <v>13053</v>
      </c>
      <c r="D4730" s="709" t="s">
        <v>136</v>
      </c>
      <c r="E4730" s="709" t="s">
        <v>8432</v>
      </c>
      <c r="F4730" s="716">
        <v>423.61</v>
      </c>
      <c r="G4730" s="716">
        <v>577.6</v>
      </c>
      <c r="H4730" s="225">
        <f t="shared" si="73"/>
        <v>423.61</v>
      </c>
    </row>
    <row r="4731" spans="1:8" x14ac:dyDescent="0.3">
      <c r="A4731" s="401"/>
      <c r="B4731" s="709">
        <v>36357</v>
      </c>
      <c r="C4731" s="710" t="s">
        <v>13054</v>
      </c>
      <c r="D4731" s="709" t="s">
        <v>136</v>
      </c>
      <c r="E4731" s="709" t="s">
        <v>8432</v>
      </c>
      <c r="F4731" s="716">
        <v>153.94</v>
      </c>
      <c r="G4731" s="716">
        <v>172.59</v>
      </c>
      <c r="H4731" s="225">
        <f t="shared" si="73"/>
        <v>153.94</v>
      </c>
    </row>
    <row r="4732" spans="1:8" x14ac:dyDescent="0.3">
      <c r="A4732" s="401"/>
      <c r="B4732" s="709">
        <v>12424</v>
      </c>
      <c r="C4732" s="710" t="s">
        <v>13055</v>
      </c>
      <c r="D4732" s="709" t="s">
        <v>136</v>
      </c>
      <c r="E4732" s="709" t="s">
        <v>8432</v>
      </c>
      <c r="F4732" s="716">
        <v>76.33</v>
      </c>
      <c r="G4732" s="716">
        <v>104.08</v>
      </c>
      <c r="H4732" s="225">
        <f t="shared" si="73"/>
        <v>76.33</v>
      </c>
    </row>
    <row r="4733" spans="1:8" x14ac:dyDescent="0.3">
      <c r="A4733" s="401"/>
      <c r="B4733" s="709">
        <v>12440</v>
      </c>
      <c r="C4733" s="710" t="s">
        <v>13056</v>
      </c>
      <c r="D4733" s="709" t="s">
        <v>136</v>
      </c>
      <c r="E4733" s="709" t="s">
        <v>8432</v>
      </c>
      <c r="F4733" s="716">
        <v>73.78</v>
      </c>
      <c r="G4733" s="716">
        <v>100.6</v>
      </c>
      <c r="H4733" s="225">
        <f t="shared" si="73"/>
        <v>73.78</v>
      </c>
    </row>
    <row r="4734" spans="1:8" x14ac:dyDescent="0.3">
      <c r="A4734" s="401"/>
      <c r="B4734" s="709">
        <v>9884</v>
      </c>
      <c r="C4734" s="710" t="s">
        <v>13057</v>
      </c>
      <c r="D4734" s="709" t="s">
        <v>136</v>
      </c>
      <c r="E4734" s="709" t="s">
        <v>8432</v>
      </c>
      <c r="F4734" s="716">
        <v>55.03</v>
      </c>
      <c r="G4734" s="716">
        <v>75.040000000000006</v>
      </c>
      <c r="H4734" s="225">
        <f t="shared" si="73"/>
        <v>55.03</v>
      </c>
    </row>
    <row r="4735" spans="1:8" x14ac:dyDescent="0.3">
      <c r="A4735" s="401"/>
      <c r="B4735" s="709">
        <v>9888</v>
      </c>
      <c r="C4735" s="710" t="s">
        <v>13058</v>
      </c>
      <c r="D4735" s="709" t="s">
        <v>136</v>
      </c>
      <c r="E4735" s="709" t="s">
        <v>8432</v>
      </c>
      <c r="F4735" s="716">
        <v>44.21</v>
      </c>
      <c r="G4735" s="716">
        <v>60.29</v>
      </c>
      <c r="H4735" s="225">
        <f t="shared" si="73"/>
        <v>44.21</v>
      </c>
    </row>
    <row r="4736" spans="1:8" x14ac:dyDescent="0.3">
      <c r="A4736" s="401"/>
      <c r="B4736" s="709">
        <v>9886</v>
      </c>
      <c r="C4736" s="710" t="s">
        <v>13059</v>
      </c>
      <c r="D4736" s="709" t="s">
        <v>136</v>
      </c>
      <c r="E4736" s="709" t="s">
        <v>8432</v>
      </c>
      <c r="F4736" s="716">
        <v>26.43</v>
      </c>
      <c r="G4736" s="716">
        <v>36.04</v>
      </c>
      <c r="H4736" s="225">
        <f t="shared" si="73"/>
        <v>26.43</v>
      </c>
    </row>
    <row r="4737" spans="1:8" x14ac:dyDescent="0.3">
      <c r="A4737" s="401"/>
      <c r="B4737" s="709">
        <v>9883</v>
      </c>
      <c r="C4737" s="710" t="s">
        <v>13060</v>
      </c>
      <c r="D4737" s="709" t="s">
        <v>136</v>
      </c>
      <c r="E4737" s="709" t="s">
        <v>8432</v>
      </c>
      <c r="F4737" s="716">
        <v>19.29</v>
      </c>
      <c r="G4737" s="716">
        <v>26.31</v>
      </c>
      <c r="H4737" s="225">
        <f t="shared" si="73"/>
        <v>19.29</v>
      </c>
    </row>
    <row r="4738" spans="1:8" x14ac:dyDescent="0.3">
      <c r="A4738" s="401"/>
      <c r="B4738" s="709">
        <v>9889</v>
      </c>
      <c r="C4738" s="710" t="s">
        <v>13061</v>
      </c>
      <c r="D4738" s="709" t="s">
        <v>136</v>
      </c>
      <c r="E4738" s="709" t="s">
        <v>8432</v>
      </c>
      <c r="F4738" s="716">
        <v>133.88999999999999</v>
      </c>
      <c r="G4738" s="716">
        <v>182.56</v>
      </c>
      <c r="H4738" s="225">
        <f t="shared" si="73"/>
        <v>133.88999999999999</v>
      </c>
    </row>
    <row r="4739" spans="1:8" x14ac:dyDescent="0.3">
      <c r="A4739" s="401"/>
      <c r="B4739" s="709">
        <v>9887</v>
      </c>
      <c r="C4739" s="710" t="s">
        <v>13062</v>
      </c>
      <c r="D4739" s="709" t="s">
        <v>136</v>
      </c>
      <c r="E4739" s="709" t="s">
        <v>8432</v>
      </c>
      <c r="F4739" s="716">
        <v>80.92</v>
      </c>
      <c r="G4739" s="716">
        <v>110.34</v>
      </c>
      <c r="H4739" s="225">
        <f t="shared" si="73"/>
        <v>80.92</v>
      </c>
    </row>
    <row r="4740" spans="1:8" x14ac:dyDescent="0.3">
      <c r="A4740" s="401"/>
      <c r="B4740" s="709">
        <v>9890</v>
      </c>
      <c r="C4740" s="710" t="s">
        <v>13063</v>
      </c>
      <c r="D4740" s="709" t="s">
        <v>136</v>
      </c>
      <c r="E4740" s="709" t="s">
        <v>8432</v>
      </c>
      <c r="F4740" s="716">
        <v>207.43</v>
      </c>
      <c r="G4740" s="716">
        <v>282.83999999999997</v>
      </c>
      <c r="H4740" s="225">
        <f t="shared" si="73"/>
        <v>207.43</v>
      </c>
    </row>
    <row r="4741" spans="1:8" x14ac:dyDescent="0.3">
      <c r="A4741" s="401"/>
      <c r="B4741" s="709">
        <v>9885</v>
      </c>
      <c r="C4741" s="710" t="s">
        <v>13064</v>
      </c>
      <c r="D4741" s="709" t="s">
        <v>136</v>
      </c>
      <c r="E4741" s="709" t="s">
        <v>8432</v>
      </c>
      <c r="F4741" s="716">
        <v>25.55</v>
      </c>
      <c r="G4741" s="716">
        <v>34.840000000000003</v>
      </c>
      <c r="H4741" s="225">
        <f t="shared" si="73"/>
        <v>25.55</v>
      </c>
    </row>
    <row r="4742" spans="1:8" x14ac:dyDescent="0.3">
      <c r="A4742" s="401"/>
      <c r="B4742" s="709">
        <v>9891</v>
      </c>
      <c r="C4742" s="710" t="s">
        <v>13065</v>
      </c>
      <c r="D4742" s="709" t="s">
        <v>136</v>
      </c>
      <c r="E4742" s="709" t="s">
        <v>8432</v>
      </c>
      <c r="F4742" s="716">
        <v>291.2</v>
      </c>
      <c r="G4742" s="716">
        <v>397.05</v>
      </c>
      <c r="H4742" s="225">
        <f t="shared" si="73"/>
        <v>291.2</v>
      </c>
    </row>
    <row r="4743" spans="1:8" x14ac:dyDescent="0.3">
      <c r="A4743" s="401"/>
      <c r="B4743" s="709">
        <v>36316</v>
      </c>
      <c r="C4743" s="710" t="s">
        <v>13066</v>
      </c>
      <c r="D4743" s="709" t="s">
        <v>136</v>
      </c>
      <c r="E4743" s="709" t="s">
        <v>8432</v>
      </c>
      <c r="F4743" s="716">
        <v>25.09</v>
      </c>
      <c r="G4743" s="716">
        <v>28.13</v>
      </c>
      <c r="H4743" s="225">
        <f t="shared" si="73"/>
        <v>25.09</v>
      </c>
    </row>
    <row r="4744" spans="1:8" x14ac:dyDescent="0.3">
      <c r="A4744" s="401"/>
      <c r="B4744" s="709">
        <v>36313</v>
      </c>
      <c r="C4744" s="710" t="s">
        <v>13067</v>
      </c>
      <c r="D4744" s="709" t="s">
        <v>136</v>
      </c>
      <c r="E4744" s="709" t="s">
        <v>8432</v>
      </c>
      <c r="F4744" s="716">
        <v>16.11</v>
      </c>
      <c r="G4744" s="716">
        <v>18.059999999999999</v>
      </c>
      <c r="H4744" s="225">
        <f t="shared" si="73"/>
        <v>16.11</v>
      </c>
    </row>
    <row r="4745" spans="1:8" x14ac:dyDescent="0.3">
      <c r="A4745" s="401"/>
      <c r="B4745" s="709">
        <v>64</v>
      </c>
      <c r="C4745" s="710" t="s">
        <v>13068</v>
      </c>
      <c r="D4745" s="709" t="s">
        <v>136</v>
      </c>
      <c r="E4745" s="709" t="s">
        <v>8432</v>
      </c>
      <c r="F4745" s="716">
        <v>8.11</v>
      </c>
      <c r="G4745" s="716">
        <v>5.55</v>
      </c>
      <c r="H4745" s="225">
        <f t="shared" si="73"/>
        <v>8.11</v>
      </c>
    </row>
    <row r="4746" spans="1:8" x14ac:dyDescent="0.3">
      <c r="A4746" s="401"/>
      <c r="B4746" s="709">
        <v>37423</v>
      </c>
      <c r="C4746" s="710" t="s">
        <v>13069</v>
      </c>
      <c r="D4746" s="709" t="s">
        <v>136</v>
      </c>
      <c r="E4746" s="709" t="s">
        <v>8432</v>
      </c>
      <c r="F4746" s="716">
        <v>20.03</v>
      </c>
      <c r="G4746" s="716">
        <v>13.71</v>
      </c>
      <c r="H4746" s="225">
        <f t="shared" si="73"/>
        <v>20.03</v>
      </c>
    </row>
    <row r="4747" spans="1:8" x14ac:dyDescent="0.3">
      <c r="A4747" s="401"/>
      <c r="B4747" s="709">
        <v>9892</v>
      </c>
      <c r="C4747" s="710" t="s">
        <v>13070</v>
      </c>
      <c r="D4747" s="709" t="s">
        <v>136</v>
      </c>
      <c r="E4747" s="709" t="s">
        <v>8432</v>
      </c>
      <c r="F4747" s="716">
        <v>8.31</v>
      </c>
      <c r="G4747" s="716">
        <v>8.4700000000000006</v>
      </c>
      <c r="H4747" s="225">
        <f t="shared" ref="H4747:H4810" si="74">IF(F4747&gt;0,F4747,G4747)</f>
        <v>8.31</v>
      </c>
    </row>
    <row r="4748" spans="1:8" x14ac:dyDescent="0.3">
      <c r="A4748" s="401"/>
      <c r="B4748" s="709">
        <v>9901</v>
      </c>
      <c r="C4748" s="710" t="s">
        <v>13071</v>
      </c>
      <c r="D4748" s="709" t="s">
        <v>136</v>
      </c>
      <c r="E4748" s="709" t="s">
        <v>8432</v>
      </c>
      <c r="F4748" s="716">
        <v>40.200000000000003</v>
      </c>
      <c r="G4748" s="716">
        <v>40.99</v>
      </c>
      <c r="H4748" s="225">
        <f t="shared" si="74"/>
        <v>40.200000000000003</v>
      </c>
    </row>
    <row r="4749" spans="1:8" x14ac:dyDescent="0.3">
      <c r="A4749" s="401"/>
      <c r="B4749" s="709">
        <v>9900</v>
      </c>
      <c r="C4749" s="710" t="s">
        <v>13072</v>
      </c>
      <c r="D4749" s="709" t="s">
        <v>136</v>
      </c>
      <c r="E4749" s="709" t="s">
        <v>8432</v>
      </c>
      <c r="F4749" s="716">
        <v>23.29</v>
      </c>
      <c r="G4749" s="716">
        <v>23.75</v>
      </c>
      <c r="H4749" s="225">
        <f t="shared" si="74"/>
        <v>23.29</v>
      </c>
    </row>
    <row r="4750" spans="1:8" x14ac:dyDescent="0.3">
      <c r="A4750" s="401"/>
      <c r="B4750" s="709">
        <v>9899</v>
      </c>
      <c r="C4750" s="710" t="s">
        <v>13073</v>
      </c>
      <c r="D4750" s="709" t="s">
        <v>136</v>
      </c>
      <c r="E4750" s="709" t="s">
        <v>8432</v>
      </c>
      <c r="F4750" s="716">
        <v>10.45</v>
      </c>
      <c r="G4750" s="716">
        <v>10.65</v>
      </c>
      <c r="H4750" s="225">
        <f t="shared" si="74"/>
        <v>10.45</v>
      </c>
    </row>
    <row r="4751" spans="1:8" x14ac:dyDescent="0.3">
      <c r="A4751" s="401"/>
      <c r="B4751" s="709">
        <v>9908</v>
      </c>
      <c r="C4751" s="710" t="s">
        <v>13074</v>
      </c>
      <c r="D4751" s="709" t="s">
        <v>136</v>
      </c>
      <c r="E4751" s="709" t="s">
        <v>8432</v>
      </c>
      <c r="F4751" s="716">
        <v>469.58</v>
      </c>
      <c r="G4751" s="716">
        <v>478.75</v>
      </c>
      <c r="H4751" s="225">
        <f t="shared" si="74"/>
        <v>469.58</v>
      </c>
    </row>
    <row r="4752" spans="1:8" x14ac:dyDescent="0.3">
      <c r="A4752" s="401"/>
      <c r="B4752" s="709">
        <v>9905</v>
      </c>
      <c r="C4752" s="710" t="s">
        <v>13075</v>
      </c>
      <c r="D4752" s="709" t="s">
        <v>136</v>
      </c>
      <c r="E4752" s="709" t="s">
        <v>8432</v>
      </c>
      <c r="F4752" s="716">
        <v>8.17</v>
      </c>
      <c r="G4752" s="716">
        <v>8.33</v>
      </c>
      <c r="H4752" s="225">
        <f t="shared" si="74"/>
        <v>8.17</v>
      </c>
    </row>
    <row r="4753" spans="1:8" x14ac:dyDescent="0.3">
      <c r="A4753" s="401"/>
      <c r="B4753" s="709">
        <v>9906</v>
      </c>
      <c r="C4753" s="710" t="s">
        <v>13076</v>
      </c>
      <c r="D4753" s="709" t="s">
        <v>136</v>
      </c>
      <c r="E4753" s="709" t="s">
        <v>8432</v>
      </c>
      <c r="F4753" s="716">
        <v>9.85</v>
      </c>
      <c r="G4753" s="716">
        <v>10.039999999999999</v>
      </c>
      <c r="H4753" s="225">
        <f t="shared" si="74"/>
        <v>9.85</v>
      </c>
    </row>
    <row r="4754" spans="1:8" x14ac:dyDescent="0.3">
      <c r="A4754" s="401"/>
      <c r="B4754" s="709">
        <v>9895</v>
      </c>
      <c r="C4754" s="710" t="s">
        <v>13077</v>
      </c>
      <c r="D4754" s="709" t="s">
        <v>136</v>
      </c>
      <c r="E4754" s="709" t="s">
        <v>8432</v>
      </c>
      <c r="F4754" s="716">
        <v>16.59</v>
      </c>
      <c r="G4754" s="716">
        <v>16.91</v>
      </c>
      <c r="H4754" s="225">
        <f t="shared" si="74"/>
        <v>16.59</v>
      </c>
    </row>
    <row r="4755" spans="1:8" x14ac:dyDescent="0.3">
      <c r="A4755" s="401"/>
      <c r="B4755" s="709">
        <v>9894</v>
      </c>
      <c r="C4755" s="710" t="s">
        <v>13078</v>
      </c>
      <c r="D4755" s="709" t="s">
        <v>136</v>
      </c>
      <c r="E4755" s="709" t="s">
        <v>8432</v>
      </c>
      <c r="F4755" s="716">
        <v>31.91</v>
      </c>
      <c r="G4755" s="716">
        <v>32.53</v>
      </c>
      <c r="H4755" s="225">
        <f t="shared" si="74"/>
        <v>31.91</v>
      </c>
    </row>
    <row r="4756" spans="1:8" x14ac:dyDescent="0.3">
      <c r="A4756" s="401"/>
      <c r="B4756" s="709">
        <v>9897</v>
      </c>
      <c r="C4756" s="710" t="s">
        <v>13079</v>
      </c>
      <c r="D4756" s="709" t="s">
        <v>136</v>
      </c>
      <c r="E4756" s="709" t="s">
        <v>8432</v>
      </c>
      <c r="F4756" s="716">
        <v>34.07</v>
      </c>
      <c r="G4756" s="716">
        <v>34.729999999999997</v>
      </c>
      <c r="H4756" s="225">
        <f t="shared" si="74"/>
        <v>34.07</v>
      </c>
    </row>
    <row r="4757" spans="1:8" x14ac:dyDescent="0.3">
      <c r="A4757" s="401"/>
      <c r="B4757" s="709">
        <v>9910</v>
      </c>
      <c r="C4757" s="710" t="s">
        <v>13080</v>
      </c>
      <c r="D4757" s="709" t="s">
        <v>136</v>
      </c>
      <c r="E4757" s="709" t="s">
        <v>8432</v>
      </c>
      <c r="F4757" s="716">
        <v>88.64</v>
      </c>
      <c r="G4757" s="716">
        <v>90.37</v>
      </c>
      <c r="H4757" s="225">
        <f t="shared" si="74"/>
        <v>88.64</v>
      </c>
    </row>
    <row r="4758" spans="1:8" x14ac:dyDescent="0.3">
      <c r="A4758" s="401"/>
      <c r="B4758" s="709">
        <v>9909</v>
      </c>
      <c r="C4758" s="710" t="s">
        <v>13081</v>
      </c>
      <c r="D4758" s="709" t="s">
        <v>136</v>
      </c>
      <c r="E4758" s="709" t="s">
        <v>8432</v>
      </c>
      <c r="F4758" s="716">
        <v>180.52</v>
      </c>
      <c r="G4758" s="716">
        <v>184.04</v>
      </c>
      <c r="H4758" s="225">
        <f t="shared" si="74"/>
        <v>180.52</v>
      </c>
    </row>
    <row r="4759" spans="1:8" x14ac:dyDescent="0.3">
      <c r="A4759" s="401"/>
      <c r="B4759" s="709">
        <v>9907</v>
      </c>
      <c r="C4759" s="710" t="s">
        <v>13082</v>
      </c>
      <c r="D4759" s="709" t="s">
        <v>136</v>
      </c>
      <c r="E4759" s="709" t="s">
        <v>8432</v>
      </c>
      <c r="F4759" s="716">
        <v>213.14</v>
      </c>
      <c r="G4759" s="716">
        <v>217.3</v>
      </c>
      <c r="H4759" s="225">
        <f t="shared" si="74"/>
        <v>213.14</v>
      </c>
    </row>
    <row r="4760" spans="1:8" x14ac:dyDescent="0.3">
      <c r="A4760" s="401"/>
      <c r="B4760" s="709">
        <v>20973</v>
      </c>
      <c r="C4760" s="710" t="s">
        <v>13083</v>
      </c>
      <c r="D4760" s="709" t="s">
        <v>136</v>
      </c>
      <c r="E4760" s="709" t="s">
        <v>8432</v>
      </c>
      <c r="F4760" s="716">
        <v>101.05</v>
      </c>
      <c r="G4760" s="716">
        <v>225.37</v>
      </c>
      <c r="H4760" s="225">
        <f t="shared" si="74"/>
        <v>101.05</v>
      </c>
    </row>
    <row r="4761" spans="1:8" x14ac:dyDescent="0.3">
      <c r="A4761" s="401"/>
      <c r="B4761" s="709">
        <v>20974</v>
      </c>
      <c r="C4761" s="710" t="s">
        <v>13084</v>
      </c>
      <c r="D4761" s="709" t="s">
        <v>136</v>
      </c>
      <c r="E4761" s="709" t="s">
        <v>8432</v>
      </c>
      <c r="F4761" s="716">
        <v>144.57</v>
      </c>
      <c r="G4761" s="716">
        <v>322.43</v>
      </c>
      <c r="H4761" s="225">
        <f t="shared" si="74"/>
        <v>144.57</v>
      </c>
    </row>
    <row r="4762" spans="1:8" x14ac:dyDescent="0.3">
      <c r="A4762" s="401"/>
      <c r="B4762" s="709">
        <v>37989</v>
      </c>
      <c r="C4762" s="710" t="s">
        <v>13085</v>
      </c>
      <c r="D4762" s="709" t="s">
        <v>136</v>
      </c>
      <c r="E4762" s="709" t="s">
        <v>8432</v>
      </c>
      <c r="F4762" s="716">
        <v>21.26</v>
      </c>
      <c r="G4762" s="716">
        <v>15.54</v>
      </c>
      <c r="H4762" s="225">
        <f t="shared" si="74"/>
        <v>21.26</v>
      </c>
    </row>
    <row r="4763" spans="1:8" x14ac:dyDescent="0.3">
      <c r="A4763" s="401"/>
      <c r="B4763" s="709">
        <v>37990</v>
      </c>
      <c r="C4763" s="710" t="s">
        <v>13086</v>
      </c>
      <c r="D4763" s="709" t="s">
        <v>136</v>
      </c>
      <c r="E4763" s="709" t="s">
        <v>8432</v>
      </c>
      <c r="F4763" s="716">
        <v>23.44</v>
      </c>
      <c r="G4763" s="716">
        <v>17.14</v>
      </c>
      <c r="H4763" s="225">
        <f t="shared" si="74"/>
        <v>23.44</v>
      </c>
    </row>
    <row r="4764" spans="1:8" x14ac:dyDescent="0.3">
      <c r="A4764" s="401"/>
      <c r="B4764" s="709">
        <v>37991</v>
      </c>
      <c r="C4764" s="710" t="s">
        <v>13087</v>
      </c>
      <c r="D4764" s="709" t="s">
        <v>136</v>
      </c>
      <c r="E4764" s="709" t="s">
        <v>8432</v>
      </c>
      <c r="F4764" s="716">
        <v>31.2</v>
      </c>
      <c r="G4764" s="716">
        <v>22.82</v>
      </c>
      <c r="H4764" s="225">
        <f t="shared" si="74"/>
        <v>31.2</v>
      </c>
    </row>
    <row r="4765" spans="1:8" x14ac:dyDescent="0.3">
      <c r="A4765" s="401"/>
      <c r="B4765" s="709">
        <v>37992</v>
      </c>
      <c r="C4765" s="710" t="s">
        <v>13088</v>
      </c>
      <c r="D4765" s="709" t="s">
        <v>136</v>
      </c>
      <c r="E4765" s="709" t="s">
        <v>8432</v>
      </c>
      <c r="F4765" s="716">
        <v>48.41</v>
      </c>
      <c r="G4765" s="716">
        <v>35.4</v>
      </c>
      <c r="H4765" s="225">
        <f t="shared" si="74"/>
        <v>48.41</v>
      </c>
    </row>
    <row r="4766" spans="1:8" x14ac:dyDescent="0.3">
      <c r="A4766" s="401"/>
      <c r="B4766" s="709">
        <v>37993</v>
      </c>
      <c r="C4766" s="710" t="s">
        <v>13089</v>
      </c>
      <c r="D4766" s="709" t="s">
        <v>136</v>
      </c>
      <c r="E4766" s="709" t="s">
        <v>8432</v>
      </c>
      <c r="F4766" s="716">
        <v>73.459999999999994</v>
      </c>
      <c r="G4766" s="716">
        <v>53.72</v>
      </c>
      <c r="H4766" s="225">
        <f t="shared" si="74"/>
        <v>73.459999999999994</v>
      </c>
    </row>
    <row r="4767" spans="1:8" x14ac:dyDescent="0.3">
      <c r="A4767" s="401"/>
      <c r="B4767" s="709">
        <v>37994</v>
      </c>
      <c r="C4767" s="710" t="s">
        <v>13090</v>
      </c>
      <c r="D4767" s="709" t="s">
        <v>136</v>
      </c>
      <c r="E4767" s="709" t="s">
        <v>8432</v>
      </c>
      <c r="F4767" s="716">
        <v>174.91</v>
      </c>
      <c r="G4767" s="716">
        <v>127.91</v>
      </c>
      <c r="H4767" s="225">
        <f t="shared" si="74"/>
        <v>174.91</v>
      </c>
    </row>
    <row r="4768" spans="1:8" x14ac:dyDescent="0.3">
      <c r="A4768" s="401"/>
      <c r="B4768" s="709">
        <v>37995</v>
      </c>
      <c r="C4768" s="710" t="s">
        <v>13091</v>
      </c>
      <c r="D4768" s="709" t="s">
        <v>136</v>
      </c>
      <c r="E4768" s="709" t="s">
        <v>8432</v>
      </c>
      <c r="F4768" s="716">
        <v>227.99</v>
      </c>
      <c r="G4768" s="716">
        <v>166.72</v>
      </c>
      <c r="H4768" s="225">
        <f t="shared" si="74"/>
        <v>227.99</v>
      </c>
    </row>
    <row r="4769" spans="1:8" x14ac:dyDescent="0.3">
      <c r="A4769" s="401"/>
      <c r="B4769" s="709">
        <v>37996</v>
      </c>
      <c r="C4769" s="710" t="s">
        <v>13092</v>
      </c>
      <c r="D4769" s="709" t="s">
        <v>136</v>
      </c>
      <c r="E4769" s="709" t="s">
        <v>8432</v>
      </c>
      <c r="F4769" s="716">
        <v>347.16</v>
      </c>
      <c r="G4769" s="716">
        <v>253.87</v>
      </c>
      <c r="H4769" s="225">
        <f t="shared" si="74"/>
        <v>347.16</v>
      </c>
    </row>
    <row r="4770" spans="1:8" x14ac:dyDescent="0.3">
      <c r="A4770" s="401"/>
      <c r="B4770" s="709">
        <v>45267</v>
      </c>
      <c r="C4770" s="710" t="s">
        <v>13093</v>
      </c>
      <c r="D4770" s="709" t="s">
        <v>136</v>
      </c>
      <c r="E4770" s="709" t="s">
        <v>8432</v>
      </c>
      <c r="F4770" s="716">
        <v>206.23</v>
      </c>
      <c r="G4770" s="716">
        <v>202.27</v>
      </c>
      <c r="H4770" s="225">
        <f t="shared" si="74"/>
        <v>206.23</v>
      </c>
    </row>
    <row r="4771" spans="1:8" x14ac:dyDescent="0.3">
      <c r="A4771" s="401"/>
      <c r="B4771" s="709">
        <v>38604</v>
      </c>
      <c r="C4771" s="710" t="s">
        <v>13094</v>
      </c>
      <c r="D4771" s="709" t="s">
        <v>136</v>
      </c>
      <c r="E4771" s="709" t="s">
        <v>8432</v>
      </c>
      <c r="F4771" s="716"/>
      <c r="G4771" s="716">
        <v>214699.12</v>
      </c>
      <c r="H4771" s="225">
        <f t="shared" si="74"/>
        <v>214699.12</v>
      </c>
    </row>
    <row r="4772" spans="1:8" x14ac:dyDescent="0.3">
      <c r="A4772" s="401"/>
      <c r="B4772" s="709">
        <v>10601</v>
      </c>
      <c r="C4772" s="710" t="s">
        <v>13095</v>
      </c>
      <c r="D4772" s="709" t="s">
        <v>136</v>
      </c>
      <c r="E4772" s="709" t="s">
        <v>8432</v>
      </c>
      <c r="F4772" s="716"/>
      <c r="G4772" s="716">
        <v>4176326.08</v>
      </c>
      <c r="H4772" s="225">
        <f t="shared" si="74"/>
        <v>4176326.08</v>
      </c>
    </row>
    <row r="4773" spans="1:8" x14ac:dyDescent="0.3">
      <c r="A4773" s="401"/>
      <c r="B4773" s="709">
        <v>44469</v>
      </c>
      <c r="C4773" s="710" t="s">
        <v>13096</v>
      </c>
      <c r="D4773" s="709" t="s">
        <v>136</v>
      </c>
      <c r="E4773" s="709" t="s">
        <v>8432</v>
      </c>
      <c r="F4773" s="716"/>
      <c r="G4773" s="716">
        <v>10996119.18</v>
      </c>
      <c r="H4773" s="225">
        <f t="shared" si="74"/>
        <v>10996119.18</v>
      </c>
    </row>
    <row r="4774" spans="1:8" x14ac:dyDescent="0.3">
      <c r="A4774" s="401"/>
      <c r="B4774" s="709">
        <v>9914</v>
      </c>
      <c r="C4774" s="710" t="s">
        <v>13097</v>
      </c>
      <c r="D4774" s="709" t="s">
        <v>136</v>
      </c>
      <c r="E4774" s="709" t="s">
        <v>8438</v>
      </c>
      <c r="F4774" s="716"/>
      <c r="G4774" s="716">
        <v>728895.94</v>
      </c>
      <c r="H4774" s="225">
        <f t="shared" si="74"/>
        <v>728895.94</v>
      </c>
    </row>
    <row r="4775" spans="1:8" x14ac:dyDescent="0.3">
      <c r="A4775" s="401"/>
      <c r="B4775" s="709">
        <v>36485</v>
      </c>
      <c r="C4775" s="710" t="s">
        <v>13098</v>
      </c>
      <c r="D4775" s="709" t="s">
        <v>136</v>
      </c>
      <c r="E4775" s="709" t="s">
        <v>8432</v>
      </c>
      <c r="F4775" s="716"/>
      <c r="G4775" s="716">
        <v>757279.29</v>
      </c>
      <c r="H4775" s="225">
        <f t="shared" si="74"/>
        <v>757279.29</v>
      </c>
    </row>
    <row r="4776" spans="1:8" x14ac:dyDescent="0.3">
      <c r="A4776" s="401"/>
      <c r="B4776" s="709">
        <v>9912</v>
      </c>
      <c r="C4776" s="710" t="s">
        <v>13099</v>
      </c>
      <c r="D4776" s="709" t="s">
        <v>136</v>
      </c>
      <c r="E4776" s="709" t="s">
        <v>8438</v>
      </c>
      <c r="F4776" s="716"/>
      <c r="G4776" s="716">
        <v>3400000</v>
      </c>
      <c r="H4776" s="225">
        <f t="shared" si="74"/>
        <v>3400000</v>
      </c>
    </row>
    <row r="4777" spans="1:8" x14ac:dyDescent="0.3">
      <c r="A4777" s="401"/>
      <c r="B4777" s="709">
        <v>9921</v>
      </c>
      <c r="C4777" s="710" t="s">
        <v>13100</v>
      </c>
      <c r="D4777" s="709" t="s">
        <v>136</v>
      </c>
      <c r="E4777" s="709" t="s">
        <v>8432</v>
      </c>
      <c r="F4777" s="716"/>
      <c r="G4777" s="716">
        <v>1753880.82</v>
      </c>
      <c r="H4777" s="225">
        <f t="shared" si="74"/>
        <v>1753880.82</v>
      </c>
    </row>
    <row r="4778" spans="1:8" x14ac:dyDescent="0.3">
      <c r="A4778" s="401"/>
      <c r="B4778" s="709">
        <v>21112</v>
      </c>
      <c r="C4778" s="710" t="s">
        <v>13101</v>
      </c>
      <c r="D4778" s="709" t="s">
        <v>136</v>
      </c>
      <c r="E4778" s="709" t="s">
        <v>8432</v>
      </c>
      <c r="F4778" s="716">
        <v>396.53</v>
      </c>
      <c r="G4778" s="716">
        <v>322.72000000000003</v>
      </c>
      <c r="H4778" s="225">
        <f t="shared" si="74"/>
        <v>396.53</v>
      </c>
    </row>
    <row r="4779" spans="1:8" x14ac:dyDescent="0.3">
      <c r="A4779" s="401"/>
      <c r="B4779" s="709">
        <v>10228</v>
      </c>
      <c r="C4779" s="710" t="s">
        <v>13102</v>
      </c>
      <c r="D4779" s="709" t="s">
        <v>136</v>
      </c>
      <c r="E4779" s="709" t="s">
        <v>8438</v>
      </c>
      <c r="F4779" s="716">
        <v>460.65</v>
      </c>
      <c r="G4779" s="716">
        <v>374.9</v>
      </c>
      <c r="H4779" s="225">
        <f t="shared" si="74"/>
        <v>460.65</v>
      </c>
    </row>
    <row r="4780" spans="1:8" x14ac:dyDescent="0.3">
      <c r="A4780" s="401"/>
      <c r="B4780" s="709">
        <v>11781</v>
      </c>
      <c r="C4780" s="710" t="s">
        <v>13103</v>
      </c>
      <c r="D4780" s="709" t="s">
        <v>136</v>
      </c>
      <c r="E4780" s="709" t="s">
        <v>8432</v>
      </c>
      <c r="F4780" s="716">
        <v>373.18</v>
      </c>
      <c r="G4780" s="716">
        <v>303.70999999999998</v>
      </c>
      <c r="H4780" s="225">
        <f t="shared" si="74"/>
        <v>373.18</v>
      </c>
    </row>
    <row r="4781" spans="1:8" x14ac:dyDescent="0.3">
      <c r="A4781" s="401"/>
      <c r="B4781" s="709">
        <v>37588</v>
      </c>
      <c r="C4781" s="710" t="s">
        <v>13104</v>
      </c>
      <c r="D4781" s="709" t="s">
        <v>136</v>
      </c>
      <c r="E4781" s="709" t="s">
        <v>8432</v>
      </c>
      <c r="F4781" s="716">
        <v>94.79</v>
      </c>
      <c r="G4781" s="716">
        <v>57.58</v>
      </c>
      <c r="H4781" s="225">
        <f t="shared" si="74"/>
        <v>94.79</v>
      </c>
    </row>
    <row r="4782" spans="1:8" x14ac:dyDescent="0.3">
      <c r="A4782" s="401"/>
      <c r="B4782" s="709">
        <v>11751</v>
      </c>
      <c r="C4782" s="710" t="s">
        <v>13105</v>
      </c>
      <c r="D4782" s="709" t="s">
        <v>136</v>
      </c>
      <c r="E4782" s="709" t="s">
        <v>8432</v>
      </c>
      <c r="F4782" s="716">
        <v>203.63</v>
      </c>
      <c r="G4782" s="716">
        <v>109.23</v>
      </c>
      <c r="H4782" s="225">
        <f t="shared" si="74"/>
        <v>203.63</v>
      </c>
    </row>
    <row r="4783" spans="1:8" x14ac:dyDescent="0.3">
      <c r="A4783" s="401"/>
      <c r="B4783" s="709">
        <v>11750</v>
      </c>
      <c r="C4783" s="710" t="s">
        <v>13106</v>
      </c>
      <c r="D4783" s="709" t="s">
        <v>136</v>
      </c>
      <c r="E4783" s="709" t="s">
        <v>8432</v>
      </c>
      <c r="F4783" s="716">
        <v>168.99</v>
      </c>
      <c r="G4783" s="716">
        <v>90.65</v>
      </c>
      <c r="H4783" s="225">
        <f t="shared" si="74"/>
        <v>168.99</v>
      </c>
    </row>
    <row r="4784" spans="1:8" x14ac:dyDescent="0.3">
      <c r="A4784" s="401"/>
      <c r="B4784" s="709">
        <v>11746</v>
      </c>
      <c r="C4784" s="710" t="s">
        <v>13107</v>
      </c>
      <c r="D4784" s="709" t="s">
        <v>136</v>
      </c>
      <c r="E4784" s="709" t="s">
        <v>8432</v>
      </c>
      <c r="F4784" s="716">
        <v>113.38</v>
      </c>
      <c r="G4784" s="716">
        <v>60.82</v>
      </c>
      <c r="H4784" s="225">
        <f t="shared" si="74"/>
        <v>113.38</v>
      </c>
    </row>
    <row r="4785" spans="1:8" x14ac:dyDescent="0.3">
      <c r="A4785" s="401"/>
      <c r="B4785" s="709">
        <v>11748</v>
      </c>
      <c r="C4785" s="710" t="s">
        <v>13108</v>
      </c>
      <c r="D4785" s="709" t="s">
        <v>136</v>
      </c>
      <c r="E4785" s="709" t="s">
        <v>8432</v>
      </c>
      <c r="F4785" s="716">
        <v>72.760000000000005</v>
      </c>
      <c r="G4785" s="716">
        <v>39.03</v>
      </c>
      <c r="H4785" s="225">
        <f t="shared" si="74"/>
        <v>72.760000000000005</v>
      </c>
    </row>
    <row r="4786" spans="1:8" x14ac:dyDescent="0.3">
      <c r="A4786" s="401"/>
      <c r="B4786" s="709">
        <v>11747</v>
      </c>
      <c r="C4786" s="710" t="s">
        <v>13109</v>
      </c>
      <c r="D4786" s="709" t="s">
        <v>136</v>
      </c>
      <c r="E4786" s="709" t="s">
        <v>8432</v>
      </c>
      <c r="F4786" s="716">
        <v>314.01</v>
      </c>
      <c r="G4786" s="716">
        <v>168.44</v>
      </c>
      <c r="H4786" s="225">
        <f t="shared" si="74"/>
        <v>314.01</v>
      </c>
    </row>
    <row r="4787" spans="1:8" x14ac:dyDescent="0.3">
      <c r="A4787" s="401"/>
      <c r="B4787" s="709">
        <v>11749</v>
      </c>
      <c r="C4787" s="710" t="s">
        <v>13110</v>
      </c>
      <c r="D4787" s="709" t="s">
        <v>136</v>
      </c>
      <c r="E4787" s="709" t="s">
        <v>8432</v>
      </c>
      <c r="F4787" s="716">
        <v>83.98</v>
      </c>
      <c r="G4787" s="716">
        <v>45.05</v>
      </c>
      <c r="H4787" s="225">
        <f t="shared" si="74"/>
        <v>83.98</v>
      </c>
    </row>
    <row r="4788" spans="1:8" x14ac:dyDescent="0.3">
      <c r="A4788" s="401"/>
      <c r="B4788" s="709">
        <v>10236</v>
      </c>
      <c r="C4788" s="710" t="s">
        <v>13111</v>
      </c>
      <c r="D4788" s="709" t="s">
        <v>136</v>
      </c>
      <c r="E4788" s="709" t="s">
        <v>8432</v>
      </c>
      <c r="F4788" s="716">
        <v>153.6</v>
      </c>
      <c r="G4788" s="716">
        <v>194.25</v>
      </c>
      <c r="H4788" s="225">
        <f t="shared" si="74"/>
        <v>153.6</v>
      </c>
    </row>
    <row r="4789" spans="1:8" x14ac:dyDescent="0.3">
      <c r="A4789" s="401"/>
      <c r="B4789" s="709">
        <v>10233</v>
      </c>
      <c r="C4789" s="710" t="s">
        <v>13112</v>
      </c>
      <c r="D4789" s="709" t="s">
        <v>136</v>
      </c>
      <c r="E4789" s="709" t="s">
        <v>8432</v>
      </c>
      <c r="F4789" s="716">
        <v>143.94</v>
      </c>
      <c r="G4789" s="716">
        <v>182.03</v>
      </c>
      <c r="H4789" s="225">
        <f t="shared" si="74"/>
        <v>143.94</v>
      </c>
    </row>
    <row r="4790" spans="1:8" x14ac:dyDescent="0.3">
      <c r="A4790" s="401"/>
      <c r="B4790" s="709">
        <v>10234</v>
      </c>
      <c r="C4790" s="710" t="s">
        <v>13113</v>
      </c>
      <c r="D4790" s="709" t="s">
        <v>136</v>
      </c>
      <c r="E4790" s="709" t="s">
        <v>8432</v>
      </c>
      <c r="F4790" s="716">
        <v>90.67</v>
      </c>
      <c r="G4790" s="716">
        <v>114.67</v>
      </c>
      <c r="H4790" s="225">
        <f t="shared" si="74"/>
        <v>90.67</v>
      </c>
    </row>
    <row r="4791" spans="1:8" x14ac:dyDescent="0.3">
      <c r="A4791" s="401"/>
      <c r="B4791" s="709">
        <v>10231</v>
      </c>
      <c r="C4791" s="710" t="s">
        <v>13114</v>
      </c>
      <c r="D4791" s="709" t="s">
        <v>136</v>
      </c>
      <c r="E4791" s="709" t="s">
        <v>8432</v>
      </c>
      <c r="F4791" s="716">
        <v>415.79</v>
      </c>
      <c r="G4791" s="716">
        <v>525.82000000000005</v>
      </c>
      <c r="H4791" s="225">
        <f t="shared" si="74"/>
        <v>415.79</v>
      </c>
    </row>
    <row r="4792" spans="1:8" x14ac:dyDescent="0.3">
      <c r="A4792" s="401"/>
      <c r="B4792" s="709">
        <v>10232</v>
      </c>
      <c r="C4792" s="710" t="s">
        <v>13115</v>
      </c>
      <c r="D4792" s="709" t="s">
        <v>136</v>
      </c>
      <c r="E4792" s="709" t="s">
        <v>8432</v>
      </c>
      <c r="F4792" s="716">
        <v>232.67</v>
      </c>
      <c r="G4792" s="716">
        <v>294.24</v>
      </c>
      <c r="H4792" s="225">
        <f t="shared" si="74"/>
        <v>232.67</v>
      </c>
    </row>
    <row r="4793" spans="1:8" x14ac:dyDescent="0.3">
      <c r="A4793" s="401"/>
      <c r="B4793" s="709">
        <v>10235</v>
      </c>
      <c r="C4793" s="710" t="s">
        <v>13116</v>
      </c>
      <c r="D4793" s="709" t="s">
        <v>136</v>
      </c>
      <c r="E4793" s="709" t="s">
        <v>8432</v>
      </c>
      <c r="F4793" s="716">
        <v>570</v>
      </c>
      <c r="G4793" s="716">
        <v>720.84</v>
      </c>
      <c r="H4793" s="225">
        <f t="shared" si="74"/>
        <v>570</v>
      </c>
    </row>
    <row r="4794" spans="1:8" x14ac:dyDescent="0.3">
      <c r="A4794" s="401"/>
      <c r="B4794" s="709">
        <v>10229</v>
      </c>
      <c r="C4794" s="710" t="s">
        <v>13117</v>
      </c>
      <c r="D4794" s="709" t="s">
        <v>136</v>
      </c>
      <c r="E4794" s="709" t="s">
        <v>8438</v>
      </c>
      <c r="F4794" s="716">
        <v>82</v>
      </c>
      <c r="G4794" s="716">
        <v>103.7</v>
      </c>
      <c r="H4794" s="225">
        <f t="shared" si="74"/>
        <v>82</v>
      </c>
    </row>
    <row r="4795" spans="1:8" x14ac:dyDescent="0.3">
      <c r="A4795" s="401"/>
      <c r="B4795" s="709">
        <v>10230</v>
      </c>
      <c r="C4795" s="710" t="s">
        <v>13118</v>
      </c>
      <c r="D4795" s="709" t="s">
        <v>136</v>
      </c>
      <c r="E4795" s="709" t="s">
        <v>8432</v>
      </c>
      <c r="F4795" s="716">
        <v>1003.14</v>
      </c>
      <c r="G4795" s="716">
        <v>1268.6099999999999</v>
      </c>
      <c r="H4795" s="225">
        <f t="shared" si="74"/>
        <v>1003.14</v>
      </c>
    </row>
    <row r="4796" spans="1:8" x14ac:dyDescent="0.3">
      <c r="A4796" s="401"/>
      <c r="B4796" s="709">
        <v>10409</v>
      </c>
      <c r="C4796" s="710" t="s">
        <v>13119</v>
      </c>
      <c r="D4796" s="709" t="s">
        <v>136</v>
      </c>
      <c r="E4796" s="709" t="s">
        <v>8432</v>
      </c>
      <c r="F4796" s="716">
        <v>298.02</v>
      </c>
      <c r="G4796" s="716">
        <v>376.89</v>
      </c>
      <c r="H4796" s="225">
        <f t="shared" si="74"/>
        <v>298.02</v>
      </c>
    </row>
    <row r="4797" spans="1:8" x14ac:dyDescent="0.3">
      <c r="A4797" s="401"/>
      <c r="B4797" s="709">
        <v>10411</v>
      </c>
      <c r="C4797" s="710" t="s">
        <v>13120</v>
      </c>
      <c r="D4797" s="709" t="s">
        <v>136</v>
      </c>
      <c r="E4797" s="709" t="s">
        <v>8432</v>
      </c>
      <c r="F4797" s="716">
        <v>266.67</v>
      </c>
      <c r="G4797" s="716">
        <v>337.24</v>
      </c>
      <c r="H4797" s="225">
        <f t="shared" si="74"/>
        <v>266.67</v>
      </c>
    </row>
    <row r="4798" spans="1:8" x14ac:dyDescent="0.3">
      <c r="A4798" s="401"/>
      <c r="B4798" s="709">
        <v>10410</v>
      </c>
      <c r="C4798" s="710" t="s">
        <v>13121</v>
      </c>
      <c r="D4798" s="709" t="s">
        <v>136</v>
      </c>
      <c r="E4798" s="709" t="s">
        <v>8432</v>
      </c>
      <c r="F4798" s="716">
        <v>178.13</v>
      </c>
      <c r="G4798" s="716">
        <v>225.28</v>
      </c>
      <c r="H4798" s="225">
        <f t="shared" si="74"/>
        <v>178.13</v>
      </c>
    </row>
    <row r="4799" spans="1:8" x14ac:dyDescent="0.3">
      <c r="A4799" s="401"/>
      <c r="B4799" s="709">
        <v>10404</v>
      </c>
      <c r="C4799" s="710" t="s">
        <v>13122</v>
      </c>
      <c r="D4799" s="709" t="s">
        <v>136</v>
      </c>
      <c r="E4799" s="709" t="s">
        <v>8432</v>
      </c>
      <c r="F4799" s="716">
        <v>108.15</v>
      </c>
      <c r="G4799" s="716">
        <v>136.77000000000001</v>
      </c>
      <c r="H4799" s="225">
        <f t="shared" si="74"/>
        <v>108.15</v>
      </c>
    </row>
    <row r="4800" spans="1:8" x14ac:dyDescent="0.3">
      <c r="A4800" s="401"/>
      <c r="B4800" s="709">
        <v>10405</v>
      </c>
      <c r="C4800" s="710" t="s">
        <v>13123</v>
      </c>
      <c r="D4800" s="709" t="s">
        <v>136</v>
      </c>
      <c r="E4800" s="709" t="s">
        <v>8432</v>
      </c>
      <c r="F4800" s="716">
        <v>597.09</v>
      </c>
      <c r="G4800" s="716">
        <v>755.1</v>
      </c>
      <c r="H4800" s="225">
        <f t="shared" si="74"/>
        <v>597.09</v>
      </c>
    </row>
    <row r="4801" spans="1:8" x14ac:dyDescent="0.3">
      <c r="A4801" s="401"/>
      <c r="B4801" s="709">
        <v>10408</v>
      </c>
      <c r="C4801" s="710" t="s">
        <v>13124</v>
      </c>
      <c r="D4801" s="709" t="s">
        <v>136</v>
      </c>
      <c r="E4801" s="709" t="s">
        <v>8432</v>
      </c>
      <c r="F4801" s="716">
        <v>417.53</v>
      </c>
      <c r="G4801" s="716">
        <v>528.03</v>
      </c>
      <c r="H4801" s="225">
        <f t="shared" si="74"/>
        <v>417.53</v>
      </c>
    </row>
    <row r="4802" spans="1:8" x14ac:dyDescent="0.3">
      <c r="A4802" s="401"/>
      <c r="B4802" s="709">
        <v>10406</v>
      </c>
      <c r="C4802" s="710" t="s">
        <v>13125</v>
      </c>
      <c r="D4802" s="709" t="s">
        <v>136</v>
      </c>
      <c r="E4802" s="709" t="s">
        <v>8432</v>
      </c>
      <c r="F4802" s="716">
        <v>824.7</v>
      </c>
      <c r="G4802" s="716">
        <v>1042.94</v>
      </c>
      <c r="H4802" s="225">
        <f t="shared" si="74"/>
        <v>824.7</v>
      </c>
    </row>
    <row r="4803" spans="1:8" x14ac:dyDescent="0.3">
      <c r="A4803" s="401"/>
      <c r="B4803" s="709">
        <v>10412</v>
      </c>
      <c r="C4803" s="710" t="s">
        <v>13126</v>
      </c>
      <c r="D4803" s="709" t="s">
        <v>136</v>
      </c>
      <c r="E4803" s="709" t="s">
        <v>8432</v>
      </c>
      <c r="F4803" s="716">
        <v>131.06</v>
      </c>
      <c r="G4803" s="716">
        <v>165.75</v>
      </c>
      <c r="H4803" s="225">
        <f t="shared" si="74"/>
        <v>131.06</v>
      </c>
    </row>
    <row r="4804" spans="1:8" x14ac:dyDescent="0.3">
      <c r="A4804" s="401"/>
      <c r="B4804" s="709">
        <v>10407</v>
      </c>
      <c r="C4804" s="710" t="s">
        <v>13127</v>
      </c>
      <c r="D4804" s="709" t="s">
        <v>136</v>
      </c>
      <c r="E4804" s="709" t="s">
        <v>8432</v>
      </c>
      <c r="F4804" s="716">
        <v>1279.1099999999999</v>
      </c>
      <c r="G4804" s="716">
        <v>1617.61</v>
      </c>
      <c r="H4804" s="225">
        <f t="shared" si="74"/>
        <v>1279.1099999999999</v>
      </c>
    </row>
    <row r="4805" spans="1:8" x14ac:dyDescent="0.3">
      <c r="A4805" s="401"/>
      <c r="B4805" s="709">
        <v>10416</v>
      </c>
      <c r="C4805" s="710" t="s">
        <v>13128</v>
      </c>
      <c r="D4805" s="709" t="s">
        <v>136</v>
      </c>
      <c r="E4805" s="709" t="s">
        <v>8432</v>
      </c>
      <c r="F4805" s="716">
        <v>158.66</v>
      </c>
      <c r="G4805" s="716">
        <v>200.65</v>
      </c>
      <c r="H4805" s="225">
        <f t="shared" si="74"/>
        <v>158.66</v>
      </c>
    </row>
    <row r="4806" spans="1:8" x14ac:dyDescent="0.3">
      <c r="A4806" s="401"/>
      <c r="B4806" s="709">
        <v>10419</v>
      </c>
      <c r="C4806" s="710" t="s">
        <v>13129</v>
      </c>
      <c r="D4806" s="709" t="s">
        <v>136</v>
      </c>
      <c r="E4806" s="709" t="s">
        <v>8432</v>
      </c>
      <c r="F4806" s="716">
        <v>137.72</v>
      </c>
      <c r="G4806" s="716">
        <v>174.16</v>
      </c>
      <c r="H4806" s="225">
        <f t="shared" si="74"/>
        <v>137.72</v>
      </c>
    </row>
    <row r="4807" spans="1:8" x14ac:dyDescent="0.3">
      <c r="A4807" s="401"/>
      <c r="B4807" s="709">
        <v>10418</v>
      </c>
      <c r="C4807" s="710" t="s">
        <v>13130</v>
      </c>
      <c r="D4807" s="709" t="s">
        <v>136</v>
      </c>
      <c r="E4807" s="709" t="s">
        <v>8432</v>
      </c>
      <c r="F4807" s="716">
        <v>91.8</v>
      </c>
      <c r="G4807" s="716">
        <v>116.09</v>
      </c>
      <c r="H4807" s="225">
        <f t="shared" si="74"/>
        <v>91.8</v>
      </c>
    </row>
    <row r="4808" spans="1:8" x14ac:dyDescent="0.3">
      <c r="A4808" s="401"/>
      <c r="B4808" s="709">
        <v>21092</v>
      </c>
      <c r="C4808" s="710" t="s">
        <v>13131</v>
      </c>
      <c r="D4808" s="709" t="s">
        <v>136</v>
      </c>
      <c r="E4808" s="709" t="s">
        <v>8432</v>
      </c>
      <c r="F4808" s="716">
        <v>78.73</v>
      </c>
      <c r="G4808" s="716">
        <v>99.57</v>
      </c>
      <c r="H4808" s="225">
        <f t="shared" si="74"/>
        <v>78.73</v>
      </c>
    </row>
    <row r="4809" spans="1:8" x14ac:dyDescent="0.3">
      <c r="A4809" s="401"/>
      <c r="B4809" s="709">
        <v>12657</v>
      </c>
      <c r="C4809" s="710" t="s">
        <v>13132</v>
      </c>
      <c r="D4809" s="709" t="s">
        <v>136</v>
      </c>
      <c r="E4809" s="709" t="s">
        <v>8432</v>
      </c>
      <c r="F4809" s="716">
        <v>370.44</v>
      </c>
      <c r="G4809" s="716">
        <v>468.47</v>
      </c>
      <c r="H4809" s="225">
        <f t="shared" si="74"/>
        <v>370.44</v>
      </c>
    </row>
    <row r="4810" spans="1:8" x14ac:dyDescent="0.3">
      <c r="A4810" s="401"/>
      <c r="B4810" s="709">
        <v>10417</v>
      </c>
      <c r="C4810" s="710" t="s">
        <v>13133</v>
      </c>
      <c r="D4810" s="709" t="s">
        <v>136</v>
      </c>
      <c r="E4810" s="709" t="s">
        <v>8432</v>
      </c>
      <c r="F4810" s="716">
        <v>231.17</v>
      </c>
      <c r="G4810" s="716">
        <v>292.35000000000002</v>
      </c>
      <c r="H4810" s="225">
        <f t="shared" si="74"/>
        <v>231.17</v>
      </c>
    </row>
    <row r="4811" spans="1:8" x14ac:dyDescent="0.3">
      <c r="A4811" s="401"/>
      <c r="B4811" s="709">
        <v>10414</v>
      </c>
      <c r="C4811" s="710" t="s">
        <v>13134</v>
      </c>
      <c r="D4811" s="709" t="s">
        <v>136</v>
      </c>
      <c r="E4811" s="709" t="s">
        <v>8432</v>
      </c>
      <c r="F4811" s="716">
        <v>505.86</v>
      </c>
      <c r="G4811" s="716">
        <v>639.72</v>
      </c>
      <c r="H4811" s="225">
        <f t="shared" ref="H4811:H4874" si="75">IF(F4811&gt;0,F4811,G4811)</f>
        <v>505.86</v>
      </c>
    </row>
    <row r="4812" spans="1:8" x14ac:dyDescent="0.3">
      <c r="A4812" s="401"/>
      <c r="B4812" s="709">
        <v>10413</v>
      </c>
      <c r="C4812" s="710" t="s">
        <v>13135</v>
      </c>
      <c r="D4812" s="709" t="s">
        <v>136</v>
      </c>
      <c r="E4812" s="709" t="s">
        <v>8432</v>
      </c>
      <c r="F4812" s="716">
        <v>84.02</v>
      </c>
      <c r="G4812" s="716">
        <v>106.25</v>
      </c>
      <c r="H4812" s="225">
        <f t="shared" si="75"/>
        <v>84.02</v>
      </c>
    </row>
    <row r="4813" spans="1:8" x14ac:dyDescent="0.3">
      <c r="A4813" s="401"/>
      <c r="B4813" s="709">
        <v>10415</v>
      </c>
      <c r="C4813" s="710" t="s">
        <v>13136</v>
      </c>
      <c r="D4813" s="709" t="s">
        <v>136</v>
      </c>
      <c r="E4813" s="709" t="s">
        <v>8432</v>
      </c>
      <c r="F4813" s="716">
        <v>877.94</v>
      </c>
      <c r="G4813" s="716">
        <v>1110.28</v>
      </c>
      <c r="H4813" s="225">
        <f t="shared" si="75"/>
        <v>877.94</v>
      </c>
    </row>
    <row r="4814" spans="1:8" x14ac:dyDescent="0.3">
      <c r="A4814" s="401"/>
      <c r="B4814" s="709">
        <v>38643</v>
      </c>
      <c r="C4814" s="710" t="s">
        <v>13137</v>
      </c>
      <c r="D4814" s="709" t="s">
        <v>136</v>
      </c>
      <c r="E4814" s="709" t="s">
        <v>8432</v>
      </c>
      <c r="F4814" s="716">
        <v>75.319999999999993</v>
      </c>
      <c r="G4814" s="716">
        <v>45.76</v>
      </c>
      <c r="H4814" s="225">
        <f t="shared" si="75"/>
        <v>75.319999999999993</v>
      </c>
    </row>
    <row r="4815" spans="1:8" x14ac:dyDescent="0.3">
      <c r="A4815" s="401"/>
      <c r="B4815" s="709">
        <v>6157</v>
      </c>
      <c r="C4815" s="710" t="s">
        <v>13138</v>
      </c>
      <c r="D4815" s="709" t="s">
        <v>136</v>
      </c>
      <c r="E4815" s="709" t="s">
        <v>8432</v>
      </c>
      <c r="F4815" s="716">
        <v>102.9</v>
      </c>
      <c r="G4815" s="716">
        <v>62.51</v>
      </c>
      <c r="H4815" s="225">
        <f t="shared" si="75"/>
        <v>102.9</v>
      </c>
    </row>
    <row r="4816" spans="1:8" x14ac:dyDescent="0.3">
      <c r="A4816" s="401"/>
      <c r="B4816" s="709">
        <v>6158</v>
      </c>
      <c r="C4816" s="710" t="s">
        <v>13139</v>
      </c>
      <c r="D4816" s="709" t="s">
        <v>136</v>
      </c>
      <c r="E4816" s="709" t="s">
        <v>8432</v>
      </c>
      <c r="F4816" s="716">
        <v>9.43</v>
      </c>
      <c r="G4816" s="716">
        <v>8.9600000000000009</v>
      </c>
      <c r="H4816" s="225">
        <f t="shared" si="75"/>
        <v>9.43</v>
      </c>
    </row>
    <row r="4817" spans="1:8" x14ac:dyDescent="0.3">
      <c r="A4817" s="401"/>
      <c r="B4817" s="709">
        <v>6156</v>
      </c>
      <c r="C4817" s="710" t="s">
        <v>13140</v>
      </c>
      <c r="D4817" s="709" t="s">
        <v>136</v>
      </c>
      <c r="E4817" s="709" t="s">
        <v>8432</v>
      </c>
      <c r="F4817" s="716">
        <v>8.09</v>
      </c>
      <c r="G4817" s="716">
        <v>7.69</v>
      </c>
      <c r="H4817" s="225">
        <f t="shared" si="75"/>
        <v>8.09</v>
      </c>
    </row>
    <row r="4818" spans="1:8" x14ac:dyDescent="0.3">
      <c r="A4818" s="401"/>
      <c r="B4818" s="709">
        <v>6153</v>
      </c>
      <c r="C4818" s="710" t="s">
        <v>13141</v>
      </c>
      <c r="D4818" s="709" t="s">
        <v>136</v>
      </c>
      <c r="E4818" s="709" t="s">
        <v>8432</v>
      </c>
      <c r="F4818" s="716">
        <v>6.49</v>
      </c>
      <c r="G4818" s="716">
        <v>6.17</v>
      </c>
      <c r="H4818" s="225">
        <f t="shared" si="75"/>
        <v>6.49</v>
      </c>
    </row>
    <row r="4819" spans="1:8" x14ac:dyDescent="0.3">
      <c r="A4819" s="401"/>
      <c r="B4819" s="709">
        <v>6154</v>
      </c>
      <c r="C4819" s="710" t="s">
        <v>13142</v>
      </c>
      <c r="D4819" s="709" t="s">
        <v>136</v>
      </c>
      <c r="E4819" s="709" t="s">
        <v>8432</v>
      </c>
      <c r="F4819" s="716">
        <v>11.54</v>
      </c>
      <c r="G4819" s="716">
        <v>10.96</v>
      </c>
      <c r="H4819" s="225">
        <f t="shared" si="75"/>
        <v>11.54</v>
      </c>
    </row>
    <row r="4820" spans="1:8" x14ac:dyDescent="0.3">
      <c r="A4820" s="401"/>
      <c r="B4820" s="709">
        <v>6155</v>
      </c>
      <c r="C4820" s="710" t="s">
        <v>13143</v>
      </c>
      <c r="D4820" s="709" t="s">
        <v>136</v>
      </c>
      <c r="E4820" s="709" t="s">
        <v>8432</v>
      </c>
      <c r="F4820" s="716">
        <v>26.55</v>
      </c>
      <c r="G4820" s="716">
        <v>25.23</v>
      </c>
      <c r="H4820" s="225">
        <f t="shared" si="75"/>
        <v>26.55</v>
      </c>
    </row>
    <row r="4821" spans="1:8" x14ac:dyDescent="0.3">
      <c r="A4821" s="401"/>
      <c r="B4821" s="709">
        <v>43595</v>
      </c>
      <c r="C4821" s="710" t="s">
        <v>13144</v>
      </c>
      <c r="D4821" s="709" t="s">
        <v>136</v>
      </c>
      <c r="E4821" s="709" t="s">
        <v>8432</v>
      </c>
      <c r="F4821" s="716">
        <v>22.58</v>
      </c>
      <c r="G4821" s="716">
        <v>18.68</v>
      </c>
      <c r="H4821" s="225">
        <f t="shared" si="75"/>
        <v>22.58</v>
      </c>
    </row>
    <row r="4822" spans="1:8" x14ac:dyDescent="0.3">
      <c r="A4822" s="401"/>
      <c r="B4822" s="709">
        <v>43596</v>
      </c>
      <c r="C4822" s="710" t="s">
        <v>13145</v>
      </c>
      <c r="D4822" s="709" t="s">
        <v>136</v>
      </c>
      <c r="E4822" s="709" t="s">
        <v>8432</v>
      </c>
      <c r="F4822" s="716">
        <v>26.1</v>
      </c>
      <c r="G4822" s="716">
        <v>21.59</v>
      </c>
      <c r="H4822" s="225">
        <f t="shared" si="75"/>
        <v>26.1</v>
      </c>
    </row>
    <row r="4823" spans="1:8" x14ac:dyDescent="0.3">
      <c r="A4823" s="401"/>
      <c r="B4823" s="709">
        <v>38108</v>
      </c>
      <c r="C4823" s="710" t="s">
        <v>13146</v>
      </c>
      <c r="D4823" s="709" t="s">
        <v>136</v>
      </c>
      <c r="E4823" s="709" t="s">
        <v>8432</v>
      </c>
      <c r="F4823" s="716">
        <v>53.9</v>
      </c>
      <c r="G4823" s="716">
        <v>51.56</v>
      </c>
      <c r="H4823" s="225">
        <f t="shared" si="75"/>
        <v>53.9</v>
      </c>
    </row>
    <row r="4824" spans="1:8" x14ac:dyDescent="0.3">
      <c r="A4824" s="401"/>
      <c r="B4824" s="709">
        <v>38087</v>
      </c>
      <c r="C4824" s="710" t="s">
        <v>13147</v>
      </c>
      <c r="D4824" s="709" t="s">
        <v>136</v>
      </c>
      <c r="E4824" s="709" t="s">
        <v>8432</v>
      </c>
      <c r="F4824" s="716">
        <v>69.33</v>
      </c>
      <c r="G4824" s="716">
        <v>66.31</v>
      </c>
      <c r="H4824" s="225">
        <f t="shared" si="75"/>
        <v>69.33</v>
      </c>
    </row>
    <row r="4825" spans="1:8" x14ac:dyDescent="0.3">
      <c r="A4825" s="401"/>
      <c r="B4825" s="709">
        <v>38109</v>
      </c>
      <c r="C4825" s="710" t="s">
        <v>13148</v>
      </c>
      <c r="D4825" s="709" t="s">
        <v>136</v>
      </c>
      <c r="E4825" s="709" t="s">
        <v>8432</v>
      </c>
      <c r="F4825" s="716">
        <v>86.15</v>
      </c>
      <c r="G4825" s="716">
        <v>82.4</v>
      </c>
      <c r="H4825" s="225">
        <f t="shared" si="75"/>
        <v>86.15</v>
      </c>
    </row>
    <row r="4826" spans="1:8" x14ac:dyDescent="0.3">
      <c r="A4826" s="401"/>
      <c r="B4826" s="709">
        <v>38088</v>
      </c>
      <c r="C4826" s="710" t="s">
        <v>13149</v>
      </c>
      <c r="D4826" s="709" t="s">
        <v>136</v>
      </c>
      <c r="E4826" s="709" t="s">
        <v>8432</v>
      </c>
      <c r="F4826" s="716">
        <v>90.58</v>
      </c>
      <c r="G4826" s="716">
        <v>86.64</v>
      </c>
      <c r="H4826" s="225">
        <f t="shared" si="75"/>
        <v>90.58</v>
      </c>
    </row>
    <row r="4827" spans="1:8" x14ac:dyDescent="0.3">
      <c r="A4827" s="401"/>
      <c r="B4827" s="709">
        <v>38110</v>
      </c>
      <c r="C4827" s="710" t="s">
        <v>13150</v>
      </c>
      <c r="D4827" s="709" t="s">
        <v>136</v>
      </c>
      <c r="E4827" s="709" t="s">
        <v>8432</v>
      </c>
      <c r="F4827" s="716">
        <v>33.14</v>
      </c>
      <c r="G4827" s="716">
        <v>31.7</v>
      </c>
      <c r="H4827" s="225">
        <f t="shared" si="75"/>
        <v>33.14</v>
      </c>
    </row>
    <row r="4828" spans="1:8" x14ac:dyDescent="0.3">
      <c r="A4828" s="401"/>
      <c r="B4828" s="709">
        <v>38089</v>
      </c>
      <c r="C4828" s="710" t="s">
        <v>13151</v>
      </c>
      <c r="D4828" s="709" t="s">
        <v>136</v>
      </c>
      <c r="E4828" s="709" t="s">
        <v>8432</v>
      </c>
      <c r="F4828" s="716">
        <v>57.74</v>
      </c>
      <c r="G4828" s="716">
        <v>55.23</v>
      </c>
      <c r="H4828" s="225">
        <f t="shared" si="75"/>
        <v>57.74</v>
      </c>
    </row>
    <row r="4829" spans="1:8" x14ac:dyDescent="0.3">
      <c r="A4829" s="401"/>
      <c r="B4829" s="709">
        <v>38111</v>
      </c>
      <c r="C4829" s="710" t="s">
        <v>13152</v>
      </c>
      <c r="D4829" s="709" t="s">
        <v>136</v>
      </c>
      <c r="E4829" s="709" t="s">
        <v>8432</v>
      </c>
      <c r="F4829" s="716">
        <v>37.06</v>
      </c>
      <c r="G4829" s="716">
        <v>35.450000000000003</v>
      </c>
      <c r="H4829" s="225">
        <f t="shared" si="75"/>
        <v>37.06</v>
      </c>
    </row>
    <row r="4830" spans="1:8" x14ac:dyDescent="0.3">
      <c r="A4830" s="401"/>
      <c r="B4830" s="709">
        <v>38090</v>
      </c>
      <c r="C4830" s="710" t="s">
        <v>13153</v>
      </c>
      <c r="D4830" s="709" t="s">
        <v>136</v>
      </c>
      <c r="E4830" s="709" t="s">
        <v>8432</v>
      </c>
      <c r="F4830" s="716">
        <v>59.68</v>
      </c>
      <c r="G4830" s="716">
        <v>57.09</v>
      </c>
      <c r="H4830" s="225">
        <f t="shared" si="75"/>
        <v>59.68</v>
      </c>
    </row>
    <row r="4831" spans="1:8" x14ac:dyDescent="0.3">
      <c r="A4831" s="401"/>
      <c r="B4831" s="709">
        <v>38400</v>
      </c>
      <c r="C4831" s="710" t="s">
        <v>13154</v>
      </c>
      <c r="D4831" s="709" t="s">
        <v>136</v>
      </c>
      <c r="E4831" s="709" t="s">
        <v>8432</v>
      </c>
      <c r="F4831">
        <v>47.47</v>
      </c>
      <c r="G4831">
        <v>53.77</v>
      </c>
      <c r="H4831" s="225">
        <f t="shared" si="75"/>
        <v>47.47</v>
      </c>
    </row>
    <row r="4832" spans="1:8" x14ac:dyDescent="0.3">
      <c r="A4832" s="401"/>
      <c r="B4832" s="709">
        <v>13726</v>
      </c>
      <c r="C4832" s="710" t="s">
        <v>13155</v>
      </c>
      <c r="D4832" s="709" t="s">
        <v>136</v>
      </c>
      <c r="E4832" s="709" t="s">
        <v>8432</v>
      </c>
      <c r="F4832">
        <v>86593.87</v>
      </c>
      <c r="G4832">
        <v>68954.080000000002</v>
      </c>
      <c r="H4832" s="225">
        <f t="shared" si="75"/>
        <v>86593.87</v>
      </c>
    </row>
    <row r="4833" spans="1:8" x14ac:dyDescent="0.3">
      <c r="A4833" s="401"/>
      <c r="B4833" s="709">
        <v>12627</v>
      </c>
      <c r="C4833" s="710" t="s">
        <v>13156</v>
      </c>
      <c r="D4833" s="709" t="s">
        <v>136</v>
      </c>
      <c r="E4833" s="709" t="s">
        <v>8432</v>
      </c>
      <c r="F4833">
        <v>1.69</v>
      </c>
      <c r="G4833">
        <v>1.71</v>
      </c>
      <c r="H4833" s="225">
        <f t="shared" si="75"/>
        <v>1.69</v>
      </c>
    </row>
    <row r="4834" spans="1:8" x14ac:dyDescent="0.3">
      <c r="A4834" s="401"/>
      <c r="B4834" s="709">
        <v>39996</v>
      </c>
      <c r="C4834" s="710" t="s">
        <v>13157</v>
      </c>
      <c r="D4834" s="709" t="s">
        <v>159</v>
      </c>
      <c r="E4834" s="709" t="s">
        <v>8432</v>
      </c>
      <c r="F4834">
        <v>4.25</v>
      </c>
      <c r="G4834">
        <v>3.36</v>
      </c>
      <c r="H4834" s="225">
        <f t="shared" si="75"/>
        <v>4.25</v>
      </c>
    </row>
    <row r="4835" spans="1:8" x14ac:dyDescent="0.3">
      <c r="A4835" s="401"/>
      <c r="B4835" s="709">
        <v>10478</v>
      </c>
      <c r="C4835" s="710" t="s">
        <v>13158</v>
      </c>
      <c r="D4835" s="709" t="s">
        <v>8120</v>
      </c>
      <c r="E4835" s="709" t="s">
        <v>8438</v>
      </c>
      <c r="F4835">
        <v>47.14</v>
      </c>
      <c r="G4835">
        <v>39.479999999999997</v>
      </c>
      <c r="H4835" s="225">
        <f t="shared" si="75"/>
        <v>47.14</v>
      </c>
    </row>
    <row r="4836" spans="1:8" x14ac:dyDescent="0.3">
      <c r="A4836" s="401"/>
      <c r="B4836" s="709">
        <v>10481</v>
      </c>
      <c r="C4836" s="710" t="s">
        <v>13159</v>
      </c>
      <c r="D4836" s="709" t="s">
        <v>8120</v>
      </c>
      <c r="E4836" s="709" t="s">
        <v>8432</v>
      </c>
      <c r="F4836">
        <v>41.92</v>
      </c>
      <c r="G4836">
        <v>35.11</v>
      </c>
      <c r="H4836" s="225">
        <f t="shared" si="75"/>
        <v>41.92</v>
      </c>
    </row>
    <row r="4837" spans="1:8" x14ac:dyDescent="0.3">
      <c r="A4837" s="401"/>
      <c r="B4837" s="709">
        <v>10475</v>
      </c>
      <c r="C4837" s="710" t="s">
        <v>13160</v>
      </c>
      <c r="D4837" s="709" t="s">
        <v>8120</v>
      </c>
      <c r="E4837" s="709" t="s">
        <v>8432</v>
      </c>
      <c r="F4837">
        <v>40.56</v>
      </c>
      <c r="G4837">
        <v>33.97</v>
      </c>
      <c r="H4837" s="225">
        <f t="shared" si="75"/>
        <v>40.56</v>
      </c>
    </row>
    <row r="4838" spans="1:8" x14ac:dyDescent="0.3">
      <c r="A4838" s="401"/>
      <c r="B4838" s="709">
        <v>4030</v>
      </c>
      <c r="C4838" s="710" t="s">
        <v>13161</v>
      </c>
      <c r="D4838" s="709" t="s">
        <v>168</v>
      </c>
      <c r="E4838" s="709" t="s">
        <v>8432</v>
      </c>
      <c r="F4838">
        <v>7.96</v>
      </c>
      <c r="G4838">
        <v>7.81</v>
      </c>
      <c r="H4838" s="225">
        <f t="shared" si="75"/>
        <v>7.96</v>
      </c>
    </row>
    <row r="4839" spans="1:8" x14ac:dyDescent="0.3">
      <c r="A4839" s="401"/>
      <c r="B4839" s="709">
        <v>4031</v>
      </c>
      <c r="C4839" s="710" t="s">
        <v>13162</v>
      </c>
      <c r="D4839" s="709" t="s">
        <v>168</v>
      </c>
      <c r="E4839" s="709" t="s">
        <v>8432</v>
      </c>
      <c r="F4839">
        <v>37.450000000000003</v>
      </c>
      <c r="G4839">
        <v>36.700000000000003</v>
      </c>
      <c r="H4839" s="225">
        <f t="shared" si="75"/>
        <v>37.450000000000003</v>
      </c>
    </row>
    <row r="4840" spans="1:8" x14ac:dyDescent="0.3">
      <c r="A4840" s="401"/>
      <c r="B4840" s="709">
        <v>11652</v>
      </c>
      <c r="C4840" s="710" t="s">
        <v>13163</v>
      </c>
      <c r="D4840" s="709" t="s">
        <v>136</v>
      </c>
      <c r="E4840" s="709" t="s">
        <v>8438</v>
      </c>
      <c r="F4840">
        <v>3944</v>
      </c>
      <c r="G4840">
        <v>4291.96</v>
      </c>
      <c r="H4840" s="225">
        <f t="shared" si="75"/>
        <v>3944</v>
      </c>
    </row>
    <row r="4841" spans="1:8" x14ac:dyDescent="0.3">
      <c r="A4841" s="401"/>
      <c r="B4841" s="709">
        <v>13896</v>
      </c>
      <c r="C4841" s="710" t="s">
        <v>13164</v>
      </c>
      <c r="D4841" s="709" t="s">
        <v>136</v>
      </c>
      <c r="E4841" s="709" t="s">
        <v>8432</v>
      </c>
      <c r="F4841">
        <v>3538.11</v>
      </c>
      <c r="G4841">
        <v>3850.26</v>
      </c>
      <c r="H4841" s="225">
        <f t="shared" si="75"/>
        <v>3538.11</v>
      </c>
    </row>
    <row r="4842" spans="1:8" x14ac:dyDescent="0.3">
      <c r="A4842" s="401"/>
      <c r="B4842" s="709">
        <v>44470</v>
      </c>
      <c r="C4842" s="710" t="s">
        <v>13165</v>
      </c>
      <c r="D4842" s="709" t="s">
        <v>136</v>
      </c>
      <c r="E4842" s="709" t="s">
        <v>8432</v>
      </c>
      <c r="G4842">
        <v>1810653.5</v>
      </c>
      <c r="H4842" s="225">
        <f t="shared" si="75"/>
        <v>1810653.5</v>
      </c>
    </row>
    <row r="4843" spans="1:8" x14ac:dyDescent="0.3">
      <c r="A4843" s="401"/>
      <c r="B4843" s="709">
        <v>13476</v>
      </c>
      <c r="C4843" s="710" t="s">
        <v>13166</v>
      </c>
      <c r="D4843" s="709" t="s">
        <v>136</v>
      </c>
      <c r="E4843" s="709" t="s">
        <v>8432</v>
      </c>
      <c r="G4843">
        <v>1823774.31</v>
      </c>
      <c r="H4843" s="225">
        <f t="shared" si="75"/>
        <v>1823774.31</v>
      </c>
    </row>
    <row r="4844" spans="1:8" x14ac:dyDescent="0.3">
      <c r="A4844" s="401"/>
      <c r="B4844" s="709">
        <v>44491</v>
      </c>
      <c r="C4844" s="710" t="s">
        <v>13167</v>
      </c>
      <c r="D4844" s="709" t="s">
        <v>136</v>
      </c>
      <c r="E4844" s="709" t="s">
        <v>8432</v>
      </c>
      <c r="G4844">
        <v>4300958.25</v>
      </c>
      <c r="H4844" s="225">
        <f t="shared" si="75"/>
        <v>4300958.25</v>
      </c>
    </row>
    <row r="4845" spans="1:8" x14ac:dyDescent="0.3">
      <c r="A4845" s="401"/>
      <c r="B4845" s="709">
        <v>10488</v>
      </c>
      <c r="C4845" s="710" t="s">
        <v>13168</v>
      </c>
      <c r="D4845" s="709" t="s">
        <v>136</v>
      </c>
      <c r="E4845" s="709" t="s">
        <v>8438</v>
      </c>
      <c r="G4845">
        <v>2209522.2000000002</v>
      </c>
      <c r="H4845" s="225">
        <f t="shared" si="75"/>
        <v>2209522.2000000002</v>
      </c>
    </row>
    <row r="4846" spans="1:8" x14ac:dyDescent="0.3">
      <c r="B4846" s="709">
        <v>13606</v>
      </c>
      <c r="C4846" s="710" t="s">
        <v>13169</v>
      </c>
      <c r="D4846" s="709" t="s">
        <v>136</v>
      </c>
      <c r="E4846" s="709" t="s">
        <v>8432</v>
      </c>
      <c r="G4846">
        <v>1957605.07</v>
      </c>
      <c r="H4846" s="225">
        <f t="shared" si="75"/>
        <v>1957605.07</v>
      </c>
    </row>
    <row r="4847" spans="1:8" x14ac:dyDescent="0.3">
      <c r="B4847" s="709">
        <v>10489</v>
      </c>
      <c r="C4847" s="710" t="s">
        <v>13170</v>
      </c>
      <c r="D4847" s="709" t="s">
        <v>234</v>
      </c>
      <c r="E4847" s="709" t="s">
        <v>8432</v>
      </c>
      <c r="F4847">
        <v>21.04</v>
      </c>
      <c r="G4847">
        <v>22.51</v>
      </c>
      <c r="H4847" s="225">
        <f t="shared" si="75"/>
        <v>21.04</v>
      </c>
    </row>
    <row r="4848" spans="1:8" x14ac:dyDescent="0.3">
      <c r="B4848">
        <v>41073</v>
      </c>
      <c r="C4848" t="s">
        <v>13171</v>
      </c>
      <c r="D4848" t="s">
        <v>208</v>
      </c>
      <c r="E4848" t="s">
        <v>8432</v>
      </c>
      <c r="F4848">
        <v>3698.59</v>
      </c>
      <c r="G4848">
        <v>3944.32</v>
      </c>
      <c r="H4848" s="225">
        <f t="shared" si="75"/>
        <v>3698.59</v>
      </c>
    </row>
    <row r="4849" spans="2:8" x14ac:dyDescent="0.3">
      <c r="B4849">
        <v>34391</v>
      </c>
      <c r="C4849" t="s">
        <v>13172</v>
      </c>
      <c r="D4849" t="s">
        <v>168</v>
      </c>
      <c r="E4849" t="s">
        <v>8432</v>
      </c>
      <c r="F4849">
        <v>573.78</v>
      </c>
      <c r="G4849">
        <v>720.51</v>
      </c>
      <c r="H4849" s="225">
        <f t="shared" si="75"/>
        <v>573.78</v>
      </c>
    </row>
    <row r="4850" spans="2:8" x14ac:dyDescent="0.3">
      <c r="B4850">
        <v>10496</v>
      </c>
      <c r="C4850" t="s">
        <v>13173</v>
      </c>
      <c r="D4850" t="s">
        <v>168</v>
      </c>
      <c r="E4850" t="s">
        <v>8432</v>
      </c>
      <c r="F4850">
        <v>499.37</v>
      </c>
      <c r="G4850">
        <v>627.08000000000004</v>
      </c>
      <c r="H4850" s="225">
        <f t="shared" si="75"/>
        <v>499.37</v>
      </c>
    </row>
    <row r="4851" spans="2:8" x14ac:dyDescent="0.3">
      <c r="B4851">
        <v>10497</v>
      </c>
      <c r="C4851" t="s">
        <v>13174</v>
      </c>
      <c r="D4851" t="s">
        <v>168</v>
      </c>
      <c r="E4851" t="s">
        <v>8432</v>
      </c>
      <c r="F4851">
        <v>1298.3699999999999</v>
      </c>
      <c r="G4851">
        <v>1630.41</v>
      </c>
      <c r="H4851" s="225">
        <f t="shared" si="75"/>
        <v>1298.3699999999999</v>
      </c>
    </row>
    <row r="4852" spans="2:8" x14ac:dyDescent="0.3">
      <c r="B4852">
        <v>10504</v>
      </c>
      <c r="C4852" t="s">
        <v>13175</v>
      </c>
      <c r="D4852" t="s">
        <v>168</v>
      </c>
      <c r="E4852" t="s">
        <v>8432</v>
      </c>
      <c r="F4852">
        <v>1518.1</v>
      </c>
      <c r="G4852">
        <v>1906.33</v>
      </c>
      <c r="H4852" s="225">
        <f t="shared" si="75"/>
        <v>1518.1</v>
      </c>
    </row>
    <row r="4853" spans="2:8" x14ac:dyDescent="0.3">
      <c r="B4853">
        <v>34390</v>
      </c>
      <c r="C4853" t="s">
        <v>13176</v>
      </c>
      <c r="D4853" t="s">
        <v>168</v>
      </c>
      <c r="E4853" t="s">
        <v>8432</v>
      </c>
      <c r="F4853">
        <v>447.43</v>
      </c>
      <c r="G4853">
        <v>561.86</v>
      </c>
      <c r="H4853" s="225">
        <f t="shared" si="75"/>
        <v>447.43</v>
      </c>
    </row>
    <row r="4854" spans="2:8" x14ac:dyDescent="0.3">
      <c r="B4854">
        <v>34389</v>
      </c>
      <c r="C4854" t="s">
        <v>13177</v>
      </c>
      <c r="D4854" t="s">
        <v>168</v>
      </c>
      <c r="E4854" t="s">
        <v>8432</v>
      </c>
      <c r="F4854">
        <v>139.82</v>
      </c>
      <c r="G4854">
        <v>175.58</v>
      </c>
      <c r="H4854" s="225">
        <f t="shared" si="75"/>
        <v>139.82</v>
      </c>
    </row>
    <row r="4855" spans="2:8" x14ac:dyDescent="0.3">
      <c r="B4855">
        <v>34388</v>
      </c>
      <c r="C4855" t="s">
        <v>13178</v>
      </c>
      <c r="D4855" t="s">
        <v>168</v>
      </c>
      <c r="E4855" t="s">
        <v>8432</v>
      </c>
      <c r="F4855">
        <v>198.73</v>
      </c>
      <c r="G4855">
        <v>249.55</v>
      </c>
      <c r="H4855" s="225">
        <f t="shared" si="75"/>
        <v>198.73</v>
      </c>
    </row>
    <row r="4856" spans="2:8" x14ac:dyDescent="0.3">
      <c r="B4856">
        <v>34387</v>
      </c>
      <c r="C4856" t="s">
        <v>13179</v>
      </c>
      <c r="D4856" t="s">
        <v>168</v>
      </c>
      <c r="E4856" t="s">
        <v>8432</v>
      </c>
      <c r="F4856">
        <v>322.58999999999997</v>
      </c>
      <c r="G4856">
        <v>405.09</v>
      </c>
      <c r="H4856" s="225">
        <f t="shared" si="75"/>
        <v>322.58999999999997</v>
      </c>
    </row>
    <row r="4857" spans="2:8" x14ac:dyDescent="0.3">
      <c r="B4857">
        <v>11188</v>
      </c>
      <c r="C4857" t="s">
        <v>13180</v>
      </c>
      <c r="D4857" t="s">
        <v>168</v>
      </c>
      <c r="E4857" t="s">
        <v>8432</v>
      </c>
      <c r="F4857">
        <v>159.79</v>
      </c>
      <c r="G4857">
        <v>200.66</v>
      </c>
      <c r="H4857" s="225">
        <f t="shared" si="75"/>
        <v>159.79</v>
      </c>
    </row>
    <row r="4858" spans="2:8" x14ac:dyDescent="0.3">
      <c r="B4858">
        <v>11189</v>
      </c>
      <c r="C4858" t="s">
        <v>13181</v>
      </c>
      <c r="D4858" t="s">
        <v>168</v>
      </c>
      <c r="E4858" t="s">
        <v>8432</v>
      </c>
      <c r="F4858">
        <v>239.7</v>
      </c>
      <c r="G4858">
        <v>301</v>
      </c>
      <c r="H4858" s="225">
        <f t="shared" si="75"/>
        <v>239.7</v>
      </c>
    </row>
    <row r="4859" spans="2:8" x14ac:dyDescent="0.3">
      <c r="B4859">
        <v>21107</v>
      </c>
      <c r="C4859" t="s">
        <v>13182</v>
      </c>
      <c r="D4859" t="s">
        <v>168</v>
      </c>
      <c r="E4859" t="s">
        <v>8432</v>
      </c>
      <c r="F4859">
        <v>172.5</v>
      </c>
      <c r="G4859">
        <v>216.61</v>
      </c>
      <c r="H4859" s="225">
        <f t="shared" si="75"/>
        <v>172.5</v>
      </c>
    </row>
    <row r="4860" spans="2:8" x14ac:dyDescent="0.3">
      <c r="B4860">
        <v>34386</v>
      </c>
      <c r="C4860" t="s">
        <v>13183</v>
      </c>
      <c r="D4860" t="s">
        <v>168</v>
      </c>
      <c r="E4860" t="s">
        <v>8432</v>
      </c>
      <c r="F4860">
        <v>299.62</v>
      </c>
      <c r="G4860">
        <v>376.25</v>
      </c>
      <c r="H4860" s="225">
        <f t="shared" si="75"/>
        <v>299.62</v>
      </c>
    </row>
    <row r="4861" spans="2:8" x14ac:dyDescent="0.3">
      <c r="B4861">
        <v>10490</v>
      </c>
      <c r="C4861" t="s">
        <v>13184</v>
      </c>
      <c r="D4861" t="s">
        <v>168</v>
      </c>
      <c r="E4861" t="s">
        <v>8432</v>
      </c>
      <c r="F4861">
        <v>104.86</v>
      </c>
      <c r="G4861">
        <v>131.68</v>
      </c>
      <c r="H4861" s="225">
        <f t="shared" si="75"/>
        <v>104.86</v>
      </c>
    </row>
    <row r="4862" spans="2:8" x14ac:dyDescent="0.3">
      <c r="B4862">
        <v>10492</v>
      </c>
      <c r="C4862" t="s">
        <v>13185</v>
      </c>
      <c r="D4862" t="s">
        <v>168</v>
      </c>
      <c r="E4862" t="s">
        <v>8438</v>
      </c>
      <c r="F4862">
        <v>119.85</v>
      </c>
      <c r="G4862">
        <v>150.5</v>
      </c>
      <c r="H4862" s="225">
        <f t="shared" si="75"/>
        <v>119.85</v>
      </c>
    </row>
    <row r="4863" spans="2:8" x14ac:dyDescent="0.3">
      <c r="B4863">
        <v>10493</v>
      </c>
      <c r="C4863" t="s">
        <v>13186</v>
      </c>
      <c r="D4863" t="s">
        <v>168</v>
      </c>
      <c r="E4863" t="s">
        <v>8432</v>
      </c>
      <c r="F4863">
        <v>139.82</v>
      </c>
      <c r="G4863">
        <v>175.58</v>
      </c>
      <c r="H4863" s="225">
        <f t="shared" si="75"/>
        <v>139.82</v>
      </c>
    </row>
    <row r="4864" spans="2:8" x14ac:dyDescent="0.3">
      <c r="B4864">
        <v>10491</v>
      </c>
      <c r="C4864" t="s">
        <v>13187</v>
      </c>
      <c r="D4864" t="s">
        <v>168</v>
      </c>
      <c r="E4864" t="s">
        <v>8432</v>
      </c>
      <c r="F4864">
        <v>169.78</v>
      </c>
      <c r="G4864">
        <v>213.2</v>
      </c>
      <c r="H4864" s="225">
        <f t="shared" si="75"/>
        <v>169.78</v>
      </c>
    </row>
    <row r="4865" spans="2:8" x14ac:dyDescent="0.3">
      <c r="B4865">
        <v>34385</v>
      </c>
      <c r="C4865" t="s">
        <v>13188</v>
      </c>
      <c r="D4865" t="s">
        <v>168</v>
      </c>
      <c r="E4865" t="s">
        <v>8432</v>
      </c>
      <c r="F4865">
        <v>247.69</v>
      </c>
      <c r="G4865">
        <v>311.02999999999997</v>
      </c>
      <c r="H4865" s="225">
        <f t="shared" si="75"/>
        <v>247.69</v>
      </c>
    </row>
    <row r="4866" spans="2:8" x14ac:dyDescent="0.3">
      <c r="B4866">
        <v>10499</v>
      </c>
      <c r="C4866" t="s">
        <v>13189</v>
      </c>
      <c r="D4866" t="s">
        <v>168</v>
      </c>
      <c r="E4866" t="s">
        <v>8432</v>
      </c>
      <c r="F4866">
        <v>99.87</v>
      </c>
      <c r="G4866">
        <v>125.41</v>
      </c>
      <c r="H4866" s="225">
        <f t="shared" si="75"/>
        <v>99.87</v>
      </c>
    </row>
    <row r="4867" spans="2:8" x14ac:dyDescent="0.3">
      <c r="B4867">
        <v>34384</v>
      </c>
      <c r="C4867" t="s">
        <v>13190</v>
      </c>
      <c r="D4867" t="s">
        <v>168</v>
      </c>
      <c r="E4867" t="s">
        <v>8432</v>
      </c>
      <c r="F4867">
        <v>299.62</v>
      </c>
      <c r="G4867">
        <v>376.25</v>
      </c>
      <c r="H4867" s="225">
        <f t="shared" si="75"/>
        <v>299.62</v>
      </c>
    </row>
    <row r="4868" spans="2:8" x14ac:dyDescent="0.3">
      <c r="B4868">
        <v>11185</v>
      </c>
      <c r="C4868" t="s">
        <v>13191</v>
      </c>
      <c r="D4868" t="s">
        <v>168</v>
      </c>
      <c r="E4868" t="s">
        <v>8432</v>
      </c>
      <c r="F4868">
        <v>309.61</v>
      </c>
      <c r="G4868">
        <v>388.79</v>
      </c>
      <c r="H4868" s="225">
        <f t="shared" si="75"/>
        <v>309.61</v>
      </c>
    </row>
    <row r="4869" spans="2:8" x14ac:dyDescent="0.3">
      <c r="B4869">
        <v>10507</v>
      </c>
      <c r="C4869" t="s">
        <v>13192</v>
      </c>
      <c r="D4869" t="s">
        <v>168</v>
      </c>
      <c r="E4869" t="s">
        <v>8432</v>
      </c>
      <c r="F4869">
        <v>323.58999999999997</v>
      </c>
      <c r="G4869">
        <v>457.65</v>
      </c>
      <c r="H4869" s="225">
        <f t="shared" si="75"/>
        <v>323.58999999999997</v>
      </c>
    </row>
    <row r="4870" spans="2:8" x14ac:dyDescent="0.3">
      <c r="B4870">
        <v>10505</v>
      </c>
      <c r="C4870" t="s">
        <v>13193</v>
      </c>
      <c r="D4870" t="s">
        <v>168</v>
      </c>
      <c r="E4870" t="s">
        <v>8432</v>
      </c>
      <c r="F4870">
        <v>190.94</v>
      </c>
      <c r="G4870">
        <v>270.05</v>
      </c>
      <c r="H4870" s="225">
        <f t="shared" si="75"/>
        <v>190.94</v>
      </c>
    </row>
    <row r="4871" spans="2:8" x14ac:dyDescent="0.3">
      <c r="B4871">
        <v>10506</v>
      </c>
      <c r="C4871" t="s">
        <v>13194</v>
      </c>
      <c r="D4871" t="s">
        <v>168</v>
      </c>
      <c r="E4871" t="s">
        <v>8432</v>
      </c>
      <c r="F4871">
        <v>249.26</v>
      </c>
      <c r="G4871">
        <v>352.52</v>
      </c>
      <c r="H4871" s="225">
        <f t="shared" si="75"/>
        <v>249.26</v>
      </c>
    </row>
    <row r="4872" spans="2:8" x14ac:dyDescent="0.3">
      <c r="B4872">
        <v>5031</v>
      </c>
      <c r="C4872" t="s">
        <v>13195</v>
      </c>
      <c r="D4872" t="s">
        <v>168</v>
      </c>
      <c r="E4872" t="s">
        <v>8438</v>
      </c>
      <c r="F4872">
        <v>350</v>
      </c>
      <c r="G4872">
        <v>495</v>
      </c>
      <c r="H4872" s="225">
        <f t="shared" si="75"/>
        <v>350</v>
      </c>
    </row>
    <row r="4873" spans="2:8" x14ac:dyDescent="0.3">
      <c r="B4873">
        <v>10502</v>
      </c>
      <c r="C4873" t="s">
        <v>13196</v>
      </c>
      <c r="D4873" t="s">
        <v>168</v>
      </c>
      <c r="E4873" t="s">
        <v>8432</v>
      </c>
      <c r="F4873">
        <v>407.83</v>
      </c>
      <c r="G4873">
        <v>576.79</v>
      </c>
      <c r="H4873" s="225">
        <f t="shared" si="75"/>
        <v>407.83</v>
      </c>
    </row>
    <row r="4874" spans="2:8" x14ac:dyDescent="0.3">
      <c r="B4874">
        <v>10501</v>
      </c>
      <c r="C4874" t="s">
        <v>13197</v>
      </c>
      <c r="D4874" t="s">
        <v>168</v>
      </c>
      <c r="E4874" t="s">
        <v>8432</v>
      </c>
      <c r="F4874">
        <v>230.41</v>
      </c>
      <c r="G4874">
        <v>325.87</v>
      </c>
      <c r="H4874" s="225">
        <f t="shared" si="75"/>
        <v>230.41</v>
      </c>
    </row>
    <row r="4875" spans="2:8" x14ac:dyDescent="0.3">
      <c r="B4875">
        <v>10503</v>
      </c>
      <c r="C4875" t="s">
        <v>13198</v>
      </c>
      <c r="D4875" t="s">
        <v>168</v>
      </c>
      <c r="E4875" t="s">
        <v>8432</v>
      </c>
      <c r="F4875">
        <v>311.29000000000002</v>
      </c>
      <c r="G4875">
        <v>440.25</v>
      </c>
      <c r="H4875" s="225">
        <f t="shared" ref="H4875:H4886" si="76">IF(F4875&gt;0,F4875,G4875)</f>
        <v>311.29000000000002</v>
      </c>
    </row>
    <row r="4876" spans="2:8" x14ac:dyDescent="0.3">
      <c r="B4876">
        <v>4500</v>
      </c>
      <c r="C4876" t="s">
        <v>13199</v>
      </c>
      <c r="D4876" t="s">
        <v>159</v>
      </c>
      <c r="E4876" t="s">
        <v>8432</v>
      </c>
      <c r="F4876">
        <v>13.78</v>
      </c>
      <c r="G4876">
        <v>15.92</v>
      </c>
      <c r="H4876" s="225">
        <f t="shared" si="76"/>
        <v>13.78</v>
      </c>
    </row>
    <row r="4877" spans="2:8" x14ac:dyDescent="0.3">
      <c r="B4877">
        <v>4448</v>
      </c>
      <c r="C4877" t="s">
        <v>13200</v>
      </c>
      <c r="D4877" t="s">
        <v>159</v>
      </c>
      <c r="E4877" t="s">
        <v>8432</v>
      </c>
      <c r="F4877">
        <v>18.920000000000002</v>
      </c>
      <c r="G4877">
        <v>21.86</v>
      </c>
      <c r="H4877" s="225">
        <f t="shared" si="76"/>
        <v>18.920000000000002</v>
      </c>
    </row>
    <row r="4878" spans="2:8" x14ac:dyDescent="0.3">
      <c r="B4878">
        <v>20213</v>
      </c>
      <c r="C4878" t="s">
        <v>13201</v>
      </c>
      <c r="D4878" t="s">
        <v>159</v>
      </c>
      <c r="E4878" t="s">
        <v>8432</v>
      </c>
      <c r="F4878">
        <v>26.4</v>
      </c>
      <c r="G4878">
        <v>32.270000000000003</v>
      </c>
      <c r="H4878" s="225">
        <f t="shared" si="76"/>
        <v>26.4</v>
      </c>
    </row>
    <row r="4879" spans="2:8" x14ac:dyDescent="0.3">
      <c r="B4879">
        <v>20211</v>
      </c>
      <c r="C4879" t="s">
        <v>13202</v>
      </c>
      <c r="D4879" t="s">
        <v>159</v>
      </c>
      <c r="E4879" t="s">
        <v>8432</v>
      </c>
      <c r="F4879">
        <v>34.950000000000003</v>
      </c>
      <c r="G4879">
        <v>42.73</v>
      </c>
      <c r="H4879" s="225">
        <f t="shared" si="76"/>
        <v>34.950000000000003</v>
      </c>
    </row>
    <row r="4880" spans="2:8" x14ac:dyDescent="0.3">
      <c r="B4880">
        <v>40270</v>
      </c>
      <c r="C4880" t="s">
        <v>13203</v>
      </c>
      <c r="D4880" t="s">
        <v>159</v>
      </c>
      <c r="E4880" t="s">
        <v>8438</v>
      </c>
      <c r="G4880">
        <v>133.03</v>
      </c>
      <c r="H4880" s="225">
        <f t="shared" si="76"/>
        <v>133.03</v>
      </c>
    </row>
    <row r="4881" spans="2:8" x14ac:dyDescent="0.3">
      <c r="B4881">
        <v>4425</v>
      </c>
      <c r="C4881" t="s">
        <v>13204</v>
      </c>
      <c r="D4881" t="s">
        <v>159</v>
      </c>
      <c r="E4881" t="s">
        <v>8432</v>
      </c>
      <c r="F4881">
        <v>28.89</v>
      </c>
      <c r="G4881">
        <v>35.32</v>
      </c>
      <c r="H4881" s="225">
        <f t="shared" si="76"/>
        <v>28.89</v>
      </c>
    </row>
    <row r="4882" spans="2:8" x14ac:dyDescent="0.3">
      <c r="B4882">
        <v>4472</v>
      </c>
      <c r="C4882" t="s">
        <v>13205</v>
      </c>
      <c r="D4882" t="s">
        <v>159</v>
      </c>
      <c r="E4882" t="s">
        <v>8432</v>
      </c>
      <c r="F4882">
        <v>36.090000000000003</v>
      </c>
      <c r="G4882">
        <v>44.12</v>
      </c>
      <c r="H4882" s="225">
        <f t="shared" si="76"/>
        <v>36.090000000000003</v>
      </c>
    </row>
    <row r="4883" spans="2:8" x14ac:dyDescent="0.3">
      <c r="B4883">
        <v>35272</v>
      </c>
      <c r="C4883" t="s">
        <v>13206</v>
      </c>
      <c r="D4883" t="s">
        <v>159</v>
      </c>
      <c r="E4883" t="s">
        <v>8432</v>
      </c>
      <c r="F4883">
        <v>52.17</v>
      </c>
      <c r="G4883">
        <v>63.78</v>
      </c>
      <c r="H4883" s="225">
        <f t="shared" si="76"/>
        <v>52.17</v>
      </c>
    </row>
    <row r="4884" spans="2:8" x14ac:dyDescent="0.3">
      <c r="B4884">
        <v>4481</v>
      </c>
      <c r="C4884" t="s">
        <v>13207</v>
      </c>
      <c r="D4884" t="s">
        <v>159</v>
      </c>
      <c r="E4884" t="s">
        <v>8432</v>
      </c>
      <c r="F4884">
        <v>55.85</v>
      </c>
      <c r="G4884">
        <v>68.27</v>
      </c>
      <c r="H4884" s="225">
        <f t="shared" si="76"/>
        <v>55.85</v>
      </c>
    </row>
    <row r="4885" spans="2:8" x14ac:dyDescent="0.3">
      <c r="B4885">
        <v>34345</v>
      </c>
      <c r="C4885" t="s">
        <v>13208</v>
      </c>
      <c r="D4885" t="s">
        <v>234</v>
      </c>
      <c r="E4885" t="s">
        <v>8432</v>
      </c>
      <c r="F4885">
        <v>21.08</v>
      </c>
      <c r="G4885">
        <v>25.17</v>
      </c>
      <c r="H4885" s="225">
        <f t="shared" si="76"/>
        <v>21.08</v>
      </c>
    </row>
    <row r="4886" spans="2:8" x14ac:dyDescent="0.3">
      <c r="B4886">
        <v>41096</v>
      </c>
      <c r="C4886" t="s">
        <v>13209</v>
      </c>
      <c r="D4886" t="s">
        <v>208</v>
      </c>
      <c r="E4886" t="s">
        <v>8432</v>
      </c>
      <c r="F4886">
        <v>3706.11</v>
      </c>
      <c r="G4886">
        <v>4413.51</v>
      </c>
      <c r="H4886" s="225">
        <f t="shared" si="76"/>
        <v>3706.11</v>
      </c>
    </row>
  </sheetData>
  <pageMargins left="0.51180555555555596" right="0.51180555555555596" top="0.78749999999999998" bottom="0.78749999999999998" header="0.511811023622047" footer="0.511811023622047"/>
  <pageSetup paperSize="9" orientation="portrait" horizontalDpi="300" verticalDpi="30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E8410"/>
  <sheetViews>
    <sheetView zoomScale="85" zoomScaleNormal="85" workbookViewId="0">
      <selection activeCell="H13" sqref="H13"/>
    </sheetView>
  </sheetViews>
  <sheetFormatPr defaultColWidth="8.5546875" defaultRowHeight="14.4" x14ac:dyDescent="0.3"/>
  <cols>
    <col min="1" max="1" width="17.6640625" customWidth="1"/>
    <col min="2" max="2" width="14.6640625" customWidth="1"/>
    <col min="3" max="3" width="70.6640625" customWidth="1"/>
    <col min="4" max="5" width="11.6640625" customWidth="1"/>
  </cols>
  <sheetData>
    <row r="1" spans="1:5" x14ac:dyDescent="0.3">
      <c r="A1" s="395" t="s">
        <v>505</v>
      </c>
    </row>
    <row r="2" spans="1:5" x14ac:dyDescent="0.3">
      <c r="A2" s="397" t="s">
        <v>13210</v>
      </c>
    </row>
    <row r="3" spans="1:5" x14ac:dyDescent="0.3">
      <c r="A3" s="397" t="s">
        <v>507</v>
      </c>
      <c r="B3" s="708" t="s">
        <v>16033</v>
      </c>
    </row>
    <row r="4" spans="1:5" x14ac:dyDescent="0.3">
      <c r="A4" s="397" t="s">
        <v>508</v>
      </c>
      <c r="B4" s="708" t="s">
        <v>16034</v>
      </c>
    </row>
    <row r="6" spans="1:5" ht="26.4" x14ac:dyDescent="0.3">
      <c r="A6" s="398" t="s">
        <v>517</v>
      </c>
      <c r="B6" s="477" t="s">
        <v>518</v>
      </c>
      <c r="C6" s="477" t="s">
        <v>416</v>
      </c>
      <c r="D6" s="477" t="s">
        <v>417</v>
      </c>
      <c r="E6" s="477" t="s">
        <v>509</v>
      </c>
    </row>
    <row r="7" spans="1:5" x14ac:dyDescent="0.3">
      <c r="A7" s="397"/>
      <c r="B7" s="709">
        <v>104658</v>
      </c>
      <c r="C7" s="710" t="s">
        <v>258</v>
      </c>
      <c r="D7" s="709" t="s">
        <v>168</v>
      </c>
      <c r="E7" s="711">
        <v>0.33979999999999999</v>
      </c>
    </row>
    <row r="8" spans="1:5" x14ac:dyDescent="0.3">
      <c r="A8" s="397"/>
      <c r="B8" s="709">
        <v>105002</v>
      </c>
      <c r="C8" s="710" t="s">
        <v>523</v>
      </c>
      <c r="D8" s="709" t="s">
        <v>136</v>
      </c>
      <c r="E8" s="711">
        <v>0.49690000000000001</v>
      </c>
    </row>
    <row r="9" spans="1:5" x14ac:dyDescent="0.3">
      <c r="A9" s="397"/>
      <c r="B9" s="709">
        <v>105004</v>
      </c>
      <c r="C9" s="710" t="s">
        <v>524</v>
      </c>
      <c r="D9" s="709" t="s">
        <v>168</v>
      </c>
      <c r="E9" s="711">
        <v>0.49980000000000002</v>
      </c>
    </row>
    <row r="10" spans="1:5" x14ac:dyDescent="0.3">
      <c r="A10" s="397"/>
      <c r="B10" s="709">
        <v>105003</v>
      </c>
      <c r="C10" s="710" t="s">
        <v>525</v>
      </c>
      <c r="D10" s="709" t="s">
        <v>136</v>
      </c>
      <c r="E10" s="711">
        <v>0.61419999999999997</v>
      </c>
    </row>
    <row r="11" spans="1:5" x14ac:dyDescent="0.3">
      <c r="A11" s="397"/>
      <c r="B11" s="709">
        <v>105005</v>
      </c>
      <c r="C11" s="710" t="s">
        <v>526</v>
      </c>
      <c r="D11" s="709" t="s">
        <v>168</v>
      </c>
      <c r="E11" s="711">
        <v>0.62119999999999997</v>
      </c>
    </row>
    <row r="12" spans="1:5" x14ac:dyDescent="0.3">
      <c r="A12" s="397"/>
      <c r="B12" s="709">
        <v>105000</v>
      </c>
      <c r="C12" s="710" t="s">
        <v>529</v>
      </c>
      <c r="D12" s="709" t="s">
        <v>159</v>
      </c>
      <c r="E12" s="711">
        <v>0.35449999999999998</v>
      </c>
    </row>
    <row r="13" spans="1:5" x14ac:dyDescent="0.3">
      <c r="A13" s="397"/>
      <c r="B13" s="709">
        <v>105001</v>
      </c>
      <c r="C13" s="710" t="s">
        <v>530</v>
      </c>
      <c r="D13" s="709" t="s">
        <v>159</v>
      </c>
      <c r="E13" s="711">
        <v>0.34920000000000001</v>
      </c>
    </row>
    <row r="14" spans="1:5" x14ac:dyDescent="0.3">
      <c r="A14" s="397"/>
      <c r="B14" s="709">
        <v>89306</v>
      </c>
      <c r="C14" s="710" t="s">
        <v>16035</v>
      </c>
      <c r="D14" s="709" t="s">
        <v>168</v>
      </c>
      <c r="E14" s="711">
        <v>0.52229999999999999</v>
      </c>
    </row>
    <row r="15" spans="1:5" x14ac:dyDescent="0.3">
      <c r="A15" s="397"/>
      <c r="B15" s="709">
        <v>89290</v>
      </c>
      <c r="C15" s="710" t="s">
        <v>16036</v>
      </c>
      <c r="D15" s="709" t="s">
        <v>168</v>
      </c>
      <c r="E15" s="711">
        <v>0.48599999999999999</v>
      </c>
    </row>
    <row r="16" spans="1:5" x14ac:dyDescent="0.3">
      <c r="A16" s="397"/>
      <c r="B16" s="709">
        <v>89298</v>
      </c>
      <c r="C16" s="710" t="s">
        <v>16037</v>
      </c>
      <c r="D16" s="709" t="s">
        <v>168</v>
      </c>
      <c r="E16" s="711">
        <v>0.49059999999999998</v>
      </c>
    </row>
    <row r="17" spans="1:5" x14ac:dyDescent="0.3">
      <c r="A17" s="397"/>
      <c r="B17" s="709">
        <v>89282</v>
      </c>
      <c r="C17" s="710" t="s">
        <v>16038</v>
      </c>
      <c r="D17" s="709" t="s">
        <v>168</v>
      </c>
      <c r="E17" s="711">
        <v>0.44779999999999998</v>
      </c>
    </row>
    <row r="18" spans="1:5" x14ac:dyDescent="0.3">
      <c r="A18" s="397"/>
      <c r="B18" s="709">
        <v>89480</v>
      </c>
      <c r="C18" s="710" t="s">
        <v>16039</v>
      </c>
      <c r="D18" s="709" t="s">
        <v>168</v>
      </c>
      <c r="E18" s="711">
        <v>0.3745</v>
      </c>
    </row>
    <row r="19" spans="1:5" x14ac:dyDescent="0.3">
      <c r="A19" s="397"/>
      <c r="B19" s="709">
        <v>89464</v>
      </c>
      <c r="C19" s="710" t="s">
        <v>16040</v>
      </c>
      <c r="D19" s="709" t="s">
        <v>168</v>
      </c>
      <c r="E19" s="711">
        <v>0.28849999999999998</v>
      </c>
    </row>
    <row r="20" spans="1:5" x14ac:dyDescent="0.3">
      <c r="A20" s="397"/>
      <c r="B20" s="709">
        <v>89478</v>
      </c>
      <c r="C20" s="710" t="s">
        <v>16041</v>
      </c>
      <c r="D20" s="709" t="s">
        <v>168</v>
      </c>
      <c r="E20" s="711">
        <v>0.38850000000000001</v>
      </c>
    </row>
    <row r="21" spans="1:5" x14ac:dyDescent="0.3">
      <c r="A21" s="397"/>
      <c r="B21" s="709">
        <v>89462</v>
      </c>
      <c r="C21" s="710" t="s">
        <v>16042</v>
      </c>
      <c r="D21" s="709" t="s">
        <v>168</v>
      </c>
      <c r="E21" s="711">
        <v>0.29909999999999998</v>
      </c>
    </row>
    <row r="22" spans="1:5" x14ac:dyDescent="0.3">
      <c r="A22" s="397"/>
      <c r="B22" s="709">
        <v>89472</v>
      </c>
      <c r="C22" s="710" t="s">
        <v>16043</v>
      </c>
      <c r="D22" s="709" t="s">
        <v>168</v>
      </c>
      <c r="E22" s="711">
        <v>0.36080000000000001</v>
      </c>
    </row>
    <row r="23" spans="1:5" x14ac:dyDescent="0.3">
      <c r="A23" s="397"/>
      <c r="B23" s="709">
        <v>89455</v>
      </c>
      <c r="C23" s="710" t="s">
        <v>16044</v>
      </c>
      <c r="D23" s="709" t="s">
        <v>168</v>
      </c>
      <c r="E23" s="711">
        <v>0.25940000000000002</v>
      </c>
    </row>
    <row r="24" spans="1:5" x14ac:dyDescent="0.3">
      <c r="A24" s="397"/>
      <c r="B24" s="709">
        <v>89470</v>
      </c>
      <c r="C24" s="710" t="s">
        <v>16045</v>
      </c>
      <c r="D24" s="709" t="s">
        <v>168</v>
      </c>
      <c r="E24" s="711">
        <v>0.38600000000000001</v>
      </c>
    </row>
    <row r="25" spans="1:5" x14ac:dyDescent="0.3">
      <c r="A25" s="397"/>
      <c r="B25" s="709">
        <v>89453</v>
      </c>
      <c r="C25" s="710" t="s">
        <v>16046</v>
      </c>
      <c r="D25" s="709" t="s">
        <v>168</v>
      </c>
      <c r="E25" s="711">
        <v>0.27960000000000002</v>
      </c>
    </row>
    <row r="26" spans="1:5" x14ac:dyDescent="0.3">
      <c r="A26" s="397"/>
      <c r="B26" s="709">
        <v>103354</v>
      </c>
      <c r="C26" s="710" t="s">
        <v>531</v>
      </c>
      <c r="D26" s="709" t="s">
        <v>168</v>
      </c>
      <c r="E26" s="711">
        <v>0.63429999999999997</v>
      </c>
    </row>
    <row r="27" spans="1:5" x14ac:dyDescent="0.3">
      <c r="A27" s="397"/>
      <c r="B27" s="709">
        <v>103355</v>
      </c>
      <c r="C27" s="710" t="s">
        <v>532</v>
      </c>
      <c r="D27" s="709" t="s">
        <v>168</v>
      </c>
      <c r="E27" s="711">
        <v>0.64139999999999997</v>
      </c>
    </row>
    <row r="28" spans="1:5" x14ac:dyDescent="0.3">
      <c r="A28" s="397"/>
      <c r="B28" s="709">
        <v>103330</v>
      </c>
      <c r="C28" s="710" t="s">
        <v>533</v>
      </c>
      <c r="D28" s="709" t="s">
        <v>168</v>
      </c>
      <c r="E28" s="711">
        <v>0.59740000000000004</v>
      </c>
    </row>
    <row r="29" spans="1:5" x14ac:dyDescent="0.3">
      <c r="A29" s="397"/>
      <c r="B29" s="709">
        <v>103331</v>
      </c>
      <c r="C29" s="710" t="s">
        <v>534</v>
      </c>
      <c r="D29" s="709" t="s">
        <v>168</v>
      </c>
      <c r="E29" s="711">
        <v>0.60540000000000005</v>
      </c>
    </row>
    <row r="30" spans="1:5" x14ac:dyDescent="0.3">
      <c r="A30" s="397"/>
      <c r="B30" s="709">
        <v>103358</v>
      </c>
      <c r="C30" s="710" t="s">
        <v>535</v>
      </c>
      <c r="D30" s="709" t="s">
        <v>168</v>
      </c>
      <c r="E30" s="711">
        <v>0.56569999999999998</v>
      </c>
    </row>
    <row r="31" spans="1:5" x14ac:dyDescent="0.3">
      <c r="A31" s="397"/>
      <c r="B31" s="709">
        <v>103359</v>
      </c>
      <c r="C31" s="710" t="s">
        <v>536</v>
      </c>
      <c r="D31" s="709" t="s">
        <v>168</v>
      </c>
      <c r="E31" s="711">
        <v>0.57420000000000004</v>
      </c>
    </row>
    <row r="32" spans="1:5" x14ac:dyDescent="0.3">
      <c r="A32" s="397"/>
      <c r="B32" s="709">
        <v>103366</v>
      </c>
      <c r="C32" s="710" t="s">
        <v>537</v>
      </c>
      <c r="D32" s="709" t="s">
        <v>168</v>
      </c>
      <c r="E32" s="711">
        <v>0.50070000000000003</v>
      </c>
    </row>
    <row r="33" spans="1:5" x14ac:dyDescent="0.3">
      <c r="A33" s="397"/>
      <c r="B33" s="709">
        <v>103367</v>
      </c>
      <c r="C33" s="710" t="s">
        <v>538</v>
      </c>
      <c r="D33" s="709" t="s">
        <v>168</v>
      </c>
      <c r="E33" s="711">
        <v>0.51049999999999995</v>
      </c>
    </row>
    <row r="34" spans="1:5" x14ac:dyDescent="0.3">
      <c r="A34" s="397"/>
      <c r="B34" s="709">
        <v>103360</v>
      </c>
      <c r="C34" s="710" t="s">
        <v>539</v>
      </c>
      <c r="D34" s="709" t="s">
        <v>168</v>
      </c>
      <c r="E34" s="711">
        <v>0.57099999999999995</v>
      </c>
    </row>
    <row r="35" spans="1:5" x14ac:dyDescent="0.3">
      <c r="A35" s="397"/>
      <c r="B35" s="709">
        <v>103361</v>
      </c>
      <c r="C35" s="710" t="s">
        <v>540</v>
      </c>
      <c r="D35" s="709" t="s">
        <v>168</v>
      </c>
      <c r="E35" s="711">
        <v>0.57989999999999997</v>
      </c>
    </row>
    <row r="36" spans="1:5" x14ac:dyDescent="0.3">
      <c r="A36" s="397"/>
      <c r="B36" s="709">
        <v>103368</v>
      </c>
      <c r="C36" s="710" t="s">
        <v>541</v>
      </c>
      <c r="D36" s="709" t="s">
        <v>168</v>
      </c>
      <c r="E36" s="711">
        <v>0.51580000000000004</v>
      </c>
    </row>
    <row r="37" spans="1:5" x14ac:dyDescent="0.3">
      <c r="A37" s="397"/>
      <c r="B37" s="709">
        <v>103369</v>
      </c>
      <c r="C37" s="710" t="s">
        <v>542</v>
      </c>
      <c r="D37" s="709" t="s">
        <v>168</v>
      </c>
      <c r="E37" s="711">
        <v>0.52629999999999999</v>
      </c>
    </row>
    <row r="38" spans="1:5" x14ac:dyDescent="0.3">
      <c r="A38" s="397"/>
      <c r="B38" s="709">
        <v>103334</v>
      </c>
      <c r="C38" s="710" t="s">
        <v>543</v>
      </c>
      <c r="D38" s="709" t="s">
        <v>168</v>
      </c>
      <c r="E38" s="711">
        <v>0.65890000000000004</v>
      </c>
    </row>
    <row r="39" spans="1:5" x14ac:dyDescent="0.3">
      <c r="A39" s="397"/>
      <c r="B39" s="709">
        <v>103335</v>
      </c>
      <c r="C39" s="710" t="s">
        <v>544</v>
      </c>
      <c r="D39" s="709" t="s">
        <v>168</v>
      </c>
      <c r="E39" s="711">
        <v>0.66620000000000001</v>
      </c>
    </row>
    <row r="40" spans="1:5" x14ac:dyDescent="0.3">
      <c r="A40" s="397"/>
      <c r="B40" s="709">
        <v>103362</v>
      </c>
      <c r="C40" s="710" t="s">
        <v>545</v>
      </c>
      <c r="D40" s="709" t="s">
        <v>168</v>
      </c>
      <c r="E40" s="711">
        <v>0.53620000000000001</v>
      </c>
    </row>
    <row r="41" spans="1:5" x14ac:dyDescent="0.3">
      <c r="A41" s="397"/>
      <c r="B41" s="709">
        <v>103363</v>
      </c>
      <c r="C41" s="710" t="s">
        <v>546</v>
      </c>
      <c r="D41" s="709" t="s">
        <v>168</v>
      </c>
      <c r="E41" s="711">
        <v>0.54510000000000003</v>
      </c>
    </row>
    <row r="42" spans="1:5" x14ac:dyDescent="0.3">
      <c r="A42" s="397"/>
      <c r="B42" s="709">
        <v>103370</v>
      </c>
      <c r="C42" s="710" t="s">
        <v>547</v>
      </c>
      <c r="D42" s="709" t="s">
        <v>168</v>
      </c>
      <c r="E42" s="711">
        <v>0.46779999999999999</v>
      </c>
    </row>
    <row r="43" spans="1:5" x14ac:dyDescent="0.3">
      <c r="A43" s="397"/>
      <c r="B43" s="709">
        <v>103371</v>
      </c>
      <c r="C43" s="710" t="s">
        <v>548</v>
      </c>
      <c r="D43" s="709" t="s">
        <v>168</v>
      </c>
      <c r="E43" s="711">
        <v>0.47789999999999999</v>
      </c>
    </row>
    <row r="44" spans="1:5" x14ac:dyDescent="0.3">
      <c r="A44" s="397"/>
      <c r="B44" s="709">
        <v>103332</v>
      </c>
      <c r="C44" s="710" t="s">
        <v>549</v>
      </c>
      <c r="D44" s="709" t="s">
        <v>168</v>
      </c>
      <c r="E44" s="711">
        <v>0.74080000000000001</v>
      </c>
    </row>
    <row r="45" spans="1:5" x14ac:dyDescent="0.3">
      <c r="A45" s="397"/>
      <c r="B45" s="709">
        <v>103333</v>
      </c>
      <c r="C45" s="710" t="s">
        <v>550</v>
      </c>
      <c r="D45" s="709" t="s">
        <v>168</v>
      </c>
      <c r="E45" s="711">
        <v>0.74480000000000002</v>
      </c>
    </row>
    <row r="46" spans="1:5" x14ac:dyDescent="0.3">
      <c r="A46" s="397"/>
      <c r="B46" s="709">
        <v>103352</v>
      </c>
      <c r="C46" s="710" t="s">
        <v>551</v>
      </c>
      <c r="D46" s="709" t="s">
        <v>168</v>
      </c>
      <c r="E46" s="711">
        <v>0.70750000000000002</v>
      </c>
    </row>
    <row r="47" spans="1:5" x14ac:dyDescent="0.3">
      <c r="A47" s="397"/>
      <c r="B47" s="709">
        <v>103353</v>
      </c>
      <c r="C47" s="710" t="s">
        <v>552</v>
      </c>
      <c r="D47" s="709" t="s">
        <v>168</v>
      </c>
      <c r="E47" s="711">
        <v>0.71230000000000004</v>
      </c>
    </row>
    <row r="48" spans="1:5" x14ac:dyDescent="0.3">
      <c r="A48" s="397"/>
      <c r="B48" s="709">
        <v>103328</v>
      </c>
      <c r="C48" s="710" t="s">
        <v>553</v>
      </c>
      <c r="D48" s="709" t="s">
        <v>168</v>
      </c>
      <c r="E48" s="711">
        <v>0.69259999999999999</v>
      </c>
    </row>
    <row r="49" spans="1:5" x14ac:dyDescent="0.3">
      <c r="A49" s="397"/>
      <c r="B49" s="709">
        <v>103329</v>
      </c>
      <c r="C49" s="710" t="s">
        <v>554</v>
      </c>
      <c r="D49" s="709" t="s">
        <v>168</v>
      </c>
      <c r="E49" s="711">
        <v>0.69779999999999998</v>
      </c>
    </row>
    <row r="50" spans="1:5" x14ac:dyDescent="0.3">
      <c r="A50" s="397"/>
      <c r="B50" s="709">
        <v>103356</v>
      </c>
      <c r="C50" s="710" t="s">
        <v>555</v>
      </c>
      <c r="D50" s="709" t="s">
        <v>168</v>
      </c>
      <c r="E50" s="711">
        <v>0.51949999999999996</v>
      </c>
    </row>
    <row r="51" spans="1:5" x14ac:dyDescent="0.3">
      <c r="A51" s="397"/>
      <c r="B51" s="709">
        <v>103357</v>
      </c>
      <c r="C51" s="710" t="s">
        <v>556</v>
      </c>
      <c r="D51" s="709" t="s">
        <v>168</v>
      </c>
      <c r="E51" s="711">
        <v>0.5292</v>
      </c>
    </row>
    <row r="52" spans="1:5" x14ac:dyDescent="0.3">
      <c r="A52" s="397"/>
      <c r="B52" s="709">
        <v>103364</v>
      </c>
      <c r="C52" s="710" t="s">
        <v>557</v>
      </c>
      <c r="D52" s="709" t="s">
        <v>168</v>
      </c>
      <c r="E52" s="711">
        <v>0.48049999999999998</v>
      </c>
    </row>
    <row r="53" spans="1:5" x14ac:dyDescent="0.3">
      <c r="A53" s="397"/>
      <c r="B53" s="709">
        <v>103365</v>
      </c>
      <c r="C53" s="710" t="s">
        <v>558</v>
      </c>
      <c r="D53" s="709" t="s">
        <v>168</v>
      </c>
      <c r="E53" s="711">
        <v>0.49330000000000002</v>
      </c>
    </row>
    <row r="54" spans="1:5" x14ac:dyDescent="0.3">
      <c r="A54" s="397"/>
      <c r="B54" s="709">
        <v>103350</v>
      </c>
      <c r="C54" s="710" t="s">
        <v>559</v>
      </c>
      <c r="D54" s="709" t="s">
        <v>168</v>
      </c>
      <c r="E54" s="711">
        <v>0.69920000000000004</v>
      </c>
    </row>
    <row r="55" spans="1:5" x14ac:dyDescent="0.3">
      <c r="A55" s="397"/>
      <c r="B55" s="709">
        <v>103351</v>
      </c>
      <c r="C55" s="710" t="s">
        <v>560</v>
      </c>
      <c r="D55" s="709" t="s">
        <v>168</v>
      </c>
      <c r="E55" s="711">
        <v>0.70320000000000005</v>
      </c>
    </row>
    <row r="56" spans="1:5" x14ac:dyDescent="0.3">
      <c r="A56" s="397"/>
      <c r="B56" s="709">
        <v>103344</v>
      </c>
      <c r="C56" s="710" t="s">
        <v>561</v>
      </c>
      <c r="D56" s="709" t="s">
        <v>168</v>
      </c>
      <c r="E56" s="711">
        <v>0.48420000000000002</v>
      </c>
    </row>
    <row r="57" spans="1:5" x14ac:dyDescent="0.3">
      <c r="A57" s="397"/>
      <c r="B57" s="709">
        <v>103345</v>
      </c>
      <c r="C57" s="710" t="s">
        <v>562</v>
      </c>
      <c r="D57" s="709" t="s">
        <v>168</v>
      </c>
      <c r="E57" s="711">
        <v>0.49630000000000002</v>
      </c>
    </row>
    <row r="58" spans="1:5" x14ac:dyDescent="0.3">
      <c r="A58" s="397"/>
      <c r="B58" s="709">
        <v>103348</v>
      </c>
      <c r="C58" s="710" t="s">
        <v>563</v>
      </c>
      <c r="D58" s="709" t="s">
        <v>168</v>
      </c>
      <c r="E58" s="711">
        <v>0.44650000000000001</v>
      </c>
    </row>
    <row r="59" spans="1:5" x14ac:dyDescent="0.3">
      <c r="A59" s="397"/>
      <c r="B59" s="709">
        <v>103349</v>
      </c>
      <c r="C59" s="710" t="s">
        <v>564</v>
      </c>
      <c r="D59" s="709" t="s">
        <v>168</v>
      </c>
      <c r="E59" s="711">
        <v>0.46010000000000001</v>
      </c>
    </row>
    <row r="60" spans="1:5" x14ac:dyDescent="0.3">
      <c r="A60" s="397"/>
      <c r="B60" s="709">
        <v>103346</v>
      </c>
      <c r="C60" s="710" t="s">
        <v>565</v>
      </c>
      <c r="D60" s="709" t="s">
        <v>168</v>
      </c>
      <c r="E60" s="711">
        <v>0.51190000000000002</v>
      </c>
    </row>
    <row r="61" spans="1:5" x14ac:dyDescent="0.3">
      <c r="A61" s="397"/>
      <c r="B61" s="709">
        <v>103347</v>
      </c>
      <c r="C61" s="710" t="s">
        <v>566</v>
      </c>
      <c r="D61" s="709" t="s">
        <v>168</v>
      </c>
      <c r="E61" s="711">
        <v>0.52300000000000002</v>
      </c>
    </row>
    <row r="62" spans="1:5" x14ac:dyDescent="0.3">
      <c r="A62" s="397"/>
      <c r="B62" s="709">
        <v>103324</v>
      </c>
      <c r="C62" s="710" t="s">
        <v>567</v>
      </c>
      <c r="D62" s="709" t="s">
        <v>168</v>
      </c>
      <c r="E62" s="711">
        <v>0.45569999999999999</v>
      </c>
    </row>
    <row r="63" spans="1:5" x14ac:dyDescent="0.3">
      <c r="A63" s="397"/>
      <c r="B63" s="709">
        <v>103325</v>
      </c>
      <c r="C63" s="710" t="s">
        <v>568</v>
      </c>
      <c r="D63" s="709" t="s">
        <v>168</v>
      </c>
      <c r="E63" s="711">
        <v>0.46839999999999998</v>
      </c>
    </row>
    <row r="64" spans="1:5" x14ac:dyDescent="0.3">
      <c r="A64" s="397"/>
      <c r="B64" s="709">
        <v>103326</v>
      </c>
      <c r="C64" s="710" t="s">
        <v>569</v>
      </c>
      <c r="D64" s="709" t="s">
        <v>168</v>
      </c>
      <c r="E64" s="711">
        <v>0.44590000000000002</v>
      </c>
    </row>
    <row r="65" spans="1:5" x14ac:dyDescent="0.3">
      <c r="A65" s="397"/>
      <c r="B65" s="709">
        <v>103327</v>
      </c>
      <c r="C65" s="710" t="s">
        <v>570</v>
      </c>
      <c r="D65" s="709" t="s">
        <v>168</v>
      </c>
      <c r="E65" s="711">
        <v>0.4587</v>
      </c>
    </row>
    <row r="66" spans="1:5" x14ac:dyDescent="0.3">
      <c r="A66" s="397"/>
      <c r="B66" s="709">
        <v>103322</v>
      </c>
      <c r="C66" s="710" t="s">
        <v>571</v>
      </c>
      <c r="D66" s="709" t="s">
        <v>168</v>
      </c>
      <c r="E66" s="711">
        <v>0.42309999999999998</v>
      </c>
    </row>
    <row r="67" spans="1:5" x14ac:dyDescent="0.3">
      <c r="A67" s="397"/>
      <c r="B67" s="709">
        <v>103323</v>
      </c>
      <c r="C67" s="710" t="s">
        <v>572</v>
      </c>
      <c r="D67" s="709" t="s">
        <v>168</v>
      </c>
      <c r="E67" s="711">
        <v>0.43869999999999998</v>
      </c>
    </row>
    <row r="68" spans="1:5" x14ac:dyDescent="0.3">
      <c r="A68" s="397"/>
      <c r="B68" s="709">
        <v>103338</v>
      </c>
      <c r="C68" s="710" t="s">
        <v>573</v>
      </c>
      <c r="D68" s="709" t="s">
        <v>168</v>
      </c>
      <c r="E68" s="711">
        <v>0.43230000000000002</v>
      </c>
    </row>
    <row r="69" spans="1:5" x14ac:dyDescent="0.3">
      <c r="A69" s="397"/>
      <c r="B69" s="709">
        <v>103339</v>
      </c>
      <c r="C69" s="710" t="s">
        <v>574</v>
      </c>
      <c r="D69" s="709" t="s">
        <v>168</v>
      </c>
      <c r="E69" s="711">
        <v>0.43969999999999998</v>
      </c>
    </row>
    <row r="70" spans="1:5" x14ac:dyDescent="0.3">
      <c r="A70" s="397"/>
      <c r="B70" s="709">
        <v>103340</v>
      </c>
      <c r="C70" s="710" t="s">
        <v>575</v>
      </c>
      <c r="D70" s="709" t="s">
        <v>168</v>
      </c>
      <c r="E70" s="711">
        <v>0.40379999999999999</v>
      </c>
    </row>
    <row r="71" spans="1:5" x14ac:dyDescent="0.3">
      <c r="A71" s="397"/>
      <c r="B71" s="709">
        <v>103341</v>
      </c>
      <c r="C71" s="710" t="s">
        <v>576</v>
      </c>
      <c r="D71" s="709" t="s">
        <v>168</v>
      </c>
      <c r="E71" s="711">
        <v>0.41170000000000001</v>
      </c>
    </row>
    <row r="72" spans="1:5" x14ac:dyDescent="0.3">
      <c r="A72" s="397"/>
      <c r="B72" s="709">
        <v>103336</v>
      </c>
      <c r="C72" s="710" t="s">
        <v>577</v>
      </c>
      <c r="D72" s="709" t="s">
        <v>168</v>
      </c>
      <c r="E72" s="711">
        <v>0.41560000000000002</v>
      </c>
    </row>
    <row r="73" spans="1:5" x14ac:dyDescent="0.3">
      <c r="A73" s="397"/>
      <c r="B73" s="709">
        <v>103337</v>
      </c>
      <c r="C73" s="710" t="s">
        <v>578</v>
      </c>
      <c r="D73" s="709" t="s">
        <v>168</v>
      </c>
      <c r="E73" s="711">
        <v>0.4239</v>
      </c>
    </row>
    <row r="74" spans="1:5" x14ac:dyDescent="0.3">
      <c r="A74" s="397"/>
      <c r="B74" s="709">
        <v>103342</v>
      </c>
      <c r="C74" s="710" t="s">
        <v>579</v>
      </c>
      <c r="D74" s="709" t="s">
        <v>168</v>
      </c>
      <c r="E74" s="711">
        <v>0.36509999999999998</v>
      </c>
    </row>
    <row r="75" spans="1:5" x14ac:dyDescent="0.3">
      <c r="A75" s="397"/>
      <c r="B75" s="709">
        <v>103343</v>
      </c>
      <c r="C75" s="710" t="s">
        <v>580</v>
      </c>
      <c r="D75" s="709" t="s">
        <v>168</v>
      </c>
      <c r="E75" s="711">
        <v>0.37369999999999998</v>
      </c>
    </row>
    <row r="76" spans="1:5" x14ac:dyDescent="0.3">
      <c r="A76" s="397"/>
      <c r="B76" s="709">
        <v>103318</v>
      </c>
      <c r="C76" s="710" t="s">
        <v>581</v>
      </c>
      <c r="D76" s="709" t="s">
        <v>168</v>
      </c>
      <c r="E76" s="711">
        <v>0.37919999999999998</v>
      </c>
    </row>
    <row r="77" spans="1:5" x14ac:dyDescent="0.3">
      <c r="A77" s="397"/>
      <c r="B77" s="709">
        <v>103319</v>
      </c>
      <c r="C77" s="710" t="s">
        <v>582</v>
      </c>
      <c r="D77" s="709" t="s">
        <v>168</v>
      </c>
      <c r="E77" s="711">
        <v>0.38819999999999999</v>
      </c>
    </row>
    <row r="78" spans="1:5" x14ac:dyDescent="0.3">
      <c r="A78" s="397"/>
      <c r="B78" s="709">
        <v>103320</v>
      </c>
      <c r="C78" s="710" t="s">
        <v>583</v>
      </c>
      <c r="D78" s="709" t="s">
        <v>168</v>
      </c>
      <c r="E78" s="711">
        <v>0.3569</v>
      </c>
    </row>
    <row r="79" spans="1:5" x14ac:dyDescent="0.3">
      <c r="A79" s="397"/>
      <c r="B79" s="709">
        <v>103321</v>
      </c>
      <c r="C79" s="710" t="s">
        <v>584</v>
      </c>
      <c r="D79" s="709" t="s">
        <v>168</v>
      </c>
      <c r="E79" s="711">
        <v>0.36649999999999999</v>
      </c>
    </row>
    <row r="80" spans="1:5" x14ac:dyDescent="0.3">
      <c r="A80" s="397"/>
      <c r="B80" s="709">
        <v>103316</v>
      </c>
      <c r="C80" s="710" t="s">
        <v>585</v>
      </c>
      <c r="D80" s="709" t="s">
        <v>168</v>
      </c>
      <c r="E80" s="711">
        <v>0.35959999999999998</v>
      </c>
    </row>
    <row r="81" spans="1:5" x14ac:dyDescent="0.3">
      <c r="A81" s="397"/>
      <c r="B81" s="709">
        <v>103317</v>
      </c>
      <c r="C81" s="710" t="s">
        <v>586</v>
      </c>
      <c r="D81" s="709" t="s">
        <v>168</v>
      </c>
      <c r="E81" s="711">
        <v>0.36969999999999997</v>
      </c>
    </row>
    <row r="82" spans="1:5" x14ac:dyDescent="0.3">
      <c r="A82" s="397"/>
      <c r="B82" s="709">
        <v>101166</v>
      </c>
      <c r="C82" s="710" t="s">
        <v>587</v>
      </c>
      <c r="D82" s="709" t="s">
        <v>170</v>
      </c>
      <c r="E82" s="711">
        <v>0.5292</v>
      </c>
    </row>
    <row r="83" spans="1:5" x14ac:dyDescent="0.3">
      <c r="A83" s="397"/>
      <c r="B83" s="709">
        <v>101165</v>
      </c>
      <c r="C83" s="710" t="s">
        <v>588</v>
      </c>
      <c r="D83" s="709" t="s">
        <v>170</v>
      </c>
      <c r="E83" s="711">
        <v>0.39489999999999997</v>
      </c>
    </row>
    <row r="84" spans="1:5" x14ac:dyDescent="0.3">
      <c r="A84" s="397"/>
      <c r="B84" s="709">
        <v>101163</v>
      </c>
      <c r="C84" s="710" t="s">
        <v>589</v>
      </c>
      <c r="D84" s="709" t="s">
        <v>168</v>
      </c>
      <c r="E84" s="711">
        <v>0.28699999999999998</v>
      </c>
    </row>
    <row r="85" spans="1:5" x14ac:dyDescent="0.3">
      <c r="A85" s="397"/>
      <c r="B85" s="709">
        <v>101164</v>
      </c>
      <c r="C85" s="710" t="s">
        <v>590</v>
      </c>
      <c r="D85" s="709" t="s">
        <v>168</v>
      </c>
      <c r="E85" s="711">
        <v>0.2843</v>
      </c>
    </row>
    <row r="86" spans="1:5" x14ac:dyDescent="0.3">
      <c r="A86" s="397"/>
      <c r="B86" s="709">
        <v>101162</v>
      </c>
      <c r="C86" s="710" t="s">
        <v>591</v>
      </c>
      <c r="D86" s="709" t="s">
        <v>168</v>
      </c>
      <c r="E86" s="711">
        <v>0.58009999999999995</v>
      </c>
    </row>
    <row r="87" spans="1:5" x14ac:dyDescent="0.3">
      <c r="A87" s="397"/>
      <c r="B87" s="709">
        <v>101161</v>
      </c>
      <c r="C87" s="710" t="s">
        <v>592</v>
      </c>
      <c r="D87" s="709" t="s">
        <v>168</v>
      </c>
      <c r="E87" s="711">
        <v>0.32640000000000002</v>
      </c>
    </row>
    <row r="88" spans="1:5" x14ac:dyDescent="0.3">
      <c r="A88" s="397"/>
      <c r="B88" s="709">
        <v>101159</v>
      </c>
      <c r="C88" s="710" t="s">
        <v>594</v>
      </c>
      <c r="D88" s="709" t="s">
        <v>168</v>
      </c>
      <c r="E88" s="711">
        <v>0.59840000000000004</v>
      </c>
    </row>
    <row r="89" spans="1:5" x14ac:dyDescent="0.3">
      <c r="A89" s="397"/>
      <c r="B89" s="709">
        <v>101154</v>
      </c>
      <c r="C89" s="710" t="s">
        <v>595</v>
      </c>
      <c r="D89" s="709" t="s">
        <v>168</v>
      </c>
      <c r="E89" s="711">
        <v>0.26129999999999998</v>
      </c>
    </row>
    <row r="90" spans="1:5" x14ac:dyDescent="0.3">
      <c r="A90" s="397"/>
      <c r="B90" s="709">
        <v>101155</v>
      </c>
      <c r="C90" s="710" t="s">
        <v>596</v>
      </c>
      <c r="D90" s="709" t="s">
        <v>168</v>
      </c>
      <c r="E90" s="711">
        <v>0.245</v>
      </c>
    </row>
    <row r="91" spans="1:5" x14ac:dyDescent="0.3">
      <c r="A91" s="397"/>
      <c r="B91" s="709">
        <v>101156</v>
      </c>
      <c r="C91" s="710" t="s">
        <v>597</v>
      </c>
      <c r="D91" s="709" t="s">
        <v>168</v>
      </c>
      <c r="E91" s="711">
        <v>0.2248</v>
      </c>
    </row>
    <row r="92" spans="1:5" x14ac:dyDescent="0.3">
      <c r="A92" s="397"/>
      <c r="B92" s="709">
        <v>101158</v>
      </c>
      <c r="C92" s="710" t="s">
        <v>598</v>
      </c>
      <c r="D92" s="709" t="s">
        <v>168</v>
      </c>
      <c r="E92" s="711">
        <v>0.2447</v>
      </c>
    </row>
    <row r="93" spans="1:5" x14ac:dyDescent="0.3">
      <c r="A93" s="397"/>
      <c r="B93" s="709">
        <v>101157</v>
      </c>
      <c r="C93" s="710" t="s">
        <v>599</v>
      </c>
      <c r="D93" s="709" t="s">
        <v>168</v>
      </c>
      <c r="E93" s="711">
        <v>0.27360000000000001</v>
      </c>
    </row>
    <row r="94" spans="1:5" x14ac:dyDescent="0.3">
      <c r="A94" s="397"/>
      <c r="B94" s="709">
        <v>87383</v>
      </c>
      <c r="C94" s="710" t="s">
        <v>16047</v>
      </c>
      <c r="D94" s="709" t="s">
        <v>170</v>
      </c>
      <c r="E94" s="711">
        <v>6.4799999999999996E-2</v>
      </c>
    </row>
    <row r="95" spans="1:5" x14ac:dyDescent="0.3">
      <c r="A95" s="397"/>
      <c r="B95" s="709">
        <v>87398</v>
      </c>
      <c r="C95" s="710" t="s">
        <v>16048</v>
      </c>
      <c r="D95" s="709" t="s">
        <v>170</v>
      </c>
      <c r="E95" s="711">
        <v>0.1676</v>
      </c>
    </row>
    <row r="96" spans="1:5" x14ac:dyDescent="0.3">
      <c r="A96" s="397"/>
      <c r="B96" s="709">
        <v>87396</v>
      </c>
      <c r="C96" s="710" t="s">
        <v>16049</v>
      </c>
      <c r="D96" s="709" t="s">
        <v>170</v>
      </c>
      <c r="E96" s="711">
        <v>4.82E-2</v>
      </c>
    </row>
    <row r="97" spans="1:5" x14ac:dyDescent="0.3">
      <c r="A97" s="397"/>
      <c r="B97" s="709">
        <v>87402</v>
      </c>
      <c r="C97" s="710" t="s">
        <v>16050</v>
      </c>
      <c r="D97" s="709" t="s">
        <v>170</v>
      </c>
      <c r="E97" s="711">
        <v>0.1172</v>
      </c>
    </row>
    <row r="98" spans="1:5" x14ac:dyDescent="0.3">
      <c r="A98" s="397"/>
      <c r="B98" s="709">
        <v>87393</v>
      </c>
      <c r="C98" s="710" t="s">
        <v>16051</v>
      </c>
      <c r="D98" s="709" t="s">
        <v>170</v>
      </c>
      <c r="E98" s="711">
        <v>3.0499999999999999E-2</v>
      </c>
    </row>
    <row r="99" spans="1:5" x14ac:dyDescent="0.3">
      <c r="A99" s="397"/>
      <c r="B99" s="709">
        <v>87401</v>
      </c>
      <c r="C99" s="710" t="s">
        <v>16052</v>
      </c>
      <c r="D99" s="709" t="s">
        <v>170</v>
      </c>
      <c r="E99" s="711">
        <v>7.5999999999999998E-2</v>
      </c>
    </row>
    <row r="100" spans="1:5" x14ac:dyDescent="0.3">
      <c r="A100" s="397"/>
      <c r="B100" s="709">
        <v>87407</v>
      </c>
      <c r="C100" s="710" t="s">
        <v>16053</v>
      </c>
      <c r="D100" s="709" t="s">
        <v>170</v>
      </c>
      <c r="E100" s="711">
        <v>7.4200000000000002E-2</v>
      </c>
    </row>
    <row r="101" spans="1:5" x14ac:dyDescent="0.3">
      <c r="A101" s="397"/>
      <c r="B101" s="709">
        <v>87404</v>
      </c>
      <c r="C101" s="710" t="s">
        <v>16054</v>
      </c>
      <c r="D101" s="709" t="s">
        <v>170</v>
      </c>
      <c r="E101" s="711">
        <v>3.9199999999999999E-2</v>
      </c>
    </row>
    <row r="102" spans="1:5" x14ac:dyDescent="0.3">
      <c r="A102" s="397"/>
      <c r="B102" s="709">
        <v>87389</v>
      </c>
      <c r="C102" s="710" t="s">
        <v>16055</v>
      </c>
      <c r="D102" s="709" t="s">
        <v>170</v>
      </c>
      <c r="E102" s="711">
        <v>2.4899999999999999E-2</v>
      </c>
    </row>
    <row r="103" spans="1:5" x14ac:dyDescent="0.3">
      <c r="A103" s="397"/>
      <c r="B103" s="709">
        <v>87386</v>
      </c>
      <c r="C103" s="710" t="s">
        <v>16056</v>
      </c>
      <c r="D103" s="709" t="s">
        <v>170</v>
      </c>
      <c r="E103" s="711">
        <v>6.3799999999999996E-2</v>
      </c>
    </row>
    <row r="104" spans="1:5" x14ac:dyDescent="0.3">
      <c r="A104" s="397"/>
      <c r="B104" s="709">
        <v>87399</v>
      </c>
      <c r="C104" s="710" t="s">
        <v>16057</v>
      </c>
      <c r="D104" s="709" t="s">
        <v>170</v>
      </c>
      <c r="E104" s="711">
        <v>0.15579999999999999</v>
      </c>
    </row>
    <row r="105" spans="1:5" x14ac:dyDescent="0.3">
      <c r="A105" s="397"/>
      <c r="B105" s="709">
        <v>107324</v>
      </c>
      <c r="C105" s="710" t="s">
        <v>16058</v>
      </c>
      <c r="D105" s="709" t="s">
        <v>170</v>
      </c>
      <c r="E105" s="711">
        <v>0.36149999999999999</v>
      </c>
    </row>
    <row r="106" spans="1:5" x14ac:dyDescent="0.3">
      <c r="A106" s="397"/>
      <c r="B106" s="709">
        <v>107100</v>
      </c>
      <c r="C106" s="710" t="s">
        <v>16059</v>
      </c>
      <c r="D106" s="709" t="s">
        <v>170</v>
      </c>
      <c r="E106" s="711">
        <v>0.1966</v>
      </c>
    </row>
    <row r="107" spans="1:5" x14ac:dyDescent="0.3">
      <c r="A107" s="397"/>
      <c r="B107" s="709">
        <v>107321</v>
      </c>
      <c r="C107" s="710" t="s">
        <v>16060</v>
      </c>
      <c r="D107" s="709" t="s">
        <v>170</v>
      </c>
      <c r="E107" s="711">
        <v>0.35260000000000002</v>
      </c>
    </row>
    <row r="108" spans="1:5" x14ac:dyDescent="0.3">
      <c r="A108" s="397"/>
      <c r="B108" s="709">
        <v>107322</v>
      </c>
      <c r="C108" s="710" t="s">
        <v>16061</v>
      </c>
      <c r="D108" s="709" t="s">
        <v>170</v>
      </c>
      <c r="E108" s="711">
        <v>0.23910000000000001</v>
      </c>
    </row>
    <row r="109" spans="1:5" x14ac:dyDescent="0.3">
      <c r="A109" s="397"/>
      <c r="B109" s="709">
        <v>107323</v>
      </c>
      <c r="C109" s="710" t="s">
        <v>16062</v>
      </c>
      <c r="D109" s="709" t="s">
        <v>170</v>
      </c>
      <c r="E109" s="711">
        <v>0.15379999999999999</v>
      </c>
    </row>
    <row r="110" spans="1:5" x14ac:dyDescent="0.3">
      <c r="A110" s="397"/>
      <c r="B110" s="709">
        <v>88627</v>
      </c>
      <c r="C110" s="710" t="s">
        <v>16063</v>
      </c>
      <c r="D110" s="709" t="s">
        <v>170</v>
      </c>
      <c r="E110" s="711">
        <v>0.39200000000000002</v>
      </c>
    </row>
    <row r="111" spans="1:5" x14ac:dyDescent="0.3">
      <c r="A111" s="397"/>
      <c r="B111" s="709">
        <v>88626</v>
      </c>
      <c r="C111" s="710" t="s">
        <v>16064</v>
      </c>
      <c r="D111" s="709" t="s">
        <v>170</v>
      </c>
      <c r="E111" s="711">
        <v>0.23849999999999999</v>
      </c>
    </row>
    <row r="112" spans="1:5" x14ac:dyDescent="0.3">
      <c r="A112" s="397"/>
      <c r="B112" s="709">
        <v>100464</v>
      </c>
      <c r="C112" s="710" t="s">
        <v>16065</v>
      </c>
      <c r="D112" s="709" t="s">
        <v>170</v>
      </c>
      <c r="E112" s="711">
        <v>0.30520000000000003</v>
      </c>
    </row>
    <row r="113" spans="1:5" x14ac:dyDescent="0.3">
      <c r="A113" s="397"/>
      <c r="B113" s="709">
        <v>100465</v>
      </c>
      <c r="C113" s="710" t="s">
        <v>16066</v>
      </c>
      <c r="D113" s="709" t="s">
        <v>170</v>
      </c>
      <c r="E113" s="711">
        <v>0.23039999999999999</v>
      </c>
    </row>
    <row r="114" spans="1:5" x14ac:dyDescent="0.3">
      <c r="A114" s="397"/>
      <c r="B114" s="709">
        <v>100466</v>
      </c>
      <c r="C114" s="710" t="s">
        <v>16067</v>
      </c>
      <c r="D114" s="709" t="s">
        <v>170</v>
      </c>
      <c r="E114" s="711">
        <v>0.16739999999999999</v>
      </c>
    </row>
    <row r="115" spans="1:5" x14ac:dyDescent="0.3">
      <c r="A115" s="397"/>
      <c r="B115" s="709">
        <v>87368</v>
      </c>
      <c r="C115" s="710" t="s">
        <v>16068</v>
      </c>
      <c r="D115" s="709" t="s">
        <v>170</v>
      </c>
      <c r="E115" s="711">
        <v>0.40960000000000002</v>
      </c>
    </row>
    <row r="116" spans="1:5" x14ac:dyDescent="0.3">
      <c r="A116" s="397"/>
      <c r="B116" s="709">
        <v>87289</v>
      </c>
      <c r="C116" s="710" t="s">
        <v>16069</v>
      </c>
      <c r="D116" s="709" t="s">
        <v>170</v>
      </c>
      <c r="E116" s="711">
        <v>0.2535</v>
      </c>
    </row>
    <row r="117" spans="1:5" x14ac:dyDescent="0.3">
      <c r="A117" s="397"/>
      <c r="B117" s="709">
        <v>87333</v>
      </c>
      <c r="C117" s="710" t="s">
        <v>16070</v>
      </c>
      <c r="D117" s="709" t="s">
        <v>170</v>
      </c>
      <c r="E117" s="711">
        <v>0.27529999999999999</v>
      </c>
    </row>
    <row r="118" spans="1:5" x14ac:dyDescent="0.3">
      <c r="A118" s="397"/>
      <c r="B118" s="709">
        <v>87334</v>
      </c>
      <c r="C118" s="710" t="s">
        <v>16071</v>
      </c>
      <c r="D118" s="709" t="s">
        <v>170</v>
      </c>
      <c r="E118" s="711">
        <v>0.20219999999999999</v>
      </c>
    </row>
    <row r="119" spans="1:5" x14ac:dyDescent="0.3">
      <c r="A119" s="397"/>
      <c r="B119" s="709">
        <v>105515</v>
      </c>
      <c r="C119" s="710" t="s">
        <v>16072</v>
      </c>
      <c r="D119" s="709" t="s">
        <v>170</v>
      </c>
      <c r="E119" s="711">
        <v>0.14929999999999999</v>
      </c>
    </row>
    <row r="120" spans="1:5" x14ac:dyDescent="0.3">
      <c r="A120" s="397"/>
      <c r="B120" s="709">
        <v>87367</v>
      </c>
      <c r="C120" s="710" t="s">
        <v>16073</v>
      </c>
      <c r="D120" s="709" t="s">
        <v>170</v>
      </c>
      <c r="E120" s="711">
        <v>0.39989999999999998</v>
      </c>
    </row>
    <row r="121" spans="1:5" x14ac:dyDescent="0.3">
      <c r="A121" s="397"/>
      <c r="B121" s="709">
        <v>87286</v>
      </c>
      <c r="C121" s="710" t="s">
        <v>16074</v>
      </c>
      <c r="D121" s="709" t="s">
        <v>170</v>
      </c>
      <c r="E121" s="711">
        <v>0.25919999999999999</v>
      </c>
    </row>
    <row r="122" spans="1:5" x14ac:dyDescent="0.3">
      <c r="A122" s="397"/>
      <c r="B122" s="709">
        <v>87331</v>
      </c>
      <c r="C122" s="710" t="s">
        <v>16075</v>
      </c>
      <c r="D122" s="709" t="s">
        <v>170</v>
      </c>
      <c r="E122" s="711">
        <v>0.3014</v>
      </c>
    </row>
    <row r="123" spans="1:5" x14ac:dyDescent="0.3">
      <c r="A123" s="397"/>
      <c r="B123" s="709">
        <v>87332</v>
      </c>
      <c r="C123" s="710" t="s">
        <v>16076</v>
      </c>
      <c r="D123" s="709" t="s">
        <v>170</v>
      </c>
      <c r="E123" s="711">
        <v>0.1835</v>
      </c>
    </row>
    <row r="124" spans="1:5" x14ac:dyDescent="0.3">
      <c r="A124" s="397"/>
      <c r="B124" s="709">
        <v>87369</v>
      </c>
      <c r="C124" s="710" t="s">
        <v>16077</v>
      </c>
      <c r="D124" s="709" t="s">
        <v>170</v>
      </c>
      <c r="E124" s="711">
        <v>0.39500000000000002</v>
      </c>
    </row>
    <row r="125" spans="1:5" x14ac:dyDescent="0.3">
      <c r="A125" s="397"/>
      <c r="B125" s="709">
        <v>87292</v>
      </c>
      <c r="C125" s="710" t="s">
        <v>16078</v>
      </c>
      <c r="D125" s="709" t="s">
        <v>170</v>
      </c>
      <c r="E125" s="711">
        <v>0.23230000000000001</v>
      </c>
    </row>
    <row r="126" spans="1:5" x14ac:dyDescent="0.3">
      <c r="A126" s="397"/>
      <c r="B126" s="709">
        <v>87335</v>
      </c>
      <c r="C126" s="710" t="s">
        <v>16079</v>
      </c>
      <c r="D126" s="709" t="s">
        <v>170</v>
      </c>
      <c r="E126" s="711">
        <v>0.25319999999999998</v>
      </c>
    </row>
    <row r="127" spans="1:5" x14ac:dyDescent="0.3">
      <c r="A127" s="397"/>
      <c r="B127" s="709">
        <v>87336</v>
      </c>
      <c r="C127" s="710" t="s">
        <v>16080</v>
      </c>
      <c r="D127" s="709" t="s">
        <v>170</v>
      </c>
      <c r="E127" s="711">
        <v>0.1885</v>
      </c>
    </row>
    <row r="128" spans="1:5" x14ac:dyDescent="0.3">
      <c r="A128" s="397"/>
      <c r="B128" s="709">
        <v>87370</v>
      </c>
      <c r="C128" s="710" t="s">
        <v>16081</v>
      </c>
      <c r="D128" s="709" t="s">
        <v>170</v>
      </c>
      <c r="E128" s="711">
        <v>0.4128</v>
      </c>
    </row>
    <row r="129" spans="1:5" x14ac:dyDescent="0.3">
      <c r="A129" s="397"/>
      <c r="B129" s="709">
        <v>88715</v>
      </c>
      <c r="C129" s="710" t="s">
        <v>16082</v>
      </c>
      <c r="D129" s="709" t="s">
        <v>170</v>
      </c>
      <c r="E129" s="711">
        <v>0.32240000000000002</v>
      </c>
    </row>
    <row r="130" spans="1:5" x14ac:dyDescent="0.3">
      <c r="A130" s="397"/>
      <c r="B130" s="709">
        <v>87337</v>
      </c>
      <c r="C130" s="710" t="s">
        <v>16083</v>
      </c>
      <c r="D130" s="709" t="s">
        <v>170</v>
      </c>
      <c r="E130" s="711">
        <v>0.26150000000000001</v>
      </c>
    </row>
    <row r="131" spans="1:5" x14ac:dyDescent="0.3">
      <c r="A131" s="397"/>
      <c r="B131" s="709">
        <v>100487</v>
      </c>
      <c r="C131" s="710" t="s">
        <v>16084</v>
      </c>
      <c r="D131" s="709" t="s">
        <v>170</v>
      </c>
      <c r="E131" s="711">
        <v>0.19189999999999999</v>
      </c>
    </row>
    <row r="132" spans="1:5" x14ac:dyDescent="0.3">
      <c r="A132" s="397"/>
      <c r="B132" s="709">
        <v>87380</v>
      </c>
      <c r="C132" s="710" t="s">
        <v>16085</v>
      </c>
      <c r="D132" s="709" t="s">
        <v>170</v>
      </c>
      <c r="E132" s="711">
        <v>7.9299999999999995E-2</v>
      </c>
    </row>
    <row r="133" spans="1:5" x14ac:dyDescent="0.3">
      <c r="A133" s="397"/>
      <c r="B133" s="709">
        <v>87322</v>
      </c>
      <c r="C133" s="710" t="s">
        <v>16086</v>
      </c>
      <c r="D133" s="709" t="s">
        <v>170</v>
      </c>
      <c r="E133" s="711">
        <v>4.0399999999999998E-2</v>
      </c>
    </row>
    <row r="134" spans="1:5" x14ac:dyDescent="0.3">
      <c r="A134" s="397"/>
      <c r="B134" s="709">
        <v>87360</v>
      </c>
      <c r="C134" s="710" t="s">
        <v>16087</v>
      </c>
      <c r="D134" s="709" t="s">
        <v>170</v>
      </c>
      <c r="E134" s="711">
        <v>6.2E-2</v>
      </c>
    </row>
    <row r="135" spans="1:5" x14ac:dyDescent="0.3">
      <c r="A135" s="397"/>
      <c r="B135" s="709">
        <v>87361</v>
      </c>
      <c r="C135" s="710" t="s">
        <v>16088</v>
      </c>
      <c r="D135" s="709" t="s">
        <v>170</v>
      </c>
      <c r="E135" s="711">
        <v>3.7900000000000003E-2</v>
      </c>
    </row>
    <row r="136" spans="1:5" x14ac:dyDescent="0.3">
      <c r="A136" s="397"/>
      <c r="B136" s="709">
        <v>87362</v>
      </c>
      <c r="C136" s="710" t="s">
        <v>16089</v>
      </c>
      <c r="D136" s="709" t="s">
        <v>170</v>
      </c>
      <c r="E136" s="711">
        <v>2.7E-2</v>
      </c>
    </row>
    <row r="137" spans="1:5" x14ac:dyDescent="0.3">
      <c r="A137" s="397"/>
      <c r="B137" s="709">
        <v>87377</v>
      </c>
      <c r="C137" s="710" t="s">
        <v>16090</v>
      </c>
      <c r="D137" s="709" t="s">
        <v>170</v>
      </c>
      <c r="E137" s="711">
        <v>0.38319999999999999</v>
      </c>
    </row>
    <row r="138" spans="1:5" x14ac:dyDescent="0.3">
      <c r="A138" s="397"/>
      <c r="B138" s="709">
        <v>87313</v>
      </c>
      <c r="C138" s="710" t="s">
        <v>16091</v>
      </c>
      <c r="D138" s="709" t="s">
        <v>170</v>
      </c>
      <c r="E138" s="711">
        <v>0.2185</v>
      </c>
    </row>
    <row r="139" spans="1:5" x14ac:dyDescent="0.3">
      <c r="A139" s="397"/>
      <c r="B139" s="709">
        <v>87352</v>
      </c>
      <c r="C139" s="710" t="s">
        <v>16092</v>
      </c>
      <c r="D139" s="709" t="s">
        <v>170</v>
      </c>
      <c r="E139" s="711">
        <v>0.34910000000000002</v>
      </c>
    </row>
    <row r="140" spans="1:5" x14ac:dyDescent="0.3">
      <c r="A140" s="397"/>
      <c r="B140" s="709">
        <v>87353</v>
      </c>
      <c r="C140" s="710" t="s">
        <v>16093</v>
      </c>
      <c r="D140" s="709" t="s">
        <v>170</v>
      </c>
      <c r="E140" s="711">
        <v>0.23910000000000001</v>
      </c>
    </row>
    <row r="141" spans="1:5" x14ac:dyDescent="0.3">
      <c r="A141" s="397"/>
      <c r="B141" s="709">
        <v>87354</v>
      </c>
      <c r="C141" s="710" t="s">
        <v>16094</v>
      </c>
      <c r="D141" s="709" t="s">
        <v>170</v>
      </c>
      <c r="E141" s="711">
        <v>0.16520000000000001</v>
      </c>
    </row>
    <row r="142" spans="1:5" x14ac:dyDescent="0.3">
      <c r="A142" s="397"/>
      <c r="B142" s="709">
        <v>100480</v>
      </c>
      <c r="C142" s="710" t="s">
        <v>16095</v>
      </c>
      <c r="D142" s="709" t="s">
        <v>170</v>
      </c>
      <c r="E142" s="711">
        <v>0.32240000000000002</v>
      </c>
    </row>
    <row r="143" spans="1:5" x14ac:dyDescent="0.3">
      <c r="A143" s="397"/>
      <c r="B143" s="709">
        <v>100475</v>
      </c>
      <c r="C143" s="710" t="s">
        <v>16096</v>
      </c>
      <c r="D143" s="709" t="s">
        <v>170</v>
      </c>
      <c r="E143" s="711">
        <v>0.18179999999999999</v>
      </c>
    </row>
    <row r="144" spans="1:5" x14ac:dyDescent="0.3">
      <c r="A144" s="397"/>
      <c r="B144" s="709">
        <v>100477</v>
      </c>
      <c r="C144" s="710" t="s">
        <v>16097</v>
      </c>
      <c r="D144" s="709" t="s">
        <v>170</v>
      </c>
      <c r="E144" s="711">
        <v>0.31080000000000002</v>
      </c>
    </row>
    <row r="145" spans="1:5" x14ac:dyDescent="0.3">
      <c r="A145" s="397"/>
      <c r="B145" s="709">
        <v>100478</v>
      </c>
      <c r="C145" s="710" t="s">
        <v>16098</v>
      </c>
      <c r="D145" s="709" t="s">
        <v>170</v>
      </c>
      <c r="E145" s="711">
        <v>0.18129999999999999</v>
      </c>
    </row>
    <row r="146" spans="1:5" x14ac:dyDescent="0.3">
      <c r="A146" s="397"/>
      <c r="B146" s="709">
        <v>100479</v>
      </c>
      <c r="C146" s="710" t="s">
        <v>16099</v>
      </c>
      <c r="D146" s="709" t="s">
        <v>170</v>
      </c>
      <c r="E146" s="711">
        <v>0.13469999999999999</v>
      </c>
    </row>
    <row r="147" spans="1:5" x14ac:dyDescent="0.3">
      <c r="A147" s="397"/>
      <c r="B147" s="709">
        <v>107329</v>
      </c>
      <c r="C147" s="710" t="s">
        <v>16100</v>
      </c>
      <c r="D147" s="709" t="s">
        <v>170</v>
      </c>
      <c r="E147" s="711">
        <v>0.36330000000000001</v>
      </c>
    </row>
    <row r="148" spans="1:5" x14ac:dyDescent="0.3">
      <c r="A148" s="397"/>
      <c r="B148" s="709">
        <v>107101</v>
      </c>
      <c r="C148" s="710" t="s">
        <v>16101</v>
      </c>
      <c r="D148" s="709" t="s">
        <v>170</v>
      </c>
      <c r="E148" s="711">
        <v>0.20119999999999999</v>
      </c>
    </row>
    <row r="149" spans="1:5" x14ac:dyDescent="0.3">
      <c r="A149" s="397"/>
      <c r="B149" s="709">
        <v>107326</v>
      </c>
      <c r="C149" s="710" t="s">
        <v>16102</v>
      </c>
      <c r="D149" s="709" t="s">
        <v>170</v>
      </c>
      <c r="E149" s="711">
        <v>0.3543</v>
      </c>
    </row>
    <row r="150" spans="1:5" x14ac:dyDescent="0.3">
      <c r="A150" s="397"/>
      <c r="B150" s="709">
        <v>107327</v>
      </c>
      <c r="C150" s="710" t="s">
        <v>16103</v>
      </c>
      <c r="D150" s="709" t="s">
        <v>170</v>
      </c>
      <c r="E150" s="711">
        <v>0.20200000000000001</v>
      </c>
    </row>
    <row r="151" spans="1:5" x14ac:dyDescent="0.3">
      <c r="A151" s="397"/>
      <c r="B151" s="709">
        <v>107328</v>
      </c>
      <c r="C151" s="710" t="s">
        <v>16104</v>
      </c>
      <c r="D151" s="709" t="s">
        <v>170</v>
      </c>
      <c r="E151" s="711">
        <v>0.14510000000000001</v>
      </c>
    </row>
    <row r="152" spans="1:5" x14ac:dyDescent="0.3">
      <c r="A152" s="397"/>
      <c r="B152" s="709">
        <v>87372</v>
      </c>
      <c r="C152" s="710" t="s">
        <v>16105</v>
      </c>
      <c r="D152" s="709" t="s">
        <v>170</v>
      </c>
      <c r="E152" s="711">
        <v>0.33160000000000001</v>
      </c>
    </row>
    <row r="153" spans="1:5" x14ac:dyDescent="0.3">
      <c r="A153" s="397"/>
      <c r="B153" s="709">
        <v>87298</v>
      </c>
      <c r="C153" s="710" t="s">
        <v>16106</v>
      </c>
      <c r="D153" s="709" t="s">
        <v>170</v>
      </c>
      <c r="E153" s="711">
        <v>0.1741</v>
      </c>
    </row>
    <row r="154" spans="1:5" x14ac:dyDescent="0.3">
      <c r="A154" s="397"/>
      <c r="B154" s="709">
        <v>87339</v>
      </c>
      <c r="C154" s="710" t="s">
        <v>16107</v>
      </c>
      <c r="D154" s="709" t="s">
        <v>170</v>
      </c>
      <c r="E154" s="711">
        <v>0.33829999999999999</v>
      </c>
    </row>
    <row r="155" spans="1:5" x14ac:dyDescent="0.3">
      <c r="A155" s="397"/>
      <c r="B155" s="709">
        <v>87340</v>
      </c>
      <c r="C155" s="710" t="s">
        <v>16108</v>
      </c>
      <c r="D155" s="709" t="s">
        <v>170</v>
      </c>
      <c r="E155" s="711">
        <v>0.1895</v>
      </c>
    </row>
    <row r="156" spans="1:5" x14ac:dyDescent="0.3">
      <c r="A156" s="397"/>
      <c r="B156" s="709">
        <v>87341</v>
      </c>
      <c r="C156" s="710" t="s">
        <v>16109</v>
      </c>
      <c r="D156" s="709" t="s">
        <v>170</v>
      </c>
      <c r="E156" s="711">
        <v>0.1363</v>
      </c>
    </row>
    <row r="157" spans="1:5" x14ac:dyDescent="0.3">
      <c r="A157" s="397"/>
      <c r="B157" s="709">
        <v>88629</v>
      </c>
      <c r="C157" s="710" t="s">
        <v>16110</v>
      </c>
      <c r="D157" s="709" t="s">
        <v>170</v>
      </c>
      <c r="E157" s="711">
        <v>0.36520000000000002</v>
      </c>
    </row>
    <row r="158" spans="1:5" x14ac:dyDescent="0.3">
      <c r="A158" s="397"/>
      <c r="B158" s="709">
        <v>88628</v>
      </c>
      <c r="C158" s="710" t="s">
        <v>16111</v>
      </c>
      <c r="D158" s="709" t="s">
        <v>170</v>
      </c>
      <c r="E158" s="711">
        <v>0.20250000000000001</v>
      </c>
    </row>
    <row r="159" spans="1:5" x14ac:dyDescent="0.3">
      <c r="A159" s="397"/>
      <c r="B159" s="709">
        <v>100468</v>
      </c>
      <c r="C159" s="710" t="s">
        <v>16112</v>
      </c>
      <c r="D159" s="709" t="s">
        <v>170</v>
      </c>
      <c r="E159" s="711">
        <v>0.34970000000000001</v>
      </c>
    </row>
    <row r="160" spans="1:5" x14ac:dyDescent="0.3">
      <c r="A160" s="397"/>
      <c r="B160" s="709">
        <v>100469</v>
      </c>
      <c r="C160" s="710" t="s">
        <v>16113</v>
      </c>
      <c r="D160" s="709" t="s">
        <v>170</v>
      </c>
      <c r="E160" s="711">
        <v>0.2009</v>
      </c>
    </row>
    <row r="161" spans="1:5" x14ac:dyDescent="0.3">
      <c r="A161" s="397"/>
      <c r="B161" s="709">
        <v>100470</v>
      </c>
      <c r="C161" s="710" t="s">
        <v>16114</v>
      </c>
      <c r="D161" s="709" t="s">
        <v>170</v>
      </c>
      <c r="E161" s="711">
        <v>0.14560000000000001</v>
      </c>
    </row>
    <row r="162" spans="1:5" x14ac:dyDescent="0.3">
      <c r="A162" s="397"/>
      <c r="B162" s="709">
        <v>87371</v>
      </c>
      <c r="C162" s="710" t="s">
        <v>16115</v>
      </c>
      <c r="D162" s="709" t="s">
        <v>170</v>
      </c>
      <c r="E162" s="711">
        <v>0.41360000000000002</v>
      </c>
    </row>
    <row r="163" spans="1:5" x14ac:dyDescent="0.3">
      <c r="A163" s="397"/>
      <c r="B163" s="709">
        <v>87295</v>
      </c>
      <c r="C163" s="710" t="s">
        <v>16116</v>
      </c>
      <c r="D163" s="709" t="s">
        <v>170</v>
      </c>
      <c r="E163" s="711">
        <v>0.29089999999999999</v>
      </c>
    </row>
    <row r="164" spans="1:5" x14ac:dyDescent="0.3">
      <c r="A164" s="397"/>
      <c r="B164" s="709">
        <v>87338</v>
      </c>
      <c r="C164" s="710" t="s">
        <v>16117</v>
      </c>
      <c r="D164" s="709" t="s">
        <v>170</v>
      </c>
      <c r="E164" s="711">
        <v>0.2397</v>
      </c>
    </row>
    <row r="165" spans="1:5" x14ac:dyDescent="0.3">
      <c r="A165" s="397"/>
      <c r="B165" s="709">
        <v>88630</v>
      </c>
      <c r="C165" s="710" t="s">
        <v>16118</v>
      </c>
      <c r="D165" s="709" t="s">
        <v>170</v>
      </c>
      <c r="E165" s="711">
        <v>0.2218</v>
      </c>
    </row>
    <row r="166" spans="1:5" x14ac:dyDescent="0.3">
      <c r="A166" s="397"/>
      <c r="B166" s="709">
        <v>87381</v>
      </c>
      <c r="C166" s="710" t="s">
        <v>16119</v>
      </c>
      <c r="D166" s="709" t="s">
        <v>170</v>
      </c>
      <c r="E166" s="711">
        <v>7.8E-2</v>
      </c>
    </row>
    <row r="167" spans="1:5" x14ac:dyDescent="0.3">
      <c r="A167" s="397"/>
      <c r="B167" s="709">
        <v>87325</v>
      </c>
      <c r="C167" s="710" t="s">
        <v>16120</v>
      </c>
      <c r="D167" s="709" t="s">
        <v>170</v>
      </c>
      <c r="E167" s="711">
        <v>4.2900000000000001E-2</v>
      </c>
    </row>
    <row r="168" spans="1:5" x14ac:dyDescent="0.3">
      <c r="A168" s="397"/>
      <c r="B168" s="709">
        <v>87363</v>
      </c>
      <c r="C168" s="710" t="s">
        <v>16121</v>
      </c>
      <c r="D168" s="709" t="s">
        <v>170</v>
      </c>
      <c r="E168" s="711">
        <v>5.3999999999999999E-2</v>
      </c>
    </row>
    <row r="169" spans="1:5" x14ac:dyDescent="0.3">
      <c r="A169" s="397"/>
      <c r="B169" s="709">
        <v>87364</v>
      </c>
      <c r="C169" s="710" t="s">
        <v>16122</v>
      </c>
      <c r="D169" s="709" t="s">
        <v>170</v>
      </c>
      <c r="E169" s="711">
        <v>2.87E-2</v>
      </c>
    </row>
    <row r="170" spans="1:5" x14ac:dyDescent="0.3">
      <c r="A170" s="397"/>
      <c r="B170" s="709">
        <v>87378</v>
      </c>
      <c r="C170" s="710" t="s">
        <v>16123</v>
      </c>
      <c r="D170" s="709" t="s">
        <v>170</v>
      </c>
      <c r="E170" s="711">
        <v>0.41139999999999999</v>
      </c>
    </row>
    <row r="171" spans="1:5" x14ac:dyDescent="0.3">
      <c r="A171" s="397"/>
      <c r="B171" s="709">
        <v>87316</v>
      </c>
      <c r="C171" s="710" t="s">
        <v>16124</v>
      </c>
      <c r="D171" s="709" t="s">
        <v>170</v>
      </c>
      <c r="E171" s="711">
        <v>0.25919999999999999</v>
      </c>
    </row>
    <row r="172" spans="1:5" x14ac:dyDescent="0.3">
      <c r="A172" s="397"/>
      <c r="B172" s="709">
        <v>87355</v>
      </c>
      <c r="C172" s="710" t="s">
        <v>16125</v>
      </c>
      <c r="D172" s="709" t="s">
        <v>170</v>
      </c>
      <c r="E172" s="711">
        <v>0.33560000000000001</v>
      </c>
    </row>
    <row r="173" spans="1:5" x14ac:dyDescent="0.3">
      <c r="A173" s="397"/>
      <c r="B173" s="709">
        <v>87356</v>
      </c>
      <c r="C173" s="710" t="s">
        <v>16126</v>
      </c>
      <c r="D173" s="709" t="s">
        <v>170</v>
      </c>
      <c r="E173" s="711">
        <v>0.24310000000000001</v>
      </c>
    </row>
    <row r="174" spans="1:5" x14ac:dyDescent="0.3">
      <c r="A174" s="397"/>
      <c r="B174" s="709">
        <v>87357</v>
      </c>
      <c r="C174" s="710" t="s">
        <v>16127</v>
      </c>
      <c r="D174" s="709" t="s">
        <v>170</v>
      </c>
      <c r="E174" s="711">
        <v>0.183</v>
      </c>
    </row>
    <row r="175" spans="1:5" x14ac:dyDescent="0.3">
      <c r="A175" s="397"/>
      <c r="B175" s="709">
        <v>100486</v>
      </c>
      <c r="C175" s="710" t="s">
        <v>16128</v>
      </c>
      <c r="D175" s="709" t="s">
        <v>170</v>
      </c>
      <c r="E175" s="711">
        <v>0.34549999999999997</v>
      </c>
    </row>
    <row r="176" spans="1:5" x14ac:dyDescent="0.3">
      <c r="A176" s="397"/>
      <c r="B176" s="709">
        <v>100481</v>
      </c>
      <c r="C176" s="710" t="s">
        <v>16129</v>
      </c>
      <c r="D176" s="709" t="s">
        <v>170</v>
      </c>
      <c r="E176" s="711">
        <v>0.1993</v>
      </c>
    </row>
    <row r="177" spans="1:5" x14ac:dyDescent="0.3">
      <c r="A177" s="397"/>
      <c r="B177" s="709">
        <v>100483</v>
      </c>
      <c r="C177" s="710" t="s">
        <v>16130</v>
      </c>
      <c r="D177" s="709" t="s">
        <v>170</v>
      </c>
      <c r="E177" s="711">
        <v>0.30059999999999998</v>
      </c>
    </row>
    <row r="178" spans="1:5" x14ac:dyDescent="0.3">
      <c r="A178" s="397"/>
      <c r="B178" s="709">
        <v>100484</v>
      </c>
      <c r="C178" s="710" t="s">
        <v>16131</v>
      </c>
      <c r="D178" s="709" t="s">
        <v>170</v>
      </c>
      <c r="E178" s="711">
        <v>0.21279999999999999</v>
      </c>
    </row>
    <row r="179" spans="1:5" x14ac:dyDescent="0.3">
      <c r="A179" s="397"/>
      <c r="B179" s="709">
        <v>100485</v>
      </c>
      <c r="C179" s="710" t="s">
        <v>16132</v>
      </c>
      <c r="D179" s="709" t="s">
        <v>170</v>
      </c>
      <c r="E179" s="711">
        <v>0.1636</v>
      </c>
    </row>
    <row r="180" spans="1:5" x14ac:dyDescent="0.3">
      <c r="A180" s="397"/>
      <c r="B180" s="709">
        <v>87373</v>
      </c>
      <c r="C180" s="710" t="s">
        <v>16133</v>
      </c>
      <c r="D180" s="709" t="s">
        <v>170</v>
      </c>
      <c r="E180" s="711">
        <v>0.35249999999999998</v>
      </c>
    </row>
    <row r="181" spans="1:5" x14ac:dyDescent="0.3">
      <c r="A181" s="397"/>
      <c r="B181" s="709">
        <v>87301</v>
      </c>
      <c r="C181" s="710" t="s">
        <v>16134</v>
      </c>
      <c r="D181" s="709" t="s">
        <v>170</v>
      </c>
      <c r="E181" s="711">
        <v>0.21440000000000001</v>
      </c>
    </row>
    <row r="182" spans="1:5" x14ac:dyDescent="0.3">
      <c r="A182" s="397"/>
      <c r="B182" s="709">
        <v>87342</v>
      </c>
      <c r="C182" s="710" t="s">
        <v>16135</v>
      </c>
      <c r="D182" s="709" t="s">
        <v>170</v>
      </c>
      <c r="E182" s="711">
        <v>0.3251</v>
      </c>
    </row>
    <row r="183" spans="1:5" x14ac:dyDescent="0.3">
      <c r="A183" s="397"/>
      <c r="B183" s="709">
        <v>87343</v>
      </c>
      <c r="C183" s="710" t="s">
        <v>16136</v>
      </c>
      <c r="D183" s="709" t="s">
        <v>170</v>
      </c>
      <c r="E183" s="711">
        <v>0.22919999999999999</v>
      </c>
    </row>
    <row r="184" spans="1:5" x14ac:dyDescent="0.3">
      <c r="A184" s="397"/>
      <c r="B184" s="709">
        <v>87344</v>
      </c>
      <c r="C184" s="710" t="s">
        <v>16137</v>
      </c>
      <c r="D184" s="709" t="s">
        <v>170</v>
      </c>
      <c r="E184" s="711">
        <v>0.15459999999999999</v>
      </c>
    </row>
    <row r="185" spans="1:5" x14ac:dyDescent="0.3">
      <c r="A185" s="397"/>
      <c r="B185" s="709">
        <v>88631</v>
      </c>
      <c r="C185" s="710" t="s">
        <v>16138</v>
      </c>
      <c r="D185" s="709" t="s">
        <v>170</v>
      </c>
      <c r="E185" s="711">
        <v>0.38800000000000001</v>
      </c>
    </row>
    <row r="186" spans="1:5" x14ac:dyDescent="0.3">
      <c r="A186" s="397"/>
      <c r="B186" s="709">
        <v>100472</v>
      </c>
      <c r="C186" s="710" t="s">
        <v>16139</v>
      </c>
      <c r="D186" s="709" t="s">
        <v>170</v>
      </c>
      <c r="E186" s="711">
        <v>0.3362</v>
      </c>
    </row>
    <row r="187" spans="1:5" x14ac:dyDescent="0.3">
      <c r="A187" s="397"/>
      <c r="B187" s="709">
        <v>100473</v>
      </c>
      <c r="C187" s="710" t="s">
        <v>16140</v>
      </c>
      <c r="D187" s="709" t="s">
        <v>170</v>
      </c>
      <c r="E187" s="711">
        <v>0.23649999999999999</v>
      </c>
    </row>
    <row r="188" spans="1:5" x14ac:dyDescent="0.3">
      <c r="A188" s="397"/>
      <c r="B188" s="709">
        <v>100474</v>
      </c>
      <c r="C188" s="710" t="s">
        <v>16141</v>
      </c>
      <c r="D188" s="709" t="s">
        <v>170</v>
      </c>
      <c r="E188" s="711">
        <v>0.17949999999999999</v>
      </c>
    </row>
    <row r="189" spans="1:5" x14ac:dyDescent="0.3">
      <c r="A189" s="397"/>
      <c r="B189" s="709">
        <v>87379</v>
      </c>
      <c r="C189" s="710" t="s">
        <v>16142</v>
      </c>
      <c r="D189" s="709" t="s">
        <v>170</v>
      </c>
      <c r="E189" s="711">
        <v>8.0299999999999996E-2</v>
      </c>
    </row>
    <row r="190" spans="1:5" x14ac:dyDescent="0.3">
      <c r="A190" s="397"/>
      <c r="B190" s="709">
        <v>87319</v>
      </c>
      <c r="C190" s="710" t="s">
        <v>16143</v>
      </c>
      <c r="D190" s="709" t="s">
        <v>170</v>
      </c>
      <c r="E190" s="711">
        <v>4.0099999999999997E-2</v>
      </c>
    </row>
    <row r="191" spans="1:5" x14ac:dyDescent="0.3">
      <c r="A191" s="397"/>
      <c r="B191" s="709">
        <v>87358</v>
      </c>
      <c r="C191" s="710" t="s">
        <v>16144</v>
      </c>
      <c r="D191" s="709" t="s">
        <v>170</v>
      </c>
      <c r="E191" s="711">
        <v>5.0099999999999999E-2</v>
      </c>
    </row>
    <row r="192" spans="1:5" x14ac:dyDescent="0.3">
      <c r="A192" s="397"/>
      <c r="B192" s="709">
        <v>87359</v>
      </c>
      <c r="C192" s="710" t="s">
        <v>16145</v>
      </c>
      <c r="D192" s="709" t="s">
        <v>170</v>
      </c>
      <c r="E192" s="711">
        <v>3.3099999999999997E-2</v>
      </c>
    </row>
    <row r="193" spans="1:5" x14ac:dyDescent="0.3">
      <c r="A193" s="397"/>
      <c r="B193" s="709">
        <v>87376</v>
      </c>
      <c r="C193" s="710" t="s">
        <v>16146</v>
      </c>
      <c r="D193" s="709" t="s">
        <v>170</v>
      </c>
      <c r="E193" s="711">
        <v>0.44529999999999997</v>
      </c>
    </row>
    <row r="194" spans="1:5" x14ac:dyDescent="0.3">
      <c r="A194" s="397"/>
      <c r="B194" s="709">
        <v>87310</v>
      </c>
      <c r="C194" s="710" t="s">
        <v>16147</v>
      </c>
      <c r="D194" s="709" t="s">
        <v>170</v>
      </c>
      <c r="E194" s="711">
        <v>0.26700000000000002</v>
      </c>
    </row>
    <row r="195" spans="1:5" x14ac:dyDescent="0.3">
      <c r="A195" s="397"/>
      <c r="B195" s="709">
        <v>87350</v>
      </c>
      <c r="C195" s="710" t="s">
        <v>16148</v>
      </c>
      <c r="D195" s="709" t="s">
        <v>170</v>
      </c>
      <c r="E195" s="711">
        <v>0.35439999999999999</v>
      </c>
    </row>
    <row r="196" spans="1:5" x14ac:dyDescent="0.3">
      <c r="A196" s="397"/>
      <c r="B196" s="709">
        <v>87351</v>
      </c>
      <c r="C196" s="710" t="s">
        <v>16149</v>
      </c>
      <c r="D196" s="709" t="s">
        <v>170</v>
      </c>
      <c r="E196" s="711">
        <v>0.21440000000000001</v>
      </c>
    </row>
    <row r="197" spans="1:5" x14ac:dyDescent="0.3">
      <c r="A197" s="397"/>
      <c r="B197" s="709">
        <v>87374</v>
      </c>
      <c r="C197" s="710" t="s">
        <v>16150</v>
      </c>
      <c r="D197" s="709" t="s">
        <v>170</v>
      </c>
      <c r="E197" s="711">
        <v>0.38369999999999999</v>
      </c>
    </row>
    <row r="198" spans="1:5" x14ac:dyDescent="0.3">
      <c r="A198" s="397"/>
      <c r="B198" s="709">
        <v>87304</v>
      </c>
      <c r="C198" s="710" t="s">
        <v>16151</v>
      </c>
      <c r="D198" s="709" t="s">
        <v>170</v>
      </c>
      <c r="E198" s="711">
        <v>0.21740000000000001</v>
      </c>
    </row>
    <row r="199" spans="1:5" x14ac:dyDescent="0.3">
      <c r="A199" s="397"/>
      <c r="B199" s="709">
        <v>87345</v>
      </c>
      <c r="C199" s="710" t="s">
        <v>16152</v>
      </c>
      <c r="D199" s="709" t="s">
        <v>170</v>
      </c>
      <c r="E199" s="711">
        <v>0.32440000000000002</v>
      </c>
    </row>
    <row r="200" spans="1:5" x14ac:dyDescent="0.3">
      <c r="A200" s="397"/>
      <c r="B200" s="709">
        <v>87346</v>
      </c>
      <c r="C200" s="710" t="s">
        <v>16153</v>
      </c>
      <c r="D200" s="709" t="s">
        <v>170</v>
      </c>
      <c r="E200" s="711">
        <v>0.23419999999999999</v>
      </c>
    </row>
    <row r="201" spans="1:5" x14ac:dyDescent="0.3">
      <c r="A201" s="397"/>
      <c r="B201" s="709">
        <v>87347</v>
      </c>
      <c r="C201" s="710" t="s">
        <v>16154</v>
      </c>
      <c r="D201" s="709" t="s">
        <v>170</v>
      </c>
      <c r="E201" s="711">
        <v>0.17169999999999999</v>
      </c>
    </row>
    <row r="202" spans="1:5" x14ac:dyDescent="0.3">
      <c r="A202" s="397"/>
      <c r="B202" s="709">
        <v>87366</v>
      </c>
      <c r="C202" s="710" t="s">
        <v>16155</v>
      </c>
      <c r="D202" s="709" t="s">
        <v>170</v>
      </c>
      <c r="E202" s="711">
        <v>0.44440000000000002</v>
      </c>
    </row>
    <row r="203" spans="1:5" x14ac:dyDescent="0.3">
      <c r="A203" s="397"/>
      <c r="B203" s="709">
        <v>87283</v>
      </c>
      <c r="C203" s="710" t="s">
        <v>16156</v>
      </c>
      <c r="D203" s="709" t="s">
        <v>170</v>
      </c>
      <c r="E203" s="711">
        <v>0.25950000000000001</v>
      </c>
    </row>
    <row r="204" spans="1:5" x14ac:dyDescent="0.3">
      <c r="A204" s="397"/>
      <c r="B204" s="709">
        <v>87329</v>
      </c>
      <c r="C204" s="710" t="s">
        <v>16157</v>
      </c>
      <c r="D204" s="709" t="s">
        <v>170</v>
      </c>
      <c r="E204" s="711">
        <v>0.33800000000000002</v>
      </c>
    </row>
    <row r="205" spans="1:5" x14ac:dyDescent="0.3">
      <c r="A205" s="397"/>
      <c r="B205" s="709">
        <v>87330</v>
      </c>
      <c r="C205" s="710" t="s">
        <v>16158</v>
      </c>
      <c r="D205" s="709" t="s">
        <v>170</v>
      </c>
      <c r="E205" s="711">
        <v>0.2114</v>
      </c>
    </row>
    <row r="206" spans="1:5" x14ac:dyDescent="0.3">
      <c r="A206" s="397"/>
      <c r="B206" s="709">
        <v>87375</v>
      </c>
      <c r="C206" s="710" t="s">
        <v>16159</v>
      </c>
      <c r="D206" s="709" t="s">
        <v>170</v>
      </c>
      <c r="E206" s="711">
        <v>0.41249999999999998</v>
      </c>
    </row>
    <row r="207" spans="1:5" x14ac:dyDescent="0.3">
      <c r="A207" s="397"/>
      <c r="B207" s="709">
        <v>87307</v>
      </c>
      <c r="C207" s="710" t="s">
        <v>16160</v>
      </c>
      <c r="D207" s="709" t="s">
        <v>170</v>
      </c>
      <c r="E207" s="711">
        <v>0.25230000000000002</v>
      </c>
    </row>
    <row r="208" spans="1:5" x14ac:dyDescent="0.3">
      <c r="A208" s="397"/>
      <c r="B208" s="709">
        <v>87348</v>
      </c>
      <c r="C208" s="710" t="s">
        <v>16161</v>
      </c>
      <c r="D208" s="709" t="s">
        <v>170</v>
      </c>
      <c r="E208" s="711">
        <v>0.32319999999999999</v>
      </c>
    </row>
    <row r="209" spans="1:5" x14ac:dyDescent="0.3">
      <c r="A209" s="397"/>
      <c r="B209" s="709">
        <v>87349</v>
      </c>
      <c r="C209" s="710" t="s">
        <v>16162</v>
      </c>
      <c r="D209" s="709" t="s">
        <v>170</v>
      </c>
      <c r="E209" s="711">
        <v>0.17549999999999999</v>
      </c>
    </row>
    <row r="210" spans="1:5" x14ac:dyDescent="0.3">
      <c r="A210" s="397"/>
      <c r="B210" s="709">
        <v>87365</v>
      </c>
      <c r="C210" s="710" t="s">
        <v>16163</v>
      </c>
      <c r="D210" s="709" t="s">
        <v>170</v>
      </c>
      <c r="E210" s="711">
        <v>0.45850000000000002</v>
      </c>
    </row>
    <row r="211" spans="1:5" x14ac:dyDescent="0.3">
      <c r="A211" s="397"/>
      <c r="B211" s="709">
        <v>87280</v>
      </c>
      <c r="C211" s="710" t="s">
        <v>16164</v>
      </c>
      <c r="D211" s="709" t="s">
        <v>170</v>
      </c>
      <c r="E211" s="711">
        <v>0.3014</v>
      </c>
    </row>
    <row r="212" spans="1:5" x14ac:dyDescent="0.3">
      <c r="A212" s="397"/>
      <c r="B212" s="709">
        <v>87327</v>
      </c>
      <c r="C212" s="710" t="s">
        <v>16165</v>
      </c>
      <c r="D212" s="709" t="s">
        <v>170</v>
      </c>
      <c r="E212" s="711">
        <v>0.34539999999999998</v>
      </c>
    </row>
    <row r="213" spans="1:5" x14ac:dyDescent="0.3">
      <c r="A213" s="397"/>
      <c r="B213" s="709">
        <v>87328</v>
      </c>
      <c r="C213" s="710" t="s">
        <v>16166</v>
      </c>
      <c r="D213" s="709" t="s">
        <v>170</v>
      </c>
      <c r="E213" s="711">
        <v>0.21579999999999999</v>
      </c>
    </row>
    <row r="214" spans="1:5" x14ac:dyDescent="0.3">
      <c r="A214" s="397"/>
      <c r="B214" s="709">
        <v>87410</v>
      </c>
      <c r="C214" s="710" t="s">
        <v>16167</v>
      </c>
      <c r="D214" s="709" t="s">
        <v>170</v>
      </c>
      <c r="E214" s="711">
        <v>0.1671</v>
      </c>
    </row>
    <row r="215" spans="1:5" x14ac:dyDescent="0.3">
      <c r="A215" s="397"/>
      <c r="B215" s="709">
        <v>107254</v>
      </c>
      <c r="C215" s="710" t="s">
        <v>16168</v>
      </c>
      <c r="D215" s="709" t="s">
        <v>175</v>
      </c>
      <c r="E215" s="711">
        <v>0.11219999999999999</v>
      </c>
    </row>
    <row r="216" spans="1:5" x14ac:dyDescent="0.3">
      <c r="A216" s="397"/>
      <c r="B216" s="709">
        <v>107253</v>
      </c>
      <c r="C216" s="710" t="s">
        <v>16169</v>
      </c>
      <c r="D216" s="709" t="s">
        <v>175</v>
      </c>
      <c r="E216" s="711">
        <v>0.14419999999999999</v>
      </c>
    </row>
    <row r="217" spans="1:5" x14ac:dyDescent="0.3">
      <c r="A217" s="397"/>
      <c r="B217" s="709">
        <v>95577</v>
      </c>
      <c r="C217" s="710" t="s">
        <v>600</v>
      </c>
      <c r="D217" s="709" t="s">
        <v>175</v>
      </c>
      <c r="E217" s="711">
        <v>0.1426</v>
      </c>
    </row>
    <row r="218" spans="1:5" x14ac:dyDescent="0.3">
      <c r="A218" s="397"/>
      <c r="B218" s="709">
        <v>95578</v>
      </c>
      <c r="C218" s="710" t="s">
        <v>601</v>
      </c>
      <c r="D218" s="709" t="s">
        <v>175</v>
      </c>
      <c r="E218" s="711">
        <v>9.2700000000000005E-2</v>
      </c>
    </row>
    <row r="219" spans="1:5" x14ac:dyDescent="0.3">
      <c r="A219" s="397"/>
      <c r="B219" s="709">
        <v>95579</v>
      </c>
      <c r="C219" s="710" t="s">
        <v>602</v>
      </c>
      <c r="D219" s="709" t="s">
        <v>175</v>
      </c>
      <c r="E219" s="711">
        <v>5.6800000000000003E-2</v>
      </c>
    </row>
    <row r="220" spans="1:5" x14ac:dyDescent="0.3">
      <c r="A220" s="397"/>
      <c r="B220" s="709">
        <v>95580</v>
      </c>
      <c r="C220" s="710" t="s">
        <v>603</v>
      </c>
      <c r="D220" s="709" t="s">
        <v>175</v>
      </c>
      <c r="E220" s="711">
        <v>3.8199999999999998E-2</v>
      </c>
    </row>
    <row r="221" spans="1:5" x14ac:dyDescent="0.3">
      <c r="A221" s="397"/>
      <c r="B221" s="709">
        <v>95581</v>
      </c>
      <c r="C221" s="710" t="s">
        <v>604</v>
      </c>
      <c r="D221" s="709" t="s">
        <v>175</v>
      </c>
      <c r="E221" s="711">
        <v>3.39E-2</v>
      </c>
    </row>
    <row r="222" spans="1:5" x14ac:dyDescent="0.3">
      <c r="A222" s="397"/>
      <c r="B222" s="709">
        <v>95582</v>
      </c>
      <c r="C222" s="710" t="s">
        <v>605</v>
      </c>
      <c r="D222" s="709" t="s">
        <v>175</v>
      </c>
      <c r="E222" s="711">
        <v>2.81E-2</v>
      </c>
    </row>
    <row r="223" spans="1:5" x14ac:dyDescent="0.3">
      <c r="A223" s="397"/>
      <c r="B223" s="709">
        <v>95576</v>
      </c>
      <c r="C223" s="710" t="s">
        <v>606</v>
      </c>
      <c r="D223" s="709" t="s">
        <v>175</v>
      </c>
      <c r="E223" s="711">
        <v>0.24510000000000001</v>
      </c>
    </row>
    <row r="224" spans="1:5" x14ac:dyDescent="0.3">
      <c r="A224" s="397"/>
      <c r="B224" s="709">
        <v>95583</v>
      </c>
      <c r="C224" s="710" t="s">
        <v>607</v>
      </c>
      <c r="D224" s="709" t="s">
        <v>175</v>
      </c>
      <c r="E224" s="711">
        <v>0.50690000000000002</v>
      </c>
    </row>
    <row r="225" spans="1:5" x14ac:dyDescent="0.3">
      <c r="A225" s="397"/>
      <c r="B225" s="709">
        <v>95584</v>
      </c>
      <c r="C225" s="710" t="s">
        <v>608</v>
      </c>
      <c r="D225" s="709" t="s">
        <v>175</v>
      </c>
      <c r="E225" s="711">
        <v>0.36030000000000001</v>
      </c>
    </row>
    <row r="226" spans="1:5" x14ac:dyDescent="0.3">
      <c r="A226" s="397"/>
      <c r="B226" s="709">
        <v>95593</v>
      </c>
      <c r="C226" s="710" t="s">
        <v>609</v>
      </c>
      <c r="D226" s="709" t="s">
        <v>175</v>
      </c>
      <c r="E226" s="711">
        <v>0.36030000000000001</v>
      </c>
    </row>
    <row r="227" spans="1:5" x14ac:dyDescent="0.3">
      <c r="A227" s="397"/>
      <c r="B227" s="709">
        <v>95592</v>
      </c>
      <c r="C227" s="710" t="s">
        <v>610</v>
      </c>
      <c r="D227" s="709" t="s">
        <v>175</v>
      </c>
      <c r="E227" s="711">
        <v>0.50690000000000002</v>
      </c>
    </row>
    <row r="228" spans="1:5" x14ac:dyDescent="0.3">
      <c r="A228" s="397"/>
      <c r="B228" s="709">
        <v>92919</v>
      </c>
      <c r="C228" s="710" t="s">
        <v>611</v>
      </c>
      <c r="D228" s="709" t="s">
        <v>175</v>
      </c>
      <c r="E228" s="711">
        <v>0.2465</v>
      </c>
    </row>
    <row r="229" spans="1:5" x14ac:dyDescent="0.3">
      <c r="A229" s="397"/>
      <c r="B229" s="709">
        <v>92921</v>
      </c>
      <c r="C229" s="710" t="s">
        <v>612</v>
      </c>
      <c r="D229" s="709" t="s">
        <v>175</v>
      </c>
      <c r="E229" s="711">
        <v>0.19370000000000001</v>
      </c>
    </row>
    <row r="230" spans="1:5" x14ac:dyDescent="0.3">
      <c r="A230" s="397"/>
      <c r="B230" s="709">
        <v>92922</v>
      </c>
      <c r="C230" s="710" t="s">
        <v>613</v>
      </c>
      <c r="D230" s="709" t="s">
        <v>175</v>
      </c>
      <c r="E230" s="711">
        <v>0.14910000000000001</v>
      </c>
    </row>
    <row r="231" spans="1:5" x14ac:dyDescent="0.3">
      <c r="A231" s="397"/>
      <c r="B231" s="709">
        <v>92923</v>
      </c>
      <c r="C231" s="710" t="s">
        <v>614</v>
      </c>
      <c r="D231" s="709" t="s">
        <v>175</v>
      </c>
      <c r="E231" s="711">
        <v>0.1033</v>
      </c>
    </row>
    <row r="232" spans="1:5" x14ac:dyDescent="0.3">
      <c r="A232" s="397"/>
      <c r="B232" s="709">
        <v>92924</v>
      </c>
      <c r="C232" s="710" t="s">
        <v>615</v>
      </c>
      <c r="D232" s="709" t="s">
        <v>175</v>
      </c>
      <c r="E232" s="711">
        <v>8.2500000000000004E-2</v>
      </c>
    </row>
    <row r="233" spans="1:5" x14ac:dyDescent="0.3">
      <c r="A233" s="397"/>
      <c r="B233" s="709">
        <v>104104</v>
      </c>
      <c r="C233" s="710" t="s">
        <v>616</v>
      </c>
      <c r="D233" s="709" t="s">
        <v>175</v>
      </c>
      <c r="E233" s="711">
        <v>3.27E-2</v>
      </c>
    </row>
    <row r="234" spans="1:5" x14ac:dyDescent="0.3">
      <c r="A234" s="397"/>
      <c r="B234" s="709">
        <v>92916</v>
      </c>
      <c r="C234" s="710" t="s">
        <v>617</v>
      </c>
      <c r="D234" s="709" t="s">
        <v>175</v>
      </c>
      <c r="E234" s="711">
        <v>0.41199999999999998</v>
      </c>
    </row>
    <row r="235" spans="1:5" x14ac:dyDescent="0.3">
      <c r="A235" s="397"/>
      <c r="B235" s="709">
        <v>92917</v>
      </c>
      <c r="C235" s="710" t="s">
        <v>618</v>
      </c>
      <c r="D235" s="709" t="s">
        <v>175</v>
      </c>
      <c r="E235" s="711">
        <v>0.31459999999999999</v>
      </c>
    </row>
    <row r="236" spans="1:5" x14ac:dyDescent="0.3">
      <c r="A236" s="397"/>
      <c r="B236" s="709">
        <v>92915</v>
      </c>
      <c r="C236" s="710" t="s">
        <v>619</v>
      </c>
      <c r="D236" s="709" t="s">
        <v>175</v>
      </c>
      <c r="E236" s="711">
        <v>0.52769999999999995</v>
      </c>
    </row>
    <row r="237" spans="1:5" x14ac:dyDescent="0.3">
      <c r="A237" s="397"/>
      <c r="B237" s="709">
        <v>92771</v>
      </c>
      <c r="C237" s="710" t="s">
        <v>620</v>
      </c>
      <c r="D237" s="709" t="s">
        <v>175</v>
      </c>
      <c r="E237" s="711">
        <v>0.1237</v>
      </c>
    </row>
    <row r="238" spans="1:5" x14ac:dyDescent="0.3">
      <c r="A238" s="397"/>
      <c r="B238" s="709">
        <v>92772</v>
      </c>
      <c r="C238" s="710" t="s">
        <v>621</v>
      </c>
      <c r="D238" s="709" t="s">
        <v>175</v>
      </c>
      <c r="E238" s="711">
        <v>8.1699999999999995E-2</v>
      </c>
    </row>
    <row r="239" spans="1:5" x14ac:dyDescent="0.3">
      <c r="A239" s="397"/>
      <c r="B239" s="709">
        <v>92773</v>
      </c>
      <c r="C239" s="710" t="s">
        <v>622</v>
      </c>
      <c r="D239" s="709" t="s">
        <v>175</v>
      </c>
      <c r="E239" s="711">
        <v>6.2100000000000002E-2</v>
      </c>
    </row>
    <row r="240" spans="1:5" x14ac:dyDescent="0.3">
      <c r="A240" s="397"/>
      <c r="B240" s="709">
        <v>92774</v>
      </c>
      <c r="C240" s="710" t="s">
        <v>623</v>
      </c>
      <c r="D240" s="709" t="s">
        <v>175</v>
      </c>
      <c r="E240" s="711">
        <v>4.5199999999999997E-2</v>
      </c>
    </row>
    <row r="241" spans="1:5" x14ac:dyDescent="0.3">
      <c r="A241" s="397"/>
      <c r="B241" s="709">
        <v>92769</v>
      </c>
      <c r="C241" s="710" t="s">
        <v>624</v>
      </c>
      <c r="D241" s="709" t="s">
        <v>175</v>
      </c>
      <c r="E241" s="711">
        <v>0.2661</v>
      </c>
    </row>
    <row r="242" spans="1:5" x14ac:dyDescent="0.3">
      <c r="A242" s="397"/>
      <c r="B242" s="709">
        <v>92770</v>
      </c>
      <c r="C242" s="710" t="s">
        <v>625</v>
      </c>
      <c r="D242" s="709" t="s">
        <v>175</v>
      </c>
      <c r="E242" s="711">
        <v>0.1797</v>
      </c>
    </row>
    <row r="243" spans="1:5" x14ac:dyDescent="0.3">
      <c r="A243" s="397"/>
      <c r="B243" s="709">
        <v>92767</v>
      </c>
      <c r="C243" s="710" t="s">
        <v>626</v>
      </c>
      <c r="D243" s="709" t="s">
        <v>175</v>
      </c>
      <c r="E243" s="711">
        <v>0.46200000000000002</v>
      </c>
    </row>
    <row r="244" spans="1:5" x14ac:dyDescent="0.3">
      <c r="A244" s="397"/>
      <c r="B244" s="709">
        <v>92768</v>
      </c>
      <c r="C244" s="710" t="s">
        <v>627</v>
      </c>
      <c r="D244" s="709" t="s">
        <v>175</v>
      </c>
      <c r="E244" s="711">
        <v>0.38219999999999998</v>
      </c>
    </row>
    <row r="245" spans="1:5" x14ac:dyDescent="0.3">
      <c r="A245" s="397"/>
      <c r="B245" s="709">
        <v>92762</v>
      </c>
      <c r="C245" s="710" t="s">
        <v>628</v>
      </c>
      <c r="D245" s="709" t="s">
        <v>175</v>
      </c>
      <c r="E245" s="711">
        <v>0.16450000000000001</v>
      </c>
    </row>
    <row r="246" spans="1:5" x14ac:dyDescent="0.3">
      <c r="A246" s="397"/>
      <c r="B246" s="709">
        <v>92763</v>
      </c>
      <c r="C246" s="710" t="s">
        <v>629</v>
      </c>
      <c r="D246" s="709" t="s">
        <v>175</v>
      </c>
      <c r="E246" s="711">
        <v>0.1246</v>
      </c>
    </row>
    <row r="247" spans="1:5" x14ac:dyDescent="0.3">
      <c r="A247" s="397"/>
      <c r="B247" s="709">
        <v>92764</v>
      </c>
      <c r="C247" s="710" t="s">
        <v>630</v>
      </c>
      <c r="D247" s="709" t="s">
        <v>175</v>
      </c>
      <c r="E247" s="711">
        <v>9.0700000000000003E-2</v>
      </c>
    </row>
    <row r="248" spans="1:5" x14ac:dyDescent="0.3">
      <c r="A248" s="397"/>
      <c r="B248" s="709">
        <v>92765</v>
      </c>
      <c r="C248" s="710" t="s">
        <v>631</v>
      </c>
      <c r="D248" s="709" t="s">
        <v>175</v>
      </c>
      <c r="E248" s="711">
        <v>6.0600000000000001E-2</v>
      </c>
    </row>
    <row r="249" spans="1:5" x14ac:dyDescent="0.3">
      <c r="A249" s="397"/>
      <c r="B249" s="709">
        <v>92766</v>
      </c>
      <c r="C249" s="710" t="s">
        <v>632</v>
      </c>
      <c r="D249" s="709" t="s">
        <v>175</v>
      </c>
      <c r="E249" s="711">
        <v>4.9299999999999997E-2</v>
      </c>
    </row>
    <row r="250" spans="1:5" x14ac:dyDescent="0.3">
      <c r="A250" s="397"/>
      <c r="B250" s="709">
        <v>104105</v>
      </c>
      <c r="C250" s="710" t="s">
        <v>633</v>
      </c>
      <c r="D250" s="709" t="s">
        <v>175</v>
      </c>
      <c r="E250" s="711">
        <v>3.3700000000000001E-2</v>
      </c>
    </row>
    <row r="251" spans="1:5" x14ac:dyDescent="0.3">
      <c r="A251" s="397"/>
      <c r="B251" s="709">
        <v>92760</v>
      </c>
      <c r="C251" s="710" t="s">
        <v>634</v>
      </c>
      <c r="D251" s="709" t="s">
        <v>175</v>
      </c>
      <c r="E251" s="711">
        <v>0.30630000000000002</v>
      </c>
    </row>
    <row r="252" spans="1:5" x14ac:dyDescent="0.3">
      <c r="A252" s="397"/>
      <c r="B252" s="709">
        <v>92761</v>
      </c>
      <c r="C252" s="710" t="s">
        <v>635</v>
      </c>
      <c r="D252" s="709" t="s">
        <v>175</v>
      </c>
      <c r="E252" s="711">
        <v>0.21929999999999999</v>
      </c>
    </row>
    <row r="253" spans="1:5" x14ac:dyDescent="0.3">
      <c r="A253" s="397"/>
      <c r="B253" s="709">
        <v>92759</v>
      </c>
      <c r="C253" s="710" t="s">
        <v>636</v>
      </c>
      <c r="D253" s="709" t="s">
        <v>175</v>
      </c>
      <c r="E253" s="711">
        <v>0.42320000000000002</v>
      </c>
    </row>
    <row r="254" spans="1:5" x14ac:dyDescent="0.3">
      <c r="A254" s="397"/>
      <c r="B254" s="709">
        <v>104108</v>
      </c>
      <c r="C254" s="710" t="s">
        <v>637</v>
      </c>
      <c r="D254" s="709" t="s">
        <v>175</v>
      </c>
      <c r="E254" s="711">
        <v>0.30080000000000001</v>
      </c>
    </row>
    <row r="255" spans="1:5" x14ac:dyDescent="0.3">
      <c r="A255" s="397"/>
      <c r="B255" s="709">
        <v>104107</v>
      </c>
      <c r="C255" s="710" t="s">
        <v>638</v>
      </c>
      <c r="D255" s="709" t="s">
        <v>175</v>
      </c>
      <c r="E255" s="711">
        <v>0.27100000000000002</v>
      </c>
    </row>
    <row r="256" spans="1:5" x14ac:dyDescent="0.3">
      <c r="A256" s="397"/>
      <c r="B256" s="709">
        <v>104106</v>
      </c>
      <c r="C256" s="710" t="s">
        <v>639</v>
      </c>
      <c r="D256" s="709" t="s">
        <v>175</v>
      </c>
      <c r="E256" s="711">
        <v>0.21560000000000001</v>
      </c>
    </row>
    <row r="257" spans="1:5" x14ac:dyDescent="0.3">
      <c r="A257" s="397"/>
      <c r="B257" s="709">
        <v>104110</v>
      </c>
      <c r="C257" s="710" t="s">
        <v>640</v>
      </c>
      <c r="D257" s="709" t="s">
        <v>175</v>
      </c>
      <c r="E257" s="711">
        <v>0.51180000000000003</v>
      </c>
    </row>
    <row r="258" spans="1:5" x14ac:dyDescent="0.3">
      <c r="A258" s="397"/>
      <c r="B258" s="709">
        <v>104109</v>
      </c>
      <c r="C258" s="710" t="s">
        <v>641</v>
      </c>
      <c r="D258" s="709" t="s">
        <v>175</v>
      </c>
      <c r="E258" s="711">
        <v>0.4103</v>
      </c>
    </row>
    <row r="259" spans="1:5" x14ac:dyDescent="0.3">
      <c r="A259" s="397"/>
      <c r="B259" s="709">
        <v>104111</v>
      </c>
      <c r="C259" s="710" t="s">
        <v>642</v>
      </c>
      <c r="D259" s="709" t="s">
        <v>175</v>
      </c>
      <c r="E259" s="711">
        <v>0.62070000000000003</v>
      </c>
    </row>
    <row r="260" spans="1:5" x14ac:dyDescent="0.3">
      <c r="A260" s="397"/>
      <c r="B260" s="709">
        <v>92884</v>
      </c>
      <c r="C260" s="710" t="s">
        <v>643</v>
      </c>
      <c r="D260" s="709" t="s">
        <v>175</v>
      </c>
      <c r="E260" s="711">
        <v>0.2</v>
      </c>
    </row>
    <row r="261" spans="1:5" x14ac:dyDescent="0.3">
      <c r="A261" s="397"/>
      <c r="B261" s="709">
        <v>92885</v>
      </c>
      <c r="C261" s="710" t="s">
        <v>644</v>
      </c>
      <c r="D261" s="709" t="s">
        <v>175</v>
      </c>
      <c r="E261" s="711">
        <v>0.1487</v>
      </c>
    </row>
    <row r="262" spans="1:5" x14ac:dyDescent="0.3">
      <c r="A262" s="397"/>
      <c r="B262" s="709">
        <v>92886</v>
      </c>
      <c r="C262" s="710" t="s">
        <v>645</v>
      </c>
      <c r="D262" s="709" t="s">
        <v>175</v>
      </c>
      <c r="E262" s="711">
        <v>0.1011</v>
      </c>
    </row>
    <row r="263" spans="1:5" x14ac:dyDescent="0.3">
      <c r="A263" s="397"/>
      <c r="B263" s="709">
        <v>92887</v>
      </c>
      <c r="C263" s="710" t="s">
        <v>646</v>
      </c>
      <c r="D263" s="709" t="s">
        <v>175</v>
      </c>
      <c r="E263" s="711">
        <v>6.6299999999999998E-2</v>
      </c>
    </row>
    <row r="264" spans="1:5" x14ac:dyDescent="0.3">
      <c r="A264" s="397"/>
      <c r="B264" s="709">
        <v>92888</v>
      </c>
      <c r="C264" s="710" t="s">
        <v>647</v>
      </c>
      <c r="D264" s="709" t="s">
        <v>175</v>
      </c>
      <c r="E264" s="711">
        <v>3.9300000000000002E-2</v>
      </c>
    </row>
    <row r="265" spans="1:5" x14ac:dyDescent="0.3">
      <c r="A265" s="397"/>
      <c r="B265" s="709">
        <v>92882</v>
      </c>
      <c r="C265" s="710" t="s">
        <v>648</v>
      </c>
      <c r="D265" s="709" t="s">
        <v>175</v>
      </c>
      <c r="E265" s="711">
        <v>0.3745</v>
      </c>
    </row>
    <row r="266" spans="1:5" x14ac:dyDescent="0.3">
      <c r="A266" s="397"/>
      <c r="B266" s="709">
        <v>92883</v>
      </c>
      <c r="C266" s="710" t="s">
        <v>649</v>
      </c>
      <c r="D266" s="709" t="s">
        <v>175</v>
      </c>
      <c r="E266" s="711">
        <v>0.28349999999999997</v>
      </c>
    </row>
    <row r="267" spans="1:5" x14ac:dyDescent="0.3">
      <c r="A267" s="397"/>
      <c r="B267" s="709">
        <v>92877</v>
      </c>
      <c r="C267" s="710" t="s">
        <v>650</v>
      </c>
      <c r="D267" s="709" t="s">
        <v>175</v>
      </c>
      <c r="E267" s="711">
        <v>4.6899999999999997E-2</v>
      </c>
    </row>
    <row r="268" spans="1:5" x14ac:dyDescent="0.3">
      <c r="A268" s="397"/>
      <c r="B268" s="709">
        <v>92878</v>
      </c>
      <c r="C268" s="710" t="s">
        <v>651</v>
      </c>
      <c r="D268" s="709" t="s">
        <v>175</v>
      </c>
      <c r="E268" s="711">
        <v>2.63E-2</v>
      </c>
    </row>
    <row r="269" spans="1:5" x14ac:dyDescent="0.3">
      <c r="A269" s="397"/>
      <c r="B269" s="709">
        <v>92879</v>
      </c>
      <c r="C269" s="710" t="s">
        <v>652</v>
      </c>
      <c r="D269" s="709" t="s">
        <v>175</v>
      </c>
      <c r="E269" s="711">
        <v>1.2699999999999999E-2</v>
      </c>
    </row>
    <row r="270" spans="1:5" x14ac:dyDescent="0.3">
      <c r="A270" s="397"/>
      <c r="B270" s="709">
        <v>92880</v>
      </c>
      <c r="C270" s="710" t="s">
        <v>653</v>
      </c>
      <c r="D270" s="709" t="s">
        <v>175</v>
      </c>
      <c r="E270" s="711">
        <v>6.7999999999999996E-3</v>
      </c>
    </row>
    <row r="271" spans="1:5" x14ac:dyDescent="0.3">
      <c r="A271" s="397"/>
      <c r="B271" s="709">
        <v>92881</v>
      </c>
      <c r="C271" s="710" t="s">
        <v>654</v>
      </c>
      <c r="D271" s="709" t="s">
        <v>175</v>
      </c>
      <c r="E271" s="711">
        <v>3.3999999999999998E-3</v>
      </c>
    </row>
    <row r="272" spans="1:5" x14ac:dyDescent="0.3">
      <c r="A272" s="397"/>
      <c r="B272" s="709">
        <v>92875</v>
      </c>
      <c r="C272" s="710" t="s">
        <v>655</v>
      </c>
      <c r="D272" s="709" t="s">
        <v>175</v>
      </c>
      <c r="E272" s="711">
        <v>0.1648</v>
      </c>
    </row>
    <row r="273" spans="1:5" x14ac:dyDescent="0.3">
      <c r="A273" s="397"/>
      <c r="B273" s="709">
        <v>92876</v>
      </c>
      <c r="C273" s="710" t="s">
        <v>656</v>
      </c>
      <c r="D273" s="709" t="s">
        <v>175</v>
      </c>
      <c r="E273" s="711">
        <v>9.1800000000000007E-2</v>
      </c>
    </row>
    <row r="274" spans="1:5" x14ac:dyDescent="0.3">
      <c r="A274" s="397"/>
      <c r="B274" s="709">
        <v>92803</v>
      </c>
      <c r="C274" s="710" t="s">
        <v>657</v>
      </c>
      <c r="D274" s="709" t="s">
        <v>175</v>
      </c>
      <c r="E274" s="711">
        <v>3.6400000000000002E-2</v>
      </c>
    </row>
    <row r="275" spans="1:5" x14ac:dyDescent="0.3">
      <c r="A275" s="397"/>
      <c r="B275" s="709">
        <v>92804</v>
      </c>
      <c r="C275" s="710" t="s">
        <v>658</v>
      </c>
      <c r="D275" s="709" t="s">
        <v>175</v>
      </c>
      <c r="E275" s="711">
        <v>2.2700000000000001E-2</v>
      </c>
    </row>
    <row r="276" spans="1:5" x14ac:dyDescent="0.3">
      <c r="A276" s="397"/>
      <c r="B276" s="709">
        <v>92805</v>
      </c>
      <c r="C276" s="710" t="s">
        <v>659</v>
      </c>
      <c r="D276" s="709" t="s">
        <v>175</v>
      </c>
      <c r="E276" s="711">
        <v>1.01E-2</v>
      </c>
    </row>
    <row r="277" spans="1:5" x14ac:dyDescent="0.3">
      <c r="A277" s="397"/>
      <c r="B277" s="709">
        <v>92806</v>
      </c>
      <c r="C277" s="710" t="s">
        <v>660</v>
      </c>
      <c r="D277" s="709" t="s">
        <v>175</v>
      </c>
      <c r="E277" s="711">
        <v>4.8999999999999998E-3</v>
      </c>
    </row>
    <row r="278" spans="1:5" x14ac:dyDescent="0.3">
      <c r="A278" s="397"/>
      <c r="B278" s="709">
        <v>92798</v>
      </c>
      <c r="C278" s="710" t="s">
        <v>661</v>
      </c>
      <c r="D278" s="709" t="s">
        <v>175</v>
      </c>
      <c r="E278" s="711">
        <v>3.7000000000000002E-3</v>
      </c>
    </row>
    <row r="279" spans="1:5" x14ac:dyDescent="0.3">
      <c r="A279" s="397"/>
      <c r="B279" s="709">
        <v>95448</v>
      </c>
      <c r="C279" s="710" t="s">
        <v>662</v>
      </c>
      <c r="D279" s="709" t="s">
        <v>175</v>
      </c>
      <c r="E279" s="711">
        <v>1.1000000000000001E-3</v>
      </c>
    </row>
    <row r="280" spans="1:5" x14ac:dyDescent="0.3">
      <c r="A280" s="397"/>
      <c r="B280" s="709">
        <v>92801</v>
      </c>
      <c r="C280" s="710" t="s">
        <v>663</v>
      </c>
      <c r="D280" s="709" t="s">
        <v>175</v>
      </c>
      <c r="E280" s="711">
        <v>0.11799999999999999</v>
      </c>
    </row>
    <row r="281" spans="1:5" x14ac:dyDescent="0.3">
      <c r="A281" s="397"/>
      <c r="B281" s="709">
        <v>92802</v>
      </c>
      <c r="C281" s="710" t="s">
        <v>664</v>
      </c>
      <c r="D281" s="709" t="s">
        <v>175</v>
      </c>
      <c r="E281" s="711">
        <v>6.3399999999999998E-2</v>
      </c>
    </row>
    <row r="282" spans="1:5" x14ac:dyDescent="0.3">
      <c r="A282" s="397"/>
      <c r="B282" s="709">
        <v>92799</v>
      </c>
      <c r="C282" s="710" t="s">
        <v>665</v>
      </c>
      <c r="D282" s="709" t="s">
        <v>175</v>
      </c>
      <c r="E282" s="711">
        <v>0.31240000000000001</v>
      </c>
    </row>
    <row r="283" spans="1:5" x14ac:dyDescent="0.3">
      <c r="A283" s="397"/>
      <c r="B283" s="709">
        <v>92800</v>
      </c>
      <c r="C283" s="710" t="s">
        <v>666</v>
      </c>
      <c r="D283" s="709" t="s">
        <v>175</v>
      </c>
      <c r="E283" s="711">
        <v>0.2198</v>
      </c>
    </row>
    <row r="284" spans="1:5" x14ac:dyDescent="0.3">
      <c r="A284" s="397"/>
      <c r="B284" s="709">
        <v>95605</v>
      </c>
      <c r="C284" s="710" t="s">
        <v>667</v>
      </c>
      <c r="D284" s="709" t="s">
        <v>136</v>
      </c>
      <c r="E284" s="711">
        <v>0.96209999999999996</v>
      </c>
    </row>
    <row r="285" spans="1:5" x14ac:dyDescent="0.3">
      <c r="A285" s="397"/>
      <c r="B285" s="709">
        <v>95602</v>
      </c>
      <c r="C285" s="710" t="s">
        <v>668</v>
      </c>
      <c r="D285" s="709" t="s">
        <v>136</v>
      </c>
      <c r="E285" s="711">
        <v>0.96220000000000006</v>
      </c>
    </row>
    <row r="286" spans="1:5" x14ac:dyDescent="0.3">
      <c r="A286" s="397"/>
      <c r="B286" s="709">
        <v>95603</v>
      </c>
      <c r="C286" s="710" t="s">
        <v>669</v>
      </c>
      <c r="D286" s="709" t="s">
        <v>136</v>
      </c>
      <c r="E286" s="711">
        <v>0.96209999999999996</v>
      </c>
    </row>
    <row r="287" spans="1:5" x14ac:dyDescent="0.3">
      <c r="A287" s="397"/>
      <c r="B287" s="709">
        <v>95604</v>
      </c>
      <c r="C287" s="710" t="s">
        <v>670</v>
      </c>
      <c r="D287" s="709" t="s">
        <v>136</v>
      </c>
      <c r="E287" s="711">
        <v>0.96209999999999996</v>
      </c>
    </row>
    <row r="288" spans="1:5" x14ac:dyDescent="0.3">
      <c r="A288" s="397"/>
      <c r="B288" s="709">
        <v>95601</v>
      </c>
      <c r="C288" s="710" t="s">
        <v>671</v>
      </c>
      <c r="D288" s="709" t="s">
        <v>136</v>
      </c>
      <c r="E288" s="711">
        <v>0.96220000000000006</v>
      </c>
    </row>
    <row r="289" spans="1:5" x14ac:dyDescent="0.3">
      <c r="A289" s="397"/>
      <c r="B289" s="709">
        <v>102521</v>
      </c>
      <c r="C289" s="710" t="s">
        <v>672</v>
      </c>
      <c r="D289" s="709" t="s">
        <v>136</v>
      </c>
      <c r="E289" s="711">
        <v>0.96209999999999996</v>
      </c>
    </row>
    <row r="290" spans="1:5" x14ac:dyDescent="0.3">
      <c r="A290" s="397"/>
      <c r="B290" s="709">
        <v>102522</v>
      </c>
      <c r="C290" s="710" t="s">
        <v>673</v>
      </c>
      <c r="D290" s="709" t="s">
        <v>136</v>
      </c>
      <c r="E290" s="711">
        <v>0.96209999999999996</v>
      </c>
    </row>
    <row r="291" spans="1:5" x14ac:dyDescent="0.3">
      <c r="A291" s="397"/>
      <c r="B291" s="709">
        <v>102523</v>
      </c>
      <c r="C291" s="710" t="s">
        <v>674</v>
      </c>
      <c r="D291" s="709" t="s">
        <v>136</v>
      </c>
      <c r="E291" s="711">
        <v>0.96209999999999996</v>
      </c>
    </row>
    <row r="292" spans="1:5" x14ac:dyDescent="0.3">
      <c r="A292" s="397"/>
      <c r="B292" s="709">
        <v>95608</v>
      </c>
      <c r="C292" s="710" t="s">
        <v>675</v>
      </c>
      <c r="D292" s="709" t="s">
        <v>136</v>
      </c>
      <c r="E292" s="711">
        <v>0.51419999999999999</v>
      </c>
    </row>
    <row r="293" spans="1:5" x14ac:dyDescent="0.3">
      <c r="A293" s="397"/>
      <c r="B293" s="709">
        <v>95609</v>
      </c>
      <c r="C293" s="710" t="s">
        <v>676</v>
      </c>
      <c r="D293" s="709" t="s">
        <v>136</v>
      </c>
      <c r="E293" s="711">
        <v>0.51419999999999999</v>
      </c>
    </row>
    <row r="294" spans="1:5" x14ac:dyDescent="0.3">
      <c r="A294" s="397"/>
      <c r="B294" s="709">
        <v>95607</v>
      </c>
      <c r="C294" s="710" t="s">
        <v>677</v>
      </c>
      <c r="D294" s="709" t="s">
        <v>136</v>
      </c>
      <c r="E294" s="711">
        <v>0.51419999999999999</v>
      </c>
    </row>
    <row r="295" spans="1:5" x14ac:dyDescent="0.3">
      <c r="A295" s="397"/>
      <c r="B295" s="709">
        <v>95996</v>
      </c>
      <c r="C295" s="710" t="s">
        <v>13265</v>
      </c>
      <c r="D295" s="709" t="s">
        <v>170</v>
      </c>
      <c r="E295" s="711">
        <v>1.83E-2</v>
      </c>
    </row>
    <row r="296" spans="1:5" x14ac:dyDescent="0.3">
      <c r="A296" s="397"/>
      <c r="B296" s="709">
        <v>95995</v>
      </c>
      <c r="C296" s="710" t="s">
        <v>13266</v>
      </c>
      <c r="D296" s="709" t="s">
        <v>170</v>
      </c>
      <c r="E296" s="711">
        <v>2.2200000000000001E-2</v>
      </c>
    </row>
    <row r="297" spans="1:5" x14ac:dyDescent="0.3">
      <c r="A297" s="397"/>
      <c r="B297" s="709">
        <v>106138</v>
      </c>
      <c r="C297" s="710" t="s">
        <v>13267</v>
      </c>
      <c r="D297" s="709" t="s">
        <v>168</v>
      </c>
      <c r="E297" s="711">
        <v>0.21479999999999999</v>
      </c>
    </row>
    <row r="298" spans="1:5" x14ac:dyDescent="0.3">
      <c r="A298" s="397"/>
      <c r="B298" s="709">
        <v>106135</v>
      </c>
      <c r="C298" s="710" t="s">
        <v>13268</v>
      </c>
      <c r="D298" s="709" t="s">
        <v>168</v>
      </c>
      <c r="E298" s="711">
        <v>0.18490000000000001</v>
      </c>
    </row>
    <row r="299" spans="1:5" x14ac:dyDescent="0.3">
      <c r="A299" s="397"/>
      <c r="B299" s="709">
        <v>106137</v>
      </c>
      <c r="C299" s="710" t="s">
        <v>13269</v>
      </c>
      <c r="D299" s="709" t="s">
        <v>168</v>
      </c>
      <c r="E299" s="711">
        <v>0.22450000000000001</v>
      </c>
    </row>
    <row r="300" spans="1:5" x14ac:dyDescent="0.3">
      <c r="A300" s="397"/>
      <c r="B300" s="709">
        <v>96001</v>
      </c>
      <c r="C300" s="710" t="s">
        <v>13270</v>
      </c>
      <c r="D300" s="709" t="s">
        <v>168</v>
      </c>
      <c r="E300" s="711">
        <v>0.1963</v>
      </c>
    </row>
    <row r="301" spans="1:5" x14ac:dyDescent="0.3">
      <c r="A301" s="397"/>
      <c r="B301" s="709">
        <v>106136</v>
      </c>
      <c r="C301" s="710" t="s">
        <v>13271</v>
      </c>
      <c r="D301" s="709" t="s">
        <v>168</v>
      </c>
      <c r="E301" s="711">
        <v>0.2361</v>
      </c>
    </row>
    <row r="302" spans="1:5" x14ac:dyDescent="0.3">
      <c r="A302" s="397"/>
      <c r="B302" s="709">
        <v>106134</v>
      </c>
      <c r="C302" s="710" t="s">
        <v>13272</v>
      </c>
      <c r="D302" s="709" t="s">
        <v>168</v>
      </c>
      <c r="E302" s="711">
        <v>0.20669999999999999</v>
      </c>
    </row>
    <row r="303" spans="1:5" x14ac:dyDescent="0.3">
      <c r="A303" s="397"/>
      <c r="B303" s="709">
        <v>94880</v>
      </c>
      <c r="C303" s="710" t="s">
        <v>678</v>
      </c>
      <c r="D303" s="709" t="s">
        <v>159</v>
      </c>
      <c r="E303" s="711">
        <v>0.39190000000000003</v>
      </c>
    </row>
    <row r="304" spans="1:5" x14ac:dyDescent="0.3">
      <c r="A304" s="397"/>
      <c r="B304" s="709">
        <v>94882</v>
      </c>
      <c r="C304" s="710" t="s">
        <v>679</v>
      </c>
      <c r="D304" s="709" t="s">
        <v>159</v>
      </c>
      <c r="E304" s="711">
        <v>0.40210000000000001</v>
      </c>
    </row>
    <row r="305" spans="1:5" x14ac:dyDescent="0.3">
      <c r="A305" s="397"/>
      <c r="B305" s="709">
        <v>94884</v>
      </c>
      <c r="C305" s="710" t="s">
        <v>680</v>
      </c>
      <c r="D305" s="709" t="s">
        <v>159</v>
      </c>
      <c r="E305" s="711">
        <v>0.4168</v>
      </c>
    </row>
    <row r="306" spans="1:5" x14ac:dyDescent="0.3">
      <c r="A306" s="397"/>
      <c r="B306" s="709">
        <v>94870</v>
      </c>
      <c r="C306" s="710" t="s">
        <v>681</v>
      </c>
      <c r="D306" s="709" t="s">
        <v>159</v>
      </c>
      <c r="E306" s="711">
        <v>0.3982</v>
      </c>
    </row>
    <row r="307" spans="1:5" x14ac:dyDescent="0.3">
      <c r="A307" s="397"/>
      <c r="B307" s="709">
        <v>94872</v>
      </c>
      <c r="C307" s="710" t="s">
        <v>682</v>
      </c>
      <c r="D307" s="709" t="s">
        <v>159</v>
      </c>
      <c r="E307" s="711">
        <v>0.51300000000000001</v>
      </c>
    </row>
    <row r="308" spans="1:5" x14ac:dyDescent="0.3">
      <c r="A308" s="397"/>
      <c r="B308" s="709">
        <v>90746</v>
      </c>
      <c r="C308" s="710" t="s">
        <v>683</v>
      </c>
      <c r="D308" s="709" t="s">
        <v>159</v>
      </c>
      <c r="E308" s="711">
        <v>1</v>
      </c>
    </row>
    <row r="309" spans="1:5" x14ac:dyDescent="0.3">
      <c r="A309" s="397"/>
      <c r="B309" s="709">
        <v>90747</v>
      </c>
      <c r="C309" s="710" t="s">
        <v>684</v>
      </c>
      <c r="D309" s="709" t="s">
        <v>159</v>
      </c>
      <c r="E309" s="711">
        <v>0.46850000000000003</v>
      </c>
    </row>
    <row r="310" spans="1:5" x14ac:dyDescent="0.3">
      <c r="A310" s="397"/>
      <c r="B310" s="709">
        <v>94876</v>
      </c>
      <c r="C310" s="710" t="s">
        <v>685</v>
      </c>
      <c r="D310" s="709" t="s">
        <v>159</v>
      </c>
      <c r="E310" s="711">
        <v>0.41099999999999998</v>
      </c>
    </row>
    <row r="311" spans="1:5" x14ac:dyDescent="0.3">
      <c r="A311" s="397"/>
      <c r="B311" s="709">
        <v>94878</v>
      </c>
      <c r="C311" s="710" t="s">
        <v>686</v>
      </c>
      <c r="D311" s="709" t="s">
        <v>159</v>
      </c>
      <c r="E311" s="711">
        <v>0.41839999999999999</v>
      </c>
    </row>
    <row r="312" spans="1:5" x14ac:dyDescent="0.3">
      <c r="A312" s="397"/>
      <c r="B312" s="709">
        <v>90740</v>
      </c>
      <c r="C312" s="710" t="s">
        <v>687</v>
      </c>
      <c r="D312" s="709" t="s">
        <v>159</v>
      </c>
      <c r="E312" s="711">
        <v>1</v>
      </c>
    </row>
    <row r="313" spans="1:5" x14ac:dyDescent="0.3">
      <c r="A313" s="397"/>
      <c r="B313" s="709">
        <v>90741</v>
      </c>
      <c r="C313" s="710" t="s">
        <v>688</v>
      </c>
      <c r="D313" s="709" t="s">
        <v>159</v>
      </c>
      <c r="E313" s="711">
        <v>1</v>
      </c>
    </row>
    <row r="314" spans="1:5" x14ac:dyDescent="0.3">
      <c r="A314" s="397"/>
      <c r="B314" s="709">
        <v>90742</v>
      </c>
      <c r="C314" s="710" t="s">
        <v>689</v>
      </c>
      <c r="D314" s="709" t="s">
        <v>159</v>
      </c>
      <c r="E314" s="711">
        <v>1</v>
      </c>
    </row>
    <row r="315" spans="1:5" x14ac:dyDescent="0.3">
      <c r="A315" s="397"/>
      <c r="B315" s="709">
        <v>90743</v>
      </c>
      <c r="C315" s="710" t="s">
        <v>690</v>
      </c>
      <c r="D315" s="709" t="s">
        <v>159</v>
      </c>
      <c r="E315" s="711">
        <v>1</v>
      </c>
    </row>
    <row r="316" spans="1:5" x14ac:dyDescent="0.3">
      <c r="A316" s="397"/>
      <c r="B316" s="709">
        <v>90744</v>
      </c>
      <c r="C316" s="710" t="s">
        <v>691</v>
      </c>
      <c r="D316" s="709" t="s">
        <v>159</v>
      </c>
      <c r="E316" s="711">
        <v>1</v>
      </c>
    </row>
    <row r="317" spans="1:5" x14ac:dyDescent="0.3">
      <c r="A317" s="397"/>
      <c r="B317" s="709">
        <v>90745</v>
      </c>
      <c r="C317" s="710" t="s">
        <v>692</v>
      </c>
      <c r="D317" s="709" t="s">
        <v>159</v>
      </c>
      <c r="E317" s="711">
        <v>0.58050000000000002</v>
      </c>
    </row>
    <row r="318" spans="1:5" x14ac:dyDescent="0.3">
      <c r="A318" s="397"/>
      <c r="B318" s="709">
        <v>90733</v>
      </c>
      <c r="C318" s="710" t="s">
        <v>693</v>
      </c>
      <c r="D318" s="709" t="s">
        <v>159</v>
      </c>
      <c r="E318" s="711">
        <v>1</v>
      </c>
    </row>
    <row r="319" spans="1:5" x14ac:dyDescent="0.3">
      <c r="A319" s="397"/>
      <c r="B319" s="709">
        <v>90734</v>
      </c>
      <c r="C319" s="710" t="s">
        <v>694</v>
      </c>
      <c r="D319" s="709" t="s">
        <v>159</v>
      </c>
      <c r="E319" s="711">
        <v>1</v>
      </c>
    </row>
    <row r="320" spans="1:5" x14ac:dyDescent="0.3">
      <c r="A320" s="397"/>
      <c r="B320" s="709">
        <v>90735</v>
      </c>
      <c r="C320" s="710" t="s">
        <v>695</v>
      </c>
      <c r="D320" s="709" t="s">
        <v>159</v>
      </c>
      <c r="E320" s="711">
        <v>1</v>
      </c>
    </row>
    <row r="321" spans="1:5" x14ac:dyDescent="0.3">
      <c r="A321" s="397"/>
      <c r="B321" s="709">
        <v>90736</v>
      </c>
      <c r="C321" s="710" t="s">
        <v>696</v>
      </c>
      <c r="D321" s="709" t="s">
        <v>159</v>
      </c>
      <c r="E321" s="711">
        <v>1</v>
      </c>
    </row>
    <row r="322" spans="1:5" x14ac:dyDescent="0.3">
      <c r="A322" s="397"/>
      <c r="B322" s="709">
        <v>90737</v>
      </c>
      <c r="C322" s="710" t="s">
        <v>697</v>
      </c>
      <c r="D322" s="709" t="s">
        <v>159</v>
      </c>
      <c r="E322" s="711">
        <v>1</v>
      </c>
    </row>
    <row r="323" spans="1:5" x14ac:dyDescent="0.3">
      <c r="A323" s="397"/>
      <c r="B323" s="709">
        <v>90738</v>
      </c>
      <c r="C323" s="710" t="s">
        <v>698</v>
      </c>
      <c r="D323" s="709" t="s">
        <v>159</v>
      </c>
      <c r="E323" s="711">
        <v>1</v>
      </c>
    </row>
    <row r="324" spans="1:5" x14ac:dyDescent="0.3">
      <c r="A324" s="397"/>
      <c r="B324" s="709">
        <v>90739</v>
      </c>
      <c r="C324" s="710" t="s">
        <v>699</v>
      </c>
      <c r="D324" s="709" t="s">
        <v>159</v>
      </c>
      <c r="E324" s="711">
        <v>0.58140000000000003</v>
      </c>
    </row>
    <row r="325" spans="1:5" x14ac:dyDescent="0.3">
      <c r="A325" s="397"/>
      <c r="B325" s="709">
        <v>90724</v>
      </c>
      <c r="C325" s="710" t="s">
        <v>700</v>
      </c>
      <c r="D325" s="709" t="s">
        <v>136</v>
      </c>
      <c r="E325" s="711">
        <v>0.95989999999999998</v>
      </c>
    </row>
    <row r="326" spans="1:5" x14ac:dyDescent="0.3">
      <c r="A326" s="397"/>
      <c r="B326" s="709">
        <v>102267</v>
      </c>
      <c r="C326" s="710" t="s">
        <v>701</v>
      </c>
      <c r="D326" s="709" t="s">
        <v>136</v>
      </c>
      <c r="E326" s="711">
        <v>0.93700000000000006</v>
      </c>
    </row>
    <row r="327" spans="1:5" x14ac:dyDescent="0.3">
      <c r="A327" s="397"/>
      <c r="B327" s="709">
        <v>102268</v>
      </c>
      <c r="C327" s="710" t="s">
        <v>702</v>
      </c>
      <c r="D327" s="709" t="s">
        <v>136</v>
      </c>
      <c r="E327" s="711">
        <v>0.9365</v>
      </c>
    </row>
    <row r="328" spans="1:5" x14ac:dyDescent="0.3">
      <c r="A328" s="397"/>
      <c r="B328" s="709">
        <v>90725</v>
      </c>
      <c r="C328" s="710" t="s">
        <v>703</v>
      </c>
      <c r="D328" s="709" t="s">
        <v>136</v>
      </c>
      <c r="E328" s="711">
        <v>0.95469999999999999</v>
      </c>
    </row>
    <row r="329" spans="1:5" x14ac:dyDescent="0.3">
      <c r="A329" s="397"/>
      <c r="B329" s="709">
        <v>102269</v>
      </c>
      <c r="C329" s="710" t="s">
        <v>704</v>
      </c>
      <c r="D329" s="709" t="s">
        <v>136</v>
      </c>
      <c r="E329" s="711">
        <v>0.93579999999999997</v>
      </c>
    </row>
    <row r="330" spans="1:5" x14ac:dyDescent="0.3">
      <c r="A330" s="397"/>
      <c r="B330" s="709">
        <v>90726</v>
      </c>
      <c r="C330" s="710" t="s">
        <v>705</v>
      </c>
      <c r="D330" s="709" t="s">
        <v>136</v>
      </c>
      <c r="E330" s="711">
        <v>0.9496</v>
      </c>
    </row>
    <row r="331" spans="1:5" x14ac:dyDescent="0.3">
      <c r="A331" s="397"/>
      <c r="B331" s="709">
        <v>90727</v>
      </c>
      <c r="C331" s="710" t="s">
        <v>706</v>
      </c>
      <c r="D331" s="709" t="s">
        <v>136</v>
      </c>
      <c r="E331" s="711">
        <v>0.94740000000000002</v>
      </c>
    </row>
    <row r="332" spans="1:5" x14ac:dyDescent="0.3">
      <c r="A332" s="397"/>
      <c r="B332" s="709">
        <v>90728</v>
      </c>
      <c r="C332" s="710" t="s">
        <v>707</v>
      </c>
      <c r="D332" s="709" t="s">
        <v>136</v>
      </c>
      <c r="E332" s="711">
        <v>0.9456</v>
      </c>
    </row>
    <row r="333" spans="1:5" x14ac:dyDescent="0.3">
      <c r="A333" s="397"/>
      <c r="B333" s="709">
        <v>90729</v>
      </c>
      <c r="C333" s="710" t="s">
        <v>708</v>
      </c>
      <c r="D333" s="709" t="s">
        <v>136</v>
      </c>
      <c r="E333" s="711">
        <v>0.94420000000000004</v>
      </c>
    </row>
    <row r="334" spans="1:5" x14ac:dyDescent="0.3">
      <c r="A334" s="397"/>
      <c r="B334" s="709">
        <v>90730</v>
      </c>
      <c r="C334" s="710" t="s">
        <v>709</v>
      </c>
      <c r="D334" s="709" t="s">
        <v>136</v>
      </c>
      <c r="E334" s="711">
        <v>0.94320000000000004</v>
      </c>
    </row>
    <row r="335" spans="1:5" x14ac:dyDescent="0.3">
      <c r="A335" s="397"/>
      <c r="B335" s="709">
        <v>90731</v>
      </c>
      <c r="C335" s="710" t="s">
        <v>710</v>
      </c>
      <c r="D335" s="709" t="s">
        <v>136</v>
      </c>
      <c r="E335" s="711">
        <v>0.94230000000000003</v>
      </c>
    </row>
    <row r="336" spans="1:5" x14ac:dyDescent="0.3">
      <c r="A336" s="397"/>
      <c r="B336" s="709">
        <v>90732</v>
      </c>
      <c r="C336" s="710" t="s">
        <v>711</v>
      </c>
      <c r="D336" s="709" t="s">
        <v>136</v>
      </c>
      <c r="E336" s="711">
        <v>0.94020000000000004</v>
      </c>
    </row>
    <row r="337" spans="1:5" x14ac:dyDescent="0.3">
      <c r="A337" s="397"/>
      <c r="B337" s="709">
        <v>102265</v>
      </c>
      <c r="C337" s="710" t="s">
        <v>712</v>
      </c>
      <c r="D337" s="709" t="s">
        <v>136</v>
      </c>
      <c r="E337" s="711">
        <v>0.93859999999999999</v>
      </c>
    </row>
    <row r="338" spans="1:5" x14ac:dyDescent="0.3">
      <c r="A338" s="397"/>
      <c r="B338" s="709">
        <v>102266</v>
      </c>
      <c r="C338" s="710" t="s">
        <v>713</v>
      </c>
      <c r="D338" s="709" t="s">
        <v>136</v>
      </c>
      <c r="E338" s="711">
        <v>0.93799999999999994</v>
      </c>
    </row>
    <row r="339" spans="1:5" x14ac:dyDescent="0.3">
      <c r="A339" s="397"/>
      <c r="B339" s="709">
        <v>94879</v>
      </c>
      <c r="C339" s="710" t="s">
        <v>714</v>
      </c>
      <c r="D339" s="709" t="s">
        <v>159</v>
      </c>
      <c r="E339" s="711">
        <v>6.4999999999999997E-3</v>
      </c>
    </row>
    <row r="340" spans="1:5" x14ac:dyDescent="0.3">
      <c r="A340" s="397"/>
      <c r="B340" s="709">
        <v>94881</v>
      </c>
      <c r="C340" s="710" t="s">
        <v>715</v>
      </c>
      <c r="D340" s="709" t="s">
        <v>159</v>
      </c>
      <c r="E340" s="711">
        <v>5.5999999999999999E-3</v>
      </c>
    </row>
    <row r="341" spans="1:5" x14ac:dyDescent="0.3">
      <c r="A341" s="397"/>
      <c r="B341" s="709">
        <v>94869</v>
      </c>
      <c r="C341" s="710" t="s">
        <v>716</v>
      </c>
      <c r="D341" s="709" t="s">
        <v>159</v>
      </c>
      <c r="E341" s="711">
        <v>4.5999999999999999E-3</v>
      </c>
    </row>
    <row r="342" spans="1:5" x14ac:dyDescent="0.3">
      <c r="A342" s="397"/>
      <c r="B342" s="709">
        <v>94871</v>
      </c>
      <c r="C342" s="710" t="s">
        <v>717</v>
      </c>
      <c r="D342" s="709" t="s">
        <v>159</v>
      </c>
      <c r="E342" s="711">
        <v>5.1999999999999998E-3</v>
      </c>
    </row>
    <row r="343" spans="1:5" x14ac:dyDescent="0.3">
      <c r="A343" s="397"/>
      <c r="B343" s="709">
        <v>90708</v>
      </c>
      <c r="C343" s="710" t="s">
        <v>718</v>
      </c>
      <c r="D343" s="709" t="s">
        <v>159</v>
      </c>
      <c r="E343" s="711">
        <v>7.4999999999999997E-3</v>
      </c>
    </row>
    <row r="344" spans="1:5" x14ac:dyDescent="0.3">
      <c r="A344" s="397"/>
      <c r="B344" s="709">
        <v>94875</v>
      </c>
      <c r="C344" s="710" t="s">
        <v>719</v>
      </c>
      <c r="D344" s="709" t="s">
        <v>159</v>
      </c>
      <c r="E344" s="711">
        <v>7.0000000000000001E-3</v>
      </c>
    </row>
    <row r="345" spans="1:5" x14ac:dyDescent="0.3">
      <c r="A345" s="397"/>
      <c r="B345" s="709">
        <v>102264</v>
      </c>
      <c r="C345" s="710" t="s">
        <v>720</v>
      </c>
      <c r="D345" s="709" t="s">
        <v>159</v>
      </c>
      <c r="E345" s="711">
        <v>0.13730000000000001</v>
      </c>
    </row>
    <row r="346" spans="1:5" x14ac:dyDescent="0.3">
      <c r="A346" s="397"/>
      <c r="B346" s="709">
        <v>90701</v>
      </c>
      <c r="C346" s="710" t="s">
        <v>721</v>
      </c>
      <c r="D346" s="709" t="s">
        <v>159</v>
      </c>
      <c r="E346" s="711">
        <v>5.1200000000000002E-2</v>
      </c>
    </row>
    <row r="347" spans="1:5" x14ac:dyDescent="0.3">
      <c r="A347" s="397"/>
      <c r="B347" s="709">
        <v>90702</v>
      </c>
      <c r="C347" s="710" t="s">
        <v>722</v>
      </c>
      <c r="D347" s="709" t="s">
        <v>159</v>
      </c>
      <c r="E347" s="711">
        <v>3.5099999999999999E-2</v>
      </c>
    </row>
    <row r="348" spans="1:5" x14ac:dyDescent="0.3">
      <c r="A348" s="397"/>
      <c r="B348" s="709">
        <v>90703</v>
      </c>
      <c r="C348" s="710" t="s">
        <v>723</v>
      </c>
      <c r="D348" s="709" t="s">
        <v>159</v>
      </c>
      <c r="E348" s="711">
        <v>2.52E-2</v>
      </c>
    </row>
    <row r="349" spans="1:5" x14ac:dyDescent="0.3">
      <c r="A349" s="397"/>
      <c r="B349" s="709">
        <v>90704</v>
      </c>
      <c r="C349" s="710" t="s">
        <v>724</v>
      </c>
      <c r="D349" s="709" t="s">
        <v>159</v>
      </c>
      <c r="E349" s="711">
        <v>1.8800000000000001E-2</v>
      </c>
    </row>
    <row r="350" spans="1:5" x14ac:dyDescent="0.3">
      <c r="A350" s="397"/>
      <c r="B350" s="709">
        <v>90705</v>
      </c>
      <c r="C350" s="710" t="s">
        <v>725</v>
      </c>
      <c r="D350" s="709" t="s">
        <v>159</v>
      </c>
      <c r="E350" s="711">
        <v>1.5699999999999999E-2</v>
      </c>
    </row>
    <row r="351" spans="1:5" x14ac:dyDescent="0.3">
      <c r="A351" s="397"/>
      <c r="B351" s="709">
        <v>90706</v>
      </c>
      <c r="C351" s="710" t="s">
        <v>726</v>
      </c>
      <c r="D351" s="709" t="s">
        <v>159</v>
      </c>
      <c r="E351" s="711">
        <v>1.03E-2</v>
      </c>
    </row>
    <row r="352" spans="1:5" x14ac:dyDescent="0.3">
      <c r="A352" s="397"/>
      <c r="B352" s="709">
        <v>90694</v>
      </c>
      <c r="C352" s="710" t="s">
        <v>727</v>
      </c>
      <c r="D352" s="709" t="s">
        <v>159</v>
      </c>
      <c r="E352" s="711">
        <v>5.7700000000000001E-2</v>
      </c>
    </row>
    <row r="353" spans="1:5" x14ac:dyDescent="0.3">
      <c r="A353" s="397"/>
      <c r="B353" s="709">
        <v>90695</v>
      </c>
      <c r="C353" s="710" t="s">
        <v>728</v>
      </c>
      <c r="D353" s="709" t="s">
        <v>159</v>
      </c>
      <c r="E353" s="711">
        <v>3.5700000000000003E-2</v>
      </c>
    </row>
    <row r="354" spans="1:5" x14ac:dyDescent="0.3">
      <c r="A354" s="397"/>
      <c r="B354" s="709">
        <v>90696</v>
      </c>
      <c r="C354" s="710" t="s">
        <v>729</v>
      </c>
      <c r="D354" s="709" t="s">
        <v>159</v>
      </c>
      <c r="E354" s="711">
        <v>2.46E-2</v>
      </c>
    </row>
    <row r="355" spans="1:5" x14ac:dyDescent="0.3">
      <c r="A355" s="397"/>
      <c r="B355" s="709">
        <v>90697</v>
      </c>
      <c r="C355" s="710" t="s">
        <v>730</v>
      </c>
      <c r="D355" s="709" t="s">
        <v>159</v>
      </c>
      <c r="E355" s="711">
        <v>1.7899999999999999E-2</v>
      </c>
    </row>
    <row r="356" spans="1:5" x14ac:dyDescent="0.3">
      <c r="A356" s="397"/>
      <c r="B356" s="709">
        <v>90698</v>
      </c>
      <c r="C356" s="710" t="s">
        <v>731</v>
      </c>
      <c r="D356" s="709" t="s">
        <v>159</v>
      </c>
      <c r="E356" s="711">
        <v>1.3100000000000001E-2</v>
      </c>
    </row>
    <row r="357" spans="1:5" x14ac:dyDescent="0.3">
      <c r="A357" s="397"/>
      <c r="B357" s="709">
        <v>90699</v>
      </c>
      <c r="C357" s="710" t="s">
        <v>732</v>
      </c>
      <c r="D357" s="709" t="s">
        <v>159</v>
      </c>
      <c r="E357" s="711">
        <v>1.03E-2</v>
      </c>
    </row>
    <row r="358" spans="1:5" x14ac:dyDescent="0.3">
      <c r="A358" s="397"/>
      <c r="B358" s="709">
        <v>90700</v>
      </c>
      <c r="C358" s="710" t="s">
        <v>733</v>
      </c>
      <c r="D358" s="709" t="s">
        <v>159</v>
      </c>
      <c r="E358" s="711">
        <v>7.4000000000000003E-3</v>
      </c>
    </row>
    <row r="359" spans="1:5" x14ac:dyDescent="0.3">
      <c r="A359" s="397"/>
      <c r="B359" s="709">
        <v>105378</v>
      </c>
      <c r="C359" s="710" t="s">
        <v>734</v>
      </c>
      <c r="D359" s="709" t="s">
        <v>136</v>
      </c>
      <c r="E359" s="711">
        <v>0.59089999999999998</v>
      </c>
    </row>
    <row r="360" spans="1:5" x14ac:dyDescent="0.3">
      <c r="A360" s="397"/>
      <c r="B360" s="709">
        <v>105373</v>
      </c>
      <c r="C360" s="710" t="s">
        <v>735</v>
      </c>
      <c r="D360" s="709" t="s">
        <v>136</v>
      </c>
      <c r="E360" s="711">
        <v>0.59109999999999996</v>
      </c>
    </row>
    <row r="361" spans="1:5" x14ac:dyDescent="0.3">
      <c r="A361" s="397"/>
      <c r="B361" s="709">
        <v>105380</v>
      </c>
      <c r="C361" s="710" t="s">
        <v>736</v>
      </c>
      <c r="D361" s="709" t="s">
        <v>136</v>
      </c>
      <c r="E361" s="711">
        <v>0.60540000000000005</v>
      </c>
    </row>
    <row r="362" spans="1:5" x14ac:dyDescent="0.3">
      <c r="A362" s="397"/>
      <c r="B362" s="709">
        <v>105267</v>
      </c>
      <c r="C362" s="710" t="s">
        <v>737</v>
      </c>
      <c r="D362" s="709" t="s">
        <v>136</v>
      </c>
      <c r="E362" s="711">
        <v>0.62270000000000003</v>
      </c>
    </row>
    <row r="363" spans="1:5" x14ac:dyDescent="0.3">
      <c r="A363" s="397"/>
      <c r="B363" s="709">
        <v>105249</v>
      </c>
      <c r="C363" s="710" t="s">
        <v>738</v>
      </c>
      <c r="D363" s="709" t="s">
        <v>136</v>
      </c>
      <c r="E363" s="711">
        <v>0.5877</v>
      </c>
    </row>
    <row r="364" spans="1:5" x14ac:dyDescent="0.3">
      <c r="A364" s="397"/>
      <c r="B364" s="709">
        <v>105268</v>
      </c>
      <c r="C364" s="710" t="s">
        <v>739</v>
      </c>
      <c r="D364" s="709" t="s">
        <v>136</v>
      </c>
      <c r="E364" s="711">
        <v>0.59970000000000001</v>
      </c>
    </row>
    <row r="365" spans="1:5" x14ac:dyDescent="0.3">
      <c r="A365" s="397"/>
      <c r="B365" s="709">
        <v>105379</v>
      </c>
      <c r="C365" s="710" t="s">
        <v>740</v>
      </c>
      <c r="D365" s="709" t="s">
        <v>136</v>
      </c>
      <c r="E365" s="711">
        <v>0.62409999999999999</v>
      </c>
    </row>
    <row r="366" spans="1:5" x14ac:dyDescent="0.3">
      <c r="A366" s="397"/>
      <c r="B366" s="709">
        <v>105388</v>
      </c>
      <c r="C366" s="710" t="s">
        <v>741</v>
      </c>
      <c r="D366" s="709" t="s">
        <v>136</v>
      </c>
      <c r="E366" s="711">
        <v>0.62839999999999996</v>
      </c>
    </row>
    <row r="367" spans="1:5" x14ac:dyDescent="0.3">
      <c r="A367" s="397"/>
      <c r="B367" s="709">
        <v>105392</v>
      </c>
      <c r="C367" s="710" t="s">
        <v>742</v>
      </c>
      <c r="D367" s="709" t="s">
        <v>136</v>
      </c>
      <c r="E367" s="711">
        <v>0.64390000000000003</v>
      </c>
    </row>
    <row r="368" spans="1:5" x14ac:dyDescent="0.3">
      <c r="A368" s="397"/>
      <c r="B368" s="709">
        <v>105389</v>
      </c>
      <c r="C368" s="710" t="s">
        <v>743</v>
      </c>
      <c r="D368" s="709" t="s">
        <v>136</v>
      </c>
      <c r="E368" s="711">
        <v>0.64980000000000004</v>
      </c>
    </row>
    <row r="369" spans="1:5" x14ac:dyDescent="0.3">
      <c r="A369" s="397"/>
      <c r="B369" s="709">
        <v>105393</v>
      </c>
      <c r="C369" s="710" t="s">
        <v>744</v>
      </c>
      <c r="D369" s="709" t="s">
        <v>136</v>
      </c>
      <c r="E369" s="711">
        <v>0.65200000000000002</v>
      </c>
    </row>
    <row r="370" spans="1:5" x14ac:dyDescent="0.3">
      <c r="A370" s="397"/>
      <c r="B370" s="709">
        <v>105316</v>
      </c>
      <c r="C370" s="710" t="s">
        <v>745</v>
      </c>
      <c r="D370" s="709" t="s">
        <v>136</v>
      </c>
      <c r="E370" s="711">
        <v>0.6573</v>
      </c>
    </row>
    <row r="371" spans="1:5" x14ac:dyDescent="0.3">
      <c r="A371" s="397"/>
      <c r="B371" s="709">
        <v>105394</v>
      </c>
      <c r="C371" s="710" t="s">
        <v>746</v>
      </c>
      <c r="D371" s="709" t="s">
        <v>136</v>
      </c>
      <c r="E371" s="711">
        <v>0.6583</v>
      </c>
    </row>
    <row r="372" spans="1:5" x14ac:dyDescent="0.3">
      <c r="A372" s="397"/>
      <c r="B372" s="709">
        <v>105317</v>
      </c>
      <c r="C372" s="710" t="s">
        <v>747</v>
      </c>
      <c r="D372" s="709" t="s">
        <v>136</v>
      </c>
      <c r="E372" s="711">
        <v>0.66310000000000002</v>
      </c>
    </row>
    <row r="373" spans="1:5" x14ac:dyDescent="0.3">
      <c r="A373" s="397"/>
      <c r="B373" s="709">
        <v>105395</v>
      </c>
      <c r="C373" s="710" t="s">
        <v>748</v>
      </c>
      <c r="D373" s="709" t="s">
        <v>136</v>
      </c>
      <c r="E373" s="711">
        <v>0.66279999999999994</v>
      </c>
    </row>
    <row r="374" spans="1:5" x14ac:dyDescent="0.3">
      <c r="A374" s="397"/>
      <c r="B374" s="709">
        <v>105318</v>
      </c>
      <c r="C374" s="710" t="s">
        <v>749</v>
      </c>
      <c r="D374" s="709" t="s">
        <v>136</v>
      </c>
      <c r="E374" s="711">
        <v>0.66749999999999998</v>
      </c>
    </row>
    <row r="375" spans="1:5" x14ac:dyDescent="0.3">
      <c r="A375" s="397"/>
      <c r="B375" s="709">
        <v>105396</v>
      </c>
      <c r="C375" s="710" t="s">
        <v>750</v>
      </c>
      <c r="D375" s="709" t="s">
        <v>136</v>
      </c>
      <c r="E375" s="711">
        <v>0.6663</v>
      </c>
    </row>
    <row r="376" spans="1:5" x14ac:dyDescent="0.3">
      <c r="A376" s="397"/>
      <c r="B376" s="709">
        <v>105258</v>
      </c>
      <c r="C376" s="710" t="s">
        <v>751</v>
      </c>
      <c r="D376" s="709" t="s">
        <v>136</v>
      </c>
      <c r="E376" s="711">
        <v>0.67090000000000005</v>
      </c>
    </row>
    <row r="377" spans="1:5" x14ac:dyDescent="0.3">
      <c r="A377" s="397"/>
      <c r="B377" s="709">
        <v>105397</v>
      </c>
      <c r="C377" s="710" t="s">
        <v>752</v>
      </c>
      <c r="D377" s="709" t="s">
        <v>136</v>
      </c>
      <c r="E377" s="711">
        <v>0.66610000000000003</v>
      </c>
    </row>
    <row r="378" spans="1:5" x14ac:dyDescent="0.3">
      <c r="A378" s="397"/>
      <c r="B378" s="709">
        <v>105261</v>
      </c>
      <c r="C378" s="710" t="s">
        <v>753</v>
      </c>
      <c r="D378" s="709" t="s">
        <v>136</v>
      </c>
      <c r="E378" s="711">
        <v>0.67020000000000002</v>
      </c>
    </row>
    <row r="379" spans="1:5" x14ac:dyDescent="0.3">
      <c r="A379" s="397"/>
      <c r="B379" s="709">
        <v>105398</v>
      </c>
      <c r="C379" s="710" t="s">
        <v>754</v>
      </c>
      <c r="D379" s="709" t="s">
        <v>136</v>
      </c>
      <c r="E379" s="711">
        <v>0.58460000000000001</v>
      </c>
    </row>
    <row r="380" spans="1:5" x14ac:dyDescent="0.3">
      <c r="A380" s="397"/>
      <c r="B380" s="709">
        <v>105262</v>
      </c>
      <c r="C380" s="710" t="s">
        <v>755</v>
      </c>
      <c r="D380" s="709" t="s">
        <v>136</v>
      </c>
      <c r="E380" s="711">
        <v>0.60160000000000002</v>
      </c>
    </row>
    <row r="381" spans="1:5" x14ac:dyDescent="0.3">
      <c r="A381" s="397"/>
      <c r="B381" s="709">
        <v>105399</v>
      </c>
      <c r="C381" s="710" t="s">
        <v>756</v>
      </c>
      <c r="D381" s="709" t="s">
        <v>136</v>
      </c>
      <c r="E381" s="711">
        <v>0.58699999999999997</v>
      </c>
    </row>
    <row r="382" spans="1:5" x14ac:dyDescent="0.3">
      <c r="A382" s="397"/>
      <c r="B382" s="709">
        <v>105263</v>
      </c>
      <c r="C382" s="710" t="s">
        <v>757</v>
      </c>
      <c r="D382" s="709" t="s">
        <v>136</v>
      </c>
      <c r="E382" s="711">
        <v>0.60289999999999999</v>
      </c>
    </row>
    <row r="383" spans="1:5" x14ac:dyDescent="0.3">
      <c r="A383" s="397"/>
      <c r="B383" s="709">
        <v>105400</v>
      </c>
      <c r="C383" s="710" t="s">
        <v>758</v>
      </c>
      <c r="D383" s="709" t="s">
        <v>136</v>
      </c>
      <c r="E383" s="711">
        <v>0.59709999999999996</v>
      </c>
    </row>
    <row r="384" spans="1:5" x14ac:dyDescent="0.3">
      <c r="A384" s="397"/>
      <c r="B384" s="709">
        <v>105264</v>
      </c>
      <c r="C384" s="710" t="s">
        <v>759</v>
      </c>
      <c r="D384" s="709" t="s">
        <v>136</v>
      </c>
      <c r="E384" s="711">
        <v>0.61450000000000005</v>
      </c>
    </row>
    <row r="385" spans="1:5" x14ac:dyDescent="0.3">
      <c r="A385" s="397"/>
      <c r="B385" s="709">
        <v>105297</v>
      </c>
      <c r="C385" s="710" t="s">
        <v>760</v>
      </c>
      <c r="D385" s="709" t="s">
        <v>136</v>
      </c>
      <c r="E385" s="711">
        <v>0.57220000000000004</v>
      </c>
    </row>
    <row r="386" spans="1:5" x14ac:dyDescent="0.3">
      <c r="A386" s="397"/>
      <c r="B386" s="709">
        <v>105372</v>
      </c>
      <c r="C386" s="710" t="s">
        <v>761</v>
      </c>
      <c r="D386" s="709" t="s">
        <v>136</v>
      </c>
      <c r="E386" s="711">
        <v>0.57069999999999999</v>
      </c>
    </row>
    <row r="387" spans="1:5" x14ac:dyDescent="0.3">
      <c r="A387" s="397"/>
      <c r="B387" s="709">
        <v>105401</v>
      </c>
      <c r="C387" s="710" t="s">
        <v>762</v>
      </c>
      <c r="D387" s="709" t="s">
        <v>136</v>
      </c>
      <c r="E387" s="711">
        <v>0.60219999999999996</v>
      </c>
    </row>
    <row r="388" spans="1:5" x14ac:dyDescent="0.3">
      <c r="A388" s="397"/>
      <c r="B388" s="709">
        <v>105265</v>
      </c>
      <c r="C388" s="710" t="s">
        <v>763</v>
      </c>
      <c r="D388" s="709" t="s">
        <v>136</v>
      </c>
      <c r="E388" s="711">
        <v>0.62</v>
      </c>
    </row>
    <row r="389" spans="1:5" x14ac:dyDescent="0.3">
      <c r="A389" s="397"/>
      <c r="B389" s="709">
        <v>105402</v>
      </c>
      <c r="C389" s="710" t="s">
        <v>764</v>
      </c>
      <c r="D389" s="709" t="s">
        <v>136</v>
      </c>
      <c r="E389" s="711">
        <v>0.60450000000000004</v>
      </c>
    </row>
    <row r="390" spans="1:5" x14ac:dyDescent="0.3">
      <c r="A390" s="397"/>
      <c r="B390" s="709">
        <v>105266</v>
      </c>
      <c r="C390" s="710" t="s">
        <v>765</v>
      </c>
      <c r="D390" s="709" t="s">
        <v>136</v>
      </c>
      <c r="E390" s="711">
        <v>0.62209999999999999</v>
      </c>
    </row>
    <row r="391" spans="1:5" x14ac:dyDescent="0.3">
      <c r="A391" s="397"/>
      <c r="B391" s="709">
        <v>105361</v>
      </c>
      <c r="C391" s="710" t="s">
        <v>766</v>
      </c>
      <c r="D391" s="709" t="s">
        <v>136</v>
      </c>
      <c r="E391" s="711">
        <v>0.88749999999999996</v>
      </c>
    </row>
    <row r="392" spans="1:5" x14ac:dyDescent="0.3">
      <c r="A392" s="397"/>
      <c r="B392" s="709">
        <v>105382</v>
      </c>
      <c r="C392" s="710" t="s">
        <v>767</v>
      </c>
      <c r="D392" s="709" t="s">
        <v>136</v>
      </c>
      <c r="E392" s="711">
        <v>0.86480000000000001</v>
      </c>
    </row>
    <row r="393" spans="1:5" x14ac:dyDescent="0.3">
      <c r="A393" s="397"/>
      <c r="B393" s="709">
        <v>105359</v>
      </c>
      <c r="C393" s="710" t="s">
        <v>768</v>
      </c>
      <c r="D393" s="709" t="s">
        <v>136</v>
      </c>
      <c r="E393" s="711">
        <v>0.92889999999999995</v>
      </c>
    </row>
    <row r="394" spans="1:5" x14ac:dyDescent="0.3">
      <c r="A394" s="397"/>
      <c r="B394" s="709">
        <v>105315</v>
      </c>
      <c r="C394" s="710" t="s">
        <v>769</v>
      </c>
      <c r="D394" s="709" t="s">
        <v>136</v>
      </c>
      <c r="E394" s="711">
        <v>0.91369999999999996</v>
      </c>
    </row>
    <row r="395" spans="1:5" x14ac:dyDescent="0.3">
      <c r="A395" s="397"/>
      <c r="B395" s="709">
        <v>105360</v>
      </c>
      <c r="C395" s="710" t="s">
        <v>770</v>
      </c>
      <c r="D395" s="709" t="s">
        <v>136</v>
      </c>
      <c r="E395" s="711">
        <v>0.89780000000000004</v>
      </c>
    </row>
    <row r="396" spans="1:5" x14ac:dyDescent="0.3">
      <c r="A396" s="397"/>
      <c r="B396" s="709">
        <v>105381</v>
      </c>
      <c r="C396" s="710" t="s">
        <v>771</v>
      </c>
      <c r="D396" s="709" t="s">
        <v>136</v>
      </c>
      <c r="E396" s="711">
        <v>0.87690000000000001</v>
      </c>
    </row>
    <row r="397" spans="1:5" x14ac:dyDescent="0.3">
      <c r="A397" s="397"/>
      <c r="B397" s="709">
        <v>105251</v>
      </c>
      <c r="C397" s="710" t="s">
        <v>772</v>
      </c>
      <c r="D397" s="709" t="s">
        <v>136</v>
      </c>
      <c r="E397" s="711">
        <v>0.60960000000000003</v>
      </c>
    </row>
    <row r="398" spans="1:5" x14ac:dyDescent="0.3">
      <c r="A398" s="397"/>
      <c r="B398" s="709">
        <v>105282</v>
      </c>
      <c r="C398" s="710" t="s">
        <v>773</v>
      </c>
      <c r="D398" s="709" t="s">
        <v>136</v>
      </c>
      <c r="E398" s="711">
        <v>0.61539999999999995</v>
      </c>
    </row>
    <row r="399" spans="1:5" x14ac:dyDescent="0.3">
      <c r="A399" s="397"/>
      <c r="B399" s="709">
        <v>105276</v>
      </c>
      <c r="C399" s="710" t="s">
        <v>774</v>
      </c>
      <c r="D399" s="709" t="s">
        <v>136</v>
      </c>
      <c r="E399" s="711">
        <v>0.627</v>
      </c>
    </row>
    <row r="400" spans="1:5" x14ac:dyDescent="0.3">
      <c r="A400" s="397"/>
      <c r="B400" s="709">
        <v>105341</v>
      </c>
      <c r="C400" s="710" t="s">
        <v>775</v>
      </c>
      <c r="D400" s="709" t="s">
        <v>136</v>
      </c>
      <c r="E400" s="711">
        <v>0.6502</v>
      </c>
    </row>
    <row r="401" spans="1:5" x14ac:dyDescent="0.3">
      <c r="A401" s="397"/>
      <c r="B401" s="709">
        <v>105277</v>
      </c>
      <c r="C401" s="710" t="s">
        <v>776</v>
      </c>
      <c r="D401" s="709" t="s">
        <v>136</v>
      </c>
      <c r="E401" s="711">
        <v>0.61550000000000005</v>
      </c>
    </row>
    <row r="402" spans="1:5" x14ac:dyDescent="0.3">
      <c r="A402" s="397"/>
      <c r="B402" s="709">
        <v>105342</v>
      </c>
      <c r="C402" s="710" t="s">
        <v>777</v>
      </c>
      <c r="D402" s="709" t="s">
        <v>136</v>
      </c>
      <c r="E402" s="711">
        <v>0.63439999999999996</v>
      </c>
    </row>
    <row r="403" spans="1:5" x14ac:dyDescent="0.3">
      <c r="A403" s="397"/>
      <c r="B403" s="709">
        <v>105252</v>
      </c>
      <c r="C403" s="710" t="s">
        <v>778</v>
      </c>
      <c r="D403" s="709" t="s">
        <v>136</v>
      </c>
      <c r="E403" s="711">
        <v>0.64410000000000001</v>
      </c>
    </row>
    <row r="404" spans="1:5" x14ac:dyDescent="0.3">
      <c r="A404" s="397"/>
      <c r="B404" s="709">
        <v>105298</v>
      </c>
      <c r="C404" s="710" t="s">
        <v>779</v>
      </c>
      <c r="D404" s="709" t="s">
        <v>136</v>
      </c>
      <c r="E404" s="711">
        <v>0.65369999999999995</v>
      </c>
    </row>
    <row r="405" spans="1:5" x14ac:dyDescent="0.3">
      <c r="A405" s="397"/>
      <c r="B405" s="709">
        <v>105253</v>
      </c>
      <c r="C405" s="710" t="s">
        <v>780</v>
      </c>
      <c r="D405" s="709" t="s">
        <v>136</v>
      </c>
      <c r="E405" s="711">
        <v>0.6643</v>
      </c>
    </row>
    <row r="406" spans="1:5" x14ac:dyDescent="0.3">
      <c r="A406" s="397"/>
      <c r="B406" s="709">
        <v>105299</v>
      </c>
      <c r="C406" s="710" t="s">
        <v>781</v>
      </c>
      <c r="D406" s="709" t="s">
        <v>136</v>
      </c>
      <c r="E406" s="711">
        <v>0.6754</v>
      </c>
    </row>
    <row r="407" spans="1:5" x14ac:dyDescent="0.3">
      <c r="A407" s="397"/>
      <c r="B407" s="709">
        <v>105254</v>
      </c>
      <c r="C407" s="710" t="s">
        <v>782</v>
      </c>
      <c r="D407" s="709" t="s">
        <v>136</v>
      </c>
      <c r="E407" s="711">
        <v>0.67420000000000002</v>
      </c>
    </row>
    <row r="408" spans="1:5" x14ac:dyDescent="0.3">
      <c r="A408" s="397"/>
      <c r="B408" s="709">
        <v>105300</v>
      </c>
      <c r="C408" s="710" t="s">
        <v>783</v>
      </c>
      <c r="D408" s="709" t="s">
        <v>136</v>
      </c>
      <c r="E408" s="711">
        <v>0.6855</v>
      </c>
    </row>
    <row r="409" spans="1:5" x14ac:dyDescent="0.3">
      <c r="A409" s="397"/>
      <c r="B409" s="709">
        <v>105255</v>
      </c>
      <c r="C409" s="710" t="s">
        <v>784</v>
      </c>
      <c r="D409" s="709" t="s">
        <v>136</v>
      </c>
      <c r="E409" s="711">
        <v>0.68149999999999999</v>
      </c>
    </row>
    <row r="410" spans="1:5" x14ac:dyDescent="0.3">
      <c r="A410" s="397"/>
      <c r="B410" s="709">
        <v>105301</v>
      </c>
      <c r="C410" s="710" t="s">
        <v>785</v>
      </c>
      <c r="D410" s="709" t="s">
        <v>136</v>
      </c>
      <c r="E410" s="711">
        <v>0.69230000000000003</v>
      </c>
    </row>
    <row r="411" spans="1:5" x14ac:dyDescent="0.3">
      <c r="A411" s="397"/>
      <c r="B411" s="709">
        <v>105256</v>
      </c>
      <c r="C411" s="710" t="s">
        <v>786</v>
      </c>
      <c r="D411" s="709" t="s">
        <v>136</v>
      </c>
      <c r="E411" s="711">
        <v>0.68720000000000003</v>
      </c>
    </row>
    <row r="412" spans="1:5" x14ac:dyDescent="0.3">
      <c r="A412" s="397"/>
      <c r="B412" s="709">
        <v>105302</v>
      </c>
      <c r="C412" s="710" t="s">
        <v>787</v>
      </c>
      <c r="D412" s="709" t="s">
        <v>136</v>
      </c>
      <c r="E412" s="711">
        <v>0.69789999999999996</v>
      </c>
    </row>
    <row r="413" spans="1:5" x14ac:dyDescent="0.3">
      <c r="A413" s="397"/>
      <c r="B413" s="709">
        <v>105257</v>
      </c>
      <c r="C413" s="710" t="s">
        <v>788</v>
      </c>
      <c r="D413" s="709" t="s">
        <v>136</v>
      </c>
      <c r="E413" s="711">
        <v>0.6915</v>
      </c>
    </row>
    <row r="414" spans="1:5" x14ac:dyDescent="0.3">
      <c r="A414" s="397"/>
      <c r="B414" s="709">
        <v>105303</v>
      </c>
      <c r="C414" s="710" t="s">
        <v>789</v>
      </c>
      <c r="D414" s="709" t="s">
        <v>136</v>
      </c>
      <c r="E414" s="711">
        <v>0.70199999999999996</v>
      </c>
    </row>
    <row r="415" spans="1:5" x14ac:dyDescent="0.3">
      <c r="A415" s="397"/>
      <c r="B415" s="709">
        <v>105270</v>
      </c>
      <c r="C415" s="710" t="s">
        <v>790</v>
      </c>
      <c r="D415" s="709" t="s">
        <v>136</v>
      </c>
      <c r="E415" s="711">
        <v>0.69299999999999995</v>
      </c>
    </row>
    <row r="416" spans="1:5" x14ac:dyDescent="0.3">
      <c r="A416" s="397"/>
      <c r="B416" s="709">
        <v>105304</v>
      </c>
      <c r="C416" s="710" t="s">
        <v>791</v>
      </c>
      <c r="D416" s="709" t="s">
        <v>136</v>
      </c>
      <c r="E416" s="711">
        <v>0.70289999999999997</v>
      </c>
    </row>
    <row r="417" spans="1:5" x14ac:dyDescent="0.3">
      <c r="A417" s="397"/>
      <c r="B417" s="709">
        <v>105271</v>
      </c>
      <c r="C417" s="710" t="s">
        <v>792</v>
      </c>
      <c r="D417" s="709" t="s">
        <v>136</v>
      </c>
      <c r="E417" s="711">
        <v>0.60519999999999996</v>
      </c>
    </row>
    <row r="418" spans="1:5" x14ac:dyDescent="0.3">
      <c r="A418" s="397"/>
      <c r="B418" s="709">
        <v>105305</v>
      </c>
      <c r="C418" s="710" t="s">
        <v>793</v>
      </c>
      <c r="D418" s="709" t="s">
        <v>136</v>
      </c>
      <c r="E418" s="711">
        <v>0.62819999999999998</v>
      </c>
    </row>
    <row r="419" spans="1:5" x14ac:dyDescent="0.3">
      <c r="A419" s="397"/>
      <c r="B419" s="709">
        <v>105272</v>
      </c>
      <c r="C419" s="710" t="s">
        <v>794</v>
      </c>
      <c r="D419" s="709" t="s">
        <v>136</v>
      </c>
      <c r="E419" s="711">
        <v>0.60929999999999995</v>
      </c>
    </row>
    <row r="420" spans="1:5" x14ac:dyDescent="0.3">
      <c r="A420" s="397"/>
      <c r="B420" s="709">
        <v>105306</v>
      </c>
      <c r="C420" s="710" t="s">
        <v>795</v>
      </c>
      <c r="D420" s="709" t="s">
        <v>136</v>
      </c>
      <c r="E420" s="711">
        <v>0.63149999999999995</v>
      </c>
    </row>
    <row r="421" spans="1:5" x14ac:dyDescent="0.3">
      <c r="A421" s="397"/>
      <c r="B421" s="709">
        <v>105273</v>
      </c>
      <c r="C421" s="710" t="s">
        <v>796</v>
      </c>
      <c r="D421" s="709" t="s">
        <v>136</v>
      </c>
      <c r="E421" s="711">
        <v>0.61819999999999997</v>
      </c>
    </row>
    <row r="422" spans="1:5" x14ac:dyDescent="0.3">
      <c r="A422" s="397"/>
      <c r="B422" s="709">
        <v>105307</v>
      </c>
      <c r="C422" s="710" t="s">
        <v>797</v>
      </c>
      <c r="D422" s="709" t="s">
        <v>136</v>
      </c>
      <c r="E422" s="711">
        <v>0.64139999999999997</v>
      </c>
    </row>
    <row r="423" spans="1:5" x14ac:dyDescent="0.3">
      <c r="A423" s="397"/>
      <c r="B423" s="709">
        <v>105250</v>
      </c>
      <c r="C423" s="710" t="s">
        <v>798</v>
      </c>
      <c r="D423" s="709" t="s">
        <v>136</v>
      </c>
      <c r="E423" s="711">
        <v>0.59089999999999998</v>
      </c>
    </row>
    <row r="424" spans="1:5" x14ac:dyDescent="0.3">
      <c r="A424" s="397"/>
      <c r="B424" s="709">
        <v>105269</v>
      </c>
      <c r="C424" s="710" t="s">
        <v>799</v>
      </c>
      <c r="D424" s="709" t="s">
        <v>136</v>
      </c>
      <c r="E424" s="711">
        <v>0.59450000000000003</v>
      </c>
    </row>
    <row r="425" spans="1:5" x14ac:dyDescent="0.3">
      <c r="A425" s="397"/>
      <c r="B425" s="709">
        <v>105274</v>
      </c>
      <c r="C425" s="710" t="s">
        <v>800</v>
      </c>
      <c r="D425" s="709" t="s">
        <v>136</v>
      </c>
      <c r="E425" s="711">
        <v>0.623</v>
      </c>
    </row>
    <row r="426" spans="1:5" x14ac:dyDescent="0.3">
      <c r="A426" s="397"/>
      <c r="B426" s="709">
        <v>105340</v>
      </c>
      <c r="C426" s="710" t="s">
        <v>801</v>
      </c>
      <c r="D426" s="709" t="s">
        <v>136</v>
      </c>
      <c r="E426" s="711">
        <v>0.64659999999999995</v>
      </c>
    </row>
    <row r="427" spans="1:5" x14ac:dyDescent="0.3">
      <c r="A427" s="397"/>
      <c r="B427" s="709">
        <v>105275</v>
      </c>
      <c r="C427" s="710" t="s">
        <v>802</v>
      </c>
      <c r="D427" s="709" t="s">
        <v>136</v>
      </c>
      <c r="E427" s="711">
        <v>0.62570000000000003</v>
      </c>
    </row>
    <row r="428" spans="1:5" x14ac:dyDescent="0.3">
      <c r="A428" s="397"/>
      <c r="B428" s="709">
        <v>105390</v>
      </c>
      <c r="C428" s="710" t="s">
        <v>803</v>
      </c>
      <c r="D428" s="709" t="s">
        <v>136</v>
      </c>
      <c r="E428" s="711">
        <v>0.64910000000000001</v>
      </c>
    </row>
    <row r="429" spans="1:5" x14ac:dyDescent="0.3">
      <c r="A429" s="397"/>
      <c r="B429" s="709">
        <v>105364</v>
      </c>
      <c r="C429" s="710" t="s">
        <v>804</v>
      </c>
      <c r="D429" s="709" t="s">
        <v>136</v>
      </c>
      <c r="E429" s="711">
        <v>0.92210000000000003</v>
      </c>
    </row>
    <row r="430" spans="1:5" x14ac:dyDescent="0.3">
      <c r="A430" s="397"/>
      <c r="B430" s="709">
        <v>105385</v>
      </c>
      <c r="C430" s="710" t="s">
        <v>805</v>
      </c>
      <c r="D430" s="709" t="s">
        <v>136</v>
      </c>
      <c r="E430" s="711">
        <v>0.90569999999999995</v>
      </c>
    </row>
    <row r="431" spans="1:5" x14ac:dyDescent="0.3">
      <c r="A431" s="397"/>
      <c r="B431" s="709">
        <v>105362</v>
      </c>
      <c r="C431" s="710" t="s">
        <v>806</v>
      </c>
      <c r="D431" s="709" t="s">
        <v>136</v>
      </c>
      <c r="E431" s="711">
        <v>0.95140000000000002</v>
      </c>
    </row>
    <row r="432" spans="1:5" x14ac:dyDescent="0.3">
      <c r="A432" s="397"/>
      <c r="B432" s="709">
        <v>105383</v>
      </c>
      <c r="C432" s="710" t="s">
        <v>807</v>
      </c>
      <c r="D432" s="709" t="s">
        <v>136</v>
      </c>
      <c r="E432" s="711">
        <v>0.94079999999999997</v>
      </c>
    </row>
    <row r="433" spans="1:5" x14ac:dyDescent="0.3">
      <c r="A433" s="397"/>
      <c r="B433" s="709">
        <v>105363</v>
      </c>
      <c r="C433" s="710" t="s">
        <v>808</v>
      </c>
      <c r="D433" s="709" t="s">
        <v>136</v>
      </c>
      <c r="E433" s="711">
        <v>0.92949999999999999</v>
      </c>
    </row>
    <row r="434" spans="1:5" x14ac:dyDescent="0.3">
      <c r="A434" s="397"/>
      <c r="B434" s="709">
        <v>105384</v>
      </c>
      <c r="C434" s="710" t="s">
        <v>809</v>
      </c>
      <c r="D434" s="709" t="s">
        <v>136</v>
      </c>
      <c r="E434" s="711">
        <v>0.91449999999999998</v>
      </c>
    </row>
    <row r="435" spans="1:5" x14ac:dyDescent="0.3">
      <c r="A435" s="397"/>
      <c r="B435" s="709">
        <v>105279</v>
      </c>
      <c r="C435" s="710" t="s">
        <v>810</v>
      </c>
      <c r="D435" s="709" t="s">
        <v>136</v>
      </c>
      <c r="E435" s="711">
        <v>0.59060000000000001</v>
      </c>
    </row>
    <row r="436" spans="1:5" x14ac:dyDescent="0.3">
      <c r="A436" s="397"/>
      <c r="B436" s="709">
        <v>105259</v>
      </c>
      <c r="C436" s="710" t="s">
        <v>811</v>
      </c>
      <c r="D436" s="709" t="s">
        <v>136</v>
      </c>
      <c r="E436" s="711">
        <v>0.59099999999999997</v>
      </c>
    </row>
    <row r="437" spans="1:5" x14ac:dyDescent="0.3">
      <c r="A437" s="397"/>
      <c r="B437" s="709">
        <v>105357</v>
      </c>
      <c r="C437" s="710" t="s">
        <v>812</v>
      </c>
      <c r="D437" s="709" t="s">
        <v>136</v>
      </c>
      <c r="E437" s="711">
        <v>0.60529999999999995</v>
      </c>
    </row>
    <row r="438" spans="1:5" x14ac:dyDescent="0.3">
      <c r="A438" s="397"/>
      <c r="B438" s="709">
        <v>105346</v>
      </c>
      <c r="C438" s="710" t="s">
        <v>813</v>
      </c>
      <c r="D438" s="709" t="s">
        <v>136</v>
      </c>
      <c r="E438" s="711">
        <v>0.62270000000000003</v>
      </c>
    </row>
    <row r="439" spans="1:5" x14ac:dyDescent="0.3">
      <c r="A439" s="397"/>
      <c r="B439" s="709">
        <v>105358</v>
      </c>
      <c r="C439" s="710" t="s">
        <v>814</v>
      </c>
      <c r="D439" s="709" t="s">
        <v>136</v>
      </c>
      <c r="E439" s="711">
        <v>0.58779999999999999</v>
      </c>
    </row>
    <row r="440" spans="1:5" x14ac:dyDescent="0.3">
      <c r="A440" s="397"/>
      <c r="B440" s="709">
        <v>105347</v>
      </c>
      <c r="C440" s="710" t="s">
        <v>815</v>
      </c>
      <c r="D440" s="709" t="s">
        <v>136</v>
      </c>
      <c r="E440" s="711">
        <v>0.5998</v>
      </c>
    </row>
    <row r="441" spans="1:5" x14ac:dyDescent="0.3">
      <c r="A441" s="397"/>
      <c r="B441" s="709">
        <v>105280</v>
      </c>
      <c r="C441" s="710" t="s">
        <v>816</v>
      </c>
      <c r="D441" s="709" t="s">
        <v>136</v>
      </c>
      <c r="E441" s="711">
        <v>0.62360000000000004</v>
      </c>
    </row>
    <row r="442" spans="1:5" x14ac:dyDescent="0.3">
      <c r="A442" s="397"/>
      <c r="B442" s="709">
        <v>105283</v>
      </c>
      <c r="C442" s="710" t="s">
        <v>817</v>
      </c>
      <c r="D442" s="709" t="s">
        <v>136</v>
      </c>
      <c r="E442" s="711">
        <v>0.62790000000000001</v>
      </c>
    </row>
    <row r="443" spans="1:5" x14ac:dyDescent="0.3">
      <c r="A443" s="397"/>
      <c r="B443" s="709">
        <v>105281</v>
      </c>
      <c r="C443" s="710" t="s">
        <v>818</v>
      </c>
      <c r="D443" s="709" t="s">
        <v>136</v>
      </c>
      <c r="E443" s="711">
        <v>0.64390000000000003</v>
      </c>
    </row>
    <row r="444" spans="1:5" x14ac:dyDescent="0.3">
      <c r="A444" s="397"/>
      <c r="B444" s="709">
        <v>105319</v>
      </c>
      <c r="C444" s="710" t="s">
        <v>819</v>
      </c>
      <c r="D444" s="709" t="s">
        <v>136</v>
      </c>
      <c r="E444" s="711">
        <v>0.64959999999999996</v>
      </c>
    </row>
    <row r="445" spans="1:5" x14ac:dyDescent="0.3">
      <c r="A445" s="397"/>
      <c r="B445" s="709">
        <v>105284</v>
      </c>
      <c r="C445" s="710" t="s">
        <v>820</v>
      </c>
      <c r="D445" s="709" t="s">
        <v>136</v>
      </c>
      <c r="E445" s="711">
        <v>0.65190000000000003</v>
      </c>
    </row>
    <row r="446" spans="1:5" x14ac:dyDescent="0.3">
      <c r="A446" s="397"/>
      <c r="B446" s="709">
        <v>105320</v>
      </c>
      <c r="C446" s="710" t="s">
        <v>821</v>
      </c>
      <c r="D446" s="709" t="s">
        <v>136</v>
      </c>
      <c r="E446" s="711">
        <v>0.65739999999999998</v>
      </c>
    </row>
    <row r="447" spans="1:5" x14ac:dyDescent="0.3">
      <c r="A447" s="397"/>
      <c r="B447" s="709">
        <v>105348</v>
      </c>
      <c r="C447" s="710" t="s">
        <v>822</v>
      </c>
      <c r="D447" s="709" t="s">
        <v>136</v>
      </c>
      <c r="E447" s="711">
        <v>0.65790000000000004</v>
      </c>
    </row>
    <row r="448" spans="1:5" x14ac:dyDescent="0.3">
      <c r="A448" s="397"/>
      <c r="B448" s="709">
        <v>105321</v>
      </c>
      <c r="C448" s="710" t="s">
        <v>823</v>
      </c>
      <c r="D448" s="709" t="s">
        <v>136</v>
      </c>
      <c r="E448" s="711">
        <v>0.66300000000000003</v>
      </c>
    </row>
    <row r="449" spans="1:5" x14ac:dyDescent="0.3">
      <c r="A449" s="397"/>
      <c r="B449" s="709">
        <v>105349</v>
      </c>
      <c r="C449" s="710" t="s">
        <v>824</v>
      </c>
      <c r="D449" s="709" t="s">
        <v>136</v>
      </c>
      <c r="E449" s="711">
        <v>0.66249999999999998</v>
      </c>
    </row>
    <row r="450" spans="1:5" x14ac:dyDescent="0.3">
      <c r="A450" s="397"/>
      <c r="B450" s="709">
        <v>105322</v>
      </c>
      <c r="C450" s="710" t="s">
        <v>825</v>
      </c>
      <c r="D450" s="709" t="s">
        <v>136</v>
      </c>
      <c r="E450" s="711">
        <v>0.66739999999999999</v>
      </c>
    </row>
    <row r="451" spans="1:5" x14ac:dyDescent="0.3">
      <c r="A451" s="397"/>
      <c r="B451" s="709">
        <v>105350</v>
      </c>
      <c r="C451" s="710" t="s">
        <v>826</v>
      </c>
      <c r="D451" s="709" t="s">
        <v>136</v>
      </c>
      <c r="E451" s="711">
        <v>0.66620000000000001</v>
      </c>
    </row>
    <row r="452" spans="1:5" x14ac:dyDescent="0.3">
      <c r="A452" s="397"/>
      <c r="B452" s="709">
        <v>105323</v>
      </c>
      <c r="C452" s="710" t="s">
        <v>827</v>
      </c>
      <c r="D452" s="709" t="s">
        <v>136</v>
      </c>
      <c r="E452" s="711">
        <v>0.67100000000000004</v>
      </c>
    </row>
    <row r="453" spans="1:5" x14ac:dyDescent="0.3">
      <c r="A453" s="397"/>
      <c r="B453" s="709">
        <v>105351</v>
      </c>
      <c r="C453" s="710" t="s">
        <v>828</v>
      </c>
      <c r="D453" s="709" t="s">
        <v>136</v>
      </c>
      <c r="E453" s="711">
        <v>0.6663</v>
      </c>
    </row>
    <row r="454" spans="1:5" x14ac:dyDescent="0.3">
      <c r="A454" s="397"/>
      <c r="B454" s="709">
        <v>105324</v>
      </c>
      <c r="C454" s="710" t="s">
        <v>829</v>
      </c>
      <c r="D454" s="709" t="s">
        <v>136</v>
      </c>
      <c r="E454" s="711">
        <v>0.67030000000000001</v>
      </c>
    </row>
    <row r="455" spans="1:5" x14ac:dyDescent="0.3">
      <c r="A455" s="397"/>
      <c r="B455" s="709">
        <v>105352</v>
      </c>
      <c r="C455" s="710" t="s">
        <v>830</v>
      </c>
      <c r="D455" s="709" t="s">
        <v>136</v>
      </c>
      <c r="E455" s="711">
        <v>0.58450000000000002</v>
      </c>
    </row>
    <row r="456" spans="1:5" x14ac:dyDescent="0.3">
      <c r="A456" s="397"/>
      <c r="B456" s="709">
        <v>105325</v>
      </c>
      <c r="C456" s="710" t="s">
        <v>831</v>
      </c>
      <c r="D456" s="709" t="s">
        <v>136</v>
      </c>
      <c r="E456" s="711">
        <v>0.60150000000000003</v>
      </c>
    </row>
    <row r="457" spans="1:5" x14ac:dyDescent="0.3">
      <c r="A457" s="397"/>
      <c r="B457" s="709">
        <v>105353</v>
      </c>
      <c r="C457" s="710" t="s">
        <v>832</v>
      </c>
      <c r="D457" s="709" t="s">
        <v>136</v>
      </c>
      <c r="E457" s="711">
        <v>0.58689999999999998</v>
      </c>
    </row>
    <row r="458" spans="1:5" x14ac:dyDescent="0.3">
      <c r="A458" s="397"/>
      <c r="B458" s="709">
        <v>105326</v>
      </c>
      <c r="C458" s="710" t="s">
        <v>833</v>
      </c>
      <c r="D458" s="709" t="s">
        <v>136</v>
      </c>
      <c r="E458" s="711">
        <v>0.60289999999999999</v>
      </c>
    </row>
    <row r="459" spans="1:5" x14ac:dyDescent="0.3">
      <c r="A459" s="397"/>
      <c r="B459" s="709">
        <v>105354</v>
      </c>
      <c r="C459" s="710" t="s">
        <v>834</v>
      </c>
      <c r="D459" s="709" t="s">
        <v>136</v>
      </c>
      <c r="E459" s="711">
        <v>0.59719999999999995</v>
      </c>
    </row>
    <row r="460" spans="1:5" x14ac:dyDescent="0.3">
      <c r="A460" s="397"/>
      <c r="B460" s="709">
        <v>105344</v>
      </c>
      <c r="C460" s="710" t="s">
        <v>835</v>
      </c>
      <c r="D460" s="709" t="s">
        <v>136</v>
      </c>
      <c r="E460" s="711">
        <v>0.61470000000000002</v>
      </c>
    </row>
    <row r="461" spans="1:5" x14ac:dyDescent="0.3">
      <c r="A461" s="397"/>
      <c r="B461" s="709">
        <v>105278</v>
      </c>
      <c r="C461" s="710" t="s">
        <v>836</v>
      </c>
      <c r="D461" s="709" t="s">
        <v>136</v>
      </c>
      <c r="E461" s="711">
        <v>0.57279999999999998</v>
      </c>
    </row>
    <row r="462" spans="1:5" x14ac:dyDescent="0.3">
      <c r="A462" s="397"/>
      <c r="B462" s="709">
        <v>105343</v>
      </c>
      <c r="C462" s="710" t="s">
        <v>837</v>
      </c>
      <c r="D462" s="709" t="s">
        <v>136</v>
      </c>
      <c r="E462" s="711">
        <v>0.57130000000000003</v>
      </c>
    </row>
    <row r="463" spans="1:5" x14ac:dyDescent="0.3">
      <c r="A463" s="397"/>
      <c r="B463" s="709">
        <v>105355</v>
      </c>
      <c r="C463" s="710" t="s">
        <v>838</v>
      </c>
      <c r="D463" s="709" t="s">
        <v>136</v>
      </c>
      <c r="E463" s="711">
        <v>0.60219999999999996</v>
      </c>
    </row>
    <row r="464" spans="1:5" x14ac:dyDescent="0.3">
      <c r="A464" s="397"/>
      <c r="B464" s="709">
        <v>105391</v>
      </c>
      <c r="C464" s="710" t="s">
        <v>839</v>
      </c>
      <c r="D464" s="709" t="s">
        <v>136</v>
      </c>
      <c r="E464" s="711">
        <v>0.62009999999999998</v>
      </c>
    </row>
    <row r="465" spans="1:5" x14ac:dyDescent="0.3">
      <c r="A465" s="397"/>
      <c r="B465" s="709">
        <v>105356</v>
      </c>
      <c r="C465" s="710" t="s">
        <v>840</v>
      </c>
      <c r="D465" s="709" t="s">
        <v>136</v>
      </c>
      <c r="E465" s="711">
        <v>0.60460000000000003</v>
      </c>
    </row>
    <row r="466" spans="1:5" x14ac:dyDescent="0.3">
      <c r="A466" s="397"/>
      <c r="B466" s="709">
        <v>105345</v>
      </c>
      <c r="C466" s="710" t="s">
        <v>841</v>
      </c>
      <c r="D466" s="709" t="s">
        <v>136</v>
      </c>
      <c r="E466" s="711">
        <v>0.62219999999999998</v>
      </c>
    </row>
    <row r="467" spans="1:5" x14ac:dyDescent="0.3">
      <c r="A467" s="397"/>
      <c r="B467" s="709">
        <v>105367</v>
      </c>
      <c r="C467" s="710" t="s">
        <v>842</v>
      </c>
      <c r="D467" s="709" t="s">
        <v>136</v>
      </c>
      <c r="E467" s="711">
        <v>0.88749999999999996</v>
      </c>
    </row>
    <row r="468" spans="1:5" x14ac:dyDescent="0.3">
      <c r="A468" s="397"/>
      <c r="B468" s="709">
        <v>105371</v>
      </c>
      <c r="C468" s="710" t="s">
        <v>843</v>
      </c>
      <c r="D468" s="709" t="s">
        <v>136</v>
      </c>
      <c r="E468" s="711">
        <v>0.8649</v>
      </c>
    </row>
    <row r="469" spans="1:5" x14ac:dyDescent="0.3">
      <c r="A469" s="397"/>
      <c r="B469" s="709">
        <v>105365</v>
      </c>
      <c r="C469" s="710" t="s">
        <v>844</v>
      </c>
      <c r="D469" s="709" t="s">
        <v>136</v>
      </c>
      <c r="E469" s="711">
        <v>0.92889999999999995</v>
      </c>
    </row>
    <row r="470" spans="1:5" x14ac:dyDescent="0.3">
      <c r="A470" s="397"/>
      <c r="B470" s="709">
        <v>105386</v>
      </c>
      <c r="C470" s="710" t="s">
        <v>845</v>
      </c>
      <c r="D470" s="709" t="s">
        <v>136</v>
      </c>
      <c r="E470" s="711">
        <v>0.91369999999999996</v>
      </c>
    </row>
    <row r="471" spans="1:5" x14ac:dyDescent="0.3">
      <c r="A471" s="397"/>
      <c r="B471" s="709">
        <v>105366</v>
      </c>
      <c r="C471" s="710" t="s">
        <v>846</v>
      </c>
      <c r="D471" s="709" t="s">
        <v>136</v>
      </c>
      <c r="E471" s="711">
        <v>0.89780000000000004</v>
      </c>
    </row>
    <row r="472" spans="1:5" x14ac:dyDescent="0.3">
      <c r="A472" s="397"/>
      <c r="B472" s="709">
        <v>105387</v>
      </c>
      <c r="C472" s="710" t="s">
        <v>847</v>
      </c>
      <c r="D472" s="709" t="s">
        <v>136</v>
      </c>
      <c r="E472" s="711">
        <v>0.87690000000000001</v>
      </c>
    </row>
    <row r="473" spans="1:5" x14ac:dyDescent="0.3">
      <c r="A473" s="397"/>
      <c r="B473" s="709">
        <v>97177</v>
      </c>
      <c r="C473" s="710" t="s">
        <v>848</v>
      </c>
      <c r="D473" s="709" t="s">
        <v>159</v>
      </c>
      <c r="E473" s="711">
        <v>0.62570000000000003</v>
      </c>
    </row>
    <row r="474" spans="1:5" x14ac:dyDescent="0.3">
      <c r="A474" s="397"/>
      <c r="B474" s="709">
        <v>97187</v>
      </c>
      <c r="C474" s="710" t="s">
        <v>849</v>
      </c>
      <c r="D474" s="709" t="s">
        <v>159</v>
      </c>
      <c r="E474" s="711">
        <v>0.63949999999999996</v>
      </c>
    </row>
    <row r="475" spans="1:5" x14ac:dyDescent="0.3">
      <c r="A475" s="397"/>
      <c r="B475" s="709">
        <v>97178</v>
      </c>
      <c r="C475" s="710" t="s">
        <v>850</v>
      </c>
      <c r="D475" s="709" t="s">
        <v>159</v>
      </c>
      <c r="E475" s="711">
        <v>0.63280000000000003</v>
      </c>
    </row>
    <row r="476" spans="1:5" x14ac:dyDescent="0.3">
      <c r="A476" s="397"/>
      <c r="B476" s="709">
        <v>97188</v>
      </c>
      <c r="C476" s="710" t="s">
        <v>851</v>
      </c>
      <c r="D476" s="709" t="s">
        <v>159</v>
      </c>
      <c r="E476" s="711">
        <v>0.64600000000000002</v>
      </c>
    </row>
    <row r="477" spans="1:5" x14ac:dyDescent="0.3">
      <c r="A477" s="397"/>
      <c r="B477" s="709">
        <v>97179</v>
      </c>
      <c r="C477" s="710" t="s">
        <v>852</v>
      </c>
      <c r="D477" s="709" t="s">
        <v>159</v>
      </c>
      <c r="E477" s="711">
        <v>0.63759999999999994</v>
      </c>
    </row>
    <row r="478" spans="1:5" x14ac:dyDescent="0.3">
      <c r="A478" s="397"/>
      <c r="B478" s="709">
        <v>97189</v>
      </c>
      <c r="C478" s="710" t="s">
        <v>853</v>
      </c>
      <c r="D478" s="709" t="s">
        <v>159</v>
      </c>
      <c r="E478" s="711">
        <v>0.65049999999999997</v>
      </c>
    </row>
    <row r="479" spans="1:5" x14ac:dyDescent="0.3">
      <c r="A479" s="397"/>
      <c r="B479" s="709">
        <v>97180</v>
      </c>
      <c r="C479" s="710" t="s">
        <v>854</v>
      </c>
      <c r="D479" s="709" t="s">
        <v>159</v>
      </c>
      <c r="E479" s="711">
        <v>0.6411</v>
      </c>
    </row>
    <row r="480" spans="1:5" x14ac:dyDescent="0.3">
      <c r="A480" s="397"/>
      <c r="B480" s="709">
        <v>97190</v>
      </c>
      <c r="C480" s="710" t="s">
        <v>855</v>
      </c>
      <c r="D480" s="709" t="s">
        <v>159</v>
      </c>
      <c r="E480" s="711">
        <v>0.65380000000000005</v>
      </c>
    </row>
    <row r="481" spans="1:5" x14ac:dyDescent="0.3">
      <c r="A481" s="397"/>
      <c r="B481" s="709">
        <v>97181</v>
      </c>
      <c r="C481" s="710" t="s">
        <v>856</v>
      </c>
      <c r="D481" s="709" t="s">
        <v>159</v>
      </c>
      <c r="E481" s="711">
        <v>0.64390000000000003</v>
      </c>
    </row>
    <row r="482" spans="1:5" x14ac:dyDescent="0.3">
      <c r="A482" s="397"/>
      <c r="B482" s="709">
        <v>97191</v>
      </c>
      <c r="C482" s="710" t="s">
        <v>857</v>
      </c>
      <c r="D482" s="709" t="s">
        <v>159</v>
      </c>
      <c r="E482" s="711">
        <v>0.65639999999999998</v>
      </c>
    </row>
    <row r="483" spans="1:5" x14ac:dyDescent="0.3">
      <c r="A483" s="397"/>
      <c r="B483" s="709">
        <v>97182</v>
      </c>
      <c r="C483" s="710" t="s">
        <v>858</v>
      </c>
      <c r="D483" s="709" t="s">
        <v>159</v>
      </c>
      <c r="E483" s="711">
        <v>0.63070000000000004</v>
      </c>
    </row>
    <row r="484" spans="1:5" x14ac:dyDescent="0.3">
      <c r="A484" s="397"/>
      <c r="B484" s="709">
        <v>97192</v>
      </c>
      <c r="C484" s="710" t="s">
        <v>859</v>
      </c>
      <c r="D484" s="709" t="s">
        <v>159</v>
      </c>
      <c r="E484" s="711">
        <v>0.6452</v>
      </c>
    </row>
    <row r="485" spans="1:5" x14ac:dyDescent="0.3">
      <c r="A485" s="397"/>
      <c r="B485" s="709">
        <v>97173</v>
      </c>
      <c r="C485" s="710" t="s">
        <v>860</v>
      </c>
      <c r="D485" s="709" t="s">
        <v>159</v>
      </c>
      <c r="E485" s="711">
        <v>0.59609999999999996</v>
      </c>
    </row>
    <row r="486" spans="1:5" x14ac:dyDescent="0.3">
      <c r="A486" s="397"/>
      <c r="B486" s="709">
        <v>97183</v>
      </c>
      <c r="C486" s="710" t="s">
        <v>861</v>
      </c>
      <c r="D486" s="709" t="s">
        <v>159</v>
      </c>
      <c r="E486" s="711">
        <v>0.61150000000000004</v>
      </c>
    </row>
    <row r="487" spans="1:5" x14ac:dyDescent="0.3">
      <c r="A487" s="397"/>
      <c r="B487" s="709">
        <v>97174</v>
      </c>
      <c r="C487" s="710" t="s">
        <v>862</v>
      </c>
      <c r="D487" s="709" t="s">
        <v>159</v>
      </c>
      <c r="E487" s="711">
        <v>0.60719999999999996</v>
      </c>
    </row>
    <row r="488" spans="1:5" x14ac:dyDescent="0.3">
      <c r="A488" s="397"/>
      <c r="B488" s="709">
        <v>97184</v>
      </c>
      <c r="C488" s="710" t="s">
        <v>863</v>
      </c>
      <c r="D488" s="709" t="s">
        <v>159</v>
      </c>
      <c r="E488" s="711">
        <v>0.62180000000000002</v>
      </c>
    </row>
    <row r="489" spans="1:5" x14ac:dyDescent="0.3">
      <c r="A489" s="397"/>
      <c r="B489" s="709">
        <v>97175</v>
      </c>
      <c r="C489" s="710" t="s">
        <v>864</v>
      </c>
      <c r="D489" s="709" t="s">
        <v>159</v>
      </c>
      <c r="E489" s="711">
        <v>0.61509999999999998</v>
      </c>
    </row>
    <row r="490" spans="1:5" x14ac:dyDescent="0.3">
      <c r="A490" s="397"/>
      <c r="B490" s="709">
        <v>97185</v>
      </c>
      <c r="C490" s="710" t="s">
        <v>865</v>
      </c>
      <c r="D490" s="709" t="s">
        <v>159</v>
      </c>
      <c r="E490" s="711">
        <v>0.62929999999999997</v>
      </c>
    </row>
    <row r="491" spans="1:5" x14ac:dyDescent="0.3">
      <c r="A491" s="397"/>
      <c r="B491" s="709">
        <v>97176</v>
      </c>
      <c r="C491" s="710" t="s">
        <v>866</v>
      </c>
      <c r="D491" s="709" t="s">
        <v>159</v>
      </c>
      <c r="E491" s="711">
        <v>0.621</v>
      </c>
    </row>
    <row r="492" spans="1:5" x14ac:dyDescent="0.3">
      <c r="A492" s="397"/>
      <c r="B492" s="709">
        <v>97186</v>
      </c>
      <c r="C492" s="710" t="s">
        <v>867</v>
      </c>
      <c r="D492" s="709" t="s">
        <v>159</v>
      </c>
      <c r="E492" s="711">
        <v>0.63490000000000002</v>
      </c>
    </row>
    <row r="493" spans="1:5" x14ac:dyDescent="0.3">
      <c r="A493" s="397"/>
      <c r="B493" s="709">
        <v>97142</v>
      </c>
      <c r="C493" s="710" t="s">
        <v>868</v>
      </c>
      <c r="D493" s="709" t="s">
        <v>159</v>
      </c>
      <c r="E493" s="711">
        <v>0.63009999999999999</v>
      </c>
    </row>
    <row r="494" spans="1:5" x14ac:dyDescent="0.3">
      <c r="A494" s="397"/>
      <c r="B494" s="709">
        <v>97158</v>
      </c>
      <c r="C494" s="710" t="s">
        <v>869</v>
      </c>
      <c r="D494" s="709" t="s">
        <v>159</v>
      </c>
      <c r="E494" s="711">
        <v>0.64139999999999997</v>
      </c>
    </row>
    <row r="495" spans="1:5" x14ac:dyDescent="0.3">
      <c r="A495" s="397"/>
      <c r="B495" s="709">
        <v>97155</v>
      </c>
      <c r="C495" s="710" t="s">
        <v>870</v>
      </c>
      <c r="D495" s="709" t="s">
        <v>159</v>
      </c>
      <c r="E495" s="711">
        <v>0.65290000000000004</v>
      </c>
    </row>
    <row r="496" spans="1:5" x14ac:dyDescent="0.3">
      <c r="A496" s="397"/>
      <c r="B496" s="709">
        <v>97171</v>
      </c>
      <c r="C496" s="710" t="s">
        <v>871</v>
      </c>
      <c r="D496" s="709" t="s">
        <v>159</v>
      </c>
      <c r="E496" s="711">
        <v>0.68379999999999996</v>
      </c>
    </row>
    <row r="497" spans="1:5" x14ac:dyDescent="0.3">
      <c r="A497" s="397"/>
      <c r="B497" s="709">
        <v>97156</v>
      </c>
      <c r="C497" s="710" t="s">
        <v>872</v>
      </c>
      <c r="D497" s="709" t="s">
        <v>159</v>
      </c>
      <c r="E497" s="711">
        <v>0.64980000000000004</v>
      </c>
    </row>
    <row r="498" spans="1:5" x14ac:dyDescent="0.3">
      <c r="A498" s="397"/>
      <c r="B498" s="709">
        <v>97172</v>
      </c>
      <c r="C498" s="710" t="s">
        <v>873</v>
      </c>
      <c r="D498" s="709" t="s">
        <v>159</v>
      </c>
      <c r="E498" s="711">
        <v>0.67830000000000001</v>
      </c>
    </row>
    <row r="499" spans="1:5" x14ac:dyDescent="0.3">
      <c r="A499" s="397"/>
      <c r="B499" s="709">
        <v>97143</v>
      </c>
      <c r="C499" s="710" t="s">
        <v>874</v>
      </c>
      <c r="D499" s="709" t="s">
        <v>159</v>
      </c>
      <c r="E499" s="711">
        <v>0.66400000000000003</v>
      </c>
    </row>
    <row r="500" spans="1:5" x14ac:dyDescent="0.3">
      <c r="A500" s="397"/>
      <c r="B500" s="709">
        <v>97159</v>
      </c>
      <c r="C500" s="710" t="s">
        <v>875</v>
      </c>
      <c r="D500" s="709" t="s">
        <v>159</v>
      </c>
      <c r="E500" s="711">
        <v>0.68030000000000002</v>
      </c>
    </row>
    <row r="501" spans="1:5" x14ac:dyDescent="0.3">
      <c r="A501" s="397"/>
      <c r="B501" s="709">
        <v>97144</v>
      </c>
      <c r="C501" s="710" t="s">
        <v>876</v>
      </c>
      <c r="D501" s="709" t="s">
        <v>159</v>
      </c>
      <c r="E501" s="711">
        <v>0.68489999999999995</v>
      </c>
    </row>
    <row r="502" spans="1:5" x14ac:dyDescent="0.3">
      <c r="A502" s="397"/>
      <c r="B502" s="709">
        <v>97160</v>
      </c>
      <c r="C502" s="710" t="s">
        <v>877</v>
      </c>
      <c r="D502" s="709" t="s">
        <v>159</v>
      </c>
      <c r="E502" s="711">
        <v>0.70330000000000004</v>
      </c>
    </row>
    <row r="503" spans="1:5" x14ac:dyDescent="0.3">
      <c r="A503" s="397"/>
      <c r="B503" s="709">
        <v>97145</v>
      </c>
      <c r="C503" s="710" t="s">
        <v>878</v>
      </c>
      <c r="D503" s="709" t="s">
        <v>159</v>
      </c>
      <c r="E503" s="711">
        <v>0.69740000000000002</v>
      </c>
    </row>
    <row r="504" spans="1:5" x14ac:dyDescent="0.3">
      <c r="A504" s="397"/>
      <c r="B504" s="709">
        <v>97161</v>
      </c>
      <c r="C504" s="710" t="s">
        <v>879</v>
      </c>
      <c r="D504" s="709" t="s">
        <v>159</v>
      </c>
      <c r="E504" s="711">
        <v>0.71519999999999995</v>
      </c>
    </row>
    <row r="505" spans="1:5" x14ac:dyDescent="0.3">
      <c r="A505" s="397"/>
      <c r="B505" s="709">
        <v>97146</v>
      </c>
      <c r="C505" s="710" t="s">
        <v>880</v>
      </c>
      <c r="D505" s="709" t="s">
        <v>159</v>
      </c>
      <c r="E505" s="711">
        <v>0.70609999999999995</v>
      </c>
    </row>
    <row r="506" spans="1:5" x14ac:dyDescent="0.3">
      <c r="A506" s="397"/>
      <c r="B506" s="709">
        <v>97162</v>
      </c>
      <c r="C506" s="710" t="s">
        <v>881</v>
      </c>
      <c r="D506" s="709" t="s">
        <v>159</v>
      </c>
      <c r="E506" s="711">
        <v>0.72399999999999998</v>
      </c>
    </row>
    <row r="507" spans="1:5" x14ac:dyDescent="0.3">
      <c r="A507" s="397"/>
      <c r="B507" s="709">
        <v>97147</v>
      </c>
      <c r="C507" s="710" t="s">
        <v>882</v>
      </c>
      <c r="D507" s="709" t="s">
        <v>159</v>
      </c>
      <c r="E507" s="711">
        <v>0.71340000000000003</v>
      </c>
    </row>
    <row r="508" spans="1:5" x14ac:dyDescent="0.3">
      <c r="A508" s="397"/>
      <c r="B508" s="709">
        <v>97163</v>
      </c>
      <c r="C508" s="710" t="s">
        <v>883</v>
      </c>
      <c r="D508" s="709" t="s">
        <v>159</v>
      </c>
      <c r="E508" s="711">
        <v>0.73040000000000005</v>
      </c>
    </row>
    <row r="509" spans="1:5" x14ac:dyDescent="0.3">
      <c r="A509" s="397"/>
      <c r="B509" s="709">
        <v>97148</v>
      </c>
      <c r="C509" s="710" t="s">
        <v>884</v>
      </c>
      <c r="D509" s="709" t="s">
        <v>159</v>
      </c>
      <c r="E509" s="711">
        <v>0.71819999999999995</v>
      </c>
    </row>
    <row r="510" spans="1:5" x14ac:dyDescent="0.3">
      <c r="A510" s="397"/>
      <c r="B510" s="709">
        <v>97164</v>
      </c>
      <c r="C510" s="710" t="s">
        <v>885</v>
      </c>
      <c r="D510" s="709" t="s">
        <v>159</v>
      </c>
      <c r="E510" s="711">
        <v>0.73540000000000005</v>
      </c>
    </row>
    <row r="511" spans="1:5" x14ac:dyDescent="0.3">
      <c r="A511" s="397"/>
      <c r="B511" s="709">
        <v>97149</v>
      </c>
      <c r="C511" s="710" t="s">
        <v>886</v>
      </c>
      <c r="D511" s="709" t="s">
        <v>159</v>
      </c>
      <c r="E511" s="711">
        <v>0.7208</v>
      </c>
    </row>
    <row r="512" spans="1:5" x14ac:dyDescent="0.3">
      <c r="A512" s="397"/>
      <c r="B512" s="709">
        <v>97165</v>
      </c>
      <c r="C512" s="710" t="s">
        <v>887</v>
      </c>
      <c r="D512" s="709" t="s">
        <v>159</v>
      </c>
      <c r="E512" s="711">
        <v>0.73780000000000001</v>
      </c>
    </row>
    <row r="513" spans="1:5" x14ac:dyDescent="0.3">
      <c r="A513" s="397"/>
      <c r="B513" s="709">
        <v>97150</v>
      </c>
      <c r="C513" s="710" t="s">
        <v>888</v>
      </c>
      <c r="D513" s="709" t="s">
        <v>159</v>
      </c>
      <c r="E513" s="711">
        <v>0.62690000000000001</v>
      </c>
    </row>
    <row r="514" spans="1:5" x14ac:dyDescent="0.3">
      <c r="A514" s="397"/>
      <c r="B514" s="709">
        <v>97166</v>
      </c>
      <c r="C514" s="710" t="s">
        <v>889</v>
      </c>
      <c r="D514" s="709" t="s">
        <v>159</v>
      </c>
      <c r="E514" s="711">
        <v>0.65659999999999996</v>
      </c>
    </row>
    <row r="515" spans="1:5" x14ac:dyDescent="0.3">
      <c r="A515" s="397"/>
      <c r="B515" s="709">
        <v>97151</v>
      </c>
      <c r="C515" s="710" t="s">
        <v>890</v>
      </c>
      <c r="D515" s="709" t="s">
        <v>159</v>
      </c>
      <c r="E515" s="711">
        <v>0.63200000000000001</v>
      </c>
    </row>
    <row r="516" spans="1:5" x14ac:dyDescent="0.3">
      <c r="A516" s="397"/>
      <c r="B516" s="709">
        <v>97167</v>
      </c>
      <c r="C516" s="710" t="s">
        <v>891</v>
      </c>
      <c r="D516" s="709" t="s">
        <v>159</v>
      </c>
      <c r="E516" s="711">
        <v>0.66100000000000003</v>
      </c>
    </row>
    <row r="517" spans="1:5" x14ac:dyDescent="0.3">
      <c r="A517" s="397"/>
      <c r="B517" s="709">
        <v>97152</v>
      </c>
      <c r="C517" s="710" t="s">
        <v>892</v>
      </c>
      <c r="D517" s="709" t="s">
        <v>159</v>
      </c>
      <c r="E517" s="711">
        <v>0.6431</v>
      </c>
    </row>
    <row r="518" spans="1:5" x14ac:dyDescent="0.3">
      <c r="A518" s="397"/>
      <c r="B518" s="709">
        <v>97168</v>
      </c>
      <c r="C518" s="710" t="s">
        <v>893</v>
      </c>
      <c r="D518" s="709" t="s">
        <v>159</v>
      </c>
      <c r="E518" s="711">
        <v>0.67400000000000004</v>
      </c>
    </row>
    <row r="519" spans="1:5" x14ac:dyDescent="0.3">
      <c r="A519" s="397"/>
      <c r="B519" s="709">
        <v>97141</v>
      </c>
      <c r="C519" s="710" t="s">
        <v>894</v>
      </c>
      <c r="D519" s="709" t="s">
        <v>159</v>
      </c>
      <c r="E519" s="711">
        <v>0.61150000000000004</v>
      </c>
    </row>
    <row r="520" spans="1:5" x14ac:dyDescent="0.3">
      <c r="A520" s="397"/>
      <c r="B520" s="709">
        <v>97157</v>
      </c>
      <c r="C520" s="710" t="s">
        <v>895</v>
      </c>
      <c r="D520" s="709" t="s">
        <v>159</v>
      </c>
      <c r="E520" s="711">
        <v>0.621</v>
      </c>
    </row>
    <row r="521" spans="1:5" x14ac:dyDescent="0.3">
      <c r="A521" s="397"/>
      <c r="B521" s="709">
        <v>97153</v>
      </c>
      <c r="C521" s="710" t="s">
        <v>896</v>
      </c>
      <c r="D521" s="709" t="s">
        <v>159</v>
      </c>
      <c r="E521" s="711">
        <v>0.64810000000000001</v>
      </c>
    </row>
    <row r="522" spans="1:5" x14ac:dyDescent="0.3">
      <c r="A522" s="397"/>
      <c r="B522" s="709">
        <v>97169</v>
      </c>
      <c r="C522" s="710" t="s">
        <v>897</v>
      </c>
      <c r="D522" s="709" t="s">
        <v>159</v>
      </c>
      <c r="E522" s="711">
        <v>0.67879999999999996</v>
      </c>
    </row>
    <row r="523" spans="1:5" x14ac:dyDescent="0.3">
      <c r="A523" s="397"/>
      <c r="B523" s="709">
        <v>97154</v>
      </c>
      <c r="C523" s="710" t="s">
        <v>898</v>
      </c>
      <c r="D523" s="709" t="s">
        <v>159</v>
      </c>
      <c r="E523" s="711">
        <v>0.65110000000000001</v>
      </c>
    </row>
    <row r="524" spans="1:5" x14ac:dyDescent="0.3">
      <c r="A524" s="397"/>
      <c r="B524" s="709">
        <v>97170</v>
      </c>
      <c r="C524" s="710" t="s">
        <v>899</v>
      </c>
      <c r="D524" s="709" t="s">
        <v>159</v>
      </c>
      <c r="E524" s="711">
        <v>0.68189999999999995</v>
      </c>
    </row>
    <row r="525" spans="1:5" x14ac:dyDescent="0.3">
      <c r="A525" s="397"/>
      <c r="B525" s="709">
        <v>105311</v>
      </c>
      <c r="C525" s="710" t="s">
        <v>900</v>
      </c>
      <c r="D525" s="709" t="s">
        <v>159</v>
      </c>
      <c r="E525" s="711">
        <v>0.9173</v>
      </c>
    </row>
    <row r="526" spans="1:5" x14ac:dyDescent="0.3">
      <c r="A526" s="397"/>
      <c r="B526" s="709">
        <v>105339</v>
      </c>
      <c r="C526" s="710" t="s">
        <v>901</v>
      </c>
      <c r="D526" s="709" t="s">
        <v>159</v>
      </c>
      <c r="E526" s="711">
        <v>0.89970000000000006</v>
      </c>
    </row>
    <row r="527" spans="1:5" x14ac:dyDescent="0.3">
      <c r="A527" s="397"/>
      <c r="B527" s="709">
        <v>97127</v>
      </c>
      <c r="C527" s="710" t="s">
        <v>902</v>
      </c>
      <c r="D527" s="709" t="s">
        <v>159</v>
      </c>
      <c r="E527" s="711">
        <v>0.90059999999999996</v>
      </c>
    </row>
    <row r="528" spans="1:5" x14ac:dyDescent="0.3">
      <c r="A528" s="397"/>
      <c r="B528" s="709">
        <v>97134</v>
      </c>
      <c r="C528" s="710" t="s">
        <v>903</v>
      </c>
      <c r="D528" s="709" t="s">
        <v>159</v>
      </c>
      <c r="E528" s="711">
        <v>0.88019999999999998</v>
      </c>
    </row>
    <row r="529" spans="1:5" x14ac:dyDescent="0.3">
      <c r="A529" s="397"/>
      <c r="B529" s="709">
        <v>97128</v>
      </c>
      <c r="C529" s="710" t="s">
        <v>904</v>
      </c>
      <c r="D529" s="709" t="s">
        <v>159</v>
      </c>
      <c r="E529" s="711">
        <v>0.71650000000000003</v>
      </c>
    </row>
    <row r="530" spans="1:5" x14ac:dyDescent="0.3">
      <c r="A530" s="397"/>
      <c r="B530" s="709">
        <v>97135</v>
      </c>
      <c r="C530" s="710" t="s">
        <v>905</v>
      </c>
      <c r="D530" s="709" t="s">
        <v>159</v>
      </c>
      <c r="E530" s="711">
        <v>0.71030000000000004</v>
      </c>
    </row>
    <row r="531" spans="1:5" x14ac:dyDescent="0.3">
      <c r="A531" s="397"/>
      <c r="B531" s="709">
        <v>97129</v>
      </c>
      <c r="C531" s="710" t="s">
        <v>906</v>
      </c>
      <c r="D531" s="709" t="s">
        <v>159</v>
      </c>
      <c r="E531" s="711">
        <v>0.71530000000000005</v>
      </c>
    </row>
    <row r="532" spans="1:5" x14ac:dyDescent="0.3">
      <c r="A532" s="397"/>
      <c r="B532" s="709">
        <v>97136</v>
      </c>
      <c r="C532" s="710" t="s">
        <v>907</v>
      </c>
      <c r="D532" s="709" t="s">
        <v>159</v>
      </c>
      <c r="E532" s="711">
        <v>0.70850000000000002</v>
      </c>
    </row>
    <row r="533" spans="1:5" x14ac:dyDescent="0.3">
      <c r="A533" s="397"/>
      <c r="B533" s="709">
        <v>97130</v>
      </c>
      <c r="C533" s="710" t="s">
        <v>908</v>
      </c>
      <c r="D533" s="709" t="s">
        <v>159</v>
      </c>
      <c r="E533" s="711">
        <v>0.71350000000000002</v>
      </c>
    </row>
    <row r="534" spans="1:5" x14ac:dyDescent="0.3">
      <c r="A534" s="397"/>
      <c r="B534" s="709">
        <v>97137</v>
      </c>
      <c r="C534" s="710" t="s">
        <v>909</v>
      </c>
      <c r="D534" s="709" t="s">
        <v>159</v>
      </c>
      <c r="E534" s="711">
        <v>0.70740000000000003</v>
      </c>
    </row>
    <row r="535" spans="1:5" x14ac:dyDescent="0.3">
      <c r="A535" s="397"/>
      <c r="B535" s="709">
        <v>97131</v>
      </c>
      <c r="C535" s="710" t="s">
        <v>910</v>
      </c>
      <c r="D535" s="709" t="s">
        <v>159</v>
      </c>
      <c r="E535" s="711">
        <v>0.7127</v>
      </c>
    </row>
    <row r="536" spans="1:5" x14ac:dyDescent="0.3">
      <c r="A536" s="397"/>
      <c r="B536" s="709">
        <v>97138</v>
      </c>
      <c r="C536" s="710" t="s">
        <v>911</v>
      </c>
      <c r="D536" s="709" t="s">
        <v>159</v>
      </c>
      <c r="E536" s="711">
        <v>0.70599999999999996</v>
      </c>
    </row>
    <row r="537" spans="1:5" x14ac:dyDescent="0.3">
      <c r="A537" s="397"/>
      <c r="B537" s="709">
        <v>97132</v>
      </c>
      <c r="C537" s="710" t="s">
        <v>912</v>
      </c>
      <c r="D537" s="709" t="s">
        <v>159</v>
      </c>
      <c r="E537" s="711">
        <v>0.71240000000000003</v>
      </c>
    </row>
    <row r="538" spans="1:5" x14ac:dyDescent="0.3">
      <c r="A538" s="397"/>
      <c r="B538" s="709">
        <v>97139</v>
      </c>
      <c r="C538" s="710" t="s">
        <v>913</v>
      </c>
      <c r="D538" s="709" t="s">
        <v>159</v>
      </c>
      <c r="E538" s="711">
        <v>0.70550000000000002</v>
      </c>
    </row>
    <row r="539" spans="1:5" x14ac:dyDescent="0.3">
      <c r="A539" s="397"/>
      <c r="B539" s="709">
        <v>97133</v>
      </c>
      <c r="C539" s="710" t="s">
        <v>914</v>
      </c>
      <c r="D539" s="709" t="s">
        <v>159</v>
      </c>
      <c r="E539" s="711">
        <v>0.71089999999999998</v>
      </c>
    </row>
    <row r="540" spans="1:5" x14ac:dyDescent="0.3">
      <c r="A540" s="397"/>
      <c r="B540" s="709">
        <v>97140</v>
      </c>
      <c r="C540" s="710" t="s">
        <v>915</v>
      </c>
      <c r="D540" s="709" t="s">
        <v>159</v>
      </c>
      <c r="E540" s="711">
        <v>0.70340000000000003</v>
      </c>
    </row>
    <row r="541" spans="1:5" x14ac:dyDescent="0.3">
      <c r="A541" s="397"/>
      <c r="B541" s="709">
        <v>97123</v>
      </c>
      <c r="C541" s="710" t="s">
        <v>916</v>
      </c>
      <c r="D541" s="709" t="s">
        <v>159</v>
      </c>
      <c r="E541" s="711">
        <v>0.92310000000000003</v>
      </c>
    </row>
    <row r="542" spans="1:5" x14ac:dyDescent="0.3">
      <c r="A542" s="397"/>
      <c r="B542" s="709">
        <v>97126</v>
      </c>
      <c r="C542" s="710" t="s">
        <v>917</v>
      </c>
      <c r="D542" s="709" t="s">
        <v>159</v>
      </c>
      <c r="E542" s="711">
        <v>0.90680000000000005</v>
      </c>
    </row>
    <row r="543" spans="1:5" x14ac:dyDescent="0.3">
      <c r="A543" s="397"/>
      <c r="B543" s="709">
        <v>105308</v>
      </c>
      <c r="C543" s="710" t="s">
        <v>918</v>
      </c>
      <c r="D543" s="709" t="s">
        <v>159</v>
      </c>
      <c r="E543" s="711">
        <v>0.90159999999999996</v>
      </c>
    </row>
    <row r="544" spans="1:5" x14ac:dyDescent="0.3">
      <c r="A544" s="397"/>
      <c r="B544" s="709">
        <v>105312</v>
      </c>
      <c r="C544" s="710" t="s">
        <v>919</v>
      </c>
      <c r="D544" s="709" t="s">
        <v>159</v>
      </c>
      <c r="E544" s="711">
        <v>0.88109999999999999</v>
      </c>
    </row>
    <row r="545" spans="1:5" x14ac:dyDescent="0.3">
      <c r="A545" s="397"/>
      <c r="B545" s="709">
        <v>105309</v>
      </c>
      <c r="C545" s="710" t="s">
        <v>920</v>
      </c>
      <c r="D545" s="709" t="s">
        <v>159</v>
      </c>
      <c r="E545" s="711">
        <v>0.89570000000000005</v>
      </c>
    </row>
    <row r="546" spans="1:5" x14ac:dyDescent="0.3">
      <c r="A546" s="397"/>
      <c r="B546" s="709">
        <v>105313</v>
      </c>
      <c r="C546" s="710" t="s">
        <v>921</v>
      </c>
      <c r="D546" s="709" t="s">
        <v>159</v>
      </c>
      <c r="E546" s="711">
        <v>0.87419999999999998</v>
      </c>
    </row>
    <row r="547" spans="1:5" x14ac:dyDescent="0.3">
      <c r="A547" s="397"/>
      <c r="B547" s="709">
        <v>105310</v>
      </c>
      <c r="C547" s="710" t="s">
        <v>922</v>
      </c>
      <c r="D547" s="709" t="s">
        <v>159</v>
      </c>
      <c r="E547" s="711">
        <v>0.89380000000000004</v>
      </c>
    </row>
    <row r="548" spans="1:5" x14ac:dyDescent="0.3">
      <c r="A548" s="397"/>
      <c r="B548" s="709">
        <v>105314</v>
      </c>
      <c r="C548" s="710" t="s">
        <v>923</v>
      </c>
      <c r="D548" s="709" t="s">
        <v>159</v>
      </c>
      <c r="E548" s="711">
        <v>0.87239999999999995</v>
      </c>
    </row>
    <row r="549" spans="1:5" x14ac:dyDescent="0.3">
      <c r="A549" s="397"/>
      <c r="B549" s="709">
        <v>97121</v>
      </c>
      <c r="C549" s="710" t="s">
        <v>924</v>
      </c>
      <c r="D549" s="709" t="s">
        <v>159</v>
      </c>
      <c r="E549" s="711">
        <v>0.95079999999999998</v>
      </c>
    </row>
    <row r="550" spans="1:5" x14ac:dyDescent="0.3">
      <c r="A550" s="397"/>
      <c r="B550" s="709">
        <v>97124</v>
      </c>
      <c r="C550" s="710" t="s">
        <v>925</v>
      </c>
      <c r="D550" s="709" t="s">
        <v>159</v>
      </c>
      <c r="E550" s="711">
        <v>0.94</v>
      </c>
    </row>
    <row r="551" spans="1:5" x14ac:dyDescent="0.3">
      <c r="A551" s="397"/>
      <c r="B551" s="709">
        <v>97122</v>
      </c>
      <c r="C551" s="710" t="s">
        <v>926</v>
      </c>
      <c r="D551" s="709" t="s">
        <v>159</v>
      </c>
      <c r="E551" s="711">
        <v>0.92949999999999999</v>
      </c>
    </row>
    <row r="552" spans="1:5" x14ac:dyDescent="0.3">
      <c r="A552" s="397"/>
      <c r="B552" s="709">
        <v>97125</v>
      </c>
      <c r="C552" s="710" t="s">
        <v>927</v>
      </c>
      <c r="D552" s="709" t="s">
        <v>159</v>
      </c>
      <c r="E552" s="711">
        <v>0.91449999999999998</v>
      </c>
    </row>
    <row r="553" spans="1:5" x14ac:dyDescent="0.3">
      <c r="A553" s="397"/>
      <c r="B553" s="709">
        <v>105296</v>
      </c>
      <c r="C553" s="710" t="s">
        <v>928</v>
      </c>
      <c r="D553" s="709" t="s">
        <v>136</v>
      </c>
      <c r="E553" s="711">
        <v>0.13780000000000001</v>
      </c>
    </row>
    <row r="554" spans="1:5" x14ac:dyDescent="0.3">
      <c r="A554" s="397"/>
      <c r="B554" s="709">
        <v>105374</v>
      </c>
      <c r="C554" s="710" t="s">
        <v>929</v>
      </c>
      <c r="D554" s="709" t="s">
        <v>136</v>
      </c>
      <c r="E554" s="711">
        <v>0.1148</v>
      </c>
    </row>
    <row r="555" spans="1:5" x14ac:dyDescent="0.3">
      <c r="A555" s="397"/>
      <c r="B555" s="709">
        <v>105292</v>
      </c>
      <c r="C555" s="710" t="s">
        <v>930</v>
      </c>
      <c r="D555" s="709" t="s">
        <v>136</v>
      </c>
      <c r="E555" s="711">
        <v>0.34620000000000001</v>
      </c>
    </row>
    <row r="556" spans="1:5" x14ac:dyDescent="0.3">
      <c r="A556" s="397"/>
      <c r="B556" s="709">
        <v>105293</v>
      </c>
      <c r="C556" s="710" t="s">
        <v>931</v>
      </c>
      <c r="D556" s="709" t="s">
        <v>136</v>
      </c>
      <c r="E556" s="711">
        <v>0.30049999999999999</v>
      </c>
    </row>
    <row r="557" spans="1:5" x14ac:dyDescent="0.3">
      <c r="A557" s="397"/>
      <c r="B557" s="709">
        <v>105294</v>
      </c>
      <c r="C557" s="710" t="s">
        <v>932</v>
      </c>
      <c r="D557" s="709" t="s">
        <v>136</v>
      </c>
      <c r="E557" s="711">
        <v>0.20349999999999999</v>
      </c>
    </row>
    <row r="558" spans="1:5" x14ac:dyDescent="0.3">
      <c r="A558" s="397"/>
      <c r="B558" s="709">
        <v>105295</v>
      </c>
      <c r="C558" s="710" t="s">
        <v>933</v>
      </c>
      <c r="D558" s="709" t="s">
        <v>136</v>
      </c>
      <c r="E558" s="711">
        <v>0.17169999999999999</v>
      </c>
    </row>
    <row r="559" spans="1:5" x14ac:dyDescent="0.3">
      <c r="A559" s="397"/>
      <c r="B559" s="709">
        <v>105290</v>
      </c>
      <c r="C559" s="710" t="s">
        <v>934</v>
      </c>
      <c r="D559" s="709" t="s">
        <v>136</v>
      </c>
      <c r="E559" s="711">
        <v>0.23749999999999999</v>
      </c>
    </row>
    <row r="560" spans="1:5" x14ac:dyDescent="0.3">
      <c r="A560" s="397"/>
      <c r="B560" s="709">
        <v>105291</v>
      </c>
      <c r="C560" s="710" t="s">
        <v>935</v>
      </c>
      <c r="D560" s="709" t="s">
        <v>136</v>
      </c>
      <c r="E560" s="711">
        <v>0.20169999999999999</v>
      </c>
    </row>
    <row r="561" spans="1:5" x14ac:dyDescent="0.3">
      <c r="A561" s="397"/>
      <c r="B561" s="709">
        <v>105286</v>
      </c>
      <c r="C561" s="710" t="s">
        <v>936</v>
      </c>
      <c r="D561" s="709" t="s">
        <v>136</v>
      </c>
      <c r="E561" s="711">
        <v>0.38290000000000002</v>
      </c>
    </row>
    <row r="562" spans="1:5" x14ac:dyDescent="0.3">
      <c r="A562" s="397"/>
      <c r="B562" s="709">
        <v>105287</v>
      </c>
      <c r="C562" s="710" t="s">
        <v>937</v>
      </c>
      <c r="D562" s="709" t="s">
        <v>136</v>
      </c>
      <c r="E562" s="711">
        <v>0.3347</v>
      </c>
    </row>
    <row r="563" spans="1:5" x14ac:dyDescent="0.3">
      <c r="A563" s="397"/>
      <c r="B563" s="709">
        <v>105288</v>
      </c>
      <c r="C563" s="710" t="s">
        <v>938</v>
      </c>
      <c r="D563" s="709" t="s">
        <v>136</v>
      </c>
      <c r="E563" s="711">
        <v>0.2762</v>
      </c>
    </row>
    <row r="564" spans="1:5" x14ac:dyDescent="0.3">
      <c r="A564" s="397"/>
      <c r="B564" s="709">
        <v>105289</v>
      </c>
      <c r="C564" s="710" t="s">
        <v>939</v>
      </c>
      <c r="D564" s="709" t="s">
        <v>136</v>
      </c>
      <c r="E564" s="711">
        <v>0.2364</v>
      </c>
    </row>
    <row r="565" spans="1:5" x14ac:dyDescent="0.3">
      <c r="A565" s="397"/>
      <c r="B565" s="709">
        <v>105375</v>
      </c>
      <c r="C565" s="710" t="s">
        <v>940</v>
      </c>
      <c r="D565" s="709" t="s">
        <v>136</v>
      </c>
      <c r="E565" s="711">
        <v>0.23469999999999999</v>
      </c>
    </row>
    <row r="566" spans="1:5" x14ac:dyDescent="0.3">
      <c r="A566" s="397"/>
      <c r="B566" s="709">
        <v>105376</v>
      </c>
      <c r="C566" s="710" t="s">
        <v>941</v>
      </c>
      <c r="D566" s="709" t="s">
        <v>136</v>
      </c>
      <c r="E566" s="711">
        <v>0.19919999999999999</v>
      </c>
    </row>
    <row r="567" spans="1:5" x14ac:dyDescent="0.3">
      <c r="A567" s="397"/>
      <c r="B567" s="709">
        <v>105331</v>
      </c>
      <c r="C567" s="710" t="s">
        <v>942</v>
      </c>
      <c r="D567" s="709" t="s">
        <v>159</v>
      </c>
      <c r="E567" s="711">
        <v>6.4799999999999996E-2</v>
      </c>
    </row>
    <row r="568" spans="1:5" x14ac:dyDescent="0.3">
      <c r="A568" s="397"/>
      <c r="B568" s="709">
        <v>105332</v>
      </c>
      <c r="C568" s="710" t="s">
        <v>943</v>
      </c>
      <c r="D568" s="709" t="s">
        <v>159</v>
      </c>
      <c r="E568" s="711">
        <v>5.3100000000000001E-2</v>
      </c>
    </row>
    <row r="569" spans="1:5" x14ac:dyDescent="0.3">
      <c r="A569" s="397"/>
      <c r="B569" s="709">
        <v>105333</v>
      </c>
      <c r="C569" s="710" t="s">
        <v>944</v>
      </c>
      <c r="D569" s="709" t="s">
        <v>159</v>
      </c>
      <c r="E569" s="711">
        <v>2.9399999999999999E-2</v>
      </c>
    </row>
    <row r="570" spans="1:5" x14ac:dyDescent="0.3">
      <c r="A570" s="397"/>
      <c r="B570" s="709">
        <v>105334</v>
      </c>
      <c r="C570" s="710" t="s">
        <v>945</v>
      </c>
      <c r="D570" s="709" t="s">
        <v>159</v>
      </c>
      <c r="E570" s="711">
        <v>2.2599999999999999E-2</v>
      </c>
    </row>
    <row r="571" spans="1:5" x14ac:dyDescent="0.3">
      <c r="A571" s="397"/>
      <c r="B571" s="709">
        <v>105335</v>
      </c>
      <c r="C571" s="710" t="s">
        <v>946</v>
      </c>
      <c r="D571" s="709" t="s">
        <v>159</v>
      </c>
      <c r="E571" s="711">
        <v>2.3E-2</v>
      </c>
    </row>
    <row r="572" spans="1:5" x14ac:dyDescent="0.3">
      <c r="A572" s="397"/>
      <c r="B572" s="709">
        <v>105336</v>
      </c>
      <c r="C572" s="710" t="s">
        <v>947</v>
      </c>
      <c r="D572" s="709" t="s">
        <v>159</v>
      </c>
      <c r="E572" s="711">
        <v>1.77E-2</v>
      </c>
    </row>
    <row r="573" spans="1:5" x14ac:dyDescent="0.3">
      <c r="A573" s="397"/>
      <c r="B573" s="709">
        <v>105337</v>
      </c>
      <c r="C573" s="710" t="s">
        <v>948</v>
      </c>
      <c r="D573" s="709" t="s">
        <v>159</v>
      </c>
      <c r="E573" s="711">
        <v>1.8800000000000001E-2</v>
      </c>
    </row>
    <row r="574" spans="1:5" x14ac:dyDescent="0.3">
      <c r="A574" s="397"/>
      <c r="B574" s="709">
        <v>105338</v>
      </c>
      <c r="C574" s="710" t="s">
        <v>949</v>
      </c>
      <c r="D574" s="709" t="s">
        <v>159</v>
      </c>
      <c r="E574" s="711">
        <v>1.4500000000000001E-2</v>
      </c>
    </row>
    <row r="575" spans="1:5" x14ac:dyDescent="0.3">
      <c r="A575" s="397"/>
      <c r="B575" s="709">
        <v>106108</v>
      </c>
      <c r="C575" s="710" t="s">
        <v>950</v>
      </c>
      <c r="D575" s="709" t="s">
        <v>159</v>
      </c>
      <c r="E575" s="711">
        <v>4.9700000000000001E-2</v>
      </c>
    </row>
    <row r="576" spans="1:5" x14ac:dyDescent="0.3">
      <c r="A576" s="397"/>
      <c r="B576" s="709">
        <v>106109</v>
      </c>
      <c r="C576" s="710" t="s">
        <v>951</v>
      </c>
      <c r="D576" s="709" t="s">
        <v>159</v>
      </c>
      <c r="E576" s="711">
        <v>4.0599999999999997E-2</v>
      </c>
    </row>
    <row r="577" spans="1:5" x14ac:dyDescent="0.3">
      <c r="A577" s="397"/>
      <c r="B577" s="709">
        <v>106104</v>
      </c>
      <c r="C577" s="710" t="s">
        <v>952</v>
      </c>
      <c r="D577" s="709" t="s">
        <v>159</v>
      </c>
      <c r="E577" s="711">
        <v>0.1114</v>
      </c>
    </row>
    <row r="578" spans="1:5" x14ac:dyDescent="0.3">
      <c r="A578" s="397"/>
      <c r="B578" s="709">
        <v>106105</v>
      </c>
      <c r="C578" s="710" t="s">
        <v>953</v>
      </c>
      <c r="D578" s="709" t="s">
        <v>159</v>
      </c>
      <c r="E578" s="711">
        <v>9.2200000000000004E-2</v>
      </c>
    </row>
    <row r="579" spans="1:5" x14ac:dyDescent="0.3">
      <c r="A579" s="397"/>
      <c r="B579" s="709">
        <v>106106</v>
      </c>
      <c r="C579" s="710" t="s">
        <v>954</v>
      </c>
      <c r="D579" s="709" t="s">
        <v>159</v>
      </c>
      <c r="E579" s="711">
        <v>7.0199999999999999E-2</v>
      </c>
    </row>
    <row r="580" spans="1:5" x14ac:dyDescent="0.3">
      <c r="A580" s="397"/>
      <c r="B580" s="709">
        <v>106107</v>
      </c>
      <c r="C580" s="710" t="s">
        <v>955</v>
      </c>
      <c r="D580" s="709" t="s">
        <v>159</v>
      </c>
      <c r="E580" s="711">
        <v>5.7700000000000001E-2</v>
      </c>
    </row>
    <row r="581" spans="1:5" x14ac:dyDescent="0.3">
      <c r="A581" s="397"/>
      <c r="B581" s="709">
        <v>105377</v>
      </c>
      <c r="C581" s="710" t="s">
        <v>956</v>
      </c>
      <c r="D581" s="709" t="s">
        <v>136</v>
      </c>
      <c r="E581" s="711">
        <v>0.18990000000000001</v>
      </c>
    </row>
    <row r="582" spans="1:5" x14ac:dyDescent="0.3">
      <c r="A582" s="397"/>
      <c r="B582" s="709">
        <v>105368</v>
      </c>
      <c r="C582" s="710" t="s">
        <v>957</v>
      </c>
      <c r="D582" s="709" t="s">
        <v>136</v>
      </c>
      <c r="E582" s="711">
        <v>0.15870000000000001</v>
      </c>
    </row>
    <row r="583" spans="1:5" x14ac:dyDescent="0.3">
      <c r="A583" s="397"/>
      <c r="B583" s="709">
        <v>105369</v>
      </c>
      <c r="C583" s="710" t="s">
        <v>958</v>
      </c>
      <c r="D583" s="709" t="s">
        <v>136</v>
      </c>
      <c r="E583" s="711">
        <v>0.1603</v>
      </c>
    </row>
    <row r="584" spans="1:5" x14ac:dyDescent="0.3">
      <c r="A584" s="397"/>
      <c r="B584" s="709">
        <v>105370</v>
      </c>
      <c r="C584" s="710" t="s">
        <v>959</v>
      </c>
      <c r="D584" s="709" t="s">
        <v>136</v>
      </c>
      <c r="E584" s="711">
        <v>0.13239999999999999</v>
      </c>
    </row>
    <row r="585" spans="1:5" x14ac:dyDescent="0.3">
      <c r="A585" s="397"/>
      <c r="B585" s="709">
        <v>92864</v>
      </c>
      <c r="C585" s="710" t="s">
        <v>960</v>
      </c>
      <c r="D585" s="709" t="s">
        <v>159</v>
      </c>
      <c r="E585" s="711">
        <v>0.36299999999999999</v>
      </c>
    </row>
    <row r="586" spans="1:5" x14ac:dyDescent="0.3">
      <c r="A586" s="397"/>
      <c r="B586" s="709">
        <v>92848</v>
      </c>
      <c r="C586" s="710" t="s">
        <v>961</v>
      </c>
      <c r="D586" s="709" t="s">
        <v>159</v>
      </c>
      <c r="E586" s="711">
        <v>0.33450000000000002</v>
      </c>
    </row>
    <row r="587" spans="1:5" x14ac:dyDescent="0.3">
      <c r="A587" s="397"/>
      <c r="B587" s="709">
        <v>92850</v>
      </c>
      <c r="C587" s="710" t="s">
        <v>966</v>
      </c>
      <c r="D587" s="709" t="s">
        <v>159</v>
      </c>
      <c r="E587" s="711">
        <v>0.36709999999999998</v>
      </c>
    </row>
    <row r="588" spans="1:5" x14ac:dyDescent="0.3">
      <c r="A588" s="397"/>
      <c r="B588" s="709">
        <v>92834</v>
      </c>
      <c r="C588" s="710" t="s">
        <v>967</v>
      </c>
      <c r="D588" s="709" t="s">
        <v>159</v>
      </c>
      <c r="E588" s="711">
        <v>0.33889999999999998</v>
      </c>
    </row>
    <row r="589" spans="1:5" x14ac:dyDescent="0.3">
      <c r="A589" s="397"/>
      <c r="B589" s="709">
        <v>92852</v>
      </c>
      <c r="C589" s="710" t="s">
        <v>968</v>
      </c>
      <c r="D589" s="709" t="s">
        <v>159</v>
      </c>
      <c r="E589" s="711">
        <v>0.39140000000000003</v>
      </c>
    </row>
    <row r="590" spans="1:5" x14ac:dyDescent="0.3">
      <c r="A590" s="397"/>
      <c r="B590" s="709">
        <v>92836</v>
      </c>
      <c r="C590" s="710" t="s">
        <v>969</v>
      </c>
      <c r="D590" s="709" t="s">
        <v>159</v>
      </c>
      <c r="E590" s="711">
        <v>0.36409999999999998</v>
      </c>
    </row>
    <row r="591" spans="1:5" x14ac:dyDescent="0.3">
      <c r="A591" s="397"/>
      <c r="B591" s="709">
        <v>92854</v>
      </c>
      <c r="C591" s="710" t="s">
        <v>970</v>
      </c>
      <c r="D591" s="709" t="s">
        <v>159</v>
      </c>
      <c r="E591" s="711">
        <v>0.4027</v>
      </c>
    </row>
    <row r="592" spans="1:5" x14ac:dyDescent="0.3">
      <c r="A592" s="397"/>
      <c r="B592" s="709">
        <v>92838</v>
      </c>
      <c r="C592" s="710" t="s">
        <v>971</v>
      </c>
      <c r="D592" s="709" t="s">
        <v>159</v>
      </c>
      <c r="E592" s="711">
        <v>0.37590000000000001</v>
      </c>
    </row>
    <row r="593" spans="1:5" x14ac:dyDescent="0.3">
      <c r="A593" s="397"/>
      <c r="B593" s="709">
        <v>92856</v>
      </c>
      <c r="C593" s="710" t="s">
        <v>972</v>
      </c>
      <c r="D593" s="709" t="s">
        <v>159</v>
      </c>
      <c r="E593" s="711">
        <v>0.40699999999999997</v>
      </c>
    </row>
    <row r="594" spans="1:5" x14ac:dyDescent="0.3">
      <c r="A594" s="397"/>
      <c r="B594" s="709">
        <v>92840</v>
      </c>
      <c r="C594" s="710" t="s">
        <v>973</v>
      </c>
      <c r="D594" s="709" t="s">
        <v>159</v>
      </c>
      <c r="E594" s="711">
        <v>0.38100000000000001</v>
      </c>
    </row>
    <row r="595" spans="1:5" x14ac:dyDescent="0.3">
      <c r="A595" s="397"/>
      <c r="B595" s="709">
        <v>92858</v>
      </c>
      <c r="C595" s="710" t="s">
        <v>974</v>
      </c>
      <c r="D595" s="709" t="s">
        <v>159</v>
      </c>
      <c r="E595" s="711">
        <v>0.38950000000000001</v>
      </c>
    </row>
    <row r="596" spans="1:5" x14ac:dyDescent="0.3">
      <c r="A596" s="397"/>
      <c r="B596" s="709">
        <v>92842</v>
      </c>
      <c r="C596" s="710" t="s">
        <v>975</v>
      </c>
      <c r="D596" s="709" t="s">
        <v>159</v>
      </c>
      <c r="E596" s="711">
        <v>0.36220000000000002</v>
      </c>
    </row>
    <row r="597" spans="1:5" x14ac:dyDescent="0.3">
      <c r="A597" s="397"/>
      <c r="B597" s="709">
        <v>92860</v>
      </c>
      <c r="C597" s="710" t="s">
        <v>976</v>
      </c>
      <c r="D597" s="709" t="s">
        <v>159</v>
      </c>
      <c r="E597" s="711">
        <v>0.38140000000000002</v>
      </c>
    </row>
    <row r="598" spans="1:5" x14ac:dyDescent="0.3">
      <c r="A598" s="397"/>
      <c r="B598" s="709">
        <v>92844</v>
      </c>
      <c r="C598" s="710" t="s">
        <v>977</v>
      </c>
      <c r="D598" s="709" t="s">
        <v>159</v>
      </c>
      <c r="E598" s="711">
        <v>0.35370000000000001</v>
      </c>
    </row>
    <row r="599" spans="1:5" x14ac:dyDescent="0.3">
      <c r="A599" s="397"/>
      <c r="B599" s="709">
        <v>92862</v>
      </c>
      <c r="C599" s="710" t="s">
        <v>978</v>
      </c>
      <c r="D599" s="709" t="s">
        <v>159</v>
      </c>
      <c r="E599" s="711">
        <v>0.3785</v>
      </c>
    </row>
    <row r="600" spans="1:5" x14ac:dyDescent="0.3">
      <c r="A600" s="397"/>
      <c r="B600" s="709">
        <v>92846</v>
      </c>
      <c r="C600" s="710" t="s">
        <v>979</v>
      </c>
      <c r="D600" s="709" t="s">
        <v>159</v>
      </c>
      <c r="E600" s="711">
        <v>0.35070000000000001</v>
      </c>
    </row>
    <row r="601" spans="1:5" x14ac:dyDescent="0.3">
      <c r="A601" s="397"/>
      <c r="B601" s="709">
        <v>92828</v>
      </c>
      <c r="C601" s="710" t="s">
        <v>980</v>
      </c>
      <c r="D601" s="709" t="s">
        <v>159</v>
      </c>
      <c r="E601" s="711">
        <v>0.55900000000000005</v>
      </c>
    </row>
    <row r="602" spans="1:5" x14ac:dyDescent="0.3">
      <c r="A602" s="397"/>
      <c r="B602" s="709">
        <v>92815</v>
      </c>
      <c r="C602" s="710" t="s">
        <v>981</v>
      </c>
      <c r="D602" s="709" t="s">
        <v>159</v>
      </c>
      <c r="E602" s="711">
        <v>0.55649999999999999</v>
      </c>
    </row>
    <row r="603" spans="1:5" x14ac:dyDescent="0.3">
      <c r="A603" s="397"/>
      <c r="B603" s="709">
        <v>92830</v>
      </c>
      <c r="C603" s="710" t="s">
        <v>982</v>
      </c>
      <c r="D603" s="709" t="s">
        <v>159</v>
      </c>
      <c r="E603" s="711">
        <v>0.55389999999999995</v>
      </c>
    </row>
    <row r="604" spans="1:5" x14ac:dyDescent="0.3">
      <c r="A604" s="397"/>
      <c r="B604" s="709">
        <v>92817</v>
      </c>
      <c r="C604" s="710" t="s">
        <v>983</v>
      </c>
      <c r="D604" s="709" t="s">
        <v>159</v>
      </c>
      <c r="E604" s="711">
        <v>0.55079999999999996</v>
      </c>
    </row>
    <row r="605" spans="1:5" x14ac:dyDescent="0.3">
      <c r="A605" s="397"/>
      <c r="B605" s="709">
        <v>92832</v>
      </c>
      <c r="C605" s="710" t="s">
        <v>984</v>
      </c>
      <c r="D605" s="709" t="s">
        <v>159</v>
      </c>
      <c r="E605" s="711">
        <v>0.54649999999999999</v>
      </c>
    </row>
    <row r="606" spans="1:5" x14ac:dyDescent="0.3">
      <c r="A606" s="397"/>
      <c r="B606" s="709">
        <v>92819</v>
      </c>
      <c r="C606" s="710" t="s">
        <v>985</v>
      </c>
      <c r="D606" s="709" t="s">
        <v>159</v>
      </c>
      <c r="E606" s="711">
        <v>0.54290000000000005</v>
      </c>
    </row>
    <row r="607" spans="1:5" x14ac:dyDescent="0.3">
      <c r="A607" s="397"/>
      <c r="B607" s="709">
        <v>92820</v>
      </c>
      <c r="C607" s="710" t="s">
        <v>986</v>
      </c>
      <c r="D607" s="709" t="s">
        <v>159</v>
      </c>
      <c r="E607" s="711">
        <v>0.58020000000000005</v>
      </c>
    </row>
    <row r="608" spans="1:5" x14ac:dyDescent="0.3">
      <c r="A608" s="397"/>
      <c r="B608" s="709">
        <v>92808</v>
      </c>
      <c r="C608" s="710" t="s">
        <v>987</v>
      </c>
      <c r="D608" s="709" t="s">
        <v>159</v>
      </c>
      <c r="E608" s="711">
        <v>0.57950000000000002</v>
      </c>
    </row>
    <row r="609" spans="1:5" x14ac:dyDescent="0.3">
      <c r="A609" s="397"/>
      <c r="B609" s="709">
        <v>92821</v>
      </c>
      <c r="C609" s="710" t="s">
        <v>988</v>
      </c>
      <c r="D609" s="709" t="s">
        <v>159</v>
      </c>
      <c r="E609" s="711">
        <v>0.57679999999999998</v>
      </c>
    </row>
    <row r="610" spans="1:5" x14ac:dyDescent="0.3">
      <c r="A610" s="397"/>
      <c r="B610" s="709">
        <v>92809</v>
      </c>
      <c r="C610" s="710" t="s">
        <v>989</v>
      </c>
      <c r="D610" s="709" t="s">
        <v>159</v>
      </c>
      <c r="E610" s="711">
        <v>0.57609999999999995</v>
      </c>
    </row>
    <row r="611" spans="1:5" x14ac:dyDescent="0.3">
      <c r="A611" s="397"/>
      <c r="B611" s="709">
        <v>92822</v>
      </c>
      <c r="C611" s="710" t="s">
        <v>990</v>
      </c>
      <c r="D611" s="709" t="s">
        <v>159</v>
      </c>
      <c r="E611" s="711">
        <v>0.5736</v>
      </c>
    </row>
    <row r="612" spans="1:5" x14ac:dyDescent="0.3">
      <c r="A612" s="397"/>
      <c r="B612" s="709">
        <v>92810</v>
      </c>
      <c r="C612" s="710" t="s">
        <v>991</v>
      </c>
      <c r="D612" s="709" t="s">
        <v>159</v>
      </c>
      <c r="E612" s="711">
        <v>0.57220000000000004</v>
      </c>
    </row>
    <row r="613" spans="1:5" x14ac:dyDescent="0.3">
      <c r="A613" s="397"/>
      <c r="B613" s="709">
        <v>92824</v>
      </c>
      <c r="C613" s="710" t="s">
        <v>992</v>
      </c>
      <c r="D613" s="709" t="s">
        <v>159</v>
      </c>
      <c r="E613" s="711">
        <v>0.5706</v>
      </c>
    </row>
    <row r="614" spans="1:5" x14ac:dyDescent="0.3">
      <c r="A614" s="397"/>
      <c r="B614" s="709">
        <v>92811</v>
      </c>
      <c r="C614" s="710" t="s">
        <v>993</v>
      </c>
      <c r="D614" s="709" t="s">
        <v>159</v>
      </c>
      <c r="E614" s="711">
        <v>0.56889999999999996</v>
      </c>
    </row>
    <row r="615" spans="1:5" x14ac:dyDescent="0.3">
      <c r="A615" s="397"/>
      <c r="B615" s="709">
        <v>92825</v>
      </c>
      <c r="C615" s="710" t="s">
        <v>994</v>
      </c>
      <c r="D615" s="709" t="s">
        <v>159</v>
      </c>
      <c r="E615" s="711">
        <v>0.56769999999999998</v>
      </c>
    </row>
    <row r="616" spans="1:5" x14ac:dyDescent="0.3">
      <c r="A616" s="397"/>
      <c r="B616" s="709">
        <v>92812</v>
      </c>
      <c r="C616" s="710" t="s">
        <v>995</v>
      </c>
      <c r="D616" s="709" t="s">
        <v>159</v>
      </c>
      <c r="E616" s="711">
        <v>0.56589999999999996</v>
      </c>
    </row>
    <row r="617" spans="1:5" x14ac:dyDescent="0.3">
      <c r="A617" s="397"/>
      <c r="B617" s="709">
        <v>92826</v>
      </c>
      <c r="C617" s="710" t="s">
        <v>996</v>
      </c>
      <c r="D617" s="709" t="s">
        <v>159</v>
      </c>
      <c r="E617" s="711">
        <v>0.56459999999999999</v>
      </c>
    </row>
    <row r="618" spans="1:5" x14ac:dyDescent="0.3">
      <c r="A618" s="397"/>
      <c r="B618" s="709">
        <v>92813</v>
      </c>
      <c r="C618" s="710" t="s">
        <v>997</v>
      </c>
      <c r="D618" s="709" t="s">
        <v>159</v>
      </c>
      <c r="E618" s="711">
        <v>0.56240000000000001</v>
      </c>
    </row>
    <row r="619" spans="1:5" x14ac:dyDescent="0.3">
      <c r="A619" s="397"/>
      <c r="B619" s="709">
        <v>92827</v>
      </c>
      <c r="C619" s="710" t="s">
        <v>998</v>
      </c>
      <c r="D619" s="709" t="s">
        <v>159</v>
      </c>
      <c r="E619" s="711">
        <v>0.56159999999999999</v>
      </c>
    </row>
    <row r="620" spans="1:5" x14ac:dyDescent="0.3">
      <c r="A620" s="397"/>
      <c r="B620" s="709">
        <v>92814</v>
      </c>
      <c r="C620" s="710" t="s">
        <v>999</v>
      </c>
      <c r="D620" s="709" t="s">
        <v>159</v>
      </c>
      <c r="E620" s="711">
        <v>0.5595</v>
      </c>
    </row>
    <row r="621" spans="1:5" x14ac:dyDescent="0.3">
      <c r="A621" s="397"/>
      <c r="B621" s="709">
        <v>95570</v>
      </c>
      <c r="C621" s="710" t="s">
        <v>1000</v>
      </c>
      <c r="D621" s="709" t="s">
        <v>159</v>
      </c>
      <c r="E621" s="711">
        <v>0.16980000000000001</v>
      </c>
    </row>
    <row r="622" spans="1:5" x14ac:dyDescent="0.3">
      <c r="A622" s="397"/>
      <c r="B622" s="709">
        <v>95567</v>
      </c>
      <c r="C622" s="710" t="s">
        <v>1001</v>
      </c>
      <c r="D622" s="709" t="s">
        <v>159</v>
      </c>
      <c r="E622" s="711">
        <v>0.1585</v>
      </c>
    </row>
    <row r="623" spans="1:5" x14ac:dyDescent="0.3">
      <c r="A623" s="397"/>
      <c r="B623" s="709">
        <v>95571</v>
      </c>
      <c r="C623" s="710" t="s">
        <v>1002</v>
      </c>
      <c r="D623" s="709" t="s">
        <v>159</v>
      </c>
      <c r="E623" s="711">
        <v>0.18959999999999999</v>
      </c>
    </row>
    <row r="624" spans="1:5" x14ac:dyDescent="0.3">
      <c r="A624" s="397"/>
      <c r="B624" s="709">
        <v>95568</v>
      </c>
      <c r="C624" s="710" t="s">
        <v>1003</v>
      </c>
      <c r="D624" s="709" t="s">
        <v>159</v>
      </c>
      <c r="E624" s="711">
        <v>0.1774</v>
      </c>
    </row>
    <row r="625" spans="1:5" x14ac:dyDescent="0.3">
      <c r="A625" s="397"/>
      <c r="B625" s="709">
        <v>95572</v>
      </c>
      <c r="C625" s="710" t="s">
        <v>1004</v>
      </c>
      <c r="D625" s="709" t="s">
        <v>159</v>
      </c>
      <c r="E625" s="711">
        <v>0.17150000000000001</v>
      </c>
    </row>
    <row r="626" spans="1:5" x14ac:dyDescent="0.3">
      <c r="A626" s="397"/>
      <c r="B626" s="709">
        <v>95569</v>
      </c>
      <c r="C626" s="710" t="s">
        <v>1005</v>
      </c>
      <c r="D626" s="709" t="s">
        <v>159</v>
      </c>
      <c r="E626" s="711">
        <v>0.15970000000000001</v>
      </c>
    </row>
    <row r="627" spans="1:5" x14ac:dyDescent="0.3">
      <c r="A627" s="397"/>
      <c r="B627" s="709">
        <v>92863</v>
      </c>
      <c r="C627" s="710" t="s">
        <v>1006</v>
      </c>
      <c r="D627" s="709" t="s">
        <v>159</v>
      </c>
      <c r="E627" s="711">
        <v>2.69E-2</v>
      </c>
    </row>
    <row r="628" spans="1:5" x14ac:dyDescent="0.3">
      <c r="A628" s="397"/>
      <c r="B628" s="709">
        <v>92847</v>
      </c>
      <c r="C628" s="710" t="s">
        <v>1007</v>
      </c>
      <c r="D628" s="709" t="s">
        <v>159</v>
      </c>
      <c r="E628" s="711">
        <v>2.2200000000000001E-2</v>
      </c>
    </row>
    <row r="629" spans="1:5" x14ac:dyDescent="0.3">
      <c r="A629" s="397"/>
      <c r="B629" s="709">
        <v>92849</v>
      </c>
      <c r="C629" s="710" t="s">
        <v>1012</v>
      </c>
      <c r="D629" s="709" t="s">
        <v>159</v>
      </c>
      <c r="E629" s="711">
        <v>3.1800000000000002E-2</v>
      </c>
    </row>
    <row r="630" spans="1:5" x14ac:dyDescent="0.3">
      <c r="A630" s="397"/>
      <c r="B630" s="709">
        <v>92833</v>
      </c>
      <c r="C630" s="710" t="s">
        <v>1013</v>
      </c>
      <c r="D630" s="709" t="s">
        <v>159</v>
      </c>
      <c r="E630" s="711">
        <v>2.6200000000000001E-2</v>
      </c>
    </row>
    <row r="631" spans="1:5" x14ac:dyDescent="0.3">
      <c r="A631" s="397"/>
      <c r="B631" s="709">
        <v>92851</v>
      </c>
      <c r="C631" s="710" t="s">
        <v>1014</v>
      </c>
      <c r="D631" s="709" t="s">
        <v>159</v>
      </c>
      <c r="E631" s="711">
        <v>4.3099999999999999E-2</v>
      </c>
    </row>
    <row r="632" spans="1:5" x14ac:dyDescent="0.3">
      <c r="A632" s="397"/>
      <c r="B632" s="709">
        <v>92835</v>
      </c>
      <c r="C632" s="710" t="s">
        <v>1015</v>
      </c>
      <c r="D632" s="709" t="s">
        <v>159</v>
      </c>
      <c r="E632" s="711">
        <v>3.5700000000000003E-2</v>
      </c>
    </row>
    <row r="633" spans="1:5" x14ac:dyDescent="0.3">
      <c r="A633" s="397"/>
      <c r="B633" s="709">
        <v>92853</v>
      </c>
      <c r="C633" s="710" t="s">
        <v>1016</v>
      </c>
      <c r="D633" s="709" t="s">
        <v>159</v>
      </c>
      <c r="E633" s="711">
        <v>3.1399999999999997E-2</v>
      </c>
    </row>
    <row r="634" spans="1:5" x14ac:dyDescent="0.3">
      <c r="A634" s="397"/>
      <c r="B634" s="709">
        <v>92837</v>
      </c>
      <c r="C634" s="710" t="s">
        <v>1017</v>
      </c>
      <c r="D634" s="709" t="s">
        <v>159</v>
      </c>
      <c r="E634" s="711">
        <v>2.5899999999999999E-2</v>
      </c>
    </row>
    <row r="635" spans="1:5" x14ac:dyDescent="0.3">
      <c r="A635" s="397"/>
      <c r="B635" s="709">
        <v>92855</v>
      </c>
      <c r="C635" s="710" t="s">
        <v>1018</v>
      </c>
      <c r="D635" s="709" t="s">
        <v>159</v>
      </c>
      <c r="E635" s="711">
        <v>3.15E-2</v>
      </c>
    </row>
    <row r="636" spans="1:5" x14ac:dyDescent="0.3">
      <c r="A636" s="397"/>
      <c r="B636" s="709">
        <v>92839</v>
      </c>
      <c r="C636" s="710" t="s">
        <v>1019</v>
      </c>
      <c r="D636" s="709" t="s">
        <v>159</v>
      </c>
      <c r="E636" s="711">
        <v>2.5999999999999999E-2</v>
      </c>
    </row>
    <row r="637" spans="1:5" x14ac:dyDescent="0.3">
      <c r="A637" s="397"/>
      <c r="B637" s="709">
        <v>92857</v>
      </c>
      <c r="C637" s="710" t="s">
        <v>1020</v>
      </c>
      <c r="D637" s="709" t="s">
        <v>159</v>
      </c>
      <c r="E637" s="711">
        <v>2.8799999999999999E-2</v>
      </c>
    </row>
    <row r="638" spans="1:5" x14ac:dyDescent="0.3">
      <c r="A638" s="397"/>
      <c r="B638" s="709">
        <v>92841</v>
      </c>
      <c r="C638" s="710" t="s">
        <v>1021</v>
      </c>
      <c r="D638" s="709" t="s">
        <v>159</v>
      </c>
      <c r="E638" s="711">
        <v>2.3699999999999999E-2</v>
      </c>
    </row>
    <row r="639" spans="1:5" x14ac:dyDescent="0.3">
      <c r="A639" s="397"/>
      <c r="B639" s="709">
        <v>92859</v>
      </c>
      <c r="C639" s="710" t="s">
        <v>1022</v>
      </c>
      <c r="D639" s="709" t="s">
        <v>159</v>
      </c>
      <c r="E639" s="711">
        <v>3.2199999999999999E-2</v>
      </c>
    </row>
    <row r="640" spans="1:5" x14ac:dyDescent="0.3">
      <c r="A640" s="397"/>
      <c r="B640" s="709">
        <v>92843</v>
      </c>
      <c r="C640" s="710" t="s">
        <v>1023</v>
      </c>
      <c r="D640" s="709" t="s">
        <v>159</v>
      </c>
      <c r="E640" s="711">
        <v>2.6599999999999999E-2</v>
      </c>
    </row>
    <row r="641" spans="1:5" x14ac:dyDescent="0.3">
      <c r="A641" s="397"/>
      <c r="B641" s="709">
        <v>92861</v>
      </c>
      <c r="C641" s="710" t="s">
        <v>1024</v>
      </c>
      <c r="D641" s="709" t="s">
        <v>159</v>
      </c>
      <c r="E641" s="711">
        <v>2.46E-2</v>
      </c>
    </row>
    <row r="642" spans="1:5" x14ac:dyDescent="0.3">
      <c r="A642" s="397"/>
      <c r="B642" s="709">
        <v>92845</v>
      </c>
      <c r="C642" s="710" t="s">
        <v>1025</v>
      </c>
      <c r="D642" s="709" t="s">
        <v>159</v>
      </c>
      <c r="E642" s="711">
        <v>2.0299999999999999E-2</v>
      </c>
    </row>
    <row r="643" spans="1:5" x14ac:dyDescent="0.3">
      <c r="A643" s="397"/>
      <c r="B643" s="709">
        <v>92226</v>
      </c>
      <c r="C643" s="710" t="s">
        <v>1026</v>
      </c>
      <c r="D643" s="709" t="s">
        <v>159</v>
      </c>
      <c r="E643" s="711">
        <v>9.4899999999999998E-2</v>
      </c>
    </row>
    <row r="644" spans="1:5" x14ac:dyDescent="0.3">
      <c r="A644" s="397"/>
      <c r="B644" s="709">
        <v>92216</v>
      </c>
      <c r="C644" s="710" t="s">
        <v>1027</v>
      </c>
      <c r="D644" s="709" t="s">
        <v>159</v>
      </c>
      <c r="E644" s="711">
        <v>8.7300000000000003E-2</v>
      </c>
    </row>
    <row r="645" spans="1:5" x14ac:dyDescent="0.3">
      <c r="A645" s="397"/>
      <c r="B645" s="709">
        <v>92829</v>
      </c>
      <c r="C645" s="710" t="s">
        <v>1028</v>
      </c>
      <c r="D645" s="709" t="s">
        <v>159</v>
      </c>
      <c r="E645" s="711">
        <v>8.0399999999999999E-2</v>
      </c>
    </row>
    <row r="646" spans="1:5" x14ac:dyDescent="0.3">
      <c r="A646" s="397"/>
      <c r="B646" s="709">
        <v>92816</v>
      </c>
      <c r="C646" s="710" t="s">
        <v>1029</v>
      </c>
      <c r="D646" s="709" t="s">
        <v>159</v>
      </c>
      <c r="E646" s="711">
        <v>7.3899999999999993E-2</v>
      </c>
    </row>
    <row r="647" spans="1:5" x14ac:dyDescent="0.3">
      <c r="A647" s="397"/>
      <c r="B647" s="709">
        <v>92831</v>
      </c>
      <c r="C647" s="710" t="s">
        <v>1030</v>
      </c>
      <c r="D647" s="709" t="s">
        <v>159</v>
      </c>
      <c r="E647" s="711">
        <v>7.2700000000000001E-2</v>
      </c>
    </row>
    <row r="648" spans="1:5" x14ac:dyDescent="0.3">
      <c r="A648" s="397"/>
      <c r="B648" s="709">
        <v>92818</v>
      </c>
      <c r="C648" s="710" t="s">
        <v>1031</v>
      </c>
      <c r="D648" s="709" t="s">
        <v>159</v>
      </c>
      <c r="E648" s="711">
        <v>6.6900000000000001E-2</v>
      </c>
    </row>
    <row r="649" spans="1:5" x14ac:dyDescent="0.3">
      <c r="A649" s="397"/>
      <c r="B649" s="709">
        <v>95566</v>
      </c>
      <c r="C649" s="710" t="s">
        <v>1032</v>
      </c>
      <c r="D649" s="709" t="s">
        <v>159</v>
      </c>
      <c r="E649" s="711">
        <v>0.1026</v>
      </c>
    </row>
    <row r="650" spans="1:5" x14ac:dyDescent="0.3">
      <c r="A650" s="397"/>
      <c r="B650" s="709">
        <v>95565</v>
      </c>
      <c r="C650" s="710" t="s">
        <v>1033</v>
      </c>
      <c r="D650" s="709" t="s">
        <v>159</v>
      </c>
      <c r="E650" s="711">
        <v>9.4799999999999995E-2</v>
      </c>
    </row>
    <row r="651" spans="1:5" x14ac:dyDescent="0.3">
      <c r="A651" s="397"/>
      <c r="B651" s="709">
        <v>92219</v>
      </c>
      <c r="C651" s="710" t="s">
        <v>1034</v>
      </c>
      <c r="D651" s="709" t="s">
        <v>159</v>
      </c>
      <c r="E651" s="711">
        <v>0.12130000000000001</v>
      </c>
    </row>
    <row r="652" spans="1:5" x14ac:dyDescent="0.3">
      <c r="A652" s="397"/>
      <c r="B652" s="709">
        <v>92210</v>
      </c>
      <c r="C652" s="710" t="s">
        <v>1035</v>
      </c>
      <c r="D652" s="709" t="s">
        <v>159</v>
      </c>
      <c r="E652" s="711">
        <v>0.11219999999999999</v>
      </c>
    </row>
    <row r="653" spans="1:5" x14ac:dyDescent="0.3">
      <c r="A653" s="397"/>
      <c r="B653" s="709">
        <v>92220</v>
      </c>
      <c r="C653" s="710" t="s">
        <v>1036</v>
      </c>
      <c r="D653" s="709" t="s">
        <v>159</v>
      </c>
      <c r="E653" s="711">
        <v>0.12859999999999999</v>
      </c>
    </row>
    <row r="654" spans="1:5" x14ac:dyDescent="0.3">
      <c r="A654" s="397"/>
      <c r="B654" s="709">
        <v>92211</v>
      </c>
      <c r="C654" s="710" t="s">
        <v>1037</v>
      </c>
      <c r="D654" s="709" t="s">
        <v>159</v>
      </c>
      <c r="E654" s="711">
        <v>0.1188</v>
      </c>
    </row>
    <row r="655" spans="1:5" x14ac:dyDescent="0.3">
      <c r="A655" s="397"/>
      <c r="B655" s="709">
        <v>92221</v>
      </c>
      <c r="C655" s="710" t="s">
        <v>1038</v>
      </c>
      <c r="D655" s="709" t="s">
        <v>159</v>
      </c>
      <c r="E655" s="711">
        <v>0.10290000000000001</v>
      </c>
    </row>
    <row r="656" spans="1:5" x14ac:dyDescent="0.3">
      <c r="A656" s="397"/>
      <c r="B656" s="709">
        <v>92212</v>
      </c>
      <c r="C656" s="710" t="s">
        <v>1039</v>
      </c>
      <c r="D656" s="709" t="s">
        <v>159</v>
      </c>
      <c r="E656" s="711">
        <v>9.4700000000000006E-2</v>
      </c>
    </row>
    <row r="657" spans="1:5" x14ac:dyDescent="0.3">
      <c r="A657" s="397"/>
      <c r="B657" s="709">
        <v>92222</v>
      </c>
      <c r="C657" s="710" t="s">
        <v>1040</v>
      </c>
      <c r="D657" s="709" t="s">
        <v>159</v>
      </c>
      <c r="E657" s="711">
        <v>9.1800000000000007E-2</v>
      </c>
    </row>
    <row r="658" spans="1:5" x14ac:dyDescent="0.3">
      <c r="A658" s="397"/>
      <c r="B658" s="709">
        <v>92213</v>
      </c>
      <c r="C658" s="710" t="s">
        <v>1041</v>
      </c>
      <c r="D658" s="709" t="s">
        <v>159</v>
      </c>
      <c r="E658" s="711">
        <v>8.4400000000000003E-2</v>
      </c>
    </row>
    <row r="659" spans="1:5" x14ac:dyDescent="0.3">
      <c r="A659" s="397"/>
      <c r="B659" s="709">
        <v>92223</v>
      </c>
      <c r="C659" s="710" t="s">
        <v>1042</v>
      </c>
      <c r="D659" s="709" t="s">
        <v>159</v>
      </c>
      <c r="E659" s="711">
        <v>8.7900000000000006E-2</v>
      </c>
    </row>
    <row r="660" spans="1:5" x14ac:dyDescent="0.3">
      <c r="A660" s="397"/>
      <c r="B660" s="709">
        <v>92214</v>
      </c>
      <c r="C660" s="710" t="s">
        <v>1043</v>
      </c>
      <c r="D660" s="709" t="s">
        <v>159</v>
      </c>
      <c r="E660" s="711">
        <v>8.0799999999999997E-2</v>
      </c>
    </row>
    <row r="661" spans="1:5" x14ac:dyDescent="0.3">
      <c r="A661" s="397"/>
      <c r="B661" s="709">
        <v>92224</v>
      </c>
      <c r="C661" s="710" t="s">
        <v>1044</v>
      </c>
      <c r="D661" s="709" t="s">
        <v>159</v>
      </c>
      <c r="E661" s="711">
        <v>8.7400000000000005E-2</v>
      </c>
    </row>
    <row r="662" spans="1:5" x14ac:dyDescent="0.3">
      <c r="A662" s="397"/>
      <c r="B662" s="709">
        <v>92215</v>
      </c>
      <c r="C662" s="710" t="s">
        <v>1045</v>
      </c>
      <c r="D662" s="709" t="s">
        <v>159</v>
      </c>
      <c r="E662" s="711">
        <v>8.0299999999999996E-2</v>
      </c>
    </row>
    <row r="663" spans="1:5" x14ac:dyDescent="0.3">
      <c r="A663" s="397"/>
      <c r="B663" s="709">
        <v>94342</v>
      </c>
      <c r="C663" s="710" t="s">
        <v>1046</v>
      </c>
      <c r="D663" s="709" t="s">
        <v>170</v>
      </c>
      <c r="E663" s="711">
        <v>0.27360000000000001</v>
      </c>
    </row>
    <row r="664" spans="1:5" x14ac:dyDescent="0.3">
      <c r="A664" s="397"/>
      <c r="B664" s="709">
        <v>94319</v>
      </c>
      <c r="C664" s="710" t="s">
        <v>1047</v>
      </c>
      <c r="D664" s="709" t="s">
        <v>170</v>
      </c>
      <c r="E664" s="711">
        <v>0.31809999999999999</v>
      </c>
    </row>
    <row r="665" spans="1:5" x14ac:dyDescent="0.3">
      <c r="A665" s="397"/>
      <c r="B665" s="709">
        <v>94304</v>
      </c>
      <c r="C665" s="710" t="s">
        <v>1048</v>
      </c>
      <c r="D665" s="709" t="s">
        <v>170</v>
      </c>
      <c r="E665" s="711">
        <v>0.12620000000000001</v>
      </c>
    </row>
    <row r="666" spans="1:5" x14ac:dyDescent="0.3">
      <c r="A666" s="397"/>
      <c r="B666" s="709">
        <v>94306</v>
      </c>
      <c r="C666" s="710" t="s">
        <v>1049</v>
      </c>
      <c r="D666" s="709" t="s">
        <v>170</v>
      </c>
      <c r="E666" s="711">
        <v>0.1071</v>
      </c>
    </row>
    <row r="667" spans="1:5" x14ac:dyDescent="0.3">
      <c r="A667" s="397"/>
      <c r="B667" s="709">
        <v>94327</v>
      </c>
      <c r="C667" s="710" t="s">
        <v>1050</v>
      </c>
      <c r="D667" s="709" t="s">
        <v>170</v>
      </c>
      <c r="E667" s="711">
        <v>0.1074</v>
      </c>
    </row>
    <row r="668" spans="1:5" x14ac:dyDescent="0.3">
      <c r="A668" s="397"/>
      <c r="B668" s="709">
        <v>94329</v>
      </c>
      <c r="C668" s="710" t="s">
        <v>1051</v>
      </c>
      <c r="D668" s="709" t="s">
        <v>170</v>
      </c>
      <c r="E668" s="711">
        <v>8.9899999999999994E-2</v>
      </c>
    </row>
    <row r="669" spans="1:5" x14ac:dyDescent="0.3">
      <c r="A669" s="397"/>
      <c r="B669" s="709">
        <v>94333</v>
      </c>
      <c r="C669" s="710" t="s">
        <v>1052</v>
      </c>
      <c r="D669" s="709" t="s">
        <v>170</v>
      </c>
      <c r="E669" s="711">
        <v>8.2100000000000006E-2</v>
      </c>
    </row>
    <row r="670" spans="1:5" x14ac:dyDescent="0.3">
      <c r="A670" s="397"/>
      <c r="B670" s="709">
        <v>94310</v>
      </c>
      <c r="C670" s="710" t="s">
        <v>1053</v>
      </c>
      <c r="D670" s="709" t="s">
        <v>170</v>
      </c>
      <c r="E670" s="711">
        <v>9.8400000000000001E-2</v>
      </c>
    </row>
    <row r="671" spans="1:5" x14ac:dyDescent="0.3">
      <c r="A671" s="397"/>
      <c r="B671" s="709">
        <v>104739</v>
      </c>
      <c r="C671" s="710" t="s">
        <v>1054</v>
      </c>
      <c r="D671" s="709" t="s">
        <v>170</v>
      </c>
      <c r="E671" s="711">
        <v>0.16320000000000001</v>
      </c>
    </row>
    <row r="672" spans="1:5" x14ac:dyDescent="0.3">
      <c r="A672" s="397"/>
      <c r="B672" s="709">
        <v>104738</v>
      </c>
      <c r="C672" s="710" t="s">
        <v>1055</v>
      </c>
      <c r="D672" s="709" t="s">
        <v>170</v>
      </c>
      <c r="E672" s="711">
        <v>0.18970000000000001</v>
      </c>
    </row>
    <row r="673" spans="1:5" x14ac:dyDescent="0.3">
      <c r="A673" s="397"/>
      <c r="B673" s="709">
        <v>94316</v>
      </c>
      <c r="C673" s="710" t="s">
        <v>1056</v>
      </c>
      <c r="D673" s="709" t="s">
        <v>170</v>
      </c>
      <c r="E673" s="711">
        <v>0.13869999999999999</v>
      </c>
    </row>
    <row r="674" spans="1:5" x14ac:dyDescent="0.3">
      <c r="A674" s="397"/>
      <c r="B674" s="709">
        <v>94318</v>
      </c>
      <c r="C674" s="710" t="s">
        <v>1057</v>
      </c>
      <c r="D674" s="709" t="s">
        <v>170</v>
      </c>
      <c r="E674" s="711">
        <v>0.10589999999999999</v>
      </c>
    </row>
    <row r="675" spans="1:5" x14ac:dyDescent="0.3">
      <c r="A675" s="397"/>
      <c r="B675" s="709">
        <v>94339</v>
      </c>
      <c r="C675" s="710" t="s">
        <v>267</v>
      </c>
      <c r="D675" s="709" t="s">
        <v>170</v>
      </c>
      <c r="E675" s="711">
        <v>0.1169</v>
      </c>
    </row>
    <row r="676" spans="1:5" x14ac:dyDescent="0.3">
      <c r="A676" s="397"/>
      <c r="B676" s="709">
        <v>94341</v>
      </c>
      <c r="C676" s="710" t="s">
        <v>1058</v>
      </c>
      <c r="D676" s="709" t="s">
        <v>170</v>
      </c>
      <c r="E676" s="711">
        <v>8.7999999999999995E-2</v>
      </c>
    </row>
    <row r="677" spans="1:5" x14ac:dyDescent="0.3">
      <c r="A677" s="397"/>
      <c r="B677" s="709">
        <v>104742</v>
      </c>
      <c r="C677" s="710" t="s">
        <v>1059</v>
      </c>
      <c r="D677" s="709" t="s">
        <v>168</v>
      </c>
      <c r="E677" s="711">
        <v>0.2233</v>
      </c>
    </row>
    <row r="678" spans="1:5" x14ac:dyDescent="0.3">
      <c r="A678" s="397"/>
      <c r="B678" s="709">
        <v>93382</v>
      </c>
      <c r="C678" s="710" t="s">
        <v>1060</v>
      </c>
      <c r="D678" s="709" t="s">
        <v>170</v>
      </c>
      <c r="E678" s="711">
        <v>0.88700000000000001</v>
      </c>
    </row>
    <row r="679" spans="1:5" x14ac:dyDescent="0.3">
      <c r="A679" s="397"/>
      <c r="B679" s="709">
        <v>104737</v>
      </c>
      <c r="C679" s="710" t="s">
        <v>1061</v>
      </c>
      <c r="D679" s="709" t="s">
        <v>170</v>
      </c>
      <c r="E679" s="711">
        <v>0.89270000000000005</v>
      </c>
    </row>
    <row r="680" spans="1:5" x14ac:dyDescent="0.3">
      <c r="A680" s="397"/>
      <c r="B680" s="709">
        <v>93369</v>
      </c>
      <c r="C680" s="710" t="s">
        <v>1062</v>
      </c>
      <c r="D680" s="709" t="s">
        <v>170</v>
      </c>
      <c r="E680" s="711">
        <v>0.43319999999999997</v>
      </c>
    </row>
    <row r="681" spans="1:5" x14ac:dyDescent="0.3">
      <c r="A681" s="397"/>
      <c r="B681" s="709">
        <v>93373</v>
      </c>
      <c r="C681" s="710" t="s">
        <v>1063</v>
      </c>
      <c r="D681" s="709" t="s">
        <v>170</v>
      </c>
      <c r="E681" s="711">
        <v>0.45839999999999997</v>
      </c>
    </row>
    <row r="682" spans="1:5" x14ac:dyDescent="0.3">
      <c r="A682" s="397"/>
      <c r="B682" s="709">
        <v>93368</v>
      </c>
      <c r="C682" s="710" t="s">
        <v>1064</v>
      </c>
      <c r="D682" s="709" t="s">
        <v>170</v>
      </c>
      <c r="E682" s="711">
        <v>0.41460000000000002</v>
      </c>
    </row>
    <row r="683" spans="1:5" x14ac:dyDescent="0.3">
      <c r="A683" s="397"/>
      <c r="B683" s="709">
        <v>104729</v>
      </c>
      <c r="C683" s="710" t="s">
        <v>1065</v>
      </c>
      <c r="D683" s="709" t="s">
        <v>170</v>
      </c>
      <c r="E683" s="711">
        <v>0.30270000000000002</v>
      </c>
    </row>
    <row r="684" spans="1:5" x14ac:dyDescent="0.3">
      <c r="A684" s="397"/>
      <c r="B684" s="709">
        <v>93372</v>
      </c>
      <c r="C684" s="710" t="s">
        <v>1066</v>
      </c>
      <c r="D684" s="709" t="s">
        <v>170</v>
      </c>
      <c r="E684" s="711">
        <v>0.43719999999999998</v>
      </c>
    </row>
    <row r="685" spans="1:5" x14ac:dyDescent="0.3">
      <c r="A685" s="397"/>
      <c r="B685" s="709">
        <v>104731</v>
      </c>
      <c r="C685" s="710" t="s">
        <v>1067</v>
      </c>
      <c r="D685" s="709" t="s">
        <v>170</v>
      </c>
      <c r="E685" s="711">
        <v>0.29680000000000001</v>
      </c>
    </row>
    <row r="686" spans="1:5" x14ac:dyDescent="0.3">
      <c r="A686" s="397"/>
      <c r="B686" s="709">
        <v>93367</v>
      </c>
      <c r="C686" s="710" t="s">
        <v>1068</v>
      </c>
      <c r="D686" s="709" t="s">
        <v>170</v>
      </c>
      <c r="E686" s="711">
        <v>0.40610000000000002</v>
      </c>
    </row>
    <row r="687" spans="1:5" x14ac:dyDescent="0.3">
      <c r="A687" s="397"/>
      <c r="B687" s="709">
        <v>104728</v>
      </c>
      <c r="C687" s="710" t="s">
        <v>1069</v>
      </c>
      <c r="D687" s="709" t="s">
        <v>170</v>
      </c>
      <c r="E687" s="711">
        <v>0.30669999999999997</v>
      </c>
    </row>
    <row r="688" spans="1:5" x14ac:dyDescent="0.3">
      <c r="A688" s="397"/>
      <c r="B688" s="709">
        <v>104730</v>
      </c>
      <c r="C688" s="710" t="s">
        <v>1070</v>
      </c>
      <c r="D688" s="709" t="s">
        <v>170</v>
      </c>
      <c r="E688" s="711">
        <v>0.2984</v>
      </c>
    </row>
    <row r="689" spans="1:5" x14ac:dyDescent="0.3">
      <c r="A689" s="397"/>
      <c r="B689" s="709">
        <v>104732</v>
      </c>
      <c r="C689" s="710" t="s">
        <v>1071</v>
      </c>
      <c r="D689" s="709" t="s">
        <v>170</v>
      </c>
      <c r="E689" s="711">
        <v>0.29620000000000002</v>
      </c>
    </row>
    <row r="690" spans="1:5" x14ac:dyDescent="0.3">
      <c r="A690" s="397"/>
      <c r="B690" s="709">
        <v>104740</v>
      </c>
      <c r="C690" s="710" t="s">
        <v>1072</v>
      </c>
      <c r="D690" s="709" t="s">
        <v>170</v>
      </c>
      <c r="E690" s="711">
        <v>0.5282</v>
      </c>
    </row>
    <row r="691" spans="1:5" x14ac:dyDescent="0.3">
      <c r="A691" s="397"/>
      <c r="B691" s="709">
        <v>104741</v>
      </c>
      <c r="C691" s="710" t="s">
        <v>1073</v>
      </c>
      <c r="D691" s="709" t="s">
        <v>170</v>
      </c>
      <c r="E691" s="711">
        <v>0.45960000000000001</v>
      </c>
    </row>
    <row r="692" spans="1:5" x14ac:dyDescent="0.3">
      <c r="A692" s="397"/>
      <c r="B692" s="709">
        <v>93381</v>
      </c>
      <c r="C692" s="710" t="s">
        <v>1074</v>
      </c>
      <c r="D692" s="709" t="s">
        <v>170</v>
      </c>
      <c r="E692" s="711">
        <v>0.5262</v>
      </c>
    </row>
    <row r="693" spans="1:5" x14ac:dyDescent="0.3">
      <c r="A693" s="397"/>
      <c r="B693" s="709">
        <v>93379</v>
      </c>
      <c r="C693" s="710" t="s">
        <v>1075</v>
      </c>
      <c r="D693" s="709" t="s">
        <v>170</v>
      </c>
      <c r="E693" s="711">
        <v>0.52139999999999997</v>
      </c>
    </row>
    <row r="694" spans="1:5" x14ac:dyDescent="0.3">
      <c r="A694" s="397"/>
      <c r="B694" s="709">
        <v>93380</v>
      </c>
      <c r="C694" s="710" t="s">
        <v>1076</v>
      </c>
      <c r="D694" s="709" t="s">
        <v>170</v>
      </c>
      <c r="E694" s="711">
        <v>0.51780000000000004</v>
      </c>
    </row>
    <row r="695" spans="1:5" x14ac:dyDescent="0.3">
      <c r="A695" s="397"/>
      <c r="B695" s="709">
        <v>93378</v>
      </c>
      <c r="C695" s="710" t="s">
        <v>1077</v>
      </c>
      <c r="D695" s="709" t="s">
        <v>170</v>
      </c>
      <c r="E695" s="711">
        <v>0.51890000000000003</v>
      </c>
    </row>
    <row r="696" spans="1:5" x14ac:dyDescent="0.3">
      <c r="A696" s="397"/>
      <c r="B696" s="709">
        <v>104733</v>
      </c>
      <c r="C696" s="710" t="s">
        <v>1078</v>
      </c>
      <c r="D696" s="709" t="s">
        <v>170</v>
      </c>
      <c r="E696" s="711">
        <v>0.43090000000000001</v>
      </c>
    </row>
    <row r="697" spans="1:5" x14ac:dyDescent="0.3">
      <c r="A697" s="397"/>
      <c r="B697" s="709">
        <v>104735</v>
      </c>
      <c r="C697" s="710" t="s">
        <v>1079</v>
      </c>
      <c r="D697" s="709" t="s">
        <v>170</v>
      </c>
      <c r="E697" s="711">
        <v>0.39529999999999998</v>
      </c>
    </row>
    <row r="698" spans="1:5" x14ac:dyDescent="0.3">
      <c r="A698" s="397"/>
      <c r="B698" s="709">
        <v>104734</v>
      </c>
      <c r="C698" s="710" t="s">
        <v>1080</v>
      </c>
      <c r="D698" s="709" t="s">
        <v>170</v>
      </c>
      <c r="E698" s="711">
        <v>0.4143</v>
      </c>
    </row>
    <row r="699" spans="1:5" x14ac:dyDescent="0.3">
      <c r="A699" s="397"/>
      <c r="B699" s="709">
        <v>104736</v>
      </c>
      <c r="C699" s="710" t="s">
        <v>1081</v>
      </c>
      <c r="D699" s="709" t="s">
        <v>170</v>
      </c>
      <c r="E699" s="711">
        <v>0.374</v>
      </c>
    </row>
    <row r="700" spans="1:5" x14ac:dyDescent="0.3">
      <c r="A700" s="397"/>
      <c r="B700" s="709">
        <v>105732</v>
      </c>
      <c r="C700" s="710" t="s">
        <v>1082</v>
      </c>
      <c r="D700" s="709" t="s">
        <v>170</v>
      </c>
      <c r="E700" s="711">
        <v>4.4699999999999997E-2</v>
      </c>
    </row>
    <row r="701" spans="1:5" x14ac:dyDescent="0.3">
      <c r="A701" s="397"/>
      <c r="B701" s="709">
        <v>96397</v>
      </c>
      <c r="C701" s="710" t="s">
        <v>1083</v>
      </c>
      <c r="D701" s="709" t="s">
        <v>170</v>
      </c>
      <c r="E701" s="711">
        <v>3.8899999999999997E-2</v>
      </c>
    </row>
    <row r="702" spans="1:5" x14ac:dyDescent="0.3">
      <c r="A702" s="397"/>
      <c r="B702" s="709">
        <v>105735</v>
      </c>
      <c r="C702" s="710" t="s">
        <v>1084</v>
      </c>
      <c r="D702" s="709" t="s">
        <v>170</v>
      </c>
      <c r="E702" s="711">
        <v>3.5999999999999997E-2</v>
      </c>
    </row>
    <row r="703" spans="1:5" x14ac:dyDescent="0.3">
      <c r="A703" s="397"/>
      <c r="B703" s="709">
        <v>105727</v>
      </c>
      <c r="C703" s="710" t="s">
        <v>1085</v>
      </c>
      <c r="D703" s="709" t="s">
        <v>170</v>
      </c>
      <c r="E703" s="711">
        <v>5.8099999999999999E-2</v>
      </c>
    </row>
    <row r="704" spans="1:5" x14ac:dyDescent="0.3">
      <c r="A704" s="397"/>
      <c r="B704" s="709">
        <v>96396</v>
      </c>
      <c r="C704" s="710" t="s">
        <v>257</v>
      </c>
      <c r="D704" s="709" t="s">
        <v>170</v>
      </c>
      <c r="E704" s="711">
        <v>5.21E-2</v>
      </c>
    </row>
    <row r="705" spans="1:5" x14ac:dyDescent="0.3">
      <c r="A705" s="397"/>
      <c r="B705" s="709">
        <v>105730</v>
      </c>
      <c r="C705" s="710" t="s">
        <v>1086</v>
      </c>
      <c r="D705" s="709" t="s">
        <v>170</v>
      </c>
      <c r="E705" s="711">
        <v>4.8800000000000003E-2</v>
      </c>
    </row>
    <row r="706" spans="1:5" x14ac:dyDescent="0.3">
      <c r="A706" s="397"/>
      <c r="B706" s="709">
        <v>105737</v>
      </c>
      <c r="C706" s="710" t="s">
        <v>1087</v>
      </c>
      <c r="D706" s="709" t="s">
        <v>170</v>
      </c>
      <c r="E706" s="711">
        <v>3.61E-2</v>
      </c>
    </row>
    <row r="707" spans="1:5" x14ac:dyDescent="0.3">
      <c r="A707" s="397"/>
      <c r="B707" s="709">
        <v>96398</v>
      </c>
      <c r="C707" s="710" t="s">
        <v>1088</v>
      </c>
      <c r="D707" s="709" t="s">
        <v>170</v>
      </c>
      <c r="E707" s="711">
        <v>3.3000000000000002E-2</v>
      </c>
    </row>
    <row r="708" spans="1:5" x14ac:dyDescent="0.3">
      <c r="A708" s="397"/>
      <c r="B708" s="709">
        <v>105740</v>
      </c>
      <c r="C708" s="710" t="s">
        <v>1089</v>
      </c>
      <c r="D708" s="709" t="s">
        <v>170</v>
      </c>
      <c r="E708" s="711">
        <v>3.1300000000000001E-2</v>
      </c>
    </row>
    <row r="709" spans="1:5" x14ac:dyDescent="0.3">
      <c r="A709" s="397"/>
      <c r="B709" s="709">
        <v>105749</v>
      </c>
      <c r="C709" s="710" t="s">
        <v>1090</v>
      </c>
      <c r="D709" s="709" t="s">
        <v>170</v>
      </c>
      <c r="E709" s="711">
        <v>6.7000000000000004E-2</v>
      </c>
    </row>
    <row r="710" spans="1:5" x14ac:dyDescent="0.3">
      <c r="A710" s="397"/>
      <c r="B710" s="709">
        <v>96400</v>
      </c>
      <c r="C710" s="710" t="s">
        <v>1091</v>
      </c>
      <c r="D710" s="709" t="s">
        <v>170</v>
      </c>
      <c r="E710" s="711">
        <v>6.4000000000000001E-2</v>
      </c>
    </row>
    <row r="711" spans="1:5" x14ac:dyDescent="0.3">
      <c r="A711" s="397"/>
      <c r="B711" s="709">
        <v>105752</v>
      </c>
      <c r="C711" s="710" t="s">
        <v>1092</v>
      </c>
      <c r="D711" s="709" t="s">
        <v>170</v>
      </c>
      <c r="E711" s="711">
        <v>6.0999999999999999E-2</v>
      </c>
    </row>
    <row r="712" spans="1:5" x14ac:dyDescent="0.3">
      <c r="A712" s="397"/>
      <c r="B712" s="709">
        <v>105754</v>
      </c>
      <c r="C712" s="710" t="s">
        <v>1093</v>
      </c>
      <c r="D712" s="709" t="s">
        <v>170</v>
      </c>
      <c r="E712" s="711">
        <v>5.7799999999999997E-2</v>
      </c>
    </row>
    <row r="713" spans="1:5" x14ac:dyDescent="0.3">
      <c r="A713" s="397"/>
      <c r="B713" s="709">
        <v>105742</v>
      </c>
      <c r="C713" s="710" t="s">
        <v>1094</v>
      </c>
      <c r="D713" s="709" t="s">
        <v>170</v>
      </c>
      <c r="E713" s="711">
        <v>6.0199999999999997E-2</v>
      </c>
    </row>
    <row r="714" spans="1:5" x14ac:dyDescent="0.3">
      <c r="A714" s="397"/>
      <c r="B714" s="709">
        <v>96399</v>
      </c>
      <c r="C714" s="710" t="s">
        <v>259</v>
      </c>
      <c r="D714" s="709" t="s">
        <v>170</v>
      </c>
      <c r="E714" s="711">
        <v>5.5399999999999998E-2</v>
      </c>
    </row>
    <row r="715" spans="1:5" x14ac:dyDescent="0.3">
      <c r="A715" s="397"/>
      <c r="B715" s="709">
        <v>105745</v>
      </c>
      <c r="C715" s="710" t="s">
        <v>1095</v>
      </c>
      <c r="D715" s="709" t="s">
        <v>170</v>
      </c>
      <c r="E715" s="711">
        <v>5.04E-2</v>
      </c>
    </row>
    <row r="716" spans="1:5" x14ac:dyDescent="0.3">
      <c r="A716" s="397"/>
      <c r="B716" s="709">
        <v>105747</v>
      </c>
      <c r="C716" s="710" t="s">
        <v>1096</v>
      </c>
      <c r="D716" s="709" t="s">
        <v>170</v>
      </c>
      <c r="E716" s="711">
        <v>4.53E-2</v>
      </c>
    </row>
    <row r="717" spans="1:5" x14ac:dyDescent="0.3">
      <c r="A717" s="397"/>
      <c r="B717" s="709">
        <v>105657</v>
      </c>
      <c r="C717" s="710" t="s">
        <v>1097</v>
      </c>
      <c r="D717" s="709" t="s">
        <v>170</v>
      </c>
      <c r="E717" s="711">
        <v>7.46E-2</v>
      </c>
    </row>
    <row r="718" spans="1:5" x14ac:dyDescent="0.3">
      <c r="A718" s="397"/>
      <c r="B718" s="709">
        <v>100566</v>
      </c>
      <c r="C718" s="710" t="s">
        <v>1098</v>
      </c>
      <c r="D718" s="709" t="s">
        <v>170</v>
      </c>
      <c r="E718" s="711">
        <v>5.8999999999999997E-2</v>
      </c>
    </row>
    <row r="719" spans="1:5" x14ac:dyDescent="0.3">
      <c r="A719" s="397"/>
      <c r="B719" s="709">
        <v>105666</v>
      </c>
      <c r="C719" s="710" t="s">
        <v>1099</v>
      </c>
      <c r="D719" s="709" t="s">
        <v>170</v>
      </c>
      <c r="E719" s="711">
        <v>5.0599999999999999E-2</v>
      </c>
    </row>
    <row r="720" spans="1:5" x14ac:dyDescent="0.3">
      <c r="A720" s="397"/>
      <c r="B720" s="709">
        <v>105639</v>
      </c>
      <c r="C720" s="710" t="s">
        <v>1100</v>
      </c>
      <c r="D720" s="709" t="s">
        <v>170</v>
      </c>
      <c r="E720" s="711">
        <v>4.6199999999999998E-2</v>
      </c>
    </row>
    <row r="721" spans="1:5" x14ac:dyDescent="0.3">
      <c r="A721" s="397"/>
      <c r="B721" s="709">
        <v>105645</v>
      </c>
      <c r="C721" s="710" t="s">
        <v>1101</v>
      </c>
      <c r="D721" s="709" t="s">
        <v>170</v>
      </c>
      <c r="E721" s="711">
        <v>4.1300000000000003E-2</v>
      </c>
    </row>
    <row r="722" spans="1:5" x14ac:dyDescent="0.3">
      <c r="A722" s="397"/>
      <c r="B722" s="709">
        <v>105651</v>
      </c>
      <c r="C722" s="710" t="s">
        <v>1102</v>
      </c>
      <c r="D722" s="709" t="s">
        <v>170</v>
      </c>
      <c r="E722" s="711">
        <v>3.8600000000000002E-2</v>
      </c>
    </row>
    <row r="723" spans="1:5" x14ac:dyDescent="0.3">
      <c r="A723" s="397"/>
      <c r="B723" s="709">
        <v>105658</v>
      </c>
      <c r="C723" s="710" t="s">
        <v>1103</v>
      </c>
      <c r="D723" s="709" t="s">
        <v>170</v>
      </c>
      <c r="E723" s="711">
        <v>6.2399999999999997E-2</v>
      </c>
    </row>
    <row r="724" spans="1:5" x14ac:dyDescent="0.3">
      <c r="A724" s="397"/>
      <c r="B724" s="709">
        <v>100567</v>
      </c>
      <c r="C724" s="710" t="s">
        <v>1104</v>
      </c>
      <c r="D724" s="709" t="s">
        <v>170</v>
      </c>
      <c r="E724" s="711">
        <v>4.9000000000000002E-2</v>
      </c>
    </row>
    <row r="725" spans="1:5" x14ac:dyDescent="0.3">
      <c r="A725" s="397"/>
      <c r="B725" s="709">
        <v>105667</v>
      </c>
      <c r="C725" s="710" t="s">
        <v>1105</v>
      </c>
      <c r="D725" s="709" t="s">
        <v>170</v>
      </c>
      <c r="E725" s="711">
        <v>4.19E-2</v>
      </c>
    </row>
    <row r="726" spans="1:5" x14ac:dyDescent="0.3">
      <c r="A726" s="397"/>
      <c r="B726" s="709">
        <v>105640</v>
      </c>
      <c r="C726" s="710" t="s">
        <v>1106</v>
      </c>
      <c r="D726" s="709" t="s">
        <v>170</v>
      </c>
      <c r="E726" s="711">
        <v>3.9800000000000002E-2</v>
      </c>
    </row>
    <row r="727" spans="1:5" x14ac:dyDescent="0.3">
      <c r="A727" s="397"/>
      <c r="B727" s="709">
        <v>105646</v>
      </c>
      <c r="C727" s="710" t="s">
        <v>1107</v>
      </c>
      <c r="D727" s="709" t="s">
        <v>170</v>
      </c>
      <c r="E727" s="711">
        <v>3.5499999999999997E-2</v>
      </c>
    </row>
    <row r="728" spans="1:5" x14ac:dyDescent="0.3">
      <c r="A728" s="397"/>
      <c r="B728" s="709">
        <v>105652</v>
      </c>
      <c r="C728" s="710" t="s">
        <v>1108</v>
      </c>
      <c r="D728" s="709" t="s">
        <v>170</v>
      </c>
      <c r="E728" s="711">
        <v>3.32E-2</v>
      </c>
    </row>
    <row r="729" spans="1:5" x14ac:dyDescent="0.3">
      <c r="A729" s="397"/>
      <c r="B729" s="709">
        <v>105659</v>
      </c>
      <c r="C729" s="710" t="s">
        <v>1109</v>
      </c>
      <c r="D729" s="709" t="s">
        <v>170</v>
      </c>
      <c r="E729" s="711">
        <v>5.3699999999999998E-2</v>
      </c>
    </row>
    <row r="730" spans="1:5" x14ac:dyDescent="0.3">
      <c r="A730" s="397"/>
      <c r="B730" s="709">
        <v>100568</v>
      </c>
      <c r="C730" s="710" t="s">
        <v>1110</v>
      </c>
      <c r="D730" s="709" t="s">
        <v>170</v>
      </c>
      <c r="E730" s="711">
        <v>4.2000000000000003E-2</v>
      </c>
    </row>
    <row r="731" spans="1:5" x14ac:dyDescent="0.3">
      <c r="A731" s="397"/>
      <c r="B731" s="709">
        <v>105668</v>
      </c>
      <c r="C731" s="710" t="s">
        <v>1111</v>
      </c>
      <c r="D731" s="709" t="s">
        <v>170</v>
      </c>
      <c r="E731" s="711">
        <v>3.5799999999999998E-2</v>
      </c>
    </row>
    <row r="732" spans="1:5" x14ac:dyDescent="0.3">
      <c r="A732" s="397"/>
      <c r="B732" s="709">
        <v>105641</v>
      </c>
      <c r="C732" s="710" t="s">
        <v>1112</v>
      </c>
      <c r="D732" s="709" t="s">
        <v>170</v>
      </c>
      <c r="E732" s="711">
        <v>3.49E-2</v>
      </c>
    </row>
    <row r="733" spans="1:5" x14ac:dyDescent="0.3">
      <c r="A733" s="397"/>
      <c r="B733" s="709">
        <v>105647</v>
      </c>
      <c r="C733" s="710" t="s">
        <v>1113</v>
      </c>
      <c r="D733" s="709" t="s">
        <v>170</v>
      </c>
      <c r="E733" s="711">
        <v>3.1099999999999999E-2</v>
      </c>
    </row>
    <row r="734" spans="1:5" x14ac:dyDescent="0.3">
      <c r="A734" s="397"/>
      <c r="B734" s="709">
        <v>105653</v>
      </c>
      <c r="C734" s="710" t="s">
        <v>1114</v>
      </c>
      <c r="D734" s="709" t="s">
        <v>170</v>
      </c>
      <c r="E734" s="711">
        <v>2.9000000000000001E-2</v>
      </c>
    </row>
    <row r="735" spans="1:5" x14ac:dyDescent="0.3">
      <c r="A735" s="397"/>
      <c r="B735" s="709">
        <v>105710</v>
      </c>
      <c r="C735" s="710" t="s">
        <v>1115</v>
      </c>
      <c r="D735" s="709" t="s">
        <v>170</v>
      </c>
      <c r="E735" s="711">
        <v>0.1285</v>
      </c>
    </row>
    <row r="736" spans="1:5" x14ac:dyDescent="0.3">
      <c r="A736" s="397"/>
      <c r="B736" s="709">
        <v>100564</v>
      </c>
      <c r="C736" s="710" t="s">
        <v>1116</v>
      </c>
      <c r="D736" s="709" t="s">
        <v>170</v>
      </c>
      <c r="E736" s="711">
        <v>0.1045</v>
      </c>
    </row>
    <row r="737" spans="1:5" x14ac:dyDescent="0.3">
      <c r="A737" s="397"/>
      <c r="B737" s="709">
        <v>105711</v>
      </c>
      <c r="C737" s="710" t="s">
        <v>1117</v>
      </c>
      <c r="D737" s="709" t="s">
        <v>170</v>
      </c>
      <c r="E737" s="711">
        <v>9.11E-2</v>
      </c>
    </row>
    <row r="738" spans="1:5" x14ac:dyDescent="0.3">
      <c r="A738" s="397"/>
      <c r="B738" s="709">
        <v>105705</v>
      </c>
      <c r="C738" s="710" t="s">
        <v>1118</v>
      </c>
      <c r="D738" s="709" t="s">
        <v>170</v>
      </c>
      <c r="E738" s="711">
        <v>6.8199999999999997E-2</v>
      </c>
    </row>
    <row r="739" spans="1:5" x14ac:dyDescent="0.3">
      <c r="A739" s="397"/>
      <c r="B739" s="709">
        <v>105706</v>
      </c>
      <c r="C739" s="710" t="s">
        <v>1119</v>
      </c>
      <c r="D739" s="709" t="s">
        <v>170</v>
      </c>
      <c r="E739" s="711">
        <v>6.13E-2</v>
      </c>
    </row>
    <row r="740" spans="1:5" x14ac:dyDescent="0.3">
      <c r="A740" s="397"/>
      <c r="B740" s="709">
        <v>105708</v>
      </c>
      <c r="C740" s="710" t="s">
        <v>1120</v>
      </c>
      <c r="D740" s="709" t="s">
        <v>170</v>
      </c>
      <c r="E740" s="711">
        <v>5.7599999999999998E-2</v>
      </c>
    </row>
    <row r="741" spans="1:5" x14ac:dyDescent="0.3">
      <c r="A741" s="397"/>
      <c r="B741" s="709">
        <v>105690</v>
      </c>
      <c r="C741" s="710" t="s">
        <v>1121</v>
      </c>
      <c r="D741" s="709" t="s">
        <v>170</v>
      </c>
      <c r="E741" s="711">
        <v>0.08</v>
      </c>
    </row>
    <row r="742" spans="1:5" x14ac:dyDescent="0.3">
      <c r="A742" s="397"/>
      <c r="B742" s="709">
        <v>100569</v>
      </c>
      <c r="C742" s="710" t="s">
        <v>1122</v>
      </c>
      <c r="D742" s="709" t="s">
        <v>170</v>
      </c>
      <c r="E742" s="711">
        <v>6.3399999999999998E-2</v>
      </c>
    </row>
    <row r="743" spans="1:5" x14ac:dyDescent="0.3">
      <c r="A743" s="397"/>
      <c r="B743" s="709">
        <v>105699</v>
      </c>
      <c r="C743" s="710" t="s">
        <v>1123</v>
      </c>
      <c r="D743" s="709" t="s">
        <v>170</v>
      </c>
      <c r="E743" s="711">
        <v>5.45E-2</v>
      </c>
    </row>
    <row r="744" spans="1:5" x14ac:dyDescent="0.3">
      <c r="A744" s="397"/>
      <c r="B744" s="709">
        <v>105672</v>
      </c>
      <c r="C744" s="710" t="s">
        <v>1124</v>
      </c>
      <c r="D744" s="709" t="s">
        <v>170</v>
      </c>
      <c r="E744" s="711">
        <v>5.0700000000000002E-2</v>
      </c>
    </row>
    <row r="745" spans="1:5" x14ac:dyDescent="0.3">
      <c r="A745" s="397"/>
      <c r="B745" s="709">
        <v>105678</v>
      </c>
      <c r="C745" s="710" t="s">
        <v>1125</v>
      </c>
      <c r="D745" s="709" t="s">
        <v>170</v>
      </c>
      <c r="E745" s="711">
        <v>4.5400000000000003E-2</v>
      </c>
    </row>
    <row r="746" spans="1:5" x14ac:dyDescent="0.3">
      <c r="A746" s="397"/>
      <c r="B746" s="709">
        <v>105684</v>
      </c>
      <c r="C746" s="710" t="s">
        <v>1126</v>
      </c>
      <c r="D746" s="709" t="s">
        <v>170</v>
      </c>
      <c r="E746" s="711">
        <v>4.2500000000000003E-2</v>
      </c>
    </row>
    <row r="747" spans="1:5" x14ac:dyDescent="0.3">
      <c r="A747" s="397"/>
      <c r="B747" s="709">
        <v>105691</v>
      </c>
      <c r="C747" s="710" t="s">
        <v>1127</v>
      </c>
      <c r="D747" s="709" t="s">
        <v>170</v>
      </c>
      <c r="E747" s="711">
        <v>6.6000000000000003E-2</v>
      </c>
    </row>
    <row r="748" spans="1:5" x14ac:dyDescent="0.3">
      <c r="A748" s="397"/>
      <c r="B748" s="709">
        <v>100570</v>
      </c>
      <c r="C748" s="710" t="s">
        <v>1128</v>
      </c>
      <c r="D748" s="709" t="s">
        <v>170</v>
      </c>
      <c r="E748" s="711">
        <v>5.1900000000000002E-2</v>
      </c>
    </row>
    <row r="749" spans="1:5" x14ac:dyDescent="0.3">
      <c r="A749" s="397"/>
      <c r="B749" s="709">
        <v>105700</v>
      </c>
      <c r="C749" s="710" t="s">
        <v>1129</v>
      </c>
      <c r="D749" s="709" t="s">
        <v>170</v>
      </c>
      <c r="E749" s="711">
        <v>4.4499999999999998E-2</v>
      </c>
    </row>
    <row r="750" spans="1:5" x14ac:dyDescent="0.3">
      <c r="A750" s="397"/>
      <c r="B750" s="709">
        <v>105673</v>
      </c>
      <c r="C750" s="710" t="s">
        <v>1130</v>
      </c>
      <c r="D750" s="709" t="s">
        <v>170</v>
      </c>
      <c r="E750" s="711">
        <v>4.2999999999999997E-2</v>
      </c>
    </row>
    <row r="751" spans="1:5" x14ac:dyDescent="0.3">
      <c r="A751" s="397"/>
      <c r="B751" s="709">
        <v>105679</v>
      </c>
      <c r="C751" s="710" t="s">
        <v>1131</v>
      </c>
      <c r="D751" s="709" t="s">
        <v>170</v>
      </c>
      <c r="E751" s="711">
        <v>3.8399999999999997E-2</v>
      </c>
    </row>
    <row r="752" spans="1:5" x14ac:dyDescent="0.3">
      <c r="A752" s="397"/>
      <c r="B752" s="709">
        <v>105685</v>
      </c>
      <c r="C752" s="710" t="s">
        <v>1132</v>
      </c>
      <c r="D752" s="709" t="s">
        <v>170</v>
      </c>
      <c r="E752" s="711">
        <v>3.5900000000000001E-2</v>
      </c>
    </row>
    <row r="753" spans="1:5" x14ac:dyDescent="0.3">
      <c r="A753" s="397"/>
      <c r="B753" s="709">
        <v>105692</v>
      </c>
      <c r="C753" s="710" t="s">
        <v>1133</v>
      </c>
      <c r="D753" s="709" t="s">
        <v>170</v>
      </c>
      <c r="E753" s="711">
        <v>5.6300000000000003E-2</v>
      </c>
    </row>
    <row r="754" spans="1:5" x14ac:dyDescent="0.3">
      <c r="A754" s="397"/>
      <c r="B754" s="709">
        <v>100571</v>
      </c>
      <c r="C754" s="710" t="s">
        <v>1134</v>
      </c>
      <c r="D754" s="709" t="s">
        <v>170</v>
      </c>
      <c r="E754" s="711">
        <v>4.41E-2</v>
      </c>
    </row>
    <row r="755" spans="1:5" x14ac:dyDescent="0.3">
      <c r="A755" s="397"/>
      <c r="B755" s="709">
        <v>105701</v>
      </c>
      <c r="C755" s="710" t="s">
        <v>1135</v>
      </c>
      <c r="D755" s="709" t="s">
        <v>170</v>
      </c>
      <c r="E755" s="711">
        <v>3.7600000000000001E-2</v>
      </c>
    </row>
    <row r="756" spans="1:5" x14ac:dyDescent="0.3">
      <c r="A756" s="397"/>
      <c r="B756" s="709">
        <v>105674</v>
      </c>
      <c r="C756" s="710" t="s">
        <v>1136</v>
      </c>
      <c r="D756" s="709" t="s">
        <v>170</v>
      </c>
      <c r="E756" s="711">
        <v>3.73E-2</v>
      </c>
    </row>
    <row r="757" spans="1:5" x14ac:dyDescent="0.3">
      <c r="A757" s="397"/>
      <c r="B757" s="709">
        <v>105680</v>
      </c>
      <c r="C757" s="710" t="s">
        <v>1137</v>
      </c>
      <c r="D757" s="709" t="s">
        <v>170</v>
      </c>
      <c r="E757" s="711">
        <v>3.3300000000000003E-2</v>
      </c>
    </row>
    <row r="758" spans="1:5" x14ac:dyDescent="0.3">
      <c r="A758" s="397"/>
      <c r="B758" s="709">
        <v>105686</v>
      </c>
      <c r="C758" s="710" t="s">
        <v>1138</v>
      </c>
      <c r="D758" s="709" t="s">
        <v>170</v>
      </c>
      <c r="E758" s="711">
        <v>3.1099999999999999E-2</v>
      </c>
    </row>
    <row r="759" spans="1:5" x14ac:dyDescent="0.3">
      <c r="A759" s="397"/>
      <c r="B759" s="709">
        <v>105718</v>
      </c>
      <c r="C759" s="710" t="s">
        <v>1139</v>
      </c>
      <c r="D759" s="709" t="s">
        <v>170</v>
      </c>
      <c r="E759" s="711">
        <v>0.14599999999999999</v>
      </c>
    </row>
    <row r="760" spans="1:5" x14ac:dyDescent="0.3">
      <c r="A760" s="397"/>
      <c r="B760" s="709">
        <v>100565</v>
      </c>
      <c r="C760" s="710" t="s">
        <v>1140</v>
      </c>
      <c r="D760" s="709" t="s">
        <v>170</v>
      </c>
      <c r="E760" s="711">
        <v>0.1198</v>
      </c>
    </row>
    <row r="761" spans="1:5" x14ac:dyDescent="0.3">
      <c r="A761" s="397"/>
      <c r="B761" s="709">
        <v>105581</v>
      </c>
      <c r="C761" s="710" t="s">
        <v>1141</v>
      </c>
      <c r="D761" s="709" t="s">
        <v>170</v>
      </c>
      <c r="E761" s="711">
        <v>0.105</v>
      </c>
    </row>
    <row r="762" spans="1:5" x14ac:dyDescent="0.3">
      <c r="A762" s="397"/>
      <c r="B762" s="709">
        <v>105713</v>
      </c>
      <c r="C762" s="710" t="s">
        <v>1142</v>
      </c>
      <c r="D762" s="709" t="s">
        <v>170</v>
      </c>
      <c r="E762" s="711">
        <v>7.8899999999999998E-2</v>
      </c>
    </row>
    <row r="763" spans="1:5" x14ac:dyDescent="0.3">
      <c r="A763" s="397"/>
      <c r="B763" s="709">
        <v>105714</v>
      </c>
      <c r="C763" s="710" t="s">
        <v>1143</v>
      </c>
      <c r="D763" s="709" t="s">
        <v>170</v>
      </c>
      <c r="E763" s="711">
        <v>7.1300000000000002E-2</v>
      </c>
    </row>
    <row r="764" spans="1:5" x14ac:dyDescent="0.3">
      <c r="A764" s="397"/>
      <c r="B764" s="709">
        <v>105716</v>
      </c>
      <c r="C764" s="710" t="s">
        <v>1144</v>
      </c>
      <c r="D764" s="709" t="s">
        <v>170</v>
      </c>
      <c r="E764" s="711">
        <v>6.7100000000000007E-2</v>
      </c>
    </row>
    <row r="765" spans="1:5" x14ac:dyDescent="0.3">
      <c r="A765" s="397"/>
      <c r="B765" s="709">
        <v>105624</v>
      </c>
      <c r="C765" s="710" t="s">
        <v>1145</v>
      </c>
      <c r="D765" s="709" t="s">
        <v>170</v>
      </c>
      <c r="E765" s="711">
        <v>5.7200000000000001E-2</v>
      </c>
    </row>
    <row r="766" spans="1:5" x14ac:dyDescent="0.3">
      <c r="A766" s="397"/>
      <c r="B766" s="709">
        <v>96391</v>
      </c>
      <c r="C766" s="710" t="s">
        <v>1146</v>
      </c>
      <c r="D766" s="709" t="s">
        <v>170</v>
      </c>
      <c r="E766" s="711">
        <v>3.95E-2</v>
      </c>
    </row>
    <row r="767" spans="1:5" x14ac:dyDescent="0.3">
      <c r="A767" s="397"/>
      <c r="B767" s="709">
        <v>105632</v>
      </c>
      <c r="C767" s="710" t="s">
        <v>1147</v>
      </c>
      <c r="D767" s="709" t="s">
        <v>170</v>
      </c>
      <c r="E767" s="711">
        <v>3.8100000000000002E-2</v>
      </c>
    </row>
    <row r="768" spans="1:5" x14ac:dyDescent="0.3">
      <c r="A768" s="397"/>
      <c r="B768" s="709">
        <v>105601</v>
      </c>
      <c r="C768" s="710" t="s">
        <v>1148</v>
      </c>
      <c r="D768" s="709" t="s">
        <v>170</v>
      </c>
      <c r="E768" s="711">
        <v>5.6500000000000002E-2</v>
      </c>
    </row>
    <row r="769" spans="1:5" x14ac:dyDescent="0.3">
      <c r="A769" s="397"/>
      <c r="B769" s="709">
        <v>105609</v>
      </c>
      <c r="C769" s="710" t="s">
        <v>1149</v>
      </c>
      <c r="D769" s="709" t="s">
        <v>170</v>
      </c>
      <c r="E769" s="711">
        <v>5.1499999999999997E-2</v>
      </c>
    </row>
    <row r="770" spans="1:5" x14ac:dyDescent="0.3">
      <c r="A770" s="397"/>
      <c r="B770" s="709">
        <v>105617</v>
      </c>
      <c r="C770" s="710" t="s">
        <v>1150</v>
      </c>
      <c r="D770" s="709" t="s">
        <v>170</v>
      </c>
      <c r="E770" s="711">
        <v>4.8000000000000001E-2</v>
      </c>
    </row>
    <row r="771" spans="1:5" x14ac:dyDescent="0.3">
      <c r="A771" s="397"/>
      <c r="B771" s="709">
        <v>105625</v>
      </c>
      <c r="C771" s="710" t="s">
        <v>1151</v>
      </c>
      <c r="D771" s="709" t="s">
        <v>170</v>
      </c>
      <c r="E771" s="711">
        <v>4.4999999999999998E-2</v>
      </c>
    </row>
    <row r="772" spans="1:5" x14ac:dyDescent="0.3">
      <c r="A772" s="397"/>
      <c r="B772" s="709">
        <v>96392</v>
      </c>
      <c r="C772" s="710" t="s">
        <v>1152</v>
      </c>
      <c r="D772" s="709" t="s">
        <v>170</v>
      </c>
      <c r="E772" s="711">
        <v>3.0800000000000001E-2</v>
      </c>
    </row>
    <row r="773" spans="1:5" x14ac:dyDescent="0.3">
      <c r="A773" s="397"/>
      <c r="B773" s="709">
        <v>105633</v>
      </c>
      <c r="C773" s="710" t="s">
        <v>1153</v>
      </c>
      <c r="D773" s="709" t="s">
        <v>170</v>
      </c>
      <c r="E773" s="711">
        <v>2.9600000000000001E-2</v>
      </c>
    </row>
    <row r="774" spans="1:5" x14ac:dyDescent="0.3">
      <c r="A774" s="397"/>
      <c r="B774" s="709">
        <v>105602</v>
      </c>
      <c r="C774" s="710" t="s">
        <v>1154</v>
      </c>
      <c r="D774" s="709" t="s">
        <v>170</v>
      </c>
      <c r="E774" s="711">
        <v>4.41E-2</v>
      </c>
    </row>
    <row r="775" spans="1:5" x14ac:dyDescent="0.3">
      <c r="A775" s="397"/>
      <c r="B775" s="709">
        <v>105610</v>
      </c>
      <c r="C775" s="710" t="s">
        <v>1155</v>
      </c>
      <c r="D775" s="709" t="s">
        <v>170</v>
      </c>
      <c r="E775" s="711">
        <v>0.04</v>
      </c>
    </row>
    <row r="776" spans="1:5" x14ac:dyDescent="0.3">
      <c r="A776" s="397"/>
      <c r="B776" s="709">
        <v>105618</v>
      </c>
      <c r="C776" s="710" t="s">
        <v>1156</v>
      </c>
      <c r="D776" s="709" t="s">
        <v>170</v>
      </c>
      <c r="E776" s="711">
        <v>3.7199999999999997E-2</v>
      </c>
    </row>
    <row r="777" spans="1:5" x14ac:dyDescent="0.3">
      <c r="A777" s="397"/>
      <c r="B777" s="709">
        <v>105571</v>
      </c>
      <c r="C777" s="710" t="s">
        <v>1157</v>
      </c>
      <c r="D777" s="709" t="s">
        <v>170</v>
      </c>
      <c r="E777" s="711">
        <v>0.12989999999999999</v>
      </c>
    </row>
    <row r="778" spans="1:5" x14ac:dyDescent="0.3">
      <c r="A778" s="397"/>
      <c r="B778" s="709">
        <v>96389</v>
      </c>
      <c r="C778" s="710" t="s">
        <v>1158</v>
      </c>
      <c r="D778" s="709" t="s">
        <v>170</v>
      </c>
      <c r="E778" s="711">
        <v>9.4799999999999995E-2</v>
      </c>
    </row>
    <row r="779" spans="1:5" x14ac:dyDescent="0.3">
      <c r="A779" s="397"/>
      <c r="B779" s="709">
        <v>105575</v>
      </c>
      <c r="C779" s="710" t="s">
        <v>1159</v>
      </c>
      <c r="D779" s="709" t="s">
        <v>170</v>
      </c>
      <c r="E779" s="711">
        <v>9.2299999999999993E-2</v>
      </c>
    </row>
    <row r="780" spans="1:5" x14ac:dyDescent="0.3">
      <c r="A780" s="397"/>
      <c r="B780" s="709">
        <v>105599</v>
      </c>
      <c r="C780" s="710" t="s">
        <v>1160</v>
      </c>
      <c r="D780" s="709" t="s">
        <v>170</v>
      </c>
      <c r="E780" s="711">
        <v>0.12989999999999999</v>
      </c>
    </row>
    <row r="781" spans="1:5" x14ac:dyDescent="0.3">
      <c r="A781" s="397"/>
      <c r="B781" s="709">
        <v>105607</v>
      </c>
      <c r="C781" s="710" t="s">
        <v>1161</v>
      </c>
      <c r="D781" s="709" t="s">
        <v>170</v>
      </c>
      <c r="E781" s="711">
        <v>0.121</v>
      </c>
    </row>
    <row r="782" spans="1:5" x14ac:dyDescent="0.3">
      <c r="A782" s="397"/>
      <c r="B782" s="709">
        <v>105615</v>
      </c>
      <c r="C782" s="710" t="s">
        <v>1162</v>
      </c>
      <c r="D782" s="709" t="s">
        <v>170</v>
      </c>
      <c r="E782" s="711">
        <v>0.1147</v>
      </c>
    </row>
    <row r="783" spans="1:5" x14ac:dyDescent="0.3">
      <c r="A783" s="397"/>
      <c r="B783" s="709">
        <v>105623</v>
      </c>
      <c r="C783" s="710" t="s">
        <v>1163</v>
      </c>
      <c r="D783" s="709" t="s">
        <v>170</v>
      </c>
      <c r="E783" s="711">
        <v>7.9100000000000004E-2</v>
      </c>
    </row>
    <row r="784" spans="1:5" x14ac:dyDescent="0.3">
      <c r="A784" s="397"/>
      <c r="B784" s="709">
        <v>96390</v>
      </c>
      <c r="C784" s="710" t="s">
        <v>1164</v>
      </c>
      <c r="D784" s="709" t="s">
        <v>170</v>
      </c>
      <c r="E784" s="711">
        <v>5.5500000000000001E-2</v>
      </c>
    </row>
    <row r="785" spans="1:5" x14ac:dyDescent="0.3">
      <c r="A785" s="397"/>
      <c r="B785" s="709">
        <v>105631</v>
      </c>
      <c r="C785" s="710" t="s">
        <v>1165</v>
      </c>
      <c r="D785" s="709" t="s">
        <v>170</v>
      </c>
      <c r="E785" s="711">
        <v>5.3600000000000002E-2</v>
      </c>
    </row>
    <row r="786" spans="1:5" x14ac:dyDescent="0.3">
      <c r="A786" s="397"/>
      <c r="B786" s="709">
        <v>105600</v>
      </c>
      <c r="C786" s="710" t="s">
        <v>1166</v>
      </c>
      <c r="D786" s="709" t="s">
        <v>170</v>
      </c>
      <c r="E786" s="711">
        <v>7.8799999999999995E-2</v>
      </c>
    </row>
    <row r="787" spans="1:5" x14ac:dyDescent="0.3">
      <c r="A787" s="397"/>
      <c r="B787" s="709">
        <v>105608</v>
      </c>
      <c r="C787" s="710" t="s">
        <v>1167</v>
      </c>
      <c r="D787" s="709" t="s">
        <v>170</v>
      </c>
      <c r="E787" s="711">
        <v>7.2300000000000003E-2</v>
      </c>
    </row>
    <row r="788" spans="1:5" x14ac:dyDescent="0.3">
      <c r="A788" s="397"/>
      <c r="B788" s="709">
        <v>105616</v>
      </c>
      <c r="C788" s="710" t="s">
        <v>1168</v>
      </c>
      <c r="D788" s="709" t="s">
        <v>170</v>
      </c>
      <c r="E788" s="711">
        <v>6.7699999999999996E-2</v>
      </c>
    </row>
    <row r="789" spans="1:5" x14ac:dyDescent="0.3">
      <c r="A789" s="397"/>
      <c r="B789" s="709">
        <v>105585</v>
      </c>
      <c r="C789" s="710" t="s">
        <v>1169</v>
      </c>
      <c r="D789" s="709" t="s">
        <v>170</v>
      </c>
      <c r="E789" s="711">
        <v>0.1542</v>
      </c>
    </row>
    <row r="790" spans="1:5" x14ac:dyDescent="0.3">
      <c r="A790" s="397"/>
      <c r="B790" s="709">
        <v>100572</v>
      </c>
      <c r="C790" s="710" t="s">
        <v>1170</v>
      </c>
      <c r="D790" s="709" t="s">
        <v>170</v>
      </c>
      <c r="E790" s="711">
        <v>0.1244</v>
      </c>
    </row>
    <row r="791" spans="1:5" x14ac:dyDescent="0.3">
      <c r="A791" s="397"/>
      <c r="B791" s="709">
        <v>105588</v>
      </c>
      <c r="C791" s="710" t="s">
        <v>1171</v>
      </c>
      <c r="D791" s="709" t="s">
        <v>170</v>
      </c>
      <c r="E791" s="711">
        <v>0.1221</v>
      </c>
    </row>
    <row r="792" spans="1:5" x14ac:dyDescent="0.3">
      <c r="A792" s="397"/>
      <c r="B792" s="709">
        <v>105583</v>
      </c>
      <c r="C792" s="710" t="s">
        <v>1172</v>
      </c>
      <c r="D792" s="709" t="s">
        <v>170</v>
      </c>
      <c r="E792" s="711">
        <v>8.1100000000000005E-2</v>
      </c>
    </row>
    <row r="793" spans="1:5" x14ac:dyDescent="0.3">
      <c r="A793" s="397"/>
      <c r="B793" s="709">
        <v>105719</v>
      </c>
      <c r="C793" s="710" t="s">
        <v>1173</v>
      </c>
      <c r="D793" s="709" t="s">
        <v>170</v>
      </c>
      <c r="E793" s="711">
        <v>7.0499999999999993E-2</v>
      </c>
    </row>
    <row r="794" spans="1:5" x14ac:dyDescent="0.3">
      <c r="A794" s="397"/>
      <c r="B794" s="709">
        <v>105721</v>
      </c>
      <c r="C794" s="710" t="s">
        <v>1174</v>
      </c>
      <c r="D794" s="709" t="s">
        <v>170</v>
      </c>
      <c r="E794" s="711">
        <v>7.17E-2</v>
      </c>
    </row>
    <row r="795" spans="1:5" x14ac:dyDescent="0.3">
      <c r="A795" s="397"/>
      <c r="B795" s="709">
        <v>105592</v>
      </c>
      <c r="C795" s="710" t="s">
        <v>1175</v>
      </c>
      <c r="D795" s="709" t="s">
        <v>170</v>
      </c>
      <c r="E795" s="711">
        <v>0.1736</v>
      </c>
    </row>
    <row r="796" spans="1:5" x14ac:dyDescent="0.3">
      <c r="A796" s="397"/>
      <c r="B796" s="709">
        <v>100573</v>
      </c>
      <c r="C796" s="710" t="s">
        <v>1176</v>
      </c>
      <c r="D796" s="709" t="s">
        <v>170</v>
      </c>
      <c r="E796" s="711">
        <v>0.14149999999999999</v>
      </c>
    </row>
    <row r="797" spans="1:5" x14ac:dyDescent="0.3">
      <c r="A797" s="397"/>
      <c r="B797" s="709">
        <v>105595</v>
      </c>
      <c r="C797" s="710" t="s">
        <v>1177</v>
      </c>
      <c r="D797" s="709" t="s">
        <v>170</v>
      </c>
      <c r="E797" s="711">
        <v>0.13919999999999999</v>
      </c>
    </row>
    <row r="798" spans="1:5" x14ac:dyDescent="0.3">
      <c r="A798" s="397"/>
      <c r="B798" s="709">
        <v>105590</v>
      </c>
      <c r="C798" s="710" t="s">
        <v>1178</v>
      </c>
      <c r="D798" s="709" t="s">
        <v>170</v>
      </c>
      <c r="E798" s="711">
        <v>9.3399999999999997E-2</v>
      </c>
    </row>
    <row r="799" spans="1:5" x14ac:dyDescent="0.3">
      <c r="A799" s="397"/>
      <c r="B799" s="709">
        <v>105723</v>
      </c>
      <c r="C799" s="710" t="s">
        <v>1179</v>
      </c>
      <c r="D799" s="709" t="s">
        <v>170</v>
      </c>
      <c r="E799" s="711">
        <v>8.1600000000000006E-2</v>
      </c>
    </row>
    <row r="800" spans="1:5" x14ac:dyDescent="0.3">
      <c r="A800" s="397"/>
      <c r="B800" s="709">
        <v>105725</v>
      </c>
      <c r="C800" s="710" t="s">
        <v>1180</v>
      </c>
      <c r="D800" s="709" t="s">
        <v>170</v>
      </c>
      <c r="E800" s="711">
        <v>8.3000000000000004E-2</v>
      </c>
    </row>
    <row r="801" spans="1:5" x14ac:dyDescent="0.3">
      <c r="A801" s="397"/>
      <c r="B801" s="709">
        <v>105566</v>
      </c>
      <c r="C801" s="710" t="s">
        <v>1181</v>
      </c>
      <c r="D801" s="709" t="s">
        <v>170</v>
      </c>
      <c r="E801" s="711">
        <v>0.3085</v>
      </c>
    </row>
    <row r="802" spans="1:5" x14ac:dyDescent="0.3">
      <c r="A802" s="397"/>
      <c r="B802" s="709">
        <v>96388</v>
      </c>
      <c r="C802" s="710" t="s">
        <v>1182</v>
      </c>
      <c r="D802" s="709" t="s">
        <v>170</v>
      </c>
      <c r="E802" s="711">
        <v>0.29720000000000002</v>
      </c>
    </row>
    <row r="803" spans="1:5" x14ac:dyDescent="0.3">
      <c r="A803" s="397"/>
      <c r="B803" s="709">
        <v>105569</v>
      </c>
      <c r="C803" s="710" t="s">
        <v>284</v>
      </c>
      <c r="D803" s="709" t="s">
        <v>170</v>
      </c>
      <c r="E803" s="711">
        <v>0.29189999999999999</v>
      </c>
    </row>
    <row r="804" spans="1:5" x14ac:dyDescent="0.3">
      <c r="A804" s="397"/>
      <c r="B804" s="709">
        <v>101767</v>
      </c>
      <c r="C804" s="710" t="s">
        <v>1183</v>
      </c>
      <c r="D804" s="709" t="s">
        <v>170</v>
      </c>
      <c r="E804" s="711">
        <v>0.45379999999999998</v>
      </c>
    </row>
    <row r="805" spans="1:5" x14ac:dyDescent="0.3">
      <c r="A805" s="397"/>
      <c r="B805" s="709">
        <v>101768</v>
      </c>
      <c r="C805" s="710" t="s">
        <v>1184</v>
      </c>
      <c r="D805" s="709" t="s">
        <v>170</v>
      </c>
      <c r="E805" s="711">
        <v>0.3795</v>
      </c>
    </row>
    <row r="806" spans="1:5" x14ac:dyDescent="0.3">
      <c r="A806" s="397"/>
      <c r="B806" s="709">
        <v>100574</v>
      </c>
      <c r="C806" s="710" t="s">
        <v>1185</v>
      </c>
      <c r="D806" s="709" t="s">
        <v>170</v>
      </c>
      <c r="E806" s="711">
        <v>0.35139999999999999</v>
      </c>
    </row>
    <row r="807" spans="1:5" x14ac:dyDescent="0.3">
      <c r="A807" s="397"/>
      <c r="B807" s="709">
        <v>105562</v>
      </c>
      <c r="C807" s="710" t="s">
        <v>1190</v>
      </c>
      <c r="D807" s="709" t="s">
        <v>170</v>
      </c>
      <c r="E807" s="711">
        <v>0.29520000000000002</v>
      </c>
    </row>
    <row r="808" spans="1:5" x14ac:dyDescent="0.3">
      <c r="A808" s="397"/>
      <c r="B808" s="709">
        <v>105563</v>
      </c>
      <c r="C808" s="710" t="s">
        <v>1191</v>
      </c>
      <c r="D808" s="709" t="s">
        <v>170</v>
      </c>
      <c r="E808" s="711">
        <v>0.28570000000000001</v>
      </c>
    </row>
    <row r="809" spans="1:5" x14ac:dyDescent="0.3">
      <c r="A809" s="397"/>
      <c r="B809" s="709">
        <v>105565</v>
      </c>
      <c r="C809" s="710" t="s">
        <v>1192</v>
      </c>
      <c r="D809" s="709" t="s">
        <v>170</v>
      </c>
      <c r="E809" s="711">
        <v>0.28920000000000001</v>
      </c>
    </row>
    <row r="810" spans="1:5" x14ac:dyDescent="0.3">
      <c r="A810" s="397"/>
      <c r="B810" s="709">
        <v>105557</v>
      </c>
      <c r="C810" s="710" t="s">
        <v>1193</v>
      </c>
      <c r="D810" s="709" t="s">
        <v>170</v>
      </c>
      <c r="E810" s="711">
        <v>0.36870000000000003</v>
      </c>
    </row>
    <row r="811" spans="1:5" x14ac:dyDescent="0.3">
      <c r="A811" s="397"/>
      <c r="B811" s="709">
        <v>105558</v>
      </c>
      <c r="C811" s="710" t="s">
        <v>1194</v>
      </c>
      <c r="D811" s="709" t="s">
        <v>170</v>
      </c>
      <c r="E811" s="711">
        <v>0.36609999999999998</v>
      </c>
    </row>
    <row r="812" spans="1:5" x14ac:dyDescent="0.3">
      <c r="A812" s="397"/>
      <c r="B812" s="709">
        <v>105560</v>
      </c>
      <c r="C812" s="710" t="s">
        <v>1195</v>
      </c>
      <c r="D812" s="709" t="s">
        <v>170</v>
      </c>
      <c r="E812" s="711">
        <v>0.3669</v>
      </c>
    </row>
    <row r="813" spans="1:5" x14ac:dyDescent="0.3">
      <c r="A813" s="397"/>
      <c r="B813" s="709">
        <v>96386</v>
      </c>
      <c r="C813" s="710" t="s">
        <v>285</v>
      </c>
      <c r="D813" s="709" t="s">
        <v>170</v>
      </c>
      <c r="E813" s="711">
        <v>0.2863</v>
      </c>
    </row>
    <row r="814" spans="1:5" x14ac:dyDescent="0.3">
      <c r="A814" s="397"/>
      <c r="B814" s="709">
        <v>105564</v>
      </c>
      <c r="C814" s="710" t="s">
        <v>1196</v>
      </c>
      <c r="D814" s="709" t="s">
        <v>170</v>
      </c>
      <c r="E814" s="711">
        <v>0.29139999999999999</v>
      </c>
    </row>
    <row r="815" spans="1:5" x14ac:dyDescent="0.3">
      <c r="A815" s="397"/>
      <c r="B815" s="709">
        <v>105561</v>
      </c>
      <c r="C815" s="710" t="s">
        <v>1197</v>
      </c>
      <c r="D815" s="709" t="s">
        <v>170</v>
      </c>
      <c r="E815" s="711">
        <v>0.30109999999999998</v>
      </c>
    </row>
    <row r="816" spans="1:5" x14ac:dyDescent="0.3">
      <c r="A816" s="397"/>
      <c r="B816" s="709">
        <v>96385</v>
      </c>
      <c r="C816" s="710" t="s">
        <v>1198</v>
      </c>
      <c r="D816" s="709" t="s">
        <v>170</v>
      </c>
      <c r="E816" s="711">
        <v>0.3599</v>
      </c>
    </row>
    <row r="817" spans="1:5" x14ac:dyDescent="0.3">
      <c r="A817" s="397"/>
      <c r="B817" s="709">
        <v>105556</v>
      </c>
      <c r="C817" s="710" t="s">
        <v>1199</v>
      </c>
      <c r="D817" s="709" t="s">
        <v>170</v>
      </c>
      <c r="E817" s="711">
        <v>0.36080000000000001</v>
      </c>
    </row>
    <row r="818" spans="1:5" x14ac:dyDescent="0.3">
      <c r="A818" s="397"/>
      <c r="B818" s="709">
        <v>105559</v>
      </c>
      <c r="C818" s="710" t="s">
        <v>1200</v>
      </c>
      <c r="D818" s="709" t="s">
        <v>170</v>
      </c>
      <c r="E818" s="711">
        <v>0.35620000000000002</v>
      </c>
    </row>
    <row r="819" spans="1:5" x14ac:dyDescent="0.3">
      <c r="A819" s="397"/>
      <c r="B819" s="709">
        <v>105733</v>
      </c>
      <c r="C819" s="710" t="s">
        <v>1201</v>
      </c>
      <c r="D819" s="709" t="s">
        <v>170</v>
      </c>
      <c r="E819" s="711">
        <v>5.5899999999999998E-2</v>
      </c>
    </row>
    <row r="820" spans="1:5" x14ac:dyDescent="0.3">
      <c r="A820" s="397"/>
      <c r="B820" s="709">
        <v>105734</v>
      </c>
      <c r="C820" s="710" t="s">
        <v>1202</v>
      </c>
      <c r="D820" s="709" t="s">
        <v>170</v>
      </c>
      <c r="E820" s="711">
        <v>4.8000000000000001E-2</v>
      </c>
    </row>
    <row r="821" spans="1:5" x14ac:dyDescent="0.3">
      <c r="A821" s="397"/>
      <c r="B821" s="709">
        <v>105736</v>
      </c>
      <c r="C821" s="710" t="s">
        <v>1203</v>
      </c>
      <c r="D821" s="709" t="s">
        <v>170</v>
      </c>
      <c r="E821" s="711">
        <v>4.3999999999999997E-2</v>
      </c>
    </row>
    <row r="822" spans="1:5" x14ac:dyDescent="0.3">
      <c r="A822" s="397"/>
      <c r="B822" s="709">
        <v>105728</v>
      </c>
      <c r="C822" s="710" t="s">
        <v>1204</v>
      </c>
      <c r="D822" s="709" t="s">
        <v>170</v>
      </c>
      <c r="E822" s="711">
        <v>7.1099999999999997E-2</v>
      </c>
    </row>
    <row r="823" spans="1:5" x14ac:dyDescent="0.3">
      <c r="A823" s="397"/>
      <c r="B823" s="709">
        <v>105729</v>
      </c>
      <c r="C823" s="710" t="s">
        <v>1205</v>
      </c>
      <c r="D823" s="709" t="s">
        <v>170</v>
      </c>
      <c r="E823" s="711">
        <v>6.2899999999999998E-2</v>
      </c>
    </row>
    <row r="824" spans="1:5" x14ac:dyDescent="0.3">
      <c r="A824" s="397"/>
      <c r="B824" s="709">
        <v>105731</v>
      </c>
      <c r="C824" s="710" t="s">
        <v>1206</v>
      </c>
      <c r="D824" s="709" t="s">
        <v>170</v>
      </c>
      <c r="E824" s="711">
        <v>5.8599999999999999E-2</v>
      </c>
    </row>
    <row r="825" spans="1:5" x14ac:dyDescent="0.3">
      <c r="A825" s="397"/>
      <c r="B825" s="709">
        <v>105738</v>
      </c>
      <c r="C825" s="710" t="s">
        <v>1207</v>
      </c>
      <c r="D825" s="709" t="s">
        <v>170</v>
      </c>
      <c r="E825" s="711">
        <v>4.2999999999999997E-2</v>
      </c>
    </row>
    <row r="826" spans="1:5" x14ac:dyDescent="0.3">
      <c r="A826" s="397"/>
      <c r="B826" s="709">
        <v>105739</v>
      </c>
      <c r="C826" s="710" t="s">
        <v>1208</v>
      </c>
      <c r="D826" s="709" t="s">
        <v>170</v>
      </c>
      <c r="E826" s="711">
        <v>3.8600000000000002E-2</v>
      </c>
    </row>
    <row r="827" spans="1:5" x14ac:dyDescent="0.3">
      <c r="A827" s="397"/>
      <c r="B827" s="709">
        <v>105741</v>
      </c>
      <c r="C827" s="710" t="s">
        <v>1209</v>
      </c>
      <c r="D827" s="709" t="s">
        <v>170</v>
      </c>
      <c r="E827" s="711">
        <v>3.6400000000000002E-2</v>
      </c>
    </row>
    <row r="828" spans="1:5" x14ac:dyDescent="0.3">
      <c r="A828" s="397"/>
      <c r="B828" s="709">
        <v>105750</v>
      </c>
      <c r="C828" s="710" t="s">
        <v>1210</v>
      </c>
      <c r="D828" s="709" t="s">
        <v>170</v>
      </c>
      <c r="E828" s="711">
        <v>9.1300000000000006E-2</v>
      </c>
    </row>
    <row r="829" spans="1:5" x14ac:dyDescent="0.3">
      <c r="A829" s="397"/>
      <c r="B829" s="709">
        <v>105751</v>
      </c>
      <c r="C829" s="710" t="s">
        <v>1211</v>
      </c>
      <c r="D829" s="709" t="s">
        <v>170</v>
      </c>
      <c r="E829" s="711">
        <v>8.7599999999999997E-2</v>
      </c>
    </row>
    <row r="830" spans="1:5" x14ac:dyDescent="0.3">
      <c r="A830" s="397"/>
      <c r="B830" s="709">
        <v>105753</v>
      </c>
      <c r="C830" s="710" t="s">
        <v>1212</v>
      </c>
      <c r="D830" s="709" t="s">
        <v>170</v>
      </c>
      <c r="E830" s="711">
        <v>8.3599999999999994E-2</v>
      </c>
    </row>
    <row r="831" spans="1:5" x14ac:dyDescent="0.3">
      <c r="A831" s="397"/>
      <c r="B831" s="709">
        <v>105755</v>
      </c>
      <c r="C831" s="710" t="s">
        <v>1213</v>
      </c>
      <c r="D831" s="709" t="s">
        <v>170</v>
      </c>
      <c r="E831" s="711">
        <v>7.9399999999999998E-2</v>
      </c>
    </row>
    <row r="832" spans="1:5" x14ac:dyDescent="0.3">
      <c r="A832" s="397"/>
      <c r="B832" s="709">
        <v>105743</v>
      </c>
      <c r="C832" s="710" t="s">
        <v>1214</v>
      </c>
      <c r="D832" s="709" t="s">
        <v>170</v>
      </c>
      <c r="E832" s="711">
        <v>8.2799999999999999E-2</v>
      </c>
    </row>
    <row r="833" spans="1:5" x14ac:dyDescent="0.3">
      <c r="A833" s="397"/>
      <c r="B833" s="709">
        <v>105744</v>
      </c>
      <c r="C833" s="710" t="s">
        <v>1215</v>
      </c>
      <c r="D833" s="709" t="s">
        <v>170</v>
      </c>
      <c r="E833" s="711">
        <v>7.6399999999999996E-2</v>
      </c>
    </row>
    <row r="834" spans="1:5" x14ac:dyDescent="0.3">
      <c r="A834" s="397"/>
      <c r="B834" s="709">
        <v>105746</v>
      </c>
      <c r="C834" s="710" t="s">
        <v>1216</v>
      </c>
      <c r="D834" s="709" t="s">
        <v>170</v>
      </c>
      <c r="E834" s="711">
        <v>6.9800000000000001E-2</v>
      </c>
    </row>
    <row r="835" spans="1:5" x14ac:dyDescent="0.3">
      <c r="A835" s="397"/>
      <c r="B835" s="709">
        <v>105748</v>
      </c>
      <c r="C835" s="710" t="s">
        <v>1217</v>
      </c>
      <c r="D835" s="709" t="s">
        <v>170</v>
      </c>
      <c r="E835" s="711">
        <v>6.3E-2</v>
      </c>
    </row>
    <row r="836" spans="1:5" x14ac:dyDescent="0.3">
      <c r="A836" s="397"/>
      <c r="B836" s="709">
        <v>105660</v>
      </c>
      <c r="C836" s="710" t="s">
        <v>1218</v>
      </c>
      <c r="D836" s="709" t="s">
        <v>170</v>
      </c>
      <c r="E836" s="711">
        <v>0.1019</v>
      </c>
    </row>
    <row r="837" spans="1:5" x14ac:dyDescent="0.3">
      <c r="A837" s="397"/>
      <c r="B837" s="709">
        <v>105663</v>
      </c>
      <c r="C837" s="710" t="s">
        <v>1219</v>
      </c>
      <c r="D837" s="709" t="s">
        <v>170</v>
      </c>
      <c r="E837" s="711">
        <v>8.1600000000000006E-2</v>
      </c>
    </row>
    <row r="838" spans="1:5" x14ac:dyDescent="0.3">
      <c r="A838" s="397"/>
      <c r="B838" s="709">
        <v>105669</v>
      </c>
      <c r="C838" s="710" t="s">
        <v>1220</v>
      </c>
      <c r="D838" s="709" t="s">
        <v>170</v>
      </c>
      <c r="E838" s="711">
        <v>7.0599999999999996E-2</v>
      </c>
    </row>
    <row r="839" spans="1:5" x14ac:dyDescent="0.3">
      <c r="A839" s="397"/>
      <c r="B839" s="709">
        <v>105642</v>
      </c>
      <c r="C839" s="710" t="s">
        <v>1221</v>
      </c>
      <c r="D839" s="709" t="s">
        <v>170</v>
      </c>
      <c r="E839" s="711">
        <v>5.6899999999999999E-2</v>
      </c>
    </row>
    <row r="840" spans="1:5" x14ac:dyDescent="0.3">
      <c r="A840" s="397"/>
      <c r="B840" s="709">
        <v>105648</v>
      </c>
      <c r="C840" s="710" t="s">
        <v>1222</v>
      </c>
      <c r="D840" s="709" t="s">
        <v>170</v>
      </c>
      <c r="E840" s="711">
        <v>5.0200000000000002E-2</v>
      </c>
    </row>
    <row r="841" spans="1:5" x14ac:dyDescent="0.3">
      <c r="A841" s="397"/>
      <c r="B841" s="709">
        <v>105654</v>
      </c>
      <c r="C841" s="710" t="s">
        <v>1223</v>
      </c>
      <c r="D841" s="709" t="s">
        <v>170</v>
      </c>
      <c r="E841" s="711">
        <v>4.6600000000000003E-2</v>
      </c>
    </row>
    <row r="842" spans="1:5" x14ac:dyDescent="0.3">
      <c r="A842" s="397"/>
      <c r="B842" s="709">
        <v>105661</v>
      </c>
      <c r="C842" s="710" t="s">
        <v>1224</v>
      </c>
      <c r="D842" s="709" t="s">
        <v>170</v>
      </c>
      <c r="E842" s="711">
        <v>8.5999999999999993E-2</v>
      </c>
    </row>
    <row r="843" spans="1:5" x14ac:dyDescent="0.3">
      <c r="A843" s="397"/>
      <c r="B843" s="709">
        <v>105664</v>
      </c>
      <c r="C843" s="710" t="s">
        <v>1225</v>
      </c>
      <c r="D843" s="709" t="s">
        <v>170</v>
      </c>
      <c r="E843" s="711">
        <v>6.83E-2</v>
      </c>
    </row>
    <row r="844" spans="1:5" x14ac:dyDescent="0.3">
      <c r="A844" s="397"/>
      <c r="B844" s="709">
        <v>105670</v>
      </c>
      <c r="C844" s="710" t="s">
        <v>1226</v>
      </c>
      <c r="D844" s="709" t="s">
        <v>170</v>
      </c>
      <c r="E844" s="711">
        <v>5.8799999999999998E-2</v>
      </c>
    </row>
    <row r="845" spans="1:5" x14ac:dyDescent="0.3">
      <c r="A845" s="397"/>
      <c r="B845" s="709">
        <v>105643</v>
      </c>
      <c r="C845" s="710" t="s">
        <v>1227</v>
      </c>
      <c r="D845" s="709" t="s">
        <v>170</v>
      </c>
      <c r="E845" s="711">
        <v>4.9200000000000001E-2</v>
      </c>
    </row>
    <row r="846" spans="1:5" x14ac:dyDescent="0.3">
      <c r="A846" s="397"/>
      <c r="B846" s="709">
        <v>105649</v>
      </c>
      <c r="C846" s="710" t="s">
        <v>1228</v>
      </c>
      <c r="D846" s="709" t="s">
        <v>170</v>
      </c>
      <c r="E846" s="711">
        <v>4.3200000000000002E-2</v>
      </c>
    </row>
    <row r="847" spans="1:5" x14ac:dyDescent="0.3">
      <c r="A847" s="397"/>
      <c r="B847" s="709">
        <v>105655</v>
      </c>
      <c r="C847" s="710" t="s">
        <v>1229</v>
      </c>
      <c r="D847" s="709" t="s">
        <v>170</v>
      </c>
      <c r="E847" s="711">
        <v>4.0099999999999997E-2</v>
      </c>
    </row>
    <row r="848" spans="1:5" x14ac:dyDescent="0.3">
      <c r="A848" s="397"/>
      <c r="B848" s="709">
        <v>105662</v>
      </c>
      <c r="C848" s="710" t="s">
        <v>1230</v>
      </c>
      <c r="D848" s="709" t="s">
        <v>170</v>
      </c>
      <c r="E848" s="711">
        <v>7.4499999999999997E-2</v>
      </c>
    </row>
    <row r="849" spans="1:5" x14ac:dyDescent="0.3">
      <c r="A849" s="397"/>
      <c r="B849" s="709">
        <v>105665</v>
      </c>
      <c r="C849" s="710" t="s">
        <v>1231</v>
      </c>
      <c r="D849" s="709" t="s">
        <v>170</v>
      </c>
      <c r="E849" s="711">
        <v>5.8900000000000001E-2</v>
      </c>
    </row>
    <row r="850" spans="1:5" x14ac:dyDescent="0.3">
      <c r="A850" s="397"/>
      <c r="B850" s="709">
        <v>105671</v>
      </c>
      <c r="C850" s="710" t="s">
        <v>1232</v>
      </c>
      <c r="D850" s="709" t="s">
        <v>170</v>
      </c>
      <c r="E850" s="711">
        <v>5.0500000000000003E-2</v>
      </c>
    </row>
    <row r="851" spans="1:5" x14ac:dyDescent="0.3">
      <c r="A851" s="397"/>
      <c r="B851" s="709">
        <v>105644</v>
      </c>
      <c r="C851" s="710" t="s">
        <v>1233</v>
      </c>
      <c r="D851" s="709" t="s">
        <v>170</v>
      </c>
      <c r="E851" s="711">
        <v>4.3299999999999998E-2</v>
      </c>
    </row>
    <row r="852" spans="1:5" x14ac:dyDescent="0.3">
      <c r="A852" s="397"/>
      <c r="B852" s="709">
        <v>105650</v>
      </c>
      <c r="C852" s="710" t="s">
        <v>1234</v>
      </c>
      <c r="D852" s="709" t="s">
        <v>170</v>
      </c>
      <c r="E852" s="711">
        <v>3.7999999999999999E-2</v>
      </c>
    </row>
    <row r="853" spans="1:5" x14ac:dyDescent="0.3">
      <c r="A853" s="397"/>
      <c r="B853" s="709">
        <v>105656</v>
      </c>
      <c r="C853" s="710" t="s">
        <v>1235</v>
      </c>
      <c r="D853" s="709" t="s">
        <v>170</v>
      </c>
      <c r="E853" s="711">
        <v>3.5200000000000002E-2</v>
      </c>
    </row>
    <row r="854" spans="1:5" x14ac:dyDescent="0.3">
      <c r="A854" s="397"/>
      <c r="B854" s="709">
        <v>105577</v>
      </c>
      <c r="C854" s="710" t="s">
        <v>1236</v>
      </c>
      <c r="D854" s="709" t="s">
        <v>170</v>
      </c>
      <c r="E854" s="711">
        <v>0.16830000000000001</v>
      </c>
    </row>
    <row r="855" spans="1:5" x14ac:dyDescent="0.3">
      <c r="A855" s="397"/>
      <c r="B855" s="709">
        <v>105578</v>
      </c>
      <c r="C855" s="710" t="s">
        <v>1237</v>
      </c>
      <c r="D855" s="709" t="s">
        <v>170</v>
      </c>
      <c r="E855" s="711">
        <v>0.13950000000000001</v>
      </c>
    </row>
    <row r="856" spans="1:5" x14ac:dyDescent="0.3">
      <c r="A856" s="397"/>
      <c r="B856" s="709">
        <v>105712</v>
      </c>
      <c r="C856" s="710" t="s">
        <v>1238</v>
      </c>
      <c r="D856" s="709" t="s">
        <v>170</v>
      </c>
      <c r="E856" s="711">
        <v>0.1229</v>
      </c>
    </row>
    <row r="857" spans="1:5" x14ac:dyDescent="0.3">
      <c r="A857" s="397"/>
      <c r="B857" s="709">
        <v>105637</v>
      </c>
      <c r="C857" s="710" t="s">
        <v>1239</v>
      </c>
      <c r="D857" s="709" t="s">
        <v>170</v>
      </c>
      <c r="E857" s="711">
        <v>8.2900000000000001E-2</v>
      </c>
    </row>
    <row r="858" spans="1:5" x14ac:dyDescent="0.3">
      <c r="A858" s="397"/>
      <c r="B858" s="709">
        <v>105707</v>
      </c>
      <c r="C858" s="710" t="s">
        <v>1240</v>
      </c>
      <c r="D858" s="709" t="s">
        <v>170</v>
      </c>
      <c r="E858" s="711">
        <v>7.3700000000000002E-2</v>
      </c>
    </row>
    <row r="859" spans="1:5" x14ac:dyDescent="0.3">
      <c r="A859" s="397"/>
      <c r="B859" s="709">
        <v>105709</v>
      </c>
      <c r="C859" s="710" t="s">
        <v>1241</v>
      </c>
      <c r="D859" s="709" t="s">
        <v>170</v>
      </c>
      <c r="E859" s="711">
        <v>6.8900000000000003E-2</v>
      </c>
    </row>
    <row r="860" spans="1:5" x14ac:dyDescent="0.3">
      <c r="A860" s="397"/>
      <c r="B860" s="709">
        <v>105693</v>
      </c>
      <c r="C860" s="710" t="s">
        <v>1242</v>
      </c>
      <c r="D860" s="709" t="s">
        <v>170</v>
      </c>
      <c r="E860" s="711">
        <v>0.1087</v>
      </c>
    </row>
    <row r="861" spans="1:5" x14ac:dyDescent="0.3">
      <c r="A861" s="397"/>
      <c r="B861" s="709">
        <v>105696</v>
      </c>
      <c r="C861" s="710" t="s">
        <v>1243</v>
      </c>
      <c r="D861" s="709" t="s">
        <v>170</v>
      </c>
      <c r="E861" s="711">
        <v>8.7400000000000005E-2</v>
      </c>
    </row>
    <row r="862" spans="1:5" x14ac:dyDescent="0.3">
      <c r="A862" s="397"/>
      <c r="B862" s="709">
        <v>105702</v>
      </c>
      <c r="C862" s="710" t="s">
        <v>1244</v>
      </c>
      <c r="D862" s="709" t="s">
        <v>170</v>
      </c>
      <c r="E862" s="711">
        <v>7.5700000000000003E-2</v>
      </c>
    </row>
    <row r="863" spans="1:5" x14ac:dyDescent="0.3">
      <c r="A863" s="397"/>
      <c r="B863" s="709">
        <v>105675</v>
      </c>
      <c r="C863" s="710" t="s">
        <v>1245</v>
      </c>
      <c r="D863" s="709" t="s">
        <v>170</v>
      </c>
      <c r="E863" s="711">
        <v>6.2300000000000001E-2</v>
      </c>
    </row>
    <row r="864" spans="1:5" x14ac:dyDescent="0.3">
      <c r="A864" s="397"/>
      <c r="B864" s="709">
        <v>105681</v>
      </c>
      <c r="C864" s="710" t="s">
        <v>1246</v>
      </c>
      <c r="D864" s="709" t="s">
        <v>170</v>
      </c>
      <c r="E864" s="711">
        <v>5.5E-2</v>
      </c>
    </row>
    <row r="865" spans="1:5" x14ac:dyDescent="0.3">
      <c r="A865" s="397"/>
      <c r="B865" s="709">
        <v>105687</v>
      </c>
      <c r="C865" s="710" t="s">
        <v>1247</v>
      </c>
      <c r="D865" s="709" t="s">
        <v>170</v>
      </c>
      <c r="E865" s="711">
        <v>5.1200000000000002E-2</v>
      </c>
    </row>
    <row r="866" spans="1:5" x14ac:dyDescent="0.3">
      <c r="A866" s="397"/>
      <c r="B866" s="709">
        <v>105694</v>
      </c>
      <c r="C866" s="710" t="s">
        <v>1248</v>
      </c>
      <c r="D866" s="709" t="s">
        <v>170</v>
      </c>
      <c r="E866" s="711">
        <v>9.0700000000000003E-2</v>
      </c>
    </row>
    <row r="867" spans="1:5" x14ac:dyDescent="0.3">
      <c r="A867" s="397"/>
      <c r="B867" s="709">
        <v>105697</v>
      </c>
      <c r="C867" s="710" t="s">
        <v>1249</v>
      </c>
      <c r="D867" s="709" t="s">
        <v>170</v>
      </c>
      <c r="E867" s="711">
        <v>7.22E-2</v>
      </c>
    </row>
    <row r="868" spans="1:5" x14ac:dyDescent="0.3">
      <c r="A868" s="397"/>
      <c r="B868" s="709">
        <v>105703</v>
      </c>
      <c r="C868" s="710" t="s">
        <v>1250</v>
      </c>
      <c r="D868" s="709" t="s">
        <v>170</v>
      </c>
      <c r="E868" s="711">
        <v>6.2300000000000001E-2</v>
      </c>
    </row>
    <row r="869" spans="1:5" x14ac:dyDescent="0.3">
      <c r="A869" s="397"/>
      <c r="B869" s="709">
        <v>105676</v>
      </c>
      <c r="C869" s="710" t="s">
        <v>1251</v>
      </c>
      <c r="D869" s="709" t="s">
        <v>170</v>
      </c>
      <c r="E869" s="711">
        <v>5.3100000000000001E-2</v>
      </c>
    </row>
    <row r="870" spans="1:5" x14ac:dyDescent="0.3">
      <c r="A870" s="397"/>
      <c r="B870" s="709">
        <v>105682</v>
      </c>
      <c r="C870" s="710" t="s">
        <v>1252</v>
      </c>
      <c r="D870" s="709" t="s">
        <v>170</v>
      </c>
      <c r="E870" s="711">
        <v>4.6699999999999998E-2</v>
      </c>
    </row>
    <row r="871" spans="1:5" x14ac:dyDescent="0.3">
      <c r="A871" s="397"/>
      <c r="B871" s="709">
        <v>105688</v>
      </c>
      <c r="C871" s="710" t="s">
        <v>1253</v>
      </c>
      <c r="D871" s="709" t="s">
        <v>170</v>
      </c>
      <c r="E871" s="711">
        <v>4.3400000000000001E-2</v>
      </c>
    </row>
    <row r="872" spans="1:5" x14ac:dyDescent="0.3">
      <c r="A872" s="397"/>
      <c r="B872" s="709">
        <v>105695</v>
      </c>
      <c r="C872" s="710" t="s">
        <v>1254</v>
      </c>
      <c r="D872" s="709" t="s">
        <v>170</v>
      </c>
      <c r="E872" s="711">
        <v>7.8E-2</v>
      </c>
    </row>
    <row r="873" spans="1:5" x14ac:dyDescent="0.3">
      <c r="A873" s="397"/>
      <c r="B873" s="709">
        <v>105698</v>
      </c>
      <c r="C873" s="710" t="s">
        <v>1255</v>
      </c>
      <c r="D873" s="709" t="s">
        <v>170</v>
      </c>
      <c r="E873" s="711">
        <v>6.1699999999999998E-2</v>
      </c>
    </row>
    <row r="874" spans="1:5" x14ac:dyDescent="0.3">
      <c r="A874" s="397"/>
      <c r="B874" s="709">
        <v>105704</v>
      </c>
      <c r="C874" s="710" t="s">
        <v>1256</v>
      </c>
      <c r="D874" s="709" t="s">
        <v>170</v>
      </c>
      <c r="E874" s="711">
        <v>5.2999999999999999E-2</v>
      </c>
    </row>
    <row r="875" spans="1:5" x14ac:dyDescent="0.3">
      <c r="A875" s="397"/>
      <c r="B875" s="709">
        <v>105677</v>
      </c>
      <c r="C875" s="710" t="s">
        <v>1257</v>
      </c>
      <c r="D875" s="709" t="s">
        <v>170</v>
      </c>
      <c r="E875" s="711">
        <v>4.6300000000000001E-2</v>
      </c>
    </row>
    <row r="876" spans="1:5" x14ac:dyDescent="0.3">
      <c r="A876" s="397"/>
      <c r="B876" s="709">
        <v>105683</v>
      </c>
      <c r="C876" s="710" t="s">
        <v>1258</v>
      </c>
      <c r="D876" s="709" t="s">
        <v>170</v>
      </c>
      <c r="E876" s="711">
        <v>4.0599999999999997E-2</v>
      </c>
    </row>
    <row r="877" spans="1:5" x14ac:dyDescent="0.3">
      <c r="A877" s="397"/>
      <c r="B877" s="709">
        <v>105689</v>
      </c>
      <c r="C877" s="710" t="s">
        <v>1259</v>
      </c>
      <c r="D877" s="709" t="s">
        <v>170</v>
      </c>
      <c r="E877" s="711">
        <v>3.7600000000000001E-2</v>
      </c>
    </row>
    <row r="878" spans="1:5" x14ac:dyDescent="0.3">
      <c r="A878" s="397"/>
      <c r="B878" s="709">
        <v>105579</v>
      </c>
      <c r="C878" s="710" t="s">
        <v>1260</v>
      </c>
      <c r="D878" s="709" t="s">
        <v>170</v>
      </c>
      <c r="E878" s="711">
        <v>0.18870000000000001</v>
      </c>
    </row>
    <row r="879" spans="1:5" x14ac:dyDescent="0.3">
      <c r="A879" s="397"/>
      <c r="B879" s="709">
        <v>105580</v>
      </c>
      <c r="C879" s="710" t="s">
        <v>1261</v>
      </c>
      <c r="D879" s="709" t="s">
        <v>170</v>
      </c>
      <c r="E879" s="711">
        <v>0.158</v>
      </c>
    </row>
    <row r="880" spans="1:5" x14ac:dyDescent="0.3">
      <c r="A880" s="397"/>
      <c r="B880" s="709">
        <v>105582</v>
      </c>
      <c r="C880" s="710" t="s">
        <v>1262</v>
      </c>
      <c r="D880" s="709" t="s">
        <v>170</v>
      </c>
      <c r="E880" s="711">
        <v>0.14019999999999999</v>
      </c>
    </row>
    <row r="881" spans="1:5" x14ac:dyDescent="0.3">
      <c r="A881" s="397"/>
      <c r="B881" s="709">
        <v>105638</v>
      </c>
      <c r="C881" s="710" t="s">
        <v>1263</v>
      </c>
      <c r="D881" s="709" t="s">
        <v>170</v>
      </c>
      <c r="E881" s="711">
        <v>9.5399999999999999E-2</v>
      </c>
    </row>
    <row r="882" spans="1:5" x14ac:dyDescent="0.3">
      <c r="A882" s="397"/>
      <c r="B882" s="709">
        <v>105715</v>
      </c>
      <c r="C882" s="710" t="s">
        <v>1264</v>
      </c>
      <c r="D882" s="709" t="s">
        <v>170</v>
      </c>
      <c r="E882" s="711">
        <v>8.5199999999999998E-2</v>
      </c>
    </row>
    <row r="883" spans="1:5" x14ac:dyDescent="0.3">
      <c r="A883" s="397"/>
      <c r="B883" s="709">
        <v>105717</v>
      </c>
      <c r="C883" s="710" t="s">
        <v>1265</v>
      </c>
      <c r="D883" s="709" t="s">
        <v>170</v>
      </c>
      <c r="E883" s="711">
        <v>7.9799999999999996E-2</v>
      </c>
    </row>
    <row r="884" spans="1:5" x14ac:dyDescent="0.3">
      <c r="A884" s="397"/>
      <c r="B884" s="709">
        <v>105626</v>
      </c>
      <c r="C884" s="710" t="s">
        <v>1266</v>
      </c>
      <c r="D884" s="709" t="s">
        <v>170</v>
      </c>
      <c r="E884" s="711">
        <v>7.9399999999999998E-2</v>
      </c>
    </row>
    <row r="885" spans="1:5" x14ac:dyDescent="0.3">
      <c r="A885" s="397"/>
      <c r="B885" s="709">
        <v>105629</v>
      </c>
      <c r="C885" s="710" t="s">
        <v>1267</v>
      </c>
      <c r="D885" s="709" t="s">
        <v>170</v>
      </c>
      <c r="E885" s="711">
        <v>5.57E-2</v>
      </c>
    </row>
    <row r="886" spans="1:5" x14ac:dyDescent="0.3">
      <c r="A886" s="397"/>
      <c r="B886" s="709">
        <v>105635</v>
      </c>
      <c r="C886" s="710" t="s">
        <v>1268</v>
      </c>
      <c r="D886" s="709" t="s">
        <v>170</v>
      </c>
      <c r="E886" s="711">
        <v>5.3600000000000002E-2</v>
      </c>
    </row>
    <row r="887" spans="1:5" x14ac:dyDescent="0.3">
      <c r="A887" s="397"/>
      <c r="B887" s="709">
        <v>105605</v>
      </c>
      <c r="C887" s="710" t="s">
        <v>1269</v>
      </c>
      <c r="D887" s="709" t="s">
        <v>170</v>
      </c>
      <c r="E887" s="711">
        <v>6.6299999999999998E-2</v>
      </c>
    </row>
    <row r="888" spans="1:5" x14ac:dyDescent="0.3">
      <c r="A888" s="397"/>
      <c r="B888" s="709">
        <v>105613</v>
      </c>
      <c r="C888" s="710" t="s">
        <v>1270</v>
      </c>
      <c r="D888" s="709" t="s">
        <v>170</v>
      </c>
      <c r="E888" s="711">
        <v>5.96E-2</v>
      </c>
    </row>
    <row r="889" spans="1:5" x14ac:dyDescent="0.3">
      <c r="A889" s="397"/>
      <c r="B889" s="709">
        <v>105621</v>
      </c>
      <c r="C889" s="710" t="s">
        <v>1271</v>
      </c>
      <c r="D889" s="709" t="s">
        <v>170</v>
      </c>
      <c r="E889" s="711">
        <v>5.4600000000000003E-2</v>
      </c>
    </row>
    <row r="890" spans="1:5" x14ac:dyDescent="0.3">
      <c r="A890" s="397"/>
      <c r="B890" s="709">
        <v>105627</v>
      </c>
      <c r="C890" s="710" t="s">
        <v>1272</v>
      </c>
      <c r="D890" s="709" t="s">
        <v>170</v>
      </c>
      <c r="E890" s="711">
        <v>6.3100000000000003E-2</v>
      </c>
    </row>
    <row r="891" spans="1:5" x14ac:dyDescent="0.3">
      <c r="A891" s="397"/>
      <c r="B891" s="709">
        <v>105630</v>
      </c>
      <c r="C891" s="710" t="s">
        <v>1273</v>
      </c>
      <c r="D891" s="709" t="s">
        <v>170</v>
      </c>
      <c r="E891" s="711">
        <v>4.3700000000000003E-2</v>
      </c>
    </row>
    <row r="892" spans="1:5" x14ac:dyDescent="0.3">
      <c r="A892" s="397"/>
      <c r="B892" s="709">
        <v>105636</v>
      </c>
      <c r="C892" s="710" t="s">
        <v>1274</v>
      </c>
      <c r="D892" s="709" t="s">
        <v>170</v>
      </c>
      <c r="E892" s="711">
        <v>4.2000000000000003E-2</v>
      </c>
    </row>
    <row r="893" spans="1:5" x14ac:dyDescent="0.3">
      <c r="A893" s="397"/>
      <c r="B893" s="709">
        <v>105606</v>
      </c>
      <c r="C893" s="710" t="s">
        <v>1275</v>
      </c>
      <c r="D893" s="709" t="s">
        <v>170</v>
      </c>
      <c r="E893" s="711">
        <v>5.1999999999999998E-2</v>
      </c>
    </row>
    <row r="894" spans="1:5" x14ac:dyDescent="0.3">
      <c r="A894" s="397"/>
      <c r="B894" s="709">
        <v>105614</v>
      </c>
      <c r="C894" s="710" t="s">
        <v>1276</v>
      </c>
      <c r="D894" s="709" t="s">
        <v>170</v>
      </c>
      <c r="E894" s="711">
        <v>4.65E-2</v>
      </c>
    </row>
    <row r="895" spans="1:5" x14ac:dyDescent="0.3">
      <c r="A895" s="397"/>
      <c r="B895" s="709">
        <v>105622</v>
      </c>
      <c r="C895" s="710" t="s">
        <v>1277</v>
      </c>
      <c r="D895" s="709" t="s">
        <v>170</v>
      </c>
      <c r="E895" s="711">
        <v>4.2500000000000003E-2</v>
      </c>
    </row>
    <row r="896" spans="1:5" x14ac:dyDescent="0.3">
      <c r="A896" s="397"/>
      <c r="B896" s="709">
        <v>105572</v>
      </c>
      <c r="C896" s="710" t="s">
        <v>1278</v>
      </c>
      <c r="D896" s="709" t="s">
        <v>170</v>
      </c>
      <c r="E896" s="711">
        <v>0.1704</v>
      </c>
    </row>
    <row r="897" spans="1:5" x14ac:dyDescent="0.3">
      <c r="A897" s="397"/>
      <c r="B897" s="709">
        <v>105574</v>
      </c>
      <c r="C897" s="710" t="s">
        <v>1279</v>
      </c>
      <c r="D897" s="709" t="s">
        <v>170</v>
      </c>
      <c r="E897" s="711">
        <v>0.1278</v>
      </c>
    </row>
    <row r="898" spans="1:5" x14ac:dyDescent="0.3">
      <c r="A898" s="397"/>
      <c r="B898" s="709">
        <v>105576</v>
      </c>
      <c r="C898" s="710" t="s">
        <v>1280</v>
      </c>
      <c r="D898" s="709" t="s">
        <v>170</v>
      </c>
      <c r="E898" s="711">
        <v>0.1242</v>
      </c>
    </row>
    <row r="899" spans="1:5" x14ac:dyDescent="0.3">
      <c r="A899" s="397"/>
      <c r="B899" s="709">
        <v>105603</v>
      </c>
      <c r="C899" s="710" t="s">
        <v>1281</v>
      </c>
      <c r="D899" s="709" t="s">
        <v>170</v>
      </c>
      <c r="E899" s="711">
        <v>0.1474</v>
      </c>
    </row>
    <row r="900" spans="1:5" x14ac:dyDescent="0.3">
      <c r="A900" s="397"/>
      <c r="B900" s="709">
        <v>105611</v>
      </c>
      <c r="C900" s="710" t="s">
        <v>1282</v>
      </c>
      <c r="D900" s="709" t="s">
        <v>170</v>
      </c>
      <c r="E900" s="711">
        <v>0.1361</v>
      </c>
    </row>
    <row r="901" spans="1:5" x14ac:dyDescent="0.3">
      <c r="A901" s="397"/>
      <c r="B901" s="709">
        <v>105619</v>
      </c>
      <c r="C901" s="710" t="s">
        <v>1283</v>
      </c>
      <c r="D901" s="709" t="s">
        <v>170</v>
      </c>
      <c r="E901" s="711">
        <v>0.1275</v>
      </c>
    </row>
    <row r="902" spans="1:5" x14ac:dyDescent="0.3">
      <c r="A902" s="397"/>
      <c r="B902" s="709">
        <v>105573</v>
      </c>
      <c r="C902" s="710" t="s">
        <v>1284</v>
      </c>
      <c r="D902" s="709" t="s">
        <v>170</v>
      </c>
      <c r="E902" s="711">
        <v>0.10780000000000001</v>
      </c>
    </row>
    <row r="903" spans="1:5" x14ac:dyDescent="0.3">
      <c r="A903" s="397"/>
      <c r="B903" s="709">
        <v>105628</v>
      </c>
      <c r="C903" s="710" t="s">
        <v>1285</v>
      </c>
      <c r="D903" s="709" t="s">
        <v>170</v>
      </c>
      <c r="E903" s="711">
        <v>7.7200000000000005E-2</v>
      </c>
    </row>
    <row r="904" spans="1:5" x14ac:dyDescent="0.3">
      <c r="A904" s="397"/>
      <c r="B904" s="709">
        <v>105634</v>
      </c>
      <c r="C904" s="710" t="s">
        <v>1286</v>
      </c>
      <c r="D904" s="709" t="s">
        <v>170</v>
      </c>
      <c r="E904" s="711">
        <v>7.4499999999999997E-2</v>
      </c>
    </row>
    <row r="905" spans="1:5" x14ac:dyDescent="0.3">
      <c r="A905" s="397"/>
      <c r="B905" s="709">
        <v>105604</v>
      </c>
      <c r="C905" s="710" t="s">
        <v>1287</v>
      </c>
      <c r="D905" s="709" t="s">
        <v>170</v>
      </c>
      <c r="E905" s="711">
        <v>9.1499999999999998E-2</v>
      </c>
    </row>
    <row r="906" spans="1:5" x14ac:dyDescent="0.3">
      <c r="A906" s="397"/>
      <c r="B906" s="709">
        <v>105612</v>
      </c>
      <c r="C906" s="710" t="s">
        <v>1288</v>
      </c>
      <c r="D906" s="709" t="s">
        <v>170</v>
      </c>
      <c r="E906" s="711">
        <v>8.2900000000000001E-2</v>
      </c>
    </row>
    <row r="907" spans="1:5" x14ac:dyDescent="0.3">
      <c r="A907" s="397"/>
      <c r="B907" s="709">
        <v>105620</v>
      </c>
      <c r="C907" s="710" t="s">
        <v>1289</v>
      </c>
      <c r="D907" s="709" t="s">
        <v>170</v>
      </c>
      <c r="E907" s="711">
        <v>7.6499999999999999E-2</v>
      </c>
    </row>
    <row r="908" spans="1:5" x14ac:dyDescent="0.3">
      <c r="A908" s="397"/>
      <c r="B908" s="709">
        <v>105586</v>
      </c>
      <c r="C908" s="710" t="s">
        <v>1290</v>
      </c>
      <c r="D908" s="709" t="s">
        <v>170</v>
      </c>
      <c r="E908" s="711">
        <v>0.1981</v>
      </c>
    </row>
    <row r="909" spans="1:5" x14ac:dyDescent="0.3">
      <c r="A909" s="397"/>
      <c r="B909" s="709">
        <v>105587</v>
      </c>
      <c r="C909" s="710" t="s">
        <v>1291</v>
      </c>
      <c r="D909" s="709" t="s">
        <v>170</v>
      </c>
      <c r="E909" s="711">
        <v>0.16350000000000001</v>
      </c>
    </row>
    <row r="910" spans="1:5" x14ac:dyDescent="0.3">
      <c r="A910" s="397"/>
      <c r="B910" s="709">
        <v>105589</v>
      </c>
      <c r="C910" s="710" t="s">
        <v>1292</v>
      </c>
      <c r="D910" s="709" t="s">
        <v>170</v>
      </c>
      <c r="E910" s="711">
        <v>0.16089999999999999</v>
      </c>
    </row>
    <row r="911" spans="1:5" x14ac:dyDescent="0.3">
      <c r="A911" s="397"/>
      <c r="B911" s="709">
        <v>105584</v>
      </c>
      <c r="C911" s="710" t="s">
        <v>1293</v>
      </c>
      <c r="D911" s="709" t="s">
        <v>170</v>
      </c>
      <c r="E911" s="711">
        <v>0.1002</v>
      </c>
    </row>
    <row r="912" spans="1:5" x14ac:dyDescent="0.3">
      <c r="A912" s="397"/>
      <c r="B912" s="709">
        <v>105720</v>
      </c>
      <c r="C912" s="710" t="s">
        <v>1294</v>
      </c>
      <c r="D912" s="709" t="s">
        <v>170</v>
      </c>
      <c r="E912" s="711">
        <v>8.6099999999999996E-2</v>
      </c>
    </row>
    <row r="913" spans="1:5" x14ac:dyDescent="0.3">
      <c r="A913" s="397"/>
      <c r="B913" s="709">
        <v>105722</v>
      </c>
      <c r="C913" s="710" t="s">
        <v>1295</v>
      </c>
      <c r="D913" s="709" t="s">
        <v>170</v>
      </c>
      <c r="E913" s="711">
        <v>8.77E-2</v>
      </c>
    </row>
    <row r="914" spans="1:5" x14ac:dyDescent="0.3">
      <c r="A914" s="397"/>
      <c r="B914" s="709">
        <v>105593</v>
      </c>
      <c r="C914" s="710" t="s">
        <v>1296</v>
      </c>
      <c r="D914" s="709" t="s">
        <v>170</v>
      </c>
      <c r="E914" s="711">
        <v>0.2198</v>
      </c>
    </row>
    <row r="915" spans="1:5" x14ac:dyDescent="0.3">
      <c r="A915" s="397"/>
      <c r="B915" s="709">
        <v>105594</v>
      </c>
      <c r="C915" s="710" t="s">
        <v>1297</v>
      </c>
      <c r="D915" s="709" t="s">
        <v>170</v>
      </c>
      <c r="E915" s="711">
        <v>0.1837</v>
      </c>
    </row>
    <row r="916" spans="1:5" x14ac:dyDescent="0.3">
      <c r="A916" s="397"/>
      <c r="B916" s="709">
        <v>105596</v>
      </c>
      <c r="C916" s="710" t="s">
        <v>1298</v>
      </c>
      <c r="D916" s="709" t="s">
        <v>170</v>
      </c>
      <c r="E916" s="711">
        <v>0.18099999999999999</v>
      </c>
    </row>
    <row r="917" spans="1:5" x14ac:dyDescent="0.3">
      <c r="A917" s="397"/>
      <c r="B917" s="709">
        <v>105591</v>
      </c>
      <c r="C917" s="710" t="s">
        <v>1299</v>
      </c>
      <c r="D917" s="709" t="s">
        <v>170</v>
      </c>
      <c r="E917" s="711">
        <v>0.1143</v>
      </c>
    </row>
    <row r="918" spans="1:5" x14ac:dyDescent="0.3">
      <c r="A918" s="397"/>
      <c r="B918" s="709">
        <v>105724</v>
      </c>
      <c r="C918" s="710" t="s">
        <v>1300</v>
      </c>
      <c r="D918" s="709" t="s">
        <v>170</v>
      </c>
      <c r="E918" s="711">
        <v>9.9000000000000005E-2</v>
      </c>
    </row>
    <row r="919" spans="1:5" x14ac:dyDescent="0.3">
      <c r="A919" s="397"/>
      <c r="B919" s="709">
        <v>105726</v>
      </c>
      <c r="C919" s="710" t="s">
        <v>1301</v>
      </c>
      <c r="D919" s="709" t="s">
        <v>170</v>
      </c>
      <c r="E919" s="711">
        <v>0.1008</v>
      </c>
    </row>
    <row r="920" spans="1:5" x14ac:dyDescent="0.3">
      <c r="A920" s="397"/>
      <c r="B920" s="709">
        <v>105567</v>
      </c>
      <c r="C920" s="710" t="s">
        <v>1302</v>
      </c>
      <c r="D920" s="709" t="s">
        <v>170</v>
      </c>
      <c r="E920" s="711">
        <v>0.33839999999999998</v>
      </c>
    </row>
    <row r="921" spans="1:5" x14ac:dyDescent="0.3">
      <c r="A921" s="397"/>
      <c r="B921" s="709">
        <v>105568</v>
      </c>
      <c r="C921" s="710" t="s">
        <v>1303</v>
      </c>
      <c r="D921" s="709" t="s">
        <v>170</v>
      </c>
      <c r="E921" s="711">
        <v>0.33069999999999999</v>
      </c>
    </row>
    <row r="922" spans="1:5" x14ac:dyDescent="0.3">
      <c r="A922" s="397"/>
      <c r="B922" s="709">
        <v>105570</v>
      </c>
      <c r="C922" s="710" t="s">
        <v>1304</v>
      </c>
      <c r="D922" s="709" t="s">
        <v>170</v>
      </c>
      <c r="E922" s="711">
        <v>0.3246</v>
      </c>
    </row>
    <row r="923" spans="1:5" x14ac:dyDescent="0.3">
      <c r="A923" s="397"/>
      <c r="B923" s="709">
        <v>100575</v>
      </c>
      <c r="C923" s="710" t="s">
        <v>1305</v>
      </c>
      <c r="D923" s="709" t="s">
        <v>168</v>
      </c>
      <c r="E923" s="711">
        <v>0.4</v>
      </c>
    </row>
    <row r="924" spans="1:5" x14ac:dyDescent="0.3">
      <c r="A924" s="397"/>
      <c r="B924" s="709">
        <v>100577</v>
      </c>
      <c r="C924" s="710" t="s">
        <v>1306</v>
      </c>
      <c r="D924" s="709" t="s">
        <v>168</v>
      </c>
      <c r="E924" s="711">
        <v>0.29220000000000002</v>
      </c>
    </row>
    <row r="925" spans="1:5" x14ac:dyDescent="0.3">
      <c r="A925" s="397"/>
      <c r="B925" s="709">
        <v>105598</v>
      </c>
      <c r="C925" s="710" t="s">
        <v>1307</v>
      </c>
      <c r="D925" s="709" t="s">
        <v>168</v>
      </c>
      <c r="E925" s="711">
        <v>0.32679999999999998</v>
      </c>
    </row>
    <row r="926" spans="1:5" x14ac:dyDescent="0.3">
      <c r="A926" s="397"/>
      <c r="B926" s="709">
        <v>100576</v>
      </c>
      <c r="C926" s="710" t="s">
        <v>1308</v>
      </c>
      <c r="D926" s="709" t="s">
        <v>168</v>
      </c>
      <c r="E926" s="711">
        <v>0.36630000000000001</v>
      </c>
    </row>
    <row r="927" spans="1:5" x14ac:dyDescent="0.3">
      <c r="A927" s="397"/>
      <c r="B927" s="709">
        <v>105597</v>
      </c>
      <c r="C927" s="710" t="s">
        <v>1309</v>
      </c>
      <c r="D927" s="709" t="s">
        <v>168</v>
      </c>
      <c r="E927" s="711">
        <v>0.3947</v>
      </c>
    </row>
    <row r="928" spans="1:5" x14ac:dyDescent="0.3">
      <c r="A928" s="397"/>
      <c r="B928" s="709">
        <v>102730</v>
      </c>
      <c r="C928" s="710" t="s">
        <v>1310</v>
      </c>
      <c r="D928" s="709" t="s">
        <v>175</v>
      </c>
      <c r="E928" s="711">
        <v>0.23769999999999999</v>
      </c>
    </row>
    <row r="929" spans="1:5" x14ac:dyDescent="0.3">
      <c r="A929" s="397"/>
      <c r="B929" s="709">
        <v>102731</v>
      </c>
      <c r="C929" s="710" t="s">
        <v>1311</v>
      </c>
      <c r="D929" s="709" t="s">
        <v>175</v>
      </c>
      <c r="E929" s="711">
        <v>0.20150000000000001</v>
      </c>
    </row>
    <row r="930" spans="1:5" x14ac:dyDescent="0.3">
      <c r="A930" s="397"/>
      <c r="B930" s="709">
        <v>102732</v>
      </c>
      <c r="C930" s="710" t="s">
        <v>1312</v>
      </c>
      <c r="D930" s="709" t="s">
        <v>175</v>
      </c>
      <c r="E930" s="711">
        <v>0.14219999999999999</v>
      </c>
    </row>
    <row r="931" spans="1:5" x14ac:dyDescent="0.3">
      <c r="A931" s="397"/>
      <c r="B931" s="709">
        <v>102733</v>
      </c>
      <c r="C931" s="710" t="s">
        <v>1313</v>
      </c>
      <c r="D931" s="709" t="s">
        <v>175</v>
      </c>
      <c r="E931" s="711">
        <v>8.4400000000000003E-2</v>
      </c>
    </row>
    <row r="932" spans="1:5" x14ac:dyDescent="0.3">
      <c r="A932" s="397"/>
      <c r="B932" s="709">
        <v>102728</v>
      </c>
      <c r="C932" s="710" t="s">
        <v>1314</v>
      </c>
      <c r="D932" s="709" t="s">
        <v>175</v>
      </c>
      <c r="E932" s="711">
        <v>0.37940000000000002</v>
      </c>
    </row>
    <row r="933" spans="1:5" x14ac:dyDescent="0.3">
      <c r="A933" s="397"/>
      <c r="B933" s="709">
        <v>102729</v>
      </c>
      <c r="C933" s="710" t="s">
        <v>1315</v>
      </c>
      <c r="D933" s="709" t="s">
        <v>175</v>
      </c>
      <c r="E933" s="711">
        <v>0.29210000000000003</v>
      </c>
    </row>
    <row r="934" spans="1:5" x14ac:dyDescent="0.3">
      <c r="A934" s="397"/>
      <c r="B934" s="709">
        <v>102734</v>
      </c>
      <c r="C934" s="710" t="s">
        <v>1316</v>
      </c>
      <c r="D934" s="709" t="s">
        <v>175</v>
      </c>
      <c r="E934" s="711">
        <v>0.30919999999999997</v>
      </c>
    </row>
    <row r="935" spans="1:5" x14ac:dyDescent="0.3">
      <c r="A935" s="397"/>
      <c r="B935" s="709">
        <v>102735</v>
      </c>
      <c r="C935" s="710" t="s">
        <v>1317</v>
      </c>
      <c r="D935" s="709" t="s">
        <v>175</v>
      </c>
      <c r="E935" s="711">
        <v>0.22819999999999999</v>
      </c>
    </row>
    <row r="936" spans="1:5" x14ac:dyDescent="0.3">
      <c r="A936" s="397"/>
      <c r="B936" s="709">
        <v>102765</v>
      </c>
      <c r="C936" s="710" t="s">
        <v>1318</v>
      </c>
      <c r="D936" s="709" t="s">
        <v>136</v>
      </c>
      <c r="E936" s="711">
        <v>0.29580000000000001</v>
      </c>
    </row>
    <row r="937" spans="1:5" x14ac:dyDescent="0.3">
      <c r="A937" s="397"/>
      <c r="B937" s="709">
        <v>102795</v>
      </c>
      <c r="C937" s="710" t="s">
        <v>1319</v>
      </c>
      <c r="D937" s="709" t="s">
        <v>136</v>
      </c>
      <c r="E937" s="711">
        <v>0.27039999999999997</v>
      </c>
    </row>
    <row r="938" spans="1:5" x14ac:dyDescent="0.3">
      <c r="A938" s="397"/>
      <c r="B938" s="709">
        <v>102766</v>
      </c>
      <c r="C938" s="710" t="s">
        <v>1320</v>
      </c>
      <c r="D938" s="709" t="s">
        <v>136</v>
      </c>
      <c r="E938" s="711">
        <v>0.27529999999999999</v>
      </c>
    </row>
    <row r="939" spans="1:5" x14ac:dyDescent="0.3">
      <c r="A939" s="397"/>
      <c r="B939" s="709">
        <v>102796</v>
      </c>
      <c r="C939" s="710" t="s">
        <v>1321</v>
      </c>
      <c r="D939" s="709" t="s">
        <v>136</v>
      </c>
      <c r="E939" s="711">
        <v>0.25559999999999999</v>
      </c>
    </row>
    <row r="940" spans="1:5" x14ac:dyDescent="0.3">
      <c r="A940" s="397"/>
      <c r="B940" s="709">
        <v>102767</v>
      </c>
      <c r="C940" s="710" t="s">
        <v>1322</v>
      </c>
      <c r="D940" s="709" t="s">
        <v>136</v>
      </c>
      <c r="E940" s="711">
        <v>0.26819999999999999</v>
      </c>
    </row>
    <row r="941" spans="1:5" x14ac:dyDescent="0.3">
      <c r="A941" s="397"/>
      <c r="B941" s="709">
        <v>102797</v>
      </c>
      <c r="C941" s="710" t="s">
        <v>1323</v>
      </c>
      <c r="D941" s="709" t="s">
        <v>136</v>
      </c>
      <c r="E941" s="711">
        <v>0.24970000000000001</v>
      </c>
    </row>
    <row r="942" spans="1:5" x14ac:dyDescent="0.3">
      <c r="A942" s="397"/>
      <c r="B942" s="709">
        <v>102768</v>
      </c>
      <c r="C942" s="710" t="s">
        <v>1324</v>
      </c>
      <c r="D942" s="709" t="s">
        <v>136</v>
      </c>
      <c r="E942" s="711">
        <v>0.249</v>
      </c>
    </row>
    <row r="943" spans="1:5" x14ac:dyDescent="0.3">
      <c r="A943" s="397"/>
      <c r="B943" s="709">
        <v>102798</v>
      </c>
      <c r="C943" s="710" t="s">
        <v>1325</v>
      </c>
      <c r="D943" s="709" t="s">
        <v>136</v>
      </c>
      <c r="E943" s="711">
        <v>0.246</v>
      </c>
    </row>
    <row r="944" spans="1:5" x14ac:dyDescent="0.3">
      <c r="A944" s="397"/>
      <c r="B944" s="709">
        <v>102744</v>
      </c>
      <c r="C944" s="710" t="s">
        <v>1326</v>
      </c>
      <c r="D944" s="709" t="s">
        <v>136</v>
      </c>
      <c r="E944" s="711">
        <v>0.27479999999999999</v>
      </c>
    </row>
    <row r="945" spans="1:5" x14ac:dyDescent="0.3">
      <c r="A945" s="397"/>
      <c r="B945" s="709">
        <v>102755</v>
      </c>
      <c r="C945" s="710" t="s">
        <v>1327</v>
      </c>
      <c r="D945" s="709" t="s">
        <v>136</v>
      </c>
      <c r="E945" s="711">
        <v>0.25829999999999997</v>
      </c>
    </row>
    <row r="946" spans="1:5" x14ac:dyDescent="0.3">
      <c r="A946" s="397"/>
      <c r="B946" s="709">
        <v>102782</v>
      </c>
      <c r="C946" s="710" t="s">
        <v>1328</v>
      </c>
      <c r="D946" s="709" t="s">
        <v>136</v>
      </c>
      <c r="E946" s="711">
        <v>0.27550000000000002</v>
      </c>
    </row>
    <row r="947" spans="1:5" x14ac:dyDescent="0.3">
      <c r="A947" s="397"/>
      <c r="B947" s="709">
        <v>102745</v>
      </c>
      <c r="C947" s="710" t="s">
        <v>1329</v>
      </c>
      <c r="D947" s="709" t="s">
        <v>136</v>
      </c>
      <c r="E947" s="711">
        <v>0.26879999999999998</v>
      </c>
    </row>
    <row r="948" spans="1:5" x14ac:dyDescent="0.3">
      <c r="A948" s="397"/>
      <c r="B948" s="709">
        <v>102756</v>
      </c>
      <c r="C948" s="710" t="s">
        <v>1330</v>
      </c>
      <c r="D948" s="709" t="s">
        <v>136</v>
      </c>
      <c r="E948" s="711">
        <v>0.25090000000000001</v>
      </c>
    </row>
    <row r="949" spans="1:5" x14ac:dyDescent="0.3">
      <c r="A949" s="397"/>
      <c r="B949" s="709">
        <v>102783</v>
      </c>
      <c r="C949" s="710" t="s">
        <v>1331</v>
      </c>
      <c r="D949" s="709" t="s">
        <v>136</v>
      </c>
      <c r="E949" s="711">
        <v>0.2797</v>
      </c>
    </row>
    <row r="950" spans="1:5" x14ac:dyDescent="0.3">
      <c r="A950" s="397"/>
      <c r="B950" s="709">
        <v>102746</v>
      </c>
      <c r="C950" s="710" t="s">
        <v>1332</v>
      </c>
      <c r="D950" s="709" t="s">
        <v>136</v>
      </c>
      <c r="E950" s="711">
        <v>0.26229999999999998</v>
      </c>
    </row>
    <row r="951" spans="1:5" x14ac:dyDescent="0.3">
      <c r="A951" s="397"/>
      <c r="B951" s="709">
        <v>102757</v>
      </c>
      <c r="C951" s="710" t="s">
        <v>1333</v>
      </c>
      <c r="D951" s="709" t="s">
        <v>136</v>
      </c>
      <c r="E951" s="711">
        <v>0.2437</v>
      </c>
    </row>
    <row r="952" spans="1:5" x14ac:dyDescent="0.3">
      <c r="A952" s="397"/>
      <c r="B952" s="709">
        <v>102784</v>
      </c>
      <c r="C952" s="710" t="s">
        <v>1334</v>
      </c>
      <c r="D952" s="709" t="s">
        <v>136</v>
      </c>
      <c r="E952" s="711">
        <v>0.2097</v>
      </c>
    </row>
    <row r="953" spans="1:5" x14ac:dyDescent="0.3">
      <c r="A953" s="397"/>
      <c r="B953" s="709">
        <v>102779</v>
      </c>
      <c r="C953" s="710" t="s">
        <v>1335</v>
      </c>
      <c r="D953" s="709" t="s">
        <v>136</v>
      </c>
      <c r="E953" s="711">
        <v>0.29409999999999997</v>
      </c>
    </row>
    <row r="954" spans="1:5" x14ac:dyDescent="0.3">
      <c r="A954" s="397"/>
      <c r="B954" s="709">
        <v>102780</v>
      </c>
      <c r="C954" s="710" t="s">
        <v>1336</v>
      </c>
      <c r="D954" s="709" t="s">
        <v>136</v>
      </c>
      <c r="E954" s="711">
        <v>0.29409999999999997</v>
      </c>
    </row>
    <row r="955" spans="1:5" x14ac:dyDescent="0.3">
      <c r="A955" s="397"/>
      <c r="B955" s="709">
        <v>102743</v>
      </c>
      <c r="C955" s="710" t="s">
        <v>1337</v>
      </c>
      <c r="D955" s="709" t="s">
        <v>136</v>
      </c>
      <c r="E955" s="711">
        <v>0.28129999999999999</v>
      </c>
    </row>
    <row r="956" spans="1:5" x14ac:dyDescent="0.3">
      <c r="A956" s="397"/>
      <c r="B956" s="709">
        <v>102781</v>
      </c>
      <c r="C956" s="710" t="s">
        <v>1338</v>
      </c>
      <c r="D956" s="709" t="s">
        <v>136</v>
      </c>
      <c r="E956" s="711">
        <v>0.29370000000000002</v>
      </c>
    </row>
    <row r="957" spans="1:5" x14ac:dyDescent="0.3">
      <c r="A957" s="397"/>
      <c r="B957" s="709">
        <v>102761</v>
      </c>
      <c r="C957" s="710" t="s">
        <v>1339</v>
      </c>
      <c r="D957" s="709" t="s">
        <v>136</v>
      </c>
      <c r="E957" s="711">
        <v>0.29849999999999999</v>
      </c>
    </row>
    <row r="958" spans="1:5" x14ac:dyDescent="0.3">
      <c r="A958" s="397"/>
      <c r="B958" s="709">
        <v>102791</v>
      </c>
      <c r="C958" s="710" t="s">
        <v>1340</v>
      </c>
      <c r="D958" s="709" t="s">
        <v>136</v>
      </c>
      <c r="E958" s="711">
        <v>0.26979999999999998</v>
      </c>
    </row>
    <row r="959" spans="1:5" x14ac:dyDescent="0.3">
      <c r="A959" s="397"/>
      <c r="B959" s="709">
        <v>102762</v>
      </c>
      <c r="C959" s="710" t="s">
        <v>1341</v>
      </c>
      <c r="D959" s="709" t="s">
        <v>136</v>
      </c>
      <c r="E959" s="711">
        <v>0.2772</v>
      </c>
    </row>
    <row r="960" spans="1:5" x14ac:dyDescent="0.3">
      <c r="A960" s="397"/>
      <c r="B960" s="709">
        <v>102792</v>
      </c>
      <c r="C960" s="710" t="s">
        <v>1342</v>
      </c>
      <c r="D960" s="709" t="s">
        <v>136</v>
      </c>
      <c r="E960" s="711">
        <v>0.25690000000000002</v>
      </c>
    </row>
    <row r="961" spans="1:5" x14ac:dyDescent="0.3">
      <c r="A961" s="397"/>
      <c r="B961" s="709">
        <v>102763</v>
      </c>
      <c r="C961" s="710" t="s">
        <v>1343</v>
      </c>
      <c r="D961" s="709" t="s">
        <v>136</v>
      </c>
      <c r="E961" s="711">
        <v>0.2702</v>
      </c>
    </row>
    <row r="962" spans="1:5" x14ac:dyDescent="0.3">
      <c r="A962" s="397"/>
      <c r="B962" s="709">
        <v>102793</v>
      </c>
      <c r="C962" s="710" t="s">
        <v>1344</v>
      </c>
      <c r="D962" s="709" t="s">
        <v>136</v>
      </c>
      <c r="E962" s="711">
        <v>0.2417</v>
      </c>
    </row>
    <row r="963" spans="1:5" x14ac:dyDescent="0.3">
      <c r="A963" s="397"/>
      <c r="B963" s="709">
        <v>102764</v>
      </c>
      <c r="C963" s="710" t="s">
        <v>1345</v>
      </c>
      <c r="D963" s="709" t="s">
        <v>136</v>
      </c>
      <c r="E963" s="711">
        <v>0.25109999999999999</v>
      </c>
    </row>
    <row r="964" spans="1:5" x14ac:dyDescent="0.3">
      <c r="A964" s="397"/>
      <c r="B964" s="709">
        <v>102794</v>
      </c>
      <c r="C964" s="710" t="s">
        <v>1346</v>
      </c>
      <c r="D964" s="709" t="s">
        <v>136</v>
      </c>
      <c r="E964" s="711">
        <v>0.23649999999999999</v>
      </c>
    </row>
    <row r="965" spans="1:5" x14ac:dyDescent="0.3">
      <c r="A965" s="397"/>
      <c r="B965" s="709">
        <v>102740</v>
      </c>
      <c r="C965" s="710" t="s">
        <v>1347</v>
      </c>
      <c r="D965" s="709" t="s">
        <v>136</v>
      </c>
      <c r="E965" s="711">
        <v>0.27639999999999998</v>
      </c>
    </row>
    <row r="966" spans="1:5" x14ac:dyDescent="0.3">
      <c r="A966" s="397"/>
      <c r="B966" s="709">
        <v>102752</v>
      </c>
      <c r="C966" s="710" t="s">
        <v>1348</v>
      </c>
      <c r="D966" s="709" t="s">
        <v>136</v>
      </c>
      <c r="E966" s="711">
        <v>0.26450000000000001</v>
      </c>
    </row>
    <row r="967" spans="1:5" x14ac:dyDescent="0.3">
      <c r="A967" s="397"/>
      <c r="B967" s="709">
        <v>102776</v>
      </c>
      <c r="C967" s="710" t="s">
        <v>1349</v>
      </c>
      <c r="D967" s="709" t="s">
        <v>136</v>
      </c>
      <c r="E967" s="711">
        <v>0.29370000000000002</v>
      </c>
    </row>
    <row r="968" spans="1:5" x14ac:dyDescent="0.3">
      <c r="A968" s="397"/>
      <c r="B968" s="709">
        <v>102741</v>
      </c>
      <c r="C968" s="710" t="s">
        <v>1350</v>
      </c>
      <c r="D968" s="709" t="s">
        <v>136</v>
      </c>
      <c r="E968" s="711">
        <v>0.27060000000000001</v>
      </c>
    </row>
    <row r="969" spans="1:5" x14ac:dyDescent="0.3">
      <c r="A969" s="397"/>
      <c r="B969" s="709">
        <v>102753</v>
      </c>
      <c r="C969" s="710" t="s">
        <v>1351</v>
      </c>
      <c r="D969" s="709" t="s">
        <v>136</v>
      </c>
      <c r="E969" s="711">
        <v>0.25719999999999998</v>
      </c>
    </row>
    <row r="970" spans="1:5" x14ac:dyDescent="0.3">
      <c r="A970" s="397"/>
      <c r="B970" s="709">
        <v>102777</v>
      </c>
      <c r="C970" s="710" t="s">
        <v>1352</v>
      </c>
      <c r="D970" s="709" t="s">
        <v>136</v>
      </c>
      <c r="E970" s="711">
        <v>0.29349999999999998</v>
      </c>
    </row>
    <row r="971" spans="1:5" x14ac:dyDescent="0.3">
      <c r="A971" s="397"/>
      <c r="B971" s="709">
        <v>102742</v>
      </c>
      <c r="C971" s="710" t="s">
        <v>1353</v>
      </c>
      <c r="D971" s="709" t="s">
        <v>136</v>
      </c>
      <c r="E971" s="711">
        <v>0.2646</v>
      </c>
    </row>
    <row r="972" spans="1:5" x14ac:dyDescent="0.3">
      <c r="A972" s="397"/>
      <c r="B972" s="709">
        <v>102754</v>
      </c>
      <c r="C972" s="710" t="s">
        <v>1354</v>
      </c>
      <c r="D972" s="709" t="s">
        <v>136</v>
      </c>
      <c r="E972" s="711">
        <v>0.25</v>
      </c>
    </row>
    <row r="973" spans="1:5" x14ac:dyDescent="0.3">
      <c r="A973" s="397"/>
      <c r="B973" s="709">
        <v>102778</v>
      </c>
      <c r="C973" s="710" t="s">
        <v>1355</v>
      </c>
      <c r="D973" s="709" t="s">
        <v>136</v>
      </c>
      <c r="E973" s="711">
        <v>0.22869999999999999</v>
      </c>
    </row>
    <row r="974" spans="1:5" x14ac:dyDescent="0.3">
      <c r="A974" s="397"/>
      <c r="B974" s="709">
        <v>102737</v>
      </c>
      <c r="C974" s="710" t="s">
        <v>1356</v>
      </c>
      <c r="D974" s="709" t="s">
        <v>136</v>
      </c>
      <c r="E974" s="711">
        <v>0.3014</v>
      </c>
    </row>
    <row r="975" spans="1:5" x14ac:dyDescent="0.3">
      <c r="A975" s="397"/>
      <c r="B975" s="709">
        <v>102773</v>
      </c>
      <c r="C975" s="710" t="s">
        <v>1357</v>
      </c>
      <c r="D975" s="709" t="s">
        <v>136</v>
      </c>
      <c r="E975" s="711">
        <v>0.29409999999999997</v>
      </c>
    </row>
    <row r="976" spans="1:5" x14ac:dyDescent="0.3">
      <c r="A976" s="397"/>
      <c r="B976" s="709">
        <v>102738</v>
      </c>
      <c r="C976" s="710" t="s">
        <v>1358</v>
      </c>
      <c r="D976" s="709" t="s">
        <v>136</v>
      </c>
      <c r="E976" s="711">
        <v>0.28910000000000002</v>
      </c>
    </row>
    <row r="977" spans="1:5" x14ac:dyDescent="0.3">
      <c r="A977" s="397"/>
      <c r="B977" s="709">
        <v>102750</v>
      </c>
      <c r="C977" s="710" t="s">
        <v>1359</v>
      </c>
      <c r="D977" s="709" t="s">
        <v>136</v>
      </c>
      <c r="E977" s="711">
        <v>0.28460000000000002</v>
      </c>
    </row>
    <row r="978" spans="1:5" x14ac:dyDescent="0.3">
      <c r="A978" s="397"/>
      <c r="B978" s="709">
        <v>102774</v>
      </c>
      <c r="C978" s="710" t="s">
        <v>1360</v>
      </c>
      <c r="D978" s="709" t="s">
        <v>136</v>
      </c>
      <c r="E978" s="711">
        <v>0.29409999999999997</v>
      </c>
    </row>
    <row r="979" spans="1:5" x14ac:dyDescent="0.3">
      <c r="A979" s="397"/>
      <c r="B979" s="709">
        <v>102739</v>
      </c>
      <c r="C979" s="710" t="s">
        <v>1361</v>
      </c>
      <c r="D979" s="709" t="s">
        <v>136</v>
      </c>
      <c r="E979" s="711">
        <v>0.28270000000000001</v>
      </c>
    </row>
    <row r="980" spans="1:5" x14ac:dyDescent="0.3">
      <c r="A980" s="397"/>
      <c r="B980" s="709">
        <v>102751</v>
      </c>
      <c r="C980" s="710" t="s">
        <v>1362</v>
      </c>
      <c r="D980" s="709" t="s">
        <v>136</v>
      </c>
      <c r="E980" s="711">
        <v>0.27310000000000001</v>
      </c>
    </row>
    <row r="981" spans="1:5" x14ac:dyDescent="0.3">
      <c r="A981" s="397"/>
      <c r="B981" s="709">
        <v>102775</v>
      </c>
      <c r="C981" s="710" t="s">
        <v>1363</v>
      </c>
      <c r="D981" s="709" t="s">
        <v>136</v>
      </c>
      <c r="E981" s="711">
        <v>0.29370000000000002</v>
      </c>
    </row>
    <row r="982" spans="1:5" x14ac:dyDescent="0.3">
      <c r="A982" s="397"/>
      <c r="B982" s="709">
        <v>102769</v>
      </c>
      <c r="C982" s="710" t="s">
        <v>1364</v>
      </c>
      <c r="D982" s="709" t="s">
        <v>136</v>
      </c>
      <c r="E982" s="711">
        <v>0.28889999999999999</v>
      </c>
    </row>
    <row r="983" spans="1:5" x14ac:dyDescent="0.3">
      <c r="A983" s="397"/>
      <c r="B983" s="709">
        <v>102799</v>
      </c>
      <c r="C983" s="710" t="s">
        <v>1365</v>
      </c>
      <c r="D983" s="709" t="s">
        <v>136</v>
      </c>
      <c r="E983" s="711">
        <v>0.27079999999999999</v>
      </c>
    </row>
    <row r="984" spans="1:5" x14ac:dyDescent="0.3">
      <c r="A984" s="397"/>
      <c r="B984" s="709">
        <v>102770</v>
      </c>
      <c r="C984" s="710" t="s">
        <v>1366</v>
      </c>
      <c r="D984" s="709" t="s">
        <v>136</v>
      </c>
      <c r="E984" s="711">
        <v>0.27379999999999999</v>
      </c>
    </row>
    <row r="985" spans="1:5" x14ac:dyDescent="0.3">
      <c r="A985" s="397"/>
      <c r="B985" s="709">
        <v>102800</v>
      </c>
      <c r="C985" s="710" t="s">
        <v>1367</v>
      </c>
      <c r="D985" s="709" t="s">
        <v>136</v>
      </c>
      <c r="E985" s="711">
        <v>0.25650000000000001</v>
      </c>
    </row>
    <row r="986" spans="1:5" x14ac:dyDescent="0.3">
      <c r="A986" s="397"/>
      <c r="B986" s="709">
        <v>102771</v>
      </c>
      <c r="C986" s="710" t="s">
        <v>1368</v>
      </c>
      <c r="D986" s="709" t="s">
        <v>136</v>
      </c>
      <c r="E986" s="711">
        <v>0.26669999999999999</v>
      </c>
    </row>
    <row r="987" spans="1:5" x14ac:dyDescent="0.3">
      <c r="A987" s="397"/>
      <c r="B987" s="709">
        <v>102801</v>
      </c>
      <c r="C987" s="710" t="s">
        <v>1369</v>
      </c>
      <c r="D987" s="709" t="s">
        <v>136</v>
      </c>
      <c r="E987" s="711">
        <v>0.2487</v>
      </c>
    </row>
    <row r="988" spans="1:5" x14ac:dyDescent="0.3">
      <c r="A988" s="397"/>
      <c r="B988" s="709">
        <v>102772</v>
      </c>
      <c r="C988" s="710" t="s">
        <v>1370</v>
      </c>
      <c r="D988" s="709" t="s">
        <v>136</v>
      </c>
      <c r="E988" s="711">
        <v>0.24679999999999999</v>
      </c>
    </row>
    <row r="989" spans="1:5" x14ac:dyDescent="0.3">
      <c r="A989" s="397"/>
      <c r="B989" s="709">
        <v>102802</v>
      </c>
      <c r="C989" s="710" t="s">
        <v>1371</v>
      </c>
      <c r="D989" s="709" t="s">
        <v>136</v>
      </c>
      <c r="E989" s="711">
        <v>0.2467</v>
      </c>
    </row>
    <row r="990" spans="1:5" x14ac:dyDescent="0.3">
      <c r="A990" s="397"/>
      <c r="B990" s="709">
        <v>102747</v>
      </c>
      <c r="C990" s="710" t="s">
        <v>1372</v>
      </c>
      <c r="D990" s="709" t="s">
        <v>136</v>
      </c>
      <c r="E990" s="711">
        <v>0.27160000000000001</v>
      </c>
    </row>
    <row r="991" spans="1:5" x14ac:dyDescent="0.3">
      <c r="A991" s="397"/>
      <c r="B991" s="709">
        <v>102758</v>
      </c>
      <c r="C991" s="710" t="s">
        <v>1373</v>
      </c>
      <c r="D991" s="709" t="s">
        <v>136</v>
      </c>
      <c r="E991" s="711">
        <v>0.255</v>
      </c>
    </row>
    <row r="992" spans="1:5" x14ac:dyDescent="0.3">
      <c r="A992" s="397"/>
      <c r="B992" s="709">
        <v>102788</v>
      </c>
      <c r="C992" s="710" t="s">
        <v>1374</v>
      </c>
      <c r="D992" s="709" t="s">
        <v>136</v>
      </c>
      <c r="E992" s="711">
        <v>0.25729999999999997</v>
      </c>
    </row>
    <row r="993" spans="1:5" x14ac:dyDescent="0.3">
      <c r="A993" s="397"/>
      <c r="B993" s="709">
        <v>102748</v>
      </c>
      <c r="C993" s="710" t="s">
        <v>1375</v>
      </c>
      <c r="D993" s="709" t="s">
        <v>136</v>
      </c>
      <c r="E993" s="711">
        <v>0.26579999999999998</v>
      </c>
    </row>
    <row r="994" spans="1:5" x14ac:dyDescent="0.3">
      <c r="A994" s="397"/>
      <c r="B994" s="709">
        <v>102759</v>
      </c>
      <c r="C994" s="710" t="s">
        <v>1376</v>
      </c>
      <c r="D994" s="709" t="s">
        <v>136</v>
      </c>
      <c r="E994" s="711">
        <v>0.24759999999999999</v>
      </c>
    </row>
    <row r="995" spans="1:5" x14ac:dyDescent="0.3">
      <c r="A995" s="397"/>
      <c r="B995" s="709">
        <v>102789</v>
      </c>
      <c r="C995" s="710" t="s">
        <v>1377</v>
      </c>
      <c r="D995" s="709" t="s">
        <v>136</v>
      </c>
      <c r="E995" s="711">
        <v>0.25390000000000001</v>
      </c>
    </row>
    <row r="996" spans="1:5" x14ac:dyDescent="0.3">
      <c r="A996" s="397"/>
      <c r="B996" s="709">
        <v>102749</v>
      </c>
      <c r="C996" s="710" t="s">
        <v>1378</v>
      </c>
      <c r="D996" s="709" t="s">
        <v>136</v>
      </c>
      <c r="E996" s="711">
        <v>0.25940000000000002</v>
      </c>
    </row>
    <row r="997" spans="1:5" x14ac:dyDescent="0.3">
      <c r="A997" s="397"/>
      <c r="B997" s="709">
        <v>102760</v>
      </c>
      <c r="C997" s="710" t="s">
        <v>1379</v>
      </c>
      <c r="D997" s="709" t="s">
        <v>136</v>
      </c>
      <c r="E997" s="711">
        <v>0.24049999999999999</v>
      </c>
    </row>
    <row r="998" spans="1:5" x14ac:dyDescent="0.3">
      <c r="A998" s="397"/>
      <c r="B998" s="709">
        <v>102790</v>
      </c>
      <c r="C998" s="710" t="s">
        <v>1380</v>
      </c>
      <c r="D998" s="709" t="s">
        <v>136</v>
      </c>
      <c r="E998" s="711">
        <v>0.2213</v>
      </c>
    </row>
    <row r="999" spans="1:5" x14ac:dyDescent="0.3">
      <c r="A999" s="397"/>
      <c r="B999" s="709">
        <v>102785</v>
      </c>
      <c r="C999" s="710" t="s">
        <v>1381</v>
      </c>
      <c r="D999" s="709" t="s">
        <v>136</v>
      </c>
      <c r="E999" s="711">
        <v>0.29409999999999997</v>
      </c>
    </row>
    <row r="1000" spans="1:5" x14ac:dyDescent="0.3">
      <c r="A1000" s="397"/>
      <c r="B1000" s="709">
        <v>102786</v>
      </c>
      <c r="C1000" s="710" t="s">
        <v>1382</v>
      </c>
      <c r="D1000" s="709" t="s">
        <v>136</v>
      </c>
      <c r="E1000" s="711">
        <v>0.2671</v>
      </c>
    </row>
    <row r="1001" spans="1:5" x14ac:dyDescent="0.3">
      <c r="A1001" s="397"/>
      <c r="B1001" s="709">
        <v>102787</v>
      </c>
      <c r="C1001" s="710" t="s">
        <v>1383</v>
      </c>
      <c r="D1001" s="709" t="s">
        <v>136</v>
      </c>
      <c r="E1001" s="711">
        <v>0.27550000000000002</v>
      </c>
    </row>
    <row r="1002" spans="1:5" x14ac:dyDescent="0.3">
      <c r="A1002" s="397"/>
      <c r="B1002" s="709">
        <v>102736</v>
      </c>
      <c r="C1002" s="710" t="s">
        <v>1384</v>
      </c>
      <c r="D1002" s="709" t="s">
        <v>170</v>
      </c>
      <c r="E1002" s="711">
        <v>6.6299999999999998E-2</v>
      </c>
    </row>
    <row r="1003" spans="1:5" x14ac:dyDescent="0.3">
      <c r="A1003" s="397"/>
      <c r="B1003" s="709">
        <v>102727</v>
      </c>
      <c r="C1003" s="710" t="s">
        <v>1385</v>
      </c>
      <c r="D1003" s="709" t="s">
        <v>168</v>
      </c>
      <c r="E1003" s="711">
        <v>0.46600000000000003</v>
      </c>
    </row>
    <row r="1004" spans="1:5" x14ac:dyDescent="0.3">
      <c r="A1004" s="397"/>
      <c r="B1004" s="709">
        <v>102111</v>
      </c>
      <c r="C1004" s="710" t="s">
        <v>13273</v>
      </c>
      <c r="D1004" s="709" t="s">
        <v>136</v>
      </c>
      <c r="E1004" s="711">
        <v>0.16930000000000001</v>
      </c>
    </row>
    <row r="1005" spans="1:5" x14ac:dyDescent="0.3">
      <c r="A1005" s="397"/>
      <c r="B1005" s="709">
        <v>102113</v>
      </c>
      <c r="C1005" s="710" t="s">
        <v>13274</v>
      </c>
      <c r="D1005" s="709" t="s">
        <v>136</v>
      </c>
      <c r="E1005" s="711">
        <v>0.10979999999999999</v>
      </c>
    </row>
    <row r="1006" spans="1:5" x14ac:dyDescent="0.3">
      <c r="A1006" s="397"/>
      <c r="B1006" s="709">
        <v>102116</v>
      </c>
      <c r="C1006" s="710" t="s">
        <v>13275</v>
      </c>
      <c r="D1006" s="709" t="s">
        <v>136</v>
      </c>
      <c r="E1006" s="711">
        <v>0.1052</v>
      </c>
    </row>
    <row r="1007" spans="1:5" x14ac:dyDescent="0.3">
      <c r="A1007" s="397"/>
      <c r="B1007" s="709">
        <v>102115</v>
      </c>
      <c r="C1007" s="710" t="s">
        <v>13276</v>
      </c>
      <c r="D1007" s="709" t="s">
        <v>136</v>
      </c>
      <c r="E1007" s="711">
        <v>6.6299999999999998E-2</v>
      </c>
    </row>
    <row r="1008" spans="1:5" x14ac:dyDescent="0.3">
      <c r="A1008" s="397"/>
      <c r="B1008" s="709">
        <v>102122</v>
      </c>
      <c r="C1008" s="710" t="s">
        <v>13277</v>
      </c>
      <c r="D1008" s="709" t="s">
        <v>136</v>
      </c>
      <c r="E1008" s="711">
        <v>2.93E-2</v>
      </c>
    </row>
    <row r="1009" spans="1:5" x14ac:dyDescent="0.3">
      <c r="A1009" s="397"/>
      <c r="B1009" s="709">
        <v>102118</v>
      </c>
      <c r="C1009" s="710" t="s">
        <v>13278</v>
      </c>
      <c r="D1009" s="709" t="s">
        <v>136</v>
      </c>
      <c r="E1009" s="711">
        <v>7.9100000000000004E-2</v>
      </c>
    </row>
    <row r="1010" spans="1:5" x14ac:dyDescent="0.3">
      <c r="A1010" s="397"/>
      <c r="B1010" s="709">
        <v>102126</v>
      </c>
      <c r="C1010" s="710" t="s">
        <v>13279</v>
      </c>
      <c r="D1010" s="709" t="s">
        <v>136</v>
      </c>
      <c r="E1010" s="711">
        <v>2.52E-2</v>
      </c>
    </row>
    <row r="1011" spans="1:5" x14ac:dyDescent="0.3">
      <c r="A1011" s="397"/>
      <c r="B1011" s="709">
        <v>102137</v>
      </c>
      <c r="C1011" s="710" t="s">
        <v>13280</v>
      </c>
      <c r="D1011" s="709" t="s">
        <v>136</v>
      </c>
      <c r="E1011" s="711">
        <v>0.65129999999999999</v>
      </c>
    </row>
    <row r="1012" spans="1:5" x14ac:dyDescent="0.3">
      <c r="A1012" s="397"/>
      <c r="B1012" s="709">
        <v>102112</v>
      </c>
      <c r="C1012" s="710" t="s">
        <v>13281</v>
      </c>
      <c r="D1012" s="709" t="s">
        <v>136</v>
      </c>
      <c r="E1012" s="711">
        <v>0.9698</v>
      </c>
    </row>
    <row r="1013" spans="1:5" x14ac:dyDescent="0.3">
      <c r="A1013" s="397"/>
      <c r="B1013" s="709">
        <v>102114</v>
      </c>
      <c r="C1013" s="710" t="s">
        <v>13282</v>
      </c>
      <c r="D1013" s="709" t="s">
        <v>136</v>
      </c>
      <c r="E1013" s="711">
        <v>0.97040000000000004</v>
      </c>
    </row>
    <row r="1014" spans="1:5" x14ac:dyDescent="0.3">
      <c r="A1014" s="397"/>
      <c r="B1014" s="709">
        <v>102117</v>
      </c>
      <c r="C1014" s="710" t="s">
        <v>13283</v>
      </c>
      <c r="D1014" s="709" t="s">
        <v>136</v>
      </c>
      <c r="E1014" s="711">
        <v>0.97099999999999997</v>
      </c>
    </row>
    <row r="1015" spans="1:5" x14ac:dyDescent="0.3">
      <c r="A1015" s="397"/>
      <c r="B1015" s="709">
        <v>102123</v>
      </c>
      <c r="C1015" s="710" t="s">
        <v>13284</v>
      </c>
      <c r="D1015" s="709" t="s">
        <v>136</v>
      </c>
      <c r="E1015" s="711">
        <v>0.9768</v>
      </c>
    </row>
    <row r="1016" spans="1:5" x14ac:dyDescent="0.3">
      <c r="A1016" s="397"/>
      <c r="B1016" s="709">
        <v>102119</v>
      </c>
      <c r="C1016" s="710" t="s">
        <v>13285</v>
      </c>
      <c r="D1016" s="709" t="s">
        <v>136</v>
      </c>
      <c r="E1016" s="711">
        <v>0.97150000000000003</v>
      </c>
    </row>
    <row r="1017" spans="1:5" x14ac:dyDescent="0.3">
      <c r="A1017" s="397"/>
      <c r="B1017" s="709">
        <v>102127</v>
      </c>
      <c r="C1017" s="710" t="s">
        <v>13286</v>
      </c>
      <c r="D1017" s="709" t="s">
        <v>136</v>
      </c>
      <c r="E1017" s="711">
        <v>0.43280000000000002</v>
      </c>
    </row>
    <row r="1018" spans="1:5" x14ac:dyDescent="0.3">
      <c r="A1018" s="397"/>
      <c r="B1018" s="709">
        <v>102121</v>
      </c>
      <c r="C1018" s="710" t="s">
        <v>13287</v>
      </c>
      <c r="D1018" s="709" t="s">
        <v>136</v>
      </c>
      <c r="E1018" s="711">
        <v>0.9758</v>
      </c>
    </row>
    <row r="1019" spans="1:5" x14ac:dyDescent="0.3">
      <c r="A1019" s="397"/>
      <c r="B1019" s="709">
        <v>102138</v>
      </c>
      <c r="C1019" s="710" t="s">
        <v>13288</v>
      </c>
      <c r="D1019" s="709" t="s">
        <v>136</v>
      </c>
      <c r="E1019" s="711">
        <v>0.97829999999999995</v>
      </c>
    </row>
    <row r="1020" spans="1:5" x14ac:dyDescent="0.3">
      <c r="A1020" s="397"/>
      <c r="B1020" s="709">
        <v>102129</v>
      </c>
      <c r="C1020" s="710" t="s">
        <v>13289</v>
      </c>
      <c r="D1020" s="709" t="s">
        <v>136</v>
      </c>
      <c r="E1020" s="711">
        <v>0.39319999999999999</v>
      </c>
    </row>
    <row r="1021" spans="1:5" x14ac:dyDescent="0.3">
      <c r="A1021" s="397"/>
      <c r="B1021" s="709">
        <v>102131</v>
      </c>
      <c r="C1021" s="710" t="s">
        <v>13290</v>
      </c>
      <c r="D1021" s="709" t="s">
        <v>136</v>
      </c>
      <c r="E1021" s="711">
        <v>0.43690000000000001</v>
      </c>
    </row>
    <row r="1022" spans="1:5" x14ac:dyDescent="0.3">
      <c r="A1022" s="397"/>
      <c r="B1022" s="709">
        <v>101801</v>
      </c>
      <c r="C1022" s="710" t="s">
        <v>1390</v>
      </c>
      <c r="D1022" s="709" t="s">
        <v>136</v>
      </c>
      <c r="E1022" s="711">
        <v>0.3241</v>
      </c>
    </row>
    <row r="1023" spans="1:5" x14ac:dyDescent="0.3">
      <c r="A1023" s="397"/>
      <c r="B1023" s="709">
        <v>101800</v>
      </c>
      <c r="C1023" s="710" t="s">
        <v>1391</v>
      </c>
      <c r="D1023" s="709" t="s">
        <v>136</v>
      </c>
      <c r="E1023" s="711">
        <v>0.38850000000000001</v>
      </c>
    </row>
    <row r="1024" spans="1:5" x14ac:dyDescent="0.3">
      <c r="A1024" s="397"/>
      <c r="B1024" s="709">
        <v>98108</v>
      </c>
      <c r="C1024" s="710" t="s">
        <v>1392</v>
      </c>
      <c r="D1024" s="709" t="s">
        <v>136</v>
      </c>
      <c r="E1024" s="711">
        <v>0.58479999999999999</v>
      </c>
    </row>
    <row r="1025" spans="1:5" x14ac:dyDescent="0.3">
      <c r="A1025" s="397"/>
      <c r="B1025" s="709">
        <v>98105</v>
      </c>
      <c r="C1025" s="710" t="s">
        <v>1393</v>
      </c>
      <c r="D1025" s="709" t="s">
        <v>136</v>
      </c>
      <c r="E1025" s="711">
        <v>0.61509999999999998</v>
      </c>
    </row>
    <row r="1026" spans="1:5" x14ac:dyDescent="0.3">
      <c r="A1026" s="397"/>
      <c r="B1026" s="709">
        <v>98109</v>
      </c>
      <c r="C1026" s="710" t="s">
        <v>1394</v>
      </c>
      <c r="D1026" s="709" t="s">
        <v>136</v>
      </c>
      <c r="E1026" s="711">
        <v>0.57930000000000004</v>
      </c>
    </row>
    <row r="1027" spans="1:5" x14ac:dyDescent="0.3">
      <c r="A1027" s="397"/>
      <c r="B1027" s="709">
        <v>98106</v>
      </c>
      <c r="C1027" s="710" t="s">
        <v>1395</v>
      </c>
      <c r="D1027" s="709" t="s">
        <v>136</v>
      </c>
      <c r="E1027" s="711">
        <v>0.61170000000000002</v>
      </c>
    </row>
    <row r="1028" spans="1:5" x14ac:dyDescent="0.3">
      <c r="A1028" s="397"/>
      <c r="B1028" s="709">
        <v>98110</v>
      </c>
      <c r="C1028" s="710" t="s">
        <v>1396</v>
      </c>
      <c r="D1028" s="709" t="s">
        <v>136</v>
      </c>
      <c r="E1028" s="711">
        <v>2.92E-2</v>
      </c>
    </row>
    <row r="1029" spans="1:5" x14ac:dyDescent="0.3">
      <c r="A1029" s="397"/>
      <c r="B1029" s="709">
        <v>98107</v>
      </c>
      <c r="C1029" s="710" t="s">
        <v>1397</v>
      </c>
      <c r="D1029" s="709" t="s">
        <v>136</v>
      </c>
      <c r="E1029" s="711">
        <v>0.57399999999999995</v>
      </c>
    </row>
    <row r="1030" spans="1:5" x14ac:dyDescent="0.3">
      <c r="A1030" s="397"/>
      <c r="B1030" s="709">
        <v>98104</v>
      </c>
      <c r="C1030" s="710" t="s">
        <v>1398</v>
      </c>
      <c r="D1030" s="709" t="s">
        <v>136</v>
      </c>
      <c r="E1030" s="711">
        <v>0.60929999999999995</v>
      </c>
    </row>
    <row r="1031" spans="1:5" x14ac:dyDescent="0.3">
      <c r="A1031" s="397"/>
      <c r="B1031" s="709">
        <v>98102</v>
      </c>
      <c r="C1031" s="710" t="s">
        <v>1399</v>
      </c>
      <c r="D1031" s="709" t="s">
        <v>136</v>
      </c>
      <c r="E1031" s="711">
        <v>3.04E-2</v>
      </c>
    </row>
    <row r="1032" spans="1:5" x14ac:dyDescent="0.3">
      <c r="A1032" s="397"/>
      <c r="B1032" s="709">
        <v>98111</v>
      </c>
      <c r="C1032" s="710" t="s">
        <v>1400</v>
      </c>
      <c r="D1032" s="709" t="s">
        <v>136</v>
      </c>
      <c r="E1032" s="711">
        <v>0.123</v>
      </c>
    </row>
    <row r="1033" spans="1:5" x14ac:dyDescent="0.3">
      <c r="A1033" s="397"/>
      <c r="B1033" s="709">
        <v>97891</v>
      </c>
      <c r="C1033" s="710" t="s">
        <v>1401</v>
      </c>
      <c r="D1033" s="709" t="s">
        <v>136</v>
      </c>
      <c r="E1033" s="711">
        <v>0.60680000000000001</v>
      </c>
    </row>
    <row r="1034" spans="1:5" x14ac:dyDescent="0.3">
      <c r="A1034" s="397"/>
      <c r="B1034" s="709">
        <v>97892</v>
      </c>
      <c r="C1034" s="710" t="s">
        <v>1402</v>
      </c>
      <c r="D1034" s="709" t="s">
        <v>136</v>
      </c>
      <c r="E1034" s="711">
        <v>0.57850000000000001</v>
      </c>
    </row>
    <row r="1035" spans="1:5" x14ac:dyDescent="0.3">
      <c r="A1035" s="397"/>
      <c r="B1035" s="709">
        <v>97893</v>
      </c>
      <c r="C1035" s="710" t="s">
        <v>1403</v>
      </c>
      <c r="D1035" s="709" t="s">
        <v>136</v>
      </c>
      <c r="E1035" s="711">
        <v>0.58299999999999996</v>
      </c>
    </row>
    <row r="1036" spans="1:5" x14ac:dyDescent="0.3">
      <c r="A1036" s="397"/>
      <c r="B1036" s="709">
        <v>97894</v>
      </c>
      <c r="C1036" s="710" t="s">
        <v>1404</v>
      </c>
      <c r="D1036" s="709" t="s">
        <v>136</v>
      </c>
      <c r="E1036" s="711">
        <v>0.50539999999999996</v>
      </c>
    </row>
    <row r="1037" spans="1:5" x14ac:dyDescent="0.3">
      <c r="A1037" s="397"/>
      <c r="B1037" s="709">
        <v>97886</v>
      </c>
      <c r="C1037" s="710" t="s">
        <v>1405</v>
      </c>
      <c r="D1037" s="709" t="s">
        <v>136</v>
      </c>
      <c r="E1037" s="711">
        <v>0.63270000000000004</v>
      </c>
    </row>
    <row r="1038" spans="1:5" x14ac:dyDescent="0.3">
      <c r="A1038" s="397"/>
      <c r="B1038" s="709">
        <v>97887</v>
      </c>
      <c r="C1038" s="710" t="s">
        <v>1406</v>
      </c>
      <c r="D1038" s="709" t="s">
        <v>136</v>
      </c>
      <c r="E1038" s="711">
        <v>0.63080000000000003</v>
      </c>
    </row>
    <row r="1039" spans="1:5" x14ac:dyDescent="0.3">
      <c r="A1039" s="397"/>
      <c r="B1039" s="709">
        <v>97888</v>
      </c>
      <c r="C1039" s="710" t="s">
        <v>1407</v>
      </c>
      <c r="D1039" s="709" t="s">
        <v>136</v>
      </c>
      <c r="E1039" s="711">
        <v>0.6109</v>
      </c>
    </row>
    <row r="1040" spans="1:5" x14ac:dyDescent="0.3">
      <c r="A1040" s="397"/>
      <c r="B1040" s="709">
        <v>97889</v>
      </c>
      <c r="C1040" s="710" t="s">
        <v>1408</v>
      </c>
      <c r="D1040" s="709" t="s">
        <v>136</v>
      </c>
      <c r="E1040" s="711">
        <v>0.61260000000000003</v>
      </c>
    </row>
    <row r="1041" spans="1:5" x14ac:dyDescent="0.3">
      <c r="A1041" s="397"/>
      <c r="B1041" s="709">
        <v>97890</v>
      </c>
      <c r="C1041" s="710" t="s">
        <v>1409</v>
      </c>
      <c r="D1041" s="709" t="s">
        <v>136</v>
      </c>
      <c r="E1041" s="711">
        <v>0.55320000000000003</v>
      </c>
    </row>
    <row r="1042" spans="1:5" x14ac:dyDescent="0.3">
      <c r="A1042" s="397"/>
      <c r="B1042" s="709">
        <v>97881</v>
      </c>
      <c r="C1042" s="710" t="s">
        <v>1410</v>
      </c>
      <c r="D1042" s="709" t="s">
        <v>136</v>
      </c>
      <c r="E1042" s="711">
        <v>0.19470000000000001</v>
      </c>
    </row>
    <row r="1043" spans="1:5" x14ac:dyDescent="0.3">
      <c r="A1043" s="397"/>
      <c r="B1043" s="709">
        <v>97882</v>
      </c>
      <c r="C1043" s="710" t="s">
        <v>1411</v>
      </c>
      <c r="D1043" s="709" t="s">
        <v>136</v>
      </c>
      <c r="E1043" s="711">
        <v>0.1754</v>
      </c>
    </row>
    <row r="1044" spans="1:5" x14ac:dyDescent="0.3">
      <c r="A1044" s="397"/>
      <c r="B1044" s="709">
        <v>97883</v>
      </c>
      <c r="C1044" s="710" t="s">
        <v>1412</v>
      </c>
      <c r="D1044" s="709" t="s">
        <v>136</v>
      </c>
      <c r="E1044" s="711">
        <v>0.1573</v>
      </c>
    </row>
    <row r="1045" spans="1:5" x14ac:dyDescent="0.3">
      <c r="A1045" s="397"/>
      <c r="B1045" s="709">
        <v>97884</v>
      </c>
      <c r="C1045" s="710" t="s">
        <v>1413</v>
      </c>
      <c r="D1045" s="709" t="s">
        <v>136</v>
      </c>
      <c r="E1045" s="711">
        <v>0.13389999999999999</v>
      </c>
    </row>
    <row r="1046" spans="1:5" x14ac:dyDescent="0.3">
      <c r="A1046" s="397"/>
      <c r="B1046" s="709">
        <v>97885</v>
      </c>
      <c r="C1046" s="710" t="s">
        <v>1414</v>
      </c>
      <c r="D1046" s="709" t="s">
        <v>136</v>
      </c>
      <c r="E1046" s="711">
        <v>0.1205</v>
      </c>
    </row>
    <row r="1047" spans="1:5" x14ac:dyDescent="0.3">
      <c r="A1047" s="397"/>
      <c r="B1047" s="709">
        <v>99250</v>
      </c>
      <c r="C1047" s="710" t="s">
        <v>1415</v>
      </c>
      <c r="D1047" s="709" t="s">
        <v>136</v>
      </c>
      <c r="E1047" s="711">
        <v>0.61380000000000001</v>
      </c>
    </row>
    <row r="1048" spans="1:5" x14ac:dyDescent="0.3">
      <c r="A1048" s="397"/>
      <c r="B1048" s="709">
        <v>97900</v>
      </c>
      <c r="C1048" s="710" t="s">
        <v>1416</v>
      </c>
      <c r="D1048" s="709" t="s">
        <v>136</v>
      </c>
      <c r="E1048" s="711">
        <v>0.60129999999999995</v>
      </c>
    </row>
    <row r="1049" spans="1:5" x14ac:dyDescent="0.3">
      <c r="A1049" s="397"/>
      <c r="B1049" s="709">
        <v>99251</v>
      </c>
      <c r="C1049" s="710" t="s">
        <v>1417</v>
      </c>
      <c r="D1049" s="709" t="s">
        <v>136</v>
      </c>
      <c r="E1049" s="711">
        <v>0.6179</v>
      </c>
    </row>
    <row r="1050" spans="1:5" x14ac:dyDescent="0.3">
      <c r="A1050" s="397"/>
      <c r="B1050" s="709">
        <v>97901</v>
      </c>
      <c r="C1050" s="710" t="s">
        <v>1418</v>
      </c>
      <c r="D1050" s="709" t="s">
        <v>136</v>
      </c>
      <c r="E1050" s="711">
        <v>0.60419999999999996</v>
      </c>
    </row>
    <row r="1051" spans="1:5" x14ac:dyDescent="0.3">
      <c r="A1051" s="397"/>
      <c r="B1051" s="709">
        <v>99253</v>
      </c>
      <c r="C1051" s="710" t="s">
        <v>1419</v>
      </c>
      <c r="D1051" s="709" t="s">
        <v>136</v>
      </c>
      <c r="E1051" s="711">
        <v>0.60580000000000001</v>
      </c>
    </row>
    <row r="1052" spans="1:5" x14ac:dyDescent="0.3">
      <c r="A1052" s="397"/>
      <c r="B1052" s="709">
        <v>97902</v>
      </c>
      <c r="C1052" s="710" t="s">
        <v>1420</v>
      </c>
      <c r="D1052" s="709" t="s">
        <v>136</v>
      </c>
      <c r="E1052" s="711">
        <v>0.59030000000000005</v>
      </c>
    </row>
    <row r="1053" spans="1:5" x14ac:dyDescent="0.3">
      <c r="A1053" s="397"/>
      <c r="B1053" s="709">
        <v>99255</v>
      </c>
      <c r="C1053" s="710" t="s">
        <v>1421</v>
      </c>
      <c r="D1053" s="709" t="s">
        <v>136</v>
      </c>
      <c r="E1053" s="711">
        <v>0.60570000000000002</v>
      </c>
    </row>
    <row r="1054" spans="1:5" x14ac:dyDescent="0.3">
      <c r="A1054" s="397"/>
      <c r="B1054" s="709">
        <v>97903</v>
      </c>
      <c r="C1054" s="710" t="s">
        <v>1422</v>
      </c>
      <c r="D1054" s="709" t="s">
        <v>136</v>
      </c>
      <c r="E1054" s="711">
        <v>0.59040000000000004</v>
      </c>
    </row>
    <row r="1055" spans="1:5" x14ac:dyDescent="0.3">
      <c r="A1055" s="397"/>
      <c r="B1055" s="709">
        <v>99257</v>
      </c>
      <c r="C1055" s="710" t="s">
        <v>1423</v>
      </c>
      <c r="D1055" s="709" t="s">
        <v>136</v>
      </c>
      <c r="E1055" s="711">
        <v>0.55979999999999996</v>
      </c>
    </row>
    <row r="1056" spans="1:5" x14ac:dyDescent="0.3">
      <c r="A1056" s="397"/>
      <c r="B1056" s="709">
        <v>97904</v>
      </c>
      <c r="C1056" s="710" t="s">
        <v>1424</v>
      </c>
      <c r="D1056" s="709" t="s">
        <v>136</v>
      </c>
      <c r="E1056" s="711">
        <v>0.54459999999999997</v>
      </c>
    </row>
    <row r="1057" spans="1:5" x14ac:dyDescent="0.3">
      <c r="A1057" s="397"/>
      <c r="B1057" s="709">
        <v>99258</v>
      </c>
      <c r="C1057" s="710" t="s">
        <v>1425</v>
      </c>
      <c r="D1057" s="709" t="s">
        <v>136</v>
      </c>
      <c r="E1057" s="711">
        <v>0.58830000000000005</v>
      </c>
    </row>
    <row r="1058" spans="1:5" x14ac:dyDescent="0.3">
      <c r="A1058" s="397"/>
      <c r="B1058" s="709">
        <v>97905</v>
      </c>
      <c r="C1058" s="710" t="s">
        <v>1426</v>
      </c>
      <c r="D1058" s="709" t="s">
        <v>136</v>
      </c>
      <c r="E1058" s="711">
        <v>0.5786</v>
      </c>
    </row>
    <row r="1059" spans="1:5" x14ac:dyDescent="0.3">
      <c r="A1059" s="397"/>
      <c r="B1059" s="709">
        <v>99260</v>
      </c>
      <c r="C1059" s="710" t="s">
        <v>1427</v>
      </c>
      <c r="D1059" s="709" t="s">
        <v>136</v>
      </c>
      <c r="E1059" s="711">
        <v>0.56979999999999997</v>
      </c>
    </row>
    <row r="1060" spans="1:5" x14ac:dyDescent="0.3">
      <c r="A1060" s="397"/>
      <c r="B1060" s="709">
        <v>97906</v>
      </c>
      <c r="C1060" s="710" t="s">
        <v>1428</v>
      </c>
      <c r="D1060" s="709" t="s">
        <v>136</v>
      </c>
      <c r="E1060" s="711">
        <v>0.55869999999999997</v>
      </c>
    </row>
    <row r="1061" spans="1:5" x14ac:dyDescent="0.3">
      <c r="A1061" s="397"/>
      <c r="B1061" s="709">
        <v>99262</v>
      </c>
      <c r="C1061" s="710" t="s">
        <v>1429</v>
      </c>
      <c r="D1061" s="709" t="s">
        <v>136</v>
      </c>
      <c r="E1061" s="711">
        <v>0.57330000000000003</v>
      </c>
    </row>
    <row r="1062" spans="1:5" x14ac:dyDescent="0.3">
      <c r="A1062" s="397"/>
      <c r="B1062" s="709">
        <v>97907</v>
      </c>
      <c r="C1062" s="710" t="s">
        <v>1430</v>
      </c>
      <c r="D1062" s="709" t="s">
        <v>136</v>
      </c>
      <c r="E1062" s="711">
        <v>0.56200000000000006</v>
      </c>
    </row>
    <row r="1063" spans="1:5" x14ac:dyDescent="0.3">
      <c r="A1063" s="397"/>
      <c r="B1063" s="709">
        <v>99264</v>
      </c>
      <c r="C1063" s="710" t="s">
        <v>1431</v>
      </c>
      <c r="D1063" s="709" t="s">
        <v>136</v>
      </c>
      <c r="E1063" s="711">
        <v>0.51819999999999999</v>
      </c>
    </row>
    <row r="1064" spans="1:5" x14ac:dyDescent="0.3">
      <c r="A1064" s="397"/>
      <c r="B1064" s="709">
        <v>97908</v>
      </c>
      <c r="C1064" s="710" t="s">
        <v>1432</v>
      </c>
      <c r="D1064" s="709" t="s">
        <v>136</v>
      </c>
      <c r="E1064" s="711">
        <v>0.50680000000000003</v>
      </c>
    </row>
    <row r="1065" spans="1:5" x14ac:dyDescent="0.3">
      <c r="A1065" s="397"/>
      <c r="B1065" s="709">
        <v>97895</v>
      </c>
      <c r="C1065" s="710" t="s">
        <v>1433</v>
      </c>
      <c r="D1065" s="709" t="s">
        <v>136</v>
      </c>
      <c r="E1065" s="711">
        <v>1.7299999999999999E-2</v>
      </c>
    </row>
    <row r="1066" spans="1:5" x14ac:dyDescent="0.3">
      <c r="A1066" s="397"/>
      <c r="B1066" s="709">
        <v>97896</v>
      </c>
      <c r="C1066" s="710" t="s">
        <v>1434</v>
      </c>
      <c r="D1066" s="709" t="s">
        <v>136</v>
      </c>
      <c r="E1066" s="711">
        <v>1.9E-2</v>
      </c>
    </row>
    <row r="1067" spans="1:5" x14ac:dyDescent="0.3">
      <c r="A1067" s="397"/>
      <c r="B1067" s="709">
        <v>97897</v>
      </c>
      <c r="C1067" s="710" t="s">
        <v>1435</v>
      </c>
      <c r="D1067" s="709" t="s">
        <v>136</v>
      </c>
      <c r="E1067" s="711">
        <v>2.7300000000000001E-2</v>
      </c>
    </row>
    <row r="1068" spans="1:5" x14ac:dyDescent="0.3">
      <c r="A1068" s="397"/>
      <c r="B1068" s="709">
        <v>97898</v>
      </c>
      <c r="C1068" s="710" t="s">
        <v>1436</v>
      </c>
      <c r="D1068" s="709" t="s">
        <v>136</v>
      </c>
      <c r="E1068" s="711">
        <v>0.121</v>
      </c>
    </row>
    <row r="1069" spans="1:5" x14ac:dyDescent="0.3">
      <c r="A1069" s="397"/>
      <c r="B1069" s="709">
        <v>101795</v>
      </c>
      <c r="C1069" s="710" t="s">
        <v>1438</v>
      </c>
      <c r="D1069" s="709" t="s">
        <v>136</v>
      </c>
      <c r="E1069" s="711">
        <v>0.47360000000000002</v>
      </c>
    </row>
    <row r="1070" spans="1:5" x14ac:dyDescent="0.3">
      <c r="A1070" s="397"/>
      <c r="B1070" s="709">
        <v>101802</v>
      </c>
      <c r="C1070" s="710" t="s">
        <v>1441</v>
      </c>
      <c r="D1070" s="709" t="s">
        <v>136</v>
      </c>
      <c r="E1070" s="711">
        <v>0.44450000000000001</v>
      </c>
    </row>
    <row r="1071" spans="1:5" x14ac:dyDescent="0.3">
      <c r="A1071" s="397"/>
      <c r="B1071" s="709">
        <v>101803</v>
      </c>
      <c r="C1071" s="710" t="s">
        <v>1442</v>
      </c>
      <c r="D1071" s="709" t="s">
        <v>136</v>
      </c>
      <c r="E1071" s="711">
        <v>0.48880000000000001</v>
      </c>
    </row>
    <row r="1072" spans="1:5" x14ac:dyDescent="0.3">
      <c r="A1072" s="397"/>
      <c r="B1072" s="709">
        <v>101804</v>
      </c>
      <c r="C1072" s="710" t="s">
        <v>1443</v>
      </c>
      <c r="D1072" s="709" t="s">
        <v>136</v>
      </c>
      <c r="E1072" s="711">
        <v>0.45900000000000002</v>
      </c>
    </row>
    <row r="1073" spans="1:5" x14ac:dyDescent="0.3">
      <c r="A1073" s="397"/>
      <c r="B1073" s="709">
        <v>101805</v>
      </c>
      <c r="C1073" s="710" t="s">
        <v>1444</v>
      </c>
      <c r="D1073" s="709" t="s">
        <v>136</v>
      </c>
      <c r="E1073" s="711">
        <v>0.46089999999999998</v>
      </c>
    </row>
    <row r="1074" spans="1:5" x14ac:dyDescent="0.3">
      <c r="A1074" s="397"/>
      <c r="B1074" s="709">
        <v>98115</v>
      </c>
      <c r="C1074" s="710" t="s">
        <v>1445</v>
      </c>
      <c r="D1074" s="709" t="s">
        <v>136</v>
      </c>
      <c r="E1074" s="711">
        <v>0.66220000000000001</v>
      </c>
    </row>
    <row r="1075" spans="1:5" x14ac:dyDescent="0.3">
      <c r="A1075" s="397"/>
      <c r="B1075" s="709">
        <v>98114</v>
      </c>
      <c r="C1075" s="710" t="s">
        <v>265</v>
      </c>
      <c r="D1075" s="709" t="s">
        <v>136</v>
      </c>
      <c r="E1075" s="711">
        <v>0.1008</v>
      </c>
    </row>
    <row r="1076" spans="1:5" x14ac:dyDescent="0.3">
      <c r="A1076" s="397"/>
      <c r="B1076" s="709">
        <v>98112</v>
      </c>
      <c r="C1076" s="710" t="s">
        <v>1446</v>
      </c>
      <c r="D1076" s="709" t="s">
        <v>136</v>
      </c>
      <c r="E1076" s="711">
        <v>0.20949999999999999</v>
      </c>
    </row>
    <row r="1077" spans="1:5" x14ac:dyDescent="0.3">
      <c r="A1077" s="397"/>
      <c r="B1077" s="709">
        <v>100128</v>
      </c>
      <c r="C1077" s="710" t="s">
        <v>1447</v>
      </c>
      <c r="D1077" s="709" t="s">
        <v>136</v>
      </c>
      <c r="E1077" s="711">
        <v>1.7600000000000001E-2</v>
      </c>
    </row>
    <row r="1078" spans="1:5" x14ac:dyDescent="0.3">
      <c r="A1078" s="397"/>
      <c r="B1078" s="709">
        <v>102623</v>
      </c>
      <c r="C1078" s="710" t="s">
        <v>1448</v>
      </c>
      <c r="D1078" s="709" t="s">
        <v>136</v>
      </c>
      <c r="E1078" s="711">
        <v>0.1245</v>
      </c>
    </row>
    <row r="1079" spans="1:5" x14ac:dyDescent="0.3">
      <c r="A1079" s="397"/>
      <c r="B1079" s="709">
        <v>102607</v>
      </c>
      <c r="C1079" s="710" t="s">
        <v>1449</v>
      </c>
      <c r="D1079" s="709" t="s">
        <v>136</v>
      </c>
      <c r="E1079" s="711">
        <v>1.7100000000000001E-2</v>
      </c>
    </row>
    <row r="1080" spans="1:5" x14ac:dyDescent="0.3">
      <c r="A1080" s="397"/>
      <c r="B1080" s="709">
        <v>102608</v>
      </c>
      <c r="C1080" s="710" t="s">
        <v>1450</v>
      </c>
      <c r="D1080" s="709" t="s">
        <v>136</v>
      </c>
      <c r="E1080" s="711">
        <v>9.9000000000000008E-3</v>
      </c>
    </row>
    <row r="1081" spans="1:5" x14ac:dyDescent="0.3">
      <c r="A1081" s="397"/>
      <c r="B1081" s="709">
        <v>102609</v>
      </c>
      <c r="C1081" s="710" t="s">
        <v>1451</v>
      </c>
      <c r="D1081" s="709" t="s">
        <v>136</v>
      </c>
      <c r="E1081" s="711">
        <v>1.17E-2</v>
      </c>
    </row>
    <row r="1082" spans="1:5" x14ac:dyDescent="0.3">
      <c r="A1082" s="397"/>
      <c r="B1082" s="709">
        <v>102610</v>
      </c>
      <c r="C1082" s="710" t="s">
        <v>1452</v>
      </c>
      <c r="D1082" s="709" t="s">
        <v>136</v>
      </c>
      <c r="E1082" s="711">
        <v>8.5000000000000006E-3</v>
      </c>
    </row>
    <row r="1083" spans="1:5" x14ac:dyDescent="0.3">
      <c r="A1083" s="397"/>
      <c r="B1083" s="709">
        <v>102622</v>
      </c>
      <c r="C1083" s="710" t="s">
        <v>1453</v>
      </c>
      <c r="D1083" s="709" t="s">
        <v>136</v>
      </c>
      <c r="E1083" s="711">
        <v>0.15429999999999999</v>
      </c>
    </row>
    <row r="1084" spans="1:5" x14ac:dyDescent="0.3">
      <c r="A1084" s="397"/>
      <c r="B1084" s="709">
        <v>102605</v>
      </c>
      <c r="C1084" s="710" t="s">
        <v>1454</v>
      </c>
      <c r="D1084" s="709" t="s">
        <v>136</v>
      </c>
      <c r="E1084" s="711">
        <v>1.9599999999999999E-2</v>
      </c>
    </row>
    <row r="1085" spans="1:5" x14ac:dyDescent="0.3">
      <c r="A1085" s="397"/>
      <c r="B1085" s="709">
        <v>102606</v>
      </c>
      <c r="C1085" s="710" t="s">
        <v>1455</v>
      </c>
      <c r="D1085" s="709" t="s">
        <v>136</v>
      </c>
      <c r="E1085" s="711">
        <v>1.5699999999999999E-2</v>
      </c>
    </row>
    <row r="1086" spans="1:5" x14ac:dyDescent="0.3">
      <c r="A1086" s="397"/>
      <c r="B1086" s="709">
        <v>102613</v>
      </c>
      <c r="C1086" s="710" t="s">
        <v>1456</v>
      </c>
      <c r="D1086" s="709" t="s">
        <v>136</v>
      </c>
      <c r="E1086" s="711">
        <v>1.24E-2</v>
      </c>
    </row>
    <row r="1087" spans="1:5" x14ac:dyDescent="0.3">
      <c r="A1087" s="397"/>
      <c r="B1087" s="709">
        <v>102619</v>
      </c>
      <c r="C1087" s="710" t="s">
        <v>1457</v>
      </c>
      <c r="D1087" s="709" t="s">
        <v>136</v>
      </c>
      <c r="E1087" s="711">
        <v>3.44E-2</v>
      </c>
    </row>
    <row r="1088" spans="1:5" x14ac:dyDescent="0.3">
      <c r="A1088" s="397"/>
      <c r="B1088" s="709">
        <v>102614</v>
      </c>
      <c r="C1088" s="710" t="s">
        <v>1458</v>
      </c>
      <c r="D1088" s="709" t="s">
        <v>136</v>
      </c>
      <c r="E1088" s="711">
        <v>1.03E-2</v>
      </c>
    </row>
    <row r="1089" spans="1:5" x14ac:dyDescent="0.3">
      <c r="A1089" s="397"/>
      <c r="B1089" s="709">
        <v>102620</v>
      </c>
      <c r="C1089" s="710" t="s">
        <v>1459</v>
      </c>
      <c r="D1089" s="709" t="s">
        <v>136</v>
      </c>
      <c r="E1089" s="711">
        <v>2.3699999999999999E-2</v>
      </c>
    </row>
    <row r="1090" spans="1:5" x14ac:dyDescent="0.3">
      <c r="A1090" s="397"/>
      <c r="B1090" s="709">
        <v>102615</v>
      </c>
      <c r="C1090" s="710" t="s">
        <v>1460</v>
      </c>
      <c r="D1090" s="709" t="s">
        <v>136</v>
      </c>
      <c r="E1090" s="711">
        <v>1.03E-2</v>
      </c>
    </row>
    <row r="1091" spans="1:5" x14ac:dyDescent="0.3">
      <c r="A1091" s="397"/>
      <c r="B1091" s="709">
        <v>102621</v>
      </c>
      <c r="C1091" s="710" t="s">
        <v>1461</v>
      </c>
      <c r="D1091" s="709" t="s">
        <v>136</v>
      </c>
      <c r="E1091" s="711">
        <v>1.54E-2</v>
      </c>
    </row>
    <row r="1092" spans="1:5" x14ac:dyDescent="0.3">
      <c r="A1092" s="397"/>
      <c r="B1092" s="709">
        <v>102616</v>
      </c>
      <c r="C1092" s="710" t="s">
        <v>1462</v>
      </c>
      <c r="D1092" s="709" t="s">
        <v>136</v>
      </c>
      <c r="E1092" s="711">
        <v>9.1999999999999998E-3</v>
      </c>
    </row>
    <row r="1093" spans="1:5" x14ac:dyDescent="0.3">
      <c r="A1093" s="397"/>
      <c r="B1093" s="709">
        <v>102611</v>
      </c>
      <c r="C1093" s="710" t="s">
        <v>1463</v>
      </c>
      <c r="D1093" s="709" t="s">
        <v>136</v>
      </c>
      <c r="E1093" s="711">
        <v>1.29E-2</v>
      </c>
    </row>
    <row r="1094" spans="1:5" x14ac:dyDescent="0.3">
      <c r="A1094" s="397"/>
      <c r="B1094" s="709">
        <v>102617</v>
      </c>
      <c r="C1094" s="710" t="s">
        <v>1464</v>
      </c>
      <c r="D1094" s="709" t="s">
        <v>136</v>
      </c>
      <c r="E1094" s="711">
        <v>5.57E-2</v>
      </c>
    </row>
    <row r="1095" spans="1:5" x14ac:dyDescent="0.3">
      <c r="A1095" s="397"/>
      <c r="B1095" s="709">
        <v>102618</v>
      </c>
      <c r="C1095" s="710" t="s">
        <v>1465</v>
      </c>
      <c r="D1095" s="709" t="s">
        <v>136</v>
      </c>
      <c r="E1095" s="711">
        <v>4.6300000000000001E-2</v>
      </c>
    </row>
    <row r="1096" spans="1:5" x14ac:dyDescent="0.3">
      <c r="A1096" s="397"/>
      <c r="B1096" s="709">
        <v>102612</v>
      </c>
      <c r="C1096" s="710" t="s">
        <v>1466</v>
      </c>
      <c r="D1096" s="709" t="s">
        <v>136</v>
      </c>
      <c r="E1096" s="711">
        <v>0.01</v>
      </c>
    </row>
    <row r="1097" spans="1:5" x14ac:dyDescent="0.3">
      <c r="A1097" s="397"/>
      <c r="B1097" s="709">
        <v>102603</v>
      </c>
      <c r="C1097" s="710" t="s">
        <v>1467</v>
      </c>
      <c r="D1097" s="709" t="s">
        <v>136</v>
      </c>
      <c r="E1097" s="711">
        <v>1</v>
      </c>
    </row>
    <row r="1098" spans="1:5" x14ac:dyDescent="0.3">
      <c r="A1098" s="397"/>
      <c r="B1098" s="709">
        <v>102587</v>
      </c>
      <c r="C1098" s="710" t="s">
        <v>1468</v>
      </c>
      <c r="D1098" s="709" t="s">
        <v>136</v>
      </c>
      <c r="E1098" s="711">
        <v>1</v>
      </c>
    </row>
    <row r="1099" spans="1:5" x14ac:dyDescent="0.3">
      <c r="A1099" s="397"/>
      <c r="B1099" s="709">
        <v>102589</v>
      </c>
      <c r="C1099" s="710" t="s">
        <v>1469</v>
      </c>
      <c r="D1099" s="709" t="s">
        <v>136</v>
      </c>
      <c r="E1099" s="711">
        <v>1</v>
      </c>
    </row>
    <row r="1100" spans="1:5" x14ac:dyDescent="0.3">
      <c r="A1100" s="397"/>
      <c r="B1100" s="709">
        <v>102591</v>
      </c>
      <c r="C1100" s="710" t="s">
        <v>1470</v>
      </c>
      <c r="D1100" s="709" t="s">
        <v>136</v>
      </c>
      <c r="E1100" s="711">
        <v>1</v>
      </c>
    </row>
    <row r="1101" spans="1:5" x14ac:dyDescent="0.3">
      <c r="A1101" s="397"/>
      <c r="B1101" s="709">
        <v>102593</v>
      </c>
      <c r="C1101" s="710" t="s">
        <v>1471</v>
      </c>
      <c r="D1101" s="709" t="s">
        <v>136</v>
      </c>
      <c r="E1101" s="711">
        <v>1</v>
      </c>
    </row>
    <row r="1102" spans="1:5" x14ac:dyDescent="0.3">
      <c r="A1102" s="397"/>
      <c r="B1102" s="709">
        <v>102595</v>
      </c>
      <c r="C1102" s="710" t="s">
        <v>1472</v>
      </c>
      <c r="D1102" s="709" t="s">
        <v>136</v>
      </c>
      <c r="E1102" s="711">
        <v>1</v>
      </c>
    </row>
    <row r="1103" spans="1:5" x14ac:dyDescent="0.3">
      <c r="A1103" s="397"/>
      <c r="B1103" s="709">
        <v>102597</v>
      </c>
      <c r="C1103" s="710" t="s">
        <v>1473</v>
      </c>
      <c r="D1103" s="709" t="s">
        <v>136</v>
      </c>
      <c r="E1103" s="711">
        <v>1</v>
      </c>
    </row>
    <row r="1104" spans="1:5" x14ac:dyDescent="0.3">
      <c r="A1104" s="397"/>
      <c r="B1104" s="709">
        <v>102599</v>
      </c>
      <c r="C1104" s="710" t="s">
        <v>1474</v>
      </c>
      <c r="D1104" s="709" t="s">
        <v>136</v>
      </c>
      <c r="E1104" s="711">
        <v>1</v>
      </c>
    </row>
    <row r="1105" spans="1:5" x14ac:dyDescent="0.3">
      <c r="A1105" s="397"/>
      <c r="B1105" s="709">
        <v>102601</v>
      </c>
      <c r="C1105" s="710" t="s">
        <v>1475</v>
      </c>
      <c r="D1105" s="709" t="s">
        <v>136</v>
      </c>
      <c r="E1105" s="711">
        <v>1</v>
      </c>
    </row>
    <row r="1106" spans="1:5" x14ac:dyDescent="0.3">
      <c r="A1106" s="397"/>
      <c r="B1106" s="709">
        <v>102604</v>
      </c>
      <c r="C1106" s="710" t="s">
        <v>1476</v>
      </c>
      <c r="D1106" s="709" t="s">
        <v>136</v>
      </c>
      <c r="E1106" s="711">
        <v>1</v>
      </c>
    </row>
    <row r="1107" spans="1:5" x14ac:dyDescent="0.3">
      <c r="A1107" s="397"/>
      <c r="B1107" s="709">
        <v>102588</v>
      </c>
      <c r="C1107" s="710" t="s">
        <v>1477</v>
      </c>
      <c r="D1107" s="709" t="s">
        <v>136</v>
      </c>
      <c r="E1107" s="711">
        <v>1</v>
      </c>
    </row>
    <row r="1108" spans="1:5" x14ac:dyDescent="0.3">
      <c r="A1108" s="397"/>
      <c r="B1108" s="709">
        <v>102590</v>
      </c>
      <c r="C1108" s="710" t="s">
        <v>1478</v>
      </c>
      <c r="D1108" s="709" t="s">
        <v>136</v>
      </c>
      <c r="E1108" s="711">
        <v>1</v>
      </c>
    </row>
    <row r="1109" spans="1:5" x14ac:dyDescent="0.3">
      <c r="A1109" s="397"/>
      <c r="B1109" s="709">
        <v>102592</v>
      </c>
      <c r="C1109" s="710" t="s">
        <v>1479</v>
      </c>
      <c r="D1109" s="709" t="s">
        <v>136</v>
      </c>
      <c r="E1109" s="711">
        <v>1</v>
      </c>
    </row>
    <row r="1110" spans="1:5" x14ac:dyDescent="0.3">
      <c r="A1110" s="397"/>
      <c r="B1110" s="709">
        <v>102594</v>
      </c>
      <c r="C1110" s="710" t="s">
        <v>1480</v>
      </c>
      <c r="D1110" s="709" t="s">
        <v>136</v>
      </c>
      <c r="E1110" s="711">
        <v>1</v>
      </c>
    </row>
    <row r="1111" spans="1:5" x14ac:dyDescent="0.3">
      <c r="A1111" s="397"/>
      <c r="B1111" s="709">
        <v>102596</v>
      </c>
      <c r="C1111" s="710" t="s">
        <v>1481</v>
      </c>
      <c r="D1111" s="709" t="s">
        <v>136</v>
      </c>
      <c r="E1111" s="711">
        <v>1</v>
      </c>
    </row>
    <row r="1112" spans="1:5" x14ac:dyDescent="0.3">
      <c r="A1112" s="397"/>
      <c r="B1112" s="709">
        <v>102598</v>
      </c>
      <c r="C1112" s="710" t="s">
        <v>1482</v>
      </c>
      <c r="D1112" s="709" t="s">
        <v>136</v>
      </c>
      <c r="E1112" s="711">
        <v>1</v>
      </c>
    </row>
    <row r="1113" spans="1:5" x14ac:dyDescent="0.3">
      <c r="A1113" s="397"/>
      <c r="B1113" s="709">
        <v>102600</v>
      </c>
      <c r="C1113" s="710" t="s">
        <v>1483</v>
      </c>
      <c r="D1113" s="709" t="s">
        <v>136</v>
      </c>
      <c r="E1113" s="711">
        <v>1</v>
      </c>
    </row>
    <row r="1114" spans="1:5" x14ac:dyDescent="0.3">
      <c r="A1114" s="397"/>
      <c r="B1114" s="709">
        <v>102602</v>
      </c>
      <c r="C1114" s="710" t="s">
        <v>1484</v>
      </c>
      <c r="D1114" s="709" t="s">
        <v>136</v>
      </c>
      <c r="E1114" s="711">
        <v>1</v>
      </c>
    </row>
    <row r="1115" spans="1:5" x14ac:dyDescent="0.3">
      <c r="A1115" s="397"/>
      <c r="B1115" s="709">
        <v>103005</v>
      </c>
      <c r="C1115" s="710" t="s">
        <v>1485</v>
      </c>
      <c r="D1115" s="709" t="s">
        <v>136</v>
      </c>
      <c r="E1115" s="711">
        <v>0.3594</v>
      </c>
    </row>
    <row r="1116" spans="1:5" x14ac:dyDescent="0.3">
      <c r="A1116" s="397"/>
      <c r="B1116" s="709">
        <v>103006</v>
      </c>
      <c r="C1116" s="710" t="s">
        <v>1486</v>
      </c>
      <c r="D1116" s="709" t="s">
        <v>136</v>
      </c>
      <c r="E1116" s="711">
        <v>0.3589</v>
      </c>
    </row>
    <row r="1117" spans="1:5" x14ac:dyDescent="0.3">
      <c r="A1117" s="397"/>
      <c r="B1117" s="709">
        <v>103007</v>
      </c>
      <c r="C1117" s="710" t="s">
        <v>1487</v>
      </c>
      <c r="D1117" s="709" t="s">
        <v>136</v>
      </c>
      <c r="E1117" s="711">
        <v>0.34810000000000002</v>
      </c>
    </row>
    <row r="1118" spans="1:5" x14ac:dyDescent="0.3">
      <c r="A1118" s="397"/>
      <c r="B1118" s="709">
        <v>102989</v>
      </c>
      <c r="C1118" s="710" t="s">
        <v>1489</v>
      </c>
      <c r="D1118" s="709" t="s">
        <v>159</v>
      </c>
      <c r="E1118" s="711">
        <v>0.33579999999999999</v>
      </c>
    </row>
    <row r="1119" spans="1:5" x14ac:dyDescent="0.3">
      <c r="A1119" s="397"/>
      <c r="B1119" s="709">
        <v>102990</v>
      </c>
      <c r="C1119" s="710" t="s">
        <v>1490</v>
      </c>
      <c r="D1119" s="709" t="s">
        <v>159</v>
      </c>
      <c r="E1119" s="711">
        <v>0.35070000000000001</v>
      </c>
    </row>
    <row r="1120" spans="1:5" x14ac:dyDescent="0.3">
      <c r="A1120" s="397"/>
      <c r="B1120" s="709">
        <v>102991</v>
      </c>
      <c r="C1120" s="710" t="s">
        <v>1491</v>
      </c>
      <c r="D1120" s="709" t="s">
        <v>159</v>
      </c>
      <c r="E1120" s="711">
        <v>0.35399999999999998</v>
      </c>
    </row>
    <row r="1121" spans="1:5" x14ac:dyDescent="0.3">
      <c r="A1121" s="397"/>
      <c r="B1121" s="709">
        <v>102992</v>
      </c>
      <c r="C1121" s="710" t="s">
        <v>1492</v>
      </c>
      <c r="D1121" s="709" t="s">
        <v>159</v>
      </c>
      <c r="E1121" s="711">
        <v>0.1651</v>
      </c>
    </row>
    <row r="1122" spans="1:5" x14ac:dyDescent="0.3">
      <c r="A1122" s="397"/>
      <c r="B1122" s="709">
        <v>102993</v>
      </c>
      <c r="C1122" s="710" t="s">
        <v>1493</v>
      </c>
      <c r="D1122" s="709" t="s">
        <v>159</v>
      </c>
      <c r="E1122" s="711">
        <v>0.16719999999999999</v>
      </c>
    </row>
    <row r="1123" spans="1:5" x14ac:dyDescent="0.3">
      <c r="A1123" s="397"/>
      <c r="B1123" s="709">
        <v>102994</v>
      </c>
      <c r="C1123" s="710" t="s">
        <v>1494</v>
      </c>
      <c r="D1123" s="709" t="s">
        <v>159</v>
      </c>
      <c r="E1123" s="711">
        <v>0.1673</v>
      </c>
    </row>
    <row r="1124" spans="1:5" x14ac:dyDescent="0.3">
      <c r="A1124" s="397"/>
      <c r="B1124" s="709">
        <v>105944</v>
      </c>
      <c r="C1124" s="710" t="s">
        <v>1496</v>
      </c>
      <c r="D1124" s="709" t="s">
        <v>170</v>
      </c>
      <c r="E1124" s="711">
        <v>0.38269999999999998</v>
      </c>
    </row>
    <row r="1125" spans="1:5" x14ac:dyDescent="0.3">
      <c r="A1125" s="397"/>
      <c r="B1125" s="709">
        <v>106004</v>
      </c>
      <c r="C1125" s="710" t="s">
        <v>1497</v>
      </c>
      <c r="D1125" s="709" t="s">
        <v>159</v>
      </c>
      <c r="E1125" s="711">
        <v>0.53610000000000002</v>
      </c>
    </row>
    <row r="1126" spans="1:5" x14ac:dyDescent="0.3">
      <c r="A1126" s="397"/>
      <c r="B1126" s="709">
        <v>106005</v>
      </c>
      <c r="C1126" s="710" t="s">
        <v>1498</v>
      </c>
      <c r="D1126" s="709" t="s">
        <v>159</v>
      </c>
      <c r="E1126" s="711">
        <v>0.53680000000000005</v>
      </c>
    </row>
    <row r="1127" spans="1:5" x14ac:dyDescent="0.3">
      <c r="A1127" s="397"/>
      <c r="B1127" s="709">
        <v>106006</v>
      </c>
      <c r="C1127" s="710" t="s">
        <v>1499</v>
      </c>
      <c r="D1127" s="709" t="s">
        <v>159</v>
      </c>
      <c r="E1127" s="711">
        <v>0.53710000000000002</v>
      </c>
    </row>
    <row r="1128" spans="1:5" x14ac:dyDescent="0.3">
      <c r="A1128" s="397"/>
      <c r="B1128" s="709">
        <v>106007</v>
      </c>
      <c r="C1128" s="710" t="s">
        <v>1500</v>
      </c>
      <c r="D1128" s="709" t="s">
        <v>159</v>
      </c>
      <c r="E1128" s="711">
        <v>0.53739999999999999</v>
      </c>
    </row>
    <row r="1129" spans="1:5" x14ac:dyDescent="0.3">
      <c r="A1129" s="397"/>
      <c r="B1129" s="709">
        <v>106008</v>
      </c>
      <c r="C1129" s="710" t="s">
        <v>1501</v>
      </c>
      <c r="D1129" s="709" t="s">
        <v>159</v>
      </c>
      <c r="E1129" s="711">
        <v>0.53769999999999996</v>
      </c>
    </row>
    <row r="1130" spans="1:5" x14ac:dyDescent="0.3">
      <c r="A1130" s="397"/>
      <c r="B1130" s="709">
        <v>106009</v>
      </c>
      <c r="C1130" s="710" t="s">
        <v>1502</v>
      </c>
      <c r="D1130" s="709" t="s">
        <v>159</v>
      </c>
      <c r="E1130" s="711">
        <v>0.53790000000000004</v>
      </c>
    </row>
    <row r="1131" spans="1:5" x14ac:dyDescent="0.3">
      <c r="A1131" s="397"/>
      <c r="B1131" s="709">
        <v>106010</v>
      </c>
      <c r="C1131" s="710" t="s">
        <v>1503</v>
      </c>
      <c r="D1131" s="709" t="s">
        <v>159</v>
      </c>
      <c r="E1131" s="711">
        <v>0.5383</v>
      </c>
    </row>
    <row r="1132" spans="1:5" x14ac:dyDescent="0.3">
      <c r="A1132" s="397"/>
      <c r="B1132" s="709">
        <v>106011</v>
      </c>
      <c r="C1132" s="710" t="s">
        <v>1504</v>
      </c>
      <c r="D1132" s="709" t="s">
        <v>159</v>
      </c>
      <c r="E1132" s="711">
        <v>0.43149999999999999</v>
      </c>
    </row>
    <row r="1133" spans="1:5" x14ac:dyDescent="0.3">
      <c r="A1133" s="397"/>
      <c r="B1133" s="709">
        <v>106013</v>
      </c>
      <c r="C1133" s="710" t="s">
        <v>1505</v>
      </c>
      <c r="D1133" s="709" t="s">
        <v>159</v>
      </c>
      <c r="E1133" s="711">
        <v>0.43580000000000002</v>
      </c>
    </row>
    <row r="1134" spans="1:5" x14ac:dyDescent="0.3">
      <c r="A1134" s="397"/>
      <c r="B1134" s="709">
        <v>106012</v>
      </c>
      <c r="C1134" s="710" t="s">
        <v>1506</v>
      </c>
      <c r="D1134" s="709" t="s">
        <v>159</v>
      </c>
      <c r="E1134" s="711">
        <v>0.42499999999999999</v>
      </c>
    </row>
    <row r="1135" spans="1:5" x14ac:dyDescent="0.3">
      <c r="A1135" s="397"/>
      <c r="B1135" s="709">
        <v>106014</v>
      </c>
      <c r="C1135" s="710" t="s">
        <v>1507</v>
      </c>
      <c r="D1135" s="709" t="s">
        <v>159</v>
      </c>
      <c r="E1135" s="711">
        <v>0.39589999999999997</v>
      </c>
    </row>
    <row r="1136" spans="1:5" x14ac:dyDescent="0.3">
      <c r="A1136" s="397"/>
      <c r="B1136" s="709">
        <v>106015</v>
      </c>
      <c r="C1136" s="710" t="s">
        <v>1508</v>
      </c>
      <c r="D1136" s="709" t="s">
        <v>159</v>
      </c>
      <c r="E1136" s="711">
        <v>0.40960000000000002</v>
      </c>
    </row>
    <row r="1137" spans="1:5" x14ac:dyDescent="0.3">
      <c r="A1137" s="397"/>
      <c r="B1137" s="709">
        <v>106016</v>
      </c>
      <c r="C1137" s="710" t="s">
        <v>1509</v>
      </c>
      <c r="D1137" s="709" t="s">
        <v>159</v>
      </c>
      <c r="E1137" s="711">
        <v>0.41849999999999998</v>
      </c>
    </row>
    <row r="1138" spans="1:5" x14ac:dyDescent="0.3">
      <c r="A1138" s="397"/>
      <c r="B1138" s="709">
        <v>106003</v>
      </c>
      <c r="C1138" s="710" t="s">
        <v>1510</v>
      </c>
      <c r="D1138" s="709" t="s">
        <v>159</v>
      </c>
      <c r="E1138" s="711">
        <v>0.32819999999999999</v>
      </c>
    </row>
    <row r="1139" spans="1:5" x14ac:dyDescent="0.3">
      <c r="A1139" s="397"/>
      <c r="B1139" s="709">
        <v>105997</v>
      </c>
      <c r="C1139" s="710" t="s">
        <v>1511</v>
      </c>
      <c r="D1139" s="709" t="s">
        <v>159</v>
      </c>
      <c r="E1139" s="711">
        <v>0.33040000000000003</v>
      </c>
    </row>
    <row r="1140" spans="1:5" x14ac:dyDescent="0.3">
      <c r="A1140" s="397"/>
      <c r="B1140" s="709">
        <v>105998</v>
      </c>
      <c r="C1140" s="710" t="s">
        <v>1512</v>
      </c>
      <c r="D1140" s="709" t="s">
        <v>159</v>
      </c>
      <c r="E1140" s="711">
        <v>0.3301</v>
      </c>
    </row>
    <row r="1141" spans="1:5" x14ac:dyDescent="0.3">
      <c r="A1141" s="397"/>
      <c r="B1141" s="709">
        <v>105999</v>
      </c>
      <c r="C1141" s="710" t="s">
        <v>1513</v>
      </c>
      <c r="D1141" s="709" t="s">
        <v>159</v>
      </c>
      <c r="E1141" s="711">
        <v>0.32940000000000003</v>
      </c>
    </row>
    <row r="1142" spans="1:5" x14ac:dyDescent="0.3">
      <c r="A1142" s="397"/>
      <c r="B1142" s="709">
        <v>106000</v>
      </c>
      <c r="C1142" s="710" t="s">
        <v>1514</v>
      </c>
      <c r="D1142" s="709" t="s">
        <v>159</v>
      </c>
      <c r="E1142" s="711">
        <v>0.32900000000000001</v>
      </c>
    </row>
    <row r="1143" spans="1:5" x14ac:dyDescent="0.3">
      <c r="A1143" s="397"/>
      <c r="B1143" s="709">
        <v>106001</v>
      </c>
      <c r="C1143" s="710" t="s">
        <v>1515</v>
      </c>
      <c r="D1143" s="709" t="s">
        <v>159</v>
      </c>
      <c r="E1143" s="711">
        <v>0.32869999999999999</v>
      </c>
    </row>
    <row r="1144" spans="1:5" x14ac:dyDescent="0.3">
      <c r="A1144" s="397"/>
      <c r="B1144" s="709">
        <v>106002</v>
      </c>
      <c r="C1144" s="710" t="s">
        <v>1516</v>
      </c>
      <c r="D1144" s="709" t="s">
        <v>159</v>
      </c>
      <c r="E1144" s="711">
        <v>0.32850000000000001</v>
      </c>
    </row>
    <row r="1145" spans="1:5" x14ac:dyDescent="0.3">
      <c r="A1145" s="397"/>
      <c r="B1145" s="709">
        <v>105992</v>
      </c>
      <c r="C1145" s="710" t="s">
        <v>1517</v>
      </c>
      <c r="D1145" s="709" t="s">
        <v>159</v>
      </c>
      <c r="E1145" s="711">
        <v>0.42599999999999999</v>
      </c>
    </row>
    <row r="1146" spans="1:5" x14ac:dyDescent="0.3">
      <c r="A1146" s="397"/>
      <c r="B1146" s="709">
        <v>105993</v>
      </c>
      <c r="C1146" s="710" t="s">
        <v>1518</v>
      </c>
      <c r="D1146" s="709" t="s">
        <v>159</v>
      </c>
      <c r="E1146" s="711">
        <v>0.42530000000000001</v>
      </c>
    </row>
    <row r="1147" spans="1:5" x14ac:dyDescent="0.3">
      <c r="A1147" s="397"/>
      <c r="B1147" s="709">
        <v>105994</v>
      </c>
      <c r="C1147" s="710" t="s">
        <v>1519</v>
      </c>
      <c r="D1147" s="709" t="s">
        <v>159</v>
      </c>
      <c r="E1147" s="711">
        <v>0.42470000000000002</v>
      </c>
    </row>
    <row r="1148" spans="1:5" x14ac:dyDescent="0.3">
      <c r="A1148" s="397"/>
      <c r="B1148" s="709">
        <v>105995</v>
      </c>
      <c r="C1148" s="710" t="s">
        <v>1520</v>
      </c>
      <c r="D1148" s="709" t="s">
        <v>159</v>
      </c>
      <c r="E1148" s="711">
        <v>0.42449999999999999</v>
      </c>
    </row>
    <row r="1149" spans="1:5" x14ac:dyDescent="0.3">
      <c r="A1149" s="397"/>
      <c r="B1149" s="709">
        <v>105996</v>
      </c>
      <c r="C1149" s="710" t="s">
        <v>1521</v>
      </c>
      <c r="D1149" s="709" t="s">
        <v>159</v>
      </c>
      <c r="E1149" s="711">
        <v>0.42430000000000001</v>
      </c>
    </row>
    <row r="1150" spans="1:5" x14ac:dyDescent="0.3">
      <c r="A1150" s="397"/>
      <c r="B1150" s="709">
        <v>105988</v>
      </c>
      <c r="C1150" s="710" t="s">
        <v>1522</v>
      </c>
      <c r="D1150" s="709" t="s">
        <v>159</v>
      </c>
      <c r="E1150" s="711">
        <v>0.42780000000000001</v>
      </c>
    </row>
    <row r="1151" spans="1:5" x14ac:dyDescent="0.3">
      <c r="A1151" s="397"/>
      <c r="B1151" s="709">
        <v>105989</v>
      </c>
      <c r="C1151" s="710" t="s">
        <v>1523</v>
      </c>
      <c r="D1151" s="709" t="s">
        <v>159</v>
      </c>
      <c r="E1151" s="711">
        <v>0.42749999999999999</v>
      </c>
    </row>
    <row r="1152" spans="1:5" x14ac:dyDescent="0.3">
      <c r="A1152" s="397"/>
      <c r="B1152" s="709">
        <v>105990</v>
      </c>
      <c r="C1152" s="710" t="s">
        <v>1524</v>
      </c>
      <c r="D1152" s="709" t="s">
        <v>159</v>
      </c>
      <c r="E1152" s="711">
        <v>0.42659999999999998</v>
      </c>
    </row>
    <row r="1153" spans="1:5" x14ac:dyDescent="0.3">
      <c r="A1153" s="397"/>
      <c r="B1153" s="709">
        <v>105991</v>
      </c>
      <c r="C1153" s="710" t="s">
        <v>1525</v>
      </c>
      <c r="D1153" s="709" t="s">
        <v>159</v>
      </c>
      <c r="E1153" s="711">
        <v>0.42630000000000001</v>
      </c>
    </row>
    <row r="1154" spans="1:5" x14ac:dyDescent="0.3">
      <c r="A1154" s="397"/>
      <c r="B1154" s="709">
        <v>105987</v>
      </c>
      <c r="C1154" s="710" t="s">
        <v>1526</v>
      </c>
      <c r="D1154" s="709" t="s">
        <v>159</v>
      </c>
      <c r="E1154" s="711">
        <v>0.42559999999999998</v>
      </c>
    </row>
    <row r="1155" spans="1:5" x14ac:dyDescent="0.3">
      <c r="A1155" s="397"/>
      <c r="B1155" s="709">
        <v>105986</v>
      </c>
      <c r="C1155" s="710" t="s">
        <v>1527</v>
      </c>
      <c r="D1155" s="709" t="s">
        <v>159</v>
      </c>
      <c r="E1155" s="711">
        <v>0.4249</v>
      </c>
    </row>
    <row r="1156" spans="1:5" x14ac:dyDescent="0.3">
      <c r="A1156" s="397"/>
      <c r="B1156" s="709">
        <v>103001</v>
      </c>
      <c r="C1156" s="710" t="s">
        <v>1529</v>
      </c>
      <c r="D1156" s="709" t="s">
        <v>136</v>
      </c>
      <c r="E1156" s="711">
        <v>7.8399999999999997E-2</v>
      </c>
    </row>
    <row r="1157" spans="1:5" x14ac:dyDescent="0.3">
      <c r="A1157" s="397"/>
      <c r="B1157" s="709">
        <v>103002</v>
      </c>
      <c r="C1157" s="710" t="s">
        <v>1530</v>
      </c>
      <c r="D1157" s="709" t="s">
        <v>136</v>
      </c>
      <c r="E1157" s="711">
        <v>6.5299999999999997E-2</v>
      </c>
    </row>
    <row r="1158" spans="1:5" x14ac:dyDescent="0.3">
      <c r="A1158" s="397"/>
      <c r="B1158" s="709">
        <v>103003</v>
      </c>
      <c r="C1158" s="710" t="s">
        <v>1531</v>
      </c>
      <c r="D1158" s="709" t="s">
        <v>136</v>
      </c>
      <c r="E1158" s="711">
        <v>5.04E-2</v>
      </c>
    </row>
    <row r="1159" spans="1:5" x14ac:dyDescent="0.3">
      <c r="A1159" s="397"/>
      <c r="B1159" s="709">
        <v>105945</v>
      </c>
      <c r="C1159" s="710" t="s">
        <v>1533</v>
      </c>
      <c r="D1159" s="709" t="s">
        <v>168</v>
      </c>
      <c r="E1159" s="711">
        <v>0.76080000000000003</v>
      </c>
    </row>
    <row r="1160" spans="1:5" x14ac:dyDescent="0.3">
      <c r="A1160" s="397"/>
      <c r="B1160" s="709">
        <v>98522</v>
      </c>
      <c r="C1160" s="710" t="s">
        <v>13291</v>
      </c>
      <c r="D1160" s="709" t="s">
        <v>159</v>
      </c>
      <c r="E1160" s="711">
        <v>0.2414</v>
      </c>
    </row>
    <row r="1161" spans="1:5" x14ac:dyDescent="0.3">
      <c r="A1161" s="397"/>
      <c r="B1161" s="709">
        <v>102364</v>
      </c>
      <c r="C1161" s="710" t="s">
        <v>13292</v>
      </c>
      <c r="D1161" s="709" t="s">
        <v>168</v>
      </c>
      <c r="E1161" s="711">
        <v>0.1762</v>
      </c>
    </row>
    <row r="1162" spans="1:5" x14ac:dyDescent="0.3">
      <c r="A1162" s="397"/>
      <c r="B1162" s="709">
        <v>102363</v>
      </c>
      <c r="C1162" s="710" t="s">
        <v>13293</v>
      </c>
      <c r="D1162" s="709" t="s">
        <v>168</v>
      </c>
      <c r="E1162" s="711">
        <v>0.20250000000000001</v>
      </c>
    </row>
    <row r="1163" spans="1:5" x14ac:dyDescent="0.3">
      <c r="A1163" s="397"/>
      <c r="B1163" s="709">
        <v>102362</v>
      </c>
      <c r="C1163" s="710" t="s">
        <v>13294</v>
      </c>
      <c r="D1163" s="709" t="s">
        <v>168</v>
      </c>
      <c r="E1163" s="711">
        <v>0.22120000000000001</v>
      </c>
    </row>
    <row r="1164" spans="1:5" x14ac:dyDescent="0.3">
      <c r="A1164" s="397"/>
      <c r="B1164" s="709">
        <v>101193</v>
      </c>
      <c r="C1164" s="710" t="s">
        <v>13295</v>
      </c>
      <c r="D1164" s="709" t="s">
        <v>159</v>
      </c>
      <c r="E1164" s="711">
        <v>0.36930000000000002</v>
      </c>
    </row>
    <row r="1165" spans="1:5" x14ac:dyDescent="0.3">
      <c r="A1165" s="397"/>
      <c r="B1165" s="709">
        <v>106459</v>
      </c>
      <c r="C1165" s="710" t="s">
        <v>13296</v>
      </c>
      <c r="D1165" s="709" t="s">
        <v>159</v>
      </c>
      <c r="E1165" s="711">
        <v>0.36840000000000001</v>
      </c>
    </row>
    <row r="1166" spans="1:5" x14ac:dyDescent="0.3">
      <c r="A1166" s="397"/>
      <c r="B1166" s="709">
        <v>101194</v>
      </c>
      <c r="C1166" s="710" t="s">
        <v>13297</v>
      </c>
      <c r="D1166" s="709" t="s">
        <v>159</v>
      </c>
      <c r="E1166" s="711">
        <v>0.36730000000000002</v>
      </c>
    </row>
    <row r="1167" spans="1:5" x14ac:dyDescent="0.3">
      <c r="A1167" s="397"/>
      <c r="B1167" s="709">
        <v>101190</v>
      </c>
      <c r="C1167" s="710" t="s">
        <v>13298</v>
      </c>
      <c r="D1167" s="709" t="s">
        <v>159</v>
      </c>
      <c r="E1167" s="711">
        <v>0.33300000000000002</v>
      </c>
    </row>
    <row r="1168" spans="1:5" x14ac:dyDescent="0.3">
      <c r="A1168" s="397"/>
      <c r="B1168" s="709">
        <v>106458</v>
      </c>
      <c r="C1168" s="710" t="s">
        <v>13299</v>
      </c>
      <c r="D1168" s="709" t="s">
        <v>159</v>
      </c>
      <c r="E1168" s="711">
        <v>0.33239999999999997</v>
      </c>
    </row>
    <row r="1169" spans="1:5" x14ac:dyDescent="0.3">
      <c r="A1169" s="397"/>
      <c r="B1169" s="709">
        <v>101191</v>
      </c>
      <c r="C1169" s="710" t="s">
        <v>13300</v>
      </c>
      <c r="D1169" s="709" t="s">
        <v>159</v>
      </c>
      <c r="E1169" s="711">
        <v>0.33139999999999997</v>
      </c>
    </row>
    <row r="1170" spans="1:5" x14ac:dyDescent="0.3">
      <c r="A1170" s="397"/>
      <c r="B1170" s="709">
        <v>101198</v>
      </c>
      <c r="C1170" s="710" t="s">
        <v>13301</v>
      </c>
      <c r="D1170" s="709" t="s">
        <v>159</v>
      </c>
      <c r="E1170" s="711">
        <v>0.42949999999999999</v>
      </c>
    </row>
    <row r="1171" spans="1:5" x14ac:dyDescent="0.3">
      <c r="A1171" s="397"/>
      <c r="B1171" s="709">
        <v>106460</v>
      </c>
      <c r="C1171" s="710" t="s">
        <v>13302</v>
      </c>
      <c r="D1171" s="709" t="s">
        <v>159</v>
      </c>
      <c r="E1171" s="711">
        <v>0.4279</v>
      </c>
    </row>
    <row r="1172" spans="1:5" x14ac:dyDescent="0.3">
      <c r="A1172" s="397"/>
      <c r="B1172" s="709">
        <v>101199</v>
      </c>
      <c r="C1172" s="710" t="s">
        <v>13303</v>
      </c>
      <c r="D1172" s="709" t="s">
        <v>159</v>
      </c>
      <c r="E1172" s="711">
        <v>0.42570000000000002</v>
      </c>
    </row>
    <row r="1173" spans="1:5" x14ac:dyDescent="0.3">
      <c r="A1173" s="397"/>
      <c r="B1173" s="709">
        <v>101203</v>
      </c>
      <c r="C1173" s="710" t="s">
        <v>13304</v>
      </c>
      <c r="D1173" s="709" t="s">
        <v>159</v>
      </c>
      <c r="E1173" s="711">
        <v>0.51380000000000003</v>
      </c>
    </row>
    <row r="1174" spans="1:5" x14ac:dyDescent="0.3">
      <c r="A1174" s="397"/>
      <c r="B1174" s="709">
        <v>101204</v>
      </c>
      <c r="C1174" s="710" t="s">
        <v>13305</v>
      </c>
      <c r="D1174" s="709" t="s">
        <v>159</v>
      </c>
      <c r="E1174" s="711">
        <v>0.50980000000000003</v>
      </c>
    </row>
    <row r="1175" spans="1:5" x14ac:dyDescent="0.3">
      <c r="A1175" s="397"/>
      <c r="B1175" s="709">
        <v>106257</v>
      </c>
      <c r="C1175" s="710" t="s">
        <v>13306</v>
      </c>
      <c r="D1175" s="709" t="s">
        <v>159</v>
      </c>
      <c r="E1175" s="711">
        <v>0.51180000000000003</v>
      </c>
    </row>
    <row r="1176" spans="1:5" x14ac:dyDescent="0.3">
      <c r="A1176" s="397"/>
      <c r="B1176" s="709">
        <v>106461</v>
      </c>
      <c r="C1176" s="710" t="s">
        <v>13307</v>
      </c>
      <c r="D1176" s="709" t="s">
        <v>159</v>
      </c>
      <c r="E1176" s="711">
        <v>0.38019999999999998</v>
      </c>
    </row>
    <row r="1177" spans="1:5" x14ac:dyDescent="0.3">
      <c r="A1177" s="397"/>
      <c r="B1177" s="709">
        <v>106462</v>
      </c>
      <c r="C1177" s="710" t="s">
        <v>13308</v>
      </c>
      <c r="D1177" s="709" t="s">
        <v>159</v>
      </c>
      <c r="E1177" s="711">
        <v>0.42759999999999998</v>
      </c>
    </row>
    <row r="1178" spans="1:5" x14ac:dyDescent="0.3">
      <c r="A1178" s="397"/>
      <c r="B1178" s="709">
        <v>106479</v>
      </c>
      <c r="C1178" s="710" t="s">
        <v>13309</v>
      </c>
      <c r="D1178" s="709" t="s">
        <v>159</v>
      </c>
      <c r="E1178" s="711">
        <v>0.27</v>
      </c>
    </row>
    <row r="1179" spans="1:5" x14ac:dyDescent="0.3">
      <c r="A1179" s="397"/>
      <c r="B1179" s="709">
        <v>106483</v>
      </c>
      <c r="C1179" s="710" t="s">
        <v>13310</v>
      </c>
      <c r="D1179" s="709" t="s">
        <v>136</v>
      </c>
      <c r="E1179" s="711">
        <v>0.26190000000000002</v>
      </c>
    </row>
    <row r="1180" spans="1:5" x14ac:dyDescent="0.3">
      <c r="A1180" s="397"/>
      <c r="B1180" s="709">
        <v>106484</v>
      </c>
      <c r="C1180" s="710" t="s">
        <v>13311</v>
      </c>
      <c r="D1180" s="709" t="s">
        <v>136</v>
      </c>
      <c r="E1180" s="711">
        <v>0.2419</v>
      </c>
    </row>
    <row r="1181" spans="1:5" x14ac:dyDescent="0.3">
      <c r="A1181" s="397"/>
      <c r="B1181" s="709">
        <v>106480</v>
      </c>
      <c r="C1181" s="710" t="s">
        <v>13312</v>
      </c>
      <c r="D1181" s="709" t="s">
        <v>136</v>
      </c>
      <c r="E1181" s="711">
        <v>0.27239999999999998</v>
      </c>
    </row>
    <row r="1182" spans="1:5" x14ac:dyDescent="0.3">
      <c r="A1182" s="397"/>
      <c r="B1182" s="709">
        <v>106481</v>
      </c>
      <c r="C1182" s="710" t="s">
        <v>13313</v>
      </c>
      <c r="D1182" s="709" t="s">
        <v>136</v>
      </c>
      <c r="E1182" s="711">
        <v>0.23780000000000001</v>
      </c>
    </row>
    <row r="1183" spans="1:5" x14ac:dyDescent="0.3">
      <c r="A1183" s="397"/>
      <c r="B1183" s="709">
        <v>106469</v>
      </c>
      <c r="C1183" s="710" t="s">
        <v>13314</v>
      </c>
      <c r="D1183" s="709" t="s">
        <v>168</v>
      </c>
      <c r="E1183" s="711">
        <v>0.1212</v>
      </c>
    </row>
    <row r="1184" spans="1:5" x14ac:dyDescent="0.3">
      <c r="A1184" s="397"/>
      <c r="B1184" s="709">
        <v>106468</v>
      </c>
      <c r="C1184" s="710" t="s">
        <v>13315</v>
      </c>
      <c r="D1184" s="709" t="s">
        <v>168</v>
      </c>
      <c r="E1184" s="711">
        <v>0.1946</v>
      </c>
    </row>
    <row r="1185" spans="1:5" x14ac:dyDescent="0.3">
      <c r="A1185" s="397"/>
      <c r="B1185" s="709">
        <v>106466</v>
      </c>
      <c r="C1185" s="710" t="s">
        <v>13316</v>
      </c>
      <c r="D1185" s="709" t="s">
        <v>168</v>
      </c>
      <c r="E1185" s="711">
        <v>0.31319999999999998</v>
      </c>
    </row>
    <row r="1186" spans="1:5" x14ac:dyDescent="0.3">
      <c r="A1186" s="397"/>
      <c r="B1186" s="709">
        <v>106464</v>
      </c>
      <c r="C1186" s="710" t="s">
        <v>13317</v>
      </c>
      <c r="D1186" s="709" t="s">
        <v>168</v>
      </c>
      <c r="E1186" s="711">
        <v>0.2344</v>
      </c>
    </row>
    <row r="1187" spans="1:5" x14ac:dyDescent="0.3">
      <c r="A1187" s="397"/>
      <c r="B1187" s="709">
        <v>106476</v>
      </c>
      <c r="C1187" s="710" t="s">
        <v>13318</v>
      </c>
      <c r="D1187" s="709" t="s">
        <v>159</v>
      </c>
      <c r="E1187" s="711">
        <v>0.22570000000000001</v>
      </c>
    </row>
    <row r="1188" spans="1:5" x14ac:dyDescent="0.3">
      <c r="A1188" s="397"/>
      <c r="B1188" s="709">
        <v>106477</v>
      </c>
      <c r="C1188" s="710" t="s">
        <v>13319</v>
      </c>
      <c r="D1188" s="709" t="s">
        <v>159</v>
      </c>
      <c r="E1188" s="711">
        <v>0.26860000000000001</v>
      </c>
    </row>
    <row r="1189" spans="1:5" x14ac:dyDescent="0.3">
      <c r="A1189" s="397"/>
      <c r="B1189" s="709">
        <v>106478</v>
      </c>
      <c r="C1189" s="710" t="s">
        <v>13320</v>
      </c>
      <c r="D1189" s="709" t="s">
        <v>159</v>
      </c>
      <c r="E1189" s="711">
        <v>0.1231</v>
      </c>
    </row>
    <row r="1190" spans="1:5" x14ac:dyDescent="0.3">
      <c r="A1190" s="397"/>
      <c r="B1190" s="709">
        <v>106471</v>
      </c>
      <c r="C1190" s="710" t="s">
        <v>13321</v>
      </c>
      <c r="D1190" s="709" t="s">
        <v>159</v>
      </c>
      <c r="E1190" s="711">
        <v>0.24390000000000001</v>
      </c>
    </row>
    <row r="1191" spans="1:5" x14ac:dyDescent="0.3">
      <c r="A1191" s="397"/>
      <c r="B1191" s="709">
        <v>106470</v>
      </c>
      <c r="C1191" s="710" t="s">
        <v>13322</v>
      </c>
      <c r="D1191" s="709" t="s">
        <v>159</v>
      </c>
      <c r="E1191" s="711">
        <v>0.28149999999999997</v>
      </c>
    </row>
    <row r="1192" spans="1:5" x14ac:dyDescent="0.3">
      <c r="A1192" s="397"/>
      <c r="B1192" s="709">
        <v>106472</v>
      </c>
      <c r="C1192" s="710" t="s">
        <v>13323</v>
      </c>
      <c r="D1192" s="709" t="s">
        <v>159</v>
      </c>
      <c r="E1192" s="711">
        <v>0.1968</v>
      </c>
    </row>
    <row r="1193" spans="1:5" x14ac:dyDescent="0.3">
      <c r="A1193" s="397"/>
      <c r="B1193" s="709">
        <v>106475</v>
      </c>
      <c r="C1193" s="710" t="s">
        <v>13324</v>
      </c>
      <c r="D1193" s="709" t="s">
        <v>159</v>
      </c>
      <c r="E1193" s="711">
        <v>6.0400000000000002E-2</v>
      </c>
    </row>
    <row r="1194" spans="1:5" x14ac:dyDescent="0.3">
      <c r="A1194" s="397"/>
      <c r="B1194" s="709">
        <v>106474</v>
      </c>
      <c r="C1194" s="710" t="s">
        <v>13325</v>
      </c>
      <c r="D1194" s="709" t="s">
        <v>159</v>
      </c>
      <c r="E1194" s="711">
        <v>7.9299999999999995E-2</v>
      </c>
    </row>
    <row r="1195" spans="1:5" x14ac:dyDescent="0.3">
      <c r="A1195" s="397"/>
      <c r="B1195" s="709">
        <v>106473</v>
      </c>
      <c r="C1195" s="710" t="s">
        <v>13326</v>
      </c>
      <c r="D1195" s="709" t="s">
        <v>159</v>
      </c>
      <c r="E1195" s="711">
        <v>9.6299999999999997E-2</v>
      </c>
    </row>
    <row r="1196" spans="1:5" x14ac:dyDescent="0.3">
      <c r="A1196" s="397"/>
      <c r="B1196" s="709">
        <v>101205</v>
      </c>
      <c r="C1196" s="710" t="s">
        <v>13327</v>
      </c>
      <c r="D1196" s="709" t="s">
        <v>159</v>
      </c>
      <c r="E1196" s="711">
        <v>0.51180000000000003</v>
      </c>
    </row>
    <row r="1197" spans="1:5" x14ac:dyDescent="0.3">
      <c r="A1197" s="397"/>
      <c r="B1197" s="709">
        <v>106457</v>
      </c>
      <c r="C1197" s="710" t="s">
        <v>13328</v>
      </c>
      <c r="D1197" s="709" t="s">
        <v>159</v>
      </c>
      <c r="E1197" s="711">
        <v>0.79</v>
      </c>
    </row>
    <row r="1198" spans="1:5" x14ac:dyDescent="0.3">
      <c r="A1198" s="397"/>
      <c r="B1198" s="709">
        <v>87905</v>
      </c>
      <c r="C1198" s="710" t="s">
        <v>1534</v>
      </c>
      <c r="D1198" s="709" t="s">
        <v>168</v>
      </c>
      <c r="E1198" s="711">
        <v>0.7974</v>
      </c>
    </row>
    <row r="1199" spans="1:5" x14ac:dyDescent="0.3">
      <c r="A1199" s="397"/>
      <c r="B1199" s="709">
        <v>87904</v>
      </c>
      <c r="C1199" s="710" t="s">
        <v>1535</v>
      </c>
      <c r="D1199" s="709" t="s">
        <v>168</v>
      </c>
      <c r="E1199" s="711">
        <v>0.8135</v>
      </c>
    </row>
    <row r="1200" spans="1:5" x14ac:dyDescent="0.3">
      <c r="A1200" s="397"/>
      <c r="B1200" s="709">
        <v>87908</v>
      </c>
      <c r="C1200" s="710" t="s">
        <v>1536</v>
      </c>
      <c r="D1200" s="709" t="s">
        <v>168</v>
      </c>
      <c r="E1200" s="711">
        <v>0.60880000000000001</v>
      </c>
    </row>
    <row r="1201" spans="1:5" x14ac:dyDescent="0.3">
      <c r="A1201" s="397"/>
      <c r="B1201" s="709">
        <v>87907</v>
      </c>
      <c r="C1201" s="710" t="s">
        <v>1537</v>
      </c>
      <c r="D1201" s="709" t="s">
        <v>168</v>
      </c>
      <c r="E1201" s="711">
        <v>0.64359999999999995</v>
      </c>
    </row>
    <row r="1202" spans="1:5" x14ac:dyDescent="0.3">
      <c r="A1202" s="397"/>
      <c r="B1202" s="709">
        <v>87903</v>
      </c>
      <c r="C1202" s="710" t="s">
        <v>1538</v>
      </c>
      <c r="D1202" s="709" t="s">
        <v>168</v>
      </c>
      <c r="E1202" s="711">
        <v>0.36380000000000001</v>
      </c>
    </row>
    <row r="1203" spans="1:5" x14ac:dyDescent="0.3">
      <c r="A1203" s="397"/>
      <c r="B1203" s="709">
        <v>87902</v>
      </c>
      <c r="C1203" s="710" t="s">
        <v>1539</v>
      </c>
      <c r="D1203" s="709" t="s">
        <v>168</v>
      </c>
      <c r="E1203" s="711">
        <v>0.38369999999999999</v>
      </c>
    </row>
    <row r="1204" spans="1:5" x14ac:dyDescent="0.3">
      <c r="A1204" s="397"/>
      <c r="B1204" s="709">
        <v>87900</v>
      </c>
      <c r="C1204" s="710" t="s">
        <v>1540</v>
      </c>
      <c r="D1204" s="709" t="s">
        <v>168</v>
      </c>
      <c r="E1204" s="711">
        <v>0.46239999999999998</v>
      </c>
    </row>
    <row r="1205" spans="1:5" x14ac:dyDescent="0.3">
      <c r="A1205" s="397"/>
      <c r="B1205" s="709">
        <v>87899</v>
      </c>
      <c r="C1205" s="710" t="s">
        <v>1541</v>
      </c>
      <c r="D1205" s="709" t="s">
        <v>168</v>
      </c>
      <c r="E1205" s="711">
        <v>0.47470000000000001</v>
      </c>
    </row>
    <row r="1206" spans="1:5" x14ac:dyDescent="0.3">
      <c r="A1206" s="397"/>
      <c r="B1206" s="709">
        <v>87894</v>
      </c>
      <c r="C1206" s="710" t="s">
        <v>1542</v>
      </c>
      <c r="D1206" s="709" t="s">
        <v>168</v>
      </c>
      <c r="E1206" s="711">
        <v>0.76390000000000002</v>
      </c>
    </row>
    <row r="1207" spans="1:5" x14ac:dyDescent="0.3">
      <c r="A1207" s="397"/>
      <c r="B1207" s="709">
        <v>87893</v>
      </c>
      <c r="C1207" s="710" t="s">
        <v>1543</v>
      </c>
      <c r="D1207" s="709" t="s">
        <v>168</v>
      </c>
      <c r="E1207" s="711">
        <v>0.78469999999999995</v>
      </c>
    </row>
    <row r="1208" spans="1:5" x14ac:dyDescent="0.3">
      <c r="A1208" s="397"/>
      <c r="B1208" s="709">
        <v>87897</v>
      </c>
      <c r="C1208" s="710" t="s">
        <v>1544</v>
      </c>
      <c r="D1208" s="709" t="s">
        <v>168</v>
      </c>
      <c r="E1208" s="711">
        <v>0.56679999999999997</v>
      </c>
    </row>
    <row r="1209" spans="1:5" x14ac:dyDescent="0.3">
      <c r="A1209" s="397"/>
      <c r="B1209" s="709">
        <v>87896</v>
      </c>
      <c r="C1209" s="710" t="s">
        <v>1545</v>
      </c>
      <c r="D1209" s="709" t="s">
        <v>168</v>
      </c>
      <c r="E1209" s="711">
        <v>0.61209999999999998</v>
      </c>
    </row>
    <row r="1210" spans="1:5" x14ac:dyDescent="0.3">
      <c r="A1210" s="397"/>
      <c r="B1210" s="709">
        <v>87892</v>
      </c>
      <c r="C1210" s="710" t="s">
        <v>1546</v>
      </c>
      <c r="D1210" s="709" t="s">
        <v>168</v>
      </c>
      <c r="E1210" s="711">
        <v>0.31859999999999999</v>
      </c>
    </row>
    <row r="1211" spans="1:5" x14ac:dyDescent="0.3">
      <c r="A1211" s="397"/>
      <c r="B1211" s="709">
        <v>87891</v>
      </c>
      <c r="C1211" s="710" t="s">
        <v>1547</v>
      </c>
      <c r="D1211" s="709" t="s">
        <v>168</v>
      </c>
      <c r="E1211" s="711">
        <v>0.34139999999999998</v>
      </c>
    </row>
    <row r="1212" spans="1:5" x14ac:dyDescent="0.3">
      <c r="A1212" s="397"/>
      <c r="B1212" s="709">
        <v>87889</v>
      </c>
      <c r="C1212" s="710" t="s">
        <v>1548</v>
      </c>
      <c r="D1212" s="709" t="s">
        <v>168</v>
      </c>
      <c r="E1212" s="711">
        <v>0.4128</v>
      </c>
    </row>
    <row r="1213" spans="1:5" x14ac:dyDescent="0.3">
      <c r="A1213" s="397"/>
      <c r="B1213" s="709">
        <v>87888</v>
      </c>
      <c r="C1213" s="710" t="s">
        <v>1549</v>
      </c>
      <c r="D1213" s="709" t="s">
        <v>168</v>
      </c>
      <c r="E1213" s="711">
        <v>0.42720000000000002</v>
      </c>
    </row>
    <row r="1214" spans="1:5" x14ac:dyDescent="0.3">
      <c r="A1214" s="397"/>
      <c r="B1214" s="709">
        <v>104411</v>
      </c>
      <c r="C1214" s="710" t="s">
        <v>1550</v>
      </c>
      <c r="D1214" s="709" t="s">
        <v>168</v>
      </c>
      <c r="E1214" s="711">
        <v>0.50849999999999995</v>
      </c>
    </row>
    <row r="1215" spans="1:5" x14ac:dyDescent="0.3">
      <c r="A1215" s="397"/>
      <c r="B1215" s="709">
        <v>104410</v>
      </c>
      <c r="C1215" s="710" t="s">
        <v>1551</v>
      </c>
      <c r="D1215" s="709" t="s">
        <v>168</v>
      </c>
      <c r="E1215" s="711">
        <v>0.56859999999999999</v>
      </c>
    </row>
    <row r="1216" spans="1:5" x14ac:dyDescent="0.3">
      <c r="A1216" s="397"/>
      <c r="B1216" s="709">
        <v>87879</v>
      </c>
      <c r="C1216" s="710" t="s">
        <v>1552</v>
      </c>
      <c r="D1216" s="709" t="s">
        <v>168</v>
      </c>
      <c r="E1216" s="711">
        <v>0.63690000000000002</v>
      </c>
    </row>
    <row r="1217" spans="1:5" x14ac:dyDescent="0.3">
      <c r="A1217" s="397"/>
      <c r="B1217" s="709">
        <v>87878</v>
      </c>
      <c r="C1217" s="710" t="s">
        <v>1553</v>
      </c>
      <c r="D1217" s="709" t="s">
        <v>168</v>
      </c>
      <c r="E1217" s="711">
        <v>0.68059999999999998</v>
      </c>
    </row>
    <row r="1218" spans="1:5" x14ac:dyDescent="0.3">
      <c r="A1218" s="397"/>
      <c r="B1218" s="709">
        <v>87885</v>
      </c>
      <c r="C1218" s="710" t="s">
        <v>1554</v>
      </c>
      <c r="D1218" s="709" t="s">
        <v>168</v>
      </c>
      <c r="E1218" s="711">
        <v>0.18779999999999999</v>
      </c>
    </row>
    <row r="1219" spans="1:5" x14ac:dyDescent="0.3">
      <c r="A1219" s="397"/>
      <c r="B1219" s="709">
        <v>87884</v>
      </c>
      <c r="C1219" s="710" t="s">
        <v>1555</v>
      </c>
      <c r="D1219" s="709" t="s">
        <v>168</v>
      </c>
      <c r="E1219" s="711">
        <v>0.22</v>
      </c>
    </row>
    <row r="1220" spans="1:5" x14ac:dyDescent="0.3">
      <c r="A1220" s="397"/>
      <c r="B1220" s="709">
        <v>87882</v>
      </c>
      <c r="C1220" s="710" t="s">
        <v>1556</v>
      </c>
      <c r="D1220" s="709" t="s">
        <v>168</v>
      </c>
      <c r="E1220" s="711">
        <v>0.25750000000000001</v>
      </c>
    </row>
    <row r="1221" spans="1:5" x14ac:dyDescent="0.3">
      <c r="A1221" s="397"/>
      <c r="B1221" s="709">
        <v>87881</v>
      </c>
      <c r="C1221" s="710" t="s">
        <v>1557</v>
      </c>
      <c r="D1221" s="709" t="s">
        <v>168</v>
      </c>
      <c r="E1221" s="711">
        <v>0.2792</v>
      </c>
    </row>
    <row r="1222" spans="1:5" x14ac:dyDescent="0.3">
      <c r="A1222" s="397"/>
      <c r="B1222" s="709">
        <v>87887</v>
      </c>
      <c r="C1222" s="710" t="s">
        <v>1558</v>
      </c>
      <c r="D1222" s="709" t="s">
        <v>168</v>
      </c>
      <c r="E1222" s="711">
        <v>0.34499999999999997</v>
      </c>
    </row>
    <row r="1223" spans="1:5" x14ac:dyDescent="0.3">
      <c r="A1223" s="397"/>
      <c r="B1223" s="709">
        <v>87886</v>
      </c>
      <c r="C1223" s="710" t="s">
        <v>1559</v>
      </c>
      <c r="D1223" s="709" t="s">
        <v>168</v>
      </c>
      <c r="E1223" s="711">
        <v>0.37830000000000003</v>
      </c>
    </row>
    <row r="1224" spans="1:5" x14ac:dyDescent="0.3">
      <c r="A1224" s="397"/>
      <c r="B1224" s="709">
        <v>87911</v>
      </c>
      <c r="C1224" s="710" t="s">
        <v>1560</v>
      </c>
      <c r="D1224" s="709" t="s">
        <v>168</v>
      </c>
      <c r="E1224" s="711">
        <v>0.52080000000000004</v>
      </c>
    </row>
    <row r="1225" spans="1:5" x14ac:dyDescent="0.3">
      <c r="A1225" s="397"/>
      <c r="B1225" s="709">
        <v>87910</v>
      </c>
      <c r="C1225" s="710" t="s">
        <v>1561</v>
      </c>
      <c r="D1225" s="709" t="s">
        <v>168</v>
      </c>
      <c r="E1225" s="711">
        <v>0.53900000000000003</v>
      </c>
    </row>
    <row r="1226" spans="1:5" x14ac:dyDescent="0.3">
      <c r="A1226" s="397"/>
      <c r="B1226" s="709">
        <v>103686</v>
      </c>
      <c r="C1226" s="710" t="s">
        <v>1562</v>
      </c>
      <c r="D1226" s="709" t="s">
        <v>170</v>
      </c>
      <c r="E1226" s="711">
        <v>0.13519999999999999</v>
      </c>
    </row>
    <row r="1227" spans="1:5" x14ac:dyDescent="0.3">
      <c r="A1227" s="397"/>
      <c r="B1227" s="709">
        <v>103685</v>
      </c>
      <c r="C1227" s="710" t="s">
        <v>1563</v>
      </c>
      <c r="D1227" s="709" t="s">
        <v>170</v>
      </c>
      <c r="E1227" s="711">
        <v>6.5000000000000002E-2</v>
      </c>
    </row>
    <row r="1228" spans="1:5" x14ac:dyDescent="0.3">
      <c r="A1228" s="397"/>
      <c r="B1228" s="709">
        <v>103669</v>
      </c>
      <c r="C1228" s="710" t="s">
        <v>1564</v>
      </c>
      <c r="D1228" s="709" t="s">
        <v>170</v>
      </c>
      <c r="E1228" s="711">
        <v>0.29330000000000001</v>
      </c>
    </row>
    <row r="1229" spans="1:5" x14ac:dyDescent="0.3">
      <c r="A1229" s="397"/>
      <c r="B1229" s="709">
        <v>103672</v>
      </c>
      <c r="C1229" s="710" t="s">
        <v>1565</v>
      </c>
      <c r="D1229" s="709" t="s">
        <v>170</v>
      </c>
      <c r="E1229" s="711">
        <v>5.8900000000000001E-2</v>
      </c>
    </row>
    <row r="1230" spans="1:5" x14ac:dyDescent="0.3">
      <c r="A1230" s="397"/>
      <c r="B1230" s="709">
        <v>103671</v>
      </c>
      <c r="C1230" s="710" t="s">
        <v>1566</v>
      </c>
      <c r="D1230" s="709" t="s">
        <v>170</v>
      </c>
      <c r="E1230" s="711">
        <v>6.3200000000000006E-2</v>
      </c>
    </row>
    <row r="1231" spans="1:5" x14ac:dyDescent="0.3">
      <c r="A1231" s="397"/>
      <c r="B1231" s="709">
        <v>103688</v>
      </c>
      <c r="C1231" s="710" t="s">
        <v>1567</v>
      </c>
      <c r="D1231" s="709" t="s">
        <v>170</v>
      </c>
      <c r="E1231" s="711">
        <v>0.19939999999999999</v>
      </c>
    </row>
    <row r="1232" spans="1:5" x14ac:dyDescent="0.3">
      <c r="A1232" s="397"/>
      <c r="B1232" s="709">
        <v>103687</v>
      </c>
      <c r="C1232" s="710" t="s">
        <v>1568</v>
      </c>
      <c r="D1232" s="709" t="s">
        <v>170</v>
      </c>
      <c r="E1232" s="711">
        <v>0.37180000000000002</v>
      </c>
    </row>
    <row r="1233" spans="1:5" x14ac:dyDescent="0.3">
      <c r="A1233" s="397"/>
      <c r="B1233" s="709">
        <v>103684</v>
      </c>
      <c r="C1233" s="710" t="s">
        <v>1569</v>
      </c>
      <c r="D1233" s="709" t="s">
        <v>170</v>
      </c>
      <c r="E1233" s="711">
        <v>8.1199999999999994E-2</v>
      </c>
    </row>
    <row r="1234" spans="1:5" x14ac:dyDescent="0.3">
      <c r="A1234" s="397"/>
      <c r="B1234" s="709">
        <v>103681</v>
      </c>
      <c r="C1234" s="710" t="s">
        <v>1570</v>
      </c>
      <c r="D1234" s="709" t="s">
        <v>170</v>
      </c>
      <c r="E1234" s="711">
        <v>9.3600000000000003E-2</v>
      </c>
    </row>
    <row r="1235" spans="1:5" x14ac:dyDescent="0.3">
      <c r="A1235" s="397"/>
      <c r="B1235" s="709">
        <v>103679</v>
      </c>
      <c r="C1235" s="710" t="s">
        <v>1571</v>
      </c>
      <c r="D1235" s="709" t="s">
        <v>170</v>
      </c>
      <c r="E1235" s="711">
        <v>0.1661</v>
      </c>
    </row>
    <row r="1236" spans="1:5" x14ac:dyDescent="0.3">
      <c r="A1236" s="397"/>
      <c r="B1236" s="709">
        <v>103677</v>
      </c>
      <c r="C1236" s="710" t="s">
        <v>1572</v>
      </c>
      <c r="D1236" s="709" t="s">
        <v>170</v>
      </c>
      <c r="E1236" s="711">
        <v>0.2056</v>
      </c>
    </row>
    <row r="1237" spans="1:5" x14ac:dyDescent="0.3">
      <c r="A1237" s="397"/>
      <c r="B1237" s="709">
        <v>103675</v>
      </c>
      <c r="C1237" s="710" t="s">
        <v>1573</v>
      </c>
      <c r="D1237" s="709" t="s">
        <v>170</v>
      </c>
      <c r="E1237" s="711">
        <v>5.8999999999999997E-2</v>
      </c>
    </row>
    <row r="1238" spans="1:5" x14ac:dyDescent="0.3">
      <c r="A1238" s="397"/>
      <c r="B1238" s="709">
        <v>103680</v>
      </c>
      <c r="C1238" s="710" t="s">
        <v>1574</v>
      </c>
      <c r="D1238" s="709" t="s">
        <v>170</v>
      </c>
      <c r="E1238" s="711">
        <v>0.20749999999999999</v>
      </c>
    </row>
    <row r="1239" spans="1:5" x14ac:dyDescent="0.3">
      <c r="A1239" s="397"/>
      <c r="B1239" s="709">
        <v>103678</v>
      </c>
      <c r="C1239" s="710" t="s">
        <v>1575</v>
      </c>
      <c r="D1239" s="709" t="s">
        <v>170</v>
      </c>
      <c r="E1239" s="711">
        <v>0.26719999999999999</v>
      </c>
    </row>
    <row r="1240" spans="1:5" x14ac:dyDescent="0.3">
      <c r="A1240" s="397"/>
      <c r="B1240" s="709">
        <v>103676</v>
      </c>
      <c r="C1240" s="710" t="s">
        <v>1576</v>
      </c>
      <c r="D1240" s="709" t="s">
        <v>170</v>
      </c>
      <c r="E1240" s="711">
        <v>0.33289999999999997</v>
      </c>
    </row>
    <row r="1241" spans="1:5" x14ac:dyDescent="0.3">
      <c r="A1241" s="397"/>
      <c r="B1241" s="709">
        <v>103674</v>
      </c>
      <c r="C1241" s="710" t="s">
        <v>1577</v>
      </c>
      <c r="D1241" s="709" t="s">
        <v>170</v>
      </c>
      <c r="E1241" s="711">
        <v>8.4199999999999997E-2</v>
      </c>
    </row>
    <row r="1242" spans="1:5" x14ac:dyDescent="0.3">
      <c r="A1242" s="397"/>
      <c r="B1242" s="709">
        <v>103683</v>
      </c>
      <c r="C1242" s="710" t="s">
        <v>1578</v>
      </c>
      <c r="D1242" s="709" t="s">
        <v>170</v>
      </c>
      <c r="E1242" s="711">
        <v>0.45850000000000002</v>
      </c>
    </row>
    <row r="1243" spans="1:5" x14ac:dyDescent="0.3">
      <c r="A1243" s="397"/>
      <c r="B1243" s="709">
        <v>103682</v>
      </c>
      <c r="C1243" s="710" t="s">
        <v>1579</v>
      </c>
      <c r="D1243" s="709" t="s">
        <v>170</v>
      </c>
      <c r="E1243" s="711">
        <v>0.30690000000000001</v>
      </c>
    </row>
    <row r="1244" spans="1:5" x14ac:dyDescent="0.3">
      <c r="A1244" s="397"/>
      <c r="B1244" s="709">
        <v>103670</v>
      </c>
      <c r="C1244" s="710" t="s">
        <v>1580</v>
      </c>
      <c r="D1244" s="709" t="s">
        <v>170</v>
      </c>
      <c r="E1244" s="711">
        <v>0.99339999999999995</v>
      </c>
    </row>
    <row r="1245" spans="1:5" x14ac:dyDescent="0.3">
      <c r="A1245" s="397"/>
      <c r="B1245" s="709">
        <v>103673</v>
      </c>
      <c r="C1245" s="710" t="s">
        <v>1581</v>
      </c>
      <c r="D1245" s="709" t="s">
        <v>170</v>
      </c>
      <c r="E1245" s="711">
        <v>0.99590000000000001</v>
      </c>
    </row>
    <row r="1246" spans="1:5" x14ac:dyDescent="0.3">
      <c r="A1246" s="397"/>
      <c r="B1246" s="709">
        <v>107269</v>
      </c>
      <c r="C1246" s="710" t="s">
        <v>16170</v>
      </c>
      <c r="D1246" s="709" t="s">
        <v>168</v>
      </c>
      <c r="E1246" s="711">
        <v>0.48399999999999999</v>
      </c>
    </row>
    <row r="1247" spans="1:5" x14ac:dyDescent="0.3">
      <c r="A1247" s="397"/>
      <c r="B1247" s="709">
        <v>107270</v>
      </c>
      <c r="C1247" s="710" t="s">
        <v>16171</v>
      </c>
      <c r="D1247" s="709" t="s">
        <v>168</v>
      </c>
      <c r="E1247" s="711">
        <v>0.39979999999999999</v>
      </c>
    </row>
    <row r="1248" spans="1:5" x14ac:dyDescent="0.3">
      <c r="A1248" s="397"/>
      <c r="B1248" s="709">
        <v>107271</v>
      </c>
      <c r="C1248" s="710" t="s">
        <v>16172</v>
      </c>
      <c r="D1248" s="709" t="s">
        <v>168</v>
      </c>
      <c r="E1248" s="711">
        <v>0.34050000000000002</v>
      </c>
    </row>
    <row r="1249" spans="1:5" x14ac:dyDescent="0.3">
      <c r="A1249" s="397"/>
      <c r="B1249" s="709">
        <v>107268</v>
      </c>
      <c r="C1249" s="710" t="s">
        <v>16173</v>
      </c>
      <c r="D1249" s="709" t="s">
        <v>168</v>
      </c>
      <c r="E1249" s="711">
        <v>0.61329999999999996</v>
      </c>
    </row>
    <row r="1250" spans="1:5" x14ac:dyDescent="0.3">
      <c r="A1250" s="397"/>
      <c r="B1250" s="709">
        <v>91084</v>
      </c>
      <c r="C1250" s="710" t="s">
        <v>16174</v>
      </c>
      <c r="D1250" s="709" t="s">
        <v>168</v>
      </c>
      <c r="E1250" s="711">
        <v>0.39300000000000002</v>
      </c>
    </row>
    <row r="1251" spans="1:5" x14ac:dyDescent="0.3">
      <c r="A1251" s="397"/>
      <c r="B1251" s="709">
        <v>91080</v>
      </c>
      <c r="C1251" s="710" t="s">
        <v>16175</v>
      </c>
      <c r="D1251" s="709" t="s">
        <v>168</v>
      </c>
      <c r="E1251" s="711">
        <v>0.31590000000000001</v>
      </c>
    </row>
    <row r="1252" spans="1:5" x14ac:dyDescent="0.3">
      <c r="A1252" s="397"/>
      <c r="B1252" s="709">
        <v>91101</v>
      </c>
      <c r="C1252" s="710" t="s">
        <v>16176</v>
      </c>
      <c r="D1252" s="709" t="s">
        <v>168</v>
      </c>
      <c r="E1252" s="711">
        <v>0.40589999999999998</v>
      </c>
    </row>
    <row r="1253" spans="1:5" x14ac:dyDescent="0.3">
      <c r="A1253" s="397"/>
      <c r="B1253" s="709">
        <v>91097</v>
      </c>
      <c r="C1253" s="710" t="s">
        <v>16177</v>
      </c>
      <c r="D1253" s="709" t="s">
        <v>168</v>
      </c>
      <c r="E1253" s="711">
        <v>0.32369999999999999</v>
      </c>
    </row>
    <row r="1254" spans="1:5" x14ac:dyDescent="0.3">
      <c r="A1254" s="397"/>
      <c r="B1254" s="709">
        <v>91082</v>
      </c>
      <c r="C1254" s="710" t="s">
        <v>16178</v>
      </c>
      <c r="D1254" s="709" t="s">
        <v>168</v>
      </c>
      <c r="E1254" s="711">
        <v>0.3075</v>
      </c>
    </row>
    <row r="1255" spans="1:5" x14ac:dyDescent="0.3">
      <c r="A1255" s="397"/>
      <c r="B1255" s="709">
        <v>91078</v>
      </c>
      <c r="C1255" s="710" t="s">
        <v>16179</v>
      </c>
      <c r="D1255" s="709" t="s">
        <v>168</v>
      </c>
      <c r="E1255" s="711">
        <v>0.25480000000000003</v>
      </c>
    </row>
    <row r="1256" spans="1:5" x14ac:dyDescent="0.3">
      <c r="A1256" s="397"/>
      <c r="B1256" s="709">
        <v>91099</v>
      </c>
      <c r="C1256" s="710" t="s">
        <v>16180</v>
      </c>
      <c r="D1256" s="709" t="s">
        <v>168</v>
      </c>
      <c r="E1256" s="711">
        <v>0.31580000000000003</v>
      </c>
    </row>
    <row r="1257" spans="1:5" x14ac:dyDescent="0.3">
      <c r="A1257" s="397"/>
      <c r="B1257" s="709">
        <v>91095</v>
      </c>
      <c r="C1257" s="710" t="s">
        <v>16181</v>
      </c>
      <c r="D1257" s="709" t="s">
        <v>168</v>
      </c>
      <c r="E1257" s="711">
        <v>0.26</v>
      </c>
    </row>
    <row r="1258" spans="1:5" x14ac:dyDescent="0.3">
      <c r="A1258" s="397"/>
      <c r="B1258" s="709">
        <v>91076</v>
      </c>
      <c r="C1258" s="710" t="s">
        <v>16182</v>
      </c>
      <c r="D1258" s="709" t="s">
        <v>168</v>
      </c>
      <c r="E1258" s="711">
        <v>0.66590000000000005</v>
      </c>
    </row>
    <row r="1259" spans="1:5" x14ac:dyDescent="0.3">
      <c r="A1259" s="397"/>
      <c r="B1259" s="709">
        <v>91072</v>
      </c>
      <c r="C1259" s="710" t="s">
        <v>16183</v>
      </c>
      <c r="D1259" s="709" t="s">
        <v>168</v>
      </c>
      <c r="E1259" s="711">
        <v>0.64349999999999996</v>
      </c>
    </row>
    <row r="1260" spans="1:5" x14ac:dyDescent="0.3">
      <c r="A1260" s="397"/>
      <c r="B1260" s="709">
        <v>91093</v>
      </c>
      <c r="C1260" s="710" t="s">
        <v>16184</v>
      </c>
      <c r="D1260" s="709" t="s">
        <v>168</v>
      </c>
      <c r="E1260" s="711">
        <v>0.68440000000000001</v>
      </c>
    </row>
    <row r="1261" spans="1:5" x14ac:dyDescent="0.3">
      <c r="A1261" s="397"/>
      <c r="B1261" s="709">
        <v>91089</v>
      </c>
      <c r="C1261" s="710" t="s">
        <v>16185</v>
      </c>
      <c r="D1261" s="709" t="s">
        <v>168</v>
      </c>
      <c r="E1261" s="711">
        <v>0.66390000000000005</v>
      </c>
    </row>
    <row r="1262" spans="1:5" x14ac:dyDescent="0.3">
      <c r="A1262" s="397"/>
      <c r="B1262" s="709">
        <v>91074</v>
      </c>
      <c r="C1262" s="710" t="s">
        <v>16186</v>
      </c>
      <c r="D1262" s="709" t="s">
        <v>168</v>
      </c>
      <c r="E1262" s="711">
        <v>0.51329999999999998</v>
      </c>
    </row>
    <row r="1263" spans="1:5" x14ac:dyDescent="0.3">
      <c r="A1263" s="397"/>
      <c r="B1263" s="709">
        <v>91070</v>
      </c>
      <c r="C1263" s="710" t="s">
        <v>16187</v>
      </c>
      <c r="D1263" s="709" t="s">
        <v>168</v>
      </c>
      <c r="E1263" s="711">
        <v>0.47870000000000001</v>
      </c>
    </row>
    <row r="1264" spans="1:5" x14ac:dyDescent="0.3">
      <c r="A1264" s="397"/>
      <c r="B1264" s="709">
        <v>91091</v>
      </c>
      <c r="C1264" s="710" t="s">
        <v>16188</v>
      </c>
      <c r="D1264" s="709" t="s">
        <v>168</v>
      </c>
      <c r="E1264" s="711">
        <v>0.55330000000000001</v>
      </c>
    </row>
    <row r="1265" spans="1:5" x14ac:dyDescent="0.3">
      <c r="A1265" s="397"/>
      <c r="B1265" s="709">
        <v>91087</v>
      </c>
      <c r="C1265" s="710" t="s">
        <v>16189</v>
      </c>
      <c r="D1265" s="709" t="s">
        <v>168</v>
      </c>
      <c r="E1265" s="711">
        <v>0.5242</v>
      </c>
    </row>
    <row r="1266" spans="1:5" x14ac:dyDescent="0.3">
      <c r="A1266" s="397"/>
      <c r="B1266" s="709">
        <v>91083</v>
      </c>
      <c r="C1266" s="710" t="s">
        <v>16190</v>
      </c>
      <c r="D1266" s="709" t="s">
        <v>168</v>
      </c>
      <c r="E1266" s="711">
        <v>0.48909999999999998</v>
      </c>
    </row>
    <row r="1267" spans="1:5" x14ac:dyDescent="0.3">
      <c r="A1267" s="397"/>
      <c r="B1267" s="709">
        <v>91079</v>
      </c>
      <c r="C1267" s="710" t="s">
        <v>16191</v>
      </c>
      <c r="D1267" s="709" t="s">
        <v>168</v>
      </c>
      <c r="E1267" s="711">
        <v>0.36840000000000001</v>
      </c>
    </row>
    <row r="1268" spans="1:5" x14ac:dyDescent="0.3">
      <c r="A1268" s="397"/>
      <c r="B1268" s="709">
        <v>91100</v>
      </c>
      <c r="C1268" s="710" t="s">
        <v>16192</v>
      </c>
      <c r="D1268" s="709" t="s">
        <v>168</v>
      </c>
      <c r="E1268" s="711">
        <v>0.51160000000000005</v>
      </c>
    </row>
    <row r="1269" spans="1:5" x14ac:dyDescent="0.3">
      <c r="A1269" s="397"/>
      <c r="B1269" s="709">
        <v>91096</v>
      </c>
      <c r="C1269" s="710" t="s">
        <v>16193</v>
      </c>
      <c r="D1269" s="709" t="s">
        <v>168</v>
      </c>
      <c r="E1269" s="711">
        <v>0.37990000000000002</v>
      </c>
    </row>
    <row r="1270" spans="1:5" x14ac:dyDescent="0.3">
      <c r="A1270" s="397"/>
      <c r="B1270" s="709">
        <v>91081</v>
      </c>
      <c r="C1270" s="710" t="s">
        <v>16194</v>
      </c>
      <c r="D1270" s="709" t="s">
        <v>168</v>
      </c>
      <c r="E1270" s="711">
        <v>0.36530000000000001</v>
      </c>
    </row>
    <row r="1271" spans="1:5" x14ac:dyDescent="0.3">
      <c r="A1271" s="397"/>
      <c r="B1271" s="709">
        <v>91077</v>
      </c>
      <c r="C1271" s="710" t="s">
        <v>16195</v>
      </c>
      <c r="D1271" s="709" t="s">
        <v>168</v>
      </c>
      <c r="E1271" s="711">
        <v>0.2893</v>
      </c>
    </row>
    <row r="1272" spans="1:5" x14ac:dyDescent="0.3">
      <c r="A1272" s="397"/>
      <c r="B1272" s="709">
        <v>91098</v>
      </c>
      <c r="C1272" s="710" t="s">
        <v>16196</v>
      </c>
      <c r="D1272" s="709" t="s">
        <v>168</v>
      </c>
      <c r="E1272" s="711">
        <v>0.37819999999999998</v>
      </c>
    </row>
    <row r="1273" spans="1:5" x14ac:dyDescent="0.3">
      <c r="A1273" s="397"/>
      <c r="B1273" s="709">
        <v>91094</v>
      </c>
      <c r="C1273" s="710" t="s">
        <v>16197</v>
      </c>
      <c r="D1273" s="709" t="s">
        <v>168</v>
      </c>
      <c r="E1273" s="711">
        <v>0.29649999999999999</v>
      </c>
    </row>
    <row r="1274" spans="1:5" x14ac:dyDescent="0.3">
      <c r="A1274" s="397"/>
      <c r="B1274" s="709">
        <v>91075</v>
      </c>
      <c r="C1274" s="710" t="s">
        <v>16198</v>
      </c>
      <c r="D1274" s="709" t="s">
        <v>168</v>
      </c>
      <c r="E1274" s="711">
        <v>0.71230000000000004</v>
      </c>
    </row>
    <row r="1275" spans="1:5" x14ac:dyDescent="0.3">
      <c r="A1275" s="397"/>
      <c r="B1275" s="709">
        <v>91071</v>
      </c>
      <c r="C1275" s="710" t="s">
        <v>16199</v>
      </c>
      <c r="D1275" s="709" t="s">
        <v>168</v>
      </c>
      <c r="E1275" s="711">
        <v>0.6825</v>
      </c>
    </row>
    <row r="1276" spans="1:5" x14ac:dyDescent="0.3">
      <c r="A1276" s="397"/>
      <c r="B1276" s="709">
        <v>91092</v>
      </c>
      <c r="C1276" s="710" t="s">
        <v>16200</v>
      </c>
      <c r="D1276" s="709" t="s">
        <v>168</v>
      </c>
      <c r="E1276" s="711">
        <v>0.72929999999999995</v>
      </c>
    </row>
    <row r="1277" spans="1:5" x14ac:dyDescent="0.3">
      <c r="A1277" s="397"/>
      <c r="B1277" s="709">
        <v>91088</v>
      </c>
      <c r="C1277" s="710" t="s">
        <v>16201</v>
      </c>
      <c r="D1277" s="709" t="s">
        <v>168</v>
      </c>
      <c r="E1277" s="711">
        <v>0.70130000000000003</v>
      </c>
    </row>
    <row r="1278" spans="1:5" x14ac:dyDescent="0.3">
      <c r="A1278" s="397"/>
      <c r="B1278" s="709">
        <v>91073</v>
      </c>
      <c r="C1278" s="710" t="s">
        <v>16202</v>
      </c>
      <c r="D1278" s="709" t="s">
        <v>168</v>
      </c>
      <c r="E1278" s="711">
        <v>0.56279999999999997</v>
      </c>
    </row>
    <row r="1279" spans="1:5" x14ac:dyDescent="0.3">
      <c r="A1279" s="397"/>
      <c r="B1279" s="709">
        <v>91069</v>
      </c>
      <c r="C1279" s="710" t="s">
        <v>16203</v>
      </c>
      <c r="D1279" s="709" t="s">
        <v>168</v>
      </c>
      <c r="E1279" s="711">
        <v>0.51900000000000002</v>
      </c>
    </row>
    <row r="1280" spans="1:5" x14ac:dyDescent="0.3">
      <c r="A1280" s="397"/>
      <c r="B1280" s="709">
        <v>91090</v>
      </c>
      <c r="C1280" s="710" t="s">
        <v>16204</v>
      </c>
      <c r="D1280" s="709" t="s">
        <v>168</v>
      </c>
      <c r="E1280" s="711">
        <v>0.60189999999999999</v>
      </c>
    </row>
    <row r="1281" spans="1:5" x14ac:dyDescent="0.3">
      <c r="A1281" s="397"/>
      <c r="B1281" s="709">
        <v>91086</v>
      </c>
      <c r="C1281" s="710" t="s">
        <v>16205</v>
      </c>
      <c r="D1281" s="709" t="s">
        <v>168</v>
      </c>
      <c r="E1281" s="711">
        <v>0.5655</v>
      </c>
    </row>
    <row r="1282" spans="1:5" x14ac:dyDescent="0.3">
      <c r="A1282" s="397"/>
      <c r="B1282" s="709">
        <v>107272</v>
      </c>
      <c r="C1282" s="710" t="s">
        <v>16206</v>
      </c>
      <c r="D1282" s="709" t="s">
        <v>175</v>
      </c>
      <c r="E1282" s="711">
        <v>0.80510000000000004</v>
      </c>
    </row>
    <row r="1283" spans="1:5" x14ac:dyDescent="0.3">
      <c r="A1283" s="397"/>
      <c r="B1283" s="709">
        <v>107273</v>
      </c>
      <c r="C1283" s="710" t="s">
        <v>16207</v>
      </c>
      <c r="D1283" s="709" t="s">
        <v>175</v>
      </c>
      <c r="E1283" s="711">
        <v>0.74219999999999997</v>
      </c>
    </row>
    <row r="1284" spans="1:5" x14ac:dyDescent="0.3">
      <c r="A1284" s="397"/>
      <c r="B1284" s="709">
        <v>107274</v>
      </c>
      <c r="C1284" s="710" t="s">
        <v>16208</v>
      </c>
      <c r="D1284" s="709" t="s">
        <v>175</v>
      </c>
      <c r="E1284" s="711">
        <v>0.66790000000000005</v>
      </c>
    </row>
    <row r="1285" spans="1:5" x14ac:dyDescent="0.3">
      <c r="A1285" s="397"/>
      <c r="B1285" s="709">
        <v>90944</v>
      </c>
      <c r="C1285" s="710" t="s">
        <v>1629</v>
      </c>
      <c r="D1285" s="709" t="s">
        <v>168</v>
      </c>
      <c r="E1285" s="711">
        <v>0.22850000000000001</v>
      </c>
    </row>
    <row r="1286" spans="1:5" x14ac:dyDescent="0.3">
      <c r="A1286" s="397"/>
      <c r="B1286" s="709">
        <v>90934</v>
      </c>
      <c r="C1286" s="710" t="s">
        <v>1630</v>
      </c>
      <c r="D1286" s="709" t="s">
        <v>168</v>
      </c>
      <c r="E1286" s="711">
        <v>0.22450000000000001</v>
      </c>
    </row>
    <row r="1287" spans="1:5" x14ac:dyDescent="0.3">
      <c r="A1287" s="397"/>
      <c r="B1287" s="709">
        <v>90954</v>
      </c>
      <c r="C1287" s="710" t="s">
        <v>1631</v>
      </c>
      <c r="D1287" s="709" t="s">
        <v>168</v>
      </c>
      <c r="E1287" s="711">
        <v>0.2344</v>
      </c>
    </row>
    <row r="1288" spans="1:5" x14ac:dyDescent="0.3">
      <c r="A1288" s="397"/>
      <c r="B1288" s="709">
        <v>90933</v>
      </c>
      <c r="C1288" s="710" t="s">
        <v>1632</v>
      </c>
      <c r="D1288" s="709" t="s">
        <v>168</v>
      </c>
      <c r="E1288" s="711">
        <v>0.16370000000000001</v>
      </c>
    </row>
    <row r="1289" spans="1:5" x14ac:dyDescent="0.3">
      <c r="A1289" s="397"/>
      <c r="B1289" s="709">
        <v>90943</v>
      </c>
      <c r="C1289" s="710" t="s">
        <v>1633</v>
      </c>
      <c r="D1289" s="709" t="s">
        <v>168</v>
      </c>
      <c r="E1289" s="711">
        <v>0.16739999999999999</v>
      </c>
    </row>
    <row r="1290" spans="1:5" x14ac:dyDescent="0.3">
      <c r="A1290" s="397"/>
      <c r="B1290" s="709">
        <v>90953</v>
      </c>
      <c r="C1290" s="710" t="s">
        <v>1634</v>
      </c>
      <c r="D1290" s="709" t="s">
        <v>168</v>
      </c>
      <c r="E1290" s="711">
        <v>0.17280000000000001</v>
      </c>
    </row>
    <row r="1291" spans="1:5" x14ac:dyDescent="0.3">
      <c r="A1291" s="397"/>
      <c r="B1291" s="709">
        <v>90932</v>
      </c>
      <c r="C1291" s="710" t="s">
        <v>1635</v>
      </c>
      <c r="D1291" s="709" t="s">
        <v>168</v>
      </c>
      <c r="E1291" s="711">
        <v>0.38729999999999998</v>
      </c>
    </row>
    <row r="1292" spans="1:5" x14ac:dyDescent="0.3">
      <c r="A1292" s="397"/>
      <c r="B1292" s="709">
        <v>90942</v>
      </c>
      <c r="C1292" s="710" t="s">
        <v>1636</v>
      </c>
      <c r="D1292" s="709" t="s">
        <v>168</v>
      </c>
      <c r="E1292" s="711">
        <v>0.39789999999999998</v>
      </c>
    </row>
    <row r="1293" spans="1:5" x14ac:dyDescent="0.3">
      <c r="A1293" s="397"/>
      <c r="B1293" s="709">
        <v>90952</v>
      </c>
      <c r="C1293" s="710" t="s">
        <v>1637</v>
      </c>
      <c r="D1293" s="709" t="s">
        <v>168</v>
      </c>
      <c r="E1293" s="711">
        <v>0.41410000000000002</v>
      </c>
    </row>
    <row r="1294" spans="1:5" x14ac:dyDescent="0.3">
      <c r="A1294" s="397"/>
      <c r="B1294" s="709">
        <v>90930</v>
      </c>
      <c r="C1294" s="710" t="s">
        <v>1638</v>
      </c>
      <c r="D1294" s="709" t="s">
        <v>168</v>
      </c>
      <c r="E1294" s="711">
        <v>0.3231</v>
      </c>
    </row>
    <row r="1295" spans="1:5" x14ac:dyDescent="0.3">
      <c r="A1295" s="397"/>
      <c r="B1295" s="709">
        <v>90940</v>
      </c>
      <c r="C1295" s="710" t="s">
        <v>1639</v>
      </c>
      <c r="D1295" s="709" t="s">
        <v>168</v>
      </c>
      <c r="E1295" s="711">
        <v>0.3332</v>
      </c>
    </row>
    <row r="1296" spans="1:5" x14ac:dyDescent="0.3">
      <c r="A1296" s="397"/>
      <c r="B1296" s="709">
        <v>90950</v>
      </c>
      <c r="C1296" s="710" t="s">
        <v>1640</v>
      </c>
      <c r="D1296" s="709" t="s">
        <v>168</v>
      </c>
      <c r="E1296" s="711">
        <v>0.34889999999999999</v>
      </c>
    </row>
    <row r="1297" spans="1:5" x14ac:dyDescent="0.3">
      <c r="A1297" s="397"/>
      <c r="B1297" s="709">
        <v>88476</v>
      </c>
      <c r="C1297" s="710" t="s">
        <v>1641</v>
      </c>
      <c r="D1297" s="709" t="s">
        <v>168</v>
      </c>
      <c r="E1297" s="711">
        <v>8.5300000000000001E-2</v>
      </c>
    </row>
    <row r="1298" spans="1:5" x14ac:dyDescent="0.3">
      <c r="A1298" s="397"/>
      <c r="B1298" s="709">
        <v>88477</v>
      </c>
      <c r="C1298" s="710" t="s">
        <v>1642</v>
      </c>
      <c r="D1298" s="709" t="s">
        <v>168</v>
      </c>
      <c r="E1298" s="711">
        <v>0.1176</v>
      </c>
    </row>
    <row r="1299" spans="1:5" x14ac:dyDescent="0.3">
      <c r="A1299" s="397"/>
      <c r="B1299" s="709">
        <v>88478</v>
      </c>
      <c r="C1299" s="710" t="s">
        <v>1643</v>
      </c>
      <c r="D1299" s="709" t="s">
        <v>168</v>
      </c>
      <c r="E1299" s="711">
        <v>0.13200000000000001</v>
      </c>
    </row>
    <row r="1300" spans="1:5" x14ac:dyDescent="0.3">
      <c r="A1300" s="397"/>
      <c r="B1300" s="709">
        <v>88470</v>
      </c>
      <c r="C1300" s="710" t="s">
        <v>1644</v>
      </c>
      <c r="D1300" s="709" t="s">
        <v>168</v>
      </c>
      <c r="E1300" s="711">
        <v>0.11020000000000001</v>
      </c>
    </row>
    <row r="1301" spans="1:5" x14ac:dyDescent="0.3">
      <c r="A1301" s="397"/>
      <c r="B1301" s="709">
        <v>88471</v>
      </c>
      <c r="C1301" s="710" t="s">
        <v>1645</v>
      </c>
      <c r="D1301" s="709" t="s">
        <v>168</v>
      </c>
      <c r="E1301" s="711">
        <v>0.122</v>
      </c>
    </row>
    <row r="1302" spans="1:5" x14ac:dyDescent="0.3">
      <c r="A1302" s="397"/>
      <c r="B1302" s="709">
        <v>88472</v>
      </c>
      <c r="C1302" s="710" t="s">
        <v>1646</v>
      </c>
      <c r="D1302" s="709" t="s">
        <v>168</v>
      </c>
      <c r="E1302" s="711">
        <v>0.12790000000000001</v>
      </c>
    </row>
    <row r="1303" spans="1:5" x14ac:dyDescent="0.3">
      <c r="A1303" s="397"/>
      <c r="B1303" s="709">
        <v>87759</v>
      </c>
      <c r="C1303" s="710" t="s">
        <v>1647</v>
      </c>
      <c r="D1303" s="709" t="s">
        <v>168</v>
      </c>
      <c r="E1303" s="711">
        <v>0.33119999999999999</v>
      </c>
    </row>
    <row r="1304" spans="1:5" x14ac:dyDescent="0.3">
      <c r="A1304" s="397"/>
      <c r="B1304" s="709">
        <v>87769</v>
      </c>
      <c r="C1304" s="710" t="s">
        <v>1648</v>
      </c>
      <c r="D1304" s="709" t="s">
        <v>168</v>
      </c>
      <c r="E1304" s="711">
        <v>0.30990000000000001</v>
      </c>
    </row>
    <row r="1305" spans="1:5" x14ac:dyDescent="0.3">
      <c r="A1305" s="397"/>
      <c r="B1305" s="709">
        <v>87739</v>
      </c>
      <c r="C1305" s="710" t="s">
        <v>1649</v>
      </c>
      <c r="D1305" s="709" t="s">
        <v>168</v>
      </c>
      <c r="E1305" s="711">
        <v>0.35089999999999999</v>
      </c>
    </row>
    <row r="1306" spans="1:5" x14ac:dyDescent="0.3">
      <c r="A1306" s="397"/>
      <c r="B1306" s="709">
        <v>87749</v>
      </c>
      <c r="C1306" s="710" t="s">
        <v>1650</v>
      </c>
      <c r="D1306" s="709" t="s">
        <v>168</v>
      </c>
      <c r="E1306" s="711">
        <v>0.31559999999999999</v>
      </c>
    </row>
    <row r="1307" spans="1:5" x14ac:dyDescent="0.3">
      <c r="A1307" s="397"/>
      <c r="B1307" s="709">
        <v>87624</v>
      </c>
      <c r="C1307" s="710" t="s">
        <v>1651</v>
      </c>
      <c r="D1307" s="709" t="s">
        <v>168</v>
      </c>
      <c r="E1307" s="711">
        <v>0.24329999999999999</v>
      </c>
    </row>
    <row r="1308" spans="1:5" x14ac:dyDescent="0.3">
      <c r="A1308" s="397"/>
      <c r="B1308" s="709">
        <v>87634</v>
      </c>
      <c r="C1308" s="710" t="s">
        <v>1652</v>
      </c>
      <c r="D1308" s="709" t="s">
        <v>168</v>
      </c>
      <c r="E1308" s="711">
        <v>0.23119999999999999</v>
      </c>
    </row>
    <row r="1309" spans="1:5" x14ac:dyDescent="0.3">
      <c r="A1309" s="397"/>
      <c r="B1309" s="709">
        <v>87644</v>
      </c>
      <c r="C1309" s="710" t="s">
        <v>1653</v>
      </c>
      <c r="D1309" s="709" t="s">
        <v>168</v>
      </c>
      <c r="E1309" s="711">
        <v>0.22520000000000001</v>
      </c>
    </row>
    <row r="1310" spans="1:5" x14ac:dyDescent="0.3">
      <c r="A1310" s="397"/>
      <c r="B1310" s="709">
        <v>87684</v>
      </c>
      <c r="C1310" s="710" t="s">
        <v>1654</v>
      </c>
      <c r="D1310" s="709" t="s">
        <v>168</v>
      </c>
      <c r="E1310" s="711">
        <v>0.22589999999999999</v>
      </c>
    </row>
    <row r="1311" spans="1:5" x14ac:dyDescent="0.3">
      <c r="A1311" s="397"/>
      <c r="B1311" s="709">
        <v>87694</v>
      </c>
      <c r="C1311" s="710" t="s">
        <v>1655</v>
      </c>
      <c r="D1311" s="709" t="s">
        <v>168</v>
      </c>
      <c r="E1311" s="711">
        <v>0.2261</v>
      </c>
    </row>
    <row r="1312" spans="1:5" x14ac:dyDescent="0.3">
      <c r="A1312" s="397"/>
      <c r="B1312" s="709">
        <v>87704</v>
      </c>
      <c r="C1312" s="710" t="s">
        <v>1656</v>
      </c>
      <c r="D1312" s="709" t="s">
        <v>168</v>
      </c>
      <c r="E1312" s="711">
        <v>0.2238</v>
      </c>
    </row>
    <row r="1313" spans="1:5" x14ac:dyDescent="0.3">
      <c r="A1313" s="397"/>
      <c r="B1313" s="709">
        <v>87758</v>
      </c>
      <c r="C1313" s="710" t="s">
        <v>1657</v>
      </c>
      <c r="D1313" s="709" t="s">
        <v>168</v>
      </c>
      <c r="E1313" s="711">
        <v>0.27650000000000002</v>
      </c>
    </row>
    <row r="1314" spans="1:5" x14ac:dyDescent="0.3">
      <c r="A1314" s="397"/>
      <c r="B1314" s="709">
        <v>87768</v>
      </c>
      <c r="C1314" s="710" t="s">
        <v>1658</v>
      </c>
      <c r="D1314" s="709" t="s">
        <v>168</v>
      </c>
      <c r="E1314" s="711">
        <v>0.25130000000000002</v>
      </c>
    </row>
    <row r="1315" spans="1:5" x14ac:dyDescent="0.3">
      <c r="A1315" s="397"/>
      <c r="B1315" s="709">
        <v>87738</v>
      </c>
      <c r="C1315" s="710" t="s">
        <v>1659</v>
      </c>
      <c r="D1315" s="709" t="s">
        <v>168</v>
      </c>
      <c r="E1315" s="711">
        <v>0.30280000000000001</v>
      </c>
    </row>
    <row r="1316" spans="1:5" x14ac:dyDescent="0.3">
      <c r="A1316" s="397"/>
      <c r="B1316" s="709">
        <v>87748</v>
      </c>
      <c r="C1316" s="710" t="s">
        <v>1660</v>
      </c>
      <c r="D1316" s="709" t="s">
        <v>168</v>
      </c>
      <c r="E1316" s="711">
        <v>0.2606</v>
      </c>
    </row>
    <row r="1317" spans="1:5" x14ac:dyDescent="0.3">
      <c r="A1317" s="397"/>
      <c r="B1317" s="709">
        <v>87623</v>
      </c>
      <c r="C1317" s="710" t="s">
        <v>1661</v>
      </c>
      <c r="D1317" s="709" t="s">
        <v>168</v>
      </c>
      <c r="E1317" s="711">
        <v>0.1759</v>
      </c>
    </row>
    <row r="1318" spans="1:5" x14ac:dyDescent="0.3">
      <c r="A1318" s="397"/>
      <c r="B1318" s="709">
        <v>87633</v>
      </c>
      <c r="C1318" s="710" t="s">
        <v>1662</v>
      </c>
      <c r="D1318" s="709" t="s">
        <v>168</v>
      </c>
      <c r="E1318" s="711">
        <v>0.16009999999999999</v>
      </c>
    </row>
    <row r="1319" spans="1:5" x14ac:dyDescent="0.3">
      <c r="A1319" s="397"/>
      <c r="B1319" s="709">
        <v>87643</v>
      </c>
      <c r="C1319" s="710" t="s">
        <v>1663</v>
      </c>
      <c r="D1319" s="709" t="s">
        <v>168</v>
      </c>
      <c r="E1319" s="711">
        <v>0.15229999999999999</v>
      </c>
    </row>
    <row r="1320" spans="1:5" x14ac:dyDescent="0.3">
      <c r="A1320" s="397"/>
      <c r="B1320" s="709">
        <v>87683</v>
      </c>
      <c r="C1320" s="710" t="s">
        <v>1664</v>
      </c>
      <c r="D1320" s="709" t="s">
        <v>168</v>
      </c>
      <c r="E1320" s="711">
        <v>0.15</v>
      </c>
    </row>
    <row r="1321" spans="1:5" x14ac:dyDescent="0.3">
      <c r="A1321" s="397"/>
      <c r="B1321" s="709">
        <v>87703</v>
      </c>
      <c r="C1321" s="710" t="s">
        <v>1665</v>
      </c>
      <c r="D1321" s="709" t="s">
        <v>168</v>
      </c>
      <c r="E1321" s="711">
        <v>0.14729999999999999</v>
      </c>
    </row>
    <row r="1322" spans="1:5" x14ac:dyDescent="0.3">
      <c r="A1322" s="397"/>
      <c r="B1322" s="709">
        <v>87693</v>
      </c>
      <c r="C1322" s="710" t="s">
        <v>1666</v>
      </c>
      <c r="D1322" s="709" t="s">
        <v>168</v>
      </c>
      <c r="E1322" s="711">
        <v>0.1502</v>
      </c>
    </row>
    <row r="1323" spans="1:5" x14ac:dyDescent="0.3">
      <c r="A1323" s="397"/>
      <c r="B1323" s="709">
        <v>87757</v>
      </c>
      <c r="C1323" s="710" t="s">
        <v>1667</v>
      </c>
      <c r="D1323" s="709" t="s">
        <v>168</v>
      </c>
      <c r="E1323" s="711">
        <v>0.61160000000000003</v>
      </c>
    </row>
    <row r="1324" spans="1:5" x14ac:dyDescent="0.3">
      <c r="A1324" s="397"/>
      <c r="B1324" s="709">
        <v>87767</v>
      </c>
      <c r="C1324" s="710" t="s">
        <v>1668</v>
      </c>
      <c r="D1324" s="709" t="s">
        <v>168</v>
      </c>
      <c r="E1324" s="711">
        <v>0.58750000000000002</v>
      </c>
    </row>
    <row r="1325" spans="1:5" x14ac:dyDescent="0.3">
      <c r="A1325" s="397"/>
      <c r="B1325" s="709">
        <v>87737</v>
      </c>
      <c r="C1325" s="710" t="s">
        <v>1669</v>
      </c>
      <c r="D1325" s="709" t="s">
        <v>168</v>
      </c>
      <c r="E1325" s="711">
        <v>0.60429999999999995</v>
      </c>
    </row>
    <row r="1326" spans="1:5" x14ac:dyDescent="0.3">
      <c r="A1326" s="397"/>
      <c r="B1326" s="709">
        <v>87747</v>
      </c>
      <c r="C1326" s="710" t="s">
        <v>1670</v>
      </c>
      <c r="D1326" s="709" t="s">
        <v>168</v>
      </c>
      <c r="E1326" s="711">
        <v>0.57240000000000002</v>
      </c>
    </row>
    <row r="1327" spans="1:5" x14ac:dyDescent="0.3">
      <c r="A1327" s="397"/>
      <c r="B1327" s="709">
        <v>87622</v>
      </c>
      <c r="C1327" s="710" t="s">
        <v>1671</v>
      </c>
      <c r="D1327" s="709" t="s">
        <v>168</v>
      </c>
      <c r="E1327" s="711">
        <v>0.46870000000000001</v>
      </c>
    </row>
    <row r="1328" spans="1:5" x14ac:dyDescent="0.3">
      <c r="A1328" s="397"/>
      <c r="B1328" s="709">
        <v>87632</v>
      </c>
      <c r="C1328" s="710" t="s">
        <v>1672</v>
      </c>
      <c r="D1328" s="709" t="s">
        <v>168</v>
      </c>
      <c r="E1328" s="711">
        <v>0.4592</v>
      </c>
    </row>
    <row r="1329" spans="1:5" x14ac:dyDescent="0.3">
      <c r="A1329" s="397"/>
      <c r="B1329" s="709">
        <v>87642</v>
      </c>
      <c r="C1329" s="710" t="s">
        <v>1673</v>
      </c>
      <c r="D1329" s="709" t="s">
        <v>168</v>
      </c>
      <c r="E1329" s="711">
        <v>0.45429999999999998</v>
      </c>
    </row>
    <row r="1330" spans="1:5" x14ac:dyDescent="0.3">
      <c r="A1330" s="397"/>
      <c r="B1330" s="709">
        <v>87682</v>
      </c>
      <c r="C1330" s="710" t="s">
        <v>1674</v>
      </c>
      <c r="D1330" s="709" t="s">
        <v>168</v>
      </c>
      <c r="E1330" s="711">
        <v>0.47570000000000001</v>
      </c>
    </row>
    <row r="1331" spans="1:5" x14ac:dyDescent="0.3">
      <c r="A1331" s="397"/>
      <c r="B1331" s="709">
        <v>87692</v>
      </c>
      <c r="C1331" s="710" t="s">
        <v>1675</v>
      </c>
      <c r="D1331" s="709" t="s">
        <v>168</v>
      </c>
      <c r="E1331" s="711">
        <v>0.47599999999999998</v>
      </c>
    </row>
    <row r="1332" spans="1:5" x14ac:dyDescent="0.3">
      <c r="A1332" s="397"/>
      <c r="B1332" s="709">
        <v>87702</v>
      </c>
      <c r="C1332" s="710" t="s">
        <v>1676</v>
      </c>
      <c r="D1332" s="709" t="s">
        <v>168</v>
      </c>
      <c r="E1332" s="711">
        <v>0.4723</v>
      </c>
    </row>
    <row r="1333" spans="1:5" x14ac:dyDescent="0.3">
      <c r="A1333" s="397"/>
      <c r="B1333" s="709">
        <v>87755</v>
      </c>
      <c r="C1333" s="710" t="s">
        <v>1677</v>
      </c>
      <c r="D1333" s="709" t="s">
        <v>168</v>
      </c>
      <c r="E1333" s="711">
        <v>0.56279999999999997</v>
      </c>
    </row>
    <row r="1334" spans="1:5" x14ac:dyDescent="0.3">
      <c r="A1334" s="397"/>
      <c r="B1334" s="709">
        <v>87765</v>
      </c>
      <c r="C1334" s="710" t="s">
        <v>1678</v>
      </c>
      <c r="D1334" s="709" t="s">
        <v>168</v>
      </c>
      <c r="E1334" s="711">
        <v>0.53249999999999997</v>
      </c>
    </row>
    <row r="1335" spans="1:5" x14ac:dyDescent="0.3">
      <c r="A1335" s="397"/>
      <c r="B1335" s="709">
        <v>87735</v>
      </c>
      <c r="C1335" s="710" t="s">
        <v>1679</v>
      </c>
      <c r="D1335" s="709" t="s">
        <v>168</v>
      </c>
      <c r="E1335" s="711">
        <v>0.56289999999999996</v>
      </c>
    </row>
    <row r="1336" spans="1:5" x14ac:dyDescent="0.3">
      <c r="A1336" s="397"/>
      <c r="B1336" s="709">
        <v>87745</v>
      </c>
      <c r="C1336" s="710" t="s">
        <v>1680</v>
      </c>
      <c r="D1336" s="709" t="s">
        <v>168</v>
      </c>
      <c r="E1336" s="711">
        <v>0.52149999999999996</v>
      </c>
    </row>
    <row r="1337" spans="1:5" x14ac:dyDescent="0.3">
      <c r="A1337" s="397"/>
      <c r="B1337" s="709">
        <v>87620</v>
      </c>
      <c r="C1337" s="710" t="s">
        <v>1681</v>
      </c>
      <c r="D1337" s="709" t="s">
        <v>168</v>
      </c>
      <c r="E1337" s="711">
        <v>0.39539999999999997</v>
      </c>
    </row>
    <row r="1338" spans="1:5" x14ac:dyDescent="0.3">
      <c r="A1338" s="397"/>
      <c r="B1338" s="709">
        <v>87630</v>
      </c>
      <c r="C1338" s="710" t="s">
        <v>1682</v>
      </c>
      <c r="D1338" s="709" t="s">
        <v>168</v>
      </c>
      <c r="E1338" s="711">
        <v>0.37859999999999999</v>
      </c>
    </row>
    <row r="1339" spans="1:5" x14ac:dyDescent="0.3">
      <c r="A1339" s="397"/>
      <c r="B1339" s="709">
        <v>87640</v>
      </c>
      <c r="C1339" s="710" t="s">
        <v>1683</v>
      </c>
      <c r="D1339" s="709" t="s">
        <v>168</v>
      </c>
      <c r="E1339" s="711">
        <v>0.36980000000000002</v>
      </c>
    </row>
    <row r="1340" spans="1:5" x14ac:dyDescent="0.3">
      <c r="A1340" s="397"/>
      <c r="B1340" s="709">
        <v>87680</v>
      </c>
      <c r="C1340" s="710" t="s">
        <v>1684</v>
      </c>
      <c r="D1340" s="709" t="s">
        <v>168</v>
      </c>
      <c r="E1340" s="711">
        <v>0.38590000000000002</v>
      </c>
    </row>
    <row r="1341" spans="1:5" x14ac:dyDescent="0.3">
      <c r="A1341" s="397"/>
      <c r="B1341" s="709">
        <v>87690</v>
      </c>
      <c r="C1341" s="710" t="s">
        <v>1685</v>
      </c>
      <c r="D1341" s="709" t="s">
        <v>168</v>
      </c>
      <c r="E1341" s="711">
        <v>0.38629999999999998</v>
      </c>
    </row>
    <row r="1342" spans="1:5" x14ac:dyDescent="0.3">
      <c r="A1342" s="397"/>
      <c r="B1342" s="709">
        <v>87700</v>
      </c>
      <c r="C1342" s="710" t="s">
        <v>1686</v>
      </c>
      <c r="D1342" s="709" t="s">
        <v>168</v>
      </c>
      <c r="E1342" s="711">
        <v>0.38129999999999997</v>
      </c>
    </row>
    <row r="1343" spans="1:5" x14ac:dyDescent="0.3">
      <c r="A1343" s="397"/>
      <c r="B1343" s="709">
        <v>102803</v>
      </c>
      <c r="C1343" s="710" t="s">
        <v>1687</v>
      </c>
      <c r="D1343" s="709" t="s">
        <v>168</v>
      </c>
      <c r="E1343" s="711">
        <v>0.82909999999999995</v>
      </c>
    </row>
    <row r="1344" spans="1:5" x14ac:dyDescent="0.3">
      <c r="A1344" s="397"/>
      <c r="B1344" s="709">
        <v>92717</v>
      </c>
      <c r="C1344" s="710" t="s">
        <v>1688</v>
      </c>
      <c r="D1344" s="709" t="s">
        <v>1689</v>
      </c>
      <c r="E1344" s="711">
        <v>0</v>
      </c>
    </row>
    <row r="1345" spans="1:5" x14ac:dyDescent="0.3">
      <c r="A1345" s="397"/>
      <c r="B1345" s="709">
        <v>92716</v>
      </c>
      <c r="C1345" s="710" t="s">
        <v>1690</v>
      </c>
      <c r="D1345" s="709" t="s">
        <v>230</v>
      </c>
      <c r="E1345" s="711">
        <v>0</v>
      </c>
    </row>
    <row r="1346" spans="1:5" x14ac:dyDescent="0.3">
      <c r="A1346" s="397"/>
      <c r="B1346" s="709">
        <v>89218</v>
      </c>
      <c r="C1346" s="710" t="s">
        <v>1693</v>
      </c>
      <c r="D1346" s="709" t="s">
        <v>1689</v>
      </c>
      <c r="E1346" s="711">
        <v>0.64600000000000002</v>
      </c>
    </row>
    <row r="1347" spans="1:5" x14ac:dyDescent="0.3">
      <c r="A1347" s="397"/>
      <c r="B1347" s="709">
        <v>89843</v>
      </c>
      <c r="C1347" s="710" t="s">
        <v>1694</v>
      </c>
      <c r="D1347" s="709" t="s">
        <v>230</v>
      </c>
      <c r="E1347" s="711">
        <v>0.29599999999999999</v>
      </c>
    </row>
    <row r="1348" spans="1:5" x14ac:dyDescent="0.3">
      <c r="A1348" s="397"/>
      <c r="B1348" s="709">
        <v>87446</v>
      </c>
      <c r="C1348" s="710" t="s">
        <v>1695</v>
      </c>
      <c r="D1348" s="709" t="s">
        <v>1689</v>
      </c>
      <c r="E1348" s="711">
        <v>0</v>
      </c>
    </row>
    <row r="1349" spans="1:5" x14ac:dyDescent="0.3">
      <c r="A1349" s="397"/>
      <c r="B1349" s="709">
        <v>87445</v>
      </c>
      <c r="C1349" s="710" t="s">
        <v>1696</v>
      </c>
      <c r="D1349" s="709" t="s">
        <v>230</v>
      </c>
      <c r="E1349" s="711">
        <v>0</v>
      </c>
    </row>
    <row r="1350" spans="1:5" x14ac:dyDescent="0.3">
      <c r="A1350" s="397"/>
      <c r="B1350" s="709">
        <v>93234</v>
      </c>
      <c r="C1350" s="710" t="s">
        <v>1697</v>
      </c>
      <c r="D1350" s="709" t="s">
        <v>1689</v>
      </c>
      <c r="E1350" s="711">
        <v>0</v>
      </c>
    </row>
    <row r="1351" spans="1:5" x14ac:dyDescent="0.3">
      <c r="A1351" s="397"/>
      <c r="B1351" s="709">
        <v>93233</v>
      </c>
      <c r="C1351" s="710" t="s">
        <v>1698</v>
      </c>
      <c r="D1351" s="709" t="s">
        <v>230</v>
      </c>
      <c r="E1351" s="711">
        <v>0</v>
      </c>
    </row>
    <row r="1352" spans="1:5" x14ac:dyDescent="0.3">
      <c r="A1352" s="397"/>
      <c r="B1352" s="709">
        <v>88831</v>
      </c>
      <c r="C1352" s="710" t="s">
        <v>1701</v>
      </c>
      <c r="D1352" s="709" t="s">
        <v>1689</v>
      </c>
      <c r="E1352" s="711">
        <v>0</v>
      </c>
    </row>
    <row r="1353" spans="1:5" x14ac:dyDescent="0.3">
      <c r="A1353" s="397"/>
      <c r="B1353" s="709">
        <v>88830</v>
      </c>
      <c r="C1353" s="710" t="s">
        <v>1702</v>
      </c>
      <c r="D1353" s="709" t="s">
        <v>230</v>
      </c>
      <c r="E1353" s="711">
        <v>0</v>
      </c>
    </row>
    <row r="1354" spans="1:5" x14ac:dyDescent="0.3">
      <c r="A1354" s="397"/>
      <c r="B1354" s="709">
        <v>89226</v>
      </c>
      <c r="C1354" s="710" t="s">
        <v>1703</v>
      </c>
      <c r="D1354" s="709" t="s">
        <v>1689</v>
      </c>
      <c r="E1354" s="711">
        <v>0</v>
      </c>
    </row>
    <row r="1355" spans="1:5" x14ac:dyDescent="0.3">
      <c r="A1355" s="397"/>
      <c r="B1355" s="709">
        <v>89225</v>
      </c>
      <c r="C1355" s="710" t="s">
        <v>1704</v>
      </c>
      <c r="D1355" s="709" t="s">
        <v>230</v>
      </c>
      <c r="E1355" s="711">
        <v>0</v>
      </c>
    </row>
    <row r="1356" spans="1:5" x14ac:dyDescent="0.3">
      <c r="A1356" s="397"/>
      <c r="B1356" s="709">
        <v>89279</v>
      </c>
      <c r="C1356" s="710" t="s">
        <v>1705</v>
      </c>
      <c r="D1356" s="709" t="s">
        <v>1689</v>
      </c>
      <c r="E1356" s="711">
        <v>0</v>
      </c>
    </row>
    <row r="1357" spans="1:5" x14ac:dyDescent="0.3">
      <c r="A1357" s="397"/>
      <c r="B1357" s="709">
        <v>89278</v>
      </c>
      <c r="C1357" s="710" t="s">
        <v>1706</v>
      </c>
      <c r="D1357" s="709" t="s">
        <v>230</v>
      </c>
      <c r="E1357" s="711">
        <v>0</v>
      </c>
    </row>
    <row r="1358" spans="1:5" x14ac:dyDescent="0.3">
      <c r="A1358" s="397"/>
      <c r="B1358" s="709">
        <v>90651</v>
      </c>
      <c r="C1358" s="710" t="s">
        <v>1707</v>
      </c>
      <c r="D1358" s="709" t="s">
        <v>1689</v>
      </c>
      <c r="E1358" s="711">
        <v>0</v>
      </c>
    </row>
    <row r="1359" spans="1:5" x14ac:dyDescent="0.3">
      <c r="A1359" s="397"/>
      <c r="B1359" s="709">
        <v>90650</v>
      </c>
      <c r="C1359" s="710" t="s">
        <v>1708</v>
      </c>
      <c r="D1359" s="709" t="s">
        <v>230</v>
      </c>
      <c r="E1359" s="711">
        <v>0</v>
      </c>
    </row>
    <row r="1360" spans="1:5" x14ac:dyDescent="0.3">
      <c r="A1360" s="397"/>
      <c r="B1360" s="709">
        <v>90657</v>
      </c>
      <c r="C1360" s="710" t="s">
        <v>1711</v>
      </c>
      <c r="D1360" s="709" t="s">
        <v>1689</v>
      </c>
      <c r="E1360" s="711">
        <v>0</v>
      </c>
    </row>
    <row r="1361" spans="1:5" x14ac:dyDescent="0.3">
      <c r="A1361" s="397"/>
      <c r="B1361" s="709">
        <v>90656</v>
      </c>
      <c r="C1361" s="710" t="s">
        <v>1712</v>
      </c>
      <c r="D1361" s="709" t="s">
        <v>230</v>
      </c>
      <c r="E1361" s="711">
        <v>0</v>
      </c>
    </row>
    <row r="1362" spans="1:5" x14ac:dyDescent="0.3">
      <c r="A1362" s="397"/>
      <c r="B1362" s="709">
        <v>90663</v>
      </c>
      <c r="C1362" s="710" t="s">
        <v>1713</v>
      </c>
      <c r="D1362" s="709" t="s">
        <v>1689</v>
      </c>
      <c r="E1362" s="711">
        <v>0</v>
      </c>
    </row>
    <row r="1363" spans="1:5" x14ac:dyDescent="0.3">
      <c r="A1363" s="397"/>
      <c r="B1363" s="709">
        <v>90662</v>
      </c>
      <c r="C1363" s="710" t="s">
        <v>1714</v>
      </c>
      <c r="D1363" s="709" t="s">
        <v>230</v>
      </c>
      <c r="E1363" s="711">
        <v>0</v>
      </c>
    </row>
    <row r="1364" spans="1:5" x14ac:dyDescent="0.3">
      <c r="A1364" s="397"/>
      <c r="B1364" s="709">
        <v>89022</v>
      </c>
      <c r="C1364" s="710" t="s">
        <v>1715</v>
      </c>
      <c r="D1364" s="709" t="s">
        <v>1689</v>
      </c>
      <c r="E1364" s="711">
        <v>0</v>
      </c>
    </row>
    <row r="1365" spans="1:5" x14ac:dyDescent="0.3">
      <c r="A1365" s="397"/>
      <c r="B1365" s="709">
        <v>89021</v>
      </c>
      <c r="C1365" s="710" t="s">
        <v>1716</v>
      </c>
      <c r="D1365" s="709" t="s">
        <v>230</v>
      </c>
      <c r="E1365" s="711">
        <v>0</v>
      </c>
    </row>
    <row r="1366" spans="1:5" x14ac:dyDescent="0.3">
      <c r="A1366" s="397"/>
      <c r="B1366" s="709">
        <v>90644</v>
      </c>
      <c r="C1366" s="710" t="s">
        <v>1717</v>
      </c>
      <c r="D1366" s="709" t="s">
        <v>1689</v>
      </c>
      <c r="E1366" s="711">
        <v>0</v>
      </c>
    </row>
    <row r="1367" spans="1:5" x14ac:dyDescent="0.3">
      <c r="A1367" s="397"/>
      <c r="B1367" s="709">
        <v>90643</v>
      </c>
      <c r="C1367" s="710" t="s">
        <v>1718</v>
      </c>
      <c r="D1367" s="709" t="s">
        <v>230</v>
      </c>
      <c r="E1367" s="711">
        <v>0</v>
      </c>
    </row>
    <row r="1368" spans="1:5" x14ac:dyDescent="0.3">
      <c r="A1368" s="397"/>
      <c r="B1368" s="709">
        <v>92146</v>
      </c>
      <c r="C1368" s="710" t="s">
        <v>1721</v>
      </c>
      <c r="D1368" s="709" t="s">
        <v>1689</v>
      </c>
      <c r="E1368" s="711">
        <v>0.78390000000000004</v>
      </c>
    </row>
    <row r="1369" spans="1:5" x14ac:dyDescent="0.3">
      <c r="A1369" s="397"/>
      <c r="B1369" s="709">
        <v>92145</v>
      </c>
      <c r="C1369" s="710" t="s">
        <v>1722</v>
      </c>
      <c r="D1369" s="709" t="s">
        <v>230</v>
      </c>
      <c r="E1369" s="711">
        <v>0.31850000000000001</v>
      </c>
    </row>
    <row r="1370" spans="1:5" x14ac:dyDescent="0.3">
      <c r="A1370" s="397"/>
      <c r="B1370" s="709">
        <v>92139</v>
      </c>
      <c r="C1370" s="710" t="s">
        <v>1723</v>
      </c>
      <c r="D1370" s="709" t="s">
        <v>1689</v>
      </c>
      <c r="E1370" s="711">
        <v>0.56979999999999997</v>
      </c>
    </row>
    <row r="1371" spans="1:5" x14ac:dyDescent="0.3">
      <c r="A1371" s="397"/>
      <c r="B1371" s="709">
        <v>92138</v>
      </c>
      <c r="C1371" s="710" t="s">
        <v>1724</v>
      </c>
      <c r="D1371" s="709" t="s">
        <v>230</v>
      </c>
      <c r="E1371" s="711">
        <v>0.25690000000000002</v>
      </c>
    </row>
    <row r="1372" spans="1:5" x14ac:dyDescent="0.3">
      <c r="A1372" s="397"/>
      <c r="B1372" s="709">
        <v>91387</v>
      </c>
      <c r="C1372" s="710" t="s">
        <v>1725</v>
      </c>
      <c r="D1372" s="709" t="s">
        <v>1689</v>
      </c>
      <c r="E1372" s="711">
        <v>0.35630000000000001</v>
      </c>
    </row>
    <row r="1373" spans="1:5" x14ac:dyDescent="0.3">
      <c r="A1373" s="397"/>
      <c r="B1373" s="709">
        <v>91386</v>
      </c>
      <c r="C1373" s="710" t="s">
        <v>1726</v>
      </c>
      <c r="D1373" s="709" t="s">
        <v>230</v>
      </c>
      <c r="E1373" s="711">
        <v>9.8400000000000001E-2</v>
      </c>
    </row>
    <row r="1374" spans="1:5" x14ac:dyDescent="0.3">
      <c r="A1374" s="397"/>
      <c r="B1374" s="709">
        <v>96036</v>
      </c>
      <c r="C1374" s="710" t="s">
        <v>1727</v>
      </c>
      <c r="D1374" s="709" t="s">
        <v>1689</v>
      </c>
      <c r="E1374" s="711">
        <v>0.31940000000000002</v>
      </c>
    </row>
    <row r="1375" spans="1:5" x14ac:dyDescent="0.3">
      <c r="A1375" s="397"/>
      <c r="B1375" s="709">
        <v>96035</v>
      </c>
      <c r="C1375" s="710" t="s">
        <v>1728</v>
      </c>
      <c r="D1375" s="709" t="s">
        <v>230</v>
      </c>
      <c r="E1375" s="711">
        <v>9.35E-2</v>
      </c>
    </row>
    <row r="1376" spans="1:5" x14ac:dyDescent="0.3">
      <c r="A1376" s="397"/>
      <c r="B1376" s="709">
        <v>89877</v>
      </c>
      <c r="C1376" s="710" t="s">
        <v>1729</v>
      </c>
      <c r="D1376" s="709" t="s">
        <v>1689</v>
      </c>
      <c r="E1376" s="711">
        <v>0.3029</v>
      </c>
    </row>
    <row r="1377" spans="1:5" x14ac:dyDescent="0.3">
      <c r="A1377" s="397"/>
      <c r="B1377" s="709">
        <v>89876</v>
      </c>
      <c r="C1377" s="710" t="s">
        <v>1730</v>
      </c>
      <c r="D1377" s="709" t="s">
        <v>230</v>
      </c>
      <c r="E1377" s="711">
        <v>8.0299999999999996E-2</v>
      </c>
    </row>
    <row r="1378" spans="1:5" x14ac:dyDescent="0.3">
      <c r="A1378" s="397"/>
      <c r="B1378" s="709">
        <v>89884</v>
      </c>
      <c r="C1378" s="710" t="s">
        <v>1731</v>
      </c>
      <c r="D1378" s="709" t="s">
        <v>1689</v>
      </c>
      <c r="E1378" s="711">
        <v>0.28860000000000002</v>
      </c>
    </row>
    <row r="1379" spans="1:5" x14ac:dyDescent="0.3">
      <c r="A1379" s="397"/>
      <c r="B1379" s="709">
        <v>89883</v>
      </c>
      <c r="C1379" s="710" t="s">
        <v>1732</v>
      </c>
      <c r="D1379" s="709" t="s">
        <v>230</v>
      </c>
      <c r="E1379" s="711">
        <v>7.2499999999999995E-2</v>
      </c>
    </row>
    <row r="1380" spans="1:5" x14ac:dyDescent="0.3">
      <c r="A1380" s="397"/>
      <c r="B1380" s="709">
        <v>67827</v>
      </c>
      <c r="C1380" s="710" t="s">
        <v>1733</v>
      </c>
      <c r="D1380" s="709" t="s">
        <v>1689</v>
      </c>
      <c r="E1380" s="711">
        <v>0.41310000000000002</v>
      </c>
    </row>
    <row r="1381" spans="1:5" x14ac:dyDescent="0.3">
      <c r="A1381" s="397"/>
      <c r="B1381" s="709">
        <v>67826</v>
      </c>
      <c r="C1381" s="710" t="s">
        <v>1734</v>
      </c>
      <c r="D1381" s="709" t="s">
        <v>230</v>
      </c>
      <c r="E1381" s="711">
        <v>0.1409</v>
      </c>
    </row>
    <row r="1382" spans="1:5" x14ac:dyDescent="0.3">
      <c r="A1382" s="397"/>
      <c r="B1382" s="709">
        <v>5961</v>
      </c>
      <c r="C1382" s="710" t="s">
        <v>1735</v>
      </c>
      <c r="D1382" s="709" t="s">
        <v>1689</v>
      </c>
      <c r="E1382" s="711">
        <v>0.42149999999999999</v>
      </c>
    </row>
    <row r="1383" spans="1:5" x14ac:dyDescent="0.3">
      <c r="A1383" s="397"/>
      <c r="B1383" s="709">
        <v>5811</v>
      </c>
      <c r="C1383" s="710" t="s">
        <v>1736</v>
      </c>
      <c r="D1383" s="709" t="s">
        <v>230</v>
      </c>
      <c r="E1383" s="711">
        <v>0.1295</v>
      </c>
    </row>
    <row r="1384" spans="1:5" x14ac:dyDescent="0.3">
      <c r="A1384" s="397"/>
      <c r="B1384" s="709">
        <v>92243</v>
      </c>
      <c r="C1384" s="710" t="s">
        <v>1737</v>
      </c>
      <c r="D1384" s="709" t="s">
        <v>1689</v>
      </c>
      <c r="E1384" s="711">
        <v>0.4042</v>
      </c>
    </row>
    <row r="1385" spans="1:5" x14ac:dyDescent="0.3">
      <c r="A1385" s="397"/>
      <c r="B1385" s="709">
        <v>92242</v>
      </c>
      <c r="C1385" s="710" t="s">
        <v>1738</v>
      </c>
      <c r="D1385" s="709" t="s">
        <v>230</v>
      </c>
      <c r="E1385" s="711">
        <v>7.7100000000000002E-2</v>
      </c>
    </row>
    <row r="1386" spans="1:5" x14ac:dyDescent="0.3">
      <c r="A1386" s="397"/>
      <c r="B1386" s="709">
        <v>91646</v>
      </c>
      <c r="C1386" s="710" t="s">
        <v>1739</v>
      </c>
      <c r="D1386" s="709" t="s">
        <v>1689</v>
      </c>
      <c r="E1386" s="711">
        <v>0.33050000000000002</v>
      </c>
    </row>
    <row r="1387" spans="1:5" x14ac:dyDescent="0.3">
      <c r="A1387" s="397"/>
      <c r="B1387" s="709">
        <v>91645</v>
      </c>
      <c r="C1387" s="710" t="s">
        <v>1740</v>
      </c>
      <c r="D1387" s="709" t="s">
        <v>230</v>
      </c>
      <c r="E1387" s="711">
        <v>6.6900000000000001E-2</v>
      </c>
    </row>
    <row r="1388" spans="1:5" x14ac:dyDescent="0.3">
      <c r="A1388" s="397"/>
      <c r="B1388" s="709">
        <v>92107</v>
      </c>
      <c r="C1388" s="710" t="s">
        <v>1741</v>
      </c>
      <c r="D1388" s="709" t="s">
        <v>1689</v>
      </c>
      <c r="E1388" s="711">
        <v>0.28079999999999999</v>
      </c>
    </row>
    <row r="1389" spans="1:5" x14ac:dyDescent="0.3">
      <c r="A1389" s="397"/>
      <c r="B1389" s="709">
        <v>92106</v>
      </c>
      <c r="C1389" s="710" t="s">
        <v>1742</v>
      </c>
      <c r="D1389" s="709" t="s">
        <v>230</v>
      </c>
      <c r="E1389" s="711">
        <v>7.2900000000000006E-2</v>
      </c>
    </row>
    <row r="1390" spans="1:5" x14ac:dyDescent="0.3">
      <c r="A1390" s="397"/>
      <c r="B1390" s="709">
        <v>5903</v>
      </c>
      <c r="C1390" s="710" t="s">
        <v>1743</v>
      </c>
      <c r="D1390" s="709" t="s">
        <v>1689</v>
      </c>
      <c r="E1390" s="711">
        <v>0.35449999999999998</v>
      </c>
    </row>
    <row r="1391" spans="1:5" x14ac:dyDescent="0.3">
      <c r="A1391" s="397"/>
      <c r="B1391" s="709">
        <v>5901</v>
      </c>
      <c r="C1391" s="710" t="s">
        <v>1744</v>
      </c>
      <c r="D1391" s="709" t="s">
        <v>230</v>
      </c>
      <c r="E1391" s="711">
        <v>8.1600000000000006E-2</v>
      </c>
    </row>
    <row r="1392" spans="1:5" x14ac:dyDescent="0.3">
      <c r="A1392" s="397"/>
      <c r="B1392" s="709">
        <v>106252</v>
      </c>
      <c r="C1392" s="710" t="s">
        <v>13329</v>
      </c>
      <c r="D1392" s="709" t="s">
        <v>1689</v>
      </c>
      <c r="E1392" s="711">
        <v>0.35749999999999998</v>
      </c>
    </row>
    <row r="1393" spans="1:5" x14ac:dyDescent="0.3">
      <c r="A1393" s="397"/>
      <c r="B1393" s="709">
        <v>106247</v>
      </c>
      <c r="C1393" s="710" t="s">
        <v>13330</v>
      </c>
      <c r="D1393" s="709" t="s">
        <v>230</v>
      </c>
      <c r="E1393" s="711">
        <v>9.1999999999999998E-2</v>
      </c>
    </row>
    <row r="1394" spans="1:5" x14ac:dyDescent="0.3">
      <c r="A1394" s="397"/>
      <c r="B1394" s="709">
        <v>6260</v>
      </c>
      <c r="C1394" s="710" t="s">
        <v>1745</v>
      </c>
      <c r="D1394" s="709" t="s">
        <v>1689</v>
      </c>
      <c r="E1394" s="711">
        <v>0.43369999999999997</v>
      </c>
    </row>
    <row r="1395" spans="1:5" x14ac:dyDescent="0.3">
      <c r="A1395" s="397"/>
      <c r="B1395" s="709">
        <v>6259</v>
      </c>
      <c r="C1395" s="710" t="s">
        <v>1746</v>
      </c>
      <c r="D1395" s="709" t="s">
        <v>230</v>
      </c>
      <c r="E1395" s="711">
        <v>0.1017</v>
      </c>
    </row>
    <row r="1396" spans="1:5" x14ac:dyDescent="0.3">
      <c r="A1396" s="397"/>
      <c r="B1396" s="709">
        <v>91395</v>
      </c>
      <c r="C1396" s="710" t="s">
        <v>1749</v>
      </c>
      <c r="D1396" s="709" t="s">
        <v>1689</v>
      </c>
      <c r="E1396" s="711">
        <v>0.44669999999999999</v>
      </c>
    </row>
    <row r="1397" spans="1:5" x14ac:dyDescent="0.3">
      <c r="A1397" s="397"/>
      <c r="B1397" s="709">
        <v>73467</v>
      </c>
      <c r="C1397" s="710" t="s">
        <v>1750</v>
      </c>
      <c r="D1397" s="709" t="s">
        <v>230</v>
      </c>
      <c r="E1397" s="711">
        <v>0.1043</v>
      </c>
    </row>
    <row r="1398" spans="1:5" x14ac:dyDescent="0.3">
      <c r="A1398" s="397"/>
      <c r="B1398" s="709">
        <v>5826</v>
      </c>
      <c r="C1398" s="710" t="s">
        <v>1751</v>
      </c>
      <c r="D1398" s="709" t="s">
        <v>1689</v>
      </c>
      <c r="E1398" s="711">
        <v>0.42420000000000002</v>
      </c>
    </row>
    <row r="1399" spans="1:5" x14ac:dyDescent="0.3">
      <c r="A1399" s="397"/>
      <c r="B1399" s="709">
        <v>5824</v>
      </c>
      <c r="C1399" s="710" t="s">
        <v>1752</v>
      </c>
      <c r="D1399" s="709" t="s">
        <v>230</v>
      </c>
      <c r="E1399" s="711">
        <v>0.1192</v>
      </c>
    </row>
    <row r="1400" spans="1:5" x14ac:dyDescent="0.3">
      <c r="A1400" s="397"/>
      <c r="B1400" s="709">
        <v>106253</v>
      </c>
      <c r="C1400" s="710" t="s">
        <v>13331</v>
      </c>
      <c r="D1400" s="709" t="s">
        <v>1689</v>
      </c>
      <c r="E1400" s="711">
        <v>0.3322</v>
      </c>
    </row>
    <row r="1401" spans="1:5" x14ac:dyDescent="0.3">
      <c r="A1401" s="397"/>
      <c r="B1401" s="709">
        <v>106248</v>
      </c>
      <c r="C1401" s="710" t="s">
        <v>13332</v>
      </c>
      <c r="D1401" s="709" t="s">
        <v>230</v>
      </c>
      <c r="E1401" s="711">
        <v>8.7499999999999994E-2</v>
      </c>
    </row>
    <row r="1402" spans="1:5" x14ac:dyDescent="0.3">
      <c r="A1402" s="397"/>
      <c r="B1402" s="709">
        <v>5892</v>
      </c>
      <c r="C1402" s="710" t="s">
        <v>1753</v>
      </c>
      <c r="D1402" s="709" t="s">
        <v>1689</v>
      </c>
      <c r="E1402" s="711">
        <v>0.46739999999999998</v>
      </c>
    </row>
    <row r="1403" spans="1:5" x14ac:dyDescent="0.3">
      <c r="A1403" s="397"/>
      <c r="B1403" s="709">
        <v>5890</v>
      </c>
      <c r="C1403" s="710" t="s">
        <v>1754</v>
      </c>
      <c r="D1403" s="709" t="s">
        <v>230</v>
      </c>
      <c r="E1403" s="711">
        <v>0.1275</v>
      </c>
    </row>
    <row r="1404" spans="1:5" x14ac:dyDescent="0.3">
      <c r="A1404" s="397"/>
      <c r="B1404" s="709">
        <v>5896</v>
      </c>
      <c r="C1404" s="710" t="s">
        <v>1755</v>
      </c>
      <c r="D1404" s="709" t="s">
        <v>1689</v>
      </c>
      <c r="E1404" s="711">
        <v>0.44429999999999997</v>
      </c>
    </row>
    <row r="1405" spans="1:5" x14ac:dyDescent="0.3">
      <c r="A1405" s="397"/>
      <c r="B1405" s="709">
        <v>5894</v>
      </c>
      <c r="C1405" s="710" t="s">
        <v>1756</v>
      </c>
      <c r="D1405" s="709" t="s">
        <v>230</v>
      </c>
      <c r="E1405" s="711">
        <v>0.1222</v>
      </c>
    </row>
    <row r="1406" spans="1:5" x14ac:dyDescent="0.3">
      <c r="A1406" s="397"/>
      <c r="B1406" s="709">
        <v>91032</v>
      </c>
      <c r="C1406" s="710" t="s">
        <v>1757</v>
      </c>
      <c r="D1406" s="709" t="s">
        <v>1689</v>
      </c>
      <c r="E1406" s="711">
        <v>0.38540000000000002</v>
      </c>
    </row>
    <row r="1407" spans="1:5" x14ac:dyDescent="0.3">
      <c r="A1407" s="397"/>
      <c r="B1407" s="709">
        <v>91031</v>
      </c>
      <c r="C1407" s="710" t="s">
        <v>1758</v>
      </c>
      <c r="D1407" s="709" t="s">
        <v>230</v>
      </c>
      <c r="E1407" s="711">
        <v>9.9400000000000002E-2</v>
      </c>
    </row>
    <row r="1408" spans="1:5" x14ac:dyDescent="0.3">
      <c r="A1408" s="397"/>
      <c r="B1408" s="709">
        <v>91534</v>
      </c>
      <c r="C1408" s="710" t="s">
        <v>1761</v>
      </c>
      <c r="D1408" s="709" t="s">
        <v>1689</v>
      </c>
      <c r="E1408" s="711">
        <v>0.96540000000000004</v>
      </c>
    </row>
    <row r="1409" spans="1:5" x14ac:dyDescent="0.3">
      <c r="A1409" s="397"/>
      <c r="B1409" s="709">
        <v>91533</v>
      </c>
      <c r="C1409" s="710" t="s">
        <v>1762</v>
      </c>
      <c r="D1409" s="709" t="s">
        <v>230</v>
      </c>
      <c r="E1409" s="711">
        <v>0.79969999999999997</v>
      </c>
    </row>
    <row r="1410" spans="1:5" x14ac:dyDescent="0.3">
      <c r="A1410" s="397"/>
      <c r="B1410" s="709">
        <v>95265</v>
      </c>
      <c r="C1410" s="710" t="s">
        <v>1763</v>
      </c>
      <c r="D1410" s="709" t="s">
        <v>1689</v>
      </c>
      <c r="E1410" s="711">
        <v>0</v>
      </c>
    </row>
    <row r="1411" spans="1:5" x14ac:dyDescent="0.3">
      <c r="A1411" s="397"/>
      <c r="B1411" s="709">
        <v>95264</v>
      </c>
      <c r="C1411" s="710" t="s">
        <v>1764</v>
      </c>
      <c r="D1411" s="709" t="s">
        <v>230</v>
      </c>
      <c r="E1411" s="711">
        <v>0</v>
      </c>
    </row>
    <row r="1412" spans="1:5" x14ac:dyDescent="0.3">
      <c r="A1412" s="397"/>
      <c r="B1412" s="709">
        <v>90973</v>
      </c>
      <c r="C1412" s="710" t="s">
        <v>1765</v>
      </c>
      <c r="D1412" s="709" t="s">
        <v>1689</v>
      </c>
      <c r="E1412" s="711">
        <v>0</v>
      </c>
    </row>
    <row r="1413" spans="1:5" x14ac:dyDescent="0.3">
      <c r="A1413" s="397"/>
      <c r="B1413" s="709">
        <v>90972</v>
      </c>
      <c r="C1413" s="710" t="s">
        <v>1766</v>
      </c>
      <c r="D1413" s="709" t="s">
        <v>230</v>
      </c>
      <c r="E1413" s="711">
        <v>0</v>
      </c>
    </row>
    <row r="1414" spans="1:5" x14ac:dyDescent="0.3">
      <c r="A1414" s="397"/>
      <c r="B1414" s="709">
        <v>91001</v>
      </c>
      <c r="C1414" s="710" t="s">
        <v>1767</v>
      </c>
      <c r="D1414" s="709" t="s">
        <v>1689</v>
      </c>
      <c r="E1414" s="711">
        <v>0</v>
      </c>
    </row>
    <row r="1415" spans="1:5" x14ac:dyDescent="0.3">
      <c r="A1415" s="397"/>
      <c r="B1415" s="709">
        <v>90999</v>
      </c>
      <c r="C1415" s="710" t="s">
        <v>1768</v>
      </c>
      <c r="D1415" s="709" t="s">
        <v>230</v>
      </c>
      <c r="E1415" s="711">
        <v>0</v>
      </c>
    </row>
    <row r="1416" spans="1:5" x14ac:dyDescent="0.3">
      <c r="A1416" s="397"/>
      <c r="B1416" s="709">
        <v>5954</v>
      </c>
      <c r="C1416" s="710" t="s">
        <v>1769</v>
      </c>
      <c r="D1416" s="709" t="s">
        <v>1689</v>
      </c>
      <c r="E1416" s="711">
        <v>0</v>
      </c>
    </row>
    <row r="1417" spans="1:5" x14ac:dyDescent="0.3">
      <c r="A1417" s="397"/>
      <c r="B1417" s="709">
        <v>5953</v>
      </c>
      <c r="C1417" s="710" t="s">
        <v>1770</v>
      </c>
      <c r="D1417" s="709" t="s">
        <v>230</v>
      </c>
      <c r="E1417" s="711">
        <v>0</v>
      </c>
    </row>
    <row r="1418" spans="1:5" x14ac:dyDescent="0.3">
      <c r="A1418" s="397"/>
      <c r="B1418" s="709">
        <v>90982</v>
      </c>
      <c r="C1418" s="710" t="s">
        <v>1771</v>
      </c>
      <c r="D1418" s="709" t="s">
        <v>1689</v>
      </c>
      <c r="E1418" s="711">
        <v>0</v>
      </c>
    </row>
    <row r="1419" spans="1:5" x14ac:dyDescent="0.3">
      <c r="A1419" s="397"/>
      <c r="B1419" s="709">
        <v>90979</v>
      </c>
      <c r="C1419" s="710" t="s">
        <v>1772</v>
      </c>
      <c r="D1419" s="709" t="s">
        <v>230</v>
      </c>
      <c r="E1419" s="711">
        <v>0</v>
      </c>
    </row>
    <row r="1420" spans="1:5" x14ac:dyDescent="0.3">
      <c r="A1420" s="397"/>
      <c r="B1420" s="709">
        <v>90965</v>
      </c>
      <c r="C1420" s="710" t="s">
        <v>1773</v>
      </c>
      <c r="D1420" s="709" t="s">
        <v>1689</v>
      </c>
      <c r="E1420" s="711">
        <v>0</v>
      </c>
    </row>
    <row r="1421" spans="1:5" x14ac:dyDescent="0.3">
      <c r="A1421" s="397"/>
      <c r="B1421" s="709">
        <v>90964</v>
      </c>
      <c r="C1421" s="710" t="s">
        <v>1774</v>
      </c>
      <c r="D1421" s="709" t="s">
        <v>230</v>
      </c>
      <c r="E1421" s="711">
        <v>0</v>
      </c>
    </row>
    <row r="1422" spans="1:5" x14ac:dyDescent="0.3">
      <c r="A1422" s="397"/>
      <c r="B1422" s="709">
        <v>102970</v>
      </c>
      <c r="C1422" s="710" t="s">
        <v>1775</v>
      </c>
      <c r="D1422" s="709" t="s">
        <v>1689</v>
      </c>
      <c r="E1422" s="711">
        <v>0</v>
      </c>
    </row>
    <row r="1423" spans="1:5" x14ac:dyDescent="0.3">
      <c r="A1423" s="397"/>
      <c r="B1423" s="709">
        <v>102971</v>
      </c>
      <c r="C1423" s="710" t="s">
        <v>1776</v>
      </c>
      <c r="D1423" s="709" t="s">
        <v>230</v>
      </c>
      <c r="E1423" s="711">
        <v>0</v>
      </c>
    </row>
    <row r="1424" spans="1:5" x14ac:dyDescent="0.3">
      <c r="A1424" s="397"/>
      <c r="B1424" s="709">
        <v>106416</v>
      </c>
      <c r="C1424" s="710" t="s">
        <v>13333</v>
      </c>
      <c r="D1424" s="709" t="s">
        <v>1689</v>
      </c>
      <c r="E1424" s="711">
        <v>0</v>
      </c>
    </row>
    <row r="1425" spans="1:5" x14ac:dyDescent="0.3">
      <c r="A1425" s="397"/>
      <c r="B1425" s="709">
        <v>106414</v>
      </c>
      <c r="C1425" s="710" t="s">
        <v>13334</v>
      </c>
      <c r="D1425" s="709" t="s">
        <v>230</v>
      </c>
      <c r="E1425" s="711">
        <v>0</v>
      </c>
    </row>
    <row r="1426" spans="1:5" x14ac:dyDescent="0.3">
      <c r="A1426" s="397"/>
      <c r="B1426" s="709">
        <v>91285</v>
      </c>
      <c r="C1426" s="710" t="s">
        <v>1785</v>
      </c>
      <c r="D1426" s="709" t="s">
        <v>1689</v>
      </c>
      <c r="E1426" s="711">
        <v>0</v>
      </c>
    </row>
    <row r="1427" spans="1:5" x14ac:dyDescent="0.3">
      <c r="A1427" s="397"/>
      <c r="B1427" s="709">
        <v>91283</v>
      </c>
      <c r="C1427" s="710" t="s">
        <v>1786</v>
      </c>
      <c r="D1427" s="709" t="s">
        <v>230</v>
      </c>
      <c r="E1427" s="711">
        <v>0</v>
      </c>
    </row>
    <row r="1428" spans="1:5" x14ac:dyDescent="0.3">
      <c r="A1428" s="397"/>
      <c r="B1428" s="709">
        <v>95283</v>
      </c>
      <c r="C1428" s="710" t="s">
        <v>1787</v>
      </c>
      <c r="D1428" s="709" t="s">
        <v>1689</v>
      </c>
      <c r="E1428" s="711">
        <v>0</v>
      </c>
    </row>
    <row r="1429" spans="1:5" x14ac:dyDescent="0.3">
      <c r="A1429" s="397"/>
      <c r="B1429" s="709">
        <v>95282</v>
      </c>
      <c r="C1429" s="710" t="s">
        <v>1788</v>
      </c>
      <c r="D1429" s="709" t="s">
        <v>230</v>
      </c>
      <c r="E1429" s="711">
        <v>0</v>
      </c>
    </row>
    <row r="1430" spans="1:5" x14ac:dyDescent="0.3">
      <c r="A1430" s="397"/>
      <c r="B1430" s="709">
        <v>95128</v>
      </c>
      <c r="C1430" s="710" t="s">
        <v>1789</v>
      </c>
      <c r="D1430" s="709" t="s">
        <v>1689</v>
      </c>
      <c r="E1430" s="711">
        <v>0.57310000000000005</v>
      </c>
    </row>
    <row r="1431" spans="1:5" x14ac:dyDescent="0.3">
      <c r="A1431" s="397"/>
      <c r="B1431" s="709">
        <v>95127</v>
      </c>
      <c r="C1431" s="710" t="s">
        <v>1790</v>
      </c>
      <c r="D1431" s="709" t="s">
        <v>230</v>
      </c>
      <c r="E1431" s="711">
        <v>0.14680000000000001</v>
      </c>
    </row>
    <row r="1432" spans="1:5" x14ac:dyDescent="0.3">
      <c r="A1432" s="397"/>
      <c r="B1432" s="709">
        <v>92044</v>
      </c>
      <c r="C1432" s="710" t="s">
        <v>1791</v>
      </c>
      <c r="D1432" s="709" t="s">
        <v>1689</v>
      </c>
      <c r="E1432" s="711">
        <v>0</v>
      </c>
    </row>
    <row r="1433" spans="1:5" x14ac:dyDescent="0.3">
      <c r="A1433" s="397"/>
      <c r="B1433" s="709">
        <v>92043</v>
      </c>
      <c r="C1433" s="710" t="s">
        <v>1792</v>
      </c>
      <c r="D1433" s="709" t="s">
        <v>230</v>
      </c>
      <c r="E1433" s="711">
        <v>0</v>
      </c>
    </row>
    <row r="1434" spans="1:5" x14ac:dyDescent="0.3">
      <c r="A1434" s="397"/>
      <c r="B1434" s="709">
        <v>106417</v>
      </c>
      <c r="C1434" s="710" t="s">
        <v>13335</v>
      </c>
      <c r="D1434" s="709" t="s">
        <v>1689</v>
      </c>
      <c r="E1434" s="711">
        <v>0</v>
      </c>
    </row>
    <row r="1435" spans="1:5" x14ac:dyDescent="0.3">
      <c r="A1435" s="397"/>
      <c r="B1435" s="709">
        <v>106415</v>
      </c>
      <c r="C1435" s="710" t="s">
        <v>13336</v>
      </c>
      <c r="D1435" s="709" t="s">
        <v>230</v>
      </c>
      <c r="E1435" s="711">
        <v>0</v>
      </c>
    </row>
    <row r="1436" spans="1:5" x14ac:dyDescent="0.3">
      <c r="A1436" s="397"/>
      <c r="B1436" s="709">
        <v>92119</v>
      </c>
      <c r="C1436" s="710" t="s">
        <v>1795</v>
      </c>
      <c r="D1436" s="709" t="s">
        <v>1689</v>
      </c>
      <c r="E1436" s="711">
        <v>0</v>
      </c>
    </row>
    <row r="1437" spans="1:5" x14ac:dyDescent="0.3">
      <c r="A1437" s="397"/>
      <c r="B1437" s="709">
        <v>92118</v>
      </c>
      <c r="C1437" s="710" t="s">
        <v>1796</v>
      </c>
      <c r="D1437" s="709" t="s">
        <v>230</v>
      </c>
      <c r="E1437" s="711">
        <v>0</v>
      </c>
    </row>
    <row r="1438" spans="1:5" x14ac:dyDescent="0.3">
      <c r="A1438" s="397"/>
      <c r="B1438" s="709">
        <v>95721</v>
      </c>
      <c r="C1438" s="710" t="s">
        <v>1799</v>
      </c>
      <c r="D1438" s="709" t="s">
        <v>1689</v>
      </c>
      <c r="E1438" s="711">
        <v>0.29620000000000002</v>
      </c>
    </row>
    <row r="1439" spans="1:5" x14ac:dyDescent="0.3">
      <c r="A1439" s="397"/>
      <c r="B1439" s="709">
        <v>95720</v>
      </c>
      <c r="C1439" s="710" t="s">
        <v>1800</v>
      </c>
      <c r="D1439" s="709" t="s">
        <v>230</v>
      </c>
      <c r="E1439" s="711">
        <v>0.1162</v>
      </c>
    </row>
    <row r="1440" spans="1:5" x14ac:dyDescent="0.3">
      <c r="A1440" s="397"/>
      <c r="B1440" s="709">
        <v>104717</v>
      </c>
      <c r="C1440" s="710" t="s">
        <v>1801</v>
      </c>
      <c r="D1440" s="709" t="s">
        <v>1689</v>
      </c>
      <c r="E1440" s="711">
        <v>0.30930000000000002</v>
      </c>
    </row>
    <row r="1441" spans="1:5" x14ac:dyDescent="0.3">
      <c r="A1441" s="397"/>
      <c r="B1441" s="709">
        <v>104716</v>
      </c>
      <c r="C1441" s="710" t="s">
        <v>1802</v>
      </c>
      <c r="D1441" s="709" t="s">
        <v>230</v>
      </c>
      <c r="E1441" s="711">
        <v>0.1201</v>
      </c>
    </row>
    <row r="1442" spans="1:5" x14ac:dyDescent="0.3">
      <c r="A1442" s="397"/>
      <c r="B1442" s="709">
        <v>5632</v>
      </c>
      <c r="C1442" s="710" t="s">
        <v>1805</v>
      </c>
      <c r="D1442" s="709" t="s">
        <v>1689</v>
      </c>
      <c r="E1442" s="711">
        <v>0.36820000000000003</v>
      </c>
    </row>
    <row r="1443" spans="1:5" x14ac:dyDescent="0.3">
      <c r="A1443" s="397"/>
      <c r="B1443" s="709">
        <v>5631</v>
      </c>
      <c r="C1443" s="710" t="s">
        <v>1806</v>
      </c>
      <c r="D1443" s="709" t="s">
        <v>230</v>
      </c>
      <c r="E1443" s="711">
        <v>0.15440000000000001</v>
      </c>
    </row>
    <row r="1444" spans="1:5" x14ac:dyDescent="0.3">
      <c r="A1444" s="397"/>
      <c r="B1444" s="709">
        <v>88908</v>
      </c>
      <c r="C1444" s="710" t="s">
        <v>1807</v>
      </c>
      <c r="D1444" s="709" t="s">
        <v>1689</v>
      </c>
      <c r="E1444" s="711">
        <v>0.34</v>
      </c>
    </row>
    <row r="1445" spans="1:5" x14ac:dyDescent="0.3">
      <c r="A1445" s="397"/>
      <c r="B1445" s="709">
        <v>88907</v>
      </c>
      <c r="C1445" s="710" t="s">
        <v>1808</v>
      </c>
      <c r="D1445" s="709" t="s">
        <v>230</v>
      </c>
      <c r="E1445" s="711">
        <v>0.12909999999999999</v>
      </c>
    </row>
    <row r="1446" spans="1:5" x14ac:dyDescent="0.3">
      <c r="A1446" s="397"/>
      <c r="B1446" s="709">
        <v>5911</v>
      </c>
      <c r="C1446" s="710" t="s">
        <v>1809</v>
      </c>
      <c r="D1446" s="709" t="s">
        <v>1689</v>
      </c>
      <c r="E1446" s="711">
        <v>0.8196</v>
      </c>
    </row>
    <row r="1447" spans="1:5" x14ac:dyDescent="0.3">
      <c r="A1447" s="397"/>
      <c r="B1447" s="709">
        <v>5909</v>
      </c>
      <c r="C1447" s="710" t="s">
        <v>1810</v>
      </c>
      <c r="D1447" s="709" t="s">
        <v>230</v>
      </c>
      <c r="E1447" s="711">
        <v>0.64910000000000001</v>
      </c>
    </row>
    <row r="1448" spans="1:5" x14ac:dyDescent="0.3">
      <c r="A1448" s="397"/>
      <c r="B1448" s="709">
        <v>91486</v>
      </c>
      <c r="C1448" s="710" t="s">
        <v>1811</v>
      </c>
      <c r="D1448" s="709" t="s">
        <v>1689</v>
      </c>
      <c r="E1448" s="711">
        <v>0.38290000000000002</v>
      </c>
    </row>
    <row r="1449" spans="1:5" x14ac:dyDescent="0.3">
      <c r="A1449" s="397"/>
      <c r="B1449" s="709">
        <v>83362</v>
      </c>
      <c r="C1449" s="710" t="s">
        <v>1812</v>
      </c>
      <c r="D1449" s="709" t="s">
        <v>230</v>
      </c>
      <c r="E1449" s="711">
        <v>9.74E-2</v>
      </c>
    </row>
    <row r="1450" spans="1:5" x14ac:dyDescent="0.3">
      <c r="A1450" s="397"/>
      <c r="B1450" s="709">
        <v>89235</v>
      </c>
      <c r="C1450" s="710" t="s">
        <v>1815</v>
      </c>
      <c r="D1450" s="709" t="s">
        <v>1689</v>
      </c>
      <c r="E1450" s="711">
        <v>0.18490000000000001</v>
      </c>
    </row>
    <row r="1451" spans="1:5" x14ac:dyDescent="0.3">
      <c r="A1451" s="397"/>
      <c r="B1451" s="709">
        <v>89234</v>
      </c>
      <c r="C1451" s="710" t="s">
        <v>1816</v>
      </c>
      <c r="D1451" s="709" t="s">
        <v>230</v>
      </c>
      <c r="E1451" s="711">
        <v>6.1100000000000002E-2</v>
      </c>
    </row>
    <row r="1452" spans="1:5" x14ac:dyDescent="0.3">
      <c r="A1452" s="397"/>
      <c r="B1452" s="709">
        <v>89243</v>
      </c>
      <c r="C1452" s="710" t="s">
        <v>1817</v>
      </c>
      <c r="D1452" s="709" t="s">
        <v>1689</v>
      </c>
      <c r="E1452" s="711">
        <v>8.8499999999999995E-2</v>
      </c>
    </row>
    <row r="1453" spans="1:5" x14ac:dyDescent="0.3">
      <c r="A1453" s="397"/>
      <c r="B1453" s="709">
        <v>89242</v>
      </c>
      <c r="C1453" s="710" t="s">
        <v>1818</v>
      </c>
      <c r="D1453" s="709" t="s">
        <v>230</v>
      </c>
      <c r="E1453" s="711">
        <v>2.5999999999999999E-2</v>
      </c>
    </row>
    <row r="1454" spans="1:5" x14ac:dyDescent="0.3">
      <c r="A1454" s="397"/>
      <c r="B1454" s="709">
        <v>93416</v>
      </c>
      <c r="C1454" s="710" t="s">
        <v>1821</v>
      </c>
      <c r="D1454" s="709" t="s">
        <v>1689</v>
      </c>
      <c r="E1454" s="711">
        <v>0</v>
      </c>
    </row>
    <row r="1455" spans="1:5" x14ac:dyDescent="0.3">
      <c r="A1455" s="397"/>
      <c r="B1455" s="709">
        <v>93415</v>
      </c>
      <c r="C1455" s="710" t="s">
        <v>1822</v>
      </c>
      <c r="D1455" s="709" t="s">
        <v>230</v>
      </c>
      <c r="E1455" s="711">
        <v>0</v>
      </c>
    </row>
    <row r="1456" spans="1:5" x14ac:dyDescent="0.3">
      <c r="A1456" s="397"/>
      <c r="B1456" s="709">
        <v>5689</v>
      </c>
      <c r="C1456" s="710" t="s">
        <v>1823</v>
      </c>
      <c r="D1456" s="709" t="s">
        <v>230</v>
      </c>
      <c r="E1456" s="711">
        <v>0</v>
      </c>
    </row>
    <row r="1457" spans="1:5" x14ac:dyDescent="0.3">
      <c r="A1457" s="397"/>
      <c r="B1457" s="709">
        <v>5690</v>
      </c>
      <c r="C1457" s="710" t="s">
        <v>1824</v>
      </c>
      <c r="D1457" s="709" t="s">
        <v>1689</v>
      </c>
      <c r="E1457" s="711">
        <v>0</v>
      </c>
    </row>
    <row r="1458" spans="1:5" x14ac:dyDescent="0.3">
      <c r="A1458" s="397"/>
      <c r="B1458" s="709">
        <v>5923</v>
      </c>
      <c r="C1458" s="710" t="s">
        <v>1825</v>
      </c>
      <c r="D1458" s="709" t="s">
        <v>1689</v>
      </c>
      <c r="E1458" s="711">
        <v>0</v>
      </c>
    </row>
    <row r="1459" spans="1:5" x14ac:dyDescent="0.3">
      <c r="A1459" s="397"/>
      <c r="B1459" s="709">
        <v>5921</v>
      </c>
      <c r="C1459" s="710" t="s">
        <v>1826</v>
      </c>
      <c r="D1459" s="709" t="s">
        <v>230</v>
      </c>
      <c r="E1459" s="711">
        <v>0</v>
      </c>
    </row>
    <row r="1460" spans="1:5" x14ac:dyDescent="0.3">
      <c r="A1460" s="397"/>
      <c r="B1460" s="709">
        <v>95212</v>
      </c>
      <c r="C1460" s="710" t="s">
        <v>1827</v>
      </c>
      <c r="D1460" s="709" t="s">
        <v>230</v>
      </c>
      <c r="E1460" s="711">
        <v>0.26240000000000002</v>
      </c>
    </row>
    <row r="1461" spans="1:5" x14ac:dyDescent="0.3">
      <c r="A1461" s="397"/>
      <c r="B1461" s="709">
        <v>95213</v>
      </c>
      <c r="C1461" s="710" t="s">
        <v>1828</v>
      </c>
      <c r="D1461" s="709" t="s">
        <v>1689</v>
      </c>
      <c r="E1461" s="711">
        <v>0.42049999999999998</v>
      </c>
    </row>
    <row r="1462" spans="1:5" x14ac:dyDescent="0.3">
      <c r="A1462" s="397"/>
      <c r="B1462" s="709">
        <v>93272</v>
      </c>
      <c r="C1462" s="710" t="s">
        <v>1829</v>
      </c>
      <c r="D1462" s="709" t="s">
        <v>230</v>
      </c>
      <c r="E1462" s="711">
        <v>0.39800000000000002</v>
      </c>
    </row>
    <row r="1463" spans="1:5" x14ac:dyDescent="0.3">
      <c r="A1463" s="397"/>
      <c r="B1463" s="709">
        <v>93274</v>
      </c>
      <c r="C1463" s="710" t="s">
        <v>1830</v>
      </c>
      <c r="D1463" s="709" t="s">
        <v>1689</v>
      </c>
      <c r="E1463" s="711">
        <v>0.56689999999999996</v>
      </c>
    </row>
    <row r="1464" spans="1:5" x14ac:dyDescent="0.3">
      <c r="A1464" s="397"/>
      <c r="B1464" s="709">
        <v>83766</v>
      </c>
      <c r="C1464" s="710" t="s">
        <v>1831</v>
      </c>
      <c r="D1464" s="709" t="s">
        <v>1689</v>
      </c>
      <c r="E1464" s="711">
        <v>0.72260000000000002</v>
      </c>
    </row>
    <row r="1465" spans="1:5" x14ac:dyDescent="0.3">
      <c r="A1465" s="397"/>
      <c r="B1465" s="709">
        <v>83765</v>
      </c>
      <c r="C1465" s="710" t="s">
        <v>1832</v>
      </c>
      <c r="D1465" s="709" t="s">
        <v>230</v>
      </c>
      <c r="E1465" s="711">
        <v>0.31340000000000001</v>
      </c>
    </row>
    <row r="1466" spans="1:5" x14ac:dyDescent="0.3">
      <c r="A1466" s="397"/>
      <c r="B1466" s="709">
        <v>95873</v>
      </c>
      <c r="C1466" s="710" t="s">
        <v>1833</v>
      </c>
      <c r="D1466" s="709" t="s">
        <v>1689</v>
      </c>
      <c r="E1466" s="711">
        <v>0</v>
      </c>
    </row>
    <row r="1467" spans="1:5" x14ac:dyDescent="0.3">
      <c r="A1467" s="397"/>
      <c r="B1467" s="709">
        <v>95872</v>
      </c>
      <c r="C1467" s="710" t="s">
        <v>1834</v>
      </c>
      <c r="D1467" s="709" t="s">
        <v>230</v>
      </c>
      <c r="E1467" s="711">
        <v>0</v>
      </c>
    </row>
    <row r="1468" spans="1:5" x14ac:dyDescent="0.3">
      <c r="A1468" s="397"/>
      <c r="B1468" s="709">
        <v>73395</v>
      </c>
      <c r="C1468" s="710" t="s">
        <v>1837</v>
      </c>
      <c r="D1468" s="709" t="s">
        <v>1689</v>
      </c>
      <c r="E1468" s="711">
        <v>0</v>
      </c>
    </row>
    <row r="1469" spans="1:5" x14ac:dyDescent="0.3">
      <c r="A1469" s="397"/>
      <c r="B1469" s="709">
        <v>73417</v>
      </c>
      <c r="C1469" s="710" t="s">
        <v>1838</v>
      </c>
      <c r="D1469" s="709" t="s">
        <v>230</v>
      </c>
      <c r="E1469" s="711">
        <v>0</v>
      </c>
    </row>
    <row r="1470" spans="1:5" x14ac:dyDescent="0.3">
      <c r="A1470" s="397"/>
      <c r="B1470" s="709">
        <v>93428</v>
      </c>
      <c r="C1470" s="710" t="s">
        <v>1839</v>
      </c>
      <c r="D1470" s="709" t="s">
        <v>1689</v>
      </c>
      <c r="E1470" s="711">
        <v>0</v>
      </c>
    </row>
    <row r="1471" spans="1:5" x14ac:dyDescent="0.3">
      <c r="A1471" s="397"/>
      <c r="B1471" s="709">
        <v>93427</v>
      </c>
      <c r="C1471" s="710" t="s">
        <v>1840</v>
      </c>
      <c r="D1471" s="709" t="s">
        <v>230</v>
      </c>
      <c r="E1471" s="711">
        <v>0</v>
      </c>
    </row>
    <row r="1472" spans="1:5" x14ac:dyDescent="0.3">
      <c r="A1472" s="397"/>
      <c r="B1472" s="709">
        <v>93422</v>
      </c>
      <c r="C1472" s="710" t="s">
        <v>1841</v>
      </c>
      <c r="D1472" s="709" t="s">
        <v>1689</v>
      </c>
      <c r="E1472" s="711">
        <v>0</v>
      </c>
    </row>
    <row r="1473" spans="1:5" x14ac:dyDescent="0.3">
      <c r="A1473" s="397"/>
      <c r="B1473" s="709">
        <v>93421</v>
      </c>
      <c r="C1473" s="710" t="s">
        <v>1842</v>
      </c>
      <c r="D1473" s="709" t="s">
        <v>230</v>
      </c>
      <c r="E1473" s="711">
        <v>0</v>
      </c>
    </row>
    <row r="1474" spans="1:5" x14ac:dyDescent="0.3">
      <c r="A1474" s="397"/>
      <c r="B1474" s="709">
        <v>93282</v>
      </c>
      <c r="C1474" s="710" t="s">
        <v>1843</v>
      </c>
      <c r="D1474" s="709" t="s">
        <v>1689</v>
      </c>
      <c r="E1474" s="711">
        <v>0.99109999999999998</v>
      </c>
    </row>
    <row r="1475" spans="1:5" x14ac:dyDescent="0.3">
      <c r="A1475" s="397"/>
      <c r="B1475" s="709">
        <v>93281</v>
      </c>
      <c r="C1475" s="710" t="s">
        <v>1844</v>
      </c>
      <c r="D1475" s="709" t="s">
        <v>230</v>
      </c>
      <c r="E1475" s="711">
        <v>0.95989999999999998</v>
      </c>
    </row>
    <row r="1476" spans="1:5" x14ac:dyDescent="0.3">
      <c r="A1476" s="397"/>
      <c r="B1476" s="709">
        <v>89273</v>
      </c>
      <c r="C1476" s="710" t="s">
        <v>1849</v>
      </c>
      <c r="D1476" s="709" t="s">
        <v>1689</v>
      </c>
      <c r="E1476" s="711">
        <v>0.38250000000000001</v>
      </c>
    </row>
    <row r="1477" spans="1:5" x14ac:dyDescent="0.3">
      <c r="A1477" s="397"/>
      <c r="B1477" s="709">
        <v>89272</v>
      </c>
      <c r="C1477" s="710" t="s">
        <v>1850</v>
      </c>
      <c r="D1477" s="709" t="s">
        <v>230</v>
      </c>
      <c r="E1477" s="711">
        <v>0.19939999999999999</v>
      </c>
    </row>
    <row r="1478" spans="1:5" x14ac:dyDescent="0.3">
      <c r="A1478" s="397"/>
      <c r="B1478" s="709">
        <v>93288</v>
      </c>
      <c r="C1478" s="710" t="s">
        <v>1851</v>
      </c>
      <c r="D1478" s="709" t="s">
        <v>1689</v>
      </c>
      <c r="E1478" s="711">
        <v>0.24360000000000001</v>
      </c>
    </row>
    <row r="1479" spans="1:5" x14ac:dyDescent="0.3">
      <c r="A1479" s="397"/>
      <c r="B1479" s="709">
        <v>93287</v>
      </c>
      <c r="C1479" s="710" t="s">
        <v>1852</v>
      </c>
      <c r="D1479" s="709" t="s">
        <v>230</v>
      </c>
      <c r="E1479" s="711">
        <v>0.1293</v>
      </c>
    </row>
    <row r="1480" spans="1:5" x14ac:dyDescent="0.3">
      <c r="A1480" s="397"/>
      <c r="B1480" s="709">
        <v>106256</v>
      </c>
      <c r="C1480" s="710" t="s">
        <v>13337</v>
      </c>
      <c r="D1480" s="709" t="s">
        <v>1689</v>
      </c>
      <c r="E1480" s="711">
        <v>0.3145</v>
      </c>
    </row>
    <row r="1481" spans="1:5" x14ac:dyDescent="0.3">
      <c r="A1481" s="397"/>
      <c r="B1481" s="709">
        <v>106251</v>
      </c>
      <c r="C1481" s="710" t="s">
        <v>13338</v>
      </c>
      <c r="D1481" s="709" t="s">
        <v>230</v>
      </c>
      <c r="E1481" s="711">
        <v>9.4E-2</v>
      </c>
    </row>
    <row r="1482" spans="1:5" x14ac:dyDescent="0.3">
      <c r="A1482" s="397"/>
      <c r="B1482" s="709">
        <v>93403</v>
      </c>
      <c r="C1482" s="710" t="s">
        <v>1861</v>
      </c>
      <c r="D1482" s="709" t="s">
        <v>1689</v>
      </c>
      <c r="E1482" s="711">
        <v>0.437</v>
      </c>
    </row>
    <row r="1483" spans="1:5" x14ac:dyDescent="0.3">
      <c r="A1483" s="397"/>
      <c r="B1483" s="709">
        <v>93402</v>
      </c>
      <c r="C1483" s="710" t="s">
        <v>1862</v>
      </c>
      <c r="D1483" s="709" t="s">
        <v>230</v>
      </c>
      <c r="E1483" s="711">
        <v>0.11260000000000001</v>
      </c>
    </row>
    <row r="1484" spans="1:5" x14ac:dyDescent="0.3">
      <c r="A1484" s="397"/>
      <c r="B1484" s="709">
        <v>5930</v>
      </c>
      <c r="C1484" s="710" t="s">
        <v>1863</v>
      </c>
      <c r="D1484" s="709" t="s">
        <v>1689</v>
      </c>
      <c r="E1484" s="711">
        <v>0.42009999999999997</v>
      </c>
    </row>
    <row r="1485" spans="1:5" x14ac:dyDescent="0.3">
      <c r="A1485" s="397"/>
      <c r="B1485" s="709">
        <v>5928</v>
      </c>
      <c r="C1485" s="710" t="s">
        <v>1864</v>
      </c>
      <c r="D1485" s="709" t="s">
        <v>230</v>
      </c>
      <c r="E1485" s="711">
        <v>0.1104</v>
      </c>
    </row>
    <row r="1486" spans="1:5" x14ac:dyDescent="0.3">
      <c r="A1486" s="397"/>
      <c r="B1486" s="709">
        <v>91635</v>
      </c>
      <c r="C1486" s="710" t="s">
        <v>1867</v>
      </c>
      <c r="D1486" s="709" t="s">
        <v>1689</v>
      </c>
      <c r="E1486" s="711">
        <v>0.47549999999999998</v>
      </c>
    </row>
    <row r="1487" spans="1:5" x14ac:dyDescent="0.3">
      <c r="A1487" s="397"/>
      <c r="B1487" s="709">
        <v>91634</v>
      </c>
      <c r="C1487" s="710" t="s">
        <v>1868</v>
      </c>
      <c r="D1487" s="709" t="s">
        <v>230</v>
      </c>
      <c r="E1487" s="711">
        <v>0.13009999999999999</v>
      </c>
    </row>
    <row r="1488" spans="1:5" x14ac:dyDescent="0.3">
      <c r="A1488" s="397"/>
      <c r="B1488" s="709">
        <v>105985</v>
      </c>
      <c r="C1488" s="710" t="s">
        <v>1869</v>
      </c>
      <c r="D1488" s="709" t="s">
        <v>1689</v>
      </c>
      <c r="E1488" s="711">
        <v>0.32040000000000002</v>
      </c>
    </row>
    <row r="1489" spans="1:5" x14ac:dyDescent="0.3">
      <c r="A1489" s="397"/>
      <c r="B1489" s="709">
        <v>105984</v>
      </c>
      <c r="C1489" s="710" t="s">
        <v>1870</v>
      </c>
      <c r="D1489" s="709" t="s">
        <v>230</v>
      </c>
      <c r="E1489" s="711">
        <v>9.5100000000000004E-2</v>
      </c>
    </row>
    <row r="1490" spans="1:5" x14ac:dyDescent="0.3">
      <c r="A1490" s="397"/>
      <c r="B1490" s="709">
        <v>98765</v>
      </c>
      <c r="C1490" s="710" t="s">
        <v>1871</v>
      </c>
      <c r="D1490" s="709" t="s">
        <v>1689</v>
      </c>
      <c r="E1490" s="711">
        <v>0</v>
      </c>
    </row>
    <row r="1491" spans="1:5" x14ac:dyDescent="0.3">
      <c r="A1491" s="397"/>
      <c r="B1491" s="709">
        <v>98764</v>
      </c>
      <c r="C1491" s="710" t="s">
        <v>1872</v>
      </c>
      <c r="D1491" s="709" t="s">
        <v>230</v>
      </c>
      <c r="E1491" s="711">
        <v>0</v>
      </c>
    </row>
    <row r="1492" spans="1:5" x14ac:dyDescent="0.3">
      <c r="A1492" s="397"/>
      <c r="B1492" s="709">
        <v>99834</v>
      </c>
      <c r="C1492" s="710" t="s">
        <v>1873</v>
      </c>
      <c r="D1492" s="709" t="s">
        <v>1689</v>
      </c>
      <c r="E1492" s="711">
        <v>0</v>
      </c>
    </row>
    <row r="1493" spans="1:5" x14ac:dyDescent="0.3">
      <c r="A1493" s="397"/>
      <c r="B1493" s="709">
        <v>99833</v>
      </c>
      <c r="C1493" s="710" t="s">
        <v>1874</v>
      </c>
      <c r="D1493" s="709" t="s">
        <v>230</v>
      </c>
      <c r="E1493" s="711">
        <v>0</v>
      </c>
    </row>
    <row r="1494" spans="1:5" x14ac:dyDescent="0.3">
      <c r="A1494" s="397"/>
      <c r="B1494" s="709">
        <v>90687</v>
      </c>
      <c r="C1494" s="710" t="s">
        <v>1877</v>
      </c>
      <c r="D1494" s="709" t="s">
        <v>1689</v>
      </c>
      <c r="E1494" s="711">
        <v>0.44369999999999998</v>
      </c>
    </row>
    <row r="1495" spans="1:5" x14ac:dyDescent="0.3">
      <c r="A1495" s="397"/>
      <c r="B1495" s="709">
        <v>90686</v>
      </c>
      <c r="C1495" s="710" t="s">
        <v>1878</v>
      </c>
      <c r="D1495" s="709" t="s">
        <v>230</v>
      </c>
      <c r="E1495" s="711">
        <v>0.19819999999999999</v>
      </c>
    </row>
    <row r="1496" spans="1:5" x14ac:dyDescent="0.3">
      <c r="A1496" s="397"/>
      <c r="B1496" s="709">
        <v>5952</v>
      </c>
      <c r="C1496" s="710" t="s">
        <v>1879</v>
      </c>
      <c r="D1496" s="709" t="s">
        <v>1689</v>
      </c>
      <c r="E1496" s="711">
        <v>0.9819</v>
      </c>
    </row>
    <row r="1497" spans="1:5" x14ac:dyDescent="0.3">
      <c r="A1497" s="397"/>
      <c r="B1497" s="709">
        <v>5795</v>
      </c>
      <c r="C1497" s="710" t="s">
        <v>1880</v>
      </c>
      <c r="D1497" s="709" t="s">
        <v>230</v>
      </c>
      <c r="E1497" s="711">
        <v>0.96379999999999999</v>
      </c>
    </row>
    <row r="1498" spans="1:5" x14ac:dyDescent="0.3">
      <c r="A1498" s="397"/>
      <c r="B1498" s="709">
        <v>102274</v>
      </c>
      <c r="C1498" s="710" t="s">
        <v>1883</v>
      </c>
      <c r="D1498" s="709" t="s">
        <v>1689</v>
      </c>
      <c r="E1498" s="711">
        <v>0.96899999999999997</v>
      </c>
    </row>
    <row r="1499" spans="1:5" x14ac:dyDescent="0.3">
      <c r="A1499" s="397"/>
      <c r="B1499" s="709">
        <v>102275</v>
      </c>
      <c r="C1499" s="710" t="s">
        <v>1884</v>
      </c>
      <c r="D1499" s="709" t="s">
        <v>230</v>
      </c>
      <c r="E1499" s="711">
        <v>0.89019999999999999</v>
      </c>
    </row>
    <row r="1500" spans="1:5" x14ac:dyDescent="0.3">
      <c r="A1500" s="397"/>
      <c r="B1500" s="709">
        <v>95259</v>
      </c>
      <c r="C1500" s="710" t="s">
        <v>1885</v>
      </c>
      <c r="D1500" s="709" t="s">
        <v>1689</v>
      </c>
      <c r="E1500" s="711">
        <v>0.96350000000000002</v>
      </c>
    </row>
    <row r="1501" spans="1:5" x14ac:dyDescent="0.3">
      <c r="A1501" s="397"/>
      <c r="B1501" s="709">
        <v>95258</v>
      </c>
      <c r="C1501" s="710" t="s">
        <v>1886</v>
      </c>
      <c r="D1501" s="709" t="s">
        <v>230</v>
      </c>
      <c r="E1501" s="711">
        <v>0.92869999999999997</v>
      </c>
    </row>
    <row r="1502" spans="1:5" x14ac:dyDescent="0.3">
      <c r="A1502" s="397"/>
      <c r="B1502" s="709">
        <v>105917</v>
      </c>
      <c r="C1502" s="710" t="s">
        <v>1887</v>
      </c>
      <c r="D1502" s="709" t="s">
        <v>1689</v>
      </c>
      <c r="E1502" s="711">
        <v>0.96870000000000001</v>
      </c>
    </row>
    <row r="1503" spans="1:5" x14ac:dyDescent="0.3">
      <c r="A1503" s="397"/>
      <c r="B1503" s="709">
        <v>105916</v>
      </c>
      <c r="C1503" s="710" t="s">
        <v>1888</v>
      </c>
      <c r="D1503" s="709" t="s">
        <v>230</v>
      </c>
      <c r="E1503" s="711">
        <v>0.93869999999999998</v>
      </c>
    </row>
    <row r="1504" spans="1:5" x14ac:dyDescent="0.3">
      <c r="A1504" s="397"/>
      <c r="B1504" s="709">
        <v>96156</v>
      </c>
      <c r="C1504" s="710" t="s">
        <v>1891</v>
      </c>
      <c r="D1504" s="709" t="s">
        <v>1689</v>
      </c>
      <c r="E1504" s="711">
        <v>0.49769999999999998</v>
      </c>
    </row>
    <row r="1505" spans="1:5" x14ac:dyDescent="0.3">
      <c r="A1505" s="397"/>
      <c r="B1505" s="709">
        <v>96158</v>
      </c>
      <c r="C1505" s="710" t="s">
        <v>1892</v>
      </c>
      <c r="D1505" s="709" t="s">
        <v>230</v>
      </c>
      <c r="E1505" s="711">
        <v>0.2364</v>
      </c>
    </row>
    <row r="1506" spans="1:5" x14ac:dyDescent="0.3">
      <c r="A1506" s="397"/>
      <c r="B1506" s="709">
        <v>90693</v>
      </c>
      <c r="C1506" s="710" t="s">
        <v>1893</v>
      </c>
      <c r="D1506" s="709" t="s">
        <v>1689</v>
      </c>
      <c r="E1506" s="711">
        <v>0.54300000000000004</v>
      </c>
    </row>
    <row r="1507" spans="1:5" x14ac:dyDescent="0.3">
      <c r="A1507" s="397"/>
      <c r="B1507" s="709">
        <v>90692</v>
      </c>
      <c r="C1507" s="710" t="s">
        <v>1894</v>
      </c>
      <c r="D1507" s="709" t="s">
        <v>230</v>
      </c>
      <c r="E1507" s="711">
        <v>0.25669999999999998</v>
      </c>
    </row>
    <row r="1508" spans="1:5" x14ac:dyDescent="0.3">
      <c r="A1508" s="397"/>
      <c r="B1508" s="709">
        <v>96246</v>
      </c>
      <c r="C1508" s="710" t="s">
        <v>1895</v>
      </c>
      <c r="D1508" s="709" t="s">
        <v>1689</v>
      </c>
      <c r="E1508" s="711">
        <v>0.49370000000000003</v>
      </c>
    </row>
    <row r="1509" spans="1:5" x14ac:dyDescent="0.3">
      <c r="A1509" s="397"/>
      <c r="B1509" s="709">
        <v>96245</v>
      </c>
      <c r="C1509" s="710" t="s">
        <v>1896</v>
      </c>
      <c r="D1509" s="709" t="s">
        <v>230</v>
      </c>
      <c r="E1509" s="711">
        <v>0.27800000000000002</v>
      </c>
    </row>
    <row r="1510" spans="1:5" x14ac:dyDescent="0.3">
      <c r="A1510" s="397"/>
      <c r="B1510" s="709">
        <v>88404</v>
      </c>
      <c r="C1510" s="710" t="s">
        <v>1897</v>
      </c>
      <c r="D1510" s="709" t="s">
        <v>1689</v>
      </c>
      <c r="E1510" s="711">
        <v>0</v>
      </c>
    </row>
    <row r="1511" spans="1:5" x14ac:dyDescent="0.3">
      <c r="A1511" s="397"/>
      <c r="B1511" s="709">
        <v>88399</v>
      </c>
      <c r="C1511" s="710" t="s">
        <v>1898</v>
      </c>
      <c r="D1511" s="709" t="s">
        <v>230</v>
      </c>
      <c r="E1511" s="711">
        <v>0</v>
      </c>
    </row>
    <row r="1512" spans="1:5" x14ac:dyDescent="0.3">
      <c r="A1512" s="397"/>
      <c r="B1512" s="709">
        <v>88392</v>
      </c>
      <c r="C1512" s="710" t="s">
        <v>1899</v>
      </c>
      <c r="D1512" s="709" t="s">
        <v>1689</v>
      </c>
      <c r="E1512" s="711">
        <v>0</v>
      </c>
    </row>
    <row r="1513" spans="1:5" x14ac:dyDescent="0.3">
      <c r="A1513" s="397"/>
      <c r="B1513" s="709">
        <v>88386</v>
      </c>
      <c r="C1513" s="710" t="s">
        <v>1900</v>
      </c>
      <c r="D1513" s="709" t="s">
        <v>230</v>
      </c>
      <c r="E1513" s="711">
        <v>0</v>
      </c>
    </row>
    <row r="1514" spans="1:5" x14ac:dyDescent="0.3">
      <c r="A1514" s="397"/>
      <c r="B1514" s="709">
        <v>88398</v>
      </c>
      <c r="C1514" s="710" t="s">
        <v>1901</v>
      </c>
      <c r="D1514" s="709" t="s">
        <v>1689</v>
      </c>
      <c r="E1514" s="711">
        <v>0</v>
      </c>
    </row>
    <row r="1515" spans="1:5" x14ac:dyDescent="0.3">
      <c r="A1515" s="397"/>
      <c r="B1515" s="709">
        <v>88393</v>
      </c>
      <c r="C1515" s="710" t="s">
        <v>1902</v>
      </c>
      <c r="D1515" s="709" t="s">
        <v>230</v>
      </c>
      <c r="E1515" s="711">
        <v>0</v>
      </c>
    </row>
    <row r="1516" spans="1:5" x14ac:dyDescent="0.3">
      <c r="A1516" s="397"/>
      <c r="B1516" s="709">
        <v>90638</v>
      </c>
      <c r="C1516" s="710" t="s">
        <v>1903</v>
      </c>
      <c r="D1516" s="709" t="s">
        <v>1689</v>
      </c>
      <c r="E1516" s="711">
        <v>0</v>
      </c>
    </row>
    <row r="1517" spans="1:5" x14ac:dyDescent="0.3">
      <c r="A1517" s="397"/>
      <c r="B1517" s="709">
        <v>90637</v>
      </c>
      <c r="C1517" s="710" t="s">
        <v>1904</v>
      </c>
      <c r="D1517" s="709" t="s">
        <v>230</v>
      </c>
      <c r="E1517" s="711">
        <v>0</v>
      </c>
    </row>
    <row r="1518" spans="1:5" x14ac:dyDescent="0.3">
      <c r="A1518" s="397"/>
      <c r="B1518" s="709">
        <v>5806</v>
      </c>
      <c r="C1518" s="710" t="s">
        <v>1907</v>
      </c>
      <c r="D1518" s="709" t="s">
        <v>1689</v>
      </c>
      <c r="E1518" s="711">
        <v>0</v>
      </c>
    </row>
    <row r="1519" spans="1:5" x14ac:dyDescent="0.3">
      <c r="A1519" s="397"/>
      <c r="B1519" s="709">
        <v>73536</v>
      </c>
      <c r="C1519" s="710" t="s">
        <v>1908</v>
      </c>
      <c r="D1519" s="709" t="s">
        <v>230</v>
      </c>
      <c r="E1519" s="711">
        <v>0</v>
      </c>
    </row>
    <row r="1520" spans="1:5" x14ac:dyDescent="0.3">
      <c r="A1520" s="397"/>
      <c r="B1520" s="709">
        <v>7043</v>
      </c>
      <c r="C1520" s="710" t="s">
        <v>1909</v>
      </c>
      <c r="D1520" s="709" t="s">
        <v>1689</v>
      </c>
      <c r="E1520" s="711">
        <v>0</v>
      </c>
    </row>
    <row r="1521" spans="1:5" x14ac:dyDescent="0.3">
      <c r="A1521" s="397"/>
      <c r="B1521" s="709">
        <v>7042</v>
      </c>
      <c r="C1521" s="710" t="s">
        <v>1910</v>
      </c>
      <c r="D1521" s="709" t="s">
        <v>230</v>
      </c>
      <c r="E1521" s="711">
        <v>0</v>
      </c>
    </row>
    <row r="1522" spans="1:5" x14ac:dyDescent="0.3">
      <c r="A1522" s="397"/>
      <c r="B1522" s="709">
        <v>5934</v>
      </c>
      <c r="C1522" s="710" t="s">
        <v>1911</v>
      </c>
      <c r="D1522" s="709" t="s">
        <v>1689</v>
      </c>
      <c r="E1522" s="711">
        <v>0.439</v>
      </c>
    </row>
    <row r="1523" spans="1:5" x14ac:dyDescent="0.3">
      <c r="A1523" s="397"/>
      <c r="B1523" s="709">
        <v>5932</v>
      </c>
      <c r="C1523" s="710" t="s">
        <v>1912</v>
      </c>
      <c r="D1523" s="709" t="s">
        <v>230</v>
      </c>
      <c r="E1523" s="711">
        <v>0.1757</v>
      </c>
    </row>
    <row r="1524" spans="1:5" x14ac:dyDescent="0.3">
      <c r="A1524" s="397"/>
      <c r="B1524" s="709">
        <v>96159</v>
      </c>
      <c r="C1524" s="710" t="s">
        <v>1913</v>
      </c>
      <c r="D1524" s="709" t="s">
        <v>1689</v>
      </c>
      <c r="E1524" s="711">
        <v>0.32969999999999999</v>
      </c>
    </row>
    <row r="1525" spans="1:5" x14ac:dyDescent="0.3">
      <c r="A1525" s="397"/>
      <c r="B1525" s="709">
        <v>95133</v>
      </c>
      <c r="C1525" s="710" t="s">
        <v>1914</v>
      </c>
      <c r="D1525" s="709" t="s">
        <v>230</v>
      </c>
      <c r="E1525" s="711">
        <v>0.17419999999999999</v>
      </c>
    </row>
    <row r="1526" spans="1:5" x14ac:dyDescent="0.3">
      <c r="A1526" s="397"/>
      <c r="B1526" s="709">
        <v>92961</v>
      </c>
      <c r="C1526" s="710" t="s">
        <v>1917</v>
      </c>
      <c r="D1526" s="709" t="s">
        <v>1689</v>
      </c>
      <c r="E1526" s="711">
        <v>0</v>
      </c>
    </row>
    <row r="1527" spans="1:5" x14ac:dyDescent="0.3">
      <c r="A1527" s="397"/>
      <c r="B1527" s="709">
        <v>92960</v>
      </c>
      <c r="C1527" s="710" t="s">
        <v>1918</v>
      </c>
      <c r="D1527" s="709" t="s">
        <v>230</v>
      </c>
      <c r="E1527" s="711">
        <v>0</v>
      </c>
    </row>
    <row r="1528" spans="1:5" x14ac:dyDescent="0.3">
      <c r="A1528" s="397"/>
      <c r="B1528" s="709">
        <v>93409</v>
      </c>
      <c r="C1528" s="710" t="s">
        <v>1921</v>
      </c>
      <c r="D1528" s="709" t="s">
        <v>1689</v>
      </c>
      <c r="E1528" s="711">
        <v>0.75960000000000005</v>
      </c>
    </row>
    <row r="1529" spans="1:5" x14ac:dyDescent="0.3">
      <c r="A1529" s="397"/>
      <c r="B1529" s="709">
        <v>93408</v>
      </c>
      <c r="C1529" s="710" t="s">
        <v>1922</v>
      </c>
      <c r="D1529" s="709" t="s">
        <v>230</v>
      </c>
      <c r="E1529" s="711">
        <v>0.30570000000000003</v>
      </c>
    </row>
    <row r="1530" spans="1:5" x14ac:dyDescent="0.3">
      <c r="A1530" s="397"/>
      <c r="B1530" s="709">
        <v>92113</v>
      </c>
      <c r="C1530" s="710" t="s">
        <v>1937</v>
      </c>
      <c r="D1530" s="709" t="s">
        <v>1689</v>
      </c>
      <c r="E1530" s="711">
        <v>0</v>
      </c>
    </row>
    <row r="1531" spans="1:5" x14ac:dyDescent="0.3">
      <c r="A1531" s="397"/>
      <c r="B1531" s="709">
        <v>92112</v>
      </c>
      <c r="C1531" s="710" t="s">
        <v>1938</v>
      </c>
      <c r="D1531" s="709" t="s">
        <v>230</v>
      </c>
      <c r="E1531" s="711">
        <v>0</v>
      </c>
    </row>
    <row r="1532" spans="1:5" x14ac:dyDescent="0.3">
      <c r="A1532" s="397"/>
      <c r="B1532" s="709">
        <v>90675</v>
      </c>
      <c r="C1532" s="710" t="s">
        <v>1939</v>
      </c>
      <c r="D1532" s="709" t="s">
        <v>1689</v>
      </c>
      <c r="E1532" s="711">
        <v>0.1071</v>
      </c>
    </row>
    <row r="1533" spans="1:5" x14ac:dyDescent="0.3">
      <c r="A1533" s="397"/>
      <c r="B1533" s="709">
        <v>90674</v>
      </c>
      <c r="C1533" s="710" t="s">
        <v>1940</v>
      </c>
      <c r="D1533" s="709" t="s">
        <v>230</v>
      </c>
      <c r="E1533" s="711">
        <v>4.7199999999999999E-2</v>
      </c>
    </row>
    <row r="1534" spans="1:5" x14ac:dyDescent="0.3">
      <c r="A1534" s="397"/>
      <c r="B1534" s="709">
        <v>93225</v>
      </c>
      <c r="C1534" s="710" t="s">
        <v>1941</v>
      </c>
      <c r="D1534" s="709" t="s">
        <v>1689</v>
      </c>
      <c r="E1534" s="711">
        <v>7.2599999999999998E-2</v>
      </c>
    </row>
    <row r="1535" spans="1:5" x14ac:dyDescent="0.3">
      <c r="A1535" s="397"/>
      <c r="B1535" s="709">
        <v>93224</v>
      </c>
      <c r="C1535" s="710" t="s">
        <v>1942</v>
      </c>
      <c r="D1535" s="709" t="s">
        <v>230</v>
      </c>
      <c r="E1535" s="711">
        <v>3.2199999999999999E-2</v>
      </c>
    </row>
    <row r="1536" spans="1:5" x14ac:dyDescent="0.3">
      <c r="A1536" s="397"/>
      <c r="B1536" s="709">
        <v>104696</v>
      </c>
      <c r="C1536" s="710" t="s">
        <v>1943</v>
      </c>
      <c r="D1536" s="709" t="s">
        <v>1689</v>
      </c>
      <c r="E1536" s="711">
        <v>0.96909999999999996</v>
      </c>
    </row>
    <row r="1537" spans="1:5" x14ac:dyDescent="0.3">
      <c r="A1537" s="397"/>
      <c r="B1537" s="709">
        <v>104695</v>
      </c>
      <c r="C1537" s="710" t="s">
        <v>1944</v>
      </c>
      <c r="D1537" s="709" t="s">
        <v>230</v>
      </c>
      <c r="E1537" s="711">
        <v>0.88729999999999998</v>
      </c>
    </row>
    <row r="1538" spans="1:5" x14ac:dyDescent="0.3">
      <c r="A1538" s="397"/>
      <c r="B1538" s="709">
        <v>90681</v>
      </c>
      <c r="C1538" s="710" t="s">
        <v>1945</v>
      </c>
      <c r="D1538" s="709" t="s">
        <v>1689</v>
      </c>
      <c r="E1538" s="711">
        <v>0.19980000000000001</v>
      </c>
    </row>
    <row r="1539" spans="1:5" x14ac:dyDescent="0.3">
      <c r="A1539" s="397"/>
      <c r="B1539" s="709">
        <v>90680</v>
      </c>
      <c r="C1539" s="710" t="s">
        <v>1946</v>
      </c>
      <c r="D1539" s="709" t="s">
        <v>230</v>
      </c>
      <c r="E1539" s="711">
        <v>8.5199999999999998E-2</v>
      </c>
    </row>
    <row r="1540" spans="1:5" x14ac:dyDescent="0.3">
      <c r="A1540" s="397"/>
      <c r="B1540" s="709">
        <v>102875</v>
      </c>
      <c r="C1540" s="710" t="s">
        <v>1947</v>
      </c>
      <c r="D1540" s="709" t="s">
        <v>1689</v>
      </c>
      <c r="E1540" s="711">
        <v>7.5899999999999995E-2</v>
      </c>
    </row>
    <row r="1541" spans="1:5" x14ac:dyDescent="0.3">
      <c r="A1541" s="397"/>
      <c r="B1541" s="709">
        <v>102874</v>
      </c>
      <c r="C1541" s="710" t="s">
        <v>1948</v>
      </c>
      <c r="D1541" s="709" t="s">
        <v>230</v>
      </c>
      <c r="E1541" s="711">
        <v>3.4799999999999998E-2</v>
      </c>
    </row>
    <row r="1542" spans="1:5" x14ac:dyDescent="0.3">
      <c r="A1542" s="397"/>
      <c r="B1542" s="709">
        <v>102965</v>
      </c>
      <c r="C1542" s="710" t="s">
        <v>1949</v>
      </c>
      <c r="D1542" s="709" t="s">
        <v>1689</v>
      </c>
      <c r="E1542" s="711">
        <v>0.14480000000000001</v>
      </c>
    </row>
    <row r="1543" spans="1:5" x14ac:dyDescent="0.3">
      <c r="A1543" s="397"/>
      <c r="B1543" s="709">
        <v>102964</v>
      </c>
      <c r="C1543" s="710" t="s">
        <v>1950</v>
      </c>
      <c r="D1543" s="709" t="s">
        <v>230</v>
      </c>
      <c r="E1543" s="711">
        <v>7.2300000000000003E-2</v>
      </c>
    </row>
    <row r="1544" spans="1:5" x14ac:dyDescent="0.3">
      <c r="A1544" s="397"/>
      <c r="B1544" s="709">
        <v>90626</v>
      </c>
      <c r="C1544" s="710" t="s">
        <v>1951</v>
      </c>
      <c r="D1544" s="709" t="s">
        <v>1689</v>
      </c>
      <c r="E1544" s="711">
        <v>0</v>
      </c>
    </row>
    <row r="1545" spans="1:5" x14ac:dyDescent="0.3">
      <c r="A1545" s="397"/>
      <c r="B1545" s="709">
        <v>90625</v>
      </c>
      <c r="C1545" s="710" t="s">
        <v>1952</v>
      </c>
      <c r="D1545" s="709" t="s">
        <v>230</v>
      </c>
      <c r="E1545" s="711">
        <v>0</v>
      </c>
    </row>
    <row r="1546" spans="1:5" x14ac:dyDescent="0.3">
      <c r="A1546" s="397"/>
      <c r="B1546" s="709">
        <v>102881</v>
      </c>
      <c r="C1546" s="710" t="s">
        <v>1953</v>
      </c>
      <c r="D1546" s="709" t="s">
        <v>1689</v>
      </c>
      <c r="E1546" s="711">
        <v>5.5800000000000002E-2</v>
      </c>
    </row>
    <row r="1547" spans="1:5" x14ac:dyDescent="0.3">
      <c r="A1547" s="397"/>
      <c r="B1547" s="709">
        <v>102880</v>
      </c>
      <c r="C1547" s="710" t="s">
        <v>1954</v>
      </c>
      <c r="D1547" s="709" t="s">
        <v>230</v>
      </c>
      <c r="E1547" s="711">
        <v>2.5000000000000001E-2</v>
      </c>
    </row>
    <row r="1548" spans="1:5" x14ac:dyDescent="0.3">
      <c r="A1548" s="397"/>
      <c r="B1548" s="709">
        <v>103225</v>
      </c>
      <c r="C1548" s="710" t="s">
        <v>1955</v>
      </c>
      <c r="D1548" s="709" t="s">
        <v>1689</v>
      </c>
      <c r="E1548" s="711">
        <v>0.16200000000000001</v>
      </c>
    </row>
    <row r="1549" spans="1:5" x14ac:dyDescent="0.3">
      <c r="A1549" s="397"/>
      <c r="B1549" s="709">
        <v>103224</v>
      </c>
      <c r="C1549" s="710" t="s">
        <v>1956</v>
      </c>
      <c r="D1549" s="709" t="s">
        <v>230</v>
      </c>
      <c r="E1549" s="711">
        <v>8.1100000000000005E-2</v>
      </c>
    </row>
    <row r="1550" spans="1:5" x14ac:dyDescent="0.3">
      <c r="A1550" s="397"/>
      <c r="B1550" s="709">
        <v>103237</v>
      </c>
      <c r="C1550" s="710" t="s">
        <v>1957</v>
      </c>
      <c r="D1550" s="709" t="s">
        <v>1689</v>
      </c>
      <c r="E1550" s="711">
        <v>5.8000000000000003E-2</v>
      </c>
    </row>
    <row r="1551" spans="1:5" x14ac:dyDescent="0.3">
      <c r="A1551" s="397"/>
      <c r="B1551" s="709">
        <v>103236</v>
      </c>
      <c r="C1551" s="710" t="s">
        <v>1958</v>
      </c>
      <c r="D1551" s="709" t="s">
        <v>230</v>
      </c>
      <c r="E1551" s="711">
        <v>2.69E-2</v>
      </c>
    </row>
    <row r="1552" spans="1:5" x14ac:dyDescent="0.3">
      <c r="A1552" s="397"/>
      <c r="B1552" s="709">
        <v>103231</v>
      </c>
      <c r="C1552" s="710" t="s">
        <v>1959</v>
      </c>
      <c r="D1552" s="709" t="s">
        <v>1689</v>
      </c>
      <c r="E1552" s="711">
        <v>7.7700000000000005E-2</v>
      </c>
    </row>
    <row r="1553" spans="1:5" x14ac:dyDescent="0.3">
      <c r="A1553" s="397"/>
      <c r="B1553" s="709">
        <v>103230</v>
      </c>
      <c r="C1553" s="710" t="s">
        <v>1960</v>
      </c>
      <c r="D1553" s="709" t="s">
        <v>230</v>
      </c>
      <c r="E1553" s="711">
        <v>3.6799999999999999E-2</v>
      </c>
    </row>
    <row r="1554" spans="1:5" x14ac:dyDescent="0.3">
      <c r="A1554" s="397"/>
      <c r="B1554" s="709">
        <v>102975</v>
      </c>
      <c r="C1554" s="710" t="s">
        <v>1961</v>
      </c>
      <c r="D1554" s="709" t="s">
        <v>1689</v>
      </c>
      <c r="E1554" s="711">
        <v>0.2397</v>
      </c>
    </row>
    <row r="1555" spans="1:5" x14ac:dyDescent="0.3">
      <c r="A1555" s="397"/>
      <c r="B1555" s="709">
        <v>102976</v>
      </c>
      <c r="C1555" s="710" t="s">
        <v>1962</v>
      </c>
      <c r="D1555" s="709" t="s">
        <v>230</v>
      </c>
      <c r="E1555" s="711">
        <v>0.12529999999999999</v>
      </c>
    </row>
    <row r="1556" spans="1:5" x14ac:dyDescent="0.3">
      <c r="A1556" s="397"/>
      <c r="B1556" s="709">
        <v>90632</v>
      </c>
      <c r="C1556" s="710" t="s">
        <v>1963</v>
      </c>
      <c r="D1556" s="709" t="s">
        <v>1689</v>
      </c>
      <c r="E1556" s="711">
        <v>0.35120000000000001</v>
      </c>
    </row>
    <row r="1557" spans="1:5" x14ac:dyDescent="0.3">
      <c r="A1557" s="397"/>
      <c r="B1557" s="709">
        <v>90631</v>
      </c>
      <c r="C1557" s="710" t="s">
        <v>1964</v>
      </c>
      <c r="D1557" s="709" t="s">
        <v>230</v>
      </c>
      <c r="E1557" s="711">
        <v>0.21210000000000001</v>
      </c>
    </row>
    <row r="1558" spans="1:5" x14ac:dyDescent="0.3">
      <c r="A1558" s="397"/>
      <c r="B1558" s="709">
        <v>95709</v>
      </c>
      <c r="C1558" s="710" t="s">
        <v>1965</v>
      </c>
      <c r="D1558" s="709" t="s">
        <v>1689</v>
      </c>
      <c r="E1558" s="711">
        <v>0.34899999999999998</v>
      </c>
    </row>
    <row r="1559" spans="1:5" x14ac:dyDescent="0.3">
      <c r="A1559" s="397"/>
      <c r="B1559" s="709">
        <v>95708</v>
      </c>
      <c r="C1559" s="710" t="s">
        <v>1966</v>
      </c>
      <c r="D1559" s="709" t="s">
        <v>230</v>
      </c>
      <c r="E1559" s="711">
        <v>0.2072</v>
      </c>
    </row>
    <row r="1560" spans="1:5" x14ac:dyDescent="0.3">
      <c r="A1560" s="397"/>
      <c r="B1560" s="709">
        <v>91278</v>
      </c>
      <c r="C1560" s="710" t="s">
        <v>1967</v>
      </c>
      <c r="D1560" s="709" t="s">
        <v>1689</v>
      </c>
      <c r="E1560" s="711">
        <v>0</v>
      </c>
    </row>
    <row r="1561" spans="1:5" x14ac:dyDescent="0.3">
      <c r="A1561" s="397"/>
      <c r="B1561" s="709">
        <v>91277</v>
      </c>
      <c r="C1561" s="710" t="s">
        <v>1968</v>
      </c>
      <c r="D1561" s="709" t="s">
        <v>230</v>
      </c>
      <c r="E1561" s="711">
        <v>0</v>
      </c>
    </row>
    <row r="1562" spans="1:5" x14ac:dyDescent="0.3">
      <c r="A1562" s="397"/>
      <c r="B1562" s="709">
        <v>95277</v>
      </c>
      <c r="C1562" s="710" t="s">
        <v>1971</v>
      </c>
      <c r="D1562" s="709" t="s">
        <v>1689</v>
      </c>
      <c r="E1562" s="711">
        <v>0</v>
      </c>
    </row>
    <row r="1563" spans="1:5" x14ac:dyDescent="0.3">
      <c r="A1563" s="397"/>
      <c r="B1563" s="709">
        <v>95276</v>
      </c>
      <c r="C1563" s="710" t="s">
        <v>1972</v>
      </c>
      <c r="D1563" s="709" t="s">
        <v>230</v>
      </c>
      <c r="E1563" s="711">
        <v>0</v>
      </c>
    </row>
    <row r="1564" spans="1:5" x14ac:dyDescent="0.3">
      <c r="A1564" s="397"/>
      <c r="B1564" s="709">
        <v>88430</v>
      </c>
      <c r="C1564" s="710" t="s">
        <v>1973</v>
      </c>
      <c r="D1564" s="709" t="s">
        <v>1689</v>
      </c>
      <c r="E1564" s="711">
        <v>0</v>
      </c>
    </row>
    <row r="1565" spans="1:5" x14ac:dyDescent="0.3">
      <c r="A1565" s="397"/>
      <c r="B1565" s="709">
        <v>88418</v>
      </c>
      <c r="C1565" s="710" t="s">
        <v>1974</v>
      </c>
      <c r="D1565" s="709" t="s">
        <v>230</v>
      </c>
      <c r="E1565" s="711">
        <v>0</v>
      </c>
    </row>
    <row r="1566" spans="1:5" x14ac:dyDescent="0.3">
      <c r="A1566" s="397"/>
      <c r="B1566" s="709">
        <v>88438</v>
      </c>
      <c r="C1566" s="710" t="s">
        <v>1975</v>
      </c>
      <c r="D1566" s="709" t="s">
        <v>1689</v>
      </c>
      <c r="E1566" s="711">
        <v>0</v>
      </c>
    </row>
    <row r="1567" spans="1:5" x14ac:dyDescent="0.3">
      <c r="A1567" s="397"/>
      <c r="B1567" s="709">
        <v>88433</v>
      </c>
      <c r="C1567" s="710" t="s">
        <v>1976</v>
      </c>
      <c r="D1567" s="709" t="s">
        <v>230</v>
      </c>
      <c r="E1567" s="711">
        <v>0</v>
      </c>
    </row>
    <row r="1568" spans="1:5" x14ac:dyDescent="0.3">
      <c r="A1568" s="397"/>
      <c r="B1568" s="709">
        <v>90669</v>
      </c>
      <c r="C1568" s="710" t="s">
        <v>1977</v>
      </c>
      <c r="D1568" s="709" t="s">
        <v>1689</v>
      </c>
      <c r="E1568" s="711">
        <v>0</v>
      </c>
    </row>
    <row r="1569" spans="1:5" x14ac:dyDescent="0.3">
      <c r="A1569" s="397"/>
      <c r="B1569" s="709">
        <v>90668</v>
      </c>
      <c r="C1569" s="710" t="s">
        <v>1978</v>
      </c>
      <c r="D1569" s="709" t="s">
        <v>230</v>
      </c>
      <c r="E1569" s="711">
        <v>0</v>
      </c>
    </row>
    <row r="1570" spans="1:5" x14ac:dyDescent="0.3">
      <c r="A1570" s="397"/>
      <c r="B1570" s="709">
        <v>5946</v>
      </c>
      <c r="C1570" s="710" t="s">
        <v>1981</v>
      </c>
      <c r="D1570" s="709" t="s">
        <v>1689</v>
      </c>
      <c r="E1570" s="711">
        <v>0.34710000000000002</v>
      </c>
    </row>
    <row r="1571" spans="1:5" x14ac:dyDescent="0.3">
      <c r="A1571" s="397"/>
      <c r="B1571" s="709">
        <v>5944</v>
      </c>
      <c r="C1571" s="710" t="s">
        <v>1982</v>
      </c>
      <c r="D1571" s="709" t="s">
        <v>230</v>
      </c>
      <c r="E1571" s="711">
        <v>0.1467</v>
      </c>
    </row>
    <row r="1572" spans="1:5" x14ac:dyDescent="0.3">
      <c r="A1572" s="397"/>
      <c r="B1572" s="709">
        <v>5942</v>
      </c>
      <c r="C1572" s="710" t="s">
        <v>1983</v>
      </c>
      <c r="D1572" s="709" t="s">
        <v>1689</v>
      </c>
      <c r="E1572" s="711">
        <v>0.42430000000000001</v>
      </c>
    </row>
    <row r="1573" spans="1:5" x14ac:dyDescent="0.3">
      <c r="A1573" s="397"/>
      <c r="B1573" s="709">
        <v>5940</v>
      </c>
      <c r="C1573" s="710" t="s">
        <v>1984</v>
      </c>
      <c r="D1573" s="709" t="s">
        <v>230</v>
      </c>
      <c r="E1573" s="711">
        <v>0.1981</v>
      </c>
    </row>
    <row r="1574" spans="1:5" x14ac:dyDescent="0.3">
      <c r="A1574" s="397"/>
      <c r="B1574" s="709">
        <v>89251</v>
      </c>
      <c r="C1574" s="710" t="s">
        <v>1987</v>
      </c>
      <c r="D1574" s="709" t="s">
        <v>1689</v>
      </c>
      <c r="E1574" s="711">
        <v>0.10050000000000001</v>
      </c>
    </row>
    <row r="1575" spans="1:5" x14ac:dyDescent="0.3">
      <c r="A1575" s="397"/>
      <c r="B1575" s="709">
        <v>89250</v>
      </c>
      <c r="C1575" s="710" t="s">
        <v>1988</v>
      </c>
      <c r="D1575" s="709" t="s">
        <v>230</v>
      </c>
      <c r="E1575" s="711">
        <v>0.03</v>
      </c>
    </row>
    <row r="1576" spans="1:5" x14ac:dyDescent="0.3">
      <c r="A1576" s="397"/>
      <c r="B1576" s="709">
        <v>5681</v>
      </c>
      <c r="C1576" s="710" t="s">
        <v>1991</v>
      </c>
      <c r="D1576" s="709" t="s">
        <v>1689</v>
      </c>
      <c r="E1576" s="711">
        <v>0.53659999999999997</v>
      </c>
    </row>
    <row r="1577" spans="1:5" x14ac:dyDescent="0.3">
      <c r="A1577" s="397"/>
      <c r="B1577" s="709">
        <v>5680</v>
      </c>
      <c r="C1577" s="710" t="s">
        <v>1992</v>
      </c>
      <c r="D1577" s="709" t="s">
        <v>230</v>
      </c>
      <c r="E1577" s="711">
        <v>0.2389</v>
      </c>
    </row>
    <row r="1578" spans="1:5" x14ac:dyDescent="0.3">
      <c r="A1578" s="397"/>
      <c r="B1578" s="709">
        <v>5877</v>
      </c>
      <c r="C1578" s="710" t="s">
        <v>1993</v>
      </c>
      <c r="D1578" s="709" t="s">
        <v>1689</v>
      </c>
      <c r="E1578" s="711">
        <v>0.51639999999999997</v>
      </c>
    </row>
    <row r="1579" spans="1:5" x14ac:dyDescent="0.3">
      <c r="A1579" s="397"/>
      <c r="B1579" s="709">
        <v>5875</v>
      </c>
      <c r="C1579" s="710" t="s">
        <v>1994</v>
      </c>
      <c r="D1579" s="709" t="s">
        <v>230</v>
      </c>
      <c r="E1579" s="711">
        <v>0.23799999999999999</v>
      </c>
    </row>
    <row r="1580" spans="1:5" x14ac:dyDescent="0.3">
      <c r="A1580" s="397"/>
      <c r="B1580" s="709">
        <v>5679</v>
      </c>
      <c r="C1580" s="710" t="s">
        <v>1995</v>
      </c>
      <c r="D1580" s="709" t="s">
        <v>1689</v>
      </c>
      <c r="E1580" s="711">
        <v>0.50739999999999996</v>
      </c>
    </row>
    <row r="1581" spans="1:5" x14ac:dyDescent="0.3">
      <c r="A1581" s="397"/>
      <c r="B1581" s="709">
        <v>5678</v>
      </c>
      <c r="C1581" s="710" t="s">
        <v>1996</v>
      </c>
      <c r="D1581" s="709" t="s">
        <v>230</v>
      </c>
      <c r="E1581" s="711">
        <v>0.219</v>
      </c>
    </row>
    <row r="1582" spans="1:5" x14ac:dyDescent="0.3">
      <c r="A1582" s="397"/>
      <c r="B1582" s="709">
        <v>6880</v>
      </c>
      <c r="C1582" s="710" t="s">
        <v>1997</v>
      </c>
      <c r="D1582" s="709" t="s">
        <v>1689</v>
      </c>
      <c r="E1582" s="711">
        <v>0.33879999999999999</v>
      </c>
    </row>
    <row r="1583" spans="1:5" x14ac:dyDescent="0.3">
      <c r="A1583" s="397"/>
      <c r="B1583" s="709">
        <v>6879</v>
      </c>
      <c r="C1583" s="710" t="s">
        <v>1998</v>
      </c>
      <c r="D1583" s="709" t="s">
        <v>230</v>
      </c>
      <c r="E1583" s="711">
        <v>0.14019999999999999</v>
      </c>
    </row>
    <row r="1584" spans="1:5" x14ac:dyDescent="0.3">
      <c r="A1584" s="397"/>
      <c r="B1584" s="709">
        <v>96464</v>
      </c>
      <c r="C1584" s="710" t="s">
        <v>1999</v>
      </c>
      <c r="D1584" s="709" t="s">
        <v>1689</v>
      </c>
      <c r="E1584" s="711">
        <v>0.3256</v>
      </c>
    </row>
    <row r="1585" spans="1:5" x14ac:dyDescent="0.3">
      <c r="A1585" s="397"/>
      <c r="B1585" s="709">
        <v>96463</v>
      </c>
      <c r="C1585" s="710" t="s">
        <v>2000</v>
      </c>
      <c r="D1585" s="709" t="s">
        <v>230</v>
      </c>
      <c r="E1585" s="711">
        <v>0.1361</v>
      </c>
    </row>
    <row r="1586" spans="1:5" x14ac:dyDescent="0.3">
      <c r="A1586" s="397"/>
      <c r="B1586" s="709">
        <v>7050</v>
      </c>
      <c r="C1586" s="710" t="s">
        <v>2001</v>
      </c>
      <c r="D1586" s="709" t="s">
        <v>1689</v>
      </c>
      <c r="E1586" s="711">
        <v>0.3659</v>
      </c>
    </row>
    <row r="1587" spans="1:5" x14ac:dyDescent="0.3">
      <c r="A1587" s="397"/>
      <c r="B1587" s="709">
        <v>7049</v>
      </c>
      <c r="C1587" s="710" t="s">
        <v>2002</v>
      </c>
      <c r="D1587" s="709" t="s">
        <v>230</v>
      </c>
      <c r="E1587" s="711">
        <v>0.13220000000000001</v>
      </c>
    </row>
    <row r="1588" spans="1:5" x14ac:dyDescent="0.3">
      <c r="A1588" s="397"/>
      <c r="B1588" s="709">
        <v>95632</v>
      </c>
      <c r="C1588" s="710" t="s">
        <v>2003</v>
      </c>
      <c r="D1588" s="709" t="s">
        <v>1689</v>
      </c>
      <c r="E1588" s="711">
        <v>0.34870000000000001</v>
      </c>
    </row>
    <row r="1589" spans="1:5" x14ac:dyDescent="0.3">
      <c r="A1589" s="397"/>
      <c r="B1589" s="709">
        <v>95631</v>
      </c>
      <c r="C1589" s="710" t="s">
        <v>2004</v>
      </c>
      <c r="D1589" s="709" t="s">
        <v>230</v>
      </c>
      <c r="E1589" s="711">
        <v>0.12759999999999999</v>
      </c>
    </row>
    <row r="1590" spans="1:5" x14ac:dyDescent="0.3">
      <c r="A1590" s="397"/>
      <c r="B1590" s="709">
        <v>5685</v>
      </c>
      <c r="C1590" s="710" t="s">
        <v>2005</v>
      </c>
      <c r="D1590" s="709" t="s">
        <v>1689</v>
      </c>
      <c r="E1590" s="711">
        <v>0.44479999999999997</v>
      </c>
    </row>
    <row r="1591" spans="1:5" x14ac:dyDescent="0.3">
      <c r="A1591" s="397"/>
      <c r="B1591" s="709">
        <v>5684</v>
      </c>
      <c r="C1591" s="710" t="s">
        <v>2006</v>
      </c>
      <c r="D1591" s="709" t="s">
        <v>230</v>
      </c>
      <c r="E1591" s="711">
        <v>0.1825</v>
      </c>
    </row>
    <row r="1592" spans="1:5" x14ac:dyDescent="0.3">
      <c r="A1592" s="397"/>
      <c r="B1592" s="709">
        <v>93244</v>
      </c>
      <c r="C1592" s="710" t="s">
        <v>2007</v>
      </c>
      <c r="D1592" s="709" t="s">
        <v>1689</v>
      </c>
      <c r="E1592" s="711">
        <v>0.43480000000000002</v>
      </c>
    </row>
    <row r="1593" spans="1:5" x14ac:dyDescent="0.3">
      <c r="A1593" s="397"/>
      <c r="B1593" s="709">
        <v>73436</v>
      </c>
      <c r="C1593" s="710" t="s">
        <v>2008</v>
      </c>
      <c r="D1593" s="709" t="s">
        <v>230</v>
      </c>
      <c r="E1593" s="711">
        <v>0.1792</v>
      </c>
    </row>
    <row r="1594" spans="1:5" x14ac:dyDescent="0.3">
      <c r="A1594" s="397"/>
      <c r="B1594" s="709">
        <v>5881</v>
      </c>
      <c r="C1594" s="710" t="s">
        <v>2009</v>
      </c>
      <c r="D1594" s="709" t="s">
        <v>1689</v>
      </c>
      <c r="E1594" s="711">
        <v>0.36959999999999998</v>
      </c>
    </row>
    <row r="1595" spans="1:5" x14ac:dyDescent="0.3">
      <c r="A1595" s="397"/>
      <c r="B1595" s="709">
        <v>5879</v>
      </c>
      <c r="C1595" s="710" t="s">
        <v>2010</v>
      </c>
      <c r="D1595" s="709" t="s">
        <v>230</v>
      </c>
      <c r="E1595" s="711">
        <v>0.20799999999999999</v>
      </c>
    </row>
    <row r="1596" spans="1:5" x14ac:dyDescent="0.3">
      <c r="A1596" s="397"/>
      <c r="B1596" s="709">
        <v>5865</v>
      </c>
      <c r="C1596" s="710" t="s">
        <v>2011</v>
      </c>
      <c r="D1596" s="709" t="s">
        <v>1689</v>
      </c>
      <c r="E1596" s="711">
        <v>0</v>
      </c>
    </row>
    <row r="1597" spans="1:5" x14ac:dyDescent="0.3">
      <c r="A1597" s="397"/>
      <c r="B1597" s="709">
        <v>5863</v>
      </c>
      <c r="C1597" s="710" t="s">
        <v>2012</v>
      </c>
      <c r="D1597" s="709" t="s">
        <v>230</v>
      </c>
      <c r="E1597" s="711">
        <v>0</v>
      </c>
    </row>
    <row r="1598" spans="1:5" x14ac:dyDescent="0.3">
      <c r="A1598" s="397"/>
      <c r="B1598" s="709">
        <v>5869</v>
      </c>
      <c r="C1598" s="710" t="s">
        <v>2013</v>
      </c>
      <c r="D1598" s="709" t="s">
        <v>1689</v>
      </c>
      <c r="E1598" s="711">
        <v>0.39479999999999998</v>
      </c>
    </row>
    <row r="1599" spans="1:5" x14ac:dyDescent="0.3">
      <c r="A1599" s="397"/>
      <c r="B1599" s="709">
        <v>5867</v>
      </c>
      <c r="C1599" s="710" t="s">
        <v>2014</v>
      </c>
      <c r="D1599" s="709" t="s">
        <v>230</v>
      </c>
      <c r="E1599" s="711">
        <v>0.18260000000000001</v>
      </c>
    </row>
    <row r="1600" spans="1:5" x14ac:dyDescent="0.3">
      <c r="A1600" s="397"/>
      <c r="B1600" s="709">
        <v>95271</v>
      </c>
      <c r="C1600" s="710" t="s">
        <v>2015</v>
      </c>
      <c r="D1600" s="709" t="s">
        <v>1689</v>
      </c>
      <c r="E1600" s="711">
        <v>0</v>
      </c>
    </row>
    <row r="1601" spans="1:5" x14ac:dyDescent="0.3">
      <c r="A1601" s="397"/>
      <c r="B1601" s="709">
        <v>95270</v>
      </c>
      <c r="C1601" s="710" t="s">
        <v>2016</v>
      </c>
      <c r="D1601" s="709" t="s">
        <v>230</v>
      </c>
      <c r="E1601" s="711">
        <v>0</v>
      </c>
    </row>
    <row r="1602" spans="1:5" x14ac:dyDescent="0.3">
      <c r="A1602" s="397"/>
      <c r="B1602" s="709">
        <v>91693</v>
      </c>
      <c r="C1602" s="710" t="s">
        <v>2017</v>
      </c>
      <c r="D1602" s="709" t="s">
        <v>1689</v>
      </c>
      <c r="E1602" s="711">
        <v>0.99670000000000003</v>
      </c>
    </row>
    <row r="1603" spans="1:5" x14ac:dyDescent="0.3">
      <c r="A1603" s="397"/>
      <c r="B1603" s="709">
        <v>91692</v>
      </c>
      <c r="C1603" s="710" t="s">
        <v>2018</v>
      </c>
      <c r="D1603" s="709" t="s">
        <v>230</v>
      </c>
      <c r="E1603" s="711">
        <v>0.95689999999999997</v>
      </c>
    </row>
    <row r="1604" spans="1:5" x14ac:dyDescent="0.3">
      <c r="A1604" s="397"/>
      <c r="B1604" s="709">
        <v>95140</v>
      </c>
      <c r="C1604" s="710" t="s">
        <v>2021</v>
      </c>
      <c r="D1604" s="709" t="s">
        <v>1689</v>
      </c>
      <c r="E1604" s="711">
        <v>0</v>
      </c>
    </row>
    <row r="1605" spans="1:5" x14ac:dyDescent="0.3">
      <c r="A1605" s="397"/>
      <c r="B1605" s="709">
        <v>95139</v>
      </c>
      <c r="C1605" s="710" t="s">
        <v>2022</v>
      </c>
      <c r="D1605" s="709" t="s">
        <v>230</v>
      </c>
      <c r="E1605" s="711">
        <v>0</v>
      </c>
    </row>
    <row r="1606" spans="1:5" x14ac:dyDescent="0.3">
      <c r="A1606" s="397"/>
      <c r="B1606" s="709">
        <v>89027</v>
      </c>
      <c r="C1606" s="710" t="s">
        <v>2023</v>
      </c>
      <c r="D1606" s="709" t="s">
        <v>1689</v>
      </c>
      <c r="E1606" s="711">
        <v>0</v>
      </c>
    </row>
    <row r="1607" spans="1:5" x14ac:dyDescent="0.3">
      <c r="A1607" s="397"/>
      <c r="B1607" s="709">
        <v>89028</v>
      </c>
      <c r="C1607" s="710" t="s">
        <v>2024</v>
      </c>
      <c r="D1607" s="709" t="s">
        <v>230</v>
      </c>
      <c r="E1607" s="711">
        <v>0</v>
      </c>
    </row>
    <row r="1608" spans="1:5" x14ac:dyDescent="0.3">
      <c r="A1608" s="397"/>
      <c r="B1608" s="709">
        <v>7031</v>
      </c>
      <c r="C1608" s="710" t="s">
        <v>2025</v>
      </c>
      <c r="D1608" s="709" t="s">
        <v>1689</v>
      </c>
      <c r="E1608" s="711">
        <v>0</v>
      </c>
    </row>
    <row r="1609" spans="1:5" x14ac:dyDescent="0.3">
      <c r="A1609" s="397"/>
      <c r="B1609" s="709">
        <v>7030</v>
      </c>
      <c r="C1609" s="710" t="s">
        <v>2026</v>
      </c>
      <c r="D1609" s="709" t="s">
        <v>230</v>
      </c>
      <c r="E1609" s="711">
        <v>0</v>
      </c>
    </row>
    <row r="1610" spans="1:5" x14ac:dyDescent="0.3">
      <c r="A1610" s="397"/>
      <c r="B1610" s="709">
        <v>104092</v>
      </c>
      <c r="C1610" s="710" t="s">
        <v>2029</v>
      </c>
      <c r="D1610" s="709" t="s">
        <v>1689</v>
      </c>
      <c r="E1610" s="711">
        <v>0</v>
      </c>
    </row>
    <row r="1611" spans="1:5" x14ac:dyDescent="0.3">
      <c r="A1611" s="397"/>
      <c r="B1611" s="709">
        <v>104091</v>
      </c>
      <c r="C1611" s="710" t="s">
        <v>2030</v>
      </c>
      <c r="D1611" s="709" t="s">
        <v>230</v>
      </c>
      <c r="E1611" s="711">
        <v>0</v>
      </c>
    </row>
    <row r="1612" spans="1:5" x14ac:dyDescent="0.3">
      <c r="A1612" s="397"/>
      <c r="B1612" s="709">
        <v>104098</v>
      </c>
      <c r="C1612" s="710" t="s">
        <v>2031</v>
      </c>
      <c r="D1612" s="709" t="s">
        <v>1689</v>
      </c>
      <c r="E1612" s="711">
        <v>0</v>
      </c>
    </row>
    <row r="1613" spans="1:5" x14ac:dyDescent="0.3">
      <c r="A1613" s="397"/>
      <c r="B1613" s="709">
        <v>104097</v>
      </c>
      <c r="C1613" s="710" t="s">
        <v>2032</v>
      </c>
      <c r="D1613" s="709" t="s">
        <v>230</v>
      </c>
      <c r="E1613" s="711">
        <v>0</v>
      </c>
    </row>
    <row r="1614" spans="1:5" x14ac:dyDescent="0.3">
      <c r="A1614" s="397"/>
      <c r="B1614" s="709">
        <v>89031</v>
      </c>
      <c r="C1614" s="710" t="s">
        <v>2035</v>
      </c>
      <c r="D1614" s="709" t="s">
        <v>1689</v>
      </c>
      <c r="E1614" s="711">
        <v>0.43709999999999999</v>
      </c>
    </row>
    <row r="1615" spans="1:5" x14ac:dyDescent="0.3">
      <c r="A1615" s="397"/>
      <c r="B1615" s="709">
        <v>89032</v>
      </c>
      <c r="C1615" s="710" t="s">
        <v>2036</v>
      </c>
      <c r="D1615" s="709" t="s">
        <v>230</v>
      </c>
      <c r="E1615" s="711">
        <v>0.17330000000000001</v>
      </c>
    </row>
    <row r="1616" spans="1:5" x14ac:dyDescent="0.3">
      <c r="A1616" s="397"/>
      <c r="B1616" s="709">
        <v>88844</v>
      </c>
      <c r="C1616" s="710" t="s">
        <v>2037</v>
      </c>
      <c r="D1616" s="709" t="s">
        <v>1689</v>
      </c>
      <c r="E1616" s="711">
        <v>0.4259</v>
      </c>
    </row>
    <row r="1617" spans="1:5" x14ac:dyDescent="0.3">
      <c r="A1617" s="397"/>
      <c r="B1617" s="709">
        <v>88843</v>
      </c>
      <c r="C1617" s="710" t="s">
        <v>2038</v>
      </c>
      <c r="D1617" s="709" t="s">
        <v>230</v>
      </c>
      <c r="E1617" s="711">
        <v>0.15679999999999999</v>
      </c>
    </row>
    <row r="1618" spans="1:5" x14ac:dyDescent="0.3">
      <c r="A1618" s="397"/>
      <c r="B1618" s="709">
        <v>5853</v>
      </c>
      <c r="C1618" s="710" t="s">
        <v>2039</v>
      </c>
      <c r="D1618" s="709" t="s">
        <v>1689</v>
      </c>
      <c r="E1618" s="711">
        <v>0.37459999999999999</v>
      </c>
    </row>
    <row r="1619" spans="1:5" x14ac:dyDescent="0.3">
      <c r="A1619" s="397"/>
      <c r="B1619" s="709">
        <v>5851</v>
      </c>
      <c r="C1619" s="710" t="s">
        <v>2040</v>
      </c>
      <c r="D1619" s="709" t="s">
        <v>230</v>
      </c>
      <c r="E1619" s="711">
        <v>0.1321</v>
      </c>
    </row>
    <row r="1620" spans="1:5" x14ac:dyDescent="0.3">
      <c r="A1620" s="397"/>
      <c r="B1620" s="709">
        <v>5849</v>
      </c>
      <c r="C1620" s="710" t="s">
        <v>2041</v>
      </c>
      <c r="D1620" s="709" t="s">
        <v>1689</v>
      </c>
      <c r="E1620" s="711">
        <v>0.376</v>
      </c>
    </row>
    <row r="1621" spans="1:5" x14ac:dyDescent="0.3">
      <c r="A1621" s="397"/>
      <c r="B1621" s="709">
        <v>5847</v>
      </c>
      <c r="C1621" s="710" t="s">
        <v>2042</v>
      </c>
      <c r="D1621" s="709" t="s">
        <v>230</v>
      </c>
      <c r="E1621" s="711">
        <v>0.12620000000000001</v>
      </c>
    </row>
    <row r="1622" spans="1:5" x14ac:dyDescent="0.3">
      <c r="A1622" s="397"/>
      <c r="B1622" s="709">
        <v>5857</v>
      </c>
      <c r="C1622" s="710" t="s">
        <v>2043</v>
      </c>
      <c r="D1622" s="709" t="s">
        <v>1689</v>
      </c>
      <c r="E1622" s="711">
        <v>0.1545</v>
      </c>
    </row>
    <row r="1623" spans="1:5" x14ac:dyDescent="0.3">
      <c r="A1623" s="397"/>
      <c r="B1623" s="709">
        <v>5855</v>
      </c>
      <c r="C1623" s="710" t="s">
        <v>2044</v>
      </c>
      <c r="D1623" s="709" t="s">
        <v>230</v>
      </c>
      <c r="E1623" s="711">
        <v>5.0500000000000003E-2</v>
      </c>
    </row>
    <row r="1624" spans="1:5" x14ac:dyDescent="0.3">
      <c r="A1624" s="397"/>
      <c r="B1624" s="709">
        <v>96021</v>
      </c>
      <c r="C1624" s="710" t="s">
        <v>2045</v>
      </c>
      <c r="D1624" s="709" t="s">
        <v>1689</v>
      </c>
      <c r="E1624" s="711">
        <v>0.54790000000000005</v>
      </c>
    </row>
    <row r="1625" spans="1:5" x14ac:dyDescent="0.3">
      <c r="A1625" s="397"/>
      <c r="B1625" s="709">
        <v>96020</v>
      </c>
      <c r="C1625" s="710" t="s">
        <v>2046</v>
      </c>
      <c r="D1625" s="709" t="s">
        <v>230</v>
      </c>
      <c r="E1625" s="711">
        <v>0.18329999999999999</v>
      </c>
    </row>
    <row r="1626" spans="1:5" x14ac:dyDescent="0.3">
      <c r="A1626" s="397"/>
      <c r="B1626" s="709">
        <v>96014</v>
      </c>
      <c r="C1626" s="710" t="s">
        <v>2047</v>
      </c>
      <c r="D1626" s="709" t="s">
        <v>1689</v>
      </c>
      <c r="E1626" s="711">
        <v>0.54520000000000002</v>
      </c>
    </row>
    <row r="1627" spans="1:5" x14ac:dyDescent="0.3">
      <c r="A1627" s="397"/>
      <c r="B1627" s="709">
        <v>96013</v>
      </c>
      <c r="C1627" s="710" t="s">
        <v>2048</v>
      </c>
      <c r="D1627" s="709" t="s">
        <v>230</v>
      </c>
      <c r="E1627" s="711">
        <v>0.18279999999999999</v>
      </c>
    </row>
    <row r="1628" spans="1:5" x14ac:dyDescent="0.3">
      <c r="A1628" s="397"/>
      <c r="B1628" s="709">
        <v>96029</v>
      </c>
      <c r="C1628" s="710" t="s">
        <v>2049</v>
      </c>
      <c r="D1628" s="709" t="s">
        <v>1689</v>
      </c>
      <c r="E1628" s="711">
        <v>0.60770000000000002</v>
      </c>
    </row>
    <row r="1629" spans="1:5" x14ac:dyDescent="0.3">
      <c r="A1629" s="397"/>
      <c r="B1629" s="709">
        <v>96028</v>
      </c>
      <c r="C1629" s="710" t="s">
        <v>2050</v>
      </c>
      <c r="D1629" s="709" t="s">
        <v>230</v>
      </c>
      <c r="E1629" s="711">
        <v>0.2361</v>
      </c>
    </row>
    <row r="1630" spans="1:5" x14ac:dyDescent="0.3">
      <c r="A1630" s="397"/>
      <c r="B1630" s="709">
        <v>96155</v>
      </c>
      <c r="C1630" s="710" t="s">
        <v>2051</v>
      </c>
      <c r="D1630" s="709" t="s">
        <v>1689</v>
      </c>
      <c r="E1630" s="711">
        <v>0.60429999999999995</v>
      </c>
    </row>
    <row r="1631" spans="1:5" x14ac:dyDescent="0.3">
      <c r="A1631" s="397"/>
      <c r="B1631" s="709">
        <v>96157</v>
      </c>
      <c r="C1631" s="710" t="s">
        <v>2052</v>
      </c>
      <c r="D1631" s="709" t="s">
        <v>230</v>
      </c>
      <c r="E1631" s="711">
        <v>0.23519999999999999</v>
      </c>
    </row>
    <row r="1632" spans="1:5" x14ac:dyDescent="0.3">
      <c r="A1632" s="397"/>
      <c r="B1632" s="709">
        <v>5845</v>
      </c>
      <c r="C1632" s="710" t="s">
        <v>2053</v>
      </c>
      <c r="D1632" s="709" t="s">
        <v>1689</v>
      </c>
      <c r="E1632" s="711">
        <v>0.59819999999999995</v>
      </c>
    </row>
    <row r="1633" spans="1:5" x14ac:dyDescent="0.3">
      <c r="A1633" s="397"/>
      <c r="B1633" s="709">
        <v>5843</v>
      </c>
      <c r="C1633" s="710" t="s">
        <v>2054</v>
      </c>
      <c r="D1633" s="709" t="s">
        <v>230</v>
      </c>
      <c r="E1633" s="711">
        <v>0.19350000000000001</v>
      </c>
    </row>
    <row r="1634" spans="1:5" x14ac:dyDescent="0.3">
      <c r="A1634" s="397"/>
      <c r="B1634" s="709">
        <v>89036</v>
      </c>
      <c r="C1634" s="710" t="s">
        <v>2055</v>
      </c>
      <c r="D1634" s="709" t="s">
        <v>1689</v>
      </c>
      <c r="E1634" s="711">
        <v>0.67049999999999998</v>
      </c>
    </row>
    <row r="1635" spans="1:5" x14ac:dyDescent="0.3">
      <c r="A1635" s="397"/>
      <c r="B1635" s="709">
        <v>89035</v>
      </c>
      <c r="C1635" s="710" t="s">
        <v>2056</v>
      </c>
      <c r="D1635" s="709" t="s">
        <v>230</v>
      </c>
      <c r="E1635" s="711">
        <v>0.25330000000000003</v>
      </c>
    </row>
    <row r="1636" spans="1:5" x14ac:dyDescent="0.3">
      <c r="A1636" s="397"/>
      <c r="B1636" s="709">
        <v>93440</v>
      </c>
      <c r="C1636" s="710" t="s">
        <v>2059</v>
      </c>
      <c r="D1636" s="709" t="s">
        <v>1689</v>
      </c>
      <c r="E1636" s="711">
        <v>0.92159999999999997</v>
      </c>
    </row>
    <row r="1637" spans="1:5" x14ac:dyDescent="0.3">
      <c r="A1637" s="397"/>
      <c r="B1637" s="709">
        <v>93439</v>
      </c>
      <c r="C1637" s="710" t="s">
        <v>2060</v>
      </c>
      <c r="D1637" s="709" t="s">
        <v>230</v>
      </c>
      <c r="E1637" s="711">
        <v>0.51060000000000005</v>
      </c>
    </row>
    <row r="1638" spans="1:5" x14ac:dyDescent="0.3">
      <c r="A1638" s="397"/>
      <c r="B1638" s="709">
        <v>100648</v>
      </c>
      <c r="C1638" s="710" t="s">
        <v>2061</v>
      </c>
      <c r="D1638" s="709" t="s">
        <v>1689</v>
      </c>
      <c r="E1638" s="711">
        <v>7.4200000000000002E-2</v>
      </c>
    </row>
    <row r="1639" spans="1:5" x14ac:dyDescent="0.3">
      <c r="A1639" s="397"/>
      <c r="B1639" s="709">
        <v>100647</v>
      </c>
      <c r="C1639" s="710" t="s">
        <v>2062</v>
      </c>
      <c r="D1639" s="709" t="s">
        <v>230</v>
      </c>
      <c r="E1639" s="711">
        <v>6.7000000000000002E-3</v>
      </c>
    </row>
    <row r="1640" spans="1:5" x14ac:dyDescent="0.3">
      <c r="A1640" s="397"/>
      <c r="B1640" s="709">
        <v>5829</v>
      </c>
      <c r="C1640" s="710" t="s">
        <v>2063</v>
      </c>
      <c r="D1640" s="709" t="s">
        <v>1689</v>
      </c>
      <c r="E1640" s="711">
        <v>0.77590000000000003</v>
      </c>
    </row>
    <row r="1641" spans="1:5" x14ac:dyDescent="0.3">
      <c r="A1641" s="397"/>
      <c r="B1641" s="709">
        <v>5823</v>
      </c>
      <c r="C1641" s="710" t="s">
        <v>2064</v>
      </c>
      <c r="D1641" s="709" t="s">
        <v>230</v>
      </c>
      <c r="E1641" s="711">
        <v>0.5897</v>
      </c>
    </row>
    <row r="1642" spans="1:5" x14ac:dyDescent="0.3">
      <c r="A1642" s="397"/>
      <c r="B1642" s="709">
        <v>106095</v>
      </c>
      <c r="C1642" s="710" t="s">
        <v>2065</v>
      </c>
      <c r="D1642" s="709" t="s">
        <v>1689</v>
      </c>
      <c r="E1642" s="711">
        <v>0.25119999999999998</v>
      </c>
    </row>
    <row r="1643" spans="1:5" x14ac:dyDescent="0.3">
      <c r="A1643" s="397"/>
      <c r="B1643" s="709">
        <v>106094</v>
      </c>
      <c r="C1643" s="710" t="s">
        <v>2066</v>
      </c>
      <c r="D1643" s="709" t="s">
        <v>230</v>
      </c>
      <c r="E1643" s="711">
        <v>8.1100000000000005E-2</v>
      </c>
    </row>
    <row r="1644" spans="1:5" x14ac:dyDescent="0.3">
      <c r="A1644" s="397"/>
      <c r="B1644" s="709">
        <v>100642</v>
      </c>
      <c r="C1644" s="710" t="s">
        <v>2067</v>
      </c>
      <c r="D1644" s="709" t="s">
        <v>1689</v>
      </c>
      <c r="E1644" s="711">
        <v>0.1452</v>
      </c>
    </row>
    <row r="1645" spans="1:5" x14ac:dyDescent="0.3">
      <c r="A1645" s="397"/>
      <c r="B1645" s="709">
        <v>100641</v>
      </c>
      <c r="C1645" s="710" t="s">
        <v>2068</v>
      </c>
      <c r="D1645" s="709" t="s">
        <v>230</v>
      </c>
      <c r="E1645" s="711">
        <v>9.1000000000000004E-3</v>
      </c>
    </row>
    <row r="1646" spans="1:5" x14ac:dyDescent="0.3">
      <c r="A1646" s="397"/>
      <c r="B1646" s="709">
        <v>93434</v>
      </c>
      <c r="C1646" s="710" t="s">
        <v>2069</v>
      </c>
      <c r="D1646" s="709" t="s">
        <v>1689</v>
      </c>
      <c r="E1646" s="711">
        <v>0.39779999999999999</v>
      </c>
    </row>
    <row r="1647" spans="1:5" x14ac:dyDescent="0.3">
      <c r="A1647" s="397"/>
      <c r="B1647" s="709">
        <v>93433</v>
      </c>
      <c r="C1647" s="710" t="s">
        <v>2070</v>
      </c>
      <c r="D1647" s="709" t="s">
        <v>230</v>
      </c>
      <c r="E1647" s="711">
        <v>5.1700000000000003E-2</v>
      </c>
    </row>
    <row r="1648" spans="1:5" x14ac:dyDescent="0.3">
      <c r="A1648" s="397"/>
      <c r="B1648" s="709">
        <v>95122</v>
      </c>
      <c r="C1648" s="710" t="s">
        <v>2071</v>
      </c>
      <c r="D1648" s="709" t="s">
        <v>1689</v>
      </c>
      <c r="E1648" s="711">
        <v>0.59</v>
      </c>
    </row>
    <row r="1649" spans="1:5" x14ac:dyDescent="0.3">
      <c r="A1649" s="397"/>
      <c r="B1649" s="709">
        <v>95121</v>
      </c>
      <c r="C1649" s="710" t="s">
        <v>2072</v>
      </c>
      <c r="D1649" s="709" t="s">
        <v>230</v>
      </c>
      <c r="E1649" s="711">
        <v>0.36770000000000003</v>
      </c>
    </row>
    <row r="1650" spans="1:5" x14ac:dyDescent="0.3">
      <c r="A1650" s="397"/>
      <c r="B1650" s="709">
        <v>5841</v>
      </c>
      <c r="C1650" s="710" t="s">
        <v>2075</v>
      </c>
      <c r="D1650" s="709" t="s">
        <v>1689</v>
      </c>
      <c r="E1650" s="711">
        <v>0</v>
      </c>
    </row>
    <row r="1651" spans="1:5" x14ac:dyDescent="0.3">
      <c r="A1651" s="397"/>
      <c r="B1651" s="709">
        <v>5839</v>
      </c>
      <c r="C1651" s="710" t="s">
        <v>2076</v>
      </c>
      <c r="D1651" s="709" t="s">
        <v>230</v>
      </c>
      <c r="E1651" s="711">
        <v>0</v>
      </c>
    </row>
    <row r="1652" spans="1:5" x14ac:dyDescent="0.3">
      <c r="A1652" s="397"/>
      <c r="B1652" s="709">
        <v>90587</v>
      </c>
      <c r="C1652" s="710" t="s">
        <v>2077</v>
      </c>
      <c r="D1652" s="709" t="s">
        <v>1689</v>
      </c>
      <c r="E1652" s="711">
        <v>0</v>
      </c>
    </row>
    <row r="1653" spans="1:5" x14ac:dyDescent="0.3">
      <c r="A1653" s="397"/>
      <c r="B1653" s="709">
        <v>90586</v>
      </c>
      <c r="C1653" s="710" t="s">
        <v>2078</v>
      </c>
      <c r="D1653" s="709" t="s">
        <v>230</v>
      </c>
      <c r="E1653" s="711">
        <v>0</v>
      </c>
    </row>
    <row r="1654" spans="1:5" x14ac:dyDescent="0.3">
      <c r="A1654" s="397"/>
      <c r="B1654" s="709">
        <v>106392</v>
      </c>
      <c r="C1654" s="710" t="s">
        <v>13339</v>
      </c>
      <c r="D1654" s="709" t="s">
        <v>1689</v>
      </c>
      <c r="E1654" s="711">
        <v>0.2702</v>
      </c>
    </row>
    <row r="1655" spans="1:5" x14ac:dyDescent="0.3">
      <c r="A1655" s="397"/>
      <c r="B1655" s="709">
        <v>106389</v>
      </c>
      <c r="C1655" s="710" t="s">
        <v>13340</v>
      </c>
      <c r="D1655" s="709" t="s">
        <v>230</v>
      </c>
      <c r="E1655" s="711">
        <v>0.10349999999999999</v>
      </c>
    </row>
    <row r="1656" spans="1:5" x14ac:dyDescent="0.3">
      <c r="A1656" s="397"/>
      <c r="B1656" s="709">
        <v>106391</v>
      </c>
      <c r="C1656" s="710" t="s">
        <v>13341</v>
      </c>
      <c r="D1656" s="709" t="s">
        <v>1689</v>
      </c>
      <c r="E1656" s="711">
        <v>0.13569999999999999</v>
      </c>
    </row>
    <row r="1657" spans="1:5" x14ac:dyDescent="0.3">
      <c r="A1657" s="397"/>
      <c r="B1657" s="709">
        <v>106388</v>
      </c>
      <c r="C1657" s="710" t="s">
        <v>13342</v>
      </c>
      <c r="D1657" s="709" t="s">
        <v>230</v>
      </c>
      <c r="E1657" s="711">
        <v>5.4699999999999999E-2</v>
      </c>
    </row>
    <row r="1658" spans="1:5" x14ac:dyDescent="0.3">
      <c r="A1658" s="397"/>
      <c r="B1658" s="709">
        <v>5837</v>
      </c>
      <c r="C1658" s="710" t="s">
        <v>2079</v>
      </c>
      <c r="D1658" s="709" t="s">
        <v>1689</v>
      </c>
      <c r="E1658" s="711">
        <v>0.2341</v>
      </c>
    </row>
    <row r="1659" spans="1:5" x14ac:dyDescent="0.3">
      <c r="A1659" s="397"/>
      <c r="B1659" s="709">
        <v>5835</v>
      </c>
      <c r="C1659" s="710" t="s">
        <v>2080</v>
      </c>
      <c r="D1659" s="709" t="s">
        <v>230</v>
      </c>
      <c r="E1659" s="711">
        <v>9.2700000000000005E-2</v>
      </c>
    </row>
    <row r="1660" spans="1:5" x14ac:dyDescent="0.3">
      <c r="A1660" s="397"/>
      <c r="B1660" s="709">
        <v>89257</v>
      </c>
      <c r="C1660" s="710" t="s">
        <v>2081</v>
      </c>
      <c r="D1660" s="709" t="s">
        <v>230</v>
      </c>
      <c r="E1660" s="711">
        <v>0.1067</v>
      </c>
    </row>
    <row r="1661" spans="1:5" x14ac:dyDescent="0.3">
      <c r="A1661" s="397"/>
      <c r="B1661" s="709">
        <v>89258</v>
      </c>
      <c r="C1661" s="710" t="s">
        <v>2082</v>
      </c>
      <c r="D1661" s="709" t="s">
        <v>1689</v>
      </c>
      <c r="E1661" s="711">
        <v>0.27160000000000001</v>
      </c>
    </row>
    <row r="1662" spans="1:5" x14ac:dyDescent="0.3">
      <c r="A1662" s="397"/>
      <c r="B1662" s="709">
        <v>106393</v>
      </c>
      <c r="C1662" s="710" t="s">
        <v>13343</v>
      </c>
      <c r="D1662" s="709" t="s">
        <v>1689</v>
      </c>
      <c r="E1662" s="711">
        <v>0.23780000000000001</v>
      </c>
    </row>
    <row r="1663" spans="1:5" x14ac:dyDescent="0.3">
      <c r="A1663" s="397"/>
      <c r="B1663" s="709">
        <v>106390</v>
      </c>
      <c r="C1663" s="710" t="s">
        <v>13344</v>
      </c>
      <c r="D1663" s="709" t="s">
        <v>230</v>
      </c>
      <c r="E1663" s="711">
        <v>9.7299999999999998E-2</v>
      </c>
    </row>
    <row r="1664" spans="1:5" x14ac:dyDescent="0.3">
      <c r="A1664" s="397"/>
      <c r="B1664" s="709">
        <v>97621</v>
      </c>
      <c r="C1664" s="710" t="s">
        <v>2083</v>
      </c>
      <c r="D1664" s="709" t="s">
        <v>170</v>
      </c>
      <c r="E1664" s="711">
        <v>1</v>
      </c>
    </row>
    <row r="1665" spans="1:5" x14ac:dyDescent="0.3">
      <c r="A1665" s="397"/>
      <c r="B1665" s="709">
        <v>97622</v>
      </c>
      <c r="C1665" s="710" t="s">
        <v>2084</v>
      </c>
      <c r="D1665" s="709" t="s">
        <v>170</v>
      </c>
      <c r="E1665" s="711">
        <v>1</v>
      </c>
    </row>
    <row r="1666" spans="1:5" x14ac:dyDescent="0.3">
      <c r="A1666" s="397"/>
      <c r="B1666" s="709">
        <v>97623</v>
      </c>
      <c r="C1666" s="710" t="s">
        <v>2085</v>
      </c>
      <c r="D1666" s="709" t="s">
        <v>170</v>
      </c>
      <c r="E1666" s="711">
        <v>1</v>
      </c>
    </row>
    <row r="1667" spans="1:5" x14ac:dyDescent="0.3">
      <c r="A1667" s="397"/>
      <c r="B1667" s="709">
        <v>97624</v>
      </c>
      <c r="C1667" s="710" t="s">
        <v>288</v>
      </c>
      <c r="D1667" s="709" t="s">
        <v>170</v>
      </c>
      <c r="E1667" s="711">
        <v>1</v>
      </c>
    </row>
    <row r="1668" spans="1:5" x14ac:dyDescent="0.3">
      <c r="A1668" s="397"/>
      <c r="B1668" s="709">
        <v>97625</v>
      </c>
      <c r="C1668" s="710" t="s">
        <v>2086</v>
      </c>
      <c r="D1668" s="709" t="s">
        <v>170</v>
      </c>
      <c r="E1668" s="711">
        <v>0.24629999999999999</v>
      </c>
    </row>
    <row r="1669" spans="1:5" x14ac:dyDescent="0.3">
      <c r="A1669" s="397"/>
      <c r="B1669" s="709">
        <v>104791</v>
      </c>
      <c r="C1669" s="710" t="s">
        <v>2087</v>
      </c>
      <c r="D1669" s="709" t="s">
        <v>168</v>
      </c>
      <c r="E1669" s="711">
        <v>0.9506</v>
      </c>
    </row>
    <row r="1670" spans="1:5" x14ac:dyDescent="0.3">
      <c r="A1670" s="397"/>
      <c r="B1670" s="709">
        <v>97631</v>
      </c>
      <c r="C1670" s="710" t="s">
        <v>2088</v>
      </c>
      <c r="D1670" s="709" t="s">
        <v>168</v>
      </c>
      <c r="E1670" s="711">
        <v>1</v>
      </c>
    </row>
    <row r="1671" spans="1:5" x14ac:dyDescent="0.3">
      <c r="A1671" s="397"/>
      <c r="B1671" s="709">
        <v>104796</v>
      </c>
      <c r="C1671" s="710" t="s">
        <v>294</v>
      </c>
      <c r="D1671" s="709" t="s">
        <v>159</v>
      </c>
      <c r="E1671" s="711">
        <v>0.76700000000000002</v>
      </c>
    </row>
    <row r="1672" spans="1:5" x14ac:dyDescent="0.3">
      <c r="A1672" s="397"/>
      <c r="B1672" s="709">
        <v>97628</v>
      </c>
      <c r="C1672" s="710" t="s">
        <v>2090</v>
      </c>
      <c r="D1672" s="709" t="s">
        <v>170</v>
      </c>
      <c r="E1672" s="711">
        <v>1</v>
      </c>
    </row>
    <row r="1673" spans="1:5" x14ac:dyDescent="0.3">
      <c r="A1673" s="397"/>
      <c r="B1673" s="709">
        <v>97629</v>
      </c>
      <c r="C1673" s="710" t="s">
        <v>2091</v>
      </c>
      <c r="D1673" s="709" t="s">
        <v>170</v>
      </c>
      <c r="E1673" s="711">
        <v>0.93600000000000005</v>
      </c>
    </row>
    <row r="1674" spans="1:5" x14ac:dyDescent="0.3">
      <c r="A1674" s="397"/>
      <c r="B1674" s="709">
        <v>97626</v>
      </c>
      <c r="C1674" s="710" t="s">
        <v>2092</v>
      </c>
      <c r="D1674" s="709" t="s">
        <v>170</v>
      </c>
      <c r="E1674" s="711">
        <v>1</v>
      </c>
    </row>
    <row r="1675" spans="1:5" x14ac:dyDescent="0.3">
      <c r="A1675" s="397"/>
      <c r="B1675" s="709">
        <v>97627</v>
      </c>
      <c r="C1675" s="710" t="s">
        <v>2093</v>
      </c>
      <c r="D1675" s="709" t="s">
        <v>170</v>
      </c>
      <c r="E1675" s="711">
        <v>0.93610000000000004</v>
      </c>
    </row>
    <row r="1676" spans="1:5" x14ac:dyDescent="0.3">
      <c r="A1676" s="397"/>
      <c r="B1676" s="709">
        <v>104789</v>
      </c>
      <c r="C1676" s="710" t="s">
        <v>278</v>
      </c>
      <c r="D1676" s="709" t="s">
        <v>170</v>
      </c>
      <c r="E1676" s="711">
        <v>1</v>
      </c>
    </row>
    <row r="1677" spans="1:5" x14ac:dyDescent="0.3">
      <c r="A1677" s="397"/>
      <c r="B1677" s="709">
        <v>104790</v>
      </c>
      <c r="C1677" s="710" t="s">
        <v>2094</v>
      </c>
      <c r="D1677" s="709" t="s">
        <v>170</v>
      </c>
      <c r="E1677" s="711">
        <v>0.6089</v>
      </c>
    </row>
    <row r="1678" spans="1:5" x14ac:dyDescent="0.3">
      <c r="A1678" s="397"/>
      <c r="B1678" s="709">
        <v>97633</v>
      </c>
      <c r="C1678" s="710" t="s">
        <v>290</v>
      </c>
      <c r="D1678" s="709" t="s">
        <v>168</v>
      </c>
      <c r="E1678" s="711">
        <v>1</v>
      </c>
    </row>
    <row r="1679" spans="1:5" x14ac:dyDescent="0.3">
      <c r="A1679" s="397"/>
      <c r="B1679" s="709">
        <v>97634</v>
      </c>
      <c r="C1679" s="710" t="s">
        <v>2095</v>
      </c>
      <c r="D1679" s="709" t="s">
        <v>168</v>
      </c>
      <c r="E1679" s="711">
        <v>0.95809999999999995</v>
      </c>
    </row>
    <row r="1680" spans="1:5" x14ac:dyDescent="0.3">
      <c r="A1680" s="397"/>
      <c r="B1680" s="709">
        <v>97632</v>
      </c>
      <c r="C1680" s="710" t="s">
        <v>2096</v>
      </c>
      <c r="D1680" s="709" t="s">
        <v>159</v>
      </c>
      <c r="E1680" s="711">
        <v>1</v>
      </c>
    </row>
    <row r="1681" spans="1:5" x14ac:dyDescent="0.3">
      <c r="A1681" s="397"/>
      <c r="B1681" s="709">
        <v>97636</v>
      </c>
      <c r="C1681" s="710" t="s">
        <v>2097</v>
      </c>
      <c r="D1681" s="709" t="s">
        <v>168</v>
      </c>
      <c r="E1681" s="711">
        <v>0.49809999999999999</v>
      </c>
    </row>
    <row r="1682" spans="1:5" x14ac:dyDescent="0.3">
      <c r="A1682" s="397"/>
      <c r="B1682" s="709">
        <v>104797</v>
      </c>
      <c r="C1682" s="710" t="s">
        <v>281</v>
      </c>
      <c r="D1682" s="709" t="s">
        <v>159</v>
      </c>
      <c r="E1682" s="711">
        <v>0.76690000000000003</v>
      </c>
    </row>
    <row r="1683" spans="1:5" x14ac:dyDescent="0.3">
      <c r="A1683" s="397"/>
      <c r="B1683" s="709">
        <v>104803</v>
      </c>
      <c r="C1683" s="710" t="s">
        <v>2098</v>
      </c>
      <c r="D1683" s="709" t="s">
        <v>159</v>
      </c>
      <c r="E1683" s="711">
        <v>1</v>
      </c>
    </row>
    <row r="1684" spans="1:5" x14ac:dyDescent="0.3">
      <c r="A1684" s="397"/>
      <c r="B1684" s="709">
        <v>97664</v>
      </c>
      <c r="C1684" s="710" t="s">
        <v>2099</v>
      </c>
      <c r="D1684" s="709" t="s">
        <v>136</v>
      </c>
      <c r="E1684" s="711">
        <v>1</v>
      </c>
    </row>
    <row r="1685" spans="1:5" x14ac:dyDescent="0.3">
      <c r="A1685" s="397"/>
      <c r="B1685" s="709">
        <v>104801</v>
      </c>
      <c r="C1685" s="710" t="s">
        <v>2100</v>
      </c>
      <c r="D1685" s="709" t="s">
        <v>168</v>
      </c>
      <c r="E1685" s="711">
        <v>1</v>
      </c>
    </row>
    <row r="1686" spans="1:5" x14ac:dyDescent="0.3">
      <c r="A1686" s="397"/>
      <c r="B1686" s="709">
        <v>97661</v>
      </c>
      <c r="C1686" s="710" t="s">
        <v>2101</v>
      </c>
      <c r="D1686" s="709" t="s">
        <v>159</v>
      </c>
      <c r="E1686" s="711">
        <v>1</v>
      </c>
    </row>
    <row r="1687" spans="1:5" x14ac:dyDescent="0.3">
      <c r="A1687" s="397"/>
      <c r="B1687" s="709">
        <v>104794</v>
      </c>
      <c r="C1687" s="710" t="s">
        <v>2102</v>
      </c>
      <c r="D1687" s="709" t="s">
        <v>159</v>
      </c>
      <c r="E1687" s="711">
        <v>1</v>
      </c>
    </row>
    <row r="1688" spans="1:5" x14ac:dyDescent="0.3">
      <c r="A1688" s="397"/>
      <c r="B1688" s="709">
        <v>104795</v>
      </c>
      <c r="C1688" s="710" t="s">
        <v>2103</v>
      </c>
      <c r="D1688" s="709" t="s">
        <v>159</v>
      </c>
      <c r="E1688" s="711">
        <v>1</v>
      </c>
    </row>
    <row r="1689" spans="1:5" x14ac:dyDescent="0.3">
      <c r="A1689" s="397"/>
      <c r="B1689" s="709">
        <v>104792</v>
      </c>
      <c r="C1689" s="710" t="s">
        <v>2104</v>
      </c>
      <c r="D1689" s="709" t="s">
        <v>159</v>
      </c>
      <c r="E1689" s="711">
        <v>1</v>
      </c>
    </row>
    <row r="1690" spans="1:5" x14ac:dyDescent="0.3">
      <c r="A1690" s="397"/>
      <c r="B1690" s="709">
        <v>104793</v>
      </c>
      <c r="C1690" s="710" t="s">
        <v>2105</v>
      </c>
      <c r="D1690" s="709" t="s">
        <v>159</v>
      </c>
      <c r="E1690" s="711">
        <v>1</v>
      </c>
    </row>
    <row r="1691" spans="1:5" x14ac:dyDescent="0.3">
      <c r="A1691" s="397"/>
      <c r="B1691" s="709">
        <v>104800</v>
      </c>
      <c r="C1691" s="710" t="s">
        <v>2106</v>
      </c>
      <c r="D1691" s="709" t="s">
        <v>159</v>
      </c>
      <c r="E1691" s="711">
        <v>1</v>
      </c>
    </row>
    <row r="1692" spans="1:5" x14ac:dyDescent="0.3">
      <c r="A1692" s="397"/>
      <c r="B1692" s="709">
        <v>97638</v>
      </c>
      <c r="C1692" s="710" t="s">
        <v>2107</v>
      </c>
      <c r="D1692" s="709" t="s">
        <v>168</v>
      </c>
      <c r="E1692" s="711">
        <v>1</v>
      </c>
    </row>
    <row r="1693" spans="1:5" x14ac:dyDescent="0.3">
      <c r="A1693" s="397"/>
      <c r="B1693" s="709">
        <v>97641</v>
      </c>
      <c r="C1693" s="710" t="s">
        <v>2108</v>
      </c>
      <c r="D1693" s="709" t="s">
        <v>168</v>
      </c>
      <c r="E1693" s="711">
        <v>1</v>
      </c>
    </row>
    <row r="1694" spans="1:5" x14ac:dyDescent="0.3">
      <c r="A1694" s="397"/>
      <c r="B1694" s="709">
        <v>97640</v>
      </c>
      <c r="C1694" s="710" t="s">
        <v>2109</v>
      </c>
      <c r="D1694" s="709" t="s">
        <v>168</v>
      </c>
      <c r="E1694" s="711">
        <v>1</v>
      </c>
    </row>
    <row r="1695" spans="1:5" x14ac:dyDescent="0.3">
      <c r="A1695" s="397"/>
      <c r="B1695" s="709">
        <v>97660</v>
      </c>
      <c r="C1695" s="710" t="s">
        <v>2110</v>
      </c>
      <c r="D1695" s="709" t="s">
        <v>136</v>
      </c>
      <c r="E1695" s="711">
        <v>1</v>
      </c>
    </row>
    <row r="1696" spans="1:5" x14ac:dyDescent="0.3">
      <c r="A1696" s="397"/>
      <c r="B1696" s="709">
        <v>97645</v>
      </c>
      <c r="C1696" s="710" t="s">
        <v>2111</v>
      </c>
      <c r="D1696" s="709" t="s">
        <v>168</v>
      </c>
      <c r="E1696" s="711">
        <v>1</v>
      </c>
    </row>
    <row r="1697" spans="1:5" x14ac:dyDescent="0.3">
      <c r="A1697" s="397"/>
      <c r="B1697" s="709">
        <v>97663</v>
      </c>
      <c r="C1697" s="710" t="s">
        <v>2112</v>
      </c>
      <c r="D1697" s="709" t="s">
        <v>136</v>
      </c>
      <c r="E1697" s="711">
        <v>1</v>
      </c>
    </row>
    <row r="1698" spans="1:5" x14ac:dyDescent="0.3">
      <c r="A1698" s="397"/>
      <c r="B1698" s="709">
        <v>97665</v>
      </c>
      <c r="C1698" s="710" t="s">
        <v>2113</v>
      </c>
      <c r="D1698" s="709" t="s">
        <v>136</v>
      </c>
      <c r="E1698" s="711">
        <v>1</v>
      </c>
    </row>
    <row r="1699" spans="1:5" x14ac:dyDescent="0.3">
      <c r="A1699" s="397"/>
      <c r="B1699" s="709">
        <v>97666</v>
      </c>
      <c r="C1699" s="710" t="s">
        <v>2114</v>
      </c>
      <c r="D1699" s="709" t="s">
        <v>136</v>
      </c>
      <c r="E1699" s="711">
        <v>1</v>
      </c>
    </row>
    <row r="1700" spans="1:5" x14ac:dyDescent="0.3">
      <c r="A1700" s="397"/>
      <c r="B1700" s="709">
        <v>97635</v>
      </c>
      <c r="C1700" s="710" t="s">
        <v>292</v>
      </c>
      <c r="D1700" s="709" t="s">
        <v>168</v>
      </c>
      <c r="E1700" s="711">
        <v>1</v>
      </c>
    </row>
    <row r="1701" spans="1:5" x14ac:dyDescent="0.3">
      <c r="A1701" s="397"/>
      <c r="B1701" s="709">
        <v>97643</v>
      </c>
      <c r="C1701" s="710" t="s">
        <v>2115</v>
      </c>
      <c r="D1701" s="709" t="s">
        <v>168</v>
      </c>
      <c r="E1701" s="711">
        <v>1</v>
      </c>
    </row>
    <row r="1702" spans="1:5" x14ac:dyDescent="0.3">
      <c r="A1702" s="397"/>
      <c r="B1702" s="709">
        <v>104799</v>
      </c>
      <c r="C1702" s="710" t="s">
        <v>2116</v>
      </c>
      <c r="D1702" s="709" t="s">
        <v>168</v>
      </c>
      <c r="E1702" s="711">
        <v>1</v>
      </c>
    </row>
    <row r="1703" spans="1:5" x14ac:dyDescent="0.3">
      <c r="A1703" s="397"/>
      <c r="B1703" s="709">
        <v>97639</v>
      </c>
      <c r="C1703" s="710" t="s">
        <v>2117</v>
      </c>
      <c r="D1703" s="709" t="s">
        <v>168</v>
      </c>
      <c r="E1703" s="711">
        <v>1</v>
      </c>
    </row>
    <row r="1704" spans="1:5" x14ac:dyDescent="0.3">
      <c r="A1704" s="397"/>
      <c r="B1704" s="709">
        <v>97644</v>
      </c>
      <c r="C1704" s="710" t="s">
        <v>2118</v>
      </c>
      <c r="D1704" s="709" t="s">
        <v>168</v>
      </c>
      <c r="E1704" s="711">
        <v>1</v>
      </c>
    </row>
    <row r="1705" spans="1:5" x14ac:dyDescent="0.3">
      <c r="A1705" s="397"/>
      <c r="B1705" s="709">
        <v>97648</v>
      </c>
      <c r="C1705" s="710" t="s">
        <v>2119</v>
      </c>
      <c r="D1705" s="709" t="s">
        <v>168</v>
      </c>
      <c r="E1705" s="711">
        <v>1</v>
      </c>
    </row>
    <row r="1706" spans="1:5" x14ac:dyDescent="0.3">
      <c r="A1706" s="397"/>
      <c r="B1706" s="709">
        <v>104798</v>
      </c>
      <c r="C1706" s="710" t="s">
        <v>2120</v>
      </c>
      <c r="D1706" s="709" t="s">
        <v>136</v>
      </c>
      <c r="E1706" s="711">
        <v>1</v>
      </c>
    </row>
    <row r="1707" spans="1:5" x14ac:dyDescent="0.3">
      <c r="A1707" s="397"/>
      <c r="B1707" s="709">
        <v>97637</v>
      </c>
      <c r="C1707" s="710" t="s">
        <v>2121</v>
      </c>
      <c r="D1707" s="709" t="s">
        <v>168</v>
      </c>
      <c r="E1707" s="711">
        <v>1</v>
      </c>
    </row>
    <row r="1708" spans="1:5" x14ac:dyDescent="0.3">
      <c r="A1708" s="397"/>
      <c r="B1708" s="709">
        <v>104802</v>
      </c>
      <c r="C1708" s="710" t="s">
        <v>2122</v>
      </c>
      <c r="D1708" s="709" t="s">
        <v>168</v>
      </c>
      <c r="E1708" s="711">
        <v>1</v>
      </c>
    </row>
    <row r="1709" spans="1:5" x14ac:dyDescent="0.3">
      <c r="A1709" s="397"/>
      <c r="B1709" s="709">
        <v>97647</v>
      </c>
      <c r="C1709" s="710" t="s">
        <v>2123</v>
      </c>
      <c r="D1709" s="709" t="s">
        <v>168</v>
      </c>
      <c r="E1709" s="711">
        <v>1</v>
      </c>
    </row>
    <row r="1710" spans="1:5" x14ac:dyDescent="0.3">
      <c r="A1710" s="397"/>
      <c r="B1710" s="709">
        <v>97649</v>
      </c>
      <c r="C1710" s="710" t="s">
        <v>2124</v>
      </c>
      <c r="D1710" s="709" t="s">
        <v>168</v>
      </c>
      <c r="E1710" s="711">
        <v>0.87809999999999999</v>
      </c>
    </row>
    <row r="1711" spans="1:5" x14ac:dyDescent="0.3">
      <c r="A1711" s="397"/>
      <c r="B1711" s="709">
        <v>97652</v>
      </c>
      <c r="C1711" s="710" t="s">
        <v>2125</v>
      </c>
      <c r="D1711" s="709" t="s">
        <v>136</v>
      </c>
      <c r="E1711" s="711">
        <v>1</v>
      </c>
    </row>
    <row r="1712" spans="1:5" x14ac:dyDescent="0.3">
      <c r="A1712" s="397"/>
      <c r="B1712" s="709">
        <v>97654</v>
      </c>
      <c r="C1712" s="710" t="s">
        <v>2126</v>
      </c>
      <c r="D1712" s="709" t="s">
        <v>136</v>
      </c>
      <c r="E1712" s="711">
        <v>0.50739999999999996</v>
      </c>
    </row>
    <row r="1713" spans="1:5" x14ac:dyDescent="0.3">
      <c r="A1713" s="397"/>
      <c r="B1713" s="709">
        <v>97651</v>
      </c>
      <c r="C1713" s="710" t="s">
        <v>2127</v>
      </c>
      <c r="D1713" s="709" t="s">
        <v>136</v>
      </c>
      <c r="E1713" s="711">
        <v>1</v>
      </c>
    </row>
    <row r="1714" spans="1:5" x14ac:dyDescent="0.3">
      <c r="A1714" s="397"/>
      <c r="B1714" s="709">
        <v>97653</v>
      </c>
      <c r="C1714" s="710" t="s">
        <v>2128</v>
      </c>
      <c r="D1714" s="709" t="s">
        <v>136</v>
      </c>
      <c r="E1714" s="711">
        <v>0.37769999999999998</v>
      </c>
    </row>
    <row r="1715" spans="1:5" x14ac:dyDescent="0.3">
      <c r="A1715" s="397"/>
      <c r="B1715" s="709">
        <v>97657</v>
      </c>
      <c r="C1715" s="710" t="s">
        <v>2129</v>
      </c>
      <c r="D1715" s="709" t="s">
        <v>136</v>
      </c>
      <c r="E1715" s="711">
        <v>0.53810000000000002</v>
      </c>
    </row>
    <row r="1716" spans="1:5" x14ac:dyDescent="0.3">
      <c r="A1716" s="397"/>
      <c r="B1716" s="709">
        <v>97659</v>
      </c>
      <c r="C1716" s="710" t="s">
        <v>2130</v>
      </c>
      <c r="D1716" s="709" t="s">
        <v>136</v>
      </c>
      <c r="E1716" s="711">
        <v>0.48399999999999999</v>
      </c>
    </row>
    <row r="1717" spans="1:5" x14ac:dyDescent="0.3">
      <c r="A1717" s="397"/>
      <c r="B1717" s="709">
        <v>97656</v>
      </c>
      <c r="C1717" s="710" t="s">
        <v>2131</v>
      </c>
      <c r="D1717" s="709" t="s">
        <v>136</v>
      </c>
      <c r="E1717" s="711">
        <v>0.53810000000000002</v>
      </c>
    </row>
    <row r="1718" spans="1:5" x14ac:dyDescent="0.3">
      <c r="A1718" s="397"/>
      <c r="B1718" s="709">
        <v>97658</v>
      </c>
      <c r="C1718" s="710" t="s">
        <v>2132</v>
      </c>
      <c r="D1718" s="709" t="s">
        <v>136</v>
      </c>
      <c r="E1718" s="711">
        <v>0.42409999999999998</v>
      </c>
    </row>
    <row r="1719" spans="1:5" x14ac:dyDescent="0.3">
      <c r="A1719" s="397"/>
      <c r="B1719" s="709">
        <v>97650</v>
      </c>
      <c r="C1719" s="710" t="s">
        <v>2133</v>
      </c>
      <c r="D1719" s="709" t="s">
        <v>168</v>
      </c>
      <c r="E1719" s="711">
        <v>1</v>
      </c>
    </row>
    <row r="1720" spans="1:5" x14ac:dyDescent="0.3">
      <c r="A1720" s="397"/>
      <c r="B1720" s="709">
        <v>97642</v>
      </c>
      <c r="C1720" s="710" t="s">
        <v>2134</v>
      </c>
      <c r="D1720" s="709" t="s">
        <v>168</v>
      </c>
      <c r="E1720" s="711">
        <v>1</v>
      </c>
    </row>
    <row r="1721" spans="1:5" x14ac:dyDescent="0.3">
      <c r="A1721" s="397"/>
      <c r="B1721" s="709">
        <v>97655</v>
      </c>
      <c r="C1721" s="710" t="s">
        <v>2135</v>
      </c>
      <c r="D1721" s="709" t="s">
        <v>168</v>
      </c>
      <c r="E1721" s="711">
        <v>0.46629999999999999</v>
      </c>
    </row>
    <row r="1722" spans="1:5" x14ac:dyDescent="0.3">
      <c r="A1722" s="397"/>
      <c r="B1722" s="709">
        <v>97662</v>
      </c>
      <c r="C1722" s="710" t="s">
        <v>2136</v>
      </c>
      <c r="D1722" s="709" t="s">
        <v>159</v>
      </c>
      <c r="E1722" s="711">
        <v>1</v>
      </c>
    </row>
    <row r="1723" spans="1:5" x14ac:dyDescent="0.3">
      <c r="A1723" s="397"/>
      <c r="B1723" s="709">
        <v>92712</v>
      </c>
      <c r="C1723" s="710" t="s">
        <v>2138</v>
      </c>
      <c r="D1723" s="709" t="s">
        <v>234</v>
      </c>
      <c r="E1723" s="711">
        <v>0</v>
      </c>
    </row>
    <row r="1724" spans="1:5" x14ac:dyDescent="0.3">
      <c r="A1724" s="397"/>
      <c r="B1724" s="709">
        <v>92713</v>
      </c>
      <c r="C1724" s="710" t="s">
        <v>2139</v>
      </c>
      <c r="D1724" s="709" t="s">
        <v>234</v>
      </c>
      <c r="E1724" s="711">
        <v>0</v>
      </c>
    </row>
    <row r="1725" spans="1:5" x14ac:dyDescent="0.3">
      <c r="A1725" s="397"/>
      <c r="B1725" s="709">
        <v>92714</v>
      </c>
      <c r="C1725" s="710" t="s">
        <v>2140</v>
      </c>
      <c r="D1725" s="709" t="s">
        <v>234</v>
      </c>
      <c r="E1725" s="711">
        <v>0</v>
      </c>
    </row>
    <row r="1726" spans="1:5" x14ac:dyDescent="0.3">
      <c r="A1726" s="397"/>
      <c r="B1726" s="709">
        <v>92715</v>
      </c>
      <c r="C1726" s="710" t="s">
        <v>2141</v>
      </c>
      <c r="D1726" s="709" t="s">
        <v>234</v>
      </c>
      <c r="E1726" s="711">
        <v>0</v>
      </c>
    </row>
    <row r="1727" spans="1:5" x14ac:dyDescent="0.3">
      <c r="A1727" s="397"/>
      <c r="B1727" s="709">
        <v>103666</v>
      </c>
      <c r="C1727" s="710" t="s">
        <v>2146</v>
      </c>
      <c r="D1727" s="709" t="s">
        <v>234</v>
      </c>
      <c r="E1727" s="711">
        <v>0</v>
      </c>
    </row>
    <row r="1728" spans="1:5" x14ac:dyDescent="0.3">
      <c r="A1728" s="397"/>
      <c r="B1728" s="709">
        <v>89212</v>
      </c>
      <c r="C1728" s="710" t="s">
        <v>2147</v>
      </c>
      <c r="D1728" s="709" t="s">
        <v>234</v>
      </c>
      <c r="E1728" s="711">
        <v>0</v>
      </c>
    </row>
    <row r="1729" spans="1:5" x14ac:dyDescent="0.3">
      <c r="A1729" s="397"/>
      <c r="B1729" s="709">
        <v>89213</v>
      </c>
      <c r="C1729" s="710" t="s">
        <v>2148</v>
      </c>
      <c r="D1729" s="709" t="s">
        <v>234</v>
      </c>
      <c r="E1729" s="711">
        <v>0</v>
      </c>
    </row>
    <row r="1730" spans="1:5" x14ac:dyDescent="0.3">
      <c r="A1730" s="397"/>
      <c r="B1730" s="709">
        <v>89214</v>
      </c>
      <c r="C1730" s="710" t="s">
        <v>2149</v>
      </c>
      <c r="D1730" s="709" t="s">
        <v>234</v>
      </c>
      <c r="E1730" s="711">
        <v>0</v>
      </c>
    </row>
    <row r="1731" spans="1:5" x14ac:dyDescent="0.3">
      <c r="A1731" s="397"/>
      <c r="B1731" s="709">
        <v>89215</v>
      </c>
      <c r="C1731" s="710" t="s">
        <v>2150</v>
      </c>
      <c r="D1731" s="709" t="s">
        <v>234</v>
      </c>
      <c r="E1731" s="711">
        <v>0</v>
      </c>
    </row>
    <row r="1732" spans="1:5" x14ac:dyDescent="0.3">
      <c r="A1732" s="397"/>
      <c r="B1732" s="709">
        <v>87441</v>
      </c>
      <c r="C1732" s="710" t="s">
        <v>2151</v>
      </c>
      <c r="D1732" s="709" t="s">
        <v>234</v>
      </c>
      <c r="E1732" s="711">
        <v>0</v>
      </c>
    </row>
    <row r="1733" spans="1:5" x14ac:dyDescent="0.3">
      <c r="A1733" s="397"/>
      <c r="B1733" s="709">
        <v>87442</v>
      </c>
      <c r="C1733" s="710" t="s">
        <v>2152</v>
      </c>
      <c r="D1733" s="709" t="s">
        <v>234</v>
      </c>
      <c r="E1733" s="711">
        <v>0</v>
      </c>
    </row>
    <row r="1734" spans="1:5" x14ac:dyDescent="0.3">
      <c r="A1734" s="397"/>
      <c r="B1734" s="709">
        <v>87443</v>
      </c>
      <c r="C1734" s="710" t="s">
        <v>2153</v>
      </c>
      <c r="D1734" s="709" t="s">
        <v>234</v>
      </c>
      <c r="E1734" s="711">
        <v>0</v>
      </c>
    </row>
    <row r="1735" spans="1:5" x14ac:dyDescent="0.3">
      <c r="A1735" s="397"/>
      <c r="B1735" s="709">
        <v>87444</v>
      </c>
      <c r="C1735" s="710" t="s">
        <v>2154</v>
      </c>
      <c r="D1735" s="709" t="s">
        <v>234</v>
      </c>
      <c r="E1735" s="711">
        <v>0</v>
      </c>
    </row>
    <row r="1736" spans="1:5" x14ac:dyDescent="0.3">
      <c r="A1736" s="397"/>
      <c r="B1736" s="709">
        <v>93229</v>
      </c>
      <c r="C1736" s="710" t="s">
        <v>2155</v>
      </c>
      <c r="D1736" s="709" t="s">
        <v>234</v>
      </c>
      <c r="E1736" s="711">
        <v>0</v>
      </c>
    </row>
    <row r="1737" spans="1:5" x14ac:dyDescent="0.3">
      <c r="A1737" s="397"/>
      <c r="B1737" s="709">
        <v>93230</v>
      </c>
      <c r="C1737" s="710" t="s">
        <v>2156</v>
      </c>
      <c r="D1737" s="709" t="s">
        <v>234</v>
      </c>
      <c r="E1737" s="711">
        <v>0</v>
      </c>
    </row>
    <row r="1738" spans="1:5" x14ac:dyDescent="0.3">
      <c r="A1738" s="397"/>
      <c r="B1738" s="709">
        <v>93231</v>
      </c>
      <c r="C1738" s="710" t="s">
        <v>2157</v>
      </c>
      <c r="D1738" s="709" t="s">
        <v>234</v>
      </c>
      <c r="E1738" s="711">
        <v>0</v>
      </c>
    </row>
    <row r="1739" spans="1:5" x14ac:dyDescent="0.3">
      <c r="A1739" s="397"/>
      <c r="B1739" s="709">
        <v>93232</v>
      </c>
      <c r="C1739" s="710" t="s">
        <v>2158</v>
      </c>
      <c r="D1739" s="709" t="s">
        <v>234</v>
      </c>
      <c r="E1739" s="711">
        <v>0</v>
      </c>
    </row>
    <row r="1740" spans="1:5" x14ac:dyDescent="0.3">
      <c r="A1740" s="397"/>
      <c r="B1740" s="709">
        <v>102951</v>
      </c>
      <c r="C1740" s="710" t="s">
        <v>2162</v>
      </c>
      <c r="D1740" s="709" t="s">
        <v>234</v>
      </c>
      <c r="E1740" s="711">
        <v>0</v>
      </c>
    </row>
    <row r="1741" spans="1:5" x14ac:dyDescent="0.3">
      <c r="A1741" s="397"/>
      <c r="B1741" s="709">
        <v>88826</v>
      </c>
      <c r="C1741" s="710" t="s">
        <v>2163</v>
      </c>
      <c r="D1741" s="709" t="s">
        <v>234</v>
      </c>
      <c r="E1741" s="711">
        <v>0</v>
      </c>
    </row>
    <row r="1742" spans="1:5" x14ac:dyDescent="0.3">
      <c r="A1742" s="397"/>
      <c r="B1742" s="709">
        <v>88827</v>
      </c>
      <c r="C1742" s="710" t="s">
        <v>2164</v>
      </c>
      <c r="D1742" s="709" t="s">
        <v>234</v>
      </c>
      <c r="E1742" s="711">
        <v>0</v>
      </c>
    </row>
    <row r="1743" spans="1:5" x14ac:dyDescent="0.3">
      <c r="A1743" s="397"/>
      <c r="B1743" s="709">
        <v>88828</v>
      </c>
      <c r="C1743" s="710" t="s">
        <v>2165</v>
      </c>
      <c r="D1743" s="709" t="s">
        <v>234</v>
      </c>
      <c r="E1743" s="711">
        <v>0</v>
      </c>
    </row>
    <row r="1744" spans="1:5" x14ac:dyDescent="0.3">
      <c r="A1744" s="397"/>
      <c r="B1744" s="709">
        <v>88829</v>
      </c>
      <c r="C1744" s="710" t="s">
        <v>2166</v>
      </c>
      <c r="D1744" s="709" t="s">
        <v>234</v>
      </c>
      <c r="E1744" s="711">
        <v>0</v>
      </c>
    </row>
    <row r="1745" spans="1:5" x14ac:dyDescent="0.3">
      <c r="A1745" s="397"/>
      <c r="B1745" s="709">
        <v>89221</v>
      </c>
      <c r="C1745" s="710" t="s">
        <v>2167</v>
      </c>
      <c r="D1745" s="709" t="s">
        <v>234</v>
      </c>
      <c r="E1745" s="711">
        <v>0</v>
      </c>
    </row>
    <row r="1746" spans="1:5" x14ac:dyDescent="0.3">
      <c r="A1746" s="397"/>
      <c r="B1746" s="709">
        <v>89222</v>
      </c>
      <c r="C1746" s="710" t="s">
        <v>2168</v>
      </c>
      <c r="D1746" s="709" t="s">
        <v>234</v>
      </c>
      <c r="E1746" s="711">
        <v>0</v>
      </c>
    </row>
    <row r="1747" spans="1:5" x14ac:dyDescent="0.3">
      <c r="A1747" s="397"/>
      <c r="B1747" s="709">
        <v>89223</v>
      </c>
      <c r="C1747" s="710" t="s">
        <v>2169</v>
      </c>
      <c r="D1747" s="709" t="s">
        <v>234</v>
      </c>
      <c r="E1747" s="711">
        <v>0</v>
      </c>
    </row>
    <row r="1748" spans="1:5" x14ac:dyDescent="0.3">
      <c r="A1748" s="397"/>
      <c r="B1748" s="709">
        <v>89224</v>
      </c>
      <c r="C1748" s="710" t="s">
        <v>2170</v>
      </c>
      <c r="D1748" s="709" t="s">
        <v>234</v>
      </c>
      <c r="E1748" s="711">
        <v>0</v>
      </c>
    </row>
    <row r="1749" spans="1:5" x14ac:dyDescent="0.3">
      <c r="A1749" s="397"/>
      <c r="B1749" s="709">
        <v>89274</v>
      </c>
      <c r="C1749" s="710" t="s">
        <v>2171</v>
      </c>
      <c r="D1749" s="709" t="s">
        <v>234</v>
      </c>
      <c r="E1749" s="711">
        <v>0</v>
      </c>
    </row>
    <row r="1750" spans="1:5" x14ac:dyDescent="0.3">
      <c r="A1750" s="397"/>
      <c r="B1750" s="709">
        <v>89275</v>
      </c>
      <c r="C1750" s="710" t="s">
        <v>2172</v>
      </c>
      <c r="D1750" s="709" t="s">
        <v>234</v>
      </c>
      <c r="E1750" s="711">
        <v>0</v>
      </c>
    </row>
    <row r="1751" spans="1:5" x14ac:dyDescent="0.3">
      <c r="A1751" s="397"/>
      <c r="B1751" s="709">
        <v>89276</v>
      </c>
      <c r="C1751" s="710" t="s">
        <v>2173</v>
      </c>
      <c r="D1751" s="709" t="s">
        <v>234</v>
      </c>
      <c r="E1751" s="711">
        <v>0</v>
      </c>
    </row>
    <row r="1752" spans="1:5" x14ac:dyDescent="0.3">
      <c r="A1752" s="397"/>
      <c r="B1752" s="709">
        <v>89277</v>
      </c>
      <c r="C1752" s="710" t="s">
        <v>2174</v>
      </c>
      <c r="D1752" s="709" t="s">
        <v>234</v>
      </c>
      <c r="E1752" s="711">
        <v>0</v>
      </c>
    </row>
    <row r="1753" spans="1:5" x14ac:dyDescent="0.3">
      <c r="A1753" s="397"/>
      <c r="B1753" s="709">
        <v>90646</v>
      </c>
      <c r="C1753" s="710" t="s">
        <v>2175</v>
      </c>
      <c r="D1753" s="709" t="s">
        <v>234</v>
      </c>
      <c r="E1753" s="711">
        <v>0</v>
      </c>
    </row>
    <row r="1754" spans="1:5" x14ac:dyDescent="0.3">
      <c r="A1754" s="397"/>
      <c r="B1754" s="709">
        <v>90647</v>
      </c>
      <c r="C1754" s="710" t="s">
        <v>2176</v>
      </c>
      <c r="D1754" s="709" t="s">
        <v>234</v>
      </c>
      <c r="E1754" s="711">
        <v>0</v>
      </c>
    </row>
    <row r="1755" spans="1:5" x14ac:dyDescent="0.3">
      <c r="A1755" s="397"/>
      <c r="B1755" s="709">
        <v>90648</v>
      </c>
      <c r="C1755" s="710" t="s">
        <v>2177</v>
      </c>
      <c r="D1755" s="709" t="s">
        <v>234</v>
      </c>
      <c r="E1755" s="711">
        <v>0</v>
      </c>
    </row>
    <row r="1756" spans="1:5" x14ac:dyDescent="0.3">
      <c r="A1756" s="397"/>
      <c r="B1756" s="709">
        <v>90649</v>
      </c>
      <c r="C1756" s="710" t="s">
        <v>2178</v>
      </c>
      <c r="D1756" s="709" t="s">
        <v>234</v>
      </c>
      <c r="E1756" s="711">
        <v>0</v>
      </c>
    </row>
    <row r="1757" spans="1:5" x14ac:dyDescent="0.3">
      <c r="A1757" s="397"/>
      <c r="B1757" s="709">
        <v>106099</v>
      </c>
      <c r="C1757" s="710" t="s">
        <v>2182</v>
      </c>
      <c r="D1757" s="709" t="s">
        <v>234</v>
      </c>
      <c r="E1757" s="711">
        <v>0</v>
      </c>
    </row>
    <row r="1758" spans="1:5" x14ac:dyDescent="0.3">
      <c r="A1758" s="397"/>
      <c r="B1758" s="709">
        <v>90652</v>
      </c>
      <c r="C1758" s="710" t="s">
        <v>2183</v>
      </c>
      <c r="D1758" s="709" t="s">
        <v>234</v>
      </c>
      <c r="E1758" s="711">
        <v>0</v>
      </c>
    </row>
    <row r="1759" spans="1:5" x14ac:dyDescent="0.3">
      <c r="A1759" s="397"/>
      <c r="B1759" s="709">
        <v>90653</v>
      </c>
      <c r="C1759" s="710" t="s">
        <v>2184</v>
      </c>
      <c r="D1759" s="709" t="s">
        <v>234</v>
      </c>
      <c r="E1759" s="711">
        <v>0</v>
      </c>
    </row>
    <row r="1760" spans="1:5" x14ac:dyDescent="0.3">
      <c r="A1760" s="397"/>
      <c r="B1760" s="709">
        <v>90654</v>
      </c>
      <c r="C1760" s="710" t="s">
        <v>2185</v>
      </c>
      <c r="D1760" s="709" t="s">
        <v>234</v>
      </c>
      <c r="E1760" s="711">
        <v>0</v>
      </c>
    </row>
    <row r="1761" spans="1:5" x14ac:dyDescent="0.3">
      <c r="A1761" s="397"/>
      <c r="B1761" s="709">
        <v>90655</v>
      </c>
      <c r="C1761" s="710" t="s">
        <v>2186</v>
      </c>
      <c r="D1761" s="709" t="s">
        <v>234</v>
      </c>
      <c r="E1761" s="711">
        <v>0</v>
      </c>
    </row>
    <row r="1762" spans="1:5" x14ac:dyDescent="0.3">
      <c r="A1762" s="397"/>
      <c r="B1762" s="709">
        <v>90658</v>
      </c>
      <c r="C1762" s="710" t="s">
        <v>2187</v>
      </c>
      <c r="D1762" s="709" t="s">
        <v>234</v>
      </c>
      <c r="E1762" s="711">
        <v>0</v>
      </c>
    </row>
    <row r="1763" spans="1:5" x14ac:dyDescent="0.3">
      <c r="A1763" s="397"/>
      <c r="B1763" s="709">
        <v>90659</v>
      </c>
      <c r="C1763" s="710" t="s">
        <v>2188</v>
      </c>
      <c r="D1763" s="709" t="s">
        <v>234</v>
      </c>
      <c r="E1763" s="711">
        <v>0</v>
      </c>
    </row>
    <row r="1764" spans="1:5" x14ac:dyDescent="0.3">
      <c r="A1764" s="397"/>
      <c r="B1764" s="709">
        <v>90660</v>
      </c>
      <c r="C1764" s="710" t="s">
        <v>2189</v>
      </c>
      <c r="D1764" s="709" t="s">
        <v>234</v>
      </c>
      <c r="E1764" s="711">
        <v>0</v>
      </c>
    </row>
    <row r="1765" spans="1:5" x14ac:dyDescent="0.3">
      <c r="A1765" s="397"/>
      <c r="B1765" s="709">
        <v>90661</v>
      </c>
      <c r="C1765" s="710" t="s">
        <v>2190</v>
      </c>
      <c r="D1765" s="709" t="s">
        <v>234</v>
      </c>
      <c r="E1765" s="711">
        <v>0</v>
      </c>
    </row>
    <row r="1766" spans="1:5" x14ac:dyDescent="0.3">
      <c r="A1766" s="397"/>
      <c r="B1766" s="709">
        <v>89019</v>
      </c>
      <c r="C1766" s="710" t="s">
        <v>2191</v>
      </c>
      <c r="D1766" s="709" t="s">
        <v>234</v>
      </c>
      <c r="E1766" s="711">
        <v>0</v>
      </c>
    </row>
    <row r="1767" spans="1:5" x14ac:dyDescent="0.3">
      <c r="A1767" s="397"/>
      <c r="B1767" s="709">
        <v>89020</v>
      </c>
      <c r="C1767" s="710" t="s">
        <v>2192</v>
      </c>
      <c r="D1767" s="709" t="s">
        <v>234</v>
      </c>
      <c r="E1767" s="711">
        <v>0</v>
      </c>
    </row>
    <row r="1768" spans="1:5" x14ac:dyDescent="0.3">
      <c r="A1768" s="397"/>
      <c r="B1768" s="709">
        <v>5800</v>
      </c>
      <c r="C1768" s="710" t="s">
        <v>2193</v>
      </c>
      <c r="D1768" s="709" t="s">
        <v>234</v>
      </c>
      <c r="E1768" s="711">
        <v>0</v>
      </c>
    </row>
    <row r="1769" spans="1:5" x14ac:dyDescent="0.3">
      <c r="A1769" s="397"/>
      <c r="B1769" s="709">
        <v>53866</v>
      </c>
      <c r="C1769" s="710" t="s">
        <v>2194</v>
      </c>
      <c r="D1769" s="709" t="s">
        <v>234</v>
      </c>
      <c r="E1769" s="711">
        <v>0</v>
      </c>
    </row>
    <row r="1770" spans="1:5" x14ac:dyDescent="0.3">
      <c r="A1770" s="397"/>
      <c r="B1770" s="709">
        <v>90639</v>
      </c>
      <c r="C1770" s="710" t="s">
        <v>2195</v>
      </c>
      <c r="D1770" s="709" t="s">
        <v>234</v>
      </c>
      <c r="E1770" s="711">
        <v>0</v>
      </c>
    </row>
    <row r="1771" spans="1:5" x14ac:dyDescent="0.3">
      <c r="A1771" s="397"/>
      <c r="B1771" s="709">
        <v>90640</v>
      </c>
      <c r="C1771" s="710" t="s">
        <v>2196</v>
      </c>
      <c r="D1771" s="709" t="s">
        <v>234</v>
      </c>
      <c r="E1771" s="711">
        <v>0</v>
      </c>
    </row>
    <row r="1772" spans="1:5" x14ac:dyDescent="0.3">
      <c r="A1772" s="397"/>
      <c r="B1772" s="709">
        <v>90641</v>
      </c>
      <c r="C1772" s="710" t="s">
        <v>2197</v>
      </c>
      <c r="D1772" s="709" t="s">
        <v>234</v>
      </c>
      <c r="E1772" s="711">
        <v>0</v>
      </c>
    </row>
    <row r="1773" spans="1:5" x14ac:dyDescent="0.3">
      <c r="A1773" s="397"/>
      <c r="B1773" s="709">
        <v>90642</v>
      </c>
      <c r="C1773" s="710" t="s">
        <v>2198</v>
      </c>
      <c r="D1773" s="709" t="s">
        <v>234</v>
      </c>
      <c r="E1773" s="711">
        <v>0</v>
      </c>
    </row>
    <row r="1774" spans="1:5" x14ac:dyDescent="0.3">
      <c r="A1774" s="397"/>
      <c r="B1774" s="709">
        <v>102809</v>
      </c>
      <c r="C1774" s="710" t="s">
        <v>2202</v>
      </c>
      <c r="D1774" s="709" t="s">
        <v>234</v>
      </c>
      <c r="E1774" s="711">
        <v>0</v>
      </c>
    </row>
    <row r="1775" spans="1:5" x14ac:dyDescent="0.3">
      <c r="A1775" s="397"/>
      <c r="B1775" s="709">
        <v>92140</v>
      </c>
      <c r="C1775" s="710" t="s">
        <v>2203</v>
      </c>
      <c r="D1775" s="709" t="s">
        <v>234</v>
      </c>
      <c r="E1775" s="711">
        <v>0</v>
      </c>
    </row>
    <row r="1776" spans="1:5" x14ac:dyDescent="0.3">
      <c r="A1776" s="397"/>
      <c r="B1776" s="709">
        <v>92142</v>
      </c>
      <c r="C1776" s="710" t="s">
        <v>2204</v>
      </c>
      <c r="D1776" s="709" t="s">
        <v>234</v>
      </c>
      <c r="E1776" s="711">
        <v>0</v>
      </c>
    </row>
    <row r="1777" spans="1:5" x14ac:dyDescent="0.3">
      <c r="A1777" s="397"/>
      <c r="B1777" s="709">
        <v>92141</v>
      </c>
      <c r="C1777" s="710" t="s">
        <v>2205</v>
      </c>
      <c r="D1777" s="709" t="s">
        <v>234</v>
      </c>
      <c r="E1777" s="711">
        <v>0</v>
      </c>
    </row>
    <row r="1778" spans="1:5" x14ac:dyDescent="0.3">
      <c r="A1778" s="397"/>
      <c r="B1778" s="709">
        <v>92143</v>
      </c>
      <c r="C1778" s="710" t="s">
        <v>2206</v>
      </c>
      <c r="D1778" s="709" t="s">
        <v>234</v>
      </c>
      <c r="E1778" s="711">
        <v>0</v>
      </c>
    </row>
    <row r="1779" spans="1:5" x14ac:dyDescent="0.3">
      <c r="A1779" s="397"/>
      <c r="B1779" s="709">
        <v>92144</v>
      </c>
      <c r="C1779" s="710" t="s">
        <v>2207</v>
      </c>
      <c r="D1779" s="709" t="s">
        <v>234</v>
      </c>
      <c r="E1779" s="711">
        <v>0</v>
      </c>
    </row>
    <row r="1780" spans="1:5" x14ac:dyDescent="0.3">
      <c r="A1780" s="397"/>
      <c r="B1780" s="709">
        <v>92133</v>
      </c>
      <c r="C1780" s="710" t="s">
        <v>2208</v>
      </c>
      <c r="D1780" s="709" t="s">
        <v>234</v>
      </c>
      <c r="E1780" s="711">
        <v>0</v>
      </c>
    </row>
    <row r="1781" spans="1:5" x14ac:dyDescent="0.3">
      <c r="A1781" s="397"/>
      <c r="B1781" s="709">
        <v>92135</v>
      </c>
      <c r="C1781" s="710" t="s">
        <v>2209</v>
      </c>
      <c r="D1781" s="709" t="s">
        <v>234</v>
      </c>
      <c r="E1781" s="711">
        <v>0</v>
      </c>
    </row>
    <row r="1782" spans="1:5" x14ac:dyDescent="0.3">
      <c r="A1782" s="397"/>
      <c r="B1782" s="709">
        <v>92134</v>
      </c>
      <c r="C1782" s="710" t="s">
        <v>2210</v>
      </c>
      <c r="D1782" s="709" t="s">
        <v>234</v>
      </c>
      <c r="E1782" s="711">
        <v>0</v>
      </c>
    </row>
    <row r="1783" spans="1:5" x14ac:dyDescent="0.3">
      <c r="A1783" s="397"/>
      <c r="B1783" s="709">
        <v>92136</v>
      </c>
      <c r="C1783" s="710" t="s">
        <v>2211</v>
      </c>
      <c r="D1783" s="709" t="s">
        <v>234</v>
      </c>
      <c r="E1783" s="711">
        <v>0</v>
      </c>
    </row>
    <row r="1784" spans="1:5" x14ac:dyDescent="0.3">
      <c r="A1784" s="397"/>
      <c r="B1784" s="709">
        <v>92137</v>
      </c>
      <c r="C1784" s="710" t="s">
        <v>2212</v>
      </c>
      <c r="D1784" s="709" t="s">
        <v>234</v>
      </c>
      <c r="E1784" s="711">
        <v>0</v>
      </c>
    </row>
    <row r="1785" spans="1:5" x14ac:dyDescent="0.3">
      <c r="A1785" s="397"/>
      <c r="B1785" s="709">
        <v>91380</v>
      </c>
      <c r="C1785" s="710" t="s">
        <v>2213</v>
      </c>
      <c r="D1785" s="709" t="s">
        <v>234</v>
      </c>
      <c r="E1785" s="711">
        <v>0</v>
      </c>
    </row>
    <row r="1786" spans="1:5" x14ac:dyDescent="0.3">
      <c r="A1786" s="397"/>
      <c r="B1786" s="709">
        <v>91382</v>
      </c>
      <c r="C1786" s="710" t="s">
        <v>2214</v>
      </c>
      <c r="D1786" s="709" t="s">
        <v>234</v>
      </c>
      <c r="E1786" s="711">
        <v>0</v>
      </c>
    </row>
    <row r="1787" spans="1:5" x14ac:dyDescent="0.3">
      <c r="A1787" s="397"/>
      <c r="B1787" s="709">
        <v>91381</v>
      </c>
      <c r="C1787" s="710" t="s">
        <v>2215</v>
      </c>
      <c r="D1787" s="709" t="s">
        <v>234</v>
      </c>
      <c r="E1787" s="711">
        <v>0</v>
      </c>
    </row>
    <row r="1788" spans="1:5" x14ac:dyDescent="0.3">
      <c r="A1788" s="397"/>
      <c r="B1788" s="709">
        <v>91383</v>
      </c>
      <c r="C1788" s="710" t="s">
        <v>2216</v>
      </c>
      <c r="D1788" s="709" t="s">
        <v>234</v>
      </c>
      <c r="E1788" s="711">
        <v>0</v>
      </c>
    </row>
    <row r="1789" spans="1:5" x14ac:dyDescent="0.3">
      <c r="A1789" s="397"/>
      <c r="B1789" s="709">
        <v>91384</v>
      </c>
      <c r="C1789" s="710" t="s">
        <v>2217</v>
      </c>
      <c r="D1789" s="709" t="s">
        <v>234</v>
      </c>
      <c r="E1789" s="711">
        <v>0</v>
      </c>
    </row>
    <row r="1790" spans="1:5" x14ac:dyDescent="0.3">
      <c r="A1790" s="397"/>
      <c r="B1790" s="709">
        <v>96030</v>
      </c>
      <c r="C1790" s="710" t="s">
        <v>2218</v>
      </c>
      <c r="D1790" s="709" t="s">
        <v>234</v>
      </c>
      <c r="E1790" s="711">
        <v>0</v>
      </c>
    </row>
    <row r="1791" spans="1:5" x14ac:dyDescent="0.3">
      <c r="A1791" s="397"/>
      <c r="B1791" s="709">
        <v>96032</v>
      </c>
      <c r="C1791" s="710" t="s">
        <v>2219</v>
      </c>
      <c r="D1791" s="709" t="s">
        <v>234</v>
      </c>
      <c r="E1791" s="711">
        <v>0</v>
      </c>
    </row>
    <row r="1792" spans="1:5" x14ac:dyDescent="0.3">
      <c r="A1792" s="397"/>
      <c r="B1792" s="709">
        <v>96031</v>
      </c>
      <c r="C1792" s="710" t="s">
        <v>2220</v>
      </c>
      <c r="D1792" s="709" t="s">
        <v>234</v>
      </c>
      <c r="E1792" s="711">
        <v>0</v>
      </c>
    </row>
    <row r="1793" spans="1:5" x14ac:dyDescent="0.3">
      <c r="A1793" s="397"/>
      <c r="B1793" s="709">
        <v>96033</v>
      </c>
      <c r="C1793" s="710" t="s">
        <v>2221</v>
      </c>
      <c r="D1793" s="709" t="s">
        <v>234</v>
      </c>
      <c r="E1793" s="711">
        <v>0</v>
      </c>
    </row>
    <row r="1794" spans="1:5" x14ac:dyDescent="0.3">
      <c r="A1794" s="397"/>
      <c r="B1794" s="709">
        <v>96034</v>
      </c>
      <c r="C1794" s="710" t="s">
        <v>2222</v>
      </c>
      <c r="D1794" s="709" t="s">
        <v>234</v>
      </c>
      <c r="E1794" s="711">
        <v>0</v>
      </c>
    </row>
    <row r="1795" spans="1:5" x14ac:dyDescent="0.3">
      <c r="A1795" s="397"/>
      <c r="B1795" s="709">
        <v>89870</v>
      </c>
      <c r="C1795" s="710" t="s">
        <v>2223</v>
      </c>
      <c r="D1795" s="709" t="s">
        <v>234</v>
      </c>
      <c r="E1795" s="711">
        <v>0</v>
      </c>
    </row>
    <row r="1796" spans="1:5" x14ac:dyDescent="0.3">
      <c r="A1796" s="397"/>
      <c r="B1796" s="709">
        <v>89872</v>
      </c>
      <c r="C1796" s="710" t="s">
        <v>2224</v>
      </c>
      <c r="D1796" s="709" t="s">
        <v>234</v>
      </c>
      <c r="E1796" s="711">
        <v>0</v>
      </c>
    </row>
    <row r="1797" spans="1:5" x14ac:dyDescent="0.3">
      <c r="A1797" s="397"/>
      <c r="B1797" s="709">
        <v>89871</v>
      </c>
      <c r="C1797" s="710" t="s">
        <v>2225</v>
      </c>
      <c r="D1797" s="709" t="s">
        <v>234</v>
      </c>
      <c r="E1797" s="711">
        <v>0</v>
      </c>
    </row>
    <row r="1798" spans="1:5" x14ac:dyDescent="0.3">
      <c r="A1798" s="397"/>
      <c r="B1798" s="709">
        <v>89873</v>
      </c>
      <c r="C1798" s="710" t="s">
        <v>2226</v>
      </c>
      <c r="D1798" s="709" t="s">
        <v>234</v>
      </c>
      <c r="E1798" s="711">
        <v>0</v>
      </c>
    </row>
    <row r="1799" spans="1:5" x14ac:dyDescent="0.3">
      <c r="A1799" s="397"/>
      <c r="B1799" s="709">
        <v>89874</v>
      </c>
      <c r="C1799" s="710" t="s">
        <v>2227</v>
      </c>
      <c r="D1799" s="709" t="s">
        <v>234</v>
      </c>
      <c r="E1799" s="711">
        <v>0</v>
      </c>
    </row>
    <row r="1800" spans="1:5" x14ac:dyDescent="0.3">
      <c r="A1800" s="397"/>
      <c r="B1800" s="709">
        <v>89878</v>
      </c>
      <c r="C1800" s="710" t="s">
        <v>2228</v>
      </c>
      <c r="D1800" s="709" t="s">
        <v>234</v>
      </c>
      <c r="E1800" s="711">
        <v>0</v>
      </c>
    </row>
    <row r="1801" spans="1:5" x14ac:dyDescent="0.3">
      <c r="A1801" s="397"/>
      <c r="B1801" s="709">
        <v>89880</v>
      </c>
      <c r="C1801" s="710" t="s">
        <v>2229</v>
      </c>
      <c r="D1801" s="709" t="s">
        <v>234</v>
      </c>
      <c r="E1801" s="711">
        <v>0</v>
      </c>
    </row>
    <row r="1802" spans="1:5" x14ac:dyDescent="0.3">
      <c r="A1802" s="397"/>
      <c r="B1802" s="709">
        <v>89879</v>
      </c>
      <c r="C1802" s="710" t="s">
        <v>2230</v>
      </c>
      <c r="D1802" s="709" t="s">
        <v>234</v>
      </c>
      <c r="E1802" s="711">
        <v>0</v>
      </c>
    </row>
    <row r="1803" spans="1:5" x14ac:dyDescent="0.3">
      <c r="A1803" s="397"/>
      <c r="B1803" s="709">
        <v>89881</v>
      </c>
      <c r="C1803" s="710" t="s">
        <v>2231</v>
      </c>
      <c r="D1803" s="709" t="s">
        <v>234</v>
      </c>
      <c r="E1803" s="711">
        <v>0</v>
      </c>
    </row>
    <row r="1804" spans="1:5" x14ac:dyDescent="0.3">
      <c r="A1804" s="397"/>
      <c r="B1804" s="709">
        <v>89882</v>
      </c>
      <c r="C1804" s="710" t="s">
        <v>2232</v>
      </c>
      <c r="D1804" s="709" t="s">
        <v>234</v>
      </c>
      <c r="E1804" s="711">
        <v>0</v>
      </c>
    </row>
    <row r="1805" spans="1:5" x14ac:dyDescent="0.3">
      <c r="A1805" s="397"/>
      <c r="B1805" s="709">
        <v>7058</v>
      </c>
      <c r="C1805" s="710" t="s">
        <v>2233</v>
      </c>
      <c r="D1805" s="709" t="s">
        <v>234</v>
      </c>
      <c r="E1805" s="711">
        <v>0</v>
      </c>
    </row>
    <row r="1806" spans="1:5" x14ac:dyDescent="0.3">
      <c r="A1806" s="397"/>
      <c r="B1806" s="709">
        <v>91402</v>
      </c>
      <c r="C1806" s="710" t="s">
        <v>2234</v>
      </c>
      <c r="D1806" s="709" t="s">
        <v>234</v>
      </c>
      <c r="E1806" s="711">
        <v>0</v>
      </c>
    </row>
    <row r="1807" spans="1:5" x14ac:dyDescent="0.3">
      <c r="A1807" s="397"/>
      <c r="B1807" s="709">
        <v>7059</v>
      </c>
      <c r="C1807" s="710" t="s">
        <v>2235</v>
      </c>
      <c r="D1807" s="709" t="s">
        <v>234</v>
      </c>
      <c r="E1807" s="711">
        <v>0</v>
      </c>
    </row>
    <row r="1808" spans="1:5" x14ac:dyDescent="0.3">
      <c r="A1808" s="397"/>
      <c r="B1808" s="709">
        <v>7060</v>
      </c>
      <c r="C1808" s="710" t="s">
        <v>2236</v>
      </c>
      <c r="D1808" s="709" t="s">
        <v>234</v>
      </c>
      <c r="E1808" s="711">
        <v>0</v>
      </c>
    </row>
    <row r="1809" spans="1:5" x14ac:dyDescent="0.3">
      <c r="A1809" s="397"/>
      <c r="B1809" s="709">
        <v>7061</v>
      </c>
      <c r="C1809" s="710" t="s">
        <v>2237</v>
      </c>
      <c r="D1809" s="709" t="s">
        <v>234</v>
      </c>
      <c r="E1809" s="711">
        <v>0</v>
      </c>
    </row>
    <row r="1810" spans="1:5" x14ac:dyDescent="0.3">
      <c r="A1810" s="397"/>
      <c r="B1810" s="709">
        <v>91367</v>
      </c>
      <c r="C1810" s="710" t="s">
        <v>2238</v>
      </c>
      <c r="D1810" s="709" t="s">
        <v>234</v>
      </c>
      <c r="E1810" s="711">
        <v>0</v>
      </c>
    </row>
    <row r="1811" spans="1:5" x14ac:dyDescent="0.3">
      <c r="A1811" s="397"/>
      <c r="B1811" s="709">
        <v>91369</v>
      </c>
      <c r="C1811" s="710" t="s">
        <v>2239</v>
      </c>
      <c r="D1811" s="709" t="s">
        <v>234</v>
      </c>
      <c r="E1811" s="711">
        <v>0</v>
      </c>
    </row>
    <row r="1812" spans="1:5" x14ac:dyDescent="0.3">
      <c r="A1812" s="397"/>
      <c r="B1812" s="709">
        <v>91368</v>
      </c>
      <c r="C1812" s="710" t="s">
        <v>2240</v>
      </c>
      <c r="D1812" s="709" t="s">
        <v>234</v>
      </c>
      <c r="E1812" s="711">
        <v>0</v>
      </c>
    </row>
    <row r="1813" spans="1:5" x14ac:dyDescent="0.3">
      <c r="A1813" s="397"/>
      <c r="B1813" s="709">
        <v>5695</v>
      </c>
      <c r="C1813" s="710" t="s">
        <v>2241</v>
      </c>
      <c r="D1813" s="709" t="s">
        <v>234</v>
      </c>
      <c r="E1813" s="711">
        <v>0</v>
      </c>
    </row>
    <row r="1814" spans="1:5" x14ac:dyDescent="0.3">
      <c r="A1814" s="397"/>
      <c r="B1814" s="709">
        <v>53792</v>
      </c>
      <c r="C1814" s="710" t="s">
        <v>2242</v>
      </c>
      <c r="D1814" s="709" t="s">
        <v>234</v>
      </c>
      <c r="E1814" s="711">
        <v>0</v>
      </c>
    </row>
    <row r="1815" spans="1:5" x14ac:dyDescent="0.3">
      <c r="A1815" s="397"/>
      <c r="B1815" s="709">
        <v>106351</v>
      </c>
      <c r="C1815" s="710" t="s">
        <v>13345</v>
      </c>
      <c r="D1815" s="709" t="s">
        <v>234</v>
      </c>
      <c r="E1815" s="711">
        <v>0</v>
      </c>
    </row>
    <row r="1816" spans="1:5" x14ac:dyDescent="0.3">
      <c r="A1816" s="397"/>
      <c r="B1816" s="709">
        <v>106341</v>
      </c>
      <c r="C1816" s="710" t="s">
        <v>13346</v>
      </c>
      <c r="D1816" s="709" t="s">
        <v>234</v>
      </c>
      <c r="E1816" s="711">
        <v>0</v>
      </c>
    </row>
    <row r="1817" spans="1:5" x14ac:dyDescent="0.3">
      <c r="A1817" s="397"/>
      <c r="B1817" s="709">
        <v>92237</v>
      </c>
      <c r="C1817" s="710" t="s">
        <v>2243</v>
      </c>
      <c r="D1817" s="709" t="s">
        <v>234</v>
      </c>
      <c r="E1817" s="711">
        <v>0</v>
      </c>
    </row>
    <row r="1818" spans="1:5" x14ac:dyDescent="0.3">
      <c r="A1818" s="397"/>
      <c r="B1818" s="709">
        <v>92239</v>
      </c>
      <c r="C1818" s="710" t="s">
        <v>2244</v>
      </c>
      <c r="D1818" s="709" t="s">
        <v>234</v>
      </c>
      <c r="E1818" s="711">
        <v>0</v>
      </c>
    </row>
    <row r="1819" spans="1:5" x14ac:dyDescent="0.3">
      <c r="A1819" s="397"/>
      <c r="B1819" s="709">
        <v>92238</v>
      </c>
      <c r="C1819" s="710" t="s">
        <v>2245</v>
      </c>
      <c r="D1819" s="709" t="s">
        <v>234</v>
      </c>
      <c r="E1819" s="711">
        <v>0</v>
      </c>
    </row>
    <row r="1820" spans="1:5" x14ac:dyDescent="0.3">
      <c r="A1820" s="397"/>
      <c r="B1820" s="709">
        <v>92240</v>
      </c>
      <c r="C1820" s="710" t="s">
        <v>2246</v>
      </c>
      <c r="D1820" s="709" t="s">
        <v>234</v>
      </c>
      <c r="E1820" s="711">
        <v>0</v>
      </c>
    </row>
    <row r="1821" spans="1:5" x14ac:dyDescent="0.3">
      <c r="A1821" s="397"/>
      <c r="B1821" s="709">
        <v>92241</v>
      </c>
      <c r="C1821" s="710" t="s">
        <v>2247</v>
      </c>
      <c r="D1821" s="709" t="s">
        <v>234</v>
      </c>
      <c r="E1821" s="711">
        <v>0</v>
      </c>
    </row>
    <row r="1822" spans="1:5" x14ac:dyDescent="0.3">
      <c r="A1822" s="397"/>
      <c r="B1822" s="709">
        <v>91640</v>
      </c>
      <c r="C1822" s="710" t="s">
        <v>2248</v>
      </c>
      <c r="D1822" s="709" t="s">
        <v>234</v>
      </c>
      <c r="E1822" s="711">
        <v>0</v>
      </c>
    </row>
    <row r="1823" spans="1:5" x14ac:dyDescent="0.3">
      <c r="A1823" s="397"/>
      <c r="B1823" s="709">
        <v>91642</v>
      </c>
      <c r="C1823" s="710" t="s">
        <v>2249</v>
      </c>
      <c r="D1823" s="709" t="s">
        <v>234</v>
      </c>
      <c r="E1823" s="711">
        <v>0</v>
      </c>
    </row>
    <row r="1824" spans="1:5" x14ac:dyDescent="0.3">
      <c r="A1824" s="397"/>
      <c r="B1824" s="709">
        <v>91641</v>
      </c>
      <c r="C1824" s="710" t="s">
        <v>2250</v>
      </c>
      <c r="D1824" s="709" t="s">
        <v>234</v>
      </c>
      <c r="E1824" s="711">
        <v>0</v>
      </c>
    </row>
    <row r="1825" spans="1:5" x14ac:dyDescent="0.3">
      <c r="A1825" s="397"/>
      <c r="B1825" s="709">
        <v>91643</v>
      </c>
      <c r="C1825" s="710" t="s">
        <v>2251</v>
      </c>
      <c r="D1825" s="709" t="s">
        <v>234</v>
      </c>
      <c r="E1825" s="711">
        <v>0</v>
      </c>
    </row>
    <row r="1826" spans="1:5" x14ac:dyDescent="0.3">
      <c r="A1826" s="397"/>
      <c r="B1826" s="709">
        <v>91644</v>
      </c>
      <c r="C1826" s="710" t="s">
        <v>2252</v>
      </c>
      <c r="D1826" s="709" t="s">
        <v>234</v>
      </c>
      <c r="E1826" s="711">
        <v>0</v>
      </c>
    </row>
    <row r="1827" spans="1:5" x14ac:dyDescent="0.3">
      <c r="A1827" s="397"/>
      <c r="B1827" s="709">
        <v>92105</v>
      </c>
      <c r="C1827" s="710" t="s">
        <v>2253</v>
      </c>
      <c r="D1827" s="709" t="s">
        <v>234</v>
      </c>
      <c r="E1827" s="711">
        <v>0</v>
      </c>
    </row>
    <row r="1828" spans="1:5" x14ac:dyDescent="0.3">
      <c r="A1828" s="397"/>
      <c r="B1828" s="709">
        <v>92101</v>
      </c>
      <c r="C1828" s="710" t="s">
        <v>2254</v>
      </c>
      <c r="D1828" s="709" t="s">
        <v>234</v>
      </c>
      <c r="E1828" s="711">
        <v>0</v>
      </c>
    </row>
    <row r="1829" spans="1:5" x14ac:dyDescent="0.3">
      <c r="A1829" s="397"/>
      <c r="B1829" s="709">
        <v>92103</v>
      </c>
      <c r="C1829" s="710" t="s">
        <v>2255</v>
      </c>
      <c r="D1829" s="709" t="s">
        <v>234</v>
      </c>
      <c r="E1829" s="711">
        <v>0</v>
      </c>
    </row>
    <row r="1830" spans="1:5" x14ac:dyDescent="0.3">
      <c r="A1830" s="397"/>
      <c r="B1830" s="709">
        <v>92102</v>
      </c>
      <c r="C1830" s="710" t="s">
        <v>2256</v>
      </c>
      <c r="D1830" s="709" t="s">
        <v>234</v>
      </c>
      <c r="E1830" s="711">
        <v>0</v>
      </c>
    </row>
    <row r="1831" spans="1:5" x14ac:dyDescent="0.3">
      <c r="A1831" s="397"/>
      <c r="B1831" s="709">
        <v>92104</v>
      </c>
      <c r="C1831" s="710" t="s">
        <v>2257</v>
      </c>
      <c r="D1831" s="709" t="s">
        <v>234</v>
      </c>
      <c r="E1831" s="711">
        <v>0</v>
      </c>
    </row>
    <row r="1832" spans="1:5" x14ac:dyDescent="0.3">
      <c r="A1832" s="397"/>
      <c r="B1832" s="709">
        <v>91396</v>
      </c>
      <c r="C1832" s="710" t="s">
        <v>2258</v>
      </c>
      <c r="D1832" s="709" t="s">
        <v>234</v>
      </c>
      <c r="E1832" s="711">
        <v>0</v>
      </c>
    </row>
    <row r="1833" spans="1:5" x14ac:dyDescent="0.3">
      <c r="A1833" s="397"/>
      <c r="B1833" s="709">
        <v>91398</v>
      </c>
      <c r="C1833" s="710" t="s">
        <v>2259</v>
      </c>
      <c r="D1833" s="709" t="s">
        <v>234</v>
      </c>
      <c r="E1833" s="711">
        <v>0</v>
      </c>
    </row>
    <row r="1834" spans="1:5" x14ac:dyDescent="0.3">
      <c r="A1834" s="397"/>
      <c r="B1834" s="709">
        <v>91397</v>
      </c>
      <c r="C1834" s="710" t="s">
        <v>2260</v>
      </c>
      <c r="D1834" s="709" t="s">
        <v>234</v>
      </c>
      <c r="E1834" s="711">
        <v>0</v>
      </c>
    </row>
    <row r="1835" spans="1:5" x14ac:dyDescent="0.3">
      <c r="A1835" s="397"/>
      <c r="B1835" s="709">
        <v>5763</v>
      </c>
      <c r="C1835" s="710" t="s">
        <v>2261</v>
      </c>
      <c r="D1835" s="709" t="s">
        <v>234</v>
      </c>
      <c r="E1835" s="711">
        <v>0</v>
      </c>
    </row>
    <row r="1836" spans="1:5" x14ac:dyDescent="0.3">
      <c r="A1836" s="397"/>
      <c r="B1836" s="709">
        <v>53831</v>
      </c>
      <c r="C1836" s="710" t="s">
        <v>2262</v>
      </c>
      <c r="D1836" s="709" t="s">
        <v>234</v>
      </c>
      <c r="E1836" s="711">
        <v>0</v>
      </c>
    </row>
    <row r="1837" spans="1:5" x14ac:dyDescent="0.3">
      <c r="A1837" s="397"/>
      <c r="B1837" s="709">
        <v>106222</v>
      </c>
      <c r="C1837" s="710" t="s">
        <v>13347</v>
      </c>
      <c r="D1837" s="709" t="s">
        <v>234</v>
      </c>
      <c r="E1837" s="711">
        <v>0</v>
      </c>
    </row>
    <row r="1838" spans="1:5" x14ac:dyDescent="0.3">
      <c r="A1838" s="397"/>
      <c r="B1838" s="709">
        <v>106225</v>
      </c>
      <c r="C1838" s="710" t="s">
        <v>13348</v>
      </c>
      <c r="D1838" s="709" t="s">
        <v>234</v>
      </c>
      <c r="E1838" s="711">
        <v>0</v>
      </c>
    </row>
    <row r="1839" spans="1:5" x14ac:dyDescent="0.3">
      <c r="A1839" s="397"/>
      <c r="B1839" s="709">
        <v>106223</v>
      </c>
      <c r="C1839" s="710" t="s">
        <v>13349</v>
      </c>
      <c r="D1839" s="709" t="s">
        <v>234</v>
      </c>
      <c r="E1839" s="711">
        <v>0</v>
      </c>
    </row>
    <row r="1840" spans="1:5" x14ac:dyDescent="0.3">
      <c r="A1840" s="397"/>
      <c r="B1840" s="709">
        <v>106224</v>
      </c>
      <c r="C1840" s="710" t="s">
        <v>13350</v>
      </c>
      <c r="D1840" s="709" t="s">
        <v>234</v>
      </c>
      <c r="E1840" s="711">
        <v>0</v>
      </c>
    </row>
    <row r="1841" spans="1:5" x14ac:dyDescent="0.3">
      <c r="A1841" s="397"/>
      <c r="B1841" s="709">
        <v>106226</v>
      </c>
      <c r="C1841" s="710" t="s">
        <v>13351</v>
      </c>
      <c r="D1841" s="709" t="s">
        <v>234</v>
      </c>
      <c r="E1841" s="711">
        <v>0</v>
      </c>
    </row>
    <row r="1842" spans="1:5" x14ac:dyDescent="0.3">
      <c r="A1842" s="397"/>
      <c r="B1842" s="709">
        <v>91359</v>
      </c>
      <c r="C1842" s="710" t="s">
        <v>2263</v>
      </c>
      <c r="D1842" s="709" t="s">
        <v>234</v>
      </c>
      <c r="E1842" s="711">
        <v>0</v>
      </c>
    </row>
    <row r="1843" spans="1:5" x14ac:dyDescent="0.3">
      <c r="A1843" s="397"/>
      <c r="B1843" s="709">
        <v>91361</v>
      </c>
      <c r="C1843" s="710" t="s">
        <v>2264</v>
      </c>
      <c r="D1843" s="709" t="s">
        <v>234</v>
      </c>
      <c r="E1843" s="711">
        <v>0</v>
      </c>
    </row>
    <row r="1844" spans="1:5" x14ac:dyDescent="0.3">
      <c r="A1844" s="397"/>
      <c r="B1844" s="709">
        <v>91360</v>
      </c>
      <c r="C1844" s="710" t="s">
        <v>2265</v>
      </c>
      <c r="D1844" s="709" t="s">
        <v>234</v>
      </c>
      <c r="E1844" s="711">
        <v>0</v>
      </c>
    </row>
    <row r="1845" spans="1:5" x14ac:dyDescent="0.3">
      <c r="A1845" s="397"/>
      <c r="B1845" s="709">
        <v>53882</v>
      </c>
      <c r="C1845" s="710" t="s">
        <v>2266</v>
      </c>
      <c r="D1845" s="709" t="s">
        <v>234</v>
      </c>
      <c r="E1845" s="711">
        <v>0</v>
      </c>
    </row>
    <row r="1846" spans="1:5" x14ac:dyDescent="0.3">
      <c r="A1846" s="397"/>
      <c r="B1846" s="709">
        <v>5747</v>
      </c>
      <c r="C1846" s="710" t="s">
        <v>2267</v>
      </c>
      <c r="D1846" s="709" t="s">
        <v>234</v>
      </c>
      <c r="E1846" s="711">
        <v>0</v>
      </c>
    </row>
    <row r="1847" spans="1:5" x14ac:dyDescent="0.3">
      <c r="A1847" s="397"/>
      <c r="B1847" s="709">
        <v>104703</v>
      </c>
      <c r="C1847" s="710" t="s">
        <v>2272</v>
      </c>
      <c r="D1847" s="709" t="s">
        <v>234</v>
      </c>
      <c r="E1847" s="711">
        <v>0</v>
      </c>
    </row>
    <row r="1848" spans="1:5" x14ac:dyDescent="0.3">
      <c r="A1848" s="397"/>
      <c r="B1848" s="709">
        <v>91390</v>
      </c>
      <c r="C1848" s="710" t="s">
        <v>2273</v>
      </c>
      <c r="D1848" s="709" t="s">
        <v>234</v>
      </c>
      <c r="E1848" s="711">
        <v>0</v>
      </c>
    </row>
    <row r="1849" spans="1:5" x14ac:dyDescent="0.3">
      <c r="A1849" s="397"/>
      <c r="B1849" s="709">
        <v>91392</v>
      </c>
      <c r="C1849" s="710" t="s">
        <v>2274</v>
      </c>
      <c r="D1849" s="709" t="s">
        <v>234</v>
      </c>
      <c r="E1849" s="711">
        <v>0</v>
      </c>
    </row>
    <row r="1850" spans="1:5" x14ac:dyDescent="0.3">
      <c r="A1850" s="397"/>
      <c r="B1850" s="709">
        <v>91391</v>
      </c>
      <c r="C1850" s="710" t="s">
        <v>2275</v>
      </c>
      <c r="D1850" s="709" t="s">
        <v>234</v>
      </c>
      <c r="E1850" s="711">
        <v>0</v>
      </c>
    </row>
    <row r="1851" spans="1:5" x14ac:dyDescent="0.3">
      <c r="A1851" s="397"/>
      <c r="B1851" s="709">
        <v>73335</v>
      </c>
      <c r="C1851" s="710" t="s">
        <v>2276</v>
      </c>
      <c r="D1851" s="709" t="s">
        <v>234</v>
      </c>
      <c r="E1851" s="711">
        <v>0</v>
      </c>
    </row>
    <row r="1852" spans="1:5" x14ac:dyDescent="0.3">
      <c r="A1852" s="397"/>
      <c r="B1852" s="709">
        <v>73340</v>
      </c>
      <c r="C1852" s="710" t="s">
        <v>2277</v>
      </c>
      <c r="D1852" s="709" t="s">
        <v>234</v>
      </c>
      <c r="E1852" s="711">
        <v>0</v>
      </c>
    </row>
    <row r="1853" spans="1:5" x14ac:dyDescent="0.3">
      <c r="A1853" s="397"/>
      <c r="B1853" s="709">
        <v>89264</v>
      </c>
      <c r="C1853" s="710" t="s">
        <v>2278</v>
      </c>
      <c r="D1853" s="709" t="s">
        <v>234</v>
      </c>
      <c r="E1853" s="711">
        <v>0</v>
      </c>
    </row>
    <row r="1854" spans="1:5" x14ac:dyDescent="0.3">
      <c r="A1854" s="397"/>
      <c r="B1854" s="709">
        <v>89266</v>
      </c>
      <c r="C1854" s="710" t="s">
        <v>2279</v>
      </c>
      <c r="D1854" s="709" t="s">
        <v>234</v>
      </c>
      <c r="E1854" s="711">
        <v>0</v>
      </c>
    </row>
    <row r="1855" spans="1:5" x14ac:dyDescent="0.3">
      <c r="A1855" s="397"/>
      <c r="B1855" s="709">
        <v>89265</v>
      </c>
      <c r="C1855" s="710" t="s">
        <v>2280</v>
      </c>
      <c r="D1855" s="709" t="s">
        <v>234</v>
      </c>
      <c r="E1855" s="711">
        <v>0</v>
      </c>
    </row>
    <row r="1856" spans="1:5" x14ac:dyDescent="0.3">
      <c r="A1856" s="397"/>
      <c r="B1856" s="709">
        <v>5705</v>
      </c>
      <c r="C1856" s="710" t="s">
        <v>2281</v>
      </c>
      <c r="D1856" s="709" t="s">
        <v>234</v>
      </c>
      <c r="E1856" s="711">
        <v>0</v>
      </c>
    </row>
    <row r="1857" spans="1:5" x14ac:dyDescent="0.3">
      <c r="A1857" s="397"/>
      <c r="B1857" s="709">
        <v>53797</v>
      </c>
      <c r="C1857" s="710" t="s">
        <v>2282</v>
      </c>
      <c r="D1857" s="709" t="s">
        <v>234</v>
      </c>
      <c r="E1857" s="711">
        <v>0</v>
      </c>
    </row>
    <row r="1858" spans="1:5" x14ac:dyDescent="0.3">
      <c r="A1858" s="397"/>
      <c r="B1858" s="709">
        <v>106331</v>
      </c>
      <c r="C1858" s="710" t="s">
        <v>13352</v>
      </c>
      <c r="D1858" s="709" t="s">
        <v>234</v>
      </c>
      <c r="E1858" s="711">
        <v>0</v>
      </c>
    </row>
    <row r="1859" spans="1:5" x14ac:dyDescent="0.3">
      <c r="A1859" s="397"/>
      <c r="B1859" s="709">
        <v>106227</v>
      </c>
      <c r="C1859" s="710" t="s">
        <v>13353</v>
      </c>
      <c r="D1859" s="709" t="s">
        <v>234</v>
      </c>
      <c r="E1859" s="711">
        <v>0</v>
      </c>
    </row>
    <row r="1860" spans="1:5" x14ac:dyDescent="0.3">
      <c r="A1860" s="397"/>
      <c r="B1860" s="709">
        <v>106230</v>
      </c>
      <c r="C1860" s="710" t="s">
        <v>13354</v>
      </c>
      <c r="D1860" s="709" t="s">
        <v>234</v>
      </c>
      <c r="E1860" s="711">
        <v>0</v>
      </c>
    </row>
    <row r="1861" spans="1:5" x14ac:dyDescent="0.3">
      <c r="A1861" s="397"/>
      <c r="B1861" s="709">
        <v>106228</v>
      </c>
      <c r="C1861" s="710" t="s">
        <v>13355</v>
      </c>
      <c r="D1861" s="709" t="s">
        <v>234</v>
      </c>
      <c r="E1861" s="711">
        <v>0</v>
      </c>
    </row>
    <row r="1862" spans="1:5" x14ac:dyDescent="0.3">
      <c r="A1862" s="397"/>
      <c r="B1862" s="709">
        <v>106229</v>
      </c>
      <c r="C1862" s="710" t="s">
        <v>13356</v>
      </c>
      <c r="D1862" s="709" t="s">
        <v>234</v>
      </c>
      <c r="E1862" s="711">
        <v>0</v>
      </c>
    </row>
    <row r="1863" spans="1:5" x14ac:dyDescent="0.3">
      <c r="A1863" s="397"/>
      <c r="B1863" s="709">
        <v>106231</v>
      </c>
      <c r="C1863" s="710" t="s">
        <v>13357</v>
      </c>
      <c r="D1863" s="709" t="s">
        <v>234</v>
      </c>
      <c r="E1863" s="711">
        <v>0</v>
      </c>
    </row>
    <row r="1864" spans="1:5" x14ac:dyDescent="0.3">
      <c r="A1864" s="397"/>
      <c r="B1864" s="709">
        <v>106346</v>
      </c>
      <c r="C1864" s="710" t="s">
        <v>13358</v>
      </c>
      <c r="D1864" s="709" t="s">
        <v>234</v>
      </c>
      <c r="E1864" s="711">
        <v>0</v>
      </c>
    </row>
    <row r="1865" spans="1:5" x14ac:dyDescent="0.3">
      <c r="A1865" s="397"/>
      <c r="B1865" s="709">
        <v>106336</v>
      </c>
      <c r="C1865" s="710" t="s">
        <v>13359</v>
      </c>
      <c r="D1865" s="709" t="s">
        <v>234</v>
      </c>
      <c r="E1865" s="711">
        <v>0</v>
      </c>
    </row>
    <row r="1866" spans="1:5" x14ac:dyDescent="0.3">
      <c r="A1866" s="397"/>
      <c r="B1866" s="709">
        <v>91354</v>
      </c>
      <c r="C1866" s="710" t="s">
        <v>2283</v>
      </c>
      <c r="D1866" s="709" t="s">
        <v>234</v>
      </c>
      <c r="E1866" s="711">
        <v>0</v>
      </c>
    </row>
    <row r="1867" spans="1:5" x14ac:dyDescent="0.3">
      <c r="A1867" s="397"/>
      <c r="B1867" s="709">
        <v>91356</v>
      </c>
      <c r="C1867" s="710" t="s">
        <v>2284</v>
      </c>
      <c r="D1867" s="709" t="s">
        <v>234</v>
      </c>
      <c r="E1867" s="711">
        <v>0</v>
      </c>
    </row>
    <row r="1868" spans="1:5" x14ac:dyDescent="0.3">
      <c r="A1868" s="397"/>
      <c r="B1868" s="709">
        <v>91355</v>
      </c>
      <c r="C1868" s="710" t="s">
        <v>2285</v>
      </c>
      <c r="D1868" s="709" t="s">
        <v>234</v>
      </c>
      <c r="E1868" s="711">
        <v>0</v>
      </c>
    </row>
    <row r="1869" spans="1:5" x14ac:dyDescent="0.3">
      <c r="A1869" s="397"/>
      <c r="B1869" s="709">
        <v>5751</v>
      </c>
      <c r="C1869" s="710" t="s">
        <v>2286</v>
      </c>
      <c r="D1869" s="709" t="s">
        <v>234</v>
      </c>
      <c r="E1869" s="711">
        <v>0</v>
      </c>
    </row>
    <row r="1870" spans="1:5" x14ac:dyDescent="0.3">
      <c r="A1870" s="397"/>
      <c r="B1870" s="709">
        <v>53827</v>
      </c>
      <c r="C1870" s="710" t="s">
        <v>2287</v>
      </c>
      <c r="D1870" s="709" t="s">
        <v>234</v>
      </c>
      <c r="E1870" s="711">
        <v>0</v>
      </c>
    </row>
    <row r="1871" spans="1:5" x14ac:dyDescent="0.3">
      <c r="A1871" s="397"/>
      <c r="B1871" s="709">
        <v>91375</v>
      </c>
      <c r="C1871" s="710" t="s">
        <v>2288</v>
      </c>
      <c r="D1871" s="709" t="s">
        <v>234</v>
      </c>
      <c r="E1871" s="711">
        <v>0</v>
      </c>
    </row>
    <row r="1872" spans="1:5" x14ac:dyDescent="0.3">
      <c r="A1872" s="397"/>
      <c r="B1872" s="709">
        <v>91377</v>
      </c>
      <c r="C1872" s="710" t="s">
        <v>2289</v>
      </c>
      <c r="D1872" s="709" t="s">
        <v>234</v>
      </c>
      <c r="E1872" s="711">
        <v>0</v>
      </c>
    </row>
    <row r="1873" spans="1:5" x14ac:dyDescent="0.3">
      <c r="A1873" s="397"/>
      <c r="B1873" s="709">
        <v>91376</v>
      </c>
      <c r="C1873" s="710" t="s">
        <v>2290</v>
      </c>
      <c r="D1873" s="709" t="s">
        <v>234</v>
      </c>
      <c r="E1873" s="711">
        <v>0</v>
      </c>
    </row>
    <row r="1874" spans="1:5" x14ac:dyDescent="0.3">
      <c r="A1874" s="397"/>
      <c r="B1874" s="709">
        <v>5754</v>
      </c>
      <c r="C1874" s="710" t="s">
        <v>2291</v>
      </c>
      <c r="D1874" s="709" t="s">
        <v>234</v>
      </c>
      <c r="E1874" s="711">
        <v>0</v>
      </c>
    </row>
    <row r="1875" spans="1:5" x14ac:dyDescent="0.3">
      <c r="A1875" s="397"/>
      <c r="B1875" s="709">
        <v>53829</v>
      </c>
      <c r="C1875" s="710" t="s">
        <v>2292</v>
      </c>
      <c r="D1875" s="709" t="s">
        <v>234</v>
      </c>
      <c r="E1875" s="711">
        <v>0</v>
      </c>
    </row>
    <row r="1876" spans="1:5" x14ac:dyDescent="0.3">
      <c r="A1876" s="397"/>
      <c r="B1876" s="709">
        <v>91026</v>
      </c>
      <c r="C1876" s="710" t="s">
        <v>2293</v>
      </c>
      <c r="D1876" s="709" t="s">
        <v>234</v>
      </c>
      <c r="E1876" s="711">
        <v>0</v>
      </c>
    </row>
    <row r="1877" spans="1:5" x14ac:dyDescent="0.3">
      <c r="A1877" s="397"/>
      <c r="B1877" s="709">
        <v>91028</v>
      </c>
      <c r="C1877" s="710" t="s">
        <v>2294</v>
      </c>
      <c r="D1877" s="709" t="s">
        <v>234</v>
      </c>
      <c r="E1877" s="711">
        <v>0</v>
      </c>
    </row>
    <row r="1878" spans="1:5" x14ac:dyDescent="0.3">
      <c r="A1878" s="397"/>
      <c r="B1878" s="709">
        <v>91027</v>
      </c>
      <c r="C1878" s="710" t="s">
        <v>2295</v>
      </c>
      <c r="D1878" s="709" t="s">
        <v>234</v>
      </c>
      <c r="E1878" s="711">
        <v>0</v>
      </c>
    </row>
    <row r="1879" spans="1:5" x14ac:dyDescent="0.3">
      <c r="A1879" s="397"/>
      <c r="B1879" s="709">
        <v>91029</v>
      </c>
      <c r="C1879" s="710" t="s">
        <v>2296</v>
      </c>
      <c r="D1879" s="709" t="s">
        <v>234</v>
      </c>
      <c r="E1879" s="711">
        <v>0</v>
      </c>
    </row>
    <row r="1880" spans="1:5" x14ac:dyDescent="0.3">
      <c r="A1880" s="397"/>
      <c r="B1880" s="709">
        <v>91030</v>
      </c>
      <c r="C1880" s="710" t="s">
        <v>2297</v>
      </c>
      <c r="D1880" s="709" t="s">
        <v>234</v>
      </c>
      <c r="E1880" s="711">
        <v>0</v>
      </c>
    </row>
    <row r="1881" spans="1:5" x14ac:dyDescent="0.3">
      <c r="A1881" s="397"/>
      <c r="B1881" s="709">
        <v>106241</v>
      </c>
      <c r="C1881" s="710" t="s">
        <v>13360</v>
      </c>
      <c r="D1881" s="709" t="s">
        <v>234</v>
      </c>
      <c r="E1881" s="711">
        <v>0</v>
      </c>
    </row>
    <row r="1882" spans="1:5" x14ac:dyDescent="0.3">
      <c r="A1882" s="397"/>
      <c r="B1882" s="709">
        <v>106356</v>
      </c>
      <c r="C1882" s="710" t="s">
        <v>13361</v>
      </c>
      <c r="D1882" s="709" t="s">
        <v>234</v>
      </c>
      <c r="E1882" s="711">
        <v>0</v>
      </c>
    </row>
    <row r="1883" spans="1:5" x14ac:dyDescent="0.3">
      <c r="A1883" s="397"/>
      <c r="B1883" s="709">
        <v>106361</v>
      </c>
      <c r="C1883" s="710" t="s">
        <v>13362</v>
      </c>
      <c r="D1883" s="709" t="s">
        <v>234</v>
      </c>
      <c r="E1883" s="711">
        <v>0</v>
      </c>
    </row>
    <row r="1884" spans="1:5" x14ac:dyDescent="0.3">
      <c r="A1884" s="397"/>
      <c r="B1884" s="709">
        <v>102815</v>
      </c>
      <c r="C1884" s="710" t="s">
        <v>2301</v>
      </c>
      <c r="D1884" s="709" t="s">
        <v>234</v>
      </c>
      <c r="E1884" s="711">
        <v>0</v>
      </c>
    </row>
    <row r="1885" spans="1:5" x14ac:dyDescent="0.3">
      <c r="A1885" s="397"/>
      <c r="B1885" s="709">
        <v>91529</v>
      </c>
      <c r="C1885" s="710" t="s">
        <v>2302</v>
      </c>
      <c r="D1885" s="709" t="s">
        <v>234</v>
      </c>
      <c r="E1885" s="711">
        <v>0</v>
      </c>
    </row>
    <row r="1886" spans="1:5" x14ac:dyDescent="0.3">
      <c r="A1886" s="397"/>
      <c r="B1886" s="709">
        <v>91530</v>
      </c>
      <c r="C1886" s="710" t="s">
        <v>2303</v>
      </c>
      <c r="D1886" s="709" t="s">
        <v>234</v>
      </c>
      <c r="E1886" s="711">
        <v>0</v>
      </c>
    </row>
    <row r="1887" spans="1:5" x14ac:dyDescent="0.3">
      <c r="A1887" s="397"/>
      <c r="B1887" s="709">
        <v>91531</v>
      </c>
      <c r="C1887" s="710" t="s">
        <v>2304</v>
      </c>
      <c r="D1887" s="709" t="s">
        <v>234</v>
      </c>
      <c r="E1887" s="711">
        <v>0</v>
      </c>
    </row>
    <row r="1888" spans="1:5" x14ac:dyDescent="0.3">
      <c r="A1888" s="397"/>
      <c r="B1888" s="709">
        <v>91532</v>
      </c>
      <c r="C1888" s="710" t="s">
        <v>2305</v>
      </c>
      <c r="D1888" s="709" t="s">
        <v>234</v>
      </c>
      <c r="E1888" s="711">
        <v>0</v>
      </c>
    </row>
    <row r="1889" spans="1:5" x14ac:dyDescent="0.3">
      <c r="A1889" s="397"/>
      <c r="B1889" s="709">
        <v>95260</v>
      </c>
      <c r="C1889" s="710" t="s">
        <v>2306</v>
      </c>
      <c r="D1889" s="709" t="s">
        <v>234</v>
      </c>
      <c r="E1889" s="711">
        <v>0</v>
      </c>
    </row>
    <row r="1890" spans="1:5" x14ac:dyDescent="0.3">
      <c r="A1890" s="397"/>
      <c r="B1890" s="709">
        <v>95261</v>
      </c>
      <c r="C1890" s="710" t="s">
        <v>2307</v>
      </c>
      <c r="D1890" s="709" t="s">
        <v>234</v>
      </c>
      <c r="E1890" s="711">
        <v>0</v>
      </c>
    </row>
    <row r="1891" spans="1:5" x14ac:dyDescent="0.3">
      <c r="A1891" s="397"/>
      <c r="B1891" s="709">
        <v>95262</v>
      </c>
      <c r="C1891" s="710" t="s">
        <v>2308</v>
      </c>
      <c r="D1891" s="709" t="s">
        <v>234</v>
      </c>
      <c r="E1891" s="711">
        <v>0</v>
      </c>
    </row>
    <row r="1892" spans="1:5" x14ac:dyDescent="0.3">
      <c r="A1892" s="397"/>
      <c r="B1892" s="709">
        <v>95263</v>
      </c>
      <c r="C1892" s="710" t="s">
        <v>2309</v>
      </c>
      <c r="D1892" s="709" t="s">
        <v>234</v>
      </c>
      <c r="E1892" s="711">
        <v>0</v>
      </c>
    </row>
    <row r="1893" spans="1:5" x14ac:dyDescent="0.3">
      <c r="A1893" s="397"/>
      <c r="B1893" s="709">
        <v>90968</v>
      </c>
      <c r="C1893" s="710" t="s">
        <v>2310</v>
      </c>
      <c r="D1893" s="709" t="s">
        <v>234</v>
      </c>
      <c r="E1893" s="711">
        <v>0</v>
      </c>
    </row>
    <row r="1894" spans="1:5" x14ac:dyDescent="0.3">
      <c r="A1894" s="397"/>
      <c r="B1894" s="709">
        <v>90969</v>
      </c>
      <c r="C1894" s="710" t="s">
        <v>2311</v>
      </c>
      <c r="D1894" s="709" t="s">
        <v>234</v>
      </c>
      <c r="E1894" s="711">
        <v>0</v>
      </c>
    </row>
    <row r="1895" spans="1:5" x14ac:dyDescent="0.3">
      <c r="A1895" s="397"/>
      <c r="B1895" s="709">
        <v>90970</v>
      </c>
      <c r="C1895" s="710" t="s">
        <v>2312</v>
      </c>
      <c r="D1895" s="709" t="s">
        <v>234</v>
      </c>
      <c r="E1895" s="711">
        <v>0</v>
      </c>
    </row>
    <row r="1896" spans="1:5" x14ac:dyDescent="0.3">
      <c r="A1896" s="397"/>
      <c r="B1896" s="709">
        <v>90971</v>
      </c>
      <c r="C1896" s="710" t="s">
        <v>2313</v>
      </c>
      <c r="D1896" s="709" t="s">
        <v>234</v>
      </c>
      <c r="E1896" s="711">
        <v>0</v>
      </c>
    </row>
    <row r="1897" spans="1:5" x14ac:dyDescent="0.3">
      <c r="A1897" s="397"/>
      <c r="B1897" s="709">
        <v>90992</v>
      </c>
      <c r="C1897" s="710" t="s">
        <v>2314</v>
      </c>
      <c r="D1897" s="709" t="s">
        <v>234</v>
      </c>
      <c r="E1897" s="711">
        <v>0</v>
      </c>
    </row>
    <row r="1898" spans="1:5" x14ac:dyDescent="0.3">
      <c r="A1898" s="397"/>
      <c r="B1898" s="709">
        <v>90993</v>
      </c>
      <c r="C1898" s="710" t="s">
        <v>2315</v>
      </c>
      <c r="D1898" s="709" t="s">
        <v>234</v>
      </c>
      <c r="E1898" s="711">
        <v>0</v>
      </c>
    </row>
    <row r="1899" spans="1:5" x14ac:dyDescent="0.3">
      <c r="A1899" s="397"/>
      <c r="B1899" s="709">
        <v>90994</v>
      </c>
      <c r="C1899" s="710" t="s">
        <v>2316</v>
      </c>
      <c r="D1899" s="709" t="s">
        <v>234</v>
      </c>
      <c r="E1899" s="711">
        <v>0</v>
      </c>
    </row>
    <row r="1900" spans="1:5" x14ac:dyDescent="0.3">
      <c r="A1900" s="397"/>
      <c r="B1900" s="709">
        <v>90995</v>
      </c>
      <c r="C1900" s="710" t="s">
        <v>2317</v>
      </c>
      <c r="D1900" s="709" t="s">
        <v>234</v>
      </c>
      <c r="E1900" s="711">
        <v>0</v>
      </c>
    </row>
    <row r="1901" spans="1:5" x14ac:dyDescent="0.3">
      <c r="A1901" s="397"/>
      <c r="B1901" s="709">
        <v>90957</v>
      </c>
      <c r="C1901" s="710" t="s">
        <v>2318</v>
      </c>
      <c r="D1901" s="709" t="s">
        <v>234</v>
      </c>
      <c r="E1901" s="711">
        <v>0</v>
      </c>
    </row>
    <row r="1902" spans="1:5" x14ac:dyDescent="0.3">
      <c r="A1902" s="397"/>
      <c r="B1902" s="709">
        <v>90958</v>
      </c>
      <c r="C1902" s="710" t="s">
        <v>2319</v>
      </c>
      <c r="D1902" s="709" t="s">
        <v>234</v>
      </c>
      <c r="E1902" s="711">
        <v>0</v>
      </c>
    </row>
    <row r="1903" spans="1:5" x14ac:dyDescent="0.3">
      <c r="A1903" s="397"/>
      <c r="B1903" s="709">
        <v>5797</v>
      </c>
      <c r="C1903" s="710" t="s">
        <v>2320</v>
      </c>
      <c r="D1903" s="709" t="s">
        <v>234</v>
      </c>
      <c r="E1903" s="711">
        <v>0</v>
      </c>
    </row>
    <row r="1904" spans="1:5" x14ac:dyDescent="0.3">
      <c r="A1904" s="397"/>
      <c r="B1904" s="709">
        <v>53865</v>
      </c>
      <c r="C1904" s="710" t="s">
        <v>2321</v>
      </c>
      <c r="D1904" s="709" t="s">
        <v>234</v>
      </c>
      <c r="E1904" s="711">
        <v>0</v>
      </c>
    </row>
    <row r="1905" spans="1:5" x14ac:dyDescent="0.3">
      <c r="A1905" s="397"/>
      <c r="B1905" s="709">
        <v>90975</v>
      </c>
      <c r="C1905" s="710" t="s">
        <v>2322</v>
      </c>
      <c r="D1905" s="709" t="s">
        <v>234</v>
      </c>
      <c r="E1905" s="711">
        <v>0</v>
      </c>
    </row>
    <row r="1906" spans="1:5" x14ac:dyDescent="0.3">
      <c r="A1906" s="397"/>
      <c r="B1906" s="709">
        <v>90976</v>
      </c>
      <c r="C1906" s="710" t="s">
        <v>2323</v>
      </c>
      <c r="D1906" s="709" t="s">
        <v>234</v>
      </c>
      <c r="E1906" s="711">
        <v>0</v>
      </c>
    </row>
    <row r="1907" spans="1:5" x14ac:dyDescent="0.3">
      <c r="A1907" s="397"/>
      <c r="B1907" s="709">
        <v>90977</v>
      </c>
      <c r="C1907" s="710" t="s">
        <v>2324</v>
      </c>
      <c r="D1907" s="709" t="s">
        <v>234</v>
      </c>
      <c r="E1907" s="711">
        <v>0</v>
      </c>
    </row>
    <row r="1908" spans="1:5" x14ac:dyDescent="0.3">
      <c r="A1908" s="397"/>
      <c r="B1908" s="709">
        <v>90978</v>
      </c>
      <c r="C1908" s="710" t="s">
        <v>2325</v>
      </c>
      <c r="D1908" s="709" t="s">
        <v>234</v>
      </c>
      <c r="E1908" s="711">
        <v>0</v>
      </c>
    </row>
    <row r="1909" spans="1:5" x14ac:dyDescent="0.3">
      <c r="A1909" s="397"/>
      <c r="B1909" s="709">
        <v>90960</v>
      </c>
      <c r="C1909" s="710" t="s">
        <v>2326</v>
      </c>
      <c r="D1909" s="709" t="s">
        <v>234</v>
      </c>
      <c r="E1909" s="711">
        <v>0</v>
      </c>
    </row>
    <row r="1910" spans="1:5" x14ac:dyDescent="0.3">
      <c r="A1910" s="397"/>
      <c r="B1910" s="709">
        <v>90961</v>
      </c>
      <c r="C1910" s="710" t="s">
        <v>2327</v>
      </c>
      <c r="D1910" s="709" t="s">
        <v>234</v>
      </c>
      <c r="E1910" s="711">
        <v>0</v>
      </c>
    </row>
    <row r="1911" spans="1:5" x14ac:dyDescent="0.3">
      <c r="A1911" s="397"/>
      <c r="B1911" s="709">
        <v>90962</v>
      </c>
      <c r="C1911" s="710" t="s">
        <v>2328</v>
      </c>
      <c r="D1911" s="709" t="s">
        <v>234</v>
      </c>
      <c r="E1911" s="711">
        <v>0</v>
      </c>
    </row>
    <row r="1912" spans="1:5" x14ac:dyDescent="0.3">
      <c r="A1912" s="397"/>
      <c r="B1912" s="709">
        <v>90963</v>
      </c>
      <c r="C1912" s="710" t="s">
        <v>2329</v>
      </c>
      <c r="D1912" s="709" t="s">
        <v>234</v>
      </c>
      <c r="E1912" s="711">
        <v>0</v>
      </c>
    </row>
    <row r="1913" spans="1:5" x14ac:dyDescent="0.3">
      <c r="A1913" s="397"/>
      <c r="B1913" s="709">
        <v>102966</v>
      </c>
      <c r="C1913" s="710" t="s">
        <v>2330</v>
      </c>
      <c r="D1913" s="709" t="s">
        <v>234</v>
      </c>
      <c r="E1913" s="711">
        <v>0</v>
      </c>
    </row>
    <row r="1914" spans="1:5" x14ac:dyDescent="0.3">
      <c r="A1914" s="397"/>
      <c r="B1914" s="709">
        <v>102967</v>
      </c>
      <c r="C1914" s="710" t="s">
        <v>2331</v>
      </c>
      <c r="D1914" s="709" t="s">
        <v>234</v>
      </c>
      <c r="E1914" s="711">
        <v>0</v>
      </c>
    </row>
    <row r="1915" spans="1:5" x14ac:dyDescent="0.3">
      <c r="A1915" s="397"/>
      <c r="B1915" s="709">
        <v>102968</v>
      </c>
      <c r="C1915" s="710" t="s">
        <v>2332</v>
      </c>
      <c r="D1915" s="709" t="s">
        <v>234</v>
      </c>
      <c r="E1915" s="711">
        <v>0</v>
      </c>
    </row>
    <row r="1916" spans="1:5" x14ac:dyDescent="0.3">
      <c r="A1916" s="397"/>
      <c r="B1916" s="709">
        <v>102969</v>
      </c>
      <c r="C1916" s="710" t="s">
        <v>2333</v>
      </c>
      <c r="D1916" s="709" t="s">
        <v>234</v>
      </c>
      <c r="E1916" s="711">
        <v>0</v>
      </c>
    </row>
    <row r="1917" spans="1:5" x14ac:dyDescent="0.3">
      <c r="A1917" s="397"/>
      <c r="B1917" s="709">
        <v>102832</v>
      </c>
      <c r="C1917" s="710" t="s">
        <v>2337</v>
      </c>
      <c r="D1917" s="709" t="s">
        <v>234</v>
      </c>
      <c r="E1917" s="711">
        <v>0</v>
      </c>
    </row>
    <row r="1918" spans="1:5" x14ac:dyDescent="0.3">
      <c r="A1918" s="397"/>
      <c r="B1918" s="709">
        <v>102826</v>
      </c>
      <c r="C1918" s="710" t="s">
        <v>2341</v>
      </c>
      <c r="D1918" s="709" t="s">
        <v>234</v>
      </c>
      <c r="E1918" s="711">
        <v>0</v>
      </c>
    </row>
    <row r="1919" spans="1:5" x14ac:dyDescent="0.3">
      <c r="A1919" s="397"/>
      <c r="B1919" s="709">
        <v>103937</v>
      </c>
      <c r="C1919" s="710" t="s">
        <v>2345</v>
      </c>
      <c r="D1919" s="709" t="s">
        <v>234</v>
      </c>
      <c r="E1919" s="711">
        <v>0</v>
      </c>
    </row>
    <row r="1920" spans="1:5" x14ac:dyDescent="0.3">
      <c r="A1920" s="397"/>
      <c r="B1920" s="709">
        <v>103943</v>
      </c>
      <c r="C1920" s="710" t="s">
        <v>2349</v>
      </c>
      <c r="D1920" s="709" t="s">
        <v>234</v>
      </c>
      <c r="E1920" s="711">
        <v>0</v>
      </c>
    </row>
    <row r="1921" spans="1:5" x14ac:dyDescent="0.3">
      <c r="A1921" s="397"/>
      <c r="B1921" s="709">
        <v>106406</v>
      </c>
      <c r="C1921" s="710" t="s">
        <v>13363</v>
      </c>
      <c r="D1921" s="709" t="s">
        <v>234</v>
      </c>
      <c r="E1921" s="711">
        <v>0</v>
      </c>
    </row>
    <row r="1922" spans="1:5" x14ac:dyDescent="0.3">
      <c r="A1922" s="397"/>
      <c r="B1922" s="709">
        <v>106407</v>
      </c>
      <c r="C1922" s="710" t="s">
        <v>13364</v>
      </c>
      <c r="D1922" s="709" t="s">
        <v>234</v>
      </c>
      <c r="E1922" s="711">
        <v>0</v>
      </c>
    </row>
    <row r="1923" spans="1:5" x14ac:dyDescent="0.3">
      <c r="A1923" s="397"/>
      <c r="B1923" s="709">
        <v>106408</v>
      </c>
      <c r="C1923" s="710" t="s">
        <v>13365</v>
      </c>
      <c r="D1923" s="709" t="s">
        <v>234</v>
      </c>
      <c r="E1923" s="711">
        <v>0</v>
      </c>
    </row>
    <row r="1924" spans="1:5" x14ac:dyDescent="0.3">
      <c r="A1924" s="397"/>
      <c r="B1924" s="709">
        <v>106409</v>
      </c>
      <c r="C1924" s="710" t="s">
        <v>13366</v>
      </c>
      <c r="D1924" s="709" t="s">
        <v>234</v>
      </c>
      <c r="E1924" s="711">
        <v>0</v>
      </c>
    </row>
    <row r="1925" spans="1:5" x14ac:dyDescent="0.3">
      <c r="A1925" s="397"/>
      <c r="B1925" s="709">
        <v>91279</v>
      </c>
      <c r="C1925" s="710" t="s">
        <v>2350</v>
      </c>
      <c r="D1925" s="709" t="s">
        <v>234</v>
      </c>
      <c r="E1925" s="711">
        <v>0</v>
      </c>
    </row>
    <row r="1926" spans="1:5" x14ac:dyDescent="0.3">
      <c r="A1926" s="397"/>
      <c r="B1926" s="709">
        <v>91280</v>
      </c>
      <c r="C1926" s="710" t="s">
        <v>2351</v>
      </c>
      <c r="D1926" s="709" t="s">
        <v>234</v>
      </c>
      <c r="E1926" s="711">
        <v>0</v>
      </c>
    </row>
    <row r="1927" spans="1:5" x14ac:dyDescent="0.3">
      <c r="A1927" s="397"/>
      <c r="B1927" s="709">
        <v>91281</v>
      </c>
      <c r="C1927" s="710" t="s">
        <v>2352</v>
      </c>
      <c r="D1927" s="709" t="s">
        <v>234</v>
      </c>
      <c r="E1927" s="711">
        <v>0</v>
      </c>
    </row>
    <row r="1928" spans="1:5" x14ac:dyDescent="0.3">
      <c r="A1928" s="397"/>
      <c r="B1928" s="709">
        <v>91282</v>
      </c>
      <c r="C1928" s="710" t="s">
        <v>2353</v>
      </c>
      <c r="D1928" s="709" t="s">
        <v>234</v>
      </c>
      <c r="E1928" s="711">
        <v>0</v>
      </c>
    </row>
    <row r="1929" spans="1:5" x14ac:dyDescent="0.3">
      <c r="A1929" s="397"/>
      <c r="B1929" s="709">
        <v>95278</v>
      </c>
      <c r="C1929" s="710" t="s">
        <v>2354</v>
      </c>
      <c r="D1929" s="709" t="s">
        <v>234</v>
      </c>
      <c r="E1929" s="711">
        <v>0</v>
      </c>
    </row>
    <row r="1930" spans="1:5" x14ac:dyDescent="0.3">
      <c r="A1930" s="397"/>
      <c r="B1930" s="709">
        <v>95279</v>
      </c>
      <c r="C1930" s="710" t="s">
        <v>2355</v>
      </c>
      <c r="D1930" s="709" t="s">
        <v>234</v>
      </c>
      <c r="E1930" s="711">
        <v>0</v>
      </c>
    </row>
    <row r="1931" spans="1:5" x14ac:dyDescent="0.3">
      <c r="A1931" s="397"/>
      <c r="B1931" s="709">
        <v>95280</v>
      </c>
      <c r="C1931" s="710" t="s">
        <v>2356</v>
      </c>
      <c r="D1931" s="709" t="s">
        <v>234</v>
      </c>
      <c r="E1931" s="711">
        <v>0</v>
      </c>
    </row>
    <row r="1932" spans="1:5" x14ac:dyDescent="0.3">
      <c r="A1932" s="397"/>
      <c r="B1932" s="709">
        <v>95281</v>
      </c>
      <c r="C1932" s="710" t="s">
        <v>2357</v>
      </c>
      <c r="D1932" s="709" t="s">
        <v>234</v>
      </c>
      <c r="E1932" s="711">
        <v>0</v>
      </c>
    </row>
    <row r="1933" spans="1:5" x14ac:dyDescent="0.3">
      <c r="A1933" s="397"/>
      <c r="B1933" s="709">
        <v>95124</v>
      </c>
      <c r="C1933" s="710" t="s">
        <v>2358</v>
      </c>
      <c r="D1933" s="709" t="s">
        <v>234</v>
      </c>
      <c r="E1933" s="711">
        <v>0</v>
      </c>
    </row>
    <row r="1934" spans="1:5" x14ac:dyDescent="0.3">
      <c r="A1934" s="397"/>
      <c r="B1934" s="709">
        <v>95123</v>
      </c>
      <c r="C1934" s="710" t="s">
        <v>2359</v>
      </c>
      <c r="D1934" s="709" t="s">
        <v>234</v>
      </c>
      <c r="E1934" s="711">
        <v>0</v>
      </c>
    </row>
    <row r="1935" spans="1:5" x14ac:dyDescent="0.3">
      <c r="A1935" s="397"/>
      <c r="B1935" s="709">
        <v>95125</v>
      </c>
      <c r="C1935" s="710" t="s">
        <v>2360</v>
      </c>
      <c r="D1935" s="709" t="s">
        <v>234</v>
      </c>
      <c r="E1935" s="711">
        <v>0</v>
      </c>
    </row>
    <row r="1936" spans="1:5" x14ac:dyDescent="0.3">
      <c r="A1936" s="397"/>
      <c r="B1936" s="709">
        <v>95126</v>
      </c>
      <c r="C1936" s="710" t="s">
        <v>2361</v>
      </c>
      <c r="D1936" s="709" t="s">
        <v>234</v>
      </c>
      <c r="E1936" s="711">
        <v>0</v>
      </c>
    </row>
    <row r="1937" spans="1:5" x14ac:dyDescent="0.3">
      <c r="A1937" s="397"/>
      <c r="B1937" s="709">
        <v>92040</v>
      </c>
      <c r="C1937" s="710" t="s">
        <v>2362</v>
      </c>
      <c r="D1937" s="709" t="s">
        <v>234</v>
      </c>
      <c r="E1937" s="711">
        <v>0</v>
      </c>
    </row>
    <row r="1938" spans="1:5" x14ac:dyDescent="0.3">
      <c r="A1938" s="397"/>
      <c r="B1938" s="709">
        <v>92041</v>
      </c>
      <c r="C1938" s="710" t="s">
        <v>2363</v>
      </c>
      <c r="D1938" s="709" t="s">
        <v>234</v>
      </c>
      <c r="E1938" s="711">
        <v>0</v>
      </c>
    </row>
    <row r="1939" spans="1:5" x14ac:dyDescent="0.3">
      <c r="A1939" s="397"/>
      <c r="B1939" s="709">
        <v>92042</v>
      </c>
      <c r="C1939" s="710" t="s">
        <v>2364</v>
      </c>
      <c r="D1939" s="709" t="s">
        <v>234</v>
      </c>
      <c r="E1939" s="711">
        <v>0</v>
      </c>
    </row>
    <row r="1940" spans="1:5" x14ac:dyDescent="0.3">
      <c r="A1940" s="397"/>
      <c r="B1940" s="709">
        <v>106410</v>
      </c>
      <c r="C1940" s="710" t="s">
        <v>13367</v>
      </c>
      <c r="D1940" s="709" t="s">
        <v>234</v>
      </c>
      <c r="E1940" s="711">
        <v>0</v>
      </c>
    </row>
    <row r="1941" spans="1:5" x14ac:dyDescent="0.3">
      <c r="A1941" s="397"/>
      <c r="B1941" s="709">
        <v>106411</v>
      </c>
      <c r="C1941" s="710" t="s">
        <v>13368</v>
      </c>
      <c r="D1941" s="709" t="s">
        <v>234</v>
      </c>
      <c r="E1941" s="711">
        <v>0</v>
      </c>
    </row>
    <row r="1942" spans="1:5" x14ac:dyDescent="0.3">
      <c r="A1942" s="397"/>
      <c r="B1942" s="709">
        <v>106412</v>
      </c>
      <c r="C1942" s="710" t="s">
        <v>13369</v>
      </c>
      <c r="D1942" s="709" t="s">
        <v>234</v>
      </c>
      <c r="E1942" s="711">
        <v>0</v>
      </c>
    </row>
    <row r="1943" spans="1:5" x14ac:dyDescent="0.3">
      <c r="A1943" s="397"/>
      <c r="B1943" s="709">
        <v>106413</v>
      </c>
      <c r="C1943" s="710" t="s">
        <v>13370</v>
      </c>
      <c r="D1943" s="709" t="s">
        <v>234</v>
      </c>
      <c r="E1943" s="711">
        <v>0</v>
      </c>
    </row>
    <row r="1944" spans="1:5" x14ac:dyDescent="0.3">
      <c r="A1944" s="397"/>
      <c r="B1944" s="709">
        <v>92114</v>
      </c>
      <c r="C1944" s="710" t="s">
        <v>2368</v>
      </c>
      <c r="D1944" s="709" t="s">
        <v>234</v>
      </c>
      <c r="E1944" s="711">
        <v>0</v>
      </c>
    </row>
    <row r="1945" spans="1:5" x14ac:dyDescent="0.3">
      <c r="A1945" s="397"/>
      <c r="B1945" s="709">
        <v>92115</v>
      </c>
      <c r="C1945" s="710" t="s">
        <v>2369</v>
      </c>
      <c r="D1945" s="709" t="s">
        <v>234</v>
      </c>
      <c r="E1945" s="711">
        <v>0</v>
      </c>
    </row>
    <row r="1946" spans="1:5" x14ac:dyDescent="0.3">
      <c r="A1946" s="397"/>
      <c r="B1946" s="709">
        <v>92116</v>
      </c>
      <c r="C1946" s="710" t="s">
        <v>2370</v>
      </c>
      <c r="D1946" s="709" t="s">
        <v>234</v>
      </c>
      <c r="E1946" s="711">
        <v>0</v>
      </c>
    </row>
    <row r="1947" spans="1:5" x14ac:dyDescent="0.3">
      <c r="A1947" s="397"/>
      <c r="B1947" s="709">
        <v>102915</v>
      </c>
      <c r="C1947" s="710" t="s">
        <v>2374</v>
      </c>
      <c r="D1947" s="709" t="s">
        <v>234</v>
      </c>
      <c r="E1947" s="711">
        <v>0</v>
      </c>
    </row>
    <row r="1948" spans="1:5" x14ac:dyDescent="0.3">
      <c r="A1948" s="397"/>
      <c r="B1948" s="709">
        <v>95716</v>
      </c>
      <c r="C1948" s="710" t="s">
        <v>2375</v>
      </c>
      <c r="D1948" s="709" t="s">
        <v>234</v>
      </c>
      <c r="E1948" s="711">
        <v>0</v>
      </c>
    </row>
    <row r="1949" spans="1:5" x14ac:dyDescent="0.3">
      <c r="A1949" s="397"/>
      <c r="B1949" s="709">
        <v>95717</v>
      </c>
      <c r="C1949" s="710" t="s">
        <v>2376</v>
      </c>
      <c r="D1949" s="709" t="s">
        <v>234</v>
      </c>
      <c r="E1949" s="711">
        <v>0</v>
      </c>
    </row>
    <row r="1950" spans="1:5" x14ac:dyDescent="0.3">
      <c r="A1950" s="397"/>
      <c r="B1950" s="709">
        <v>95718</v>
      </c>
      <c r="C1950" s="710" t="s">
        <v>2377</v>
      </c>
      <c r="D1950" s="709" t="s">
        <v>234</v>
      </c>
      <c r="E1950" s="711">
        <v>0</v>
      </c>
    </row>
    <row r="1951" spans="1:5" x14ac:dyDescent="0.3">
      <c r="A1951" s="397"/>
      <c r="B1951" s="709">
        <v>95719</v>
      </c>
      <c r="C1951" s="710" t="s">
        <v>2378</v>
      </c>
      <c r="D1951" s="709" t="s">
        <v>234</v>
      </c>
      <c r="E1951" s="711">
        <v>0</v>
      </c>
    </row>
    <row r="1952" spans="1:5" x14ac:dyDescent="0.3">
      <c r="A1952" s="397"/>
      <c r="B1952" s="709">
        <v>104712</v>
      </c>
      <c r="C1952" s="710" t="s">
        <v>2379</v>
      </c>
      <c r="D1952" s="709" t="s">
        <v>234</v>
      </c>
      <c r="E1952" s="711">
        <v>0</v>
      </c>
    </row>
    <row r="1953" spans="1:5" x14ac:dyDescent="0.3">
      <c r="A1953" s="397"/>
      <c r="B1953" s="709">
        <v>104713</v>
      </c>
      <c r="C1953" s="710" t="s">
        <v>2380</v>
      </c>
      <c r="D1953" s="709" t="s">
        <v>234</v>
      </c>
      <c r="E1953" s="711">
        <v>0</v>
      </c>
    </row>
    <row r="1954" spans="1:5" x14ac:dyDescent="0.3">
      <c r="A1954" s="397"/>
      <c r="B1954" s="709">
        <v>104714</v>
      </c>
      <c r="C1954" s="710" t="s">
        <v>2381</v>
      </c>
      <c r="D1954" s="709" t="s">
        <v>234</v>
      </c>
      <c r="E1954" s="711">
        <v>0</v>
      </c>
    </row>
    <row r="1955" spans="1:5" x14ac:dyDescent="0.3">
      <c r="A1955" s="397"/>
      <c r="B1955" s="709">
        <v>104715</v>
      </c>
      <c r="C1955" s="710" t="s">
        <v>2382</v>
      </c>
      <c r="D1955" s="709" t="s">
        <v>234</v>
      </c>
      <c r="E1955" s="711">
        <v>0</v>
      </c>
    </row>
    <row r="1956" spans="1:5" x14ac:dyDescent="0.3">
      <c r="A1956" s="397"/>
      <c r="B1956" s="709">
        <v>106397</v>
      </c>
      <c r="C1956" s="710" t="s">
        <v>13371</v>
      </c>
      <c r="D1956" s="709" t="s">
        <v>234</v>
      </c>
      <c r="E1956" s="711">
        <v>0</v>
      </c>
    </row>
    <row r="1957" spans="1:5" x14ac:dyDescent="0.3">
      <c r="A1957" s="397"/>
      <c r="B1957" s="709">
        <v>106403</v>
      </c>
      <c r="C1957" s="710" t="s">
        <v>13372</v>
      </c>
      <c r="D1957" s="709" t="s">
        <v>234</v>
      </c>
      <c r="E1957" s="711">
        <v>0</v>
      </c>
    </row>
    <row r="1958" spans="1:5" x14ac:dyDescent="0.3">
      <c r="A1958" s="397"/>
      <c r="B1958" s="709">
        <v>102897</v>
      </c>
      <c r="C1958" s="710" t="s">
        <v>2386</v>
      </c>
      <c r="D1958" s="709" t="s">
        <v>234</v>
      </c>
      <c r="E1958" s="711">
        <v>0</v>
      </c>
    </row>
    <row r="1959" spans="1:5" x14ac:dyDescent="0.3">
      <c r="A1959" s="397"/>
      <c r="B1959" s="709">
        <v>5627</v>
      </c>
      <c r="C1959" s="710" t="s">
        <v>2387</v>
      </c>
      <c r="D1959" s="709" t="s">
        <v>234</v>
      </c>
      <c r="E1959" s="711">
        <v>0</v>
      </c>
    </row>
    <row r="1960" spans="1:5" x14ac:dyDescent="0.3">
      <c r="A1960" s="397"/>
      <c r="B1960" s="709">
        <v>5628</v>
      </c>
      <c r="C1960" s="710" t="s">
        <v>2388</v>
      </c>
      <c r="D1960" s="709" t="s">
        <v>234</v>
      </c>
      <c r="E1960" s="711">
        <v>0</v>
      </c>
    </row>
    <row r="1961" spans="1:5" x14ac:dyDescent="0.3">
      <c r="A1961" s="397"/>
      <c r="B1961" s="709">
        <v>5629</v>
      </c>
      <c r="C1961" s="710" t="s">
        <v>2389</v>
      </c>
      <c r="D1961" s="709" t="s">
        <v>234</v>
      </c>
      <c r="E1961" s="711">
        <v>0</v>
      </c>
    </row>
    <row r="1962" spans="1:5" x14ac:dyDescent="0.3">
      <c r="A1962" s="397"/>
      <c r="B1962" s="709">
        <v>5630</v>
      </c>
      <c r="C1962" s="710" t="s">
        <v>2390</v>
      </c>
      <c r="D1962" s="709" t="s">
        <v>234</v>
      </c>
      <c r="E1962" s="711">
        <v>0</v>
      </c>
    </row>
    <row r="1963" spans="1:5" x14ac:dyDescent="0.3">
      <c r="A1963" s="397"/>
      <c r="B1963" s="709">
        <v>88900</v>
      </c>
      <c r="C1963" s="710" t="s">
        <v>2391</v>
      </c>
      <c r="D1963" s="709" t="s">
        <v>234</v>
      </c>
      <c r="E1963" s="711">
        <v>0</v>
      </c>
    </row>
    <row r="1964" spans="1:5" x14ac:dyDescent="0.3">
      <c r="A1964" s="397"/>
      <c r="B1964" s="709">
        <v>88902</v>
      </c>
      <c r="C1964" s="710" t="s">
        <v>2392</v>
      </c>
      <c r="D1964" s="709" t="s">
        <v>234</v>
      </c>
      <c r="E1964" s="711">
        <v>0</v>
      </c>
    </row>
    <row r="1965" spans="1:5" x14ac:dyDescent="0.3">
      <c r="A1965" s="397"/>
      <c r="B1965" s="709">
        <v>88903</v>
      </c>
      <c r="C1965" s="710" t="s">
        <v>2393</v>
      </c>
      <c r="D1965" s="709" t="s">
        <v>234</v>
      </c>
      <c r="E1965" s="711">
        <v>0</v>
      </c>
    </row>
    <row r="1966" spans="1:5" x14ac:dyDescent="0.3">
      <c r="A1966" s="397"/>
      <c r="B1966" s="709">
        <v>88904</v>
      </c>
      <c r="C1966" s="710" t="s">
        <v>2394</v>
      </c>
      <c r="D1966" s="709" t="s">
        <v>234</v>
      </c>
      <c r="E1966" s="711">
        <v>0</v>
      </c>
    </row>
    <row r="1967" spans="1:5" x14ac:dyDescent="0.3">
      <c r="A1967" s="397"/>
      <c r="B1967" s="709">
        <v>88569</v>
      </c>
      <c r="C1967" s="710" t="s">
        <v>2395</v>
      </c>
      <c r="D1967" s="709" t="s">
        <v>234</v>
      </c>
      <c r="E1967" s="711">
        <v>0</v>
      </c>
    </row>
    <row r="1968" spans="1:5" x14ac:dyDescent="0.3">
      <c r="A1968" s="397"/>
      <c r="B1968" s="709">
        <v>88570</v>
      </c>
      <c r="C1968" s="710" t="s">
        <v>2396</v>
      </c>
      <c r="D1968" s="709" t="s">
        <v>234</v>
      </c>
      <c r="E1968" s="711">
        <v>0</v>
      </c>
    </row>
    <row r="1969" spans="1:5" x14ac:dyDescent="0.3">
      <c r="A1969" s="397"/>
      <c r="B1969" s="709">
        <v>5765</v>
      </c>
      <c r="C1969" s="710" t="s">
        <v>2397</v>
      </c>
      <c r="D1969" s="709" t="s">
        <v>234</v>
      </c>
      <c r="E1969" s="711">
        <v>0</v>
      </c>
    </row>
    <row r="1970" spans="1:5" x14ac:dyDescent="0.3">
      <c r="A1970" s="397"/>
      <c r="B1970" s="709">
        <v>5766</v>
      </c>
      <c r="C1970" s="710" t="s">
        <v>2398</v>
      </c>
      <c r="D1970" s="709" t="s">
        <v>234</v>
      </c>
      <c r="E1970" s="711">
        <v>0</v>
      </c>
    </row>
    <row r="1971" spans="1:5" x14ac:dyDescent="0.3">
      <c r="A1971" s="397"/>
      <c r="B1971" s="709">
        <v>91468</v>
      </c>
      <c r="C1971" s="710" t="s">
        <v>2399</v>
      </c>
      <c r="D1971" s="709" t="s">
        <v>234</v>
      </c>
      <c r="E1971" s="711">
        <v>0</v>
      </c>
    </row>
    <row r="1972" spans="1:5" x14ac:dyDescent="0.3">
      <c r="A1972" s="397"/>
      <c r="B1972" s="709">
        <v>91484</v>
      </c>
      <c r="C1972" s="710" t="s">
        <v>2400</v>
      </c>
      <c r="D1972" s="709" t="s">
        <v>234</v>
      </c>
      <c r="E1972" s="711">
        <v>0</v>
      </c>
    </row>
    <row r="1973" spans="1:5" x14ac:dyDescent="0.3">
      <c r="A1973" s="397"/>
      <c r="B1973" s="709">
        <v>91469</v>
      </c>
      <c r="C1973" s="710" t="s">
        <v>2401</v>
      </c>
      <c r="D1973" s="709" t="s">
        <v>234</v>
      </c>
      <c r="E1973" s="711">
        <v>0</v>
      </c>
    </row>
    <row r="1974" spans="1:5" x14ac:dyDescent="0.3">
      <c r="A1974" s="397"/>
      <c r="B1974" s="709">
        <v>83361</v>
      </c>
      <c r="C1974" s="710" t="s">
        <v>2402</v>
      </c>
      <c r="D1974" s="709" t="s">
        <v>234</v>
      </c>
      <c r="E1974" s="711">
        <v>0</v>
      </c>
    </row>
    <row r="1975" spans="1:5" x14ac:dyDescent="0.3">
      <c r="A1975" s="397"/>
      <c r="B1975" s="709">
        <v>91485</v>
      </c>
      <c r="C1975" s="710" t="s">
        <v>2403</v>
      </c>
      <c r="D1975" s="709" t="s">
        <v>234</v>
      </c>
      <c r="E1975" s="711">
        <v>0</v>
      </c>
    </row>
    <row r="1976" spans="1:5" x14ac:dyDescent="0.3">
      <c r="A1976" s="397"/>
      <c r="B1976" s="709">
        <v>89230</v>
      </c>
      <c r="C1976" s="710" t="s">
        <v>2407</v>
      </c>
      <c r="D1976" s="709" t="s">
        <v>234</v>
      </c>
      <c r="E1976" s="711">
        <v>0</v>
      </c>
    </row>
    <row r="1977" spans="1:5" x14ac:dyDescent="0.3">
      <c r="A1977" s="397"/>
      <c r="B1977" s="709">
        <v>89231</v>
      </c>
      <c r="C1977" s="710" t="s">
        <v>2408</v>
      </c>
      <c r="D1977" s="709" t="s">
        <v>234</v>
      </c>
      <c r="E1977" s="711">
        <v>0</v>
      </c>
    </row>
    <row r="1978" spans="1:5" x14ac:dyDescent="0.3">
      <c r="A1978" s="397"/>
      <c r="B1978" s="709">
        <v>89232</v>
      </c>
      <c r="C1978" s="710" t="s">
        <v>2409</v>
      </c>
      <c r="D1978" s="709" t="s">
        <v>234</v>
      </c>
      <c r="E1978" s="711">
        <v>0</v>
      </c>
    </row>
    <row r="1979" spans="1:5" x14ac:dyDescent="0.3">
      <c r="A1979" s="397"/>
      <c r="B1979" s="709">
        <v>89233</v>
      </c>
      <c r="C1979" s="710" t="s">
        <v>2410</v>
      </c>
      <c r="D1979" s="709" t="s">
        <v>234</v>
      </c>
      <c r="E1979" s="711">
        <v>0</v>
      </c>
    </row>
    <row r="1980" spans="1:5" x14ac:dyDescent="0.3">
      <c r="A1980" s="397"/>
      <c r="B1980" s="709">
        <v>89236</v>
      </c>
      <c r="C1980" s="710" t="s">
        <v>2411</v>
      </c>
      <c r="D1980" s="709" t="s">
        <v>234</v>
      </c>
      <c r="E1980" s="711">
        <v>0</v>
      </c>
    </row>
    <row r="1981" spans="1:5" x14ac:dyDescent="0.3">
      <c r="A1981" s="397"/>
      <c r="B1981" s="709">
        <v>89237</v>
      </c>
      <c r="C1981" s="710" t="s">
        <v>2412</v>
      </c>
      <c r="D1981" s="709" t="s">
        <v>234</v>
      </c>
      <c r="E1981" s="711">
        <v>0</v>
      </c>
    </row>
    <row r="1982" spans="1:5" x14ac:dyDescent="0.3">
      <c r="A1982" s="397"/>
      <c r="B1982" s="709">
        <v>89238</v>
      </c>
      <c r="C1982" s="710" t="s">
        <v>2413</v>
      </c>
      <c r="D1982" s="709" t="s">
        <v>234</v>
      </c>
      <c r="E1982" s="711">
        <v>0</v>
      </c>
    </row>
    <row r="1983" spans="1:5" x14ac:dyDescent="0.3">
      <c r="A1983" s="397"/>
      <c r="B1983" s="709">
        <v>89239</v>
      </c>
      <c r="C1983" s="710" t="s">
        <v>2414</v>
      </c>
      <c r="D1983" s="709" t="s">
        <v>234</v>
      </c>
      <c r="E1983" s="711">
        <v>0</v>
      </c>
    </row>
    <row r="1984" spans="1:5" x14ac:dyDescent="0.3">
      <c r="A1984" s="397"/>
      <c r="B1984" s="709">
        <v>102933</v>
      </c>
      <c r="C1984" s="710" t="s">
        <v>2418</v>
      </c>
      <c r="D1984" s="709" t="s">
        <v>234</v>
      </c>
      <c r="E1984" s="711">
        <v>0</v>
      </c>
    </row>
    <row r="1985" spans="1:5" x14ac:dyDescent="0.3">
      <c r="A1985" s="397"/>
      <c r="B1985" s="709">
        <v>93411</v>
      </c>
      <c r="C1985" s="710" t="s">
        <v>2419</v>
      </c>
      <c r="D1985" s="709" t="s">
        <v>234</v>
      </c>
      <c r="E1985" s="711">
        <v>0</v>
      </c>
    </row>
    <row r="1986" spans="1:5" x14ac:dyDescent="0.3">
      <c r="A1986" s="397"/>
      <c r="B1986" s="709">
        <v>93412</v>
      </c>
      <c r="C1986" s="710" t="s">
        <v>2420</v>
      </c>
      <c r="D1986" s="709" t="s">
        <v>234</v>
      </c>
      <c r="E1986" s="711">
        <v>0</v>
      </c>
    </row>
    <row r="1987" spans="1:5" x14ac:dyDescent="0.3">
      <c r="A1987" s="397"/>
      <c r="B1987" s="709">
        <v>93413</v>
      </c>
      <c r="C1987" s="710" t="s">
        <v>2421</v>
      </c>
      <c r="D1987" s="709" t="s">
        <v>234</v>
      </c>
      <c r="E1987" s="711">
        <v>0</v>
      </c>
    </row>
    <row r="1988" spans="1:5" x14ac:dyDescent="0.3">
      <c r="A1988" s="397"/>
      <c r="B1988" s="709">
        <v>93414</v>
      </c>
      <c r="C1988" s="710" t="s">
        <v>2422</v>
      </c>
      <c r="D1988" s="709" t="s">
        <v>234</v>
      </c>
      <c r="E1988" s="711">
        <v>0</v>
      </c>
    </row>
    <row r="1989" spans="1:5" x14ac:dyDescent="0.3">
      <c r="A1989" s="397"/>
      <c r="B1989" s="709">
        <v>88855</v>
      </c>
      <c r="C1989" s="710" t="s">
        <v>2423</v>
      </c>
      <c r="D1989" s="709" t="s">
        <v>234</v>
      </c>
      <c r="E1989" s="711">
        <v>0</v>
      </c>
    </row>
    <row r="1990" spans="1:5" x14ac:dyDescent="0.3">
      <c r="A1990" s="397"/>
      <c r="B1990" s="709">
        <v>88856</v>
      </c>
      <c r="C1990" s="710" t="s">
        <v>2424</v>
      </c>
      <c r="D1990" s="709" t="s">
        <v>234</v>
      </c>
      <c r="E1990" s="711">
        <v>0</v>
      </c>
    </row>
    <row r="1991" spans="1:5" x14ac:dyDescent="0.3">
      <c r="A1991" s="397"/>
      <c r="B1991" s="709">
        <v>5658</v>
      </c>
      <c r="C1991" s="710" t="s">
        <v>2425</v>
      </c>
      <c r="D1991" s="709" t="s">
        <v>234</v>
      </c>
      <c r="E1991" s="711">
        <v>0</v>
      </c>
    </row>
    <row r="1992" spans="1:5" x14ac:dyDescent="0.3">
      <c r="A1992" s="397"/>
      <c r="B1992" s="709">
        <v>53840</v>
      </c>
      <c r="C1992" s="710" t="s">
        <v>2426</v>
      </c>
      <c r="D1992" s="709" t="s">
        <v>234</v>
      </c>
      <c r="E1992" s="711">
        <v>0</v>
      </c>
    </row>
    <row r="1993" spans="1:5" x14ac:dyDescent="0.3">
      <c r="A1993" s="397"/>
      <c r="B1993" s="709">
        <v>87026</v>
      </c>
      <c r="C1993" s="710" t="s">
        <v>2427</v>
      </c>
      <c r="D1993" s="709" t="s">
        <v>234</v>
      </c>
      <c r="E1993" s="711">
        <v>0</v>
      </c>
    </row>
    <row r="1994" spans="1:5" x14ac:dyDescent="0.3">
      <c r="A1994" s="397"/>
      <c r="B1994" s="709">
        <v>53841</v>
      </c>
      <c r="C1994" s="710" t="s">
        <v>2428</v>
      </c>
      <c r="D1994" s="709" t="s">
        <v>234</v>
      </c>
      <c r="E1994" s="711">
        <v>0</v>
      </c>
    </row>
    <row r="1995" spans="1:5" x14ac:dyDescent="0.3">
      <c r="A1995" s="397"/>
      <c r="B1995" s="709">
        <v>95209</v>
      </c>
      <c r="C1995" s="710" t="s">
        <v>2429</v>
      </c>
      <c r="D1995" s="709" t="s">
        <v>234</v>
      </c>
      <c r="E1995" s="711">
        <v>0</v>
      </c>
    </row>
    <row r="1996" spans="1:5" x14ac:dyDescent="0.3">
      <c r="A1996" s="397"/>
      <c r="B1996" s="709">
        <v>95210</v>
      </c>
      <c r="C1996" s="710" t="s">
        <v>2430</v>
      </c>
      <c r="D1996" s="709" t="s">
        <v>234</v>
      </c>
      <c r="E1996" s="711">
        <v>0</v>
      </c>
    </row>
    <row r="1997" spans="1:5" x14ac:dyDescent="0.3">
      <c r="A1997" s="397"/>
      <c r="B1997" s="709">
        <v>95211</v>
      </c>
      <c r="C1997" s="710" t="s">
        <v>2431</v>
      </c>
      <c r="D1997" s="709" t="s">
        <v>234</v>
      </c>
      <c r="E1997" s="711">
        <v>0</v>
      </c>
    </row>
    <row r="1998" spans="1:5" x14ac:dyDescent="0.3">
      <c r="A1998" s="397"/>
      <c r="B1998" s="709">
        <v>93267</v>
      </c>
      <c r="C1998" s="710" t="s">
        <v>2432</v>
      </c>
      <c r="D1998" s="709" t="s">
        <v>234</v>
      </c>
      <c r="E1998" s="711">
        <v>0</v>
      </c>
    </row>
    <row r="1999" spans="1:5" x14ac:dyDescent="0.3">
      <c r="A1999" s="397"/>
      <c r="B1999" s="709">
        <v>93269</v>
      </c>
      <c r="C1999" s="710" t="s">
        <v>2433</v>
      </c>
      <c r="D1999" s="709" t="s">
        <v>234</v>
      </c>
      <c r="E1999" s="711">
        <v>0</v>
      </c>
    </row>
    <row r="2000" spans="1:5" x14ac:dyDescent="0.3">
      <c r="A2000" s="397"/>
      <c r="B2000" s="709">
        <v>93270</v>
      </c>
      <c r="C2000" s="710" t="s">
        <v>2434</v>
      </c>
      <c r="D2000" s="709" t="s">
        <v>234</v>
      </c>
      <c r="E2000" s="711">
        <v>0</v>
      </c>
    </row>
    <row r="2001" spans="1:5" x14ac:dyDescent="0.3">
      <c r="A2001" s="397"/>
      <c r="B2001" s="709">
        <v>93271</v>
      </c>
      <c r="C2001" s="710" t="s">
        <v>2435</v>
      </c>
      <c r="D2001" s="709" t="s">
        <v>234</v>
      </c>
      <c r="E2001" s="711">
        <v>0</v>
      </c>
    </row>
    <row r="2002" spans="1:5" x14ac:dyDescent="0.3">
      <c r="A2002" s="397"/>
      <c r="B2002" s="709">
        <v>95208</v>
      </c>
      <c r="C2002" s="710" t="s">
        <v>2436</v>
      </c>
      <c r="D2002" s="709" t="s">
        <v>234</v>
      </c>
      <c r="E2002" s="711">
        <v>0</v>
      </c>
    </row>
    <row r="2003" spans="1:5" x14ac:dyDescent="0.3">
      <c r="A2003" s="397"/>
      <c r="B2003" s="709">
        <v>83761</v>
      </c>
      <c r="C2003" s="710" t="s">
        <v>2437</v>
      </c>
      <c r="D2003" s="709" t="s">
        <v>234</v>
      </c>
      <c r="E2003" s="711">
        <v>0</v>
      </c>
    </row>
    <row r="2004" spans="1:5" x14ac:dyDescent="0.3">
      <c r="A2004" s="397"/>
      <c r="B2004" s="709">
        <v>83764</v>
      </c>
      <c r="C2004" s="710" t="s">
        <v>2438</v>
      </c>
      <c r="D2004" s="709" t="s">
        <v>234</v>
      </c>
      <c r="E2004" s="711">
        <v>0</v>
      </c>
    </row>
    <row r="2005" spans="1:5" x14ac:dyDescent="0.3">
      <c r="A2005" s="397"/>
      <c r="B2005" s="709">
        <v>83762</v>
      </c>
      <c r="C2005" s="710" t="s">
        <v>2439</v>
      </c>
      <c r="D2005" s="709" t="s">
        <v>234</v>
      </c>
      <c r="E2005" s="711">
        <v>0</v>
      </c>
    </row>
    <row r="2006" spans="1:5" x14ac:dyDescent="0.3">
      <c r="A2006" s="397"/>
      <c r="B2006" s="709">
        <v>83763</v>
      </c>
      <c r="C2006" s="710" t="s">
        <v>2440</v>
      </c>
      <c r="D2006" s="709" t="s">
        <v>234</v>
      </c>
      <c r="E2006" s="711">
        <v>0</v>
      </c>
    </row>
    <row r="2007" spans="1:5" x14ac:dyDescent="0.3">
      <c r="A2007" s="397"/>
      <c r="B2007" s="709">
        <v>95874</v>
      </c>
      <c r="C2007" s="710" t="s">
        <v>2441</v>
      </c>
      <c r="D2007" s="709" t="s">
        <v>234</v>
      </c>
      <c r="E2007" s="711">
        <v>0</v>
      </c>
    </row>
    <row r="2008" spans="1:5" x14ac:dyDescent="0.3">
      <c r="A2008" s="397"/>
      <c r="B2008" s="709">
        <v>95869</v>
      </c>
      <c r="C2008" s="710" t="s">
        <v>2442</v>
      </c>
      <c r="D2008" s="709" t="s">
        <v>234</v>
      </c>
      <c r="E2008" s="711">
        <v>0</v>
      </c>
    </row>
    <row r="2009" spans="1:5" x14ac:dyDescent="0.3">
      <c r="A2009" s="397"/>
      <c r="B2009" s="709">
        <v>95870</v>
      </c>
      <c r="C2009" s="710" t="s">
        <v>2443</v>
      </c>
      <c r="D2009" s="709" t="s">
        <v>234</v>
      </c>
      <c r="E2009" s="711">
        <v>0</v>
      </c>
    </row>
    <row r="2010" spans="1:5" x14ac:dyDescent="0.3">
      <c r="A2010" s="397"/>
      <c r="B2010" s="709">
        <v>95871</v>
      </c>
      <c r="C2010" s="710" t="s">
        <v>2444</v>
      </c>
      <c r="D2010" s="709" t="s">
        <v>234</v>
      </c>
      <c r="E2010" s="711">
        <v>0</v>
      </c>
    </row>
    <row r="2011" spans="1:5" x14ac:dyDescent="0.3">
      <c r="A2011" s="397"/>
      <c r="B2011" s="709">
        <v>104687</v>
      </c>
      <c r="C2011" s="710" t="s">
        <v>2448</v>
      </c>
      <c r="D2011" s="709" t="s">
        <v>234</v>
      </c>
      <c r="E2011" s="711">
        <v>0</v>
      </c>
    </row>
    <row r="2012" spans="1:5" x14ac:dyDescent="0.3">
      <c r="A2012" s="397"/>
      <c r="B2012" s="709">
        <v>73303</v>
      </c>
      <c r="C2012" s="710" t="s">
        <v>2449</v>
      </c>
      <c r="D2012" s="709" t="s">
        <v>234</v>
      </c>
      <c r="E2012" s="711">
        <v>0</v>
      </c>
    </row>
    <row r="2013" spans="1:5" x14ac:dyDescent="0.3">
      <c r="A2013" s="397"/>
      <c r="B2013" s="709">
        <v>93235</v>
      </c>
      <c r="C2013" s="710" t="s">
        <v>2450</v>
      </c>
      <c r="D2013" s="709" t="s">
        <v>234</v>
      </c>
      <c r="E2013" s="711">
        <v>0</v>
      </c>
    </row>
    <row r="2014" spans="1:5" x14ac:dyDescent="0.3">
      <c r="A2014" s="397"/>
      <c r="B2014" s="709">
        <v>73307</v>
      </c>
      <c r="C2014" s="710" t="s">
        <v>2451</v>
      </c>
      <c r="D2014" s="709" t="s">
        <v>234</v>
      </c>
      <c r="E2014" s="711">
        <v>0</v>
      </c>
    </row>
    <row r="2015" spans="1:5" x14ac:dyDescent="0.3">
      <c r="A2015" s="397"/>
      <c r="B2015" s="709">
        <v>73311</v>
      </c>
      <c r="C2015" s="710" t="s">
        <v>2452</v>
      </c>
      <c r="D2015" s="709" t="s">
        <v>234</v>
      </c>
      <c r="E2015" s="711">
        <v>0</v>
      </c>
    </row>
    <row r="2016" spans="1:5" x14ac:dyDescent="0.3">
      <c r="A2016" s="397"/>
      <c r="B2016" s="709">
        <v>93423</v>
      </c>
      <c r="C2016" s="710" t="s">
        <v>2453</v>
      </c>
      <c r="D2016" s="709" t="s">
        <v>234</v>
      </c>
      <c r="E2016" s="711">
        <v>0</v>
      </c>
    </row>
    <row r="2017" spans="1:5" x14ac:dyDescent="0.3">
      <c r="A2017" s="397"/>
      <c r="B2017" s="709">
        <v>93424</v>
      </c>
      <c r="C2017" s="710" t="s">
        <v>2454</v>
      </c>
      <c r="D2017" s="709" t="s">
        <v>234</v>
      </c>
      <c r="E2017" s="711">
        <v>0</v>
      </c>
    </row>
    <row r="2018" spans="1:5" x14ac:dyDescent="0.3">
      <c r="A2018" s="397"/>
      <c r="B2018" s="709">
        <v>93425</v>
      </c>
      <c r="C2018" s="710" t="s">
        <v>2455</v>
      </c>
      <c r="D2018" s="709" t="s">
        <v>234</v>
      </c>
      <c r="E2018" s="711">
        <v>0</v>
      </c>
    </row>
    <row r="2019" spans="1:5" x14ac:dyDescent="0.3">
      <c r="A2019" s="397"/>
      <c r="B2019" s="709">
        <v>93426</v>
      </c>
      <c r="C2019" s="710" t="s">
        <v>2456</v>
      </c>
      <c r="D2019" s="709" t="s">
        <v>234</v>
      </c>
      <c r="E2019" s="711">
        <v>0</v>
      </c>
    </row>
    <row r="2020" spans="1:5" x14ac:dyDescent="0.3">
      <c r="A2020" s="397"/>
      <c r="B2020" s="709">
        <v>93417</v>
      </c>
      <c r="C2020" s="710" t="s">
        <v>2457</v>
      </c>
      <c r="D2020" s="709" t="s">
        <v>234</v>
      </c>
      <c r="E2020" s="711">
        <v>0</v>
      </c>
    </row>
    <row r="2021" spans="1:5" x14ac:dyDescent="0.3">
      <c r="A2021" s="397"/>
      <c r="B2021" s="709">
        <v>93418</v>
      </c>
      <c r="C2021" s="710" t="s">
        <v>2458</v>
      </c>
      <c r="D2021" s="709" t="s">
        <v>234</v>
      </c>
      <c r="E2021" s="711">
        <v>0</v>
      </c>
    </row>
    <row r="2022" spans="1:5" x14ac:dyDescent="0.3">
      <c r="A2022" s="397"/>
      <c r="B2022" s="709">
        <v>93419</v>
      </c>
      <c r="C2022" s="710" t="s">
        <v>2459</v>
      </c>
      <c r="D2022" s="709" t="s">
        <v>234</v>
      </c>
      <c r="E2022" s="711">
        <v>0</v>
      </c>
    </row>
    <row r="2023" spans="1:5" x14ac:dyDescent="0.3">
      <c r="A2023" s="397"/>
      <c r="B2023" s="709">
        <v>93420</v>
      </c>
      <c r="C2023" s="710" t="s">
        <v>2460</v>
      </c>
      <c r="D2023" s="709" t="s">
        <v>234</v>
      </c>
      <c r="E2023" s="711">
        <v>0</v>
      </c>
    </row>
    <row r="2024" spans="1:5" x14ac:dyDescent="0.3">
      <c r="A2024" s="397"/>
      <c r="B2024" s="709">
        <v>93277</v>
      </c>
      <c r="C2024" s="710" t="s">
        <v>2461</v>
      </c>
      <c r="D2024" s="709" t="s">
        <v>234</v>
      </c>
      <c r="E2024" s="711">
        <v>0</v>
      </c>
    </row>
    <row r="2025" spans="1:5" x14ac:dyDescent="0.3">
      <c r="A2025" s="397"/>
      <c r="B2025" s="709">
        <v>93278</v>
      </c>
      <c r="C2025" s="710" t="s">
        <v>2462</v>
      </c>
      <c r="D2025" s="709" t="s">
        <v>234</v>
      </c>
      <c r="E2025" s="711">
        <v>0</v>
      </c>
    </row>
    <row r="2026" spans="1:5" x14ac:dyDescent="0.3">
      <c r="A2026" s="397"/>
      <c r="B2026" s="709">
        <v>93279</v>
      </c>
      <c r="C2026" s="710" t="s">
        <v>2463</v>
      </c>
      <c r="D2026" s="709" t="s">
        <v>234</v>
      </c>
      <c r="E2026" s="711">
        <v>0</v>
      </c>
    </row>
    <row r="2027" spans="1:5" x14ac:dyDescent="0.3">
      <c r="A2027" s="397"/>
      <c r="B2027" s="709">
        <v>93280</v>
      </c>
      <c r="C2027" s="710" t="s">
        <v>2464</v>
      </c>
      <c r="D2027" s="709" t="s">
        <v>234</v>
      </c>
      <c r="E2027" s="711">
        <v>0</v>
      </c>
    </row>
    <row r="2028" spans="1:5" x14ac:dyDescent="0.3">
      <c r="A2028" s="397"/>
      <c r="B2028" s="709">
        <v>104912</v>
      </c>
      <c r="C2028" s="710" t="s">
        <v>2468</v>
      </c>
      <c r="D2028" s="709" t="s">
        <v>234</v>
      </c>
      <c r="E2028" s="711">
        <v>0</v>
      </c>
    </row>
    <row r="2029" spans="1:5" x14ac:dyDescent="0.3">
      <c r="A2029" s="397"/>
      <c r="B2029" s="709">
        <v>102843</v>
      </c>
      <c r="C2029" s="710" t="s">
        <v>2472</v>
      </c>
      <c r="D2029" s="709" t="s">
        <v>234</v>
      </c>
      <c r="E2029" s="711">
        <v>0</v>
      </c>
    </row>
    <row r="2030" spans="1:5" x14ac:dyDescent="0.3">
      <c r="A2030" s="397"/>
      <c r="B2030" s="709">
        <v>89267</v>
      </c>
      <c r="C2030" s="710" t="s">
        <v>2473</v>
      </c>
      <c r="D2030" s="709" t="s">
        <v>234</v>
      </c>
      <c r="E2030" s="711">
        <v>0</v>
      </c>
    </row>
    <row r="2031" spans="1:5" x14ac:dyDescent="0.3">
      <c r="A2031" s="397"/>
      <c r="B2031" s="709">
        <v>89269</v>
      </c>
      <c r="C2031" s="710" t="s">
        <v>2474</v>
      </c>
      <c r="D2031" s="709" t="s">
        <v>234</v>
      </c>
      <c r="E2031" s="711">
        <v>0</v>
      </c>
    </row>
    <row r="2032" spans="1:5" x14ac:dyDescent="0.3">
      <c r="A2032" s="397"/>
      <c r="B2032" s="709">
        <v>89268</v>
      </c>
      <c r="C2032" s="710" t="s">
        <v>2475</v>
      </c>
      <c r="D2032" s="709" t="s">
        <v>234</v>
      </c>
      <c r="E2032" s="711">
        <v>0</v>
      </c>
    </row>
    <row r="2033" spans="1:5" x14ac:dyDescent="0.3">
      <c r="A2033" s="397"/>
      <c r="B2033" s="709">
        <v>89270</v>
      </c>
      <c r="C2033" s="710" t="s">
        <v>2476</v>
      </c>
      <c r="D2033" s="709" t="s">
        <v>234</v>
      </c>
      <c r="E2033" s="711">
        <v>0</v>
      </c>
    </row>
    <row r="2034" spans="1:5" x14ac:dyDescent="0.3">
      <c r="A2034" s="397"/>
      <c r="B2034" s="709">
        <v>89271</v>
      </c>
      <c r="C2034" s="710" t="s">
        <v>2477</v>
      </c>
      <c r="D2034" s="709" t="s">
        <v>234</v>
      </c>
      <c r="E2034" s="711">
        <v>0</v>
      </c>
    </row>
    <row r="2035" spans="1:5" x14ac:dyDescent="0.3">
      <c r="A2035" s="397"/>
      <c r="B2035" s="709">
        <v>93283</v>
      </c>
      <c r="C2035" s="710" t="s">
        <v>2478</v>
      </c>
      <c r="D2035" s="709" t="s">
        <v>234</v>
      </c>
      <c r="E2035" s="711">
        <v>0</v>
      </c>
    </row>
    <row r="2036" spans="1:5" x14ac:dyDescent="0.3">
      <c r="A2036" s="397"/>
      <c r="B2036" s="709">
        <v>93296</v>
      </c>
      <c r="C2036" s="710" t="s">
        <v>2479</v>
      </c>
      <c r="D2036" s="709" t="s">
        <v>234</v>
      </c>
      <c r="E2036" s="711">
        <v>0</v>
      </c>
    </row>
    <row r="2037" spans="1:5" x14ac:dyDescent="0.3">
      <c r="A2037" s="397"/>
      <c r="B2037" s="709">
        <v>93284</v>
      </c>
      <c r="C2037" s="710" t="s">
        <v>2480</v>
      </c>
      <c r="D2037" s="709" t="s">
        <v>234</v>
      </c>
      <c r="E2037" s="711">
        <v>0</v>
      </c>
    </row>
    <row r="2038" spans="1:5" x14ac:dyDescent="0.3">
      <c r="A2038" s="397"/>
      <c r="B2038" s="709">
        <v>93285</v>
      </c>
      <c r="C2038" s="710" t="s">
        <v>2481</v>
      </c>
      <c r="D2038" s="709" t="s">
        <v>234</v>
      </c>
      <c r="E2038" s="711">
        <v>0</v>
      </c>
    </row>
    <row r="2039" spans="1:5" x14ac:dyDescent="0.3">
      <c r="A2039" s="397"/>
      <c r="B2039" s="709">
        <v>93286</v>
      </c>
      <c r="C2039" s="710" t="s">
        <v>2482</v>
      </c>
      <c r="D2039" s="709" t="s">
        <v>234</v>
      </c>
      <c r="E2039" s="711">
        <v>0</v>
      </c>
    </row>
    <row r="2040" spans="1:5" x14ac:dyDescent="0.3">
      <c r="A2040" s="397"/>
      <c r="B2040" s="709">
        <v>104709</v>
      </c>
      <c r="C2040" s="710" t="s">
        <v>2486</v>
      </c>
      <c r="D2040" s="709" t="s">
        <v>234</v>
      </c>
      <c r="E2040" s="711">
        <v>0</v>
      </c>
    </row>
    <row r="2041" spans="1:5" x14ac:dyDescent="0.3">
      <c r="A2041" s="397"/>
      <c r="B2041" s="709">
        <v>104906</v>
      </c>
      <c r="C2041" s="710" t="s">
        <v>2490</v>
      </c>
      <c r="D2041" s="709" t="s">
        <v>234</v>
      </c>
      <c r="E2041" s="711">
        <v>0</v>
      </c>
    </row>
    <row r="2042" spans="1:5" x14ac:dyDescent="0.3">
      <c r="A2042" s="397"/>
      <c r="B2042" s="709">
        <v>102849</v>
      </c>
      <c r="C2042" s="710" t="s">
        <v>2494</v>
      </c>
      <c r="D2042" s="709" t="s">
        <v>234</v>
      </c>
      <c r="E2042" s="711">
        <v>0</v>
      </c>
    </row>
    <row r="2043" spans="1:5" x14ac:dyDescent="0.3">
      <c r="A2043" s="397"/>
      <c r="B2043" s="709">
        <v>102855</v>
      </c>
      <c r="C2043" s="710" t="s">
        <v>2498</v>
      </c>
      <c r="D2043" s="709" t="s">
        <v>234</v>
      </c>
      <c r="E2043" s="711">
        <v>0</v>
      </c>
    </row>
    <row r="2044" spans="1:5" x14ac:dyDescent="0.3">
      <c r="A2044" s="397"/>
      <c r="B2044" s="709">
        <v>106242</v>
      </c>
      <c r="C2044" s="710" t="s">
        <v>13373</v>
      </c>
      <c r="D2044" s="709" t="s">
        <v>234</v>
      </c>
      <c r="E2044" s="711">
        <v>0</v>
      </c>
    </row>
    <row r="2045" spans="1:5" x14ac:dyDescent="0.3">
      <c r="A2045" s="397"/>
      <c r="B2045" s="709">
        <v>106245</v>
      </c>
      <c r="C2045" s="710" t="s">
        <v>13374</v>
      </c>
      <c r="D2045" s="709" t="s">
        <v>234</v>
      </c>
      <c r="E2045" s="711">
        <v>0</v>
      </c>
    </row>
    <row r="2046" spans="1:5" x14ac:dyDescent="0.3">
      <c r="A2046" s="397"/>
      <c r="B2046" s="709">
        <v>106243</v>
      </c>
      <c r="C2046" s="710" t="s">
        <v>13375</v>
      </c>
      <c r="D2046" s="709" t="s">
        <v>234</v>
      </c>
      <c r="E2046" s="711">
        <v>0</v>
      </c>
    </row>
    <row r="2047" spans="1:5" x14ac:dyDescent="0.3">
      <c r="A2047" s="397"/>
      <c r="B2047" s="709">
        <v>106244</v>
      </c>
      <c r="C2047" s="710" t="s">
        <v>13376</v>
      </c>
      <c r="D2047" s="709" t="s">
        <v>234</v>
      </c>
      <c r="E2047" s="711">
        <v>0</v>
      </c>
    </row>
    <row r="2048" spans="1:5" x14ac:dyDescent="0.3">
      <c r="A2048" s="397"/>
      <c r="B2048" s="709">
        <v>106246</v>
      </c>
      <c r="C2048" s="710" t="s">
        <v>13377</v>
      </c>
      <c r="D2048" s="709" t="s">
        <v>234</v>
      </c>
      <c r="E2048" s="711">
        <v>0</v>
      </c>
    </row>
    <row r="2049" spans="1:5" x14ac:dyDescent="0.3">
      <c r="A2049" s="397"/>
      <c r="B2049" s="709">
        <v>93397</v>
      </c>
      <c r="C2049" s="710" t="s">
        <v>2499</v>
      </c>
      <c r="D2049" s="709" t="s">
        <v>234</v>
      </c>
      <c r="E2049" s="711">
        <v>0</v>
      </c>
    </row>
    <row r="2050" spans="1:5" x14ac:dyDescent="0.3">
      <c r="A2050" s="397"/>
      <c r="B2050" s="709">
        <v>93399</v>
      </c>
      <c r="C2050" s="710" t="s">
        <v>2500</v>
      </c>
      <c r="D2050" s="709" t="s">
        <v>234</v>
      </c>
      <c r="E2050" s="711">
        <v>0</v>
      </c>
    </row>
    <row r="2051" spans="1:5" x14ac:dyDescent="0.3">
      <c r="A2051" s="397"/>
      <c r="B2051" s="709">
        <v>93398</v>
      </c>
      <c r="C2051" s="710" t="s">
        <v>2501</v>
      </c>
      <c r="D2051" s="709" t="s">
        <v>234</v>
      </c>
      <c r="E2051" s="711">
        <v>0</v>
      </c>
    </row>
    <row r="2052" spans="1:5" x14ac:dyDescent="0.3">
      <c r="A2052" s="397"/>
      <c r="B2052" s="709">
        <v>93400</v>
      </c>
      <c r="C2052" s="710" t="s">
        <v>2502</v>
      </c>
      <c r="D2052" s="709" t="s">
        <v>234</v>
      </c>
      <c r="E2052" s="711">
        <v>0</v>
      </c>
    </row>
    <row r="2053" spans="1:5" x14ac:dyDescent="0.3">
      <c r="A2053" s="397"/>
      <c r="B2053" s="709">
        <v>93401</v>
      </c>
      <c r="C2053" s="710" t="s">
        <v>2503</v>
      </c>
      <c r="D2053" s="709" t="s">
        <v>234</v>
      </c>
      <c r="E2053" s="711">
        <v>0</v>
      </c>
    </row>
    <row r="2054" spans="1:5" x14ac:dyDescent="0.3">
      <c r="A2054" s="397"/>
      <c r="B2054" s="709">
        <v>89259</v>
      </c>
      <c r="C2054" s="710" t="s">
        <v>2504</v>
      </c>
      <c r="D2054" s="709" t="s">
        <v>234</v>
      </c>
      <c r="E2054" s="711">
        <v>0</v>
      </c>
    </row>
    <row r="2055" spans="1:5" x14ac:dyDescent="0.3">
      <c r="A2055" s="397"/>
      <c r="B2055" s="709">
        <v>91466</v>
      </c>
      <c r="C2055" s="710" t="s">
        <v>2505</v>
      </c>
      <c r="D2055" s="709" t="s">
        <v>234</v>
      </c>
      <c r="E2055" s="711">
        <v>0</v>
      </c>
    </row>
    <row r="2056" spans="1:5" x14ac:dyDescent="0.3">
      <c r="A2056" s="397"/>
      <c r="B2056" s="709">
        <v>89260</v>
      </c>
      <c r="C2056" s="710" t="s">
        <v>2506</v>
      </c>
      <c r="D2056" s="709" t="s">
        <v>234</v>
      </c>
      <c r="E2056" s="711">
        <v>0</v>
      </c>
    </row>
    <row r="2057" spans="1:5" x14ac:dyDescent="0.3">
      <c r="A2057" s="397"/>
      <c r="B2057" s="709">
        <v>89262</v>
      </c>
      <c r="C2057" s="710" t="s">
        <v>2507</v>
      </c>
      <c r="D2057" s="709" t="s">
        <v>234</v>
      </c>
      <c r="E2057" s="711">
        <v>0</v>
      </c>
    </row>
    <row r="2058" spans="1:5" x14ac:dyDescent="0.3">
      <c r="A2058" s="397"/>
      <c r="B2058" s="709">
        <v>91467</v>
      </c>
      <c r="C2058" s="710" t="s">
        <v>2508</v>
      </c>
      <c r="D2058" s="709" t="s">
        <v>234</v>
      </c>
      <c r="E2058" s="711">
        <v>0</v>
      </c>
    </row>
    <row r="2059" spans="1:5" x14ac:dyDescent="0.3">
      <c r="A2059" s="397"/>
      <c r="B2059" s="709">
        <v>105843</v>
      </c>
      <c r="C2059" s="710" t="s">
        <v>2513</v>
      </c>
      <c r="D2059" s="709" t="s">
        <v>234</v>
      </c>
      <c r="E2059" s="711">
        <v>0</v>
      </c>
    </row>
    <row r="2060" spans="1:5" x14ac:dyDescent="0.3">
      <c r="A2060" s="397"/>
      <c r="B2060" s="709">
        <v>91629</v>
      </c>
      <c r="C2060" s="710" t="s">
        <v>2514</v>
      </c>
      <c r="D2060" s="709" t="s">
        <v>234</v>
      </c>
      <c r="E2060" s="711">
        <v>0</v>
      </c>
    </row>
    <row r="2061" spans="1:5" x14ac:dyDescent="0.3">
      <c r="A2061" s="397"/>
      <c r="B2061" s="709">
        <v>91631</v>
      </c>
      <c r="C2061" s="710" t="s">
        <v>2515</v>
      </c>
      <c r="D2061" s="709" t="s">
        <v>234</v>
      </c>
      <c r="E2061" s="711">
        <v>0</v>
      </c>
    </row>
    <row r="2062" spans="1:5" x14ac:dyDescent="0.3">
      <c r="A2062" s="397"/>
      <c r="B2062" s="709">
        <v>91630</v>
      </c>
      <c r="C2062" s="710" t="s">
        <v>2516</v>
      </c>
      <c r="D2062" s="709" t="s">
        <v>234</v>
      </c>
      <c r="E2062" s="711">
        <v>0</v>
      </c>
    </row>
    <row r="2063" spans="1:5" x14ac:dyDescent="0.3">
      <c r="A2063" s="397"/>
      <c r="B2063" s="709">
        <v>91632</v>
      </c>
      <c r="C2063" s="710" t="s">
        <v>2517</v>
      </c>
      <c r="D2063" s="709" t="s">
        <v>234</v>
      </c>
      <c r="E2063" s="711">
        <v>0</v>
      </c>
    </row>
    <row r="2064" spans="1:5" x14ac:dyDescent="0.3">
      <c r="A2064" s="397"/>
      <c r="B2064" s="709">
        <v>91633</v>
      </c>
      <c r="C2064" s="710" t="s">
        <v>2518</v>
      </c>
      <c r="D2064" s="709" t="s">
        <v>234</v>
      </c>
      <c r="E2064" s="711">
        <v>0</v>
      </c>
    </row>
    <row r="2065" spans="1:5" x14ac:dyDescent="0.3">
      <c r="A2065" s="397"/>
      <c r="B2065" s="709">
        <v>105979</v>
      </c>
      <c r="C2065" s="710" t="s">
        <v>2519</v>
      </c>
      <c r="D2065" s="709" t="s">
        <v>234</v>
      </c>
      <c r="E2065" s="711">
        <v>0</v>
      </c>
    </row>
    <row r="2066" spans="1:5" x14ac:dyDescent="0.3">
      <c r="A2066" s="397"/>
      <c r="B2066" s="709">
        <v>105982</v>
      </c>
      <c r="C2066" s="710" t="s">
        <v>2520</v>
      </c>
      <c r="D2066" s="709" t="s">
        <v>234</v>
      </c>
      <c r="E2066" s="711">
        <v>0</v>
      </c>
    </row>
    <row r="2067" spans="1:5" x14ac:dyDescent="0.3">
      <c r="A2067" s="397"/>
      <c r="B2067" s="709">
        <v>105980</v>
      </c>
      <c r="C2067" s="710" t="s">
        <v>2521</v>
      </c>
      <c r="D2067" s="709" t="s">
        <v>234</v>
      </c>
      <c r="E2067" s="711">
        <v>0</v>
      </c>
    </row>
    <row r="2068" spans="1:5" x14ac:dyDescent="0.3">
      <c r="A2068" s="397"/>
      <c r="B2068" s="709">
        <v>105981</v>
      </c>
      <c r="C2068" s="710" t="s">
        <v>2522</v>
      </c>
      <c r="D2068" s="709" t="s">
        <v>234</v>
      </c>
      <c r="E2068" s="711">
        <v>0</v>
      </c>
    </row>
    <row r="2069" spans="1:5" x14ac:dyDescent="0.3">
      <c r="A2069" s="397"/>
      <c r="B2069" s="709">
        <v>105983</v>
      </c>
      <c r="C2069" s="710" t="s">
        <v>2523</v>
      </c>
      <c r="D2069" s="709" t="s">
        <v>234</v>
      </c>
      <c r="E2069" s="711">
        <v>0</v>
      </c>
    </row>
    <row r="2070" spans="1:5" x14ac:dyDescent="0.3">
      <c r="A2070" s="397"/>
      <c r="B2070" s="709">
        <v>98760</v>
      </c>
      <c r="C2070" s="710" t="s">
        <v>2524</v>
      </c>
      <c r="D2070" s="709" t="s">
        <v>234</v>
      </c>
      <c r="E2070" s="711">
        <v>0</v>
      </c>
    </row>
    <row r="2071" spans="1:5" x14ac:dyDescent="0.3">
      <c r="A2071" s="397"/>
      <c r="B2071" s="709">
        <v>98761</v>
      </c>
      <c r="C2071" s="710" t="s">
        <v>2525</v>
      </c>
      <c r="D2071" s="709" t="s">
        <v>234</v>
      </c>
      <c r="E2071" s="711">
        <v>0</v>
      </c>
    </row>
    <row r="2072" spans="1:5" x14ac:dyDescent="0.3">
      <c r="A2072" s="397"/>
      <c r="B2072" s="709">
        <v>98762</v>
      </c>
      <c r="C2072" s="710" t="s">
        <v>2526</v>
      </c>
      <c r="D2072" s="709" t="s">
        <v>234</v>
      </c>
      <c r="E2072" s="711">
        <v>0</v>
      </c>
    </row>
    <row r="2073" spans="1:5" x14ac:dyDescent="0.3">
      <c r="A2073" s="397"/>
      <c r="B2073" s="709">
        <v>98763</v>
      </c>
      <c r="C2073" s="710" t="s">
        <v>2527</v>
      </c>
      <c r="D2073" s="709" t="s">
        <v>234</v>
      </c>
      <c r="E2073" s="711">
        <v>0</v>
      </c>
    </row>
    <row r="2074" spans="1:5" x14ac:dyDescent="0.3">
      <c r="A2074" s="397"/>
      <c r="B2074" s="709">
        <v>99829</v>
      </c>
      <c r="C2074" s="710" t="s">
        <v>2528</v>
      </c>
      <c r="D2074" s="709" t="s">
        <v>234</v>
      </c>
      <c r="E2074" s="711">
        <v>0</v>
      </c>
    </row>
    <row r="2075" spans="1:5" x14ac:dyDescent="0.3">
      <c r="A2075" s="397"/>
      <c r="B2075" s="709">
        <v>99830</v>
      </c>
      <c r="C2075" s="710" t="s">
        <v>2529</v>
      </c>
      <c r="D2075" s="709" t="s">
        <v>234</v>
      </c>
      <c r="E2075" s="711">
        <v>0</v>
      </c>
    </row>
    <row r="2076" spans="1:5" x14ac:dyDescent="0.3">
      <c r="A2076" s="397"/>
      <c r="B2076" s="709">
        <v>99831</v>
      </c>
      <c r="C2076" s="710" t="s">
        <v>2530</v>
      </c>
      <c r="D2076" s="709" t="s">
        <v>234</v>
      </c>
      <c r="E2076" s="711">
        <v>0</v>
      </c>
    </row>
    <row r="2077" spans="1:5" x14ac:dyDescent="0.3">
      <c r="A2077" s="397"/>
      <c r="B2077" s="709">
        <v>99832</v>
      </c>
      <c r="C2077" s="710" t="s">
        <v>2531</v>
      </c>
      <c r="D2077" s="709" t="s">
        <v>234</v>
      </c>
      <c r="E2077" s="711">
        <v>0</v>
      </c>
    </row>
    <row r="2078" spans="1:5" x14ac:dyDescent="0.3">
      <c r="A2078" s="397"/>
      <c r="B2078" s="709">
        <v>104519</v>
      </c>
      <c r="C2078" s="710" t="s">
        <v>2535</v>
      </c>
      <c r="D2078" s="709" t="s">
        <v>234</v>
      </c>
      <c r="E2078" s="711">
        <v>0</v>
      </c>
    </row>
    <row r="2079" spans="1:5" x14ac:dyDescent="0.3">
      <c r="A2079" s="397"/>
      <c r="B2079" s="709">
        <v>90682</v>
      </c>
      <c r="C2079" s="710" t="s">
        <v>2536</v>
      </c>
      <c r="D2079" s="709" t="s">
        <v>234</v>
      </c>
      <c r="E2079" s="711">
        <v>0</v>
      </c>
    </row>
    <row r="2080" spans="1:5" x14ac:dyDescent="0.3">
      <c r="A2080" s="397"/>
      <c r="B2080" s="709">
        <v>90683</v>
      </c>
      <c r="C2080" s="710" t="s">
        <v>2537</v>
      </c>
      <c r="D2080" s="709" t="s">
        <v>234</v>
      </c>
      <c r="E2080" s="711">
        <v>0</v>
      </c>
    </row>
    <row r="2081" spans="1:5" x14ac:dyDescent="0.3">
      <c r="A2081" s="397"/>
      <c r="B2081" s="709">
        <v>90684</v>
      </c>
      <c r="C2081" s="710" t="s">
        <v>2538</v>
      </c>
      <c r="D2081" s="709" t="s">
        <v>234</v>
      </c>
      <c r="E2081" s="711">
        <v>0</v>
      </c>
    </row>
    <row r="2082" spans="1:5" x14ac:dyDescent="0.3">
      <c r="A2082" s="397"/>
      <c r="B2082" s="709">
        <v>90685</v>
      </c>
      <c r="C2082" s="710" t="s">
        <v>2539</v>
      </c>
      <c r="D2082" s="709" t="s">
        <v>234</v>
      </c>
      <c r="E2082" s="711">
        <v>0</v>
      </c>
    </row>
    <row r="2083" spans="1:5" x14ac:dyDescent="0.3">
      <c r="A2083" s="397"/>
      <c r="B2083" s="709">
        <v>95114</v>
      </c>
      <c r="C2083" s="710" t="s">
        <v>2540</v>
      </c>
      <c r="D2083" s="709" t="s">
        <v>234</v>
      </c>
      <c r="E2083" s="711">
        <v>0</v>
      </c>
    </row>
    <row r="2084" spans="1:5" x14ac:dyDescent="0.3">
      <c r="A2084" s="397"/>
      <c r="B2084" s="709">
        <v>95115</v>
      </c>
      <c r="C2084" s="710" t="s">
        <v>2541</v>
      </c>
      <c r="D2084" s="709" t="s">
        <v>234</v>
      </c>
      <c r="E2084" s="711">
        <v>0</v>
      </c>
    </row>
    <row r="2085" spans="1:5" x14ac:dyDescent="0.3">
      <c r="A2085" s="397"/>
      <c r="B2085" s="709">
        <v>53863</v>
      </c>
      <c r="C2085" s="710" t="s">
        <v>2542</v>
      </c>
      <c r="D2085" s="709" t="s">
        <v>234</v>
      </c>
      <c r="E2085" s="711">
        <v>0</v>
      </c>
    </row>
    <row r="2086" spans="1:5" x14ac:dyDescent="0.3">
      <c r="A2086" s="397"/>
      <c r="B2086" s="709">
        <v>104655</v>
      </c>
      <c r="C2086" s="710" t="s">
        <v>2546</v>
      </c>
      <c r="D2086" s="709" t="s">
        <v>234</v>
      </c>
      <c r="E2086" s="711">
        <v>0</v>
      </c>
    </row>
    <row r="2087" spans="1:5" x14ac:dyDescent="0.3">
      <c r="A2087" s="397"/>
      <c r="B2087" s="709">
        <v>102270</v>
      </c>
      <c r="C2087" s="710" t="s">
        <v>2547</v>
      </c>
      <c r="D2087" s="709" t="s">
        <v>234</v>
      </c>
      <c r="E2087" s="711">
        <v>0</v>
      </c>
    </row>
    <row r="2088" spans="1:5" x14ac:dyDescent="0.3">
      <c r="A2088" s="397"/>
      <c r="B2088" s="709">
        <v>102271</v>
      </c>
      <c r="C2088" s="710" t="s">
        <v>2548</v>
      </c>
      <c r="D2088" s="709" t="s">
        <v>234</v>
      </c>
      <c r="E2088" s="711">
        <v>0</v>
      </c>
    </row>
    <row r="2089" spans="1:5" x14ac:dyDescent="0.3">
      <c r="A2089" s="397"/>
      <c r="B2089" s="709">
        <v>102272</v>
      </c>
      <c r="C2089" s="710" t="s">
        <v>2549</v>
      </c>
      <c r="D2089" s="709" t="s">
        <v>234</v>
      </c>
      <c r="E2089" s="711">
        <v>0</v>
      </c>
    </row>
    <row r="2090" spans="1:5" x14ac:dyDescent="0.3">
      <c r="A2090" s="397"/>
      <c r="B2090" s="709">
        <v>102273</v>
      </c>
      <c r="C2090" s="710" t="s">
        <v>2550</v>
      </c>
      <c r="D2090" s="709" t="s">
        <v>234</v>
      </c>
      <c r="E2090" s="711">
        <v>0</v>
      </c>
    </row>
    <row r="2091" spans="1:5" x14ac:dyDescent="0.3">
      <c r="A2091" s="397"/>
      <c r="B2091" s="709">
        <v>95255</v>
      </c>
      <c r="C2091" s="710" t="s">
        <v>2551</v>
      </c>
      <c r="D2091" s="709" t="s">
        <v>234</v>
      </c>
      <c r="E2091" s="711">
        <v>0</v>
      </c>
    </row>
    <row r="2092" spans="1:5" x14ac:dyDescent="0.3">
      <c r="A2092" s="397"/>
      <c r="B2092" s="709">
        <v>95256</v>
      </c>
      <c r="C2092" s="710" t="s">
        <v>2552</v>
      </c>
      <c r="D2092" s="709" t="s">
        <v>234</v>
      </c>
      <c r="E2092" s="711">
        <v>0</v>
      </c>
    </row>
    <row r="2093" spans="1:5" x14ac:dyDescent="0.3">
      <c r="A2093" s="397"/>
      <c r="B2093" s="709">
        <v>95257</v>
      </c>
      <c r="C2093" s="710" t="s">
        <v>2553</v>
      </c>
      <c r="D2093" s="709" t="s">
        <v>234</v>
      </c>
      <c r="E2093" s="711">
        <v>0</v>
      </c>
    </row>
    <row r="2094" spans="1:5" x14ac:dyDescent="0.3">
      <c r="A2094" s="397"/>
      <c r="B2094" s="709">
        <v>105913</v>
      </c>
      <c r="C2094" s="710" t="s">
        <v>2554</v>
      </c>
      <c r="D2094" s="709" t="s">
        <v>234</v>
      </c>
      <c r="E2094" s="711">
        <v>0</v>
      </c>
    </row>
    <row r="2095" spans="1:5" x14ac:dyDescent="0.3">
      <c r="A2095" s="397"/>
      <c r="B2095" s="709">
        <v>105914</v>
      </c>
      <c r="C2095" s="710" t="s">
        <v>2555</v>
      </c>
      <c r="D2095" s="709" t="s">
        <v>234</v>
      </c>
      <c r="E2095" s="711">
        <v>0</v>
      </c>
    </row>
    <row r="2096" spans="1:5" x14ac:dyDescent="0.3">
      <c r="A2096" s="397"/>
      <c r="B2096" s="709">
        <v>105915</v>
      </c>
      <c r="C2096" s="710" t="s">
        <v>2556</v>
      </c>
      <c r="D2096" s="709" t="s">
        <v>234</v>
      </c>
      <c r="E2096" s="711">
        <v>0</v>
      </c>
    </row>
    <row r="2097" spans="1:5" x14ac:dyDescent="0.3">
      <c r="A2097" s="397"/>
      <c r="B2097" s="709">
        <v>103792</v>
      </c>
      <c r="C2097" s="710" t="s">
        <v>2557</v>
      </c>
      <c r="D2097" s="709" t="s">
        <v>234</v>
      </c>
      <c r="E2097" s="711">
        <v>0</v>
      </c>
    </row>
    <row r="2098" spans="1:5" x14ac:dyDescent="0.3">
      <c r="A2098" s="397"/>
      <c r="B2098" s="709">
        <v>96054</v>
      </c>
      <c r="C2098" s="710" t="s">
        <v>2561</v>
      </c>
      <c r="D2098" s="709" t="s">
        <v>234</v>
      </c>
      <c r="E2098" s="711">
        <v>0</v>
      </c>
    </row>
    <row r="2099" spans="1:5" x14ac:dyDescent="0.3">
      <c r="A2099" s="397"/>
      <c r="B2099" s="709">
        <v>96060</v>
      </c>
      <c r="C2099" s="710" t="s">
        <v>2562</v>
      </c>
      <c r="D2099" s="709" t="s">
        <v>234</v>
      </c>
      <c r="E2099" s="711">
        <v>0</v>
      </c>
    </row>
    <row r="2100" spans="1:5" x14ac:dyDescent="0.3">
      <c r="A2100" s="397"/>
      <c r="B2100" s="709">
        <v>96061</v>
      </c>
      <c r="C2100" s="710" t="s">
        <v>2563</v>
      </c>
      <c r="D2100" s="709" t="s">
        <v>234</v>
      </c>
      <c r="E2100" s="711">
        <v>0</v>
      </c>
    </row>
    <row r="2101" spans="1:5" x14ac:dyDescent="0.3">
      <c r="A2101" s="397"/>
      <c r="B2101" s="709">
        <v>96062</v>
      </c>
      <c r="C2101" s="710" t="s">
        <v>2564</v>
      </c>
      <c r="D2101" s="709" t="s">
        <v>234</v>
      </c>
      <c r="E2101" s="711">
        <v>0</v>
      </c>
    </row>
    <row r="2102" spans="1:5" x14ac:dyDescent="0.3">
      <c r="A2102" s="397"/>
      <c r="B2102" s="709">
        <v>90688</v>
      </c>
      <c r="C2102" s="710" t="s">
        <v>2565</v>
      </c>
      <c r="D2102" s="709" t="s">
        <v>234</v>
      </c>
      <c r="E2102" s="711">
        <v>0</v>
      </c>
    </row>
    <row r="2103" spans="1:5" x14ac:dyDescent="0.3">
      <c r="A2103" s="397"/>
      <c r="B2103" s="709">
        <v>90689</v>
      </c>
      <c r="C2103" s="710" t="s">
        <v>2566</v>
      </c>
      <c r="D2103" s="709" t="s">
        <v>234</v>
      </c>
      <c r="E2103" s="711">
        <v>0</v>
      </c>
    </row>
    <row r="2104" spans="1:5" x14ac:dyDescent="0.3">
      <c r="A2104" s="397"/>
      <c r="B2104" s="709">
        <v>90690</v>
      </c>
      <c r="C2104" s="710" t="s">
        <v>2567</v>
      </c>
      <c r="D2104" s="709" t="s">
        <v>234</v>
      </c>
      <c r="E2104" s="711">
        <v>0</v>
      </c>
    </row>
    <row r="2105" spans="1:5" x14ac:dyDescent="0.3">
      <c r="A2105" s="397"/>
      <c r="B2105" s="709">
        <v>90691</v>
      </c>
      <c r="C2105" s="710" t="s">
        <v>2568</v>
      </c>
      <c r="D2105" s="709" t="s">
        <v>234</v>
      </c>
      <c r="E2105" s="711">
        <v>0</v>
      </c>
    </row>
    <row r="2106" spans="1:5" x14ac:dyDescent="0.3">
      <c r="A2106" s="397"/>
      <c r="B2106" s="709">
        <v>96241</v>
      </c>
      <c r="C2106" s="710" t="s">
        <v>2569</v>
      </c>
      <c r="D2106" s="709" t="s">
        <v>234</v>
      </c>
      <c r="E2106" s="711">
        <v>0</v>
      </c>
    </row>
    <row r="2107" spans="1:5" x14ac:dyDescent="0.3">
      <c r="A2107" s="397"/>
      <c r="B2107" s="709">
        <v>96242</v>
      </c>
      <c r="C2107" s="710" t="s">
        <v>2570</v>
      </c>
      <c r="D2107" s="709" t="s">
        <v>234</v>
      </c>
      <c r="E2107" s="711">
        <v>0</v>
      </c>
    </row>
    <row r="2108" spans="1:5" x14ac:dyDescent="0.3">
      <c r="A2108" s="397"/>
      <c r="B2108" s="709">
        <v>96243</v>
      </c>
      <c r="C2108" s="710" t="s">
        <v>2571</v>
      </c>
      <c r="D2108" s="709" t="s">
        <v>234</v>
      </c>
      <c r="E2108" s="711">
        <v>0</v>
      </c>
    </row>
    <row r="2109" spans="1:5" x14ac:dyDescent="0.3">
      <c r="A2109" s="397"/>
      <c r="B2109" s="709">
        <v>96244</v>
      </c>
      <c r="C2109" s="710" t="s">
        <v>2572</v>
      </c>
      <c r="D2109" s="709" t="s">
        <v>234</v>
      </c>
      <c r="E2109" s="711">
        <v>0</v>
      </c>
    </row>
    <row r="2110" spans="1:5" x14ac:dyDescent="0.3">
      <c r="A2110" s="397"/>
      <c r="B2110" s="709">
        <v>88400</v>
      </c>
      <c r="C2110" s="710" t="s">
        <v>2573</v>
      </c>
      <c r="D2110" s="709" t="s">
        <v>234</v>
      </c>
      <c r="E2110" s="711">
        <v>0</v>
      </c>
    </row>
    <row r="2111" spans="1:5" x14ac:dyDescent="0.3">
      <c r="A2111" s="397"/>
      <c r="B2111" s="709">
        <v>88401</v>
      </c>
      <c r="C2111" s="710" t="s">
        <v>2574</v>
      </c>
      <c r="D2111" s="709" t="s">
        <v>234</v>
      </c>
      <c r="E2111" s="711">
        <v>0</v>
      </c>
    </row>
    <row r="2112" spans="1:5" x14ac:dyDescent="0.3">
      <c r="A2112" s="397"/>
      <c r="B2112" s="709">
        <v>88402</v>
      </c>
      <c r="C2112" s="710" t="s">
        <v>2575</v>
      </c>
      <c r="D2112" s="709" t="s">
        <v>234</v>
      </c>
      <c r="E2112" s="711">
        <v>0</v>
      </c>
    </row>
    <row r="2113" spans="1:5" x14ac:dyDescent="0.3">
      <c r="A2113" s="397"/>
      <c r="B2113" s="709">
        <v>88403</v>
      </c>
      <c r="C2113" s="710" t="s">
        <v>2576</v>
      </c>
      <c r="D2113" s="709" t="s">
        <v>234</v>
      </c>
      <c r="E2113" s="711">
        <v>0</v>
      </c>
    </row>
    <row r="2114" spans="1:5" x14ac:dyDescent="0.3">
      <c r="A2114" s="397"/>
      <c r="B2114" s="709">
        <v>88387</v>
      </c>
      <c r="C2114" s="710" t="s">
        <v>2577</v>
      </c>
      <c r="D2114" s="709" t="s">
        <v>234</v>
      </c>
      <c r="E2114" s="711">
        <v>0</v>
      </c>
    </row>
    <row r="2115" spans="1:5" x14ac:dyDescent="0.3">
      <c r="A2115" s="397"/>
      <c r="B2115" s="709">
        <v>88389</v>
      </c>
      <c r="C2115" s="710" t="s">
        <v>2578</v>
      </c>
      <c r="D2115" s="709" t="s">
        <v>234</v>
      </c>
      <c r="E2115" s="711">
        <v>0</v>
      </c>
    </row>
    <row r="2116" spans="1:5" x14ac:dyDescent="0.3">
      <c r="A2116" s="397"/>
      <c r="B2116" s="709">
        <v>88390</v>
      </c>
      <c r="C2116" s="710" t="s">
        <v>2579</v>
      </c>
      <c r="D2116" s="709" t="s">
        <v>234</v>
      </c>
      <c r="E2116" s="711">
        <v>0</v>
      </c>
    </row>
    <row r="2117" spans="1:5" x14ac:dyDescent="0.3">
      <c r="A2117" s="397"/>
      <c r="B2117" s="709">
        <v>88391</v>
      </c>
      <c r="C2117" s="710" t="s">
        <v>2580</v>
      </c>
      <c r="D2117" s="709" t="s">
        <v>234</v>
      </c>
      <c r="E2117" s="711">
        <v>0</v>
      </c>
    </row>
    <row r="2118" spans="1:5" x14ac:dyDescent="0.3">
      <c r="A2118" s="397"/>
      <c r="B2118" s="709">
        <v>88394</v>
      </c>
      <c r="C2118" s="710" t="s">
        <v>2581</v>
      </c>
      <c r="D2118" s="709" t="s">
        <v>234</v>
      </c>
      <c r="E2118" s="711">
        <v>0</v>
      </c>
    </row>
    <row r="2119" spans="1:5" x14ac:dyDescent="0.3">
      <c r="A2119" s="397"/>
      <c r="B2119" s="709">
        <v>88395</v>
      </c>
      <c r="C2119" s="710" t="s">
        <v>2582</v>
      </c>
      <c r="D2119" s="709" t="s">
        <v>234</v>
      </c>
      <c r="E2119" s="711">
        <v>0</v>
      </c>
    </row>
    <row r="2120" spans="1:5" x14ac:dyDescent="0.3">
      <c r="A2120" s="397"/>
      <c r="B2120" s="709">
        <v>88396</v>
      </c>
      <c r="C2120" s="710" t="s">
        <v>2583</v>
      </c>
      <c r="D2120" s="709" t="s">
        <v>234</v>
      </c>
      <c r="E2120" s="711">
        <v>0</v>
      </c>
    </row>
    <row r="2121" spans="1:5" x14ac:dyDescent="0.3">
      <c r="A2121" s="397"/>
      <c r="B2121" s="709">
        <v>88397</v>
      </c>
      <c r="C2121" s="710" t="s">
        <v>2584</v>
      </c>
      <c r="D2121" s="709" t="s">
        <v>234</v>
      </c>
      <c r="E2121" s="711">
        <v>0</v>
      </c>
    </row>
    <row r="2122" spans="1:5" x14ac:dyDescent="0.3">
      <c r="A2122" s="397"/>
      <c r="B2122" s="709">
        <v>90633</v>
      </c>
      <c r="C2122" s="710" t="s">
        <v>2585</v>
      </c>
      <c r="D2122" s="709" t="s">
        <v>234</v>
      </c>
      <c r="E2122" s="711">
        <v>0</v>
      </c>
    </row>
    <row r="2123" spans="1:5" x14ac:dyDescent="0.3">
      <c r="A2123" s="397"/>
      <c r="B2123" s="709">
        <v>90634</v>
      </c>
      <c r="C2123" s="710" t="s">
        <v>2586</v>
      </c>
      <c r="D2123" s="709" t="s">
        <v>234</v>
      </c>
      <c r="E2123" s="711">
        <v>0</v>
      </c>
    </row>
    <row r="2124" spans="1:5" x14ac:dyDescent="0.3">
      <c r="A2124" s="397"/>
      <c r="B2124" s="709">
        <v>90635</v>
      </c>
      <c r="C2124" s="710" t="s">
        <v>2587</v>
      </c>
      <c r="D2124" s="709" t="s">
        <v>234</v>
      </c>
      <c r="E2124" s="711">
        <v>0</v>
      </c>
    </row>
    <row r="2125" spans="1:5" x14ac:dyDescent="0.3">
      <c r="A2125" s="397"/>
      <c r="B2125" s="709">
        <v>90636</v>
      </c>
      <c r="C2125" s="710" t="s">
        <v>2588</v>
      </c>
      <c r="D2125" s="709" t="s">
        <v>234</v>
      </c>
      <c r="E2125" s="711">
        <v>0</v>
      </c>
    </row>
    <row r="2126" spans="1:5" x14ac:dyDescent="0.3">
      <c r="A2126" s="397"/>
      <c r="B2126" s="709">
        <v>103241</v>
      </c>
      <c r="C2126" s="710" t="s">
        <v>2592</v>
      </c>
      <c r="D2126" s="709" t="s">
        <v>234</v>
      </c>
      <c r="E2126" s="711">
        <v>0</v>
      </c>
    </row>
    <row r="2127" spans="1:5" x14ac:dyDescent="0.3">
      <c r="A2127" s="397"/>
      <c r="B2127" s="709">
        <v>88853</v>
      </c>
      <c r="C2127" s="710" t="s">
        <v>2593</v>
      </c>
      <c r="D2127" s="709" t="s">
        <v>234</v>
      </c>
      <c r="E2127" s="711">
        <v>0</v>
      </c>
    </row>
    <row r="2128" spans="1:5" x14ac:dyDescent="0.3">
      <c r="A2128" s="397"/>
      <c r="B2128" s="709">
        <v>88854</v>
      </c>
      <c r="C2128" s="710" t="s">
        <v>2594</v>
      </c>
      <c r="D2128" s="709" t="s">
        <v>234</v>
      </c>
      <c r="E2128" s="711">
        <v>0</v>
      </c>
    </row>
    <row r="2129" spans="1:5" x14ac:dyDescent="0.3">
      <c r="A2129" s="397"/>
      <c r="B2129" s="709">
        <v>5692</v>
      </c>
      <c r="C2129" s="710" t="s">
        <v>2595</v>
      </c>
      <c r="D2129" s="709" t="s">
        <v>234</v>
      </c>
      <c r="E2129" s="711">
        <v>0</v>
      </c>
    </row>
    <row r="2130" spans="1:5" x14ac:dyDescent="0.3">
      <c r="A2130" s="397"/>
      <c r="B2130" s="709">
        <v>5693</v>
      </c>
      <c r="C2130" s="710" t="s">
        <v>2596</v>
      </c>
      <c r="D2130" s="709" t="s">
        <v>234</v>
      </c>
      <c r="E2130" s="711">
        <v>0</v>
      </c>
    </row>
    <row r="2131" spans="1:5" x14ac:dyDescent="0.3">
      <c r="A2131" s="397"/>
      <c r="B2131" s="709">
        <v>7044</v>
      </c>
      <c r="C2131" s="710" t="s">
        <v>2597</v>
      </c>
      <c r="D2131" s="709" t="s">
        <v>234</v>
      </c>
      <c r="E2131" s="711">
        <v>0</v>
      </c>
    </row>
    <row r="2132" spans="1:5" x14ac:dyDescent="0.3">
      <c r="A2132" s="397"/>
      <c r="B2132" s="709">
        <v>7045</v>
      </c>
      <c r="C2132" s="710" t="s">
        <v>2598</v>
      </c>
      <c r="D2132" s="709" t="s">
        <v>234</v>
      </c>
      <c r="E2132" s="711">
        <v>0</v>
      </c>
    </row>
    <row r="2133" spans="1:5" x14ac:dyDescent="0.3">
      <c r="A2133" s="397"/>
      <c r="B2133" s="709">
        <v>7046</v>
      </c>
      <c r="C2133" s="710" t="s">
        <v>2599</v>
      </c>
      <c r="D2133" s="709" t="s">
        <v>234</v>
      </c>
      <c r="E2133" s="711">
        <v>0</v>
      </c>
    </row>
    <row r="2134" spans="1:5" x14ac:dyDescent="0.3">
      <c r="A2134" s="397"/>
      <c r="B2134" s="709">
        <v>7047</v>
      </c>
      <c r="C2134" s="710" t="s">
        <v>2600</v>
      </c>
      <c r="D2134" s="709" t="s">
        <v>234</v>
      </c>
      <c r="E2134" s="711">
        <v>0</v>
      </c>
    </row>
    <row r="2135" spans="1:5" x14ac:dyDescent="0.3">
      <c r="A2135" s="397"/>
      <c r="B2135" s="709">
        <v>89228</v>
      </c>
      <c r="C2135" s="710" t="s">
        <v>2601</v>
      </c>
      <c r="D2135" s="709" t="s">
        <v>234</v>
      </c>
      <c r="E2135" s="711">
        <v>0</v>
      </c>
    </row>
    <row r="2136" spans="1:5" x14ac:dyDescent="0.3">
      <c r="A2136" s="397"/>
      <c r="B2136" s="709">
        <v>89229</v>
      </c>
      <c r="C2136" s="710" t="s">
        <v>2602</v>
      </c>
      <c r="D2136" s="709" t="s">
        <v>234</v>
      </c>
      <c r="E2136" s="711">
        <v>0</v>
      </c>
    </row>
    <row r="2137" spans="1:5" x14ac:dyDescent="0.3">
      <c r="A2137" s="397"/>
      <c r="B2137" s="709">
        <v>5779</v>
      </c>
      <c r="C2137" s="710" t="s">
        <v>2603</v>
      </c>
      <c r="D2137" s="709" t="s">
        <v>234</v>
      </c>
      <c r="E2137" s="711">
        <v>0</v>
      </c>
    </row>
    <row r="2138" spans="1:5" x14ac:dyDescent="0.3">
      <c r="A2138" s="397"/>
      <c r="B2138" s="709">
        <v>53849</v>
      </c>
      <c r="C2138" s="710" t="s">
        <v>2604</v>
      </c>
      <c r="D2138" s="709" t="s">
        <v>234</v>
      </c>
      <c r="E2138" s="711">
        <v>0</v>
      </c>
    </row>
    <row r="2139" spans="1:5" x14ac:dyDescent="0.3">
      <c r="A2139" s="397"/>
      <c r="B2139" s="709">
        <v>95129</v>
      </c>
      <c r="C2139" s="710" t="s">
        <v>2605</v>
      </c>
      <c r="D2139" s="709" t="s">
        <v>234</v>
      </c>
      <c r="E2139" s="711">
        <v>0</v>
      </c>
    </row>
    <row r="2140" spans="1:5" x14ac:dyDescent="0.3">
      <c r="A2140" s="397"/>
      <c r="B2140" s="709">
        <v>95130</v>
      </c>
      <c r="C2140" s="710" t="s">
        <v>2606</v>
      </c>
      <c r="D2140" s="709" t="s">
        <v>234</v>
      </c>
      <c r="E2140" s="711">
        <v>0</v>
      </c>
    </row>
    <row r="2141" spans="1:5" x14ac:dyDescent="0.3">
      <c r="A2141" s="397"/>
      <c r="B2141" s="709">
        <v>95131</v>
      </c>
      <c r="C2141" s="710" t="s">
        <v>2607</v>
      </c>
      <c r="D2141" s="709" t="s">
        <v>234</v>
      </c>
      <c r="E2141" s="711">
        <v>0</v>
      </c>
    </row>
    <row r="2142" spans="1:5" x14ac:dyDescent="0.3">
      <c r="A2142" s="397"/>
      <c r="B2142" s="709">
        <v>95132</v>
      </c>
      <c r="C2142" s="710" t="s">
        <v>2608</v>
      </c>
      <c r="D2142" s="709" t="s">
        <v>234</v>
      </c>
      <c r="E2142" s="711">
        <v>0</v>
      </c>
    </row>
    <row r="2143" spans="1:5" x14ac:dyDescent="0.3">
      <c r="A2143" s="397"/>
      <c r="B2143" s="709">
        <v>102985</v>
      </c>
      <c r="C2143" s="710" t="s">
        <v>2612</v>
      </c>
      <c r="D2143" s="709" t="s">
        <v>234</v>
      </c>
      <c r="E2143" s="711">
        <v>0</v>
      </c>
    </row>
    <row r="2144" spans="1:5" x14ac:dyDescent="0.3">
      <c r="A2144" s="397"/>
      <c r="B2144" s="709">
        <v>92956</v>
      </c>
      <c r="C2144" s="710" t="s">
        <v>2613</v>
      </c>
      <c r="D2144" s="709" t="s">
        <v>234</v>
      </c>
      <c r="E2144" s="711">
        <v>0</v>
      </c>
    </row>
    <row r="2145" spans="1:5" x14ac:dyDescent="0.3">
      <c r="A2145" s="397"/>
      <c r="B2145" s="709">
        <v>92957</v>
      </c>
      <c r="C2145" s="710" t="s">
        <v>2614</v>
      </c>
      <c r="D2145" s="709" t="s">
        <v>234</v>
      </c>
      <c r="E2145" s="711">
        <v>0</v>
      </c>
    </row>
    <row r="2146" spans="1:5" x14ac:dyDescent="0.3">
      <c r="A2146" s="397"/>
      <c r="B2146" s="709">
        <v>92958</v>
      </c>
      <c r="C2146" s="710" t="s">
        <v>2615</v>
      </c>
      <c r="D2146" s="709" t="s">
        <v>234</v>
      </c>
      <c r="E2146" s="711">
        <v>0</v>
      </c>
    </row>
    <row r="2147" spans="1:5" x14ac:dyDescent="0.3">
      <c r="A2147" s="397"/>
      <c r="B2147" s="709">
        <v>92959</v>
      </c>
      <c r="C2147" s="710" t="s">
        <v>2616</v>
      </c>
      <c r="D2147" s="709" t="s">
        <v>234</v>
      </c>
      <c r="E2147" s="711">
        <v>0</v>
      </c>
    </row>
    <row r="2148" spans="1:5" x14ac:dyDescent="0.3">
      <c r="A2148" s="397"/>
      <c r="B2148" s="709">
        <v>102861</v>
      </c>
      <c r="C2148" s="710" t="s">
        <v>2620</v>
      </c>
      <c r="D2148" s="709" t="s">
        <v>234</v>
      </c>
      <c r="E2148" s="711">
        <v>0</v>
      </c>
    </row>
    <row r="2149" spans="1:5" x14ac:dyDescent="0.3">
      <c r="A2149" s="397"/>
      <c r="B2149" s="709">
        <v>93404</v>
      </c>
      <c r="C2149" s="710" t="s">
        <v>2621</v>
      </c>
      <c r="D2149" s="709" t="s">
        <v>234</v>
      </c>
      <c r="E2149" s="711">
        <v>0</v>
      </c>
    </row>
    <row r="2150" spans="1:5" x14ac:dyDescent="0.3">
      <c r="A2150" s="397"/>
      <c r="B2150" s="709">
        <v>93405</v>
      </c>
      <c r="C2150" s="710" t="s">
        <v>2622</v>
      </c>
      <c r="D2150" s="709" t="s">
        <v>234</v>
      </c>
      <c r="E2150" s="711">
        <v>0</v>
      </c>
    </row>
    <row r="2151" spans="1:5" x14ac:dyDescent="0.3">
      <c r="A2151" s="397"/>
      <c r="B2151" s="709">
        <v>93406</v>
      </c>
      <c r="C2151" s="710" t="s">
        <v>2623</v>
      </c>
      <c r="D2151" s="709" t="s">
        <v>234</v>
      </c>
      <c r="E2151" s="711">
        <v>0</v>
      </c>
    </row>
    <row r="2152" spans="1:5" x14ac:dyDescent="0.3">
      <c r="A2152" s="397"/>
      <c r="B2152" s="709">
        <v>93407</v>
      </c>
      <c r="C2152" s="710" t="s">
        <v>2624</v>
      </c>
      <c r="D2152" s="709" t="s">
        <v>234</v>
      </c>
      <c r="E2152" s="711">
        <v>0</v>
      </c>
    </row>
    <row r="2153" spans="1:5" x14ac:dyDescent="0.3">
      <c r="A2153" s="397"/>
      <c r="B2153" s="709">
        <v>102939</v>
      </c>
      <c r="C2153" s="710" t="s">
        <v>2628</v>
      </c>
      <c r="D2153" s="709" t="s">
        <v>234</v>
      </c>
      <c r="E2153" s="711">
        <v>0</v>
      </c>
    </row>
    <row r="2154" spans="1:5" x14ac:dyDescent="0.3">
      <c r="A2154" s="397"/>
      <c r="B2154" s="709">
        <v>103162</v>
      </c>
      <c r="C2154" s="710" t="s">
        <v>2632</v>
      </c>
      <c r="D2154" s="709" t="s">
        <v>234</v>
      </c>
      <c r="E2154" s="711">
        <v>0</v>
      </c>
    </row>
    <row r="2155" spans="1:5" x14ac:dyDescent="0.3">
      <c r="A2155" s="397"/>
      <c r="B2155" s="709">
        <v>103156</v>
      </c>
      <c r="C2155" s="710" t="s">
        <v>2636</v>
      </c>
      <c r="D2155" s="709" t="s">
        <v>234</v>
      </c>
      <c r="E2155" s="711">
        <v>0</v>
      </c>
    </row>
    <row r="2156" spans="1:5" x14ac:dyDescent="0.3">
      <c r="A2156" s="397"/>
      <c r="B2156" s="709">
        <v>103174</v>
      </c>
      <c r="C2156" s="710" t="s">
        <v>2640</v>
      </c>
      <c r="D2156" s="709" t="s">
        <v>234</v>
      </c>
      <c r="E2156" s="711">
        <v>0</v>
      </c>
    </row>
    <row r="2157" spans="1:5" x14ac:dyDescent="0.3">
      <c r="A2157" s="397"/>
      <c r="B2157" s="709">
        <v>103180</v>
      </c>
      <c r="C2157" s="710" t="s">
        <v>2644</v>
      </c>
      <c r="D2157" s="709" t="s">
        <v>234</v>
      </c>
      <c r="E2157" s="711">
        <v>0</v>
      </c>
    </row>
    <row r="2158" spans="1:5" x14ac:dyDescent="0.3">
      <c r="A2158" s="397"/>
      <c r="B2158" s="709">
        <v>103168</v>
      </c>
      <c r="C2158" s="710" t="s">
        <v>2648</v>
      </c>
      <c r="D2158" s="709" t="s">
        <v>234</v>
      </c>
      <c r="E2158" s="711">
        <v>0</v>
      </c>
    </row>
    <row r="2159" spans="1:5" x14ac:dyDescent="0.3">
      <c r="A2159" s="397"/>
      <c r="B2159" s="709">
        <v>102867</v>
      </c>
      <c r="C2159" s="710" t="s">
        <v>2652</v>
      </c>
      <c r="D2159" s="709" t="s">
        <v>234</v>
      </c>
      <c r="E2159" s="711">
        <v>0</v>
      </c>
    </row>
    <row r="2160" spans="1:5" x14ac:dyDescent="0.3">
      <c r="A2160" s="397"/>
      <c r="B2160" s="709">
        <v>106324</v>
      </c>
      <c r="C2160" s="710" t="s">
        <v>13378</v>
      </c>
      <c r="D2160" s="709" t="s">
        <v>234</v>
      </c>
      <c r="E2160" s="711">
        <v>0</v>
      </c>
    </row>
    <row r="2161" spans="1:5" x14ac:dyDescent="0.3">
      <c r="A2161" s="397"/>
      <c r="B2161" s="709">
        <v>92108</v>
      </c>
      <c r="C2161" s="710" t="s">
        <v>2653</v>
      </c>
      <c r="D2161" s="709" t="s">
        <v>234</v>
      </c>
      <c r="E2161" s="711">
        <v>0</v>
      </c>
    </row>
    <row r="2162" spans="1:5" x14ac:dyDescent="0.3">
      <c r="A2162" s="397"/>
      <c r="B2162" s="709">
        <v>92109</v>
      </c>
      <c r="C2162" s="710" t="s">
        <v>2654</v>
      </c>
      <c r="D2162" s="709" t="s">
        <v>234</v>
      </c>
      <c r="E2162" s="711">
        <v>0</v>
      </c>
    </row>
    <row r="2163" spans="1:5" x14ac:dyDescent="0.3">
      <c r="A2163" s="397"/>
      <c r="B2163" s="709">
        <v>92110</v>
      </c>
      <c r="C2163" s="710" t="s">
        <v>2655</v>
      </c>
      <c r="D2163" s="709" t="s">
        <v>234</v>
      </c>
      <c r="E2163" s="711">
        <v>0</v>
      </c>
    </row>
    <row r="2164" spans="1:5" x14ac:dyDescent="0.3">
      <c r="A2164" s="397"/>
      <c r="B2164" s="709">
        <v>92111</v>
      </c>
      <c r="C2164" s="710" t="s">
        <v>2656</v>
      </c>
      <c r="D2164" s="709" t="s">
        <v>234</v>
      </c>
      <c r="E2164" s="711">
        <v>0</v>
      </c>
    </row>
    <row r="2165" spans="1:5" x14ac:dyDescent="0.3">
      <c r="A2165" s="397"/>
      <c r="B2165" s="709">
        <v>90670</v>
      </c>
      <c r="C2165" s="710" t="s">
        <v>2657</v>
      </c>
      <c r="D2165" s="709" t="s">
        <v>234</v>
      </c>
      <c r="E2165" s="711">
        <v>0</v>
      </c>
    </row>
    <row r="2166" spans="1:5" x14ac:dyDescent="0.3">
      <c r="A2166" s="397"/>
      <c r="B2166" s="709">
        <v>90671</v>
      </c>
      <c r="C2166" s="710" t="s">
        <v>2658</v>
      </c>
      <c r="D2166" s="709" t="s">
        <v>234</v>
      </c>
      <c r="E2166" s="711">
        <v>0</v>
      </c>
    </row>
    <row r="2167" spans="1:5" x14ac:dyDescent="0.3">
      <c r="A2167" s="397"/>
      <c r="B2167" s="709">
        <v>90672</v>
      </c>
      <c r="C2167" s="710" t="s">
        <v>2659</v>
      </c>
      <c r="D2167" s="709" t="s">
        <v>234</v>
      </c>
      <c r="E2167" s="711">
        <v>0</v>
      </c>
    </row>
    <row r="2168" spans="1:5" x14ac:dyDescent="0.3">
      <c r="A2168" s="397"/>
      <c r="B2168" s="709">
        <v>90673</v>
      </c>
      <c r="C2168" s="710" t="s">
        <v>2660</v>
      </c>
      <c r="D2168" s="709" t="s">
        <v>234</v>
      </c>
      <c r="E2168" s="711">
        <v>0</v>
      </c>
    </row>
    <row r="2169" spans="1:5" x14ac:dyDescent="0.3">
      <c r="A2169" s="397"/>
      <c r="B2169" s="709">
        <v>93220</v>
      </c>
      <c r="C2169" s="710" t="s">
        <v>2661</v>
      </c>
      <c r="D2169" s="709" t="s">
        <v>234</v>
      </c>
      <c r="E2169" s="711">
        <v>0</v>
      </c>
    </row>
    <row r="2170" spans="1:5" x14ac:dyDescent="0.3">
      <c r="A2170" s="397"/>
      <c r="B2170" s="709">
        <v>93221</v>
      </c>
      <c r="C2170" s="710" t="s">
        <v>2662</v>
      </c>
      <c r="D2170" s="709" t="s">
        <v>234</v>
      </c>
      <c r="E2170" s="711">
        <v>0</v>
      </c>
    </row>
    <row r="2171" spans="1:5" x14ac:dyDescent="0.3">
      <c r="A2171" s="397"/>
      <c r="B2171" s="709">
        <v>93222</v>
      </c>
      <c r="C2171" s="710" t="s">
        <v>2663</v>
      </c>
      <c r="D2171" s="709" t="s">
        <v>234</v>
      </c>
      <c r="E2171" s="711">
        <v>0</v>
      </c>
    </row>
    <row r="2172" spans="1:5" x14ac:dyDescent="0.3">
      <c r="A2172" s="397"/>
      <c r="B2172" s="709">
        <v>93223</v>
      </c>
      <c r="C2172" s="710" t="s">
        <v>2664</v>
      </c>
      <c r="D2172" s="709" t="s">
        <v>234</v>
      </c>
      <c r="E2172" s="711">
        <v>0</v>
      </c>
    </row>
    <row r="2173" spans="1:5" x14ac:dyDescent="0.3">
      <c r="A2173" s="397"/>
      <c r="B2173" s="709">
        <v>104691</v>
      </c>
      <c r="C2173" s="710" t="s">
        <v>2665</v>
      </c>
      <c r="D2173" s="709" t="s">
        <v>234</v>
      </c>
      <c r="E2173" s="711">
        <v>0</v>
      </c>
    </row>
    <row r="2174" spans="1:5" x14ac:dyDescent="0.3">
      <c r="A2174" s="397"/>
      <c r="B2174" s="709">
        <v>104692</v>
      </c>
      <c r="C2174" s="710" t="s">
        <v>2666</v>
      </c>
      <c r="D2174" s="709" t="s">
        <v>234</v>
      </c>
      <c r="E2174" s="711">
        <v>0</v>
      </c>
    </row>
    <row r="2175" spans="1:5" x14ac:dyDescent="0.3">
      <c r="A2175" s="397"/>
      <c r="B2175" s="709">
        <v>104693</v>
      </c>
      <c r="C2175" s="710" t="s">
        <v>2667</v>
      </c>
      <c r="D2175" s="709" t="s">
        <v>234</v>
      </c>
      <c r="E2175" s="711">
        <v>0</v>
      </c>
    </row>
    <row r="2176" spans="1:5" x14ac:dyDescent="0.3">
      <c r="A2176" s="397"/>
      <c r="B2176" s="709">
        <v>104694</v>
      </c>
      <c r="C2176" s="710" t="s">
        <v>2668</v>
      </c>
      <c r="D2176" s="709" t="s">
        <v>234</v>
      </c>
      <c r="E2176" s="711">
        <v>0</v>
      </c>
    </row>
    <row r="2177" spans="1:5" x14ac:dyDescent="0.3">
      <c r="A2177" s="397"/>
      <c r="B2177" s="709">
        <v>90676</v>
      </c>
      <c r="C2177" s="710" t="s">
        <v>2669</v>
      </c>
      <c r="D2177" s="709" t="s">
        <v>234</v>
      </c>
      <c r="E2177" s="711">
        <v>0</v>
      </c>
    </row>
    <row r="2178" spans="1:5" x14ac:dyDescent="0.3">
      <c r="A2178" s="397"/>
      <c r="B2178" s="709">
        <v>91021</v>
      </c>
      <c r="C2178" s="710" t="s">
        <v>2670</v>
      </c>
      <c r="D2178" s="709" t="s">
        <v>234</v>
      </c>
      <c r="E2178" s="711">
        <v>0</v>
      </c>
    </row>
    <row r="2179" spans="1:5" x14ac:dyDescent="0.3">
      <c r="A2179" s="397"/>
      <c r="B2179" s="709">
        <v>90677</v>
      </c>
      <c r="C2179" s="710" t="s">
        <v>2671</v>
      </c>
      <c r="D2179" s="709" t="s">
        <v>234</v>
      </c>
      <c r="E2179" s="711">
        <v>0</v>
      </c>
    </row>
    <row r="2180" spans="1:5" x14ac:dyDescent="0.3">
      <c r="A2180" s="397"/>
      <c r="B2180" s="709">
        <v>90678</v>
      </c>
      <c r="C2180" s="710" t="s">
        <v>2672</v>
      </c>
      <c r="D2180" s="709" t="s">
        <v>234</v>
      </c>
      <c r="E2180" s="711">
        <v>0</v>
      </c>
    </row>
    <row r="2181" spans="1:5" x14ac:dyDescent="0.3">
      <c r="A2181" s="397"/>
      <c r="B2181" s="709">
        <v>90679</v>
      </c>
      <c r="C2181" s="710" t="s">
        <v>2673</v>
      </c>
      <c r="D2181" s="709" t="s">
        <v>234</v>
      </c>
      <c r="E2181" s="711">
        <v>0</v>
      </c>
    </row>
    <row r="2182" spans="1:5" x14ac:dyDescent="0.3">
      <c r="A2182" s="397"/>
      <c r="B2182" s="709">
        <v>102870</v>
      </c>
      <c r="C2182" s="710" t="s">
        <v>2674</v>
      </c>
      <c r="D2182" s="709" t="s">
        <v>234</v>
      </c>
      <c r="E2182" s="711">
        <v>0</v>
      </c>
    </row>
    <row r="2183" spans="1:5" x14ac:dyDescent="0.3">
      <c r="A2183" s="397"/>
      <c r="B2183" s="709">
        <v>102871</v>
      </c>
      <c r="C2183" s="710" t="s">
        <v>2675</v>
      </c>
      <c r="D2183" s="709" t="s">
        <v>234</v>
      </c>
      <c r="E2183" s="711">
        <v>0</v>
      </c>
    </row>
    <row r="2184" spans="1:5" x14ac:dyDescent="0.3">
      <c r="A2184" s="397"/>
      <c r="B2184" s="709">
        <v>102872</v>
      </c>
      <c r="C2184" s="710" t="s">
        <v>2676</v>
      </c>
      <c r="D2184" s="709" t="s">
        <v>234</v>
      </c>
      <c r="E2184" s="711">
        <v>0</v>
      </c>
    </row>
    <row r="2185" spans="1:5" x14ac:dyDescent="0.3">
      <c r="A2185" s="397"/>
      <c r="B2185" s="709">
        <v>102873</v>
      </c>
      <c r="C2185" s="710" t="s">
        <v>2677</v>
      </c>
      <c r="D2185" s="709" t="s">
        <v>234</v>
      </c>
      <c r="E2185" s="711">
        <v>0</v>
      </c>
    </row>
    <row r="2186" spans="1:5" x14ac:dyDescent="0.3">
      <c r="A2186" s="397"/>
      <c r="B2186" s="709">
        <v>102960</v>
      </c>
      <c r="C2186" s="710" t="s">
        <v>2678</v>
      </c>
      <c r="D2186" s="709" t="s">
        <v>234</v>
      </c>
      <c r="E2186" s="711">
        <v>0</v>
      </c>
    </row>
    <row r="2187" spans="1:5" x14ac:dyDescent="0.3">
      <c r="A2187" s="397"/>
      <c r="B2187" s="709">
        <v>102961</v>
      </c>
      <c r="C2187" s="710" t="s">
        <v>2679</v>
      </c>
      <c r="D2187" s="709" t="s">
        <v>234</v>
      </c>
      <c r="E2187" s="711">
        <v>0</v>
      </c>
    </row>
    <row r="2188" spans="1:5" x14ac:dyDescent="0.3">
      <c r="A2188" s="397"/>
      <c r="B2188" s="709">
        <v>102962</v>
      </c>
      <c r="C2188" s="710" t="s">
        <v>2680</v>
      </c>
      <c r="D2188" s="709" t="s">
        <v>234</v>
      </c>
      <c r="E2188" s="711">
        <v>0</v>
      </c>
    </row>
    <row r="2189" spans="1:5" x14ac:dyDescent="0.3">
      <c r="A2189" s="397"/>
      <c r="B2189" s="709">
        <v>102963</v>
      </c>
      <c r="C2189" s="710" t="s">
        <v>2681</v>
      </c>
      <c r="D2189" s="709" t="s">
        <v>234</v>
      </c>
      <c r="E2189" s="711">
        <v>0</v>
      </c>
    </row>
    <row r="2190" spans="1:5" x14ac:dyDescent="0.3">
      <c r="A2190" s="397"/>
      <c r="B2190" s="709">
        <v>90621</v>
      </c>
      <c r="C2190" s="710" t="s">
        <v>2682</v>
      </c>
      <c r="D2190" s="709" t="s">
        <v>234</v>
      </c>
      <c r="E2190" s="711">
        <v>0</v>
      </c>
    </row>
    <row r="2191" spans="1:5" x14ac:dyDescent="0.3">
      <c r="A2191" s="397"/>
      <c r="B2191" s="709">
        <v>90622</v>
      </c>
      <c r="C2191" s="710" t="s">
        <v>2683</v>
      </c>
      <c r="D2191" s="709" t="s">
        <v>234</v>
      </c>
      <c r="E2191" s="711">
        <v>0</v>
      </c>
    </row>
    <row r="2192" spans="1:5" x14ac:dyDescent="0.3">
      <c r="A2192" s="397"/>
      <c r="B2192" s="709">
        <v>90623</v>
      </c>
      <c r="C2192" s="710" t="s">
        <v>2684</v>
      </c>
      <c r="D2192" s="709" t="s">
        <v>234</v>
      </c>
      <c r="E2192" s="711">
        <v>0</v>
      </c>
    </row>
    <row r="2193" spans="1:5" x14ac:dyDescent="0.3">
      <c r="A2193" s="397"/>
      <c r="B2193" s="709">
        <v>90624</v>
      </c>
      <c r="C2193" s="710" t="s">
        <v>2685</v>
      </c>
      <c r="D2193" s="709" t="s">
        <v>234</v>
      </c>
      <c r="E2193" s="711">
        <v>0</v>
      </c>
    </row>
    <row r="2194" spans="1:5" x14ac:dyDescent="0.3">
      <c r="A2194" s="397"/>
      <c r="B2194" s="709">
        <v>102876</v>
      </c>
      <c r="C2194" s="710" t="s">
        <v>2686</v>
      </c>
      <c r="D2194" s="709" t="s">
        <v>234</v>
      </c>
      <c r="E2194" s="711">
        <v>0</v>
      </c>
    </row>
    <row r="2195" spans="1:5" x14ac:dyDescent="0.3">
      <c r="A2195" s="397"/>
      <c r="B2195" s="709">
        <v>102877</v>
      </c>
      <c r="C2195" s="710" t="s">
        <v>2687</v>
      </c>
      <c r="D2195" s="709" t="s">
        <v>234</v>
      </c>
      <c r="E2195" s="711">
        <v>0</v>
      </c>
    </row>
    <row r="2196" spans="1:5" x14ac:dyDescent="0.3">
      <c r="A2196" s="397"/>
      <c r="B2196" s="709">
        <v>102878</v>
      </c>
      <c r="C2196" s="710" t="s">
        <v>2688</v>
      </c>
      <c r="D2196" s="709" t="s">
        <v>234</v>
      </c>
      <c r="E2196" s="711">
        <v>0</v>
      </c>
    </row>
    <row r="2197" spans="1:5" x14ac:dyDescent="0.3">
      <c r="A2197" s="397"/>
      <c r="B2197" s="709">
        <v>102879</v>
      </c>
      <c r="C2197" s="710" t="s">
        <v>2689</v>
      </c>
      <c r="D2197" s="709" t="s">
        <v>234</v>
      </c>
      <c r="E2197" s="711">
        <v>0</v>
      </c>
    </row>
    <row r="2198" spans="1:5" x14ac:dyDescent="0.3">
      <c r="A2198" s="397"/>
      <c r="B2198" s="709">
        <v>103220</v>
      </c>
      <c r="C2198" s="710" t="s">
        <v>2690</v>
      </c>
      <c r="D2198" s="709" t="s">
        <v>234</v>
      </c>
      <c r="E2198" s="711">
        <v>0</v>
      </c>
    </row>
    <row r="2199" spans="1:5" x14ac:dyDescent="0.3">
      <c r="A2199" s="397"/>
      <c r="B2199" s="709">
        <v>103221</v>
      </c>
      <c r="C2199" s="710" t="s">
        <v>2691</v>
      </c>
      <c r="D2199" s="709" t="s">
        <v>234</v>
      </c>
      <c r="E2199" s="711">
        <v>0</v>
      </c>
    </row>
    <row r="2200" spans="1:5" x14ac:dyDescent="0.3">
      <c r="A2200" s="397"/>
      <c r="B2200" s="709">
        <v>103222</v>
      </c>
      <c r="C2200" s="710" t="s">
        <v>2692</v>
      </c>
      <c r="D2200" s="709" t="s">
        <v>234</v>
      </c>
      <c r="E2200" s="711">
        <v>0</v>
      </c>
    </row>
    <row r="2201" spans="1:5" x14ac:dyDescent="0.3">
      <c r="A2201" s="397"/>
      <c r="B2201" s="709">
        <v>103223</v>
      </c>
      <c r="C2201" s="710" t="s">
        <v>2693</v>
      </c>
      <c r="D2201" s="709" t="s">
        <v>234</v>
      </c>
      <c r="E2201" s="711">
        <v>0</v>
      </c>
    </row>
    <row r="2202" spans="1:5" x14ac:dyDescent="0.3">
      <c r="A2202" s="397"/>
      <c r="B2202" s="709">
        <v>103232</v>
      </c>
      <c r="C2202" s="710" t="s">
        <v>2694</v>
      </c>
      <c r="D2202" s="709" t="s">
        <v>234</v>
      </c>
      <c r="E2202" s="711">
        <v>0</v>
      </c>
    </row>
    <row r="2203" spans="1:5" x14ac:dyDescent="0.3">
      <c r="A2203" s="397"/>
      <c r="B2203" s="709">
        <v>103233</v>
      </c>
      <c r="C2203" s="710" t="s">
        <v>2695</v>
      </c>
      <c r="D2203" s="709" t="s">
        <v>234</v>
      </c>
      <c r="E2203" s="711">
        <v>0</v>
      </c>
    </row>
    <row r="2204" spans="1:5" x14ac:dyDescent="0.3">
      <c r="A2204" s="397"/>
      <c r="B2204" s="709">
        <v>103234</v>
      </c>
      <c r="C2204" s="710" t="s">
        <v>2696</v>
      </c>
      <c r="D2204" s="709" t="s">
        <v>234</v>
      </c>
      <c r="E2204" s="711">
        <v>0</v>
      </c>
    </row>
    <row r="2205" spans="1:5" x14ac:dyDescent="0.3">
      <c r="A2205" s="397"/>
      <c r="B2205" s="709">
        <v>103235</v>
      </c>
      <c r="C2205" s="710" t="s">
        <v>2697</v>
      </c>
      <c r="D2205" s="709" t="s">
        <v>234</v>
      </c>
      <c r="E2205" s="711">
        <v>0</v>
      </c>
    </row>
    <row r="2206" spans="1:5" x14ac:dyDescent="0.3">
      <c r="A2206" s="397"/>
      <c r="B2206" s="709">
        <v>103228</v>
      </c>
      <c r="C2206" s="710" t="s">
        <v>2698</v>
      </c>
      <c r="D2206" s="709" t="s">
        <v>234</v>
      </c>
      <c r="E2206" s="711">
        <v>0</v>
      </c>
    </row>
    <row r="2207" spans="1:5" x14ac:dyDescent="0.3">
      <c r="A2207" s="397"/>
      <c r="B2207" s="709">
        <v>103226</v>
      </c>
      <c r="C2207" s="710" t="s">
        <v>2699</v>
      </c>
      <c r="D2207" s="709" t="s">
        <v>234</v>
      </c>
      <c r="E2207" s="711">
        <v>0</v>
      </c>
    </row>
    <row r="2208" spans="1:5" x14ac:dyDescent="0.3">
      <c r="A2208" s="397"/>
      <c r="B2208" s="709">
        <v>103227</v>
      </c>
      <c r="C2208" s="710" t="s">
        <v>2700</v>
      </c>
      <c r="D2208" s="709" t="s">
        <v>234</v>
      </c>
      <c r="E2208" s="711">
        <v>0</v>
      </c>
    </row>
    <row r="2209" spans="1:5" x14ac:dyDescent="0.3">
      <c r="A2209" s="397"/>
      <c r="B2209" s="709">
        <v>103229</v>
      </c>
      <c r="C2209" s="710" t="s">
        <v>2701</v>
      </c>
      <c r="D2209" s="709" t="s">
        <v>234</v>
      </c>
      <c r="E2209" s="711">
        <v>0</v>
      </c>
    </row>
    <row r="2210" spans="1:5" x14ac:dyDescent="0.3">
      <c r="A2210" s="397"/>
      <c r="B2210" s="709">
        <v>102972</v>
      </c>
      <c r="C2210" s="710" t="s">
        <v>2702</v>
      </c>
      <c r="D2210" s="709" t="s">
        <v>234</v>
      </c>
      <c r="E2210" s="711">
        <v>0</v>
      </c>
    </row>
    <row r="2211" spans="1:5" x14ac:dyDescent="0.3">
      <c r="A2211" s="397"/>
      <c r="B2211" s="709">
        <v>102973</v>
      </c>
      <c r="C2211" s="710" t="s">
        <v>2703</v>
      </c>
      <c r="D2211" s="709" t="s">
        <v>234</v>
      </c>
      <c r="E2211" s="711">
        <v>0</v>
      </c>
    </row>
    <row r="2212" spans="1:5" x14ac:dyDescent="0.3">
      <c r="A2212" s="397"/>
      <c r="B2212" s="709">
        <v>102974</v>
      </c>
      <c r="C2212" s="710" t="s">
        <v>2704</v>
      </c>
      <c r="D2212" s="709" t="s">
        <v>234</v>
      </c>
      <c r="E2212" s="711">
        <v>0</v>
      </c>
    </row>
    <row r="2213" spans="1:5" x14ac:dyDescent="0.3">
      <c r="A2213" s="397"/>
      <c r="B2213" s="709">
        <v>96301</v>
      </c>
      <c r="C2213" s="710" t="s">
        <v>2705</v>
      </c>
      <c r="D2213" s="709" t="s">
        <v>234</v>
      </c>
      <c r="E2213" s="711">
        <v>0</v>
      </c>
    </row>
    <row r="2214" spans="1:5" x14ac:dyDescent="0.3">
      <c r="A2214" s="397"/>
      <c r="B2214" s="709">
        <v>90627</v>
      </c>
      <c r="C2214" s="710" t="s">
        <v>2706</v>
      </c>
      <c r="D2214" s="709" t="s">
        <v>234</v>
      </c>
      <c r="E2214" s="711">
        <v>0</v>
      </c>
    </row>
    <row r="2215" spans="1:5" x14ac:dyDescent="0.3">
      <c r="A2215" s="397"/>
      <c r="B2215" s="709">
        <v>90628</v>
      </c>
      <c r="C2215" s="710" t="s">
        <v>2707</v>
      </c>
      <c r="D2215" s="709" t="s">
        <v>234</v>
      </c>
      <c r="E2215" s="711">
        <v>0</v>
      </c>
    </row>
    <row r="2216" spans="1:5" x14ac:dyDescent="0.3">
      <c r="A2216" s="397"/>
      <c r="B2216" s="709">
        <v>90629</v>
      </c>
      <c r="C2216" s="710" t="s">
        <v>2708</v>
      </c>
      <c r="D2216" s="709" t="s">
        <v>234</v>
      </c>
      <c r="E2216" s="711">
        <v>0</v>
      </c>
    </row>
    <row r="2217" spans="1:5" x14ac:dyDescent="0.3">
      <c r="A2217" s="397"/>
      <c r="B2217" s="709">
        <v>90630</v>
      </c>
      <c r="C2217" s="710" t="s">
        <v>2709</v>
      </c>
      <c r="D2217" s="709" t="s">
        <v>234</v>
      </c>
      <c r="E2217" s="711">
        <v>0</v>
      </c>
    </row>
    <row r="2218" spans="1:5" x14ac:dyDescent="0.3">
      <c r="A2218" s="397"/>
      <c r="B2218" s="709">
        <v>95704</v>
      </c>
      <c r="C2218" s="710" t="s">
        <v>2710</v>
      </c>
      <c r="D2218" s="709" t="s">
        <v>234</v>
      </c>
      <c r="E2218" s="711">
        <v>0</v>
      </c>
    </row>
    <row r="2219" spans="1:5" x14ac:dyDescent="0.3">
      <c r="A2219" s="397"/>
      <c r="B2219" s="709">
        <v>95705</v>
      </c>
      <c r="C2219" s="710" t="s">
        <v>2711</v>
      </c>
      <c r="D2219" s="709" t="s">
        <v>234</v>
      </c>
      <c r="E2219" s="711">
        <v>0</v>
      </c>
    </row>
    <row r="2220" spans="1:5" x14ac:dyDescent="0.3">
      <c r="A2220" s="397"/>
      <c r="B2220" s="709">
        <v>95706</v>
      </c>
      <c r="C2220" s="710" t="s">
        <v>2712</v>
      </c>
      <c r="D2220" s="709" t="s">
        <v>234</v>
      </c>
      <c r="E2220" s="711">
        <v>0</v>
      </c>
    </row>
    <row r="2221" spans="1:5" x14ac:dyDescent="0.3">
      <c r="A2221" s="397"/>
      <c r="B2221" s="709">
        <v>95707</v>
      </c>
      <c r="C2221" s="710" t="s">
        <v>2713</v>
      </c>
      <c r="D2221" s="709" t="s">
        <v>234</v>
      </c>
      <c r="E2221" s="711">
        <v>0</v>
      </c>
    </row>
    <row r="2222" spans="1:5" x14ac:dyDescent="0.3">
      <c r="A2222" s="397"/>
      <c r="B2222" s="709">
        <v>91273</v>
      </c>
      <c r="C2222" s="710" t="s">
        <v>2714</v>
      </c>
      <c r="D2222" s="709" t="s">
        <v>234</v>
      </c>
      <c r="E2222" s="711">
        <v>0</v>
      </c>
    </row>
    <row r="2223" spans="1:5" x14ac:dyDescent="0.3">
      <c r="A2223" s="397"/>
      <c r="B2223" s="709">
        <v>91274</v>
      </c>
      <c r="C2223" s="710" t="s">
        <v>2715</v>
      </c>
      <c r="D2223" s="709" t="s">
        <v>234</v>
      </c>
      <c r="E2223" s="711">
        <v>0</v>
      </c>
    </row>
    <row r="2224" spans="1:5" x14ac:dyDescent="0.3">
      <c r="A2224" s="397"/>
      <c r="B2224" s="709">
        <v>91275</v>
      </c>
      <c r="C2224" s="710" t="s">
        <v>2716</v>
      </c>
      <c r="D2224" s="709" t="s">
        <v>234</v>
      </c>
      <c r="E2224" s="711">
        <v>0</v>
      </c>
    </row>
    <row r="2225" spans="1:5" x14ac:dyDescent="0.3">
      <c r="A2225" s="397"/>
      <c r="B2225" s="709">
        <v>91276</v>
      </c>
      <c r="C2225" s="710" t="s">
        <v>2717</v>
      </c>
      <c r="D2225" s="709" t="s">
        <v>234</v>
      </c>
      <c r="E2225" s="711">
        <v>0</v>
      </c>
    </row>
    <row r="2226" spans="1:5" x14ac:dyDescent="0.3">
      <c r="A2226" s="397"/>
      <c r="B2226" s="709">
        <v>102885</v>
      </c>
      <c r="C2226" s="710" t="s">
        <v>2721</v>
      </c>
      <c r="D2226" s="709" t="s">
        <v>234</v>
      </c>
      <c r="E2226" s="711">
        <v>0</v>
      </c>
    </row>
    <row r="2227" spans="1:5" x14ac:dyDescent="0.3">
      <c r="A2227" s="397"/>
      <c r="B2227" s="709">
        <v>95272</v>
      </c>
      <c r="C2227" s="710" t="s">
        <v>2722</v>
      </c>
      <c r="D2227" s="709" t="s">
        <v>234</v>
      </c>
      <c r="E2227" s="711">
        <v>0</v>
      </c>
    </row>
    <row r="2228" spans="1:5" x14ac:dyDescent="0.3">
      <c r="A2228" s="397"/>
      <c r="B2228" s="709">
        <v>95273</v>
      </c>
      <c r="C2228" s="710" t="s">
        <v>2723</v>
      </c>
      <c r="D2228" s="709" t="s">
        <v>234</v>
      </c>
      <c r="E2228" s="711">
        <v>0</v>
      </c>
    </row>
    <row r="2229" spans="1:5" x14ac:dyDescent="0.3">
      <c r="A2229" s="397"/>
      <c r="B2229" s="709">
        <v>95274</v>
      </c>
      <c r="C2229" s="710" t="s">
        <v>2724</v>
      </c>
      <c r="D2229" s="709" t="s">
        <v>234</v>
      </c>
      <c r="E2229" s="711">
        <v>0</v>
      </c>
    </row>
    <row r="2230" spans="1:5" x14ac:dyDescent="0.3">
      <c r="A2230" s="397"/>
      <c r="B2230" s="709">
        <v>95275</v>
      </c>
      <c r="C2230" s="710" t="s">
        <v>2725</v>
      </c>
      <c r="D2230" s="709" t="s">
        <v>234</v>
      </c>
      <c r="E2230" s="711">
        <v>0</v>
      </c>
    </row>
    <row r="2231" spans="1:5" x14ac:dyDescent="0.3">
      <c r="A2231" s="397"/>
      <c r="B2231" s="709">
        <v>106236</v>
      </c>
      <c r="C2231" s="710" t="s">
        <v>13379</v>
      </c>
      <c r="D2231" s="709" t="s">
        <v>234</v>
      </c>
      <c r="E2231" s="711">
        <v>0</v>
      </c>
    </row>
    <row r="2232" spans="1:5" x14ac:dyDescent="0.3">
      <c r="A2232" s="397"/>
      <c r="B2232" s="709">
        <v>88419</v>
      </c>
      <c r="C2232" s="710" t="s">
        <v>2726</v>
      </c>
      <c r="D2232" s="709" t="s">
        <v>234</v>
      </c>
      <c r="E2232" s="711">
        <v>0</v>
      </c>
    </row>
    <row r="2233" spans="1:5" x14ac:dyDescent="0.3">
      <c r="A2233" s="397"/>
      <c r="B2233" s="709">
        <v>88422</v>
      </c>
      <c r="C2233" s="710" t="s">
        <v>2727</v>
      </c>
      <c r="D2233" s="709" t="s">
        <v>234</v>
      </c>
      <c r="E2233" s="711">
        <v>0</v>
      </c>
    </row>
    <row r="2234" spans="1:5" x14ac:dyDescent="0.3">
      <c r="A2234" s="397"/>
      <c r="B2234" s="709">
        <v>88425</v>
      </c>
      <c r="C2234" s="710" t="s">
        <v>2728</v>
      </c>
      <c r="D2234" s="709" t="s">
        <v>234</v>
      </c>
      <c r="E2234" s="711">
        <v>0</v>
      </c>
    </row>
    <row r="2235" spans="1:5" x14ac:dyDescent="0.3">
      <c r="A2235" s="397"/>
      <c r="B2235" s="709">
        <v>88427</v>
      </c>
      <c r="C2235" s="710" t="s">
        <v>2729</v>
      </c>
      <c r="D2235" s="709" t="s">
        <v>234</v>
      </c>
      <c r="E2235" s="711">
        <v>0</v>
      </c>
    </row>
    <row r="2236" spans="1:5" x14ac:dyDescent="0.3">
      <c r="A2236" s="397"/>
      <c r="B2236" s="709">
        <v>88434</v>
      </c>
      <c r="C2236" s="710" t="s">
        <v>2730</v>
      </c>
      <c r="D2236" s="709" t="s">
        <v>234</v>
      </c>
      <c r="E2236" s="711">
        <v>0</v>
      </c>
    </row>
    <row r="2237" spans="1:5" x14ac:dyDescent="0.3">
      <c r="A2237" s="397"/>
      <c r="B2237" s="709">
        <v>88435</v>
      </c>
      <c r="C2237" s="710" t="s">
        <v>2731</v>
      </c>
      <c r="D2237" s="709" t="s">
        <v>234</v>
      </c>
      <c r="E2237" s="711">
        <v>0</v>
      </c>
    </row>
    <row r="2238" spans="1:5" x14ac:dyDescent="0.3">
      <c r="A2238" s="397"/>
      <c r="B2238" s="709">
        <v>88436</v>
      </c>
      <c r="C2238" s="710" t="s">
        <v>2732</v>
      </c>
      <c r="D2238" s="709" t="s">
        <v>234</v>
      </c>
      <c r="E2238" s="711">
        <v>0</v>
      </c>
    </row>
    <row r="2239" spans="1:5" x14ac:dyDescent="0.3">
      <c r="A2239" s="397"/>
      <c r="B2239" s="709">
        <v>88437</v>
      </c>
      <c r="C2239" s="710" t="s">
        <v>2733</v>
      </c>
      <c r="D2239" s="709" t="s">
        <v>234</v>
      </c>
      <c r="E2239" s="711">
        <v>0</v>
      </c>
    </row>
    <row r="2240" spans="1:5" x14ac:dyDescent="0.3">
      <c r="A2240" s="397"/>
      <c r="B2240" s="709">
        <v>90664</v>
      </c>
      <c r="C2240" s="710" t="s">
        <v>2734</v>
      </c>
      <c r="D2240" s="709" t="s">
        <v>234</v>
      </c>
      <c r="E2240" s="711">
        <v>0</v>
      </c>
    </row>
    <row r="2241" spans="1:5" x14ac:dyDescent="0.3">
      <c r="A2241" s="397"/>
      <c r="B2241" s="709">
        <v>90665</v>
      </c>
      <c r="C2241" s="710" t="s">
        <v>2735</v>
      </c>
      <c r="D2241" s="709" t="s">
        <v>234</v>
      </c>
      <c r="E2241" s="711">
        <v>0</v>
      </c>
    </row>
    <row r="2242" spans="1:5" x14ac:dyDescent="0.3">
      <c r="A2242" s="397"/>
      <c r="B2242" s="709">
        <v>90666</v>
      </c>
      <c r="C2242" s="710" t="s">
        <v>2736</v>
      </c>
      <c r="D2242" s="709" t="s">
        <v>234</v>
      </c>
      <c r="E2242" s="711">
        <v>0</v>
      </c>
    </row>
    <row r="2243" spans="1:5" x14ac:dyDescent="0.3">
      <c r="A2243" s="397"/>
      <c r="B2243" s="709">
        <v>90667</v>
      </c>
      <c r="C2243" s="710" t="s">
        <v>2737</v>
      </c>
      <c r="D2243" s="709" t="s">
        <v>234</v>
      </c>
      <c r="E2243" s="711">
        <v>0</v>
      </c>
    </row>
    <row r="2244" spans="1:5" x14ac:dyDescent="0.3">
      <c r="A2244" s="397"/>
      <c r="B2244" s="709">
        <v>95217</v>
      </c>
      <c r="C2244" s="710" t="s">
        <v>2741</v>
      </c>
      <c r="D2244" s="709" t="s">
        <v>234</v>
      </c>
      <c r="E2244" s="711">
        <v>0</v>
      </c>
    </row>
    <row r="2245" spans="1:5" x14ac:dyDescent="0.3">
      <c r="A2245" s="397"/>
      <c r="B2245" s="709">
        <v>89130</v>
      </c>
      <c r="C2245" s="710" t="s">
        <v>2742</v>
      </c>
      <c r="D2245" s="709" t="s">
        <v>234</v>
      </c>
      <c r="E2245" s="711">
        <v>0</v>
      </c>
    </row>
    <row r="2246" spans="1:5" x14ac:dyDescent="0.3">
      <c r="A2246" s="397"/>
      <c r="B2246" s="709">
        <v>89131</v>
      </c>
      <c r="C2246" s="710" t="s">
        <v>2743</v>
      </c>
      <c r="D2246" s="709" t="s">
        <v>234</v>
      </c>
      <c r="E2246" s="711">
        <v>0</v>
      </c>
    </row>
    <row r="2247" spans="1:5" x14ac:dyDescent="0.3">
      <c r="A2247" s="397"/>
      <c r="B2247" s="709">
        <v>53861</v>
      </c>
      <c r="C2247" s="710" t="s">
        <v>2744</v>
      </c>
      <c r="D2247" s="709" t="s">
        <v>234</v>
      </c>
      <c r="E2247" s="711">
        <v>0</v>
      </c>
    </row>
    <row r="2248" spans="1:5" x14ac:dyDescent="0.3">
      <c r="A2248" s="397"/>
      <c r="B2248" s="709">
        <v>5787</v>
      </c>
      <c r="C2248" s="710" t="s">
        <v>2745</v>
      </c>
      <c r="D2248" s="709" t="s">
        <v>234</v>
      </c>
      <c r="E2248" s="711">
        <v>0</v>
      </c>
    </row>
    <row r="2249" spans="1:5" x14ac:dyDescent="0.3">
      <c r="A2249" s="397"/>
      <c r="B2249" s="709">
        <v>89128</v>
      </c>
      <c r="C2249" s="710" t="s">
        <v>2746</v>
      </c>
      <c r="D2249" s="709" t="s">
        <v>234</v>
      </c>
      <c r="E2249" s="711">
        <v>0</v>
      </c>
    </row>
    <row r="2250" spans="1:5" x14ac:dyDescent="0.3">
      <c r="A2250" s="397"/>
      <c r="B2250" s="709">
        <v>89129</v>
      </c>
      <c r="C2250" s="710" t="s">
        <v>2747</v>
      </c>
      <c r="D2250" s="709" t="s">
        <v>234</v>
      </c>
      <c r="E2250" s="711">
        <v>0</v>
      </c>
    </row>
    <row r="2251" spans="1:5" x14ac:dyDescent="0.3">
      <c r="A2251" s="397"/>
      <c r="B2251" s="709">
        <v>53857</v>
      </c>
      <c r="C2251" s="710" t="s">
        <v>2748</v>
      </c>
      <c r="D2251" s="709" t="s">
        <v>234</v>
      </c>
      <c r="E2251" s="711">
        <v>0</v>
      </c>
    </row>
    <row r="2252" spans="1:5" x14ac:dyDescent="0.3">
      <c r="A2252" s="397"/>
      <c r="B2252" s="709">
        <v>53858</v>
      </c>
      <c r="C2252" s="710" t="s">
        <v>2749</v>
      </c>
      <c r="D2252" s="709" t="s">
        <v>234</v>
      </c>
      <c r="E2252" s="711">
        <v>0</v>
      </c>
    </row>
    <row r="2253" spans="1:5" x14ac:dyDescent="0.3">
      <c r="A2253" s="397"/>
      <c r="B2253" s="709">
        <v>102891</v>
      </c>
      <c r="C2253" s="710" t="s">
        <v>2753</v>
      </c>
      <c r="D2253" s="709" t="s">
        <v>234</v>
      </c>
      <c r="E2253" s="711">
        <v>0</v>
      </c>
    </row>
    <row r="2254" spans="1:5" x14ac:dyDescent="0.3">
      <c r="A2254" s="397"/>
      <c r="B2254" s="709">
        <v>89246</v>
      </c>
      <c r="C2254" s="710" t="s">
        <v>2754</v>
      </c>
      <c r="D2254" s="709" t="s">
        <v>234</v>
      </c>
      <c r="E2254" s="711">
        <v>0</v>
      </c>
    </row>
    <row r="2255" spans="1:5" x14ac:dyDescent="0.3">
      <c r="A2255" s="397"/>
      <c r="B2255" s="709">
        <v>89247</v>
      </c>
      <c r="C2255" s="710" t="s">
        <v>2755</v>
      </c>
      <c r="D2255" s="709" t="s">
        <v>234</v>
      </c>
      <c r="E2255" s="711">
        <v>0</v>
      </c>
    </row>
    <row r="2256" spans="1:5" x14ac:dyDescent="0.3">
      <c r="A2256" s="397"/>
      <c r="B2256" s="709">
        <v>89248</v>
      </c>
      <c r="C2256" s="710" t="s">
        <v>2756</v>
      </c>
      <c r="D2256" s="709" t="s">
        <v>234</v>
      </c>
      <c r="E2256" s="711">
        <v>0</v>
      </c>
    </row>
    <row r="2257" spans="1:5" x14ac:dyDescent="0.3">
      <c r="A2257" s="397"/>
      <c r="B2257" s="709">
        <v>89249</v>
      </c>
      <c r="C2257" s="710" t="s">
        <v>2757</v>
      </c>
      <c r="D2257" s="709" t="s">
        <v>234</v>
      </c>
      <c r="E2257" s="711">
        <v>0</v>
      </c>
    </row>
    <row r="2258" spans="1:5" x14ac:dyDescent="0.3">
      <c r="A2258" s="397"/>
      <c r="B2258" s="709">
        <v>102957</v>
      </c>
      <c r="C2258" s="710" t="s">
        <v>2761</v>
      </c>
      <c r="D2258" s="709" t="s">
        <v>234</v>
      </c>
      <c r="E2258" s="711">
        <v>0</v>
      </c>
    </row>
    <row r="2259" spans="1:5" x14ac:dyDescent="0.3">
      <c r="A2259" s="397"/>
      <c r="B2259" s="709">
        <v>88859</v>
      </c>
      <c r="C2259" s="710" t="s">
        <v>2762</v>
      </c>
      <c r="D2259" s="709" t="s">
        <v>234</v>
      </c>
      <c r="E2259" s="711">
        <v>0</v>
      </c>
    </row>
    <row r="2260" spans="1:5" x14ac:dyDescent="0.3">
      <c r="A2260" s="397"/>
      <c r="B2260" s="709">
        <v>88860</v>
      </c>
      <c r="C2260" s="710" t="s">
        <v>2763</v>
      </c>
      <c r="D2260" s="709" t="s">
        <v>234</v>
      </c>
      <c r="E2260" s="711">
        <v>0</v>
      </c>
    </row>
    <row r="2261" spans="1:5" x14ac:dyDescent="0.3">
      <c r="A2261" s="397"/>
      <c r="B2261" s="709">
        <v>5667</v>
      </c>
      <c r="C2261" s="710" t="s">
        <v>2764</v>
      </c>
      <c r="D2261" s="709" t="s">
        <v>234</v>
      </c>
      <c r="E2261" s="711">
        <v>0</v>
      </c>
    </row>
    <row r="2262" spans="1:5" x14ac:dyDescent="0.3">
      <c r="A2262" s="397"/>
      <c r="B2262" s="709">
        <v>5668</v>
      </c>
      <c r="C2262" s="710" t="s">
        <v>2765</v>
      </c>
      <c r="D2262" s="709" t="s">
        <v>234</v>
      </c>
      <c r="E2262" s="711">
        <v>0</v>
      </c>
    </row>
    <row r="2263" spans="1:5" x14ac:dyDescent="0.3">
      <c r="A2263" s="397"/>
      <c r="B2263" s="709">
        <v>89011</v>
      </c>
      <c r="C2263" s="710" t="s">
        <v>2766</v>
      </c>
      <c r="D2263" s="709" t="s">
        <v>234</v>
      </c>
      <c r="E2263" s="711">
        <v>0</v>
      </c>
    </row>
    <row r="2264" spans="1:5" x14ac:dyDescent="0.3">
      <c r="A2264" s="397"/>
      <c r="B2264" s="709">
        <v>89012</v>
      </c>
      <c r="C2264" s="710" t="s">
        <v>2767</v>
      </c>
      <c r="D2264" s="709" t="s">
        <v>234</v>
      </c>
      <c r="E2264" s="711">
        <v>0</v>
      </c>
    </row>
    <row r="2265" spans="1:5" x14ac:dyDescent="0.3">
      <c r="A2265" s="397"/>
      <c r="B2265" s="709">
        <v>5735</v>
      </c>
      <c r="C2265" s="710" t="s">
        <v>2768</v>
      </c>
      <c r="D2265" s="709" t="s">
        <v>234</v>
      </c>
      <c r="E2265" s="711">
        <v>0</v>
      </c>
    </row>
    <row r="2266" spans="1:5" x14ac:dyDescent="0.3">
      <c r="A2266" s="397"/>
      <c r="B2266" s="709">
        <v>5736</v>
      </c>
      <c r="C2266" s="710" t="s">
        <v>2769</v>
      </c>
      <c r="D2266" s="709" t="s">
        <v>234</v>
      </c>
      <c r="E2266" s="711">
        <v>0</v>
      </c>
    </row>
    <row r="2267" spans="1:5" x14ac:dyDescent="0.3">
      <c r="A2267" s="397"/>
      <c r="B2267" s="709">
        <v>88857</v>
      </c>
      <c r="C2267" s="710" t="s">
        <v>2770</v>
      </c>
      <c r="D2267" s="709" t="s">
        <v>234</v>
      </c>
      <c r="E2267" s="711">
        <v>0</v>
      </c>
    </row>
    <row r="2268" spans="1:5" x14ac:dyDescent="0.3">
      <c r="A2268" s="397"/>
      <c r="B2268" s="709">
        <v>88858</v>
      </c>
      <c r="C2268" s="710" t="s">
        <v>2771</v>
      </c>
      <c r="D2268" s="709" t="s">
        <v>234</v>
      </c>
      <c r="E2268" s="711">
        <v>0</v>
      </c>
    </row>
    <row r="2269" spans="1:5" x14ac:dyDescent="0.3">
      <c r="A2269" s="397"/>
      <c r="B2269" s="709">
        <v>5664</v>
      </c>
      <c r="C2269" s="710" t="s">
        <v>2772</v>
      </c>
      <c r="D2269" s="709" t="s">
        <v>234</v>
      </c>
      <c r="E2269" s="711">
        <v>0</v>
      </c>
    </row>
    <row r="2270" spans="1:5" x14ac:dyDescent="0.3">
      <c r="A2270" s="397"/>
      <c r="B2270" s="709">
        <v>53786</v>
      </c>
      <c r="C2270" s="710" t="s">
        <v>2773</v>
      </c>
      <c r="D2270" s="709" t="s">
        <v>234</v>
      </c>
      <c r="E2270" s="711">
        <v>0</v>
      </c>
    </row>
    <row r="2271" spans="1:5" x14ac:dyDescent="0.3">
      <c r="A2271" s="397"/>
      <c r="B2271" s="709">
        <v>7038</v>
      </c>
      <c r="C2271" s="710" t="s">
        <v>2774</v>
      </c>
      <c r="D2271" s="709" t="s">
        <v>234</v>
      </c>
      <c r="E2271" s="711">
        <v>0</v>
      </c>
    </row>
    <row r="2272" spans="1:5" x14ac:dyDescent="0.3">
      <c r="A2272" s="397"/>
      <c r="B2272" s="709">
        <v>7039</v>
      </c>
      <c r="C2272" s="710" t="s">
        <v>2775</v>
      </c>
      <c r="D2272" s="709" t="s">
        <v>234</v>
      </c>
      <c r="E2272" s="711">
        <v>0</v>
      </c>
    </row>
    <row r="2273" spans="1:5" x14ac:dyDescent="0.3">
      <c r="A2273" s="397"/>
      <c r="B2273" s="709">
        <v>7040</v>
      </c>
      <c r="C2273" s="710" t="s">
        <v>2776</v>
      </c>
      <c r="D2273" s="709" t="s">
        <v>234</v>
      </c>
      <c r="E2273" s="711">
        <v>0</v>
      </c>
    </row>
    <row r="2274" spans="1:5" x14ac:dyDescent="0.3">
      <c r="A2274" s="397"/>
      <c r="B2274" s="709">
        <v>55263</v>
      </c>
      <c r="C2274" s="710" t="s">
        <v>2777</v>
      </c>
      <c r="D2274" s="709" t="s">
        <v>234</v>
      </c>
      <c r="E2274" s="711">
        <v>0</v>
      </c>
    </row>
    <row r="2275" spans="1:5" x14ac:dyDescent="0.3">
      <c r="A2275" s="397"/>
      <c r="B2275" s="709">
        <v>96460</v>
      </c>
      <c r="C2275" s="710" t="s">
        <v>2778</v>
      </c>
      <c r="D2275" s="709" t="s">
        <v>234</v>
      </c>
      <c r="E2275" s="711">
        <v>0</v>
      </c>
    </row>
    <row r="2276" spans="1:5" x14ac:dyDescent="0.3">
      <c r="A2276" s="397"/>
      <c r="B2276" s="709">
        <v>96459</v>
      </c>
      <c r="C2276" s="710" t="s">
        <v>2779</v>
      </c>
      <c r="D2276" s="709" t="s">
        <v>234</v>
      </c>
      <c r="E2276" s="711">
        <v>0</v>
      </c>
    </row>
    <row r="2277" spans="1:5" x14ac:dyDescent="0.3">
      <c r="A2277" s="397"/>
      <c r="B2277" s="709">
        <v>96458</v>
      </c>
      <c r="C2277" s="710" t="s">
        <v>2780</v>
      </c>
      <c r="D2277" s="709" t="s">
        <v>234</v>
      </c>
      <c r="E2277" s="711">
        <v>0</v>
      </c>
    </row>
    <row r="2278" spans="1:5" x14ac:dyDescent="0.3">
      <c r="A2278" s="397"/>
      <c r="B2278" s="709">
        <v>96457</v>
      </c>
      <c r="C2278" s="710" t="s">
        <v>2781</v>
      </c>
      <c r="D2278" s="709" t="s">
        <v>234</v>
      </c>
      <c r="E2278" s="711">
        <v>0</v>
      </c>
    </row>
    <row r="2279" spans="1:5" x14ac:dyDescent="0.3">
      <c r="A2279" s="397"/>
      <c r="B2279" s="709">
        <v>7051</v>
      </c>
      <c r="C2279" s="710" t="s">
        <v>2782</v>
      </c>
      <c r="D2279" s="709" t="s">
        <v>234</v>
      </c>
      <c r="E2279" s="711">
        <v>0</v>
      </c>
    </row>
    <row r="2280" spans="1:5" x14ac:dyDescent="0.3">
      <c r="A2280" s="397"/>
      <c r="B2280" s="709">
        <v>7052</v>
      </c>
      <c r="C2280" s="710" t="s">
        <v>2783</v>
      </c>
      <c r="D2280" s="709" t="s">
        <v>234</v>
      </c>
      <c r="E2280" s="711">
        <v>0</v>
      </c>
    </row>
    <row r="2281" spans="1:5" x14ac:dyDescent="0.3">
      <c r="A2281" s="397"/>
      <c r="B2281" s="709">
        <v>7053</v>
      </c>
      <c r="C2281" s="710" t="s">
        <v>2784</v>
      </c>
      <c r="D2281" s="709" t="s">
        <v>234</v>
      </c>
      <c r="E2281" s="711">
        <v>0</v>
      </c>
    </row>
    <row r="2282" spans="1:5" x14ac:dyDescent="0.3">
      <c r="A2282" s="397"/>
      <c r="B2282" s="709">
        <v>7054</v>
      </c>
      <c r="C2282" s="710" t="s">
        <v>2785</v>
      </c>
      <c r="D2282" s="709" t="s">
        <v>234</v>
      </c>
      <c r="E2282" s="711">
        <v>0</v>
      </c>
    </row>
    <row r="2283" spans="1:5" x14ac:dyDescent="0.3">
      <c r="A2283" s="397"/>
      <c r="B2283" s="709">
        <v>95627</v>
      </c>
      <c r="C2283" s="710" t="s">
        <v>2786</v>
      </c>
      <c r="D2283" s="709" t="s">
        <v>234</v>
      </c>
      <c r="E2283" s="711">
        <v>0</v>
      </c>
    </row>
    <row r="2284" spans="1:5" x14ac:dyDescent="0.3">
      <c r="A2284" s="397"/>
      <c r="B2284" s="709">
        <v>95628</v>
      </c>
      <c r="C2284" s="710" t="s">
        <v>2787</v>
      </c>
      <c r="D2284" s="709" t="s">
        <v>234</v>
      </c>
      <c r="E2284" s="711">
        <v>0</v>
      </c>
    </row>
    <row r="2285" spans="1:5" x14ac:dyDescent="0.3">
      <c r="A2285" s="397"/>
      <c r="B2285" s="709">
        <v>95629</v>
      </c>
      <c r="C2285" s="710" t="s">
        <v>2788</v>
      </c>
      <c r="D2285" s="709" t="s">
        <v>234</v>
      </c>
      <c r="E2285" s="711">
        <v>0</v>
      </c>
    </row>
    <row r="2286" spans="1:5" x14ac:dyDescent="0.3">
      <c r="A2286" s="397"/>
      <c r="B2286" s="709">
        <v>95630</v>
      </c>
      <c r="C2286" s="710" t="s">
        <v>2789</v>
      </c>
      <c r="D2286" s="709" t="s">
        <v>234</v>
      </c>
      <c r="E2286" s="711">
        <v>0</v>
      </c>
    </row>
    <row r="2287" spans="1:5" x14ac:dyDescent="0.3">
      <c r="A2287" s="397"/>
      <c r="B2287" s="709">
        <v>89210</v>
      </c>
      <c r="C2287" s="710" t="s">
        <v>2790</v>
      </c>
      <c r="D2287" s="709" t="s">
        <v>234</v>
      </c>
      <c r="E2287" s="711">
        <v>0</v>
      </c>
    </row>
    <row r="2288" spans="1:5" x14ac:dyDescent="0.3">
      <c r="A2288" s="397"/>
      <c r="B2288" s="709">
        <v>89211</v>
      </c>
      <c r="C2288" s="710" t="s">
        <v>2791</v>
      </c>
      <c r="D2288" s="709" t="s">
        <v>234</v>
      </c>
      <c r="E2288" s="711">
        <v>0</v>
      </c>
    </row>
    <row r="2289" spans="1:5" x14ac:dyDescent="0.3">
      <c r="A2289" s="397"/>
      <c r="B2289" s="709">
        <v>5674</v>
      </c>
      <c r="C2289" s="710" t="s">
        <v>2792</v>
      </c>
      <c r="D2289" s="709" t="s">
        <v>234</v>
      </c>
      <c r="E2289" s="711">
        <v>0</v>
      </c>
    </row>
    <row r="2290" spans="1:5" x14ac:dyDescent="0.3">
      <c r="A2290" s="397"/>
      <c r="B2290" s="709">
        <v>53788</v>
      </c>
      <c r="C2290" s="710" t="s">
        <v>2793</v>
      </c>
      <c r="D2290" s="709" t="s">
        <v>234</v>
      </c>
      <c r="E2290" s="711">
        <v>0</v>
      </c>
    </row>
    <row r="2291" spans="1:5" x14ac:dyDescent="0.3">
      <c r="A2291" s="397"/>
      <c r="B2291" s="709">
        <v>73309</v>
      </c>
      <c r="C2291" s="710" t="s">
        <v>2794</v>
      </c>
      <c r="D2291" s="709" t="s">
        <v>234</v>
      </c>
      <c r="E2291" s="711">
        <v>0</v>
      </c>
    </row>
    <row r="2292" spans="1:5" x14ac:dyDescent="0.3">
      <c r="A2292" s="397"/>
      <c r="B2292" s="709">
        <v>73313</v>
      </c>
      <c r="C2292" s="710" t="s">
        <v>2795</v>
      </c>
      <c r="D2292" s="709" t="s">
        <v>234</v>
      </c>
      <c r="E2292" s="711">
        <v>0</v>
      </c>
    </row>
    <row r="2293" spans="1:5" x14ac:dyDescent="0.3">
      <c r="A2293" s="397"/>
      <c r="B2293" s="709">
        <v>5089</v>
      </c>
      <c r="C2293" s="710" t="s">
        <v>2796</v>
      </c>
      <c r="D2293" s="709" t="s">
        <v>234</v>
      </c>
      <c r="E2293" s="711">
        <v>0</v>
      </c>
    </row>
    <row r="2294" spans="1:5" x14ac:dyDescent="0.3">
      <c r="A2294" s="397"/>
      <c r="B2294" s="709">
        <v>73315</v>
      </c>
      <c r="C2294" s="710" t="s">
        <v>2797</v>
      </c>
      <c r="D2294" s="709" t="s">
        <v>234</v>
      </c>
      <c r="E2294" s="711">
        <v>0</v>
      </c>
    </row>
    <row r="2295" spans="1:5" x14ac:dyDescent="0.3">
      <c r="A2295" s="397"/>
      <c r="B2295" s="709">
        <v>5738</v>
      </c>
      <c r="C2295" s="710" t="s">
        <v>2798</v>
      </c>
      <c r="D2295" s="709" t="s">
        <v>234</v>
      </c>
      <c r="E2295" s="711">
        <v>0</v>
      </c>
    </row>
    <row r="2296" spans="1:5" x14ac:dyDescent="0.3">
      <c r="A2296" s="397"/>
      <c r="B2296" s="709">
        <v>93239</v>
      </c>
      <c r="C2296" s="710" t="s">
        <v>2799</v>
      </c>
      <c r="D2296" s="709" t="s">
        <v>234</v>
      </c>
      <c r="E2296" s="711">
        <v>0</v>
      </c>
    </row>
    <row r="2297" spans="1:5" x14ac:dyDescent="0.3">
      <c r="A2297" s="397"/>
      <c r="B2297" s="709">
        <v>5739</v>
      </c>
      <c r="C2297" s="710" t="s">
        <v>2800</v>
      </c>
      <c r="D2297" s="709" t="s">
        <v>234</v>
      </c>
      <c r="E2297" s="711">
        <v>0</v>
      </c>
    </row>
    <row r="2298" spans="1:5" x14ac:dyDescent="0.3">
      <c r="A2298" s="397"/>
      <c r="B2298" s="709">
        <v>93240</v>
      </c>
      <c r="C2298" s="710" t="s">
        <v>2801</v>
      </c>
      <c r="D2298" s="709" t="s">
        <v>234</v>
      </c>
      <c r="E2298" s="711">
        <v>0</v>
      </c>
    </row>
    <row r="2299" spans="1:5" x14ac:dyDescent="0.3">
      <c r="A2299" s="397"/>
      <c r="B2299" s="709">
        <v>53818</v>
      </c>
      <c r="C2299" s="710" t="s">
        <v>2802</v>
      </c>
      <c r="D2299" s="709" t="s">
        <v>234</v>
      </c>
      <c r="E2299" s="711">
        <v>0</v>
      </c>
    </row>
    <row r="2300" spans="1:5" x14ac:dyDescent="0.3">
      <c r="A2300" s="397"/>
      <c r="B2300" s="709">
        <v>93238</v>
      </c>
      <c r="C2300" s="710" t="s">
        <v>2803</v>
      </c>
      <c r="D2300" s="709" t="s">
        <v>234</v>
      </c>
      <c r="E2300" s="711">
        <v>0</v>
      </c>
    </row>
    <row r="2301" spans="1:5" x14ac:dyDescent="0.3">
      <c r="A2301" s="397"/>
      <c r="B2301" s="709">
        <v>5727</v>
      </c>
      <c r="C2301" s="710" t="s">
        <v>2804</v>
      </c>
      <c r="D2301" s="709" t="s">
        <v>234</v>
      </c>
      <c r="E2301" s="711">
        <v>0</v>
      </c>
    </row>
    <row r="2302" spans="1:5" x14ac:dyDescent="0.3">
      <c r="A2302" s="397"/>
      <c r="B2302" s="709">
        <v>89280</v>
      </c>
      <c r="C2302" s="710" t="s">
        <v>2805</v>
      </c>
      <c r="D2302" s="709" t="s">
        <v>234</v>
      </c>
      <c r="E2302" s="711">
        <v>0</v>
      </c>
    </row>
    <row r="2303" spans="1:5" x14ac:dyDescent="0.3">
      <c r="A2303" s="397"/>
      <c r="B2303" s="709">
        <v>89281</v>
      </c>
      <c r="C2303" s="710" t="s">
        <v>2806</v>
      </c>
      <c r="D2303" s="709" t="s">
        <v>234</v>
      </c>
      <c r="E2303" s="711">
        <v>0</v>
      </c>
    </row>
    <row r="2304" spans="1:5" x14ac:dyDescent="0.3">
      <c r="A2304" s="397"/>
      <c r="B2304" s="709">
        <v>5729</v>
      </c>
      <c r="C2304" s="710" t="s">
        <v>2807</v>
      </c>
      <c r="D2304" s="709" t="s">
        <v>234</v>
      </c>
      <c r="E2304" s="711">
        <v>0</v>
      </c>
    </row>
    <row r="2305" spans="1:5" x14ac:dyDescent="0.3">
      <c r="A2305" s="397"/>
      <c r="B2305" s="709">
        <v>5730</v>
      </c>
      <c r="C2305" s="710" t="s">
        <v>2808</v>
      </c>
      <c r="D2305" s="709" t="s">
        <v>234</v>
      </c>
      <c r="E2305" s="711">
        <v>0</v>
      </c>
    </row>
    <row r="2306" spans="1:5" x14ac:dyDescent="0.3">
      <c r="A2306" s="397"/>
      <c r="B2306" s="709">
        <v>95266</v>
      </c>
      <c r="C2306" s="710" t="s">
        <v>2809</v>
      </c>
      <c r="D2306" s="709" t="s">
        <v>234</v>
      </c>
      <c r="E2306" s="711">
        <v>0</v>
      </c>
    </row>
    <row r="2307" spans="1:5" x14ac:dyDescent="0.3">
      <c r="A2307" s="397"/>
      <c r="B2307" s="709">
        <v>95267</v>
      </c>
      <c r="C2307" s="710" t="s">
        <v>2810</v>
      </c>
      <c r="D2307" s="709" t="s">
        <v>234</v>
      </c>
      <c r="E2307" s="711">
        <v>0</v>
      </c>
    </row>
    <row r="2308" spans="1:5" x14ac:dyDescent="0.3">
      <c r="A2308" s="397"/>
      <c r="B2308" s="709">
        <v>95268</v>
      </c>
      <c r="C2308" s="710" t="s">
        <v>2811</v>
      </c>
      <c r="D2308" s="709" t="s">
        <v>234</v>
      </c>
      <c r="E2308" s="711">
        <v>0</v>
      </c>
    </row>
    <row r="2309" spans="1:5" x14ac:dyDescent="0.3">
      <c r="A2309" s="397"/>
      <c r="B2309" s="709">
        <v>95269</v>
      </c>
      <c r="C2309" s="710" t="s">
        <v>2812</v>
      </c>
      <c r="D2309" s="709" t="s">
        <v>234</v>
      </c>
      <c r="E2309" s="711">
        <v>0</v>
      </c>
    </row>
    <row r="2310" spans="1:5" x14ac:dyDescent="0.3">
      <c r="A2310" s="397"/>
      <c r="B2310" s="709">
        <v>91688</v>
      </c>
      <c r="C2310" s="710" t="s">
        <v>2813</v>
      </c>
      <c r="D2310" s="709" t="s">
        <v>234</v>
      </c>
      <c r="E2310" s="711">
        <v>0</v>
      </c>
    </row>
    <row r="2311" spans="1:5" x14ac:dyDescent="0.3">
      <c r="A2311" s="397"/>
      <c r="B2311" s="709">
        <v>91689</v>
      </c>
      <c r="C2311" s="710" t="s">
        <v>2814</v>
      </c>
      <c r="D2311" s="709" t="s">
        <v>234</v>
      </c>
      <c r="E2311" s="711">
        <v>0</v>
      </c>
    </row>
    <row r="2312" spans="1:5" x14ac:dyDescent="0.3">
      <c r="A2312" s="397"/>
      <c r="B2312" s="709">
        <v>91690</v>
      </c>
      <c r="C2312" s="710" t="s">
        <v>2815</v>
      </c>
      <c r="D2312" s="709" t="s">
        <v>234</v>
      </c>
      <c r="E2312" s="711">
        <v>0</v>
      </c>
    </row>
    <row r="2313" spans="1:5" x14ac:dyDescent="0.3">
      <c r="A2313" s="397"/>
      <c r="B2313" s="709">
        <v>91691</v>
      </c>
      <c r="C2313" s="710" t="s">
        <v>2816</v>
      </c>
      <c r="D2313" s="709" t="s">
        <v>234</v>
      </c>
      <c r="E2313" s="711">
        <v>0</v>
      </c>
    </row>
    <row r="2314" spans="1:5" x14ac:dyDescent="0.3">
      <c r="A2314" s="397"/>
      <c r="B2314" s="709">
        <v>102927</v>
      </c>
      <c r="C2314" s="710" t="s">
        <v>2820</v>
      </c>
      <c r="D2314" s="709" t="s">
        <v>234</v>
      </c>
      <c r="E2314" s="711">
        <v>0</v>
      </c>
    </row>
    <row r="2315" spans="1:5" x14ac:dyDescent="0.3">
      <c r="A2315" s="397"/>
      <c r="B2315" s="709">
        <v>95136</v>
      </c>
      <c r="C2315" s="710" t="s">
        <v>2821</v>
      </c>
      <c r="D2315" s="709" t="s">
        <v>234</v>
      </c>
      <c r="E2315" s="711">
        <v>0</v>
      </c>
    </row>
    <row r="2316" spans="1:5" x14ac:dyDescent="0.3">
      <c r="A2316" s="397"/>
      <c r="B2316" s="709">
        <v>95137</v>
      </c>
      <c r="C2316" s="710" t="s">
        <v>2822</v>
      </c>
      <c r="D2316" s="709" t="s">
        <v>234</v>
      </c>
      <c r="E2316" s="711">
        <v>0</v>
      </c>
    </row>
    <row r="2317" spans="1:5" x14ac:dyDescent="0.3">
      <c r="A2317" s="397"/>
      <c r="B2317" s="709">
        <v>95138</v>
      </c>
      <c r="C2317" s="710" t="s">
        <v>2823</v>
      </c>
      <c r="D2317" s="709" t="s">
        <v>234</v>
      </c>
      <c r="E2317" s="711">
        <v>0</v>
      </c>
    </row>
    <row r="2318" spans="1:5" x14ac:dyDescent="0.3">
      <c r="A2318" s="397"/>
      <c r="B2318" s="709">
        <v>89023</v>
      </c>
      <c r="C2318" s="710" t="s">
        <v>2824</v>
      </c>
      <c r="D2318" s="709" t="s">
        <v>234</v>
      </c>
      <c r="E2318" s="711">
        <v>0</v>
      </c>
    </row>
    <row r="2319" spans="1:5" x14ac:dyDescent="0.3">
      <c r="A2319" s="397"/>
      <c r="B2319" s="709">
        <v>89024</v>
      </c>
      <c r="C2319" s="710" t="s">
        <v>2825</v>
      </c>
      <c r="D2319" s="709" t="s">
        <v>234</v>
      </c>
      <c r="E2319" s="711">
        <v>0</v>
      </c>
    </row>
    <row r="2320" spans="1:5" x14ac:dyDescent="0.3">
      <c r="A2320" s="397"/>
      <c r="B2320" s="709">
        <v>89025</v>
      </c>
      <c r="C2320" s="710" t="s">
        <v>2826</v>
      </c>
      <c r="D2320" s="709" t="s">
        <v>234</v>
      </c>
      <c r="E2320" s="711">
        <v>0</v>
      </c>
    </row>
    <row r="2321" spans="1:5" x14ac:dyDescent="0.3">
      <c r="A2321" s="397"/>
      <c r="B2321" s="709">
        <v>89026</v>
      </c>
      <c r="C2321" s="710" t="s">
        <v>2827</v>
      </c>
      <c r="D2321" s="709" t="s">
        <v>234</v>
      </c>
      <c r="E2321" s="711">
        <v>0</v>
      </c>
    </row>
    <row r="2322" spans="1:5" x14ac:dyDescent="0.3">
      <c r="A2322" s="397"/>
      <c r="B2322" s="709">
        <v>7032</v>
      </c>
      <c r="C2322" s="710" t="s">
        <v>2828</v>
      </c>
      <c r="D2322" s="709" t="s">
        <v>234</v>
      </c>
      <c r="E2322" s="711">
        <v>0</v>
      </c>
    </row>
    <row r="2323" spans="1:5" x14ac:dyDescent="0.3">
      <c r="A2323" s="397"/>
      <c r="B2323" s="709">
        <v>7033</v>
      </c>
      <c r="C2323" s="710" t="s">
        <v>2829</v>
      </c>
      <c r="D2323" s="709" t="s">
        <v>234</v>
      </c>
      <c r="E2323" s="711">
        <v>0</v>
      </c>
    </row>
    <row r="2324" spans="1:5" x14ac:dyDescent="0.3">
      <c r="A2324" s="397"/>
      <c r="B2324" s="709">
        <v>7034</v>
      </c>
      <c r="C2324" s="710" t="s">
        <v>2830</v>
      </c>
      <c r="D2324" s="709" t="s">
        <v>234</v>
      </c>
      <c r="E2324" s="711">
        <v>0</v>
      </c>
    </row>
    <row r="2325" spans="1:5" x14ac:dyDescent="0.3">
      <c r="A2325" s="397"/>
      <c r="B2325" s="709">
        <v>7035</v>
      </c>
      <c r="C2325" s="710" t="s">
        <v>2831</v>
      </c>
      <c r="D2325" s="709" t="s">
        <v>234</v>
      </c>
      <c r="E2325" s="711">
        <v>0</v>
      </c>
    </row>
    <row r="2326" spans="1:5" x14ac:dyDescent="0.3">
      <c r="A2326" s="397"/>
      <c r="B2326" s="709">
        <v>102945</v>
      </c>
      <c r="C2326" s="710" t="s">
        <v>2835</v>
      </c>
      <c r="D2326" s="709" t="s">
        <v>234</v>
      </c>
      <c r="E2326" s="711">
        <v>0</v>
      </c>
    </row>
    <row r="2327" spans="1:5" x14ac:dyDescent="0.3">
      <c r="A2327" s="397"/>
      <c r="B2327" s="709">
        <v>104087</v>
      </c>
      <c r="C2327" s="710" t="s">
        <v>2836</v>
      </c>
      <c r="D2327" s="709" t="s">
        <v>234</v>
      </c>
      <c r="E2327" s="711">
        <v>0</v>
      </c>
    </row>
    <row r="2328" spans="1:5" x14ac:dyDescent="0.3">
      <c r="A2328" s="397"/>
      <c r="B2328" s="709">
        <v>104088</v>
      </c>
      <c r="C2328" s="710" t="s">
        <v>2837</v>
      </c>
      <c r="D2328" s="709" t="s">
        <v>234</v>
      </c>
      <c r="E2328" s="711"/>
    </row>
    <row r="2329" spans="1:5" x14ac:dyDescent="0.3">
      <c r="A2329" s="397"/>
      <c r="B2329" s="709">
        <v>104089</v>
      </c>
      <c r="C2329" s="710" t="s">
        <v>2838</v>
      </c>
      <c r="D2329" s="709" t="s">
        <v>234</v>
      </c>
      <c r="E2329" s="711">
        <v>0</v>
      </c>
    </row>
    <row r="2330" spans="1:5" x14ac:dyDescent="0.3">
      <c r="A2330" s="397"/>
      <c r="B2330" s="709">
        <v>104090</v>
      </c>
      <c r="C2330" s="710" t="s">
        <v>2839</v>
      </c>
      <c r="D2330" s="709" t="s">
        <v>234</v>
      </c>
      <c r="E2330" s="711">
        <v>0</v>
      </c>
    </row>
    <row r="2331" spans="1:5" x14ac:dyDescent="0.3">
      <c r="A2331" s="397"/>
      <c r="B2331" s="709">
        <v>104093</v>
      </c>
      <c r="C2331" s="710" t="s">
        <v>2840</v>
      </c>
      <c r="D2331" s="709" t="s">
        <v>234</v>
      </c>
      <c r="E2331" s="711">
        <v>0</v>
      </c>
    </row>
    <row r="2332" spans="1:5" x14ac:dyDescent="0.3">
      <c r="A2332" s="397"/>
      <c r="B2332" s="709">
        <v>104094</v>
      </c>
      <c r="C2332" s="710" t="s">
        <v>2841</v>
      </c>
      <c r="D2332" s="709" t="s">
        <v>234</v>
      </c>
      <c r="E2332" s="711">
        <v>0</v>
      </c>
    </row>
    <row r="2333" spans="1:5" x14ac:dyDescent="0.3">
      <c r="A2333" s="397"/>
      <c r="B2333" s="709">
        <v>104095</v>
      </c>
      <c r="C2333" s="710" t="s">
        <v>2842</v>
      </c>
      <c r="D2333" s="709" t="s">
        <v>234</v>
      </c>
      <c r="E2333" s="711">
        <v>0</v>
      </c>
    </row>
    <row r="2334" spans="1:5" x14ac:dyDescent="0.3">
      <c r="A2334" s="397"/>
      <c r="B2334" s="709">
        <v>104096</v>
      </c>
      <c r="C2334" s="710" t="s">
        <v>2843</v>
      </c>
      <c r="D2334" s="709" t="s">
        <v>234</v>
      </c>
      <c r="E2334" s="711">
        <v>0</v>
      </c>
    </row>
    <row r="2335" spans="1:5" x14ac:dyDescent="0.3">
      <c r="A2335" s="397"/>
      <c r="B2335" s="709">
        <v>102903</v>
      </c>
      <c r="C2335" s="710" t="s">
        <v>2847</v>
      </c>
      <c r="D2335" s="709" t="s">
        <v>234</v>
      </c>
      <c r="E2335" s="711">
        <v>0</v>
      </c>
    </row>
    <row r="2336" spans="1:5" x14ac:dyDescent="0.3">
      <c r="A2336" s="397"/>
      <c r="B2336" s="709">
        <v>89029</v>
      </c>
      <c r="C2336" s="710" t="s">
        <v>2848</v>
      </c>
      <c r="D2336" s="709" t="s">
        <v>234</v>
      </c>
      <c r="E2336" s="711">
        <v>0</v>
      </c>
    </row>
    <row r="2337" spans="1:5" x14ac:dyDescent="0.3">
      <c r="A2337" s="397"/>
      <c r="B2337" s="709">
        <v>89030</v>
      </c>
      <c r="C2337" s="710" t="s">
        <v>2849</v>
      </c>
      <c r="D2337" s="709" t="s">
        <v>234</v>
      </c>
      <c r="E2337" s="711">
        <v>0</v>
      </c>
    </row>
    <row r="2338" spans="1:5" x14ac:dyDescent="0.3">
      <c r="A2338" s="397"/>
      <c r="B2338" s="709">
        <v>5724</v>
      </c>
      <c r="C2338" s="710" t="s">
        <v>2850</v>
      </c>
      <c r="D2338" s="709" t="s">
        <v>234</v>
      </c>
      <c r="E2338" s="711">
        <v>0</v>
      </c>
    </row>
    <row r="2339" spans="1:5" x14ac:dyDescent="0.3">
      <c r="A2339" s="397"/>
      <c r="B2339" s="709">
        <v>53817</v>
      </c>
      <c r="C2339" s="710" t="s">
        <v>2851</v>
      </c>
      <c r="D2339" s="709" t="s">
        <v>234</v>
      </c>
      <c r="E2339" s="711">
        <v>0</v>
      </c>
    </row>
    <row r="2340" spans="1:5" x14ac:dyDescent="0.3">
      <c r="A2340" s="397"/>
      <c r="B2340" s="709">
        <v>88839</v>
      </c>
      <c r="C2340" s="710" t="s">
        <v>2852</v>
      </c>
      <c r="D2340" s="709" t="s">
        <v>234</v>
      </c>
      <c r="E2340" s="711">
        <v>0</v>
      </c>
    </row>
    <row r="2341" spans="1:5" x14ac:dyDescent="0.3">
      <c r="A2341" s="397"/>
      <c r="B2341" s="709">
        <v>88840</v>
      </c>
      <c r="C2341" s="710" t="s">
        <v>2853</v>
      </c>
      <c r="D2341" s="709" t="s">
        <v>234</v>
      </c>
      <c r="E2341" s="711">
        <v>0</v>
      </c>
    </row>
    <row r="2342" spans="1:5" x14ac:dyDescent="0.3">
      <c r="A2342" s="397"/>
      <c r="B2342" s="709">
        <v>88841</v>
      </c>
      <c r="C2342" s="710" t="s">
        <v>2854</v>
      </c>
      <c r="D2342" s="709" t="s">
        <v>234</v>
      </c>
      <c r="E2342" s="711">
        <v>0</v>
      </c>
    </row>
    <row r="2343" spans="1:5" x14ac:dyDescent="0.3">
      <c r="A2343" s="397"/>
      <c r="B2343" s="709">
        <v>88842</v>
      </c>
      <c r="C2343" s="710" t="s">
        <v>2855</v>
      </c>
      <c r="D2343" s="709" t="s">
        <v>234</v>
      </c>
      <c r="E2343" s="711">
        <v>0</v>
      </c>
    </row>
    <row r="2344" spans="1:5" x14ac:dyDescent="0.3">
      <c r="A2344" s="397"/>
      <c r="B2344" s="709">
        <v>89009</v>
      </c>
      <c r="C2344" s="710" t="s">
        <v>2856</v>
      </c>
      <c r="D2344" s="709" t="s">
        <v>234</v>
      </c>
      <c r="E2344" s="711">
        <v>0</v>
      </c>
    </row>
    <row r="2345" spans="1:5" x14ac:dyDescent="0.3">
      <c r="A2345" s="397"/>
      <c r="B2345" s="709">
        <v>89010</v>
      </c>
      <c r="C2345" s="710" t="s">
        <v>2857</v>
      </c>
      <c r="D2345" s="709" t="s">
        <v>234</v>
      </c>
      <c r="E2345" s="711">
        <v>0</v>
      </c>
    </row>
    <row r="2346" spans="1:5" x14ac:dyDescent="0.3">
      <c r="A2346" s="397"/>
      <c r="B2346" s="709">
        <v>53810</v>
      </c>
      <c r="C2346" s="710" t="s">
        <v>2858</v>
      </c>
      <c r="D2346" s="709" t="s">
        <v>234</v>
      </c>
      <c r="E2346" s="711">
        <v>0</v>
      </c>
    </row>
    <row r="2347" spans="1:5" x14ac:dyDescent="0.3">
      <c r="A2347" s="397"/>
      <c r="B2347" s="709">
        <v>5721</v>
      </c>
      <c r="C2347" s="710" t="s">
        <v>2859</v>
      </c>
      <c r="D2347" s="709" t="s">
        <v>234</v>
      </c>
      <c r="E2347" s="711">
        <v>0</v>
      </c>
    </row>
    <row r="2348" spans="1:5" x14ac:dyDescent="0.3">
      <c r="A2348" s="397"/>
      <c r="B2348" s="709">
        <v>89017</v>
      </c>
      <c r="C2348" s="710" t="s">
        <v>2860</v>
      </c>
      <c r="D2348" s="709" t="s">
        <v>234</v>
      </c>
      <c r="E2348" s="711">
        <v>0</v>
      </c>
    </row>
    <row r="2349" spans="1:5" x14ac:dyDescent="0.3">
      <c r="A2349" s="397"/>
      <c r="B2349" s="709">
        <v>89018</v>
      </c>
      <c r="C2349" s="710" t="s">
        <v>2861</v>
      </c>
      <c r="D2349" s="709" t="s">
        <v>234</v>
      </c>
      <c r="E2349" s="711">
        <v>0</v>
      </c>
    </row>
    <row r="2350" spans="1:5" x14ac:dyDescent="0.3">
      <c r="A2350" s="397"/>
      <c r="B2350" s="709">
        <v>53806</v>
      </c>
      <c r="C2350" s="710" t="s">
        <v>2862</v>
      </c>
      <c r="D2350" s="709" t="s">
        <v>234</v>
      </c>
      <c r="E2350" s="711">
        <v>0</v>
      </c>
    </row>
    <row r="2351" spans="1:5" x14ac:dyDescent="0.3">
      <c r="A2351" s="397"/>
      <c r="B2351" s="709">
        <v>5718</v>
      </c>
      <c r="C2351" s="710" t="s">
        <v>2863</v>
      </c>
      <c r="D2351" s="709" t="s">
        <v>234</v>
      </c>
      <c r="E2351" s="711">
        <v>0</v>
      </c>
    </row>
    <row r="2352" spans="1:5" x14ac:dyDescent="0.3">
      <c r="A2352" s="397"/>
      <c r="B2352" s="709">
        <v>89013</v>
      </c>
      <c r="C2352" s="710" t="s">
        <v>2864</v>
      </c>
      <c r="D2352" s="709" t="s">
        <v>234</v>
      </c>
      <c r="E2352" s="711">
        <v>0</v>
      </c>
    </row>
    <row r="2353" spans="1:5" x14ac:dyDescent="0.3">
      <c r="A2353" s="397"/>
      <c r="B2353" s="709">
        <v>89014</v>
      </c>
      <c r="C2353" s="710" t="s">
        <v>2865</v>
      </c>
      <c r="D2353" s="709" t="s">
        <v>234</v>
      </c>
      <c r="E2353" s="711">
        <v>0</v>
      </c>
    </row>
    <row r="2354" spans="1:5" x14ac:dyDescent="0.3">
      <c r="A2354" s="397"/>
      <c r="B2354" s="709">
        <v>53814</v>
      </c>
      <c r="C2354" s="710" t="s">
        <v>2866</v>
      </c>
      <c r="D2354" s="709" t="s">
        <v>234</v>
      </c>
      <c r="E2354" s="711">
        <v>0</v>
      </c>
    </row>
    <row r="2355" spans="1:5" x14ac:dyDescent="0.3">
      <c r="A2355" s="397"/>
      <c r="B2355" s="709">
        <v>5722</v>
      </c>
      <c r="C2355" s="710" t="s">
        <v>2867</v>
      </c>
      <c r="D2355" s="709" t="s">
        <v>234</v>
      </c>
      <c r="E2355" s="711">
        <v>0</v>
      </c>
    </row>
    <row r="2356" spans="1:5" x14ac:dyDescent="0.3">
      <c r="A2356" s="397"/>
      <c r="B2356" s="709">
        <v>96015</v>
      </c>
      <c r="C2356" s="710" t="s">
        <v>2868</v>
      </c>
      <c r="D2356" s="709" t="s">
        <v>234</v>
      </c>
      <c r="E2356" s="711">
        <v>0</v>
      </c>
    </row>
    <row r="2357" spans="1:5" x14ac:dyDescent="0.3">
      <c r="A2357" s="397"/>
      <c r="B2357" s="709">
        <v>96016</v>
      </c>
      <c r="C2357" s="710" t="s">
        <v>2869</v>
      </c>
      <c r="D2357" s="709" t="s">
        <v>234</v>
      </c>
      <c r="E2357" s="711">
        <v>0</v>
      </c>
    </row>
    <row r="2358" spans="1:5" x14ac:dyDescent="0.3">
      <c r="A2358" s="397"/>
      <c r="B2358" s="709">
        <v>96018</v>
      </c>
      <c r="C2358" s="710" t="s">
        <v>2870</v>
      </c>
      <c r="D2358" s="709" t="s">
        <v>234</v>
      </c>
      <c r="E2358" s="711">
        <v>0</v>
      </c>
    </row>
    <row r="2359" spans="1:5" x14ac:dyDescent="0.3">
      <c r="A2359" s="397"/>
      <c r="B2359" s="709">
        <v>96019</v>
      </c>
      <c r="C2359" s="710" t="s">
        <v>2871</v>
      </c>
      <c r="D2359" s="709" t="s">
        <v>234</v>
      </c>
      <c r="E2359" s="711">
        <v>0</v>
      </c>
    </row>
    <row r="2360" spans="1:5" x14ac:dyDescent="0.3">
      <c r="A2360" s="397"/>
      <c r="B2360" s="709">
        <v>96008</v>
      </c>
      <c r="C2360" s="710" t="s">
        <v>2872</v>
      </c>
      <c r="D2360" s="709" t="s">
        <v>234</v>
      </c>
      <c r="E2360" s="711">
        <v>0</v>
      </c>
    </row>
    <row r="2361" spans="1:5" x14ac:dyDescent="0.3">
      <c r="A2361" s="397"/>
      <c r="B2361" s="709">
        <v>96009</v>
      </c>
      <c r="C2361" s="710" t="s">
        <v>2873</v>
      </c>
      <c r="D2361" s="709" t="s">
        <v>234</v>
      </c>
      <c r="E2361" s="711">
        <v>0</v>
      </c>
    </row>
    <row r="2362" spans="1:5" x14ac:dyDescent="0.3">
      <c r="A2362" s="397"/>
      <c r="B2362" s="709">
        <v>96011</v>
      </c>
      <c r="C2362" s="710" t="s">
        <v>2874</v>
      </c>
      <c r="D2362" s="709" t="s">
        <v>234</v>
      </c>
      <c r="E2362" s="711">
        <v>0</v>
      </c>
    </row>
    <row r="2363" spans="1:5" x14ac:dyDescent="0.3">
      <c r="A2363" s="397"/>
      <c r="B2363" s="709">
        <v>96012</v>
      </c>
      <c r="C2363" s="710" t="s">
        <v>2875</v>
      </c>
      <c r="D2363" s="709" t="s">
        <v>234</v>
      </c>
      <c r="E2363" s="711">
        <v>0</v>
      </c>
    </row>
    <row r="2364" spans="1:5" x14ac:dyDescent="0.3">
      <c r="A2364" s="397"/>
      <c r="B2364" s="709">
        <v>96023</v>
      </c>
      <c r="C2364" s="710" t="s">
        <v>2876</v>
      </c>
      <c r="D2364" s="709" t="s">
        <v>234</v>
      </c>
      <c r="E2364" s="711">
        <v>0</v>
      </c>
    </row>
    <row r="2365" spans="1:5" x14ac:dyDescent="0.3">
      <c r="A2365" s="397"/>
      <c r="B2365" s="709">
        <v>96024</v>
      </c>
      <c r="C2365" s="710" t="s">
        <v>2877</v>
      </c>
      <c r="D2365" s="709" t="s">
        <v>234</v>
      </c>
      <c r="E2365" s="711">
        <v>0</v>
      </c>
    </row>
    <row r="2366" spans="1:5" x14ac:dyDescent="0.3">
      <c r="A2366" s="397"/>
      <c r="B2366" s="709">
        <v>96026</v>
      </c>
      <c r="C2366" s="710" t="s">
        <v>2878</v>
      </c>
      <c r="D2366" s="709" t="s">
        <v>234</v>
      </c>
      <c r="E2366" s="711">
        <v>0</v>
      </c>
    </row>
    <row r="2367" spans="1:5" x14ac:dyDescent="0.3">
      <c r="A2367" s="397"/>
      <c r="B2367" s="709">
        <v>96027</v>
      </c>
      <c r="C2367" s="710" t="s">
        <v>2879</v>
      </c>
      <c r="D2367" s="709" t="s">
        <v>234</v>
      </c>
      <c r="E2367" s="711">
        <v>0</v>
      </c>
    </row>
    <row r="2368" spans="1:5" x14ac:dyDescent="0.3">
      <c r="A2368" s="397"/>
      <c r="B2368" s="709">
        <v>96053</v>
      </c>
      <c r="C2368" s="710" t="s">
        <v>2880</v>
      </c>
      <c r="D2368" s="709" t="s">
        <v>234</v>
      </c>
      <c r="E2368" s="711">
        <v>0</v>
      </c>
    </row>
    <row r="2369" spans="1:5" x14ac:dyDescent="0.3">
      <c r="A2369" s="397"/>
      <c r="B2369" s="709">
        <v>96055</v>
      </c>
      <c r="C2369" s="710" t="s">
        <v>2881</v>
      </c>
      <c r="D2369" s="709" t="s">
        <v>234</v>
      </c>
      <c r="E2369" s="711">
        <v>0</v>
      </c>
    </row>
    <row r="2370" spans="1:5" x14ac:dyDescent="0.3">
      <c r="A2370" s="397"/>
      <c r="B2370" s="709">
        <v>96056</v>
      </c>
      <c r="C2370" s="710" t="s">
        <v>2882</v>
      </c>
      <c r="D2370" s="709" t="s">
        <v>234</v>
      </c>
      <c r="E2370" s="711">
        <v>0</v>
      </c>
    </row>
    <row r="2371" spans="1:5" x14ac:dyDescent="0.3">
      <c r="A2371" s="397"/>
      <c r="B2371" s="709">
        <v>96057</v>
      </c>
      <c r="C2371" s="710" t="s">
        <v>2883</v>
      </c>
      <c r="D2371" s="709" t="s">
        <v>234</v>
      </c>
      <c r="E2371" s="711">
        <v>0</v>
      </c>
    </row>
    <row r="2372" spans="1:5" x14ac:dyDescent="0.3">
      <c r="A2372" s="397"/>
      <c r="B2372" s="709">
        <v>7063</v>
      </c>
      <c r="C2372" s="710" t="s">
        <v>2884</v>
      </c>
      <c r="D2372" s="709" t="s">
        <v>234</v>
      </c>
      <c r="E2372" s="711">
        <v>0</v>
      </c>
    </row>
    <row r="2373" spans="1:5" x14ac:dyDescent="0.3">
      <c r="A2373" s="397"/>
      <c r="B2373" s="709">
        <v>7064</v>
      </c>
      <c r="C2373" s="710" t="s">
        <v>2885</v>
      </c>
      <c r="D2373" s="709" t="s">
        <v>234</v>
      </c>
      <c r="E2373" s="711">
        <v>0</v>
      </c>
    </row>
    <row r="2374" spans="1:5" x14ac:dyDescent="0.3">
      <c r="A2374" s="397"/>
      <c r="B2374" s="709">
        <v>7065</v>
      </c>
      <c r="C2374" s="710" t="s">
        <v>2886</v>
      </c>
      <c r="D2374" s="709" t="s">
        <v>234</v>
      </c>
      <c r="E2374" s="711">
        <v>0</v>
      </c>
    </row>
    <row r="2375" spans="1:5" x14ac:dyDescent="0.3">
      <c r="A2375" s="397"/>
      <c r="B2375" s="709">
        <v>7066</v>
      </c>
      <c r="C2375" s="710" t="s">
        <v>2887</v>
      </c>
      <c r="D2375" s="709" t="s">
        <v>234</v>
      </c>
      <c r="E2375" s="711">
        <v>0</v>
      </c>
    </row>
    <row r="2376" spans="1:5" x14ac:dyDescent="0.3">
      <c r="A2376" s="397"/>
      <c r="B2376" s="709">
        <v>89033</v>
      </c>
      <c r="C2376" s="710" t="s">
        <v>2888</v>
      </c>
      <c r="D2376" s="709" t="s">
        <v>234</v>
      </c>
      <c r="E2376" s="711">
        <v>0</v>
      </c>
    </row>
    <row r="2377" spans="1:5" x14ac:dyDescent="0.3">
      <c r="A2377" s="397"/>
      <c r="B2377" s="709">
        <v>89034</v>
      </c>
      <c r="C2377" s="710" t="s">
        <v>2889</v>
      </c>
      <c r="D2377" s="709" t="s">
        <v>234</v>
      </c>
      <c r="E2377" s="711">
        <v>0</v>
      </c>
    </row>
    <row r="2378" spans="1:5" x14ac:dyDescent="0.3">
      <c r="A2378" s="397"/>
      <c r="B2378" s="709">
        <v>5714</v>
      </c>
      <c r="C2378" s="710" t="s">
        <v>2890</v>
      </c>
      <c r="D2378" s="709" t="s">
        <v>234</v>
      </c>
      <c r="E2378" s="711">
        <v>0</v>
      </c>
    </row>
    <row r="2379" spans="1:5" x14ac:dyDescent="0.3">
      <c r="A2379" s="397"/>
      <c r="B2379" s="709">
        <v>5715</v>
      </c>
      <c r="C2379" s="710" t="s">
        <v>2891</v>
      </c>
      <c r="D2379" s="709" t="s">
        <v>234</v>
      </c>
      <c r="E2379" s="711">
        <v>0</v>
      </c>
    </row>
    <row r="2380" spans="1:5" x14ac:dyDescent="0.3">
      <c r="A2380" s="397"/>
      <c r="B2380" s="709">
        <v>102909</v>
      </c>
      <c r="C2380" s="710" t="s">
        <v>2895</v>
      </c>
      <c r="D2380" s="709" t="s">
        <v>234</v>
      </c>
      <c r="E2380" s="711">
        <v>0</v>
      </c>
    </row>
    <row r="2381" spans="1:5" x14ac:dyDescent="0.3">
      <c r="A2381" s="397"/>
      <c r="B2381" s="709">
        <v>93435</v>
      </c>
      <c r="C2381" s="710" t="s">
        <v>2896</v>
      </c>
      <c r="D2381" s="709" t="s">
        <v>234</v>
      </c>
      <c r="E2381" s="711">
        <v>0</v>
      </c>
    </row>
    <row r="2382" spans="1:5" x14ac:dyDescent="0.3">
      <c r="A2382" s="397"/>
      <c r="B2382" s="709">
        <v>93436</v>
      </c>
      <c r="C2382" s="710" t="s">
        <v>2897</v>
      </c>
      <c r="D2382" s="709" t="s">
        <v>234</v>
      </c>
      <c r="E2382" s="711">
        <v>0</v>
      </c>
    </row>
    <row r="2383" spans="1:5" x14ac:dyDescent="0.3">
      <c r="A2383" s="397"/>
      <c r="B2383" s="709">
        <v>93437</v>
      </c>
      <c r="C2383" s="710" t="s">
        <v>2898</v>
      </c>
      <c r="D2383" s="709" t="s">
        <v>234</v>
      </c>
      <c r="E2383" s="711">
        <v>0</v>
      </c>
    </row>
    <row r="2384" spans="1:5" x14ac:dyDescent="0.3">
      <c r="A2384" s="397"/>
      <c r="B2384" s="709">
        <v>93438</v>
      </c>
      <c r="C2384" s="710" t="s">
        <v>2899</v>
      </c>
      <c r="D2384" s="709" t="s">
        <v>234</v>
      </c>
      <c r="E2384" s="711">
        <v>0</v>
      </c>
    </row>
    <row r="2385" spans="1:5" x14ac:dyDescent="0.3">
      <c r="A2385" s="397"/>
      <c r="B2385" s="709">
        <v>100643</v>
      </c>
      <c r="C2385" s="710" t="s">
        <v>2900</v>
      </c>
      <c r="D2385" s="709" t="s">
        <v>234</v>
      </c>
      <c r="E2385" s="711">
        <v>0</v>
      </c>
    </row>
    <row r="2386" spans="1:5" x14ac:dyDescent="0.3">
      <c r="A2386" s="397"/>
      <c r="B2386" s="709">
        <v>100644</v>
      </c>
      <c r="C2386" s="710" t="s">
        <v>2901</v>
      </c>
      <c r="D2386" s="709" t="s">
        <v>234</v>
      </c>
      <c r="E2386" s="711">
        <v>0</v>
      </c>
    </row>
    <row r="2387" spans="1:5" x14ac:dyDescent="0.3">
      <c r="A2387" s="397"/>
      <c r="B2387" s="709">
        <v>100645</v>
      </c>
      <c r="C2387" s="710" t="s">
        <v>2902</v>
      </c>
      <c r="D2387" s="709" t="s">
        <v>234</v>
      </c>
      <c r="E2387" s="711">
        <v>0</v>
      </c>
    </row>
    <row r="2388" spans="1:5" x14ac:dyDescent="0.3">
      <c r="A2388" s="397"/>
      <c r="B2388" s="709">
        <v>100646</v>
      </c>
      <c r="C2388" s="710" t="s">
        <v>2903</v>
      </c>
      <c r="D2388" s="709" t="s">
        <v>234</v>
      </c>
      <c r="E2388" s="711">
        <v>0</v>
      </c>
    </row>
    <row r="2389" spans="1:5" x14ac:dyDescent="0.3">
      <c r="A2389" s="397"/>
      <c r="B2389" s="709">
        <v>95116</v>
      </c>
      <c r="C2389" s="710" t="s">
        <v>2904</v>
      </c>
      <c r="D2389" s="709" t="s">
        <v>234</v>
      </c>
      <c r="E2389" s="711">
        <v>0</v>
      </c>
    </row>
    <row r="2390" spans="1:5" x14ac:dyDescent="0.3">
      <c r="A2390" s="397"/>
      <c r="B2390" s="709">
        <v>95117</v>
      </c>
      <c r="C2390" s="710" t="s">
        <v>2905</v>
      </c>
      <c r="D2390" s="709" t="s">
        <v>234</v>
      </c>
      <c r="E2390" s="711">
        <v>0</v>
      </c>
    </row>
    <row r="2391" spans="1:5" x14ac:dyDescent="0.3">
      <c r="A2391" s="397"/>
      <c r="B2391" s="709">
        <v>53794</v>
      </c>
      <c r="C2391" s="710" t="s">
        <v>2906</v>
      </c>
      <c r="D2391" s="709" t="s">
        <v>234</v>
      </c>
      <c r="E2391" s="711">
        <v>0</v>
      </c>
    </row>
    <row r="2392" spans="1:5" x14ac:dyDescent="0.3">
      <c r="A2392" s="397"/>
      <c r="B2392" s="709">
        <v>5703</v>
      </c>
      <c r="C2392" s="710" t="s">
        <v>2907</v>
      </c>
      <c r="D2392" s="709" t="s">
        <v>234</v>
      </c>
      <c r="E2392" s="711">
        <v>0</v>
      </c>
    </row>
    <row r="2393" spans="1:5" x14ac:dyDescent="0.3">
      <c r="A2393" s="397"/>
      <c r="B2393" s="709">
        <v>106089</v>
      </c>
      <c r="C2393" s="710" t="s">
        <v>2908</v>
      </c>
      <c r="D2393" s="709" t="s">
        <v>234</v>
      </c>
      <c r="E2393" s="711">
        <v>0</v>
      </c>
    </row>
    <row r="2394" spans="1:5" x14ac:dyDescent="0.3">
      <c r="A2394" s="397"/>
      <c r="B2394" s="709">
        <v>106092</v>
      </c>
      <c r="C2394" s="710" t="s">
        <v>2909</v>
      </c>
      <c r="D2394" s="709" t="s">
        <v>234</v>
      </c>
      <c r="E2394" s="711">
        <v>0</v>
      </c>
    </row>
    <row r="2395" spans="1:5" x14ac:dyDescent="0.3">
      <c r="A2395" s="397"/>
      <c r="B2395" s="709">
        <v>106090</v>
      </c>
      <c r="C2395" s="710" t="s">
        <v>2910</v>
      </c>
      <c r="D2395" s="709" t="s">
        <v>234</v>
      </c>
      <c r="E2395" s="711">
        <v>0</v>
      </c>
    </row>
    <row r="2396" spans="1:5" x14ac:dyDescent="0.3">
      <c r="A2396" s="397"/>
      <c r="B2396" s="709">
        <v>106091</v>
      </c>
      <c r="C2396" s="710" t="s">
        <v>2911</v>
      </c>
      <c r="D2396" s="709" t="s">
        <v>234</v>
      </c>
      <c r="E2396" s="711">
        <v>0</v>
      </c>
    </row>
    <row r="2397" spans="1:5" x14ac:dyDescent="0.3">
      <c r="A2397" s="397"/>
      <c r="B2397" s="709">
        <v>106093</v>
      </c>
      <c r="C2397" s="710" t="s">
        <v>2912</v>
      </c>
      <c r="D2397" s="709" t="s">
        <v>234</v>
      </c>
      <c r="E2397" s="711">
        <v>0</v>
      </c>
    </row>
    <row r="2398" spans="1:5" x14ac:dyDescent="0.3">
      <c r="A2398" s="397"/>
      <c r="B2398" s="709">
        <v>100637</v>
      </c>
      <c r="C2398" s="710" t="s">
        <v>2913</v>
      </c>
      <c r="D2398" s="709" t="s">
        <v>234</v>
      </c>
      <c r="E2398" s="711">
        <v>0</v>
      </c>
    </row>
    <row r="2399" spans="1:5" x14ac:dyDescent="0.3">
      <c r="A2399" s="397"/>
      <c r="B2399" s="709">
        <v>100638</v>
      </c>
      <c r="C2399" s="710" t="s">
        <v>2914</v>
      </c>
      <c r="D2399" s="709" t="s">
        <v>234</v>
      </c>
      <c r="E2399" s="711">
        <v>0</v>
      </c>
    </row>
    <row r="2400" spans="1:5" x14ac:dyDescent="0.3">
      <c r="A2400" s="397"/>
      <c r="B2400" s="709">
        <v>100639</v>
      </c>
      <c r="C2400" s="710" t="s">
        <v>2915</v>
      </c>
      <c r="D2400" s="709" t="s">
        <v>234</v>
      </c>
      <c r="E2400" s="711">
        <v>0</v>
      </c>
    </row>
    <row r="2401" spans="1:5" x14ac:dyDescent="0.3">
      <c r="A2401" s="397"/>
      <c r="B2401" s="709">
        <v>100640</v>
      </c>
      <c r="C2401" s="710" t="s">
        <v>2916</v>
      </c>
      <c r="D2401" s="709" t="s">
        <v>234</v>
      </c>
      <c r="E2401" s="711">
        <v>0</v>
      </c>
    </row>
    <row r="2402" spans="1:5" x14ac:dyDescent="0.3">
      <c r="A2402" s="397"/>
      <c r="B2402" s="709">
        <v>93429</v>
      </c>
      <c r="C2402" s="710" t="s">
        <v>2917</v>
      </c>
      <c r="D2402" s="709" t="s">
        <v>234</v>
      </c>
      <c r="E2402" s="711">
        <v>0</v>
      </c>
    </row>
    <row r="2403" spans="1:5" x14ac:dyDescent="0.3">
      <c r="A2403" s="397"/>
      <c r="B2403" s="709">
        <v>93430</v>
      </c>
      <c r="C2403" s="710" t="s">
        <v>2918</v>
      </c>
      <c r="D2403" s="709" t="s">
        <v>234</v>
      </c>
      <c r="E2403" s="711">
        <v>0</v>
      </c>
    </row>
    <row r="2404" spans="1:5" x14ac:dyDescent="0.3">
      <c r="A2404" s="397"/>
      <c r="B2404" s="709">
        <v>93431</v>
      </c>
      <c r="C2404" s="710" t="s">
        <v>2919</v>
      </c>
      <c r="D2404" s="709" t="s">
        <v>234</v>
      </c>
      <c r="E2404" s="711">
        <v>0</v>
      </c>
    </row>
    <row r="2405" spans="1:5" x14ac:dyDescent="0.3">
      <c r="A2405" s="397"/>
      <c r="B2405" s="709">
        <v>93432</v>
      </c>
      <c r="C2405" s="710" t="s">
        <v>2920</v>
      </c>
      <c r="D2405" s="709" t="s">
        <v>234</v>
      </c>
      <c r="E2405" s="711">
        <v>0</v>
      </c>
    </row>
    <row r="2406" spans="1:5" x14ac:dyDescent="0.3">
      <c r="A2406" s="397"/>
      <c r="B2406" s="709">
        <v>95118</v>
      </c>
      <c r="C2406" s="710" t="s">
        <v>2921</v>
      </c>
      <c r="D2406" s="709" t="s">
        <v>234</v>
      </c>
      <c r="E2406" s="711">
        <v>0</v>
      </c>
    </row>
    <row r="2407" spans="1:5" x14ac:dyDescent="0.3">
      <c r="A2407" s="397"/>
      <c r="B2407" s="709">
        <v>95119</v>
      </c>
      <c r="C2407" s="710" t="s">
        <v>2922</v>
      </c>
      <c r="D2407" s="709" t="s">
        <v>234</v>
      </c>
      <c r="E2407" s="711">
        <v>0</v>
      </c>
    </row>
    <row r="2408" spans="1:5" x14ac:dyDescent="0.3">
      <c r="A2408" s="397"/>
      <c r="B2408" s="709">
        <v>5707</v>
      </c>
      <c r="C2408" s="710" t="s">
        <v>2923</v>
      </c>
      <c r="D2408" s="709" t="s">
        <v>234</v>
      </c>
      <c r="E2408" s="711">
        <v>0</v>
      </c>
    </row>
    <row r="2409" spans="1:5" x14ac:dyDescent="0.3">
      <c r="A2409" s="397"/>
      <c r="B2409" s="709">
        <v>95120</v>
      </c>
      <c r="C2409" s="710" t="s">
        <v>2924</v>
      </c>
      <c r="D2409" s="709" t="s">
        <v>234</v>
      </c>
      <c r="E2409" s="711">
        <v>0</v>
      </c>
    </row>
    <row r="2410" spans="1:5" x14ac:dyDescent="0.3">
      <c r="A2410" s="397"/>
      <c r="B2410" s="709">
        <v>103660</v>
      </c>
      <c r="C2410" s="710" t="s">
        <v>2928</v>
      </c>
      <c r="D2410" s="709" t="s">
        <v>234</v>
      </c>
      <c r="E2410" s="711">
        <v>0</v>
      </c>
    </row>
    <row r="2411" spans="1:5" x14ac:dyDescent="0.3">
      <c r="A2411" s="397"/>
      <c r="B2411" s="709">
        <v>89015</v>
      </c>
      <c r="C2411" s="710" t="s">
        <v>2929</v>
      </c>
      <c r="D2411" s="709" t="s">
        <v>234</v>
      </c>
      <c r="E2411" s="711">
        <v>0</v>
      </c>
    </row>
    <row r="2412" spans="1:5" x14ac:dyDescent="0.3">
      <c r="A2412" s="397"/>
      <c r="B2412" s="709">
        <v>89016</v>
      </c>
      <c r="C2412" s="710" t="s">
        <v>2930</v>
      </c>
      <c r="D2412" s="709" t="s">
        <v>234</v>
      </c>
      <c r="E2412" s="711">
        <v>0</v>
      </c>
    </row>
    <row r="2413" spans="1:5" x14ac:dyDescent="0.3">
      <c r="A2413" s="397"/>
      <c r="B2413" s="709">
        <v>53804</v>
      </c>
      <c r="C2413" s="710" t="s">
        <v>2931</v>
      </c>
      <c r="D2413" s="709" t="s">
        <v>234</v>
      </c>
      <c r="E2413" s="711">
        <v>0</v>
      </c>
    </row>
    <row r="2414" spans="1:5" x14ac:dyDescent="0.3">
      <c r="A2414" s="397"/>
      <c r="B2414" s="709">
        <v>90582</v>
      </c>
      <c r="C2414" s="710" t="s">
        <v>2932</v>
      </c>
      <c r="D2414" s="709" t="s">
        <v>234</v>
      </c>
      <c r="E2414" s="711">
        <v>0</v>
      </c>
    </row>
    <row r="2415" spans="1:5" x14ac:dyDescent="0.3">
      <c r="A2415" s="397"/>
      <c r="B2415" s="709">
        <v>90583</v>
      </c>
      <c r="C2415" s="710" t="s">
        <v>2933</v>
      </c>
      <c r="D2415" s="709" t="s">
        <v>234</v>
      </c>
      <c r="E2415" s="711">
        <v>0</v>
      </c>
    </row>
    <row r="2416" spans="1:5" x14ac:dyDescent="0.3">
      <c r="A2416" s="397"/>
      <c r="B2416" s="709">
        <v>90584</v>
      </c>
      <c r="C2416" s="710" t="s">
        <v>2934</v>
      </c>
      <c r="D2416" s="709" t="s">
        <v>234</v>
      </c>
      <c r="E2416" s="711">
        <v>0</v>
      </c>
    </row>
    <row r="2417" spans="1:5" x14ac:dyDescent="0.3">
      <c r="A2417" s="397"/>
      <c r="B2417" s="709">
        <v>90585</v>
      </c>
      <c r="C2417" s="710" t="s">
        <v>2935</v>
      </c>
      <c r="D2417" s="709" t="s">
        <v>234</v>
      </c>
      <c r="E2417" s="711">
        <v>0</v>
      </c>
    </row>
    <row r="2418" spans="1:5" x14ac:dyDescent="0.3">
      <c r="A2418" s="397"/>
      <c r="B2418" s="709">
        <v>106380</v>
      </c>
      <c r="C2418" s="710" t="s">
        <v>13380</v>
      </c>
      <c r="D2418" s="709" t="s">
        <v>234</v>
      </c>
      <c r="E2418" s="711">
        <v>0</v>
      </c>
    </row>
    <row r="2419" spans="1:5" x14ac:dyDescent="0.3">
      <c r="A2419" s="397"/>
      <c r="B2419" s="709">
        <v>106381</v>
      </c>
      <c r="C2419" s="710" t="s">
        <v>13381</v>
      </c>
      <c r="D2419" s="709" t="s">
        <v>234</v>
      </c>
      <c r="E2419" s="711">
        <v>0</v>
      </c>
    </row>
    <row r="2420" spans="1:5" x14ac:dyDescent="0.3">
      <c r="A2420" s="397"/>
      <c r="B2420" s="709">
        <v>106382</v>
      </c>
      <c r="C2420" s="710" t="s">
        <v>13382</v>
      </c>
      <c r="D2420" s="709" t="s">
        <v>234</v>
      </c>
      <c r="E2420" s="711">
        <v>0</v>
      </c>
    </row>
    <row r="2421" spans="1:5" x14ac:dyDescent="0.3">
      <c r="A2421" s="397"/>
      <c r="B2421" s="709">
        <v>106383</v>
      </c>
      <c r="C2421" s="710" t="s">
        <v>13383</v>
      </c>
      <c r="D2421" s="709" t="s">
        <v>234</v>
      </c>
      <c r="E2421" s="711">
        <v>0</v>
      </c>
    </row>
    <row r="2422" spans="1:5" x14ac:dyDescent="0.3">
      <c r="A2422" s="397"/>
      <c r="B2422" s="709">
        <v>106376</v>
      </c>
      <c r="C2422" s="710" t="s">
        <v>13384</v>
      </c>
      <c r="D2422" s="709" t="s">
        <v>234</v>
      </c>
      <c r="E2422" s="711">
        <v>0</v>
      </c>
    </row>
    <row r="2423" spans="1:5" x14ac:dyDescent="0.3">
      <c r="A2423" s="397"/>
      <c r="B2423" s="709">
        <v>106377</v>
      </c>
      <c r="C2423" s="710" t="s">
        <v>13385</v>
      </c>
      <c r="D2423" s="709" t="s">
        <v>234</v>
      </c>
      <c r="E2423" s="711">
        <v>0</v>
      </c>
    </row>
    <row r="2424" spans="1:5" x14ac:dyDescent="0.3">
      <c r="A2424" s="397"/>
      <c r="B2424" s="709">
        <v>106378</v>
      </c>
      <c r="C2424" s="710" t="s">
        <v>13386</v>
      </c>
      <c r="D2424" s="709" t="s">
        <v>234</v>
      </c>
      <c r="E2424" s="711">
        <v>0</v>
      </c>
    </row>
    <row r="2425" spans="1:5" x14ac:dyDescent="0.3">
      <c r="A2425" s="397"/>
      <c r="B2425" s="709">
        <v>106379</v>
      </c>
      <c r="C2425" s="710" t="s">
        <v>13387</v>
      </c>
      <c r="D2425" s="709" t="s">
        <v>234</v>
      </c>
      <c r="E2425" s="711">
        <v>0</v>
      </c>
    </row>
    <row r="2426" spans="1:5" x14ac:dyDescent="0.3">
      <c r="A2426" s="397"/>
      <c r="B2426" s="709">
        <v>89240</v>
      </c>
      <c r="C2426" s="710" t="s">
        <v>2936</v>
      </c>
      <c r="D2426" s="709" t="s">
        <v>234</v>
      </c>
      <c r="E2426" s="711">
        <v>0</v>
      </c>
    </row>
    <row r="2427" spans="1:5" x14ac:dyDescent="0.3">
      <c r="A2427" s="397"/>
      <c r="B2427" s="709">
        <v>89241</v>
      </c>
      <c r="C2427" s="710" t="s">
        <v>2937</v>
      </c>
      <c r="D2427" s="709" t="s">
        <v>234</v>
      </c>
      <c r="E2427" s="711">
        <v>0</v>
      </c>
    </row>
    <row r="2428" spans="1:5" x14ac:dyDescent="0.3">
      <c r="A2428" s="397"/>
      <c r="B2428" s="709">
        <v>5710</v>
      </c>
      <c r="C2428" s="710" t="s">
        <v>2938</v>
      </c>
      <c r="D2428" s="709" t="s">
        <v>234</v>
      </c>
      <c r="E2428" s="711">
        <v>0</v>
      </c>
    </row>
    <row r="2429" spans="1:5" x14ac:dyDescent="0.3">
      <c r="A2429" s="397"/>
      <c r="B2429" s="709">
        <v>5711</v>
      </c>
      <c r="C2429" s="710" t="s">
        <v>2939</v>
      </c>
      <c r="D2429" s="709" t="s">
        <v>234</v>
      </c>
      <c r="E2429" s="711">
        <v>0</v>
      </c>
    </row>
    <row r="2430" spans="1:5" x14ac:dyDescent="0.3">
      <c r="A2430" s="397"/>
      <c r="B2430" s="709">
        <v>89253</v>
      </c>
      <c r="C2430" s="710" t="s">
        <v>2940</v>
      </c>
      <c r="D2430" s="709" t="s">
        <v>234</v>
      </c>
      <c r="E2430" s="711">
        <v>0</v>
      </c>
    </row>
    <row r="2431" spans="1:5" x14ac:dyDescent="0.3">
      <c r="A2431" s="397"/>
      <c r="B2431" s="709">
        <v>89254</v>
      </c>
      <c r="C2431" s="710" t="s">
        <v>2941</v>
      </c>
      <c r="D2431" s="709" t="s">
        <v>234</v>
      </c>
      <c r="E2431" s="711">
        <v>0</v>
      </c>
    </row>
    <row r="2432" spans="1:5" x14ac:dyDescent="0.3">
      <c r="A2432" s="397"/>
      <c r="B2432" s="709">
        <v>89255</v>
      </c>
      <c r="C2432" s="710" t="s">
        <v>2942</v>
      </c>
      <c r="D2432" s="709" t="s">
        <v>234</v>
      </c>
      <c r="E2432" s="711">
        <v>0</v>
      </c>
    </row>
    <row r="2433" spans="1:5" x14ac:dyDescent="0.3">
      <c r="A2433" s="397"/>
      <c r="B2433" s="709">
        <v>89256</v>
      </c>
      <c r="C2433" s="710" t="s">
        <v>2943</v>
      </c>
      <c r="D2433" s="709" t="s">
        <v>234</v>
      </c>
      <c r="E2433" s="711">
        <v>0</v>
      </c>
    </row>
    <row r="2434" spans="1:5" x14ac:dyDescent="0.3">
      <c r="A2434" s="397"/>
      <c r="B2434" s="709">
        <v>106384</v>
      </c>
      <c r="C2434" s="710" t="s">
        <v>13388</v>
      </c>
      <c r="D2434" s="709" t="s">
        <v>234</v>
      </c>
      <c r="E2434" s="711">
        <v>0</v>
      </c>
    </row>
    <row r="2435" spans="1:5" x14ac:dyDescent="0.3">
      <c r="A2435" s="397"/>
      <c r="B2435" s="709">
        <v>106385</v>
      </c>
      <c r="C2435" s="710" t="s">
        <v>13389</v>
      </c>
      <c r="D2435" s="709" t="s">
        <v>234</v>
      </c>
      <c r="E2435" s="711">
        <v>0</v>
      </c>
    </row>
    <row r="2436" spans="1:5" x14ac:dyDescent="0.3">
      <c r="A2436" s="397"/>
      <c r="B2436" s="709">
        <v>106386</v>
      </c>
      <c r="C2436" s="710" t="s">
        <v>13390</v>
      </c>
      <c r="D2436" s="709" t="s">
        <v>234</v>
      </c>
      <c r="E2436" s="711">
        <v>0</v>
      </c>
    </row>
    <row r="2437" spans="1:5" x14ac:dyDescent="0.3">
      <c r="A2437" s="397"/>
      <c r="B2437" s="709">
        <v>106387</v>
      </c>
      <c r="C2437" s="710" t="s">
        <v>13391</v>
      </c>
      <c r="D2437" s="709" t="s">
        <v>234</v>
      </c>
      <c r="E2437" s="711">
        <v>0</v>
      </c>
    </row>
    <row r="2438" spans="1:5" x14ac:dyDescent="0.3">
      <c r="A2438" s="397"/>
      <c r="B2438" s="709">
        <v>103797</v>
      </c>
      <c r="C2438" s="710" t="s">
        <v>2944</v>
      </c>
      <c r="D2438" s="709" t="s">
        <v>175</v>
      </c>
      <c r="E2438" s="711">
        <v>0.52359999999999995</v>
      </c>
    </row>
    <row r="2439" spans="1:5" x14ac:dyDescent="0.3">
      <c r="A2439" s="397"/>
      <c r="B2439" s="709">
        <v>103930</v>
      </c>
      <c r="C2439" s="710" t="s">
        <v>2945</v>
      </c>
      <c r="D2439" s="709" t="s">
        <v>170</v>
      </c>
      <c r="E2439" s="711">
        <v>0.35780000000000001</v>
      </c>
    </row>
    <row r="2440" spans="1:5" x14ac:dyDescent="0.3">
      <c r="A2440" s="397"/>
      <c r="B2440" s="709">
        <v>103931</v>
      </c>
      <c r="C2440" s="710" t="s">
        <v>2946</v>
      </c>
      <c r="D2440" s="709" t="s">
        <v>170</v>
      </c>
      <c r="E2440" s="711">
        <v>0.36859999999999998</v>
      </c>
    </row>
    <row r="2441" spans="1:5" x14ac:dyDescent="0.3">
      <c r="A2441" s="397"/>
      <c r="B2441" s="709">
        <v>103932</v>
      </c>
      <c r="C2441" s="710" t="s">
        <v>2947</v>
      </c>
      <c r="D2441" s="709" t="s">
        <v>170</v>
      </c>
      <c r="E2441" s="711">
        <v>0.37080000000000002</v>
      </c>
    </row>
    <row r="2442" spans="1:5" x14ac:dyDescent="0.3">
      <c r="A2442" s="397"/>
      <c r="B2442" s="709">
        <v>103929</v>
      </c>
      <c r="C2442" s="710" t="s">
        <v>2948</v>
      </c>
      <c r="D2442" s="709" t="s">
        <v>170</v>
      </c>
      <c r="E2442" s="711">
        <v>0.33960000000000001</v>
      </c>
    </row>
    <row r="2443" spans="1:5" x14ac:dyDescent="0.3">
      <c r="A2443" s="397"/>
      <c r="B2443" s="709">
        <v>103928</v>
      </c>
      <c r="C2443" s="710" t="s">
        <v>2949</v>
      </c>
      <c r="D2443" s="709" t="s">
        <v>170</v>
      </c>
      <c r="E2443" s="711">
        <v>0.46629999999999999</v>
      </c>
    </row>
    <row r="2444" spans="1:5" x14ac:dyDescent="0.3">
      <c r="A2444" s="397"/>
      <c r="B2444" s="709">
        <v>103798</v>
      </c>
      <c r="C2444" s="710" t="s">
        <v>2950</v>
      </c>
      <c r="D2444" s="709" t="s">
        <v>170</v>
      </c>
      <c r="E2444" s="711">
        <v>8.9599999999999999E-2</v>
      </c>
    </row>
    <row r="2445" spans="1:5" x14ac:dyDescent="0.3">
      <c r="A2445" s="397"/>
      <c r="B2445" s="709">
        <v>103801</v>
      </c>
      <c r="C2445" s="710" t="s">
        <v>2951</v>
      </c>
      <c r="D2445" s="709" t="s">
        <v>170</v>
      </c>
      <c r="E2445" s="711">
        <v>0.33800000000000002</v>
      </c>
    </row>
    <row r="2446" spans="1:5" x14ac:dyDescent="0.3">
      <c r="A2446" s="397"/>
      <c r="B2446" s="709">
        <v>103933</v>
      </c>
      <c r="C2446" s="710" t="s">
        <v>2952</v>
      </c>
      <c r="D2446" s="709" t="s">
        <v>170</v>
      </c>
      <c r="E2446" s="711">
        <v>0.26050000000000001</v>
      </c>
    </row>
    <row r="2447" spans="1:5" x14ac:dyDescent="0.3">
      <c r="A2447" s="397"/>
      <c r="B2447" s="709">
        <v>103925</v>
      </c>
      <c r="C2447" s="710" t="s">
        <v>2953</v>
      </c>
      <c r="D2447" s="709" t="s">
        <v>170</v>
      </c>
      <c r="E2447" s="711">
        <v>0.3422</v>
      </c>
    </row>
    <row r="2448" spans="1:5" x14ac:dyDescent="0.3">
      <c r="A2448" s="397"/>
      <c r="B2448" s="709">
        <v>103926</v>
      </c>
      <c r="C2448" s="710" t="s">
        <v>2954</v>
      </c>
      <c r="D2448" s="709" t="s">
        <v>170</v>
      </c>
      <c r="E2448" s="711">
        <v>0.30030000000000001</v>
      </c>
    </row>
    <row r="2449" spans="1:5" x14ac:dyDescent="0.3">
      <c r="A2449" s="397"/>
      <c r="B2449" s="709">
        <v>103796</v>
      </c>
      <c r="C2449" s="710" t="s">
        <v>2955</v>
      </c>
      <c r="D2449" s="709" t="s">
        <v>168</v>
      </c>
      <c r="E2449" s="711">
        <v>0.34179999999999999</v>
      </c>
    </row>
    <row r="2450" spans="1:5" x14ac:dyDescent="0.3">
      <c r="A2450" s="397"/>
      <c r="B2450" s="709">
        <v>103795</v>
      </c>
      <c r="C2450" s="710" t="s">
        <v>2956</v>
      </c>
      <c r="D2450" s="709" t="s">
        <v>168</v>
      </c>
      <c r="E2450" s="711">
        <v>0.54420000000000002</v>
      </c>
    </row>
    <row r="2451" spans="1:5" x14ac:dyDescent="0.3">
      <c r="A2451" s="397"/>
      <c r="B2451" s="709">
        <v>103800</v>
      </c>
      <c r="C2451" s="710" t="s">
        <v>2957</v>
      </c>
      <c r="D2451" s="709" t="s">
        <v>170</v>
      </c>
      <c r="E2451" s="711">
        <v>0.46629999999999999</v>
      </c>
    </row>
    <row r="2452" spans="1:5" x14ac:dyDescent="0.3">
      <c r="A2452" s="397"/>
      <c r="B2452" s="709">
        <v>103799</v>
      </c>
      <c r="C2452" s="710" t="s">
        <v>2958</v>
      </c>
      <c r="D2452" s="709" t="s">
        <v>170</v>
      </c>
      <c r="E2452" s="711">
        <v>0.39889999999999998</v>
      </c>
    </row>
    <row r="2453" spans="1:5" x14ac:dyDescent="0.3">
      <c r="A2453" s="397"/>
      <c r="B2453" s="709">
        <v>104948</v>
      </c>
      <c r="C2453" s="710" t="s">
        <v>2960</v>
      </c>
      <c r="D2453" s="709" t="s">
        <v>170</v>
      </c>
      <c r="E2453" s="711">
        <v>0.35809999999999997</v>
      </c>
    </row>
    <row r="2454" spans="1:5" x14ac:dyDescent="0.3">
      <c r="A2454" s="397"/>
      <c r="B2454" s="709">
        <v>104949</v>
      </c>
      <c r="C2454" s="710" t="s">
        <v>2961</v>
      </c>
      <c r="D2454" s="709" t="s">
        <v>170</v>
      </c>
      <c r="E2454" s="711">
        <v>0.29480000000000001</v>
      </c>
    </row>
    <row r="2455" spans="1:5" x14ac:dyDescent="0.3">
      <c r="A2455" s="397"/>
      <c r="B2455" s="709">
        <v>104947</v>
      </c>
      <c r="C2455" s="710" t="s">
        <v>2962</v>
      </c>
      <c r="D2455" s="709" t="s">
        <v>170</v>
      </c>
      <c r="E2455" s="711">
        <v>0.47220000000000001</v>
      </c>
    </row>
    <row r="2456" spans="1:5" x14ac:dyDescent="0.3">
      <c r="A2456" s="397"/>
      <c r="B2456" s="709">
        <v>106545</v>
      </c>
      <c r="C2456" s="710" t="s">
        <v>13392</v>
      </c>
      <c r="D2456" s="709" t="s">
        <v>159</v>
      </c>
      <c r="E2456" s="711">
        <v>8.3000000000000001E-3</v>
      </c>
    </row>
    <row r="2457" spans="1:5" x14ac:dyDescent="0.3">
      <c r="A2457" s="397"/>
      <c r="B2457" s="709">
        <v>106543</v>
      </c>
      <c r="C2457" s="710" t="s">
        <v>13393</v>
      </c>
      <c r="D2457" s="709" t="s">
        <v>159</v>
      </c>
      <c r="E2457" s="711">
        <v>4.1000000000000003E-3</v>
      </c>
    </row>
    <row r="2458" spans="1:5" x14ac:dyDescent="0.3">
      <c r="A2458" s="397"/>
      <c r="B2458" s="709">
        <v>106544</v>
      </c>
      <c r="C2458" s="710" t="s">
        <v>13394</v>
      </c>
      <c r="D2458" s="709" t="s">
        <v>159</v>
      </c>
      <c r="E2458" s="711">
        <v>2.3999999999999998E-3</v>
      </c>
    </row>
    <row r="2459" spans="1:5" x14ac:dyDescent="0.3">
      <c r="A2459" s="397"/>
      <c r="B2459" s="709">
        <v>106546</v>
      </c>
      <c r="C2459" s="710" t="s">
        <v>13395</v>
      </c>
      <c r="D2459" s="709" t="s">
        <v>159</v>
      </c>
      <c r="E2459" s="711">
        <v>1.3299999999999999E-2</v>
      </c>
    </row>
    <row r="2460" spans="1:5" x14ac:dyDescent="0.3">
      <c r="A2460" s="397"/>
      <c r="B2460" s="709">
        <v>106547</v>
      </c>
      <c r="C2460" s="710" t="s">
        <v>13396</v>
      </c>
      <c r="D2460" s="709" t="s">
        <v>136</v>
      </c>
      <c r="E2460" s="711">
        <v>1</v>
      </c>
    </row>
    <row r="2461" spans="1:5" x14ac:dyDescent="0.3">
      <c r="A2461" s="397"/>
      <c r="B2461" s="709">
        <v>104318</v>
      </c>
      <c r="C2461" s="710" t="s">
        <v>2964</v>
      </c>
      <c r="D2461" s="709" t="s">
        <v>136</v>
      </c>
      <c r="E2461" s="711">
        <v>0.70609999999999995</v>
      </c>
    </row>
    <row r="2462" spans="1:5" x14ac:dyDescent="0.3">
      <c r="A2462" s="397"/>
      <c r="B2462" s="709">
        <v>89867</v>
      </c>
      <c r="C2462" s="710" t="s">
        <v>2965</v>
      </c>
      <c r="D2462" s="709" t="s">
        <v>136</v>
      </c>
      <c r="E2462" s="711">
        <v>0.65969999999999995</v>
      </c>
    </row>
    <row r="2463" spans="1:5" x14ac:dyDescent="0.3">
      <c r="A2463" s="397"/>
      <c r="B2463" s="709">
        <v>104320</v>
      </c>
      <c r="C2463" s="710" t="s">
        <v>2966</v>
      </c>
      <c r="D2463" s="709" t="s">
        <v>136</v>
      </c>
      <c r="E2463" s="711">
        <v>0.49130000000000001</v>
      </c>
    </row>
    <row r="2464" spans="1:5" x14ac:dyDescent="0.3">
      <c r="A2464" s="397"/>
      <c r="B2464" s="709">
        <v>104317</v>
      </c>
      <c r="C2464" s="710" t="s">
        <v>2967</v>
      </c>
      <c r="D2464" s="709" t="s">
        <v>136</v>
      </c>
      <c r="E2464" s="711">
        <v>0.76619999999999999</v>
      </c>
    </row>
    <row r="2465" spans="1:5" x14ac:dyDescent="0.3">
      <c r="A2465" s="397"/>
      <c r="B2465" s="709">
        <v>89866</v>
      </c>
      <c r="C2465" s="710" t="s">
        <v>2968</v>
      </c>
      <c r="D2465" s="709" t="s">
        <v>136</v>
      </c>
      <c r="E2465" s="711">
        <v>0.73209999999999997</v>
      </c>
    </row>
    <row r="2466" spans="1:5" x14ac:dyDescent="0.3">
      <c r="A2466" s="397"/>
      <c r="B2466" s="709">
        <v>104319</v>
      </c>
      <c r="C2466" s="710" t="s">
        <v>2969</v>
      </c>
      <c r="D2466" s="709" t="s">
        <v>136</v>
      </c>
      <c r="E2466" s="711">
        <v>0.58030000000000004</v>
      </c>
    </row>
    <row r="2467" spans="1:5" x14ac:dyDescent="0.3">
      <c r="A2467" s="397"/>
      <c r="B2467" s="709">
        <v>104321</v>
      </c>
      <c r="C2467" s="710" t="s">
        <v>2970</v>
      </c>
      <c r="D2467" s="709" t="s">
        <v>136</v>
      </c>
      <c r="E2467" s="711">
        <v>0.66120000000000001</v>
      </c>
    </row>
    <row r="2468" spans="1:5" x14ac:dyDescent="0.3">
      <c r="A2468" s="397"/>
      <c r="B2468" s="709">
        <v>89868</v>
      </c>
      <c r="C2468" s="710" t="s">
        <v>2971</v>
      </c>
      <c r="D2468" s="709" t="s">
        <v>136</v>
      </c>
      <c r="E2468" s="711">
        <v>0.6351</v>
      </c>
    </row>
    <row r="2469" spans="1:5" x14ac:dyDescent="0.3">
      <c r="A2469" s="397"/>
      <c r="B2469" s="709">
        <v>104322</v>
      </c>
      <c r="C2469" s="710" t="s">
        <v>2972</v>
      </c>
      <c r="D2469" s="709" t="s">
        <v>136</v>
      </c>
      <c r="E2469" s="711">
        <v>0.50790000000000002</v>
      </c>
    </row>
    <row r="2470" spans="1:5" x14ac:dyDescent="0.3">
      <c r="A2470" s="397"/>
      <c r="B2470" s="709">
        <v>104323</v>
      </c>
      <c r="C2470" s="710" t="s">
        <v>2973</v>
      </c>
      <c r="D2470" s="709" t="s">
        <v>136</v>
      </c>
      <c r="E2470" s="711">
        <v>0.72889999999999999</v>
      </c>
    </row>
    <row r="2471" spans="1:5" x14ac:dyDescent="0.3">
      <c r="A2471" s="397"/>
      <c r="B2471" s="709">
        <v>89869</v>
      </c>
      <c r="C2471" s="710" t="s">
        <v>2974</v>
      </c>
      <c r="D2471" s="709" t="s">
        <v>136</v>
      </c>
      <c r="E2471" s="711">
        <v>0.70089999999999997</v>
      </c>
    </row>
    <row r="2472" spans="1:5" x14ac:dyDescent="0.3">
      <c r="A2472" s="397"/>
      <c r="B2472" s="709">
        <v>104324</v>
      </c>
      <c r="C2472" s="710" t="s">
        <v>2975</v>
      </c>
      <c r="D2472" s="709" t="s">
        <v>136</v>
      </c>
      <c r="E2472" s="711">
        <v>0.54579999999999995</v>
      </c>
    </row>
    <row r="2473" spans="1:5" x14ac:dyDescent="0.3">
      <c r="A2473" s="397"/>
      <c r="B2473" s="709">
        <v>104315</v>
      </c>
      <c r="C2473" s="710" t="s">
        <v>2976</v>
      </c>
      <c r="D2473" s="709" t="s">
        <v>159</v>
      </c>
      <c r="E2473" s="711">
        <v>0.74329999999999996</v>
      </c>
    </row>
    <row r="2474" spans="1:5" x14ac:dyDescent="0.3">
      <c r="A2474" s="397"/>
      <c r="B2474" s="709">
        <v>89865</v>
      </c>
      <c r="C2474" s="710" t="s">
        <v>2977</v>
      </c>
      <c r="D2474" s="709" t="s">
        <v>159</v>
      </c>
      <c r="E2474" s="711">
        <v>0.72970000000000002</v>
      </c>
    </row>
    <row r="2475" spans="1:5" x14ac:dyDescent="0.3">
      <c r="A2475" s="397"/>
      <c r="B2475" s="709">
        <v>104316</v>
      </c>
      <c r="C2475" s="710" t="s">
        <v>2978</v>
      </c>
      <c r="D2475" s="709" t="s">
        <v>159</v>
      </c>
      <c r="E2475" s="711">
        <v>0.57310000000000005</v>
      </c>
    </row>
    <row r="2476" spans="1:5" x14ac:dyDescent="0.3">
      <c r="A2476" s="397"/>
      <c r="B2476" s="709">
        <v>102724</v>
      </c>
      <c r="C2476" s="710" t="s">
        <v>2979</v>
      </c>
      <c r="D2476" s="709" t="s">
        <v>136</v>
      </c>
      <c r="E2476" s="711">
        <v>0.38109999999999999</v>
      </c>
    </row>
    <row r="2477" spans="1:5" x14ac:dyDescent="0.3">
      <c r="A2477" s="397"/>
      <c r="B2477" s="709">
        <v>102726</v>
      </c>
      <c r="C2477" s="710" t="s">
        <v>2980</v>
      </c>
      <c r="D2477" s="709" t="s">
        <v>136</v>
      </c>
      <c r="E2477" s="711">
        <v>0.42</v>
      </c>
    </row>
    <row r="2478" spans="1:5" x14ac:dyDescent="0.3">
      <c r="A2478" s="397"/>
      <c r="B2478" s="709">
        <v>102725</v>
      </c>
      <c r="C2478" s="710" t="s">
        <v>2981</v>
      </c>
      <c r="D2478" s="709" t="s">
        <v>136</v>
      </c>
      <c r="E2478" s="711">
        <v>0.38950000000000001</v>
      </c>
    </row>
    <row r="2479" spans="1:5" x14ac:dyDescent="0.3">
      <c r="A2479" s="397"/>
      <c r="B2479" s="709">
        <v>102722</v>
      </c>
      <c r="C2479" s="710" t="s">
        <v>2982</v>
      </c>
      <c r="D2479" s="709" t="s">
        <v>159</v>
      </c>
      <c r="E2479" s="711">
        <v>0.23630000000000001</v>
      </c>
    </row>
    <row r="2480" spans="1:5" x14ac:dyDescent="0.3">
      <c r="A2480" s="397"/>
      <c r="B2480" s="709">
        <v>102723</v>
      </c>
      <c r="C2480" s="710" t="s">
        <v>2984</v>
      </c>
      <c r="D2480" s="709" t="s">
        <v>159</v>
      </c>
      <c r="E2480" s="711">
        <v>0.10639999999999999</v>
      </c>
    </row>
    <row r="2481" spans="1:5" x14ac:dyDescent="0.3">
      <c r="A2481" s="397"/>
      <c r="B2481" s="709">
        <v>102690</v>
      </c>
      <c r="C2481" s="710" t="s">
        <v>2985</v>
      </c>
      <c r="D2481" s="709" t="s">
        <v>159</v>
      </c>
      <c r="E2481" s="711">
        <v>0.17749999999999999</v>
      </c>
    </row>
    <row r="2482" spans="1:5" x14ac:dyDescent="0.3">
      <c r="A2482" s="397"/>
      <c r="B2482" s="709">
        <v>102688</v>
      </c>
      <c r="C2482" s="710" t="s">
        <v>2986</v>
      </c>
      <c r="D2482" s="709" t="s">
        <v>159</v>
      </c>
      <c r="E2482" s="711">
        <v>0.26889999999999997</v>
      </c>
    </row>
    <row r="2483" spans="1:5" x14ac:dyDescent="0.3">
      <c r="A2483" s="397"/>
      <c r="B2483" s="709">
        <v>102689</v>
      </c>
      <c r="C2483" s="710" t="s">
        <v>2987</v>
      </c>
      <c r="D2483" s="709" t="s">
        <v>159</v>
      </c>
      <c r="E2483" s="711">
        <v>0.1105</v>
      </c>
    </row>
    <row r="2484" spans="1:5" x14ac:dyDescent="0.3">
      <c r="A2484" s="397"/>
      <c r="B2484" s="709">
        <v>102693</v>
      </c>
      <c r="C2484" s="710" t="s">
        <v>2988</v>
      </c>
      <c r="D2484" s="709" t="s">
        <v>159</v>
      </c>
      <c r="E2484" s="711">
        <v>9.4399999999999998E-2</v>
      </c>
    </row>
    <row r="2485" spans="1:5" x14ac:dyDescent="0.3">
      <c r="A2485" s="397"/>
      <c r="B2485" s="709">
        <v>102694</v>
      </c>
      <c r="C2485" s="710" t="s">
        <v>2989</v>
      </c>
      <c r="D2485" s="709" t="s">
        <v>159</v>
      </c>
      <c r="E2485" s="711">
        <v>0.17829999999999999</v>
      </c>
    </row>
    <row r="2486" spans="1:5" x14ac:dyDescent="0.3">
      <c r="A2486" s="397"/>
      <c r="B2486" s="709">
        <v>102697</v>
      </c>
      <c r="C2486" s="710" t="s">
        <v>2990</v>
      </c>
      <c r="D2486" s="709" t="s">
        <v>159</v>
      </c>
      <c r="E2486" s="711">
        <v>0.13150000000000001</v>
      </c>
    </row>
    <row r="2487" spans="1:5" x14ac:dyDescent="0.3">
      <c r="A2487" s="397"/>
      <c r="B2487" s="709">
        <v>102696</v>
      </c>
      <c r="C2487" s="710" t="s">
        <v>2991</v>
      </c>
      <c r="D2487" s="709" t="s">
        <v>159</v>
      </c>
      <c r="E2487" s="711">
        <v>0.1052</v>
      </c>
    </row>
    <row r="2488" spans="1:5" x14ac:dyDescent="0.3">
      <c r="A2488" s="397"/>
      <c r="B2488" s="709">
        <v>102703</v>
      </c>
      <c r="C2488" s="710" t="s">
        <v>2992</v>
      </c>
      <c r="D2488" s="709" t="s">
        <v>159</v>
      </c>
      <c r="E2488" s="711">
        <v>9.01E-2</v>
      </c>
    </row>
    <row r="2489" spans="1:5" x14ac:dyDescent="0.3">
      <c r="A2489" s="397"/>
      <c r="B2489" s="709">
        <v>102678</v>
      </c>
      <c r="C2489" s="710" t="s">
        <v>2993</v>
      </c>
      <c r="D2489" s="709" t="s">
        <v>159</v>
      </c>
      <c r="E2489" s="711">
        <v>0.1021</v>
      </c>
    </row>
    <row r="2490" spans="1:5" x14ac:dyDescent="0.3">
      <c r="A2490" s="397"/>
      <c r="B2490" s="709">
        <v>102679</v>
      </c>
      <c r="C2490" s="710" t="s">
        <v>2994</v>
      </c>
      <c r="D2490" s="709" t="s">
        <v>159</v>
      </c>
      <c r="E2490" s="711">
        <v>8.1600000000000006E-2</v>
      </c>
    </row>
    <row r="2491" spans="1:5" x14ac:dyDescent="0.3">
      <c r="A2491" s="397"/>
      <c r="B2491" s="709">
        <v>102673</v>
      </c>
      <c r="C2491" s="710" t="s">
        <v>2995</v>
      </c>
      <c r="D2491" s="709" t="s">
        <v>159</v>
      </c>
      <c r="E2491" s="711">
        <v>0.21379999999999999</v>
      </c>
    </row>
    <row r="2492" spans="1:5" x14ac:dyDescent="0.3">
      <c r="A2492" s="397"/>
      <c r="B2492" s="709">
        <v>102677</v>
      </c>
      <c r="C2492" s="710" t="s">
        <v>2996</v>
      </c>
      <c r="D2492" s="709" t="s">
        <v>159</v>
      </c>
      <c r="E2492" s="711">
        <v>0.1356</v>
      </c>
    </row>
    <row r="2493" spans="1:5" x14ac:dyDescent="0.3">
      <c r="A2493" s="397"/>
      <c r="B2493" s="709">
        <v>102683</v>
      </c>
      <c r="C2493" s="710" t="s">
        <v>2997</v>
      </c>
      <c r="D2493" s="709" t="s">
        <v>159</v>
      </c>
      <c r="E2493" s="711">
        <v>0.13059999999999999</v>
      </c>
    </row>
    <row r="2494" spans="1:5" x14ac:dyDescent="0.3">
      <c r="A2494" s="397"/>
      <c r="B2494" s="709">
        <v>102687</v>
      </c>
      <c r="C2494" s="710" t="s">
        <v>2998</v>
      </c>
      <c r="D2494" s="709" t="s">
        <v>159</v>
      </c>
      <c r="E2494" s="711">
        <v>0.10630000000000001</v>
      </c>
    </row>
    <row r="2495" spans="1:5" x14ac:dyDescent="0.3">
      <c r="A2495" s="397"/>
      <c r="B2495" s="709">
        <v>102670</v>
      </c>
      <c r="C2495" s="710" t="s">
        <v>2999</v>
      </c>
      <c r="D2495" s="709" t="s">
        <v>159</v>
      </c>
      <c r="E2495" s="711">
        <v>0.13930000000000001</v>
      </c>
    </row>
    <row r="2496" spans="1:5" x14ac:dyDescent="0.3">
      <c r="A2496" s="397"/>
      <c r="B2496" s="709">
        <v>102674</v>
      </c>
      <c r="C2496" s="710" t="s">
        <v>3000</v>
      </c>
      <c r="D2496" s="709" t="s">
        <v>159</v>
      </c>
      <c r="E2496" s="711">
        <v>0.1142</v>
      </c>
    </row>
    <row r="2497" spans="1:5" x14ac:dyDescent="0.3">
      <c r="A2497" s="397"/>
      <c r="B2497" s="709">
        <v>102680</v>
      </c>
      <c r="C2497" s="710" t="s">
        <v>3001</v>
      </c>
      <c r="D2497" s="709" t="s">
        <v>159</v>
      </c>
      <c r="E2497" s="711">
        <v>0.1037</v>
      </c>
    </row>
    <row r="2498" spans="1:5" x14ac:dyDescent="0.3">
      <c r="A2498" s="397"/>
      <c r="B2498" s="709">
        <v>102684</v>
      </c>
      <c r="C2498" s="710" t="s">
        <v>3002</v>
      </c>
      <c r="D2498" s="709" t="s">
        <v>159</v>
      </c>
      <c r="E2498" s="711">
        <v>8.4400000000000003E-2</v>
      </c>
    </row>
    <row r="2499" spans="1:5" x14ac:dyDescent="0.3">
      <c r="A2499" s="397"/>
      <c r="B2499" s="709">
        <v>102672</v>
      </c>
      <c r="C2499" s="710" t="s">
        <v>3003</v>
      </c>
      <c r="D2499" s="709" t="s">
        <v>159</v>
      </c>
      <c r="E2499" s="711">
        <v>0.13969999999999999</v>
      </c>
    </row>
    <row r="2500" spans="1:5" x14ac:dyDescent="0.3">
      <c r="A2500" s="397"/>
      <c r="B2500" s="709">
        <v>102676</v>
      </c>
      <c r="C2500" s="710" t="s">
        <v>3004</v>
      </c>
      <c r="D2500" s="709" t="s">
        <v>159</v>
      </c>
      <c r="E2500" s="711">
        <v>9.3700000000000006E-2</v>
      </c>
    </row>
    <row r="2501" spans="1:5" x14ac:dyDescent="0.3">
      <c r="A2501" s="397"/>
      <c r="B2501" s="709">
        <v>102681</v>
      </c>
      <c r="C2501" s="710" t="s">
        <v>3005</v>
      </c>
      <c r="D2501" s="709" t="s">
        <v>159</v>
      </c>
      <c r="E2501" s="711">
        <v>9.01E-2</v>
      </c>
    </row>
    <row r="2502" spans="1:5" x14ac:dyDescent="0.3">
      <c r="A2502" s="397"/>
      <c r="B2502" s="709">
        <v>102685</v>
      </c>
      <c r="C2502" s="710" t="s">
        <v>3006</v>
      </c>
      <c r="D2502" s="709" t="s">
        <v>159</v>
      </c>
      <c r="E2502" s="711">
        <v>7.7700000000000005E-2</v>
      </c>
    </row>
    <row r="2503" spans="1:5" x14ac:dyDescent="0.3">
      <c r="A2503" s="397"/>
      <c r="B2503" s="709">
        <v>102664</v>
      </c>
      <c r="C2503" s="710" t="s">
        <v>3007</v>
      </c>
      <c r="D2503" s="709" t="s">
        <v>159</v>
      </c>
      <c r="E2503" s="711">
        <v>0.14860000000000001</v>
      </c>
    </row>
    <row r="2504" spans="1:5" x14ac:dyDescent="0.3">
      <c r="A2504" s="397"/>
      <c r="B2504" s="709">
        <v>102665</v>
      </c>
      <c r="C2504" s="710" t="s">
        <v>3008</v>
      </c>
      <c r="D2504" s="709" t="s">
        <v>159</v>
      </c>
      <c r="E2504" s="711">
        <v>0.27200000000000002</v>
      </c>
    </row>
    <row r="2505" spans="1:5" x14ac:dyDescent="0.3">
      <c r="A2505" s="397"/>
      <c r="B2505" s="709">
        <v>102663</v>
      </c>
      <c r="C2505" s="710" t="s">
        <v>3009</v>
      </c>
      <c r="D2505" s="709" t="s">
        <v>159</v>
      </c>
      <c r="E2505" s="711">
        <v>0.1709</v>
      </c>
    </row>
    <row r="2506" spans="1:5" x14ac:dyDescent="0.3">
      <c r="A2506" s="397"/>
      <c r="B2506" s="709">
        <v>102669</v>
      </c>
      <c r="C2506" s="710" t="s">
        <v>3010</v>
      </c>
      <c r="D2506" s="709" t="s">
        <v>159</v>
      </c>
      <c r="E2506" s="711">
        <v>0.13100000000000001</v>
      </c>
    </row>
    <row r="2507" spans="1:5" x14ac:dyDescent="0.3">
      <c r="A2507" s="397"/>
      <c r="B2507" s="709">
        <v>102661</v>
      </c>
      <c r="C2507" s="710" t="s">
        <v>3011</v>
      </c>
      <c r="D2507" s="709" t="s">
        <v>159</v>
      </c>
      <c r="E2507" s="711">
        <v>0.21260000000000001</v>
      </c>
    </row>
    <row r="2508" spans="1:5" x14ac:dyDescent="0.3">
      <c r="A2508" s="397"/>
      <c r="B2508" s="709">
        <v>102666</v>
      </c>
      <c r="C2508" s="710" t="s">
        <v>3012</v>
      </c>
      <c r="D2508" s="709" t="s">
        <v>159</v>
      </c>
      <c r="E2508" s="711">
        <v>0.1336</v>
      </c>
    </row>
    <row r="2509" spans="1:5" x14ac:dyDescent="0.3">
      <c r="A2509" s="397"/>
      <c r="B2509" s="709">
        <v>102662</v>
      </c>
      <c r="C2509" s="710" t="s">
        <v>3013</v>
      </c>
      <c r="D2509" s="709" t="s">
        <v>159</v>
      </c>
      <c r="E2509" s="711">
        <v>9.7000000000000003E-2</v>
      </c>
    </row>
    <row r="2510" spans="1:5" x14ac:dyDescent="0.3">
      <c r="A2510" s="397"/>
      <c r="B2510" s="709">
        <v>102668</v>
      </c>
      <c r="C2510" s="710" t="s">
        <v>282</v>
      </c>
      <c r="D2510" s="709" t="s">
        <v>159</v>
      </c>
      <c r="E2510" s="711">
        <v>8.2799999999999999E-2</v>
      </c>
    </row>
    <row r="2511" spans="1:5" x14ac:dyDescent="0.3">
      <c r="A2511" s="397"/>
      <c r="B2511" s="709">
        <v>102718</v>
      </c>
      <c r="C2511" s="710" t="s">
        <v>3014</v>
      </c>
      <c r="D2511" s="709" t="s">
        <v>170</v>
      </c>
      <c r="E2511" s="711">
        <v>0.26550000000000001</v>
      </c>
    </row>
    <row r="2512" spans="1:5" x14ac:dyDescent="0.3">
      <c r="A2512" s="397"/>
      <c r="B2512" s="709">
        <v>102716</v>
      </c>
      <c r="C2512" s="710" t="s">
        <v>3015</v>
      </c>
      <c r="D2512" s="709" t="s">
        <v>170</v>
      </c>
      <c r="E2512" s="711">
        <v>0.1106</v>
      </c>
    </row>
    <row r="2513" spans="1:5" x14ac:dyDescent="0.3">
      <c r="A2513" s="397"/>
      <c r="B2513" s="709">
        <v>102719</v>
      </c>
      <c r="C2513" s="710" t="s">
        <v>3016</v>
      </c>
      <c r="D2513" s="709" t="s">
        <v>170</v>
      </c>
      <c r="E2513" s="711">
        <v>0.26279999999999998</v>
      </c>
    </row>
    <row r="2514" spans="1:5" x14ac:dyDescent="0.3">
      <c r="A2514" s="397"/>
      <c r="B2514" s="709">
        <v>102717</v>
      </c>
      <c r="C2514" s="710" t="s">
        <v>3017</v>
      </c>
      <c r="D2514" s="709" t="s">
        <v>170</v>
      </c>
      <c r="E2514" s="711">
        <v>0.1094</v>
      </c>
    </row>
    <row r="2515" spans="1:5" x14ac:dyDescent="0.3">
      <c r="A2515" s="397"/>
      <c r="B2515" s="709">
        <v>102713</v>
      </c>
      <c r="C2515" s="710" t="s">
        <v>3019</v>
      </c>
      <c r="D2515" s="709" t="s">
        <v>168</v>
      </c>
      <c r="E2515" s="711">
        <v>3.9300000000000002E-2</v>
      </c>
    </row>
    <row r="2516" spans="1:5" x14ac:dyDescent="0.3">
      <c r="A2516" s="397"/>
      <c r="B2516" s="709">
        <v>102715</v>
      </c>
      <c r="C2516" s="710" t="s">
        <v>3020</v>
      </c>
      <c r="D2516" s="709" t="s">
        <v>168</v>
      </c>
      <c r="E2516" s="711">
        <v>1.9900000000000001E-2</v>
      </c>
    </row>
    <row r="2517" spans="1:5" x14ac:dyDescent="0.3">
      <c r="A2517" s="397"/>
      <c r="B2517" s="709">
        <v>103653</v>
      </c>
      <c r="C2517" s="710" t="s">
        <v>3021</v>
      </c>
      <c r="D2517" s="709" t="s">
        <v>168</v>
      </c>
      <c r="E2517" s="711">
        <v>1.67E-2</v>
      </c>
    </row>
    <row r="2518" spans="1:5" x14ac:dyDescent="0.3">
      <c r="A2518" s="397"/>
      <c r="B2518" s="709">
        <v>102712</v>
      </c>
      <c r="C2518" s="710" t="s">
        <v>3022</v>
      </c>
      <c r="D2518" s="709" t="s">
        <v>168</v>
      </c>
      <c r="E2518" s="711">
        <v>5.3999999999999999E-2</v>
      </c>
    </row>
    <row r="2519" spans="1:5" x14ac:dyDescent="0.3">
      <c r="A2519" s="397"/>
      <c r="B2519" s="709">
        <v>102711</v>
      </c>
      <c r="C2519" s="710" t="s">
        <v>3023</v>
      </c>
      <c r="D2519" s="709" t="s">
        <v>136</v>
      </c>
      <c r="E2519" s="711">
        <v>0.42920000000000003</v>
      </c>
    </row>
    <row r="2520" spans="1:5" x14ac:dyDescent="0.3">
      <c r="A2520" s="397"/>
      <c r="B2520" s="709">
        <v>102710</v>
      </c>
      <c r="C2520" s="710" t="s">
        <v>3024</v>
      </c>
      <c r="D2520" s="709" t="s">
        <v>136</v>
      </c>
      <c r="E2520" s="711">
        <v>0.56730000000000003</v>
      </c>
    </row>
    <row r="2521" spans="1:5" x14ac:dyDescent="0.3">
      <c r="A2521" s="397"/>
      <c r="B2521" s="709">
        <v>102708</v>
      </c>
      <c r="C2521" s="710" t="s">
        <v>3026</v>
      </c>
      <c r="D2521" s="709" t="s">
        <v>136</v>
      </c>
      <c r="E2521" s="711">
        <v>0.70579999999999998</v>
      </c>
    </row>
    <row r="2522" spans="1:5" x14ac:dyDescent="0.3">
      <c r="A2522" s="397"/>
      <c r="B2522" s="709">
        <v>102707</v>
      </c>
      <c r="C2522" s="710" t="s">
        <v>3027</v>
      </c>
      <c r="D2522" s="709" t="s">
        <v>159</v>
      </c>
      <c r="E2522" s="711">
        <v>0.12540000000000001</v>
      </c>
    </row>
    <row r="2523" spans="1:5" x14ac:dyDescent="0.3">
      <c r="A2523" s="397"/>
      <c r="B2523" s="709">
        <v>102704</v>
      </c>
      <c r="C2523" s="710" t="s">
        <v>3028</v>
      </c>
      <c r="D2523" s="709" t="s">
        <v>159</v>
      </c>
      <c r="E2523" s="711">
        <v>4.7100000000000003E-2</v>
      </c>
    </row>
    <row r="2524" spans="1:5" x14ac:dyDescent="0.3">
      <c r="A2524" s="397"/>
      <c r="B2524" s="709">
        <v>102705</v>
      </c>
      <c r="C2524" s="710" t="s">
        <v>3029</v>
      </c>
      <c r="D2524" s="709" t="s">
        <v>159</v>
      </c>
      <c r="E2524" s="711">
        <v>6.4999999999999997E-3</v>
      </c>
    </row>
    <row r="2525" spans="1:5" x14ac:dyDescent="0.3">
      <c r="A2525" s="397"/>
      <c r="B2525" s="709">
        <v>98397</v>
      </c>
      <c r="C2525" s="710" t="s">
        <v>3078</v>
      </c>
      <c r="D2525" s="709" t="s">
        <v>168</v>
      </c>
      <c r="E2525" s="711">
        <v>0.63149999999999995</v>
      </c>
    </row>
    <row r="2526" spans="1:5" x14ac:dyDescent="0.3">
      <c r="A2526" s="397"/>
      <c r="B2526" s="709">
        <v>97280</v>
      </c>
      <c r="C2526" s="710" t="s">
        <v>3079</v>
      </c>
      <c r="D2526" s="709" t="s">
        <v>136</v>
      </c>
      <c r="E2526" s="711">
        <v>0.44080000000000003</v>
      </c>
    </row>
    <row r="2527" spans="1:5" x14ac:dyDescent="0.3">
      <c r="A2527" s="397"/>
      <c r="B2527" s="709">
        <v>97275</v>
      </c>
      <c r="C2527" s="710" t="s">
        <v>3080</v>
      </c>
      <c r="D2527" s="709" t="s">
        <v>136</v>
      </c>
      <c r="E2527" s="711">
        <v>0.41510000000000002</v>
      </c>
    </row>
    <row r="2528" spans="1:5" x14ac:dyDescent="0.3">
      <c r="A2528" s="397"/>
      <c r="B2528" s="709">
        <v>97279</v>
      </c>
      <c r="C2528" s="710" t="s">
        <v>3081</v>
      </c>
      <c r="D2528" s="709" t="s">
        <v>136</v>
      </c>
      <c r="E2528" s="711">
        <v>0.43769999999999998</v>
      </c>
    </row>
    <row r="2529" spans="1:5" x14ac:dyDescent="0.3">
      <c r="A2529" s="397"/>
      <c r="B2529" s="709">
        <v>97285</v>
      </c>
      <c r="C2529" s="710" t="s">
        <v>3082</v>
      </c>
      <c r="D2529" s="709" t="s">
        <v>136</v>
      </c>
      <c r="E2529" s="711">
        <v>0.4637</v>
      </c>
    </row>
    <row r="2530" spans="1:5" x14ac:dyDescent="0.3">
      <c r="A2530" s="397"/>
      <c r="B2530" s="709">
        <v>97286</v>
      </c>
      <c r="C2530" s="710" t="s">
        <v>3083</v>
      </c>
      <c r="D2530" s="709" t="s">
        <v>136</v>
      </c>
      <c r="E2530" s="711">
        <v>0.4733</v>
      </c>
    </row>
    <row r="2531" spans="1:5" x14ac:dyDescent="0.3">
      <c r="A2531" s="397"/>
      <c r="B2531" s="709">
        <v>97291</v>
      </c>
      <c r="C2531" s="710" t="s">
        <v>3084</v>
      </c>
      <c r="D2531" s="709" t="s">
        <v>136</v>
      </c>
      <c r="E2531" s="711">
        <v>0.46779999999999999</v>
      </c>
    </row>
    <row r="2532" spans="1:5" x14ac:dyDescent="0.3">
      <c r="A2532" s="397"/>
      <c r="B2532" s="709">
        <v>97292</v>
      </c>
      <c r="C2532" s="710" t="s">
        <v>3085</v>
      </c>
      <c r="D2532" s="709" t="s">
        <v>136</v>
      </c>
      <c r="E2532" s="711">
        <v>0.46879999999999999</v>
      </c>
    </row>
    <row r="2533" spans="1:5" x14ac:dyDescent="0.3">
      <c r="A2533" s="397"/>
      <c r="B2533" s="709">
        <v>97297</v>
      </c>
      <c r="C2533" s="710" t="s">
        <v>3086</v>
      </c>
      <c r="D2533" s="709" t="s">
        <v>136</v>
      </c>
      <c r="E2533" s="711">
        <v>0.41930000000000001</v>
      </c>
    </row>
    <row r="2534" spans="1:5" x14ac:dyDescent="0.3">
      <c r="A2534" s="397"/>
      <c r="B2534" s="709">
        <v>97298</v>
      </c>
      <c r="C2534" s="710" t="s">
        <v>3087</v>
      </c>
      <c r="D2534" s="709" t="s">
        <v>136</v>
      </c>
      <c r="E2534" s="711">
        <v>0.40100000000000002</v>
      </c>
    </row>
    <row r="2535" spans="1:5" x14ac:dyDescent="0.3">
      <c r="A2535" s="397"/>
      <c r="B2535" s="709">
        <v>97303</v>
      </c>
      <c r="C2535" s="710" t="s">
        <v>3088</v>
      </c>
      <c r="D2535" s="709" t="s">
        <v>136</v>
      </c>
      <c r="E2535" s="711">
        <v>0.36370000000000002</v>
      </c>
    </row>
    <row r="2536" spans="1:5" x14ac:dyDescent="0.3">
      <c r="A2536" s="397"/>
      <c r="B2536" s="709">
        <v>97304</v>
      </c>
      <c r="C2536" s="710" t="s">
        <v>3089</v>
      </c>
      <c r="D2536" s="709" t="s">
        <v>136</v>
      </c>
      <c r="E2536" s="711">
        <v>0.3296</v>
      </c>
    </row>
    <row r="2537" spans="1:5" x14ac:dyDescent="0.3">
      <c r="A2537" s="397"/>
      <c r="B2537" s="709">
        <v>97309</v>
      </c>
      <c r="C2537" s="710" t="s">
        <v>3090</v>
      </c>
      <c r="D2537" s="709" t="s">
        <v>136</v>
      </c>
      <c r="E2537" s="711">
        <v>0.24629999999999999</v>
      </c>
    </row>
    <row r="2538" spans="1:5" x14ac:dyDescent="0.3">
      <c r="A2538" s="397"/>
      <c r="B2538" s="709">
        <v>97310</v>
      </c>
      <c r="C2538" s="710" t="s">
        <v>3091</v>
      </c>
      <c r="D2538" s="709" t="s">
        <v>136</v>
      </c>
      <c r="E2538" s="711">
        <v>0.23039999999999999</v>
      </c>
    </row>
    <row r="2539" spans="1:5" x14ac:dyDescent="0.3">
      <c r="A2539" s="397"/>
      <c r="B2539" s="709">
        <v>97282</v>
      </c>
      <c r="C2539" s="710" t="s">
        <v>3092</v>
      </c>
      <c r="D2539" s="709" t="s">
        <v>136</v>
      </c>
      <c r="E2539" s="711">
        <v>0.44080000000000003</v>
      </c>
    </row>
    <row r="2540" spans="1:5" x14ac:dyDescent="0.3">
      <c r="A2540" s="397"/>
      <c r="B2540" s="709">
        <v>97276</v>
      </c>
      <c r="C2540" s="710" t="s">
        <v>3093</v>
      </c>
      <c r="D2540" s="709" t="s">
        <v>136</v>
      </c>
      <c r="E2540" s="711">
        <v>0.4027</v>
      </c>
    </row>
    <row r="2541" spans="1:5" x14ac:dyDescent="0.3">
      <c r="A2541" s="397"/>
      <c r="B2541" s="709">
        <v>97281</v>
      </c>
      <c r="C2541" s="710" t="s">
        <v>3094</v>
      </c>
      <c r="D2541" s="709" t="s">
        <v>136</v>
      </c>
      <c r="E2541" s="711">
        <v>0.43280000000000002</v>
      </c>
    </row>
    <row r="2542" spans="1:5" x14ac:dyDescent="0.3">
      <c r="A2542" s="397"/>
      <c r="B2542" s="709">
        <v>97287</v>
      </c>
      <c r="C2542" s="710" t="s">
        <v>3095</v>
      </c>
      <c r="D2542" s="709" t="s">
        <v>136</v>
      </c>
      <c r="E2542" s="711">
        <v>0.45910000000000001</v>
      </c>
    </row>
    <row r="2543" spans="1:5" x14ac:dyDescent="0.3">
      <c r="A2543" s="397"/>
      <c r="B2543" s="709">
        <v>97288</v>
      </c>
      <c r="C2543" s="710" t="s">
        <v>3096</v>
      </c>
      <c r="D2543" s="709" t="s">
        <v>136</v>
      </c>
      <c r="E2543" s="711">
        <v>0.44540000000000002</v>
      </c>
    </row>
    <row r="2544" spans="1:5" x14ac:dyDescent="0.3">
      <c r="A2544" s="397"/>
      <c r="B2544" s="709">
        <v>97293</v>
      </c>
      <c r="C2544" s="710" t="s">
        <v>3097</v>
      </c>
      <c r="D2544" s="709" t="s">
        <v>136</v>
      </c>
      <c r="E2544" s="711">
        <v>0.46779999999999999</v>
      </c>
    </row>
    <row r="2545" spans="1:5" x14ac:dyDescent="0.3">
      <c r="A2545" s="397"/>
      <c r="B2545" s="709">
        <v>97294</v>
      </c>
      <c r="C2545" s="710" t="s">
        <v>3098</v>
      </c>
      <c r="D2545" s="709" t="s">
        <v>136</v>
      </c>
      <c r="E2545" s="711">
        <v>0.46879999999999999</v>
      </c>
    </row>
    <row r="2546" spans="1:5" x14ac:dyDescent="0.3">
      <c r="A2546" s="397"/>
      <c r="B2546" s="709">
        <v>97299</v>
      </c>
      <c r="C2546" s="710" t="s">
        <v>3099</v>
      </c>
      <c r="D2546" s="709" t="s">
        <v>136</v>
      </c>
      <c r="E2546" s="711">
        <v>0.41930000000000001</v>
      </c>
    </row>
    <row r="2547" spans="1:5" x14ac:dyDescent="0.3">
      <c r="A2547" s="397"/>
      <c r="B2547" s="709">
        <v>97300</v>
      </c>
      <c r="C2547" s="710" t="s">
        <v>3100</v>
      </c>
      <c r="D2547" s="709" t="s">
        <v>136</v>
      </c>
      <c r="E2547" s="711">
        <v>0.40100000000000002</v>
      </c>
    </row>
    <row r="2548" spans="1:5" x14ac:dyDescent="0.3">
      <c r="A2548" s="397"/>
      <c r="B2548" s="709">
        <v>97305</v>
      </c>
      <c r="C2548" s="710" t="s">
        <v>3101</v>
      </c>
      <c r="D2548" s="709" t="s">
        <v>136</v>
      </c>
      <c r="E2548" s="711">
        <v>0.37769999999999998</v>
      </c>
    </row>
    <row r="2549" spans="1:5" x14ac:dyDescent="0.3">
      <c r="A2549" s="397"/>
      <c r="B2549" s="709">
        <v>97306</v>
      </c>
      <c r="C2549" s="710" t="s">
        <v>3102</v>
      </c>
      <c r="D2549" s="709" t="s">
        <v>136</v>
      </c>
      <c r="E2549" s="711">
        <v>0.31030000000000002</v>
      </c>
    </row>
    <row r="2550" spans="1:5" x14ac:dyDescent="0.3">
      <c r="A2550" s="397"/>
      <c r="B2550" s="709">
        <v>97311</v>
      </c>
      <c r="C2550" s="710" t="s">
        <v>3103</v>
      </c>
      <c r="D2550" s="709" t="s">
        <v>136</v>
      </c>
      <c r="E2550" s="711">
        <v>0.28110000000000002</v>
      </c>
    </row>
    <row r="2551" spans="1:5" x14ac:dyDescent="0.3">
      <c r="A2551" s="397"/>
      <c r="B2551" s="709">
        <v>97312</v>
      </c>
      <c r="C2551" s="710" t="s">
        <v>3104</v>
      </c>
      <c r="D2551" s="709" t="s">
        <v>136</v>
      </c>
      <c r="E2551" s="711">
        <v>0.23039999999999999</v>
      </c>
    </row>
    <row r="2552" spans="1:5" x14ac:dyDescent="0.3">
      <c r="A2552" s="397"/>
      <c r="B2552" s="709">
        <v>97278</v>
      </c>
      <c r="C2552" s="710" t="s">
        <v>3105</v>
      </c>
      <c r="D2552" s="709" t="s">
        <v>136</v>
      </c>
      <c r="E2552" s="711">
        <v>0.4042</v>
      </c>
    </row>
    <row r="2553" spans="1:5" x14ac:dyDescent="0.3">
      <c r="A2553" s="397"/>
      <c r="B2553" s="709">
        <v>97274</v>
      </c>
      <c r="C2553" s="710" t="s">
        <v>3106</v>
      </c>
      <c r="D2553" s="709" t="s">
        <v>136</v>
      </c>
      <c r="E2553" s="711">
        <v>0.37759999999999999</v>
      </c>
    </row>
    <row r="2554" spans="1:5" x14ac:dyDescent="0.3">
      <c r="A2554" s="397"/>
      <c r="B2554" s="709">
        <v>97283</v>
      </c>
      <c r="C2554" s="710" t="s">
        <v>3107</v>
      </c>
      <c r="D2554" s="709" t="s">
        <v>136</v>
      </c>
      <c r="E2554" s="711">
        <v>0.439</v>
      </c>
    </row>
    <row r="2555" spans="1:5" x14ac:dyDescent="0.3">
      <c r="A2555" s="397"/>
      <c r="B2555" s="709">
        <v>97284</v>
      </c>
      <c r="C2555" s="710" t="s">
        <v>3108</v>
      </c>
      <c r="D2555" s="709" t="s">
        <v>136</v>
      </c>
      <c r="E2555" s="711">
        <v>0.3916</v>
      </c>
    </row>
    <row r="2556" spans="1:5" x14ac:dyDescent="0.3">
      <c r="A2556" s="397"/>
      <c r="B2556" s="709">
        <v>97289</v>
      </c>
      <c r="C2556" s="710" t="s">
        <v>3109</v>
      </c>
      <c r="D2556" s="709" t="s">
        <v>136</v>
      </c>
      <c r="E2556" s="711">
        <v>0.38779999999999998</v>
      </c>
    </row>
    <row r="2557" spans="1:5" x14ac:dyDescent="0.3">
      <c r="A2557" s="397"/>
      <c r="B2557" s="709">
        <v>97290</v>
      </c>
      <c r="C2557" s="710" t="s">
        <v>3110</v>
      </c>
      <c r="D2557" s="709" t="s">
        <v>136</v>
      </c>
      <c r="E2557" s="711">
        <v>0.44</v>
      </c>
    </row>
    <row r="2558" spans="1:5" x14ac:dyDescent="0.3">
      <c r="A2558" s="397"/>
      <c r="B2558" s="709">
        <v>97295</v>
      </c>
      <c r="C2558" s="710" t="s">
        <v>3111</v>
      </c>
      <c r="D2558" s="709" t="s">
        <v>136</v>
      </c>
      <c r="E2558" s="711">
        <v>0.36630000000000001</v>
      </c>
    </row>
    <row r="2559" spans="1:5" x14ac:dyDescent="0.3">
      <c r="A2559" s="397"/>
      <c r="B2559" s="709">
        <v>97296</v>
      </c>
      <c r="C2559" s="710" t="s">
        <v>3112</v>
      </c>
      <c r="D2559" s="709" t="s">
        <v>136</v>
      </c>
      <c r="E2559" s="711">
        <v>0.3523</v>
      </c>
    </row>
    <row r="2560" spans="1:5" x14ac:dyDescent="0.3">
      <c r="A2560" s="397"/>
      <c r="B2560" s="709">
        <v>97301</v>
      </c>
      <c r="C2560" s="710" t="s">
        <v>3113</v>
      </c>
      <c r="D2560" s="709" t="s">
        <v>136</v>
      </c>
      <c r="E2560" s="711">
        <v>0.30630000000000002</v>
      </c>
    </row>
    <row r="2561" spans="1:5" x14ac:dyDescent="0.3">
      <c r="A2561" s="397"/>
      <c r="B2561" s="709">
        <v>97302</v>
      </c>
      <c r="C2561" s="710" t="s">
        <v>3114</v>
      </c>
      <c r="D2561" s="709" t="s">
        <v>136</v>
      </c>
      <c r="E2561" s="711">
        <v>0.29330000000000001</v>
      </c>
    </row>
    <row r="2562" spans="1:5" x14ac:dyDescent="0.3">
      <c r="A2562" s="397"/>
      <c r="B2562" s="709">
        <v>97307</v>
      </c>
      <c r="C2562" s="710" t="s">
        <v>3115</v>
      </c>
      <c r="D2562" s="709" t="s">
        <v>136</v>
      </c>
      <c r="E2562" s="711">
        <v>0.24940000000000001</v>
      </c>
    </row>
    <row r="2563" spans="1:5" x14ac:dyDescent="0.3">
      <c r="A2563" s="397"/>
      <c r="B2563" s="709">
        <v>97277</v>
      </c>
      <c r="C2563" s="710" t="s">
        <v>3116</v>
      </c>
      <c r="D2563" s="709" t="s">
        <v>136</v>
      </c>
      <c r="E2563" s="711">
        <v>0.39460000000000001</v>
      </c>
    </row>
    <row r="2564" spans="1:5" x14ac:dyDescent="0.3">
      <c r="A2564" s="397"/>
      <c r="B2564" s="709">
        <v>97308</v>
      </c>
      <c r="C2564" s="710" t="s">
        <v>3117</v>
      </c>
      <c r="D2564" s="709" t="s">
        <v>136</v>
      </c>
      <c r="E2564" s="711">
        <v>0.2427</v>
      </c>
    </row>
    <row r="2565" spans="1:5" x14ac:dyDescent="0.3">
      <c r="A2565" s="397"/>
      <c r="B2565" s="709">
        <v>97238</v>
      </c>
      <c r="C2565" s="710" t="s">
        <v>3118</v>
      </c>
      <c r="D2565" s="709" t="s">
        <v>159</v>
      </c>
      <c r="E2565" s="711">
        <v>0.42920000000000003</v>
      </c>
    </row>
    <row r="2566" spans="1:5" x14ac:dyDescent="0.3">
      <c r="A2566" s="397"/>
      <c r="B2566" s="709">
        <v>97239</v>
      </c>
      <c r="C2566" s="710" t="s">
        <v>3119</v>
      </c>
      <c r="D2566" s="709" t="s">
        <v>159</v>
      </c>
      <c r="E2566" s="711">
        <v>0.42230000000000001</v>
      </c>
    </row>
    <row r="2567" spans="1:5" x14ac:dyDescent="0.3">
      <c r="A2567" s="397"/>
      <c r="B2567" s="709">
        <v>97240</v>
      </c>
      <c r="C2567" s="710" t="s">
        <v>3120</v>
      </c>
      <c r="D2567" s="709" t="s">
        <v>159</v>
      </c>
      <c r="E2567" s="711">
        <v>0.42249999999999999</v>
      </c>
    </row>
    <row r="2568" spans="1:5" x14ac:dyDescent="0.3">
      <c r="A2568" s="397"/>
      <c r="B2568" s="709">
        <v>97241</v>
      </c>
      <c r="C2568" s="710" t="s">
        <v>3121</v>
      </c>
      <c r="D2568" s="709" t="s">
        <v>159</v>
      </c>
      <c r="E2568" s="711">
        <v>0.41860000000000003</v>
      </c>
    </row>
    <row r="2569" spans="1:5" x14ac:dyDescent="0.3">
      <c r="A2569" s="397"/>
      <c r="B2569" s="709">
        <v>97242</v>
      </c>
      <c r="C2569" s="710" t="s">
        <v>3122</v>
      </c>
      <c r="D2569" s="709" t="s">
        <v>159</v>
      </c>
      <c r="E2569" s="711">
        <v>0.41270000000000001</v>
      </c>
    </row>
    <row r="2570" spans="1:5" x14ac:dyDescent="0.3">
      <c r="A2570" s="397"/>
      <c r="B2570" s="709">
        <v>97243</v>
      </c>
      <c r="C2570" s="710" t="s">
        <v>3123</v>
      </c>
      <c r="D2570" s="709" t="s">
        <v>159</v>
      </c>
      <c r="E2570" s="711">
        <v>0.35360000000000003</v>
      </c>
    </row>
    <row r="2571" spans="1:5" x14ac:dyDescent="0.3">
      <c r="A2571" s="397"/>
      <c r="B2571" s="709">
        <v>97244</v>
      </c>
      <c r="C2571" s="710" t="s">
        <v>3124</v>
      </c>
      <c r="D2571" s="709" t="s">
        <v>159</v>
      </c>
      <c r="E2571" s="711">
        <v>0.34310000000000002</v>
      </c>
    </row>
    <row r="2572" spans="1:5" x14ac:dyDescent="0.3">
      <c r="A2572" s="397"/>
      <c r="B2572" s="709">
        <v>97245</v>
      </c>
      <c r="C2572" s="710" t="s">
        <v>3125</v>
      </c>
      <c r="D2572" s="709" t="s">
        <v>159</v>
      </c>
      <c r="E2572" s="711">
        <v>0.3075</v>
      </c>
    </row>
    <row r="2573" spans="1:5" x14ac:dyDescent="0.3">
      <c r="A2573" s="397"/>
      <c r="B2573" s="709">
        <v>97236</v>
      </c>
      <c r="C2573" s="710" t="s">
        <v>3126</v>
      </c>
      <c r="D2573" s="709" t="s">
        <v>159</v>
      </c>
      <c r="E2573" s="711">
        <v>0.43680000000000002</v>
      </c>
    </row>
    <row r="2574" spans="1:5" x14ac:dyDescent="0.3">
      <c r="A2574" s="397"/>
      <c r="B2574" s="709">
        <v>97246</v>
      </c>
      <c r="C2574" s="710" t="s">
        <v>3127</v>
      </c>
      <c r="D2574" s="709" t="s">
        <v>159</v>
      </c>
      <c r="E2574" s="711">
        <v>0.30180000000000001</v>
      </c>
    </row>
    <row r="2575" spans="1:5" x14ac:dyDescent="0.3">
      <c r="A2575" s="397"/>
      <c r="B2575" s="709">
        <v>97247</v>
      </c>
      <c r="C2575" s="710" t="s">
        <v>3128</v>
      </c>
      <c r="D2575" s="709" t="s">
        <v>159</v>
      </c>
      <c r="E2575" s="711">
        <v>0.27229999999999999</v>
      </c>
    </row>
    <row r="2576" spans="1:5" x14ac:dyDescent="0.3">
      <c r="A2576" s="397"/>
      <c r="B2576" s="709">
        <v>97237</v>
      </c>
      <c r="C2576" s="710" t="s">
        <v>3129</v>
      </c>
      <c r="D2576" s="709" t="s">
        <v>159</v>
      </c>
      <c r="E2576" s="711">
        <v>0.43309999999999998</v>
      </c>
    </row>
    <row r="2577" spans="1:5" x14ac:dyDescent="0.3">
      <c r="A2577" s="397"/>
      <c r="B2577" s="709">
        <v>97248</v>
      </c>
      <c r="C2577" s="710" t="s">
        <v>3130</v>
      </c>
      <c r="D2577" s="709" t="s">
        <v>159</v>
      </c>
      <c r="E2577" s="711">
        <v>0.2606</v>
      </c>
    </row>
    <row r="2578" spans="1:5" x14ac:dyDescent="0.3">
      <c r="A2578" s="397"/>
      <c r="B2578" s="709">
        <v>97251</v>
      </c>
      <c r="C2578" s="710" t="s">
        <v>3131</v>
      </c>
      <c r="D2578" s="709" t="s">
        <v>136</v>
      </c>
      <c r="E2578" s="711">
        <v>0.44080000000000003</v>
      </c>
    </row>
    <row r="2579" spans="1:5" x14ac:dyDescent="0.3">
      <c r="A2579" s="397"/>
      <c r="B2579" s="709">
        <v>97254</v>
      </c>
      <c r="C2579" s="710" t="s">
        <v>3132</v>
      </c>
      <c r="D2579" s="709" t="s">
        <v>136</v>
      </c>
      <c r="E2579" s="711">
        <v>0.46060000000000001</v>
      </c>
    </row>
    <row r="2580" spans="1:5" x14ac:dyDescent="0.3">
      <c r="A2580" s="397"/>
      <c r="B2580" s="709">
        <v>97255</v>
      </c>
      <c r="C2580" s="710" t="s">
        <v>3133</v>
      </c>
      <c r="D2580" s="709" t="s">
        <v>136</v>
      </c>
      <c r="E2580" s="711">
        <v>0.48809999999999998</v>
      </c>
    </row>
    <row r="2581" spans="1:5" x14ac:dyDescent="0.3">
      <c r="A2581" s="397"/>
      <c r="B2581" s="709">
        <v>97249</v>
      </c>
      <c r="C2581" s="710" t="s">
        <v>3134</v>
      </c>
      <c r="D2581" s="709" t="s">
        <v>136</v>
      </c>
      <c r="E2581" s="711">
        <v>0.37119999999999997</v>
      </c>
    </row>
    <row r="2582" spans="1:5" x14ac:dyDescent="0.3">
      <c r="A2582" s="397"/>
      <c r="B2582" s="709">
        <v>97250</v>
      </c>
      <c r="C2582" s="710" t="s">
        <v>3135</v>
      </c>
      <c r="D2582" s="709" t="s">
        <v>136</v>
      </c>
      <c r="E2582" s="711">
        <v>0.40749999999999997</v>
      </c>
    </row>
    <row r="2583" spans="1:5" x14ac:dyDescent="0.3">
      <c r="A2583" s="397"/>
      <c r="B2583" s="709">
        <v>97258</v>
      </c>
      <c r="C2583" s="710" t="s">
        <v>3136</v>
      </c>
      <c r="D2583" s="709" t="s">
        <v>136</v>
      </c>
      <c r="E2583" s="711">
        <v>0.53280000000000005</v>
      </c>
    </row>
    <row r="2584" spans="1:5" x14ac:dyDescent="0.3">
      <c r="A2584" s="397"/>
      <c r="B2584" s="709">
        <v>97259</v>
      </c>
      <c r="C2584" s="710" t="s">
        <v>3137</v>
      </c>
      <c r="D2584" s="709" t="s">
        <v>136</v>
      </c>
      <c r="E2584" s="711">
        <v>0.55840000000000001</v>
      </c>
    </row>
    <row r="2585" spans="1:5" x14ac:dyDescent="0.3">
      <c r="A2585" s="397"/>
      <c r="B2585" s="709">
        <v>97262</v>
      </c>
      <c r="C2585" s="710" t="s">
        <v>3138</v>
      </c>
      <c r="D2585" s="709" t="s">
        <v>136</v>
      </c>
      <c r="E2585" s="711">
        <v>0.54769999999999996</v>
      </c>
    </row>
    <row r="2586" spans="1:5" x14ac:dyDescent="0.3">
      <c r="A2586" s="397"/>
      <c r="B2586" s="709">
        <v>97263</v>
      </c>
      <c r="C2586" s="710" t="s">
        <v>3139</v>
      </c>
      <c r="D2586" s="709" t="s">
        <v>136</v>
      </c>
      <c r="E2586" s="711">
        <v>0.58830000000000005</v>
      </c>
    </row>
    <row r="2587" spans="1:5" x14ac:dyDescent="0.3">
      <c r="A2587" s="397"/>
      <c r="B2587" s="709">
        <v>97266</v>
      </c>
      <c r="C2587" s="710" t="s">
        <v>3140</v>
      </c>
      <c r="D2587" s="709" t="s">
        <v>136</v>
      </c>
      <c r="E2587" s="711">
        <v>0.58730000000000004</v>
      </c>
    </row>
    <row r="2588" spans="1:5" x14ac:dyDescent="0.3">
      <c r="A2588" s="397"/>
      <c r="B2588" s="709">
        <v>97267</v>
      </c>
      <c r="C2588" s="710" t="s">
        <v>3141</v>
      </c>
      <c r="D2588" s="709" t="s">
        <v>136</v>
      </c>
      <c r="E2588" s="711">
        <v>0.60599999999999998</v>
      </c>
    </row>
    <row r="2589" spans="1:5" x14ac:dyDescent="0.3">
      <c r="A2589" s="397"/>
      <c r="B2589" s="709">
        <v>97270</v>
      </c>
      <c r="C2589" s="710" t="s">
        <v>3142</v>
      </c>
      <c r="D2589" s="709" t="s">
        <v>136</v>
      </c>
      <c r="E2589" s="711">
        <v>0.61040000000000005</v>
      </c>
    </row>
    <row r="2590" spans="1:5" x14ac:dyDescent="0.3">
      <c r="A2590" s="397"/>
      <c r="B2590" s="709">
        <v>97271</v>
      </c>
      <c r="C2590" s="710" t="s">
        <v>3143</v>
      </c>
      <c r="D2590" s="709" t="s">
        <v>136</v>
      </c>
      <c r="E2590" s="711">
        <v>0.62690000000000001</v>
      </c>
    </row>
    <row r="2591" spans="1:5" x14ac:dyDescent="0.3">
      <c r="A2591" s="397"/>
      <c r="B2591" s="709">
        <v>97252</v>
      </c>
      <c r="C2591" s="710" t="s">
        <v>3144</v>
      </c>
      <c r="D2591" s="709" t="s">
        <v>136</v>
      </c>
      <c r="E2591" s="711">
        <v>0.34760000000000002</v>
      </c>
    </row>
    <row r="2592" spans="1:5" x14ac:dyDescent="0.3">
      <c r="A2592" s="397"/>
      <c r="B2592" s="709">
        <v>97257</v>
      </c>
      <c r="C2592" s="710" t="s">
        <v>3145</v>
      </c>
      <c r="D2592" s="709" t="s">
        <v>136</v>
      </c>
      <c r="E2592" s="711">
        <v>0.36349999999999999</v>
      </c>
    </row>
    <row r="2593" spans="1:5" x14ac:dyDescent="0.3">
      <c r="A2593" s="397"/>
      <c r="B2593" s="709">
        <v>97256</v>
      </c>
      <c r="C2593" s="710" t="s">
        <v>3146</v>
      </c>
      <c r="D2593" s="709" t="s">
        <v>136</v>
      </c>
      <c r="E2593" s="711">
        <v>0.37930000000000003</v>
      </c>
    </row>
    <row r="2594" spans="1:5" x14ac:dyDescent="0.3">
      <c r="A2594" s="397"/>
      <c r="B2594" s="709">
        <v>97253</v>
      </c>
      <c r="C2594" s="710" t="s">
        <v>3147</v>
      </c>
      <c r="D2594" s="709" t="s">
        <v>136</v>
      </c>
      <c r="E2594" s="711">
        <v>0.32390000000000002</v>
      </c>
    </row>
    <row r="2595" spans="1:5" x14ac:dyDescent="0.3">
      <c r="A2595" s="397"/>
      <c r="B2595" s="709">
        <v>97261</v>
      </c>
      <c r="C2595" s="710" t="s">
        <v>3148</v>
      </c>
      <c r="D2595" s="709" t="s">
        <v>136</v>
      </c>
      <c r="E2595" s="711">
        <v>0.39689999999999998</v>
      </c>
    </row>
    <row r="2596" spans="1:5" x14ac:dyDescent="0.3">
      <c r="A2596" s="397"/>
      <c r="B2596" s="709">
        <v>97260</v>
      </c>
      <c r="C2596" s="710" t="s">
        <v>3149</v>
      </c>
      <c r="D2596" s="709" t="s">
        <v>136</v>
      </c>
      <c r="E2596" s="711">
        <v>0.42149999999999999</v>
      </c>
    </row>
    <row r="2597" spans="1:5" x14ac:dyDescent="0.3">
      <c r="A2597" s="397"/>
      <c r="B2597" s="709">
        <v>97265</v>
      </c>
      <c r="C2597" s="710" t="s">
        <v>3150</v>
      </c>
      <c r="D2597" s="709" t="s">
        <v>136</v>
      </c>
      <c r="E2597" s="711">
        <v>0.3805</v>
      </c>
    </row>
    <row r="2598" spans="1:5" x14ac:dyDescent="0.3">
      <c r="A2598" s="397"/>
      <c r="B2598" s="709">
        <v>97264</v>
      </c>
      <c r="C2598" s="710" t="s">
        <v>3151</v>
      </c>
      <c r="D2598" s="709" t="s">
        <v>136</v>
      </c>
      <c r="E2598" s="711">
        <v>0.37469999999999998</v>
      </c>
    </row>
    <row r="2599" spans="1:5" x14ac:dyDescent="0.3">
      <c r="A2599" s="397"/>
      <c r="B2599" s="709">
        <v>97269</v>
      </c>
      <c r="C2599" s="710" t="s">
        <v>3152</v>
      </c>
      <c r="D2599" s="709" t="s">
        <v>136</v>
      </c>
      <c r="E2599" s="711">
        <v>0.38500000000000001</v>
      </c>
    </row>
    <row r="2600" spans="1:5" x14ac:dyDescent="0.3">
      <c r="A2600" s="397"/>
      <c r="B2600" s="709">
        <v>97268</v>
      </c>
      <c r="C2600" s="710" t="s">
        <v>3153</v>
      </c>
      <c r="D2600" s="709" t="s">
        <v>136</v>
      </c>
      <c r="E2600" s="711">
        <v>0.39700000000000002</v>
      </c>
    </row>
    <row r="2601" spans="1:5" x14ac:dyDescent="0.3">
      <c r="A2601" s="397"/>
      <c r="B2601" s="709">
        <v>97273</v>
      </c>
      <c r="C2601" s="710" t="s">
        <v>3154</v>
      </c>
      <c r="D2601" s="709" t="s">
        <v>136</v>
      </c>
      <c r="E2601" s="711">
        <v>0.36109999999999998</v>
      </c>
    </row>
    <row r="2602" spans="1:5" x14ac:dyDescent="0.3">
      <c r="A2602" s="397"/>
      <c r="B2602" s="709">
        <v>97272</v>
      </c>
      <c r="C2602" s="710" t="s">
        <v>3155</v>
      </c>
      <c r="D2602" s="709" t="s">
        <v>136</v>
      </c>
      <c r="E2602" s="711">
        <v>0.34739999999999999</v>
      </c>
    </row>
    <row r="2603" spans="1:5" x14ac:dyDescent="0.3">
      <c r="A2603" s="397"/>
      <c r="B2603" s="709">
        <v>97315</v>
      </c>
      <c r="C2603" s="710" t="s">
        <v>3156</v>
      </c>
      <c r="D2603" s="709" t="s">
        <v>136</v>
      </c>
      <c r="E2603" s="711">
        <v>0.3861</v>
      </c>
    </row>
    <row r="2604" spans="1:5" x14ac:dyDescent="0.3">
      <c r="A2604" s="397"/>
      <c r="B2604" s="709">
        <v>97316</v>
      </c>
      <c r="C2604" s="710" t="s">
        <v>3157</v>
      </c>
      <c r="D2604" s="709" t="s">
        <v>136</v>
      </c>
      <c r="E2604" s="711">
        <v>0.40839999999999999</v>
      </c>
    </row>
    <row r="2605" spans="1:5" x14ac:dyDescent="0.3">
      <c r="A2605" s="397"/>
      <c r="B2605" s="709">
        <v>97317</v>
      </c>
      <c r="C2605" s="710" t="s">
        <v>3158</v>
      </c>
      <c r="D2605" s="709" t="s">
        <v>136</v>
      </c>
      <c r="E2605" s="711">
        <v>0.41099999999999998</v>
      </c>
    </row>
    <row r="2606" spans="1:5" x14ac:dyDescent="0.3">
      <c r="A2606" s="397"/>
      <c r="B2606" s="709">
        <v>97318</v>
      </c>
      <c r="C2606" s="710" t="s">
        <v>3159</v>
      </c>
      <c r="D2606" s="709" t="s">
        <v>136</v>
      </c>
      <c r="E2606" s="711">
        <v>0.42770000000000002</v>
      </c>
    </row>
    <row r="2607" spans="1:5" x14ac:dyDescent="0.3">
      <c r="A2607" s="397"/>
      <c r="B2607" s="709">
        <v>97319</v>
      </c>
      <c r="C2607" s="710" t="s">
        <v>3160</v>
      </c>
      <c r="D2607" s="709" t="s">
        <v>136</v>
      </c>
      <c r="E2607" s="711">
        <v>0.44729999999999998</v>
      </c>
    </row>
    <row r="2608" spans="1:5" x14ac:dyDescent="0.3">
      <c r="A2608" s="397"/>
      <c r="B2608" s="709">
        <v>97320</v>
      </c>
      <c r="C2608" s="710" t="s">
        <v>3161</v>
      </c>
      <c r="D2608" s="709" t="s">
        <v>136</v>
      </c>
      <c r="E2608" s="711">
        <v>0.42449999999999999</v>
      </c>
    </row>
    <row r="2609" spans="1:5" x14ac:dyDescent="0.3">
      <c r="A2609" s="397"/>
      <c r="B2609" s="709">
        <v>97321</v>
      </c>
      <c r="C2609" s="710" t="s">
        <v>3162</v>
      </c>
      <c r="D2609" s="709" t="s">
        <v>136</v>
      </c>
      <c r="E2609" s="711">
        <v>0.42209999999999998</v>
      </c>
    </row>
    <row r="2610" spans="1:5" x14ac:dyDescent="0.3">
      <c r="A2610" s="397"/>
      <c r="B2610" s="709">
        <v>97322</v>
      </c>
      <c r="C2610" s="710" t="s">
        <v>3163</v>
      </c>
      <c r="D2610" s="709" t="s">
        <v>136</v>
      </c>
      <c r="E2610" s="711">
        <v>0.3473</v>
      </c>
    </row>
    <row r="2611" spans="1:5" x14ac:dyDescent="0.3">
      <c r="A2611" s="397"/>
      <c r="B2611" s="709">
        <v>97313</v>
      </c>
      <c r="C2611" s="710" t="s">
        <v>3164</v>
      </c>
      <c r="D2611" s="709" t="s">
        <v>136</v>
      </c>
      <c r="E2611" s="711">
        <v>0.34820000000000001</v>
      </c>
    </row>
    <row r="2612" spans="1:5" x14ac:dyDescent="0.3">
      <c r="A2612" s="397"/>
      <c r="B2612" s="709">
        <v>97323</v>
      </c>
      <c r="C2612" s="710" t="s">
        <v>3165</v>
      </c>
      <c r="D2612" s="709" t="s">
        <v>136</v>
      </c>
      <c r="E2612" s="711">
        <v>0.33489999999999998</v>
      </c>
    </row>
    <row r="2613" spans="1:5" x14ac:dyDescent="0.3">
      <c r="A2613" s="397"/>
      <c r="B2613" s="709">
        <v>97324</v>
      </c>
      <c r="C2613" s="710" t="s">
        <v>3166</v>
      </c>
      <c r="D2613" s="709" t="s">
        <v>136</v>
      </c>
      <c r="E2613" s="711">
        <v>0.3095</v>
      </c>
    </row>
    <row r="2614" spans="1:5" x14ac:dyDescent="0.3">
      <c r="A2614" s="397"/>
      <c r="B2614" s="709">
        <v>97314</v>
      </c>
      <c r="C2614" s="710" t="s">
        <v>3167</v>
      </c>
      <c r="D2614" s="709" t="s">
        <v>136</v>
      </c>
      <c r="E2614" s="711">
        <v>0.36580000000000001</v>
      </c>
    </row>
    <row r="2615" spans="1:5" x14ac:dyDescent="0.3">
      <c r="A2615" s="397"/>
      <c r="B2615" s="709">
        <v>97325</v>
      </c>
      <c r="C2615" s="710" t="s">
        <v>3168</v>
      </c>
      <c r="D2615" s="709" t="s">
        <v>136</v>
      </c>
      <c r="E2615" s="711">
        <v>0.28739999999999999</v>
      </c>
    </row>
    <row r="2616" spans="1:5" x14ac:dyDescent="0.3">
      <c r="A2616" s="397"/>
      <c r="B2616" s="709">
        <v>103517</v>
      </c>
      <c r="C2616" s="710" t="s">
        <v>13397</v>
      </c>
      <c r="D2616" s="709" t="s">
        <v>136</v>
      </c>
      <c r="E2616" s="711">
        <v>1.7100000000000001E-2</v>
      </c>
    </row>
    <row r="2617" spans="1:5" x14ac:dyDescent="0.3">
      <c r="A2617" s="397"/>
      <c r="B2617" s="709">
        <v>103519</v>
      </c>
      <c r="C2617" s="710" t="s">
        <v>13398</v>
      </c>
      <c r="D2617" s="709" t="s">
        <v>136</v>
      </c>
      <c r="E2617" s="711">
        <v>0.44950000000000001</v>
      </c>
    </row>
    <row r="2618" spans="1:5" x14ac:dyDescent="0.3">
      <c r="A2618" s="397"/>
      <c r="B2618" s="709">
        <v>103523</v>
      </c>
      <c r="C2618" s="710" t="s">
        <v>13399</v>
      </c>
      <c r="D2618" s="709" t="s">
        <v>136</v>
      </c>
      <c r="E2618" s="711">
        <v>1.29E-2</v>
      </c>
    </row>
    <row r="2619" spans="1:5" x14ac:dyDescent="0.3">
      <c r="A2619" s="397"/>
      <c r="B2619" s="709">
        <v>103520</v>
      </c>
      <c r="C2619" s="710" t="s">
        <v>13400</v>
      </c>
      <c r="D2619" s="709" t="s">
        <v>136</v>
      </c>
      <c r="E2619" s="711">
        <v>2.7000000000000001E-3</v>
      </c>
    </row>
    <row r="2620" spans="1:5" x14ac:dyDescent="0.3">
      <c r="A2620" s="397"/>
      <c r="B2620" s="709">
        <v>103521</v>
      </c>
      <c r="C2620" s="710" t="s">
        <v>13401</v>
      </c>
      <c r="D2620" s="709" t="s">
        <v>136</v>
      </c>
      <c r="E2620" s="711">
        <v>2.8E-3</v>
      </c>
    </row>
    <row r="2621" spans="1:5" x14ac:dyDescent="0.3">
      <c r="A2621" s="397"/>
      <c r="B2621" s="709">
        <v>103522</v>
      </c>
      <c r="C2621" s="710" t="s">
        <v>13402</v>
      </c>
      <c r="D2621" s="709" t="s">
        <v>136</v>
      </c>
      <c r="E2621" s="711">
        <v>1.9E-2</v>
      </c>
    </row>
    <row r="2622" spans="1:5" x14ac:dyDescent="0.3">
      <c r="A2622" s="397"/>
      <c r="B2622" s="709">
        <v>97062</v>
      </c>
      <c r="C2622" s="710" t="s">
        <v>3169</v>
      </c>
      <c r="D2622" s="709" t="s">
        <v>168</v>
      </c>
      <c r="E2622" s="711">
        <v>0.46360000000000001</v>
      </c>
    </row>
    <row r="2623" spans="1:5" x14ac:dyDescent="0.3">
      <c r="A2623" s="397"/>
      <c r="B2623" s="709">
        <v>97040</v>
      </c>
      <c r="C2623" s="710" t="s">
        <v>3173</v>
      </c>
      <c r="D2623" s="709" t="s">
        <v>168</v>
      </c>
      <c r="E2623" s="711">
        <v>0.72689999999999999</v>
      </c>
    </row>
    <row r="2624" spans="1:5" x14ac:dyDescent="0.3">
      <c r="A2624" s="397"/>
      <c r="B2624" s="709">
        <v>97041</v>
      </c>
      <c r="C2624" s="710" t="s">
        <v>3174</v>
      </c>
      <c r="D2624" s="709" t="s">
        <v>168</v>
      </c>
      <c r="E2624" s="711">
        <v>0.2757</v>
      </c>
    </row>
    <row r="2625" spans="1:5" x14ac:dyDescent="0.3">
      <c r="A2625" s="397"/>
      <c r="B2625" s="709">
        <v>97039</v>
      </c>
      <c r="C2625" s="710" t="s">
        <v>3175</v>
      </c>
      <c r="D2625" s="709" t="s">
        <v>168</v>
      </c>
      <c r="E2625" s="711">
        <v>0.2873</v>
      </c>
    </row>
    <row r="2626" spans="1:5" x14ac:dyDescent="0.3">
      <c r="A2626" s="397"/>
      <c r="B2626" s="709">
        <v>102655</v>
      </c>
      <c r="C2626" s="710" t="s">
        <v>3176</v>
      </c>
      <c r="D2626" s="709" t="s">
        <v>159</v>
      </c>
      <c r="E2626" s="711">
        <v>0.85709999999999997</v>
      </c>
    </row>
    <row r="2627" spans="1:5" x14ac:dyDescent="0.3">
      <c r="A2627" s="397"/>
      <c r="B2627" s="709">
        <v>97032</v>
      </c>
      <c r="C2627" s="710" t="s">
        <v>3183</v>
      </c>
      <c r="D2627" s="709" t="s">
        <v>159</v>
      </c>
      <c r="E2627" s="711">
        <v>0.33019999999999999</v>
      </c>
    </row>
    <row r="2628" spans="1:5" x14ac:dyDescent="0.3">
      <c r="A2628" s="397"/>
      <c r="B2628" s="709">
        <v>97031</v>
      </c>
      <c r="C2628" s="710" t="s">
        <v>3184</v>
      </c>
      <c r="D2628" s="709" t="s">
        <v>159</v>
      </c>
      <c r="E2628" s="711">
        <v>0.20419999999999999</v>
      </c>
    </row>
    <row r="2629" spans="1:5" x14ac:dyDescent="0.3">
      <c r="A2629" s="397"/>
      <c r="B2629" s="709">
        <v>97034</v>
      </c>
      <c r="C2629" s="710" t="s">
        <v>3187</v>
      </c>
      <c r="D2629" s="709" t="s">
        <v>159</v>
      </c>
      <c r="E2629" s="711">
        <v>0.43630000000000002</v>
      </c>
    </row>
    <row r="2630" spans="1:5" x14ac:dyDescent="0.3">
      <c r="A2630" s="397"/>
      <c r="B2630" s="709">
        <v>97033</v>
      </c>
      <c r="C2630" s="710" t="s">
        <v>3188</v>
      </c>
      <c r="D2630" s="709" t="s">
        <v>159</v>
      </c>
      <c r="E2630" s="711">
        <v>0.28570000000000001</v>
      </c>
    </row>
    <row r="2631" spans="1:5" x14ac:dyDescent="0.3">
      <c r="A2631" s="397"/>
      <c r="B2631" s="709">
        <v>97014</v>
      </c>
      <c r="C2631" s="710" t="s">
        <v>3195</v>
      </c>
      <c r="D2631" s="709" t="s">
        <v>159</v>
      </c>
      <c r="E2631" s="711">
        <v>0.26829999999999998</v>
      </c>
    </row>
    <row r="2632" spans="1:5" x14ac:dyDescent="0.3">
      <c r="A2632" s="397"/>
      <c r="B2632" s="709">
        <v>97015</v>
      </c>
      <c r="C2632" s="710" t="s">
        <v>3196</v>
      </c>
      <c r="D2632" s="709" t="s">
        <v>159</v>
      </c>
      <c r="E2632" s="711">
        <v>0.32450000000000001</v>
      </c>
    </row>
    <row r="2633" spans="1:5" x14ac:dyDescent="0.3">
      <c r="A2633" s="397"/>
      <c r="B2633" s="709">
        <v>97013</v>
      </c>
      <c r="C2633" s="710" t="s">
        <v>3197</v>
      </c>
      <c r="D2633" s="709" t="s">
        <v>159</v>
      </c>
      <c r="E2633" s="711">
        <v>0.1991</v>
      </c>
    </row>
    <row r="2634" spans="1:5" x14ac:dyDescent="0.3">
      <c r="A2634" s="397"/>
      <c r="B2634" s="709">
        <v>97017</v>
      </c>
      <c r="C2634" s="710" t="s">
        <v>3198</v>
      </c>
      <c r="D2634" s="709" t="s">
        <v>159</v>
      </c>
      <c r="E2634" s="711">
        <v>0.30170000000000002</v>
      </c>
    </row>
    <row r="2635" spans="1:5" x14ac:dyDescent="0.3">
      <c r="A2635" s="397"/>
      <c r="B2635" s="709">
        <v>97018</v>
      </c>
      <c r="C2635" s="710" t="s">
        <v>3199</v>
      </c>
      <c r="D2635" s="709" t="s">
        <v>159</v>
      </c>
      <c r="E2635" s="711">
        <v>0.36099999999999999</v>
      </c>
    </row>
    <row r="2636" spans="1:5" x14ac:dyDescent="0.3">
      <c r="A2636" s="397"/>
      <c r="B2636" s="709">
        <v>97016</v>
      </c>
      <c r="C2636" s="710" t="s">
        <v>3200</v>
      </c>
      <c r="D2636" s="709" t="s">
        <v>159</v>
      </c>
      <c r="E2636" s="711">
        <v>0.22650000000000001</v>
      </c>
    </row>
    <row r="2637" spans="1:5" x14ac:dyDescent="0.3">
      <c r="A2637" s="397"/>
      <c r="B2637" s="709">
        <v>104990</v>
      </c>
      <c r="C2637" s="710" t="s">
        <v>3204</v>
      </c>
      <c r="D2637" s="709" t="s">
        <v>159</v>
      </c>
      <c r="E2637" s="711">
        <v>0.56159999999999999</v>
      </c>
    </row>
    <row r="2638" spans="1:5" x14ac:dyDescent="0.3">
      <c r="A2638" s="397"/>
      <c r="B2638" s="709">
        <v>97054</v>
      </c>
      <c r="C2638" s="710" t="s">
        <v>3206</v>
      </c>
      <c r="D2638" s="709" t="s">
        <v>136</v>
      </c>
      <c r="E2638" s="711">
        <v>0.40179999999999999</v>
      </c>
    </row>
    <row r="2639" spans="1:5" x14ac:dyDescent="0.3">
      <c r="A2639" s="397"/>
      <c r="B2639" s="709">
        <v>97063</v>
      </c>
      <c r="C2639" s="710" t="s">
        <v>3213</v>
      </c>
      <c r="D2639" s="709" t="s">
        <v>168</v>
      </c>
      <c r="E2639" s="711">
        <v>1</v>
      </c>
    </row>
    <row r="2640" spans="1:5" x14ac:dyDescent="0.3">
      <c r="A2640" s="397"/>
      <c r="B2640" s="709">
        <v>97065</v>
      </c>
      <c r="C2640" s="710" t="s">
        <v>3214</v>
      </c>
      <c r="D2640" s="709" t="s">
        <v>170</v>
      </c>
      <c r="E2640" s="711">
        <v>1</v>
      </c>
    </row>
    <row r="2641" spans="1:5" x14ac:dyDescent="0.3">
      <c r="A2641" s="397"/>
      <c r="B2641" s="709">
        <v>97064</v>
      </c>
      <c r="C2641" s="710" t="s">
        <v>3215</v>
      </c>
      <c r="D2641" s="709" t="s">
        <v>159</v>
      </c>
      <c r="E2641" s="711">
        <v>1</v>
      </c>
    </row>
    <row r="2642" spans="1:5" x14ac:dyDescent="0.3">
      <c r="A2642" s="397"/>
      <c r="B2642" s="709">
        <v>97067</v>
      </c>
      <c r="C2642" s="710" t="s">
        <v>3221</v>
      </c>
      <c r="D2642" s="709" t="s">
        <v>159</v>
      </c>
      <c r="E2642" s="711">
        <v>0.29210000000000003</v>
      </c>
    </row>
    <row r="2643" spans="1:5" x14ac:dyDescent="0.3">
      <c r="A2643" s="397"/>
      <c r="B2643" s="709">
        <v>97048</v>
      </c>
      <c r="C2643" s="710" t="s">
        <v>3232</v>
      </c>
      <c r="D2643" s="709" t="s">
        <v>168</v>
      </c>
      <c r="E2643" s="711">
        <v>0.28570000000000001</v>
      </c>
    </row>
    <row r="2644" spans="1:5" x14ac:dyDescent="0.3">
      <c r="A2644" s="397"/>
      <c r="B2644" s="709">
        <v>97047</v>
      </c>
      <c r="C2644" s="710" t="s">
        <v>3233</v>
      </c>
      <c r="D2644" s="709" t="s">
        <v>168</v>
      </c>
      <c r="E2644" s="711">
        <v>0.33329999999999999</v>
      </c>
    </row>
    <row r="2645" spans="1:5" x14ac:dyDescent="0.3">
      <c r="A2645" s="397"/>
      <c r="B2645" s="709">
        <v>97046</v>
      </c>
      <c r="C2645" s="710" t="s">
        <v>3234</v>
      </c>
      <c r="D2645" s="709" t="s">
        <v>168</v>
      </c>
      <c r="E2645" s="711">
        <v>0.36</v>
      </c>
    </row>
    <row r="2646" spans="1:5" x14ac:dyDescent="0.3">
      <c r="A2646" s="397"/>
      <c r="B2646" s="709">
        <v>104989</v>
      </c>
      <c r="C2646" s="710" t="s">
        <v>3235</v>
      </c>
      <c r="D2646" s="709" t="s">
        <v>136</v>
      </c>
      <c r="E2646" s="711">
        <v>0.76449999999999996</v>
      </c>
    </row>
    <row r="2647" spans="1:5" x14ac:dyDescent="0.3">
      <c r="A2647" s="397"/>
      <c r="B2647" s="709">
        <v>97066</v>
      </c>
      <c r="C2647" s="710" t="s">
        <v>3236</v>
      </c>
      <c r="D2647" s="709" t="s">
        <v>168</v>
      </c>
      <c r="E2647" s="711">
        <v>0.4128</v>
      </c>
    </row>
    <row r="2648" spans="1:5" x14ac:dyDescent="0.3">
      <c r="A2648" s="397"/>
      <c r="B2648" s="709">
        <v>102656</v>
      </c>
      <c r="C2648" s="710" t="s">
        <v>3244</v>
      </c>
      <c r="D2648" s="709" t="s">
        <v>159</v>
      </c>
      <c r="E2648" s="711">
        <v>0.56789999999999996</v>
      </c>
    </row>
    <row r="2649" spans="1:5" x14ac:dyDescent="0.3">
      <c r="A2649" s="397"/>
      <c r="B2649" s="709">
        <v>95946</v>
      </c>
      <c r="C2649" s="710" t="s">
        <v>3247</v>
      </c>
      <c r="D2649" s="709" t="s">
        <v>175</v>
      </c>
      <c r="E2649" s="711">
        <v>0.29699999999999999</v>
      </c>
    </row>
    <row r="2650" spans="1:5" x14ac:dyDescent="0.3">
      <c r="A2650" s="397"/>
      <c r="B2650" s="709">
        <v>95947</v>
      </c>
      <c r="C2650" s="710" t="s">
        <v>3248</v>
      </c>
      <c r="D2650" s="709" t="s">
        <v>175</v>
      </c>
      <c r="E2650" s="711">
        <v>0.1799</v>
      </c>
    </row>
    <row r="2651" spans="1:5" x14ac:dyDescent="0.3">
      <c r="A2651" s="397"/>
      <c r="B2651" s="709">
        <v>95948</v>
      </c>
      <c r="C2651" s="710" t="s">
        <v>3249</v>
      </c>
      <c r="D2651" s="709" t="s">
        <v>175</v>
      </c>
      <c r="E2651" s="711">
        <v>3.8899999999999997E-2</v>
      </c>
    </row>
    <row r="2652" spans="1:5" x14ac:dyDescent="0.3">
      <c r="A2652" s="397"/>
      <c r="B2652" s="709">
        <v>95944</v>
      </c>
      <c r="C2652" s="710" t="s">
        <v>3250</v>
      </c>
      <c r="D2652" s="709" t="s">
        <v>175</v>
      </c>
      <c r="E2652" s="711">
        <v>0.56969999999999998</v>
      </c>
    </row>
    <row r="2653" spans="1:5" x14ac:dyDescent="0.3">
      <c r="A2653" s="397"/>
      <c r="B2653" s="709">
        <v>95945</v>
      </c>
      <c r="C2653" s="710" t="s">
        <v>3251</v>
      </c>
      <c r="D2653" s="709" t="s">
        <v>175</v>
      </c>
      <c r="E2653" s="711">
        <v>0.4269</v>
      </c>
    </row>
    <row r="2654" spans="1:5" x14ac:dyDescent="0.3">
      <c r="A2654" s="397"/>
      <c r="B2654" s="709">
        <v>95943</v>
      </c>
      <c r="C2654" s="710" t="s">
        <v>3252</v>
      </c>
      <c r="D2654" s="709" t="s">
        <v>175</v>
      </c>
      <c r="E2654" s="711">
        <v>0.65369999999999995</v>
      </c>
    </row>
    <row r="2655" spans="1:5" x14ac:dyDescent="0.3">
      <c r="A2655" s="397"/>
      <c r="B2655" s="709">
        <v>102077</v>
      </c>
      <c r="C2655" s="710" t="s">
        <v>3253</v>
      </c>
      <c r="D2655" s="709" t="s">
        <v>170</v>
      </c>
      <c r="E2655" s="711">
        <v>0.42030000000000001</v>
      </c>
    </row>
    <row r="2656" spans="1:5" x14ac:dyDescent="0.3">
      <c r="A2656" s="397"/>
      <c r="B2656" s="709">
        <v>102073</v>
      </c>
      <c r="C2656" s="710" t="s">
        <v>3254</v>
      </c>
      <c r="D2656" s="709" t="s">
        <v>170</v>
      </c>
      <c r="E2656" s="711">
        <v>0.38090000000000002</v>
      </c>
    </row>
    <row r="2657" spans="1:5" x14ac:dyDescent="0.3">
      <c r="A2657" s="397"/>
      <c r="B2657" s="709">
        <v>102079</v>
      </c>
      <c r="C2657" s="710" t="s">
        <v>3255</v>
      </c>
      <c r="D2657" s="709" t="s">
        <v>170</v>
      </c>
      <c r="E2657" s="711">
        <v>0.40389999999999998</v>
      </c>
    </row>
    <row r="2658" spans="1:5" x14ac:dyDescent="0.3">
      <c r="A2658" s="397"/>
      <c r="B2658" s="709">
        <v>102075</v>
      </c>
      <c r="C2658" s="710" t="s">
        <v>3256</v>
      </c>
      <c r="D2658" s="709" t="s">
        <v>170</v>
      </c>
      <c r="E2658" s="711">
        <v>0.36799999999999999</v>
      </c>
    </row>
    <row r="2659" spans="1:5" x14ac:dyDescent="0.3">
      <c r="A2659" s="397"/>
      <c r="B2659" s="709">
        <v>102078</v>
      </c>
      <c r="C2659" s="710" t="s">
        <v>3257</v>
      </c>
      <c r="D2659" s="709" t="s">
        <v>170</v>
      </c>
      <c r="E2659" s="711">
        <v>0.40079999999999999</v>
      </c>
    </row>
    <row r="2660" spans="1:5" x14ac:dyDescent="0.3">
      <c r="A2660" s="397"/>
      <c r="B2660" s="709">
        <v>102074</v>
      </c>
      <c r="C2660" s="710" t="s">
        <v>3258</v>
      </c>
      <c r="D2660" s="709" t="s">
        <v>170</v>
      </c>
      <c r="E2660" s="711">
        <v>0.3644</v>
      </c>
    </row>
    <row r="2661" spans="1:5" x14ac:dyDescent="0.3">
      <c r="A2661" s="397"/>
      <c r="B2661" s="709">
        <v>102080</v>
      </c>
      <c r="C2661" s="710" t="s">
        <v>3259</v>
      </c>
      <c r="D2661" s="709" t="s">
        <v>170</v>
      </c>
      <c r="E2661" s="711">
        <v>0.37080000000000002</v>
      </c>
    </row>
    <row r="2662" spans="1:5" x14ac:dyDescent="0.3">
      <c r="A2662" s="397"/>
      <c r="B2662" s="709">
        <v>102076</v>
      </c>
      <c r="C2662" s="710" t="s">
        <v>3260</v>
      </c>
      <c r="D2662" s="709" t="s">
        <v>170</v>
      </c>
      <c r="E2662" s="711">
        <v>0.34960000000000002</v>
      </c>
    </row>
    <row r="2663" spans="1:5" x14ac:dyDescent="0.3">
      <c r="A2663" s="397"/>
      <c r="B2663" s="709">
        <v>102089</v>
      </c>
      <c r="C2663" s="710" t="s">
        <v>3265</v>
      </c>
      <c r="D2663" s="709" t="s">
        <v>168</v>
      </c>
      <c r="E2663" s="711">
        <v>0.18410000000000001</v>
      </c>
    </row>
    <row r="2664" spans="1:5" x14ac:dyDescent="0.3">
      <c r="A2664" s="397"/>
      <c r="B2664" s="709">
        <v>102090</v>
      </c>
      <c r="C2664" s="710" t="s">
        <v>3266</v>
      </c>
      <c r="D2664" s="709" t="s">
        <v>168</v>
      </c>
      <c r="E2664" s="711">
        <v>0.25530000000000003</v>
      </c>
    </row>
    <row r="2665" spans="1:5" x14ac:dyDescent="0.3">
      <c r="A2665" s="397"/>
      <c r="B2665" s="709">
        <v>102086</v>
      </c>
      <c r="C2665" s="710" t="s">
        <v>3267</v>
      </c>
      <c r="D2665" s="709" t="s">
        <v>168</v>
      </c>
      <c r="E2665" s="711">
        <v>0.1668</v>
      </c>
    </row>
    <row r="2666" spans="1:5" x14ac:dyDescent="0.3">
      <c r="A2666" s="397"/>
      <c r="B2666" s="709">
        <v>102087</v>
      </c>
      <c r="C2666" s="710" t="s">
        <v>3268</v>
      </c>
      <c r="D2666" s="709" t="s">
        <v>168</v>
      </c>
      <c r="E2666" s="711">
        <v>0.2198</v>
      </c>
    </row>
    <row r="2667" spans="1:5" x14ac:dyDescent="0.3">
      <c r="A2667" s="397"/>
      <c r="B2667" s="709">
        <v>102091</v>
      </c>
      <c r="C2667" s="710" t="s">
        <v>3269</v>
      </c>
      <c r="D2667" s="709" t="s">
        <v>168</v>
      </c>
      <c r="E2667" s="711">
        <v>0.15340000000000001</v>
      </c>
    </row>
    <row r="2668" spans="1:5" x14ac:dyDescent="0.3">
      <c r="A2668" s="397"/>
      <c r="B2668" s="709">
        <v>102088</v>
      </c>
      <c r="C2668" s="710" t="s">
        <v>3270</v>
      </c>
      <c r="D2668" s="709" t="s">
        <v>168</v>
      </c>
      <c r="E2668" s="711">
        <v>0.17119999999999999</v>
      </c>
    </row>
    <row r="2669" spans="1:5" x14ac:dyDescent="0.3">
      <c r="A2669" s="397"/>
      <c r="B2669" s="709">
        <v>101997</v>
      </c>
      <c r="C2669" s="710" t="s">
        <v>3271</v>
      </c>
      <c r="D2669" s="709" t="s">
        <v>168</v>
      </c>
      <c r="E2669" s="711">
        <v>0.1915</v>
      </c>
    </row>
    <row r="2670" spans="1:5" x14ac:dyDescent="0.3">
      <c r="A2670" s="397"/>
      <c r="B2670" s="709">
        <v>101998</v>
      </c>
      <c r="C2670" s="710" t="s">
        <v>3272</v>
      </c>
      <c r="D2670" s="709" t="s">
        <v>168</v>
      </c>
      <c r="E2670" s="711">
        <v>0.26569999999999999</v>
      </c>
    </row>
    <row r="2671" spans="1:5" x14ac:dyDescent="0.3">
      <c r="A2671" s="397"/>
      <c r="B2671" s="709">
        <v>101999</v>
      </c>
      <c r="C2671" s="710" t="s">
        <v>3273</v>
      </c>
      <c r="D2671" s="709" t="s">
        <v>168</v>
      </c>
      <c r="E2671" s="711">
        <v>0.13400000000000001</v>
      </c>
    </row>
    <row r="2672" spans="1:5" x14ac:dyDescent="0.3">
      <c r="A2672" s="397"/>
      <c r="B2672" s="709">
        <v>101994</v>
      </c>
      <c r="C2672" s="710" t="s">
        <v>3274</v>
      </c>
      <c r="D2672" s="709" t="s">
        <v>168</v>
      </c>
      <c r="E2672" s="711">
        <v>0.15909999999999999</v>
      </c>
    </row>
    <row r="2673" spans="1:5" x14ac:dyDescent="0.3">
      <c r="A2673" s="397"/>
      <c r="B2673" s="709">
        <v>101995</v>
      </c>
      <c r="C2673" s="710" t="s">
        <v>3275</v>
      </c>
      <c r="D2673" s="709" t="s">
        <v>168</v>
      </c>
      <c r="E2673" s="711">
        <v>0.21110000000000001</v>
      </c>
    </row>
    <row r="2674" spans="1:5" x14ac:dyDescent="0.3">
      <c r="A2674" s="397"/>
      <c r="B2674" s="709">
        <v>101996</v>
      </c>
      <c r="C2674" s="710" t="s">
        <v>3276</v>
      </c>
      <c r="D2674" s="709" t="s">
        <v>168</v>
      </c>
      <c r="E2674" s="711">
        <v>0.16020000000000001</v>
      </c>
    </row>
    <row r="2675" spans="1:5" x14ac:dyDescent="0.3">
      <c r="A2675" s="397"/>
      <c r="B2675" s="709">
        <v>101991</v>
      </c>
      <c r="C2675" s="710" t="s">
        <v>3277</v>
      </c>
      <c r="D2675" s="709" t="s">
        <v>168</v>
      </c>
      <c r="E2675" s="711">
        <v>0.19409999999999999</v>
      </c>
    </row>
    <row r="2676" spans="1:5" x14ac:dyDescent="0.3">
      <c r="A2676" s="397"/>
      <c r="B2676" s="709">
        <v>101992</v>
      </c>
      <c r="C2676" s="710" t="s">
        <v>3278</v>
      </c>
      <c r="D2676" s="709" t="s">
        <v>168</v>
      </c>
      <c r="E2676" s="711">
        <v>0.26729999999999998</v>
      </c>
    </row>
    <row r="2677" spans="1:5" x14ac:dyDescent="0.3">
      <c r="A2677" s="397"/>
      <c r="B2677" s="709">
        <v>101993</v>
      </c>
      <c r="C2677" s="710" t="s">
        <v>3279</v>
      </c>
      <c r="D2677" s="709" t="s">
        <v>168</v>
      </c>
      <c r="E2677" s="711">
        <v>0.14019999999999999</v>
      </c>
    </row>
    <row r="2678" spans="1:5" x14ac:dyDescent="0.3">
      <c r="A2678" s="397"/>
      <c r="B2678" s="709">
        <v>101988</v>
      </c>
      <c r="C2678" s="710" t="s">
        <v>3280</v>
      </c>
      <c r="D2678" s="709" t="s">
        <v>168</v>
      </c>
      <c r="E2678" s="711">
        <v>0.1822</v>
      </c>
    </row>
    <row r="2679" spans="1:5" x14ac:dyDescent="0.3">
      <c r="A2679" s="397"/>
      <c r="B2679" s="709">
        <v>101989</v>
      </c>
      <c r="C2679" s="710" t="s">
        <v>3281</v>
      </c>
      <c r="D2679" s="709" t="s">
        <v>168</v>
      </c>
      <c r="E2679" s="711">
        <v>0.23780000000000001</v>
      </c>
    </row>
    <row r="2680" spans="1:5" x14ac:dyDescent="0.3">
      <c r="A2680" s="397"/>
      <c r="B2680" s="709">
        <v>101990</v>
      </c>
      <c r="C2680" s="710" t="s">
        <v>3282</v>
      </c>
      <c r="D2680" s="709" t="s">
        <v>168</v>
      </c>
      <c r="E2680" s="711">
        <v>0.17249999999999999</v>
      </c>
    </row>
    <row r="2681" spans="1:5" x14ac:dyDescent="0.3">
      <c r="A2681" s="397"/>
      <c r="B2681" s="709">
        <v>101985</v>
      </c>
      <c r="C2681" s="710" t="s">
        <v>3283</v>
      </c>
      <c r="D2681" s="709" t="s">
        <v>168</v>
      </c>
      <c r="E2681" s="711">
        <v>0.16880000000000001</v>
      </c>
    </row>
    <row r="2682" spans="1:5" x14ac:dyDescent="0.3">
      <c r="A2682" s="397"/>
      <c r="B2682" s="709">
        <v>101986</v>
      </c>
      <c r="C2682" s="710" t="s">
        <v>3284</v>
      </c>
      <c r="D2682" s="709" t="s">
        <v>168</v>
      </c>
      <c r="E2682" s="711">
        <v>0.2364</v>
      </c>
    </row>
    <row r="2683" spans="1:5" x14ac:dyDescent="0.3">
      <c r="A2683" s="397"/>
      <c r="B2683" s="709">
        <v>101987</v>
      </c>
      <c r="C2683" s="710" t="s">
        <v>3285</v>
      </c>
      <c r="D2683" s="709" t="s">
        <v>168</v>
      </c>
      <c r="E2683" s="711">
        <v>0.15240000000000001</v>
      </c>
    </row>
    <row r="2684" spans="1:5" x14ac:dyDescent="0.3">
      <c r="A2684" s="397"/>
      <c r="B2684" s="709">
        <v>101969</v>
      </c>
      <c r="C2684" s="710" t="s">
        <v>3286</v>
      </c>
      <c r="D2684" s="709" t="s">
        <v>168</v>
      </c>
      <c r="E2684" s="711">
        <v>0.15709999999999999</v>
      </c>
    </row>
    <row r="2685" spans="1:5" x14ac:dyDescent="0.3">
      <c r="A2685" s="397"/>
      <c r="B2685" s="709">
        <v>101971</v>
      </c>
      <c r="C2685" s="710" t="s">
        <v>3287</v>
      </c>
      <c r="D2685" s="709" t="s">
        <v>168</v>
      </c>
      <c r="E2685" s="711">
        <v>0.20830000000000001</v>
      </c>
    </row>
    <row r="2686" spans="1:5" x14ac:dyDescent="0.3">
      <c r="A2686" s="397"/>
      <c r="B2686" s="709">
        <v>101973</v>
      </c>
      <c r="C2686" s="710" t="s">
        <v>3288</v>
      </c>
      <c r="D2686" s="709" t="s">
        <v>168</v>
      </c>
      <c r="E2686" s="711">
        <v>0.17080000000000001</v>
      </c>
    </row>
    <row r="2687" spans="1:5" x14ac:dyDescent="0.3">
      <c r="A2687" s="397"/>
      <c r="B2687" s="709">
        <v>102072</v>
      </c>
      <c r="C2687" s="710" t="s">
        <v>3289</v>
      </c>
      <c r="D2687" s="709" t="s">
        <v>168</v>
      </c>
      <c r="E2687" s="711">
        <v>0.48299999999999998</v>
      </c>
    </row>
    <row r="2688" spans="1:5" x14ac:dyDescent="0.3">
      <c r="A2688" s="397"/>
      <c r="B2688" s="709">
        <v>102070</v>
      </c>
      <c r="C2688" s="710" t="s">
        <v>3290</v>
      </c>
      <c r="D2688" s="709" t="s">
        <v>168</v>
      </c>
      <c r="E2688" s="711">
        <v>0.4637</v>
      </c>
    </row>
    <row r="2689" spans="1:5" x14ac:dyDescent="0.3">
      <c r="A2689" s="397"/>
      <c r="B2689" s="709">
        <v>102071</v>
      </c>
      <c r="C2689" s="710" t="s">
        <v>3291</v>
      </c>
      <c r="D2689" s="709" t="s">
        <v>168</v>
      </c>
      <c r="E2689" s="711">
        <v>0.48220000000000002</v>
      </c>
    </row>
    <row r="2690" spans="1:5" x14ac:dyDescent="0.3">
      <c r="A2690" s="397"/>
      <c r="B2690" s="709">
        <v>102068</v>
      </c>
      <c r="C2690" s="710" t="s">
        <v>3292</v>
      </c>
      <c r="D2690" s="709" t="s">
        <v>168</v>
      </c>
      <c r="E2690" s="711">
        <v>0.5655</v>
      </c>
    </row>
    <row r="2691" spans="1:5" x14ac:dyDescent="0.3">
      <c r="A2691" s="397"/>
      <c r="B2691" s="709">
        <v>102069</v>
      </c>
      <c r="C2691" s="710" t="s">
        <v>3293</v>
      </c>
      <c r="D2691" s="709" t="s">
        <v>168</v>
      </c>
      <c r="E2691" s="711">
        <v>0.49909999999999999</v>
      </c>
    </row>
    <row r="2692" spans="1:5" x14ac:dyDescent="0.3">
      <c r="A2692" s="397"/>
      <c r="B2692" s="709">
        <v>102066</v>
      </c>
      <c r="C2692" s="710" t="s">
        <v>3294</v>
      </c>
      <c r="D2692" s="709" t="s">
        <v>168</v>
      </c>
      <c r="E2692" s="711">
        <v>0.47989999999999999</v>
      </c>
    </row>
    <row r="2693" spans="1:5" x14ac:dyDescent="0.3">
      <c r="A2693" s="397"/>
      <c r="B2693" s="709">
        <v>102067</v>
      </c>
      <c r="C2693" s="710" t="s">
        <v>3295</v>
      </c>
      <c r="D2693" s="709" t="s">
        <v>168</v>
      </c>
      <c r="E2693" s="711">
        <v>0.44869999999999999</v>
      </c>
    </row>
    <row r="2694" spans="1:5" x14ac:dyDescent="0.3">
      <c r="A2694" s="397"/>
      <c r="B2694" s="709">
        <v>102065</v>
      </c>
      <c r="C2694" s="710" t="s">
        <v>3296</v>
      </c>
      <c r="D2694" s="709" t="s">
        <v>168</v>
      </c>
      <c r="E2694" s="711">
        <v>0.4577</v>
      </c>
    </row>
    <row r="2695" spans="1:5" x14ac:dyDescent="0.3">
      <c r="A2695" s="397"/>
      <c r="B2695" s="709">
        <v>102063</v>
      </c>
      <c r="C2695" s="710" t="s">
        <v>3297</v>
      </c>
      <c r="D2695" s="709" t="s">
        <v>168</v>
      </c>
      <c r="E2695" s="711">
        <v>0.432</v>
      </c>
    </row>
    <row r="2696" spans="1:5" x14ac:dyDescent="0.3">
      <c r="A2696" s="397"/>
      <c r="B2696" s="709">
        <v>102064</v>
      </c>
      <c r="C2696" s="710" t="s">
        <v>3298</v>
      </c>
      <c r="D2696" s="709" t="s">
        <v>168</v>
      </c>
      <c r="E2696" s="711">
        <v>0.44790000000000002</v>
      </c>
    </row>
    <row r="2697" spans="1:5" x14ac:dyDescent="0.3">
      <c r="A2697" s="397"/>
      <c r="B2697" s="709">
        <v>102061</v>
      </c>
      <c r="C2697" s="710" t="s">
        <v>3299</v>
      </c>
      <c r="D2697" s="709" t="s">
        <v>168</v>
      </c>
      <c r="E2697" s="711">
        <v>0.52359999999999995</v>
      </c>
    </row>
    <row r="2698" spans="1:5" x14ac:dyDescent="0.3">
      <c r="A2698" s="397"/>
      <c r="B2698" s="709">
        <v>102062</v>
      </c>
      <c r="C2698" s="710" t="s">
        <v>3300</v>
      </c>
      <c r="D2698" s="709" t="s">
        <v>168</v>
      </c>
      <c r="E2698" s="711">
        <v>0.45400000000000001</v>
      </c>
    </row>
    <row r="2699" spans="1:5" x14ac:dyDescent="0.3">
      <c r="A2699" s="397"/>
      <c r="B2699" s="709">
        <v>102059</v>
      </c>
      <c r="C2699" s="710" t="s">
        <v>3301</v>
      </c>
      <c r="D2699" s="709" t="s">
        <v>168</v>
      </c>
      <c r="E2699" s="711">
        <v>0.51259999999999994</v>
      </c>
    </row>
    <row r="2700" spans="1:5" x14ac:dyDescent="0.3">
      <c r="A2700" s="397"/>
      <c r="B2700" s="709">
        <v>102060</v>
      </c>
      <c r="C2700" s="710" t="s">
        <v>3302</v>
      </c>
      <c r="D2700" s="709" t="s">
        <v>168</v>
      </c>
      <c r="E2700" s="711">
        <v>0.48699999999999999</v>
      </c>
    </row>
    <row r="2701" spans="1:5" x14ac:dyDescent="0.3">
      <c r="A2701" s="397"/>
      <c r="B2701" s="709">
        <v>102052</v>
      </c>
      <c r="C2701" s="710" t="s">
        <v>3303</v>
      </c>
      <c r="D2701" s="709" t="s">
        <v>168</v>
      </c>
      <c r="E2701" s="711">
        <v>0.55420000000000003</v>
      </c>
    </row>
    <row r="2702" spans="1:5" x14ac:dyDescent="0.3">
      <c r="A2702" s="397"/>
      <c r="B2702" s="709">
        <v>102050</v>
      </c>
      <c r="C2702" s="710" t="s">
        <v>3304</v>
      </c>
      <c r="D2702" s="709" t="s">
        <v>168</v>
      </c>
      <c r="E2702" s="711">
        <v>0.51580000000000004</v>
      </c>
    </row>
    <row r="2703" spans="1:5" x14ac:dyDescent="0.3">
      <c r="A2703" s="397"/>
      <c r="B2703" s="709">
        <v>102051</v>
      </c>
      <c r="C2703" s="710" t="s">
        <v>3305</v>
      </c>
      <c r="D2703" s="709" t="s">
        <v>168</v>
      </c>
      <c r="E2703" s="711">
        <v>0.53920000000000001</v>
      </c>
    </row>
    <row r="2704" spans="1:5" x14ac:dyDescent="0.3">
      <c r="A2704" s="397"/>
      <c r="B2704" s="709">
        <v>102048</v>
      </c>
      <c r="C2704" s="710" t="s">
        <v>3306</v>
      </c>
      <c r="D2704" s="709" t="s">
        <v>168</v>
      </c>
      <c r="E2704" s="711">
        <v>0.60980000000000001</v>
      </c>
    </row>
    <row r="2705" spans="1:5" x14ac:dyDescent="0.3">
      <c r="A2705" s="397"/>
      <c r="B2705" s="709">
        <v>102049</v>
      </c>
      <c r="C2705" s="710" t="s">
        <v>3307</v>
      </c>
      <c r="D2705" s="709" t="s">
        <v>168</v>
      </c>
      <c r="E2705" s="711">
        <v>0.55010000000000003</v>
      </c>
    </row>
    <row r="2706" spans="1:5" x14ac:dyDescent="0.3">
      <c r="A2706" s="397"/>
      <c r="B2706" s="709">
        <v>102046</v>
      </c>
      <c r="C2706" s="710" t="s">
        <v>3308</v>
      </c>
      <c r="D2706" s="709" t="s">
        <v>168</v>
      </c>
      <c r="E2706" s="711">
        <v>0.46810000000000002</v>
      </c>
    </row>
    <row r="2707" spans="1:5" x14ac:dyDescent="0.3">
      <c r="A2707" s="397"/>
      <c r="B2707" s="709">
        <v>102047</v>
      </c>
      <c r="C2707" s="710" t="s">
        <v>3309</v>
      </c>
      <c r="D2707" s="709" t="s">
        <v>168</v>
      </c>
      <c r="E2707" s="711">
        <v>0.43690000000000001</v>
      </c>
    </row>
    <row r="2708" spans="1:5" x14ac:dyDescent="0.3">
      <c r="A2708" s="397"/>
      <c r="B2708" s="709">
        <v>102045</v>
      </c>
      <c r="C2708" s="710" t="s">
        <v>3310</v>
      </c>
      <c r="D2708" s="709" t="s">
        <v>168</v>
      </c>
      <c r="E2708" s="711">
        <v>0.50160000000000005</v>
      </c>
    </row>
    <row r="2709" spans="1:5" x14ac:dyDescent="0.3">
      <c r="A2709" s="397"/>
      <c r="B2709" s="709">
        <v>102043</v>
      </c>
      <c r="C2709" s="710" t="s">
        <v>3311</v>
      </c>
      <c r="D2709" s="709" t="s">
        <v>168</v>
      </c>
      <c r="E2709" s="711">
        <v>0.4723</v>
      </c>
    </row>
    <row r="2710" spans="1:5" x14ac:dyDescent="0.3">
      <c r="A2710" s="397"/>
      <c r="B2710" s="709">
        <v>102044</v>
      </c>
      <c r="C2710" s="710" t="s">
        <v>3312</v>
      </c>
      <c r="D2710" s="709" t="s">
        <v>168</v>
      </c>
      <c r="E2710" s="711">
        <v>0.48930000000000001</v>
      </c>
    </row>
    <row r="2711" spans="1:5" x14ac:dyDescent="0.3">
      <c r="A2711" s="397"/>
      <c r="B2711" s="709">
        <v>102041</v>
      </c>
      <c r="C2711" s="710" t="s">
        <v>3313</v>
      </c>
      <c r="D2711" s="709" t="s">
        <v>168</v>
      </c>
      <c r="E2711" s="711">
        <v>0.55859999999999999</v>
      </c>
    </row>
    <row r="2712" spans="1:5" x14ac:dyDescent="0.3">
      <c r="A2712" s="397"/>
      <c r="B2712" s="709">
        <v>102042</v>
      </c>
      <c r="C2712" s="710" t="s">
        <v>3314</v>
      </c>
      <c r="D2712" s="709" t="s">
        <v>168</v>
      </c>
      <c r="E2712" s="711">
        <v>0.49120000000000003</v>
      </c>
    </row>
    <row r="2713" spans="1:5" x14ac:dyDescent="0.3">
      <c r="A2713" s="397"/>
      <c r="B2713" s="709">
        <v>102039</v>
      </c>
      <c r="C2713" s="710" t="s">
        <v>3315</v>
      </c>
      <c r="D2713" s="709" t="s">
        <v>168</v>
      </c>
      <c r="E2713" s="711">
        <v>0.52200000000000002</v>
      </c>
    </row>
    <row r="2714" spans="1:5" x14ac:dyDescent="0.3">
      <c r="A2714" s="397"/>
      <c r="B2714" s="709">
        <v>102040</v>
      </c>
      <c r="C2714" s="710" t="s">
        <v>3316</v>
      </c>
      <c r="D2714" s="709" t="s">
        <v>168</v>
      </c>
      <c r="E2714" s="711">
        <v>0.4975</v>
      </c>
    </row>
    <row r="2715" spans="1:5" x14ac:dyDescent="0.3">
      <c r="A2715" s="397"/>
      <c r="B2715" s="709">
        <v>102038</v>
      </c>
      <c r="C2715" s="710" t="s">
        <v>3317</v>
      </c>
      <c r="D2715" s="709" t="s">
        <v>168</v>
      </c>
      <c r="E2715" s="711">
        <v>0.52859999999999996</v>
      </c>
    </row>
    <row r="2716" spans="1:5" x14ac:dyDescent="0.3">
      <c r="A2716" s="397"/>
      <c r="B2716" s="709">
        <v>102036</v>
      </c>
      <c r="C2716" s="710" t="s">
        <v>3318</v>
      </c>
      <c r="D2716" s="709" t="s">
        <v>168</v>
      </c>
      <c r="E2716" s="711">
        <v>0.497</v>
      </c>
    </row>
    <row r="2717" spans="1:5" x14ac:dyDescent="0.3">
      <c r="A2717" s="397"/>
      <c r="B2717" s="709">
        <v>102037</v>
      </c>
      <c r="C2717" s="710" t="s">
        <v>3319</v>
      </c>
      <c r="D2717" s="709" t="s">
        <v>168</v>
      </c>
      <c r="E2717" s="711">
        <v>0.51649999999999996</v>
      </c>
    </row>
    <row r="2718" spans="1:5" x14ac:dyDescent="0.3">
      <c r="A2718" s="397"/>
      <c r="B2718" s="709">
        <v>102016</v>
      </c>
      <c r="C2718" s="710" t="s">
        <v>3320</v>
      </c>
      <c r="D2718" s="709" t="s">
        <v>168</v>
      </c>
      <c r="E2718" s="711">
        <v>0.59640000000000004</v>
      </c>
    </row>
    <row r="2719" spans="1:5" x14ac:dyDescent="0.3">
      <c r="A2719" s="397"/>
      <c r="B2719" s="709">
        <v>102017</v>
      </c>
      <c r="C2719" s="710" t="s">
        <v>3321</v>
      </c>
      <c r="D2719" s="709" t="s">
        <v>168</v>
      </c>
      <c r="E2719" s="711">
        <v>0.53049999999999997</v>
      </c>
    </row>
    <row r="2720" spans="1:5" x14ac:dyDescent="0.3">
      <c r="A2720" s="397"/>
      <c r="B2720" s="709">
        <v>102014</v>
      </c>
      <c r="C2720" s="710" t="s">
        <v>3322</v>
      </c>
      <c r="D2720" s="709" t="s">
        <v>168</v>
      </c>
      <c r="E2720" s="711">
        <v>0.48049999999999998</v>
      </c>
    </row>
    <row r="2721" spans="1:5" x14ac:dyDescent="0.3">
      <c r="A2721" s="397"/>
      <c r="B2721" s="709">
        <v>102015</v>
      </c>
      <c r="C2721" s="710" t="s">
        <v>3323</v>
      </c>
      <c r="D2721" s="709" t="s">
        <v>168</v>
      </c>
      <c r="E2721" s="711">
        <v>0.45750000000000002</v>
      </c>
    </row>
    <row r="2722" spans="1:5" x14ac:dyDescent="0.3">
      <c r="A2722" s="397"/>
      <c r="B2722" s="709">
        <v>102013</v>
      </c>
      <c r="C2722" s="710" t="s">
        <v>3324</v>
      </c>
      <c r="D2722" s="709" t="s">
        <v>168</v>
      </c>
      <c r="E2722" s="711">
        <v>0.504</v>
      </c>
    </row>
    <row r="2723" spans="1:5" x14ac:dyDescent="0.3">
      <c r="A2723" s="397"/>
      <c r="B2723" s="709">
        <v>102011</v>
      </c>
      <c r="C2723" s="710" t="s">
        <v>3325</v>
      </c>
      <c r="D2723" s="709" t="s">
        <v>168</v>
      </c>
      <c r="E2723" s="711">
        <v>0.4778</v>
      </c>
    </row>
    <row r="2724" spans="1:5" x14ac:dyDescent="0.3">
      <c r="A2724" s="397"/>
      <c r="B2724" s="709">
        <v>102012</v>
      </c>
      <c r="C2724" s="710" t="s">
        <v>3326</v>
      </c>
      <c r="D2724" s="709" t="s">
        <v>168</v>
      </c>
      <c r="E2724" s="711">
        <v>0.49409999999999998</v>
      </c>
    </row>
    <row r="2725" spans="1:5" x14ac:dyDescent="0.3">
      <c r="A2725" s="397"/>
      <c r="B2725" s="709">
        <v>102009</v>
      </c>
      <c r="C2725" s="710" t="s">
        <v>3327</v>
      </c>
      <c r="D2725" s="709" t="s">
        <v>168</v>
      </c>
      <c r="E2725" s="711">
        <v>0.56879999999999997</v>
      </c>
    </row>
    <row r="2726" spans="1:5" x14ac:dyDescent="0.3">
      <c r="A2726" s="397"/>
      <c r="B2726" s="709">
        <v>102010</v>
      </c>
      <c r="C2726" s="710" t="s">
        <v>3328</v>
      </c>
      <c r="D2726" s="709" t="s">
        <v>168</v>
      </c>
      <c r="E2726" s="711">
        <v>0.49790000000000001</v>
      </c>
    </row>
    <row r="2727" spans="1:5" x14ac:dyDescent="0.3">
      <c r="A2727" s="397"/>
      <c r="B2727" s="709">
        <v>102007</v>
      </c>
      <c r="C2727" s="710" t="s">
        <v>3329</v>
      </c>
      <c r="D2727" s="709" t="s">
        <v>168</v>
      </c>
      <c r="E2727" s="711">
        <v>0.54579999999999995</v>
      </c>
    </row>
    <row r="2728" spans="1:5" x14ac:dyDescent="0.3">
      <c r="A2728" s="397"/>
      <c r="B2728" s="709">
        <v>102008</v>
      </c>
      <c r="C2728" s="710" t="s">
        <v>3330</v>
      </c>
      <c r="D2728" s="709" t="s">
        <v>168</v>
      </c>
      <c r="E2728" s="711">
        <v>0.51980000000000004</v>
      </c>
    </row>
    <row r="2729" spans="1:5" x14ac:dyDescent="0.3">
      <c r="A2729" s="397"/>
      <c r="B2729" s="709">
        <v>102006</v>
      </c>
      <c r="C2729" s="710" t="s">
        <v>3331</v>
      </c>
      <c r="D2729" s="709" t="s">
        <v>168</v>
      </c>
      <c r="E2729" s="711">
        <v>0.50829999999999997</v>
      </c>
    </row>
    <row r="2730" spans="1:5" x14ac:dyDescent="0.3">
      <c r="A2730" s="397"/>
      <c r="B2730" s="709">
        <v>102004</v>
      </c>
      <c r="C2730" s="710" t="s">
        <v>3332</v>
      </c>
      <c r="D2730" s="709" t="s">
        <v>168</v>
      </c>
      <c r="E2730" s="711">
        <v>0.47460000000000002</v>
      </c>
    </row>
    <row r="2731" spans="1:5" x14ac:dyDescent="0.3">
      <c r="A2731" s="397"/>
      <c r="B2731" s="709">
        <v>102005</v>
      </c>
      <c r="C2731" s="710" t="s">
        <v>3333</v>
      </c>
      <c r="D2731" s="709" t="s">
        <v>168</v>
      </c>
      <c r="E2731" s="711">
        <v>0.49320000000000003</v>
      </c>
    </row>
    <row r="2732" spans="1:5" x14ac:dyDescent="0.3">
      <c r="A2732" s="397"/>
      <c r="B2732" s="709">
        <v>102002</v>
      </c>
      <c r="C2732" s="710" t="s">
        <v>3334</v>
      </c>
      <c r="D2732" s="709" t="s">
        <v>168</v>
      </c>
      <c r="E2732" s="711">
        <v>0.57789999999999997</v>
      </c>
    </row>
    <row r="2733" spans="1:5" x14ac:dyDescent="0.3">
      <c r="A2733" s="397"/>
      <c r="B2733" s="709">
        <v>102003</v>
      </c>
      <c r="C2733" s="710" t="s">
        <v>3335</v>
      </c>
      <c r="D2733" s="709" t="s">
        <v>168</v>
      </c>
      <c r="E2733" s="711">
        <v>0.50819999999999999</v>
      </c>
    </row>
    <row r="2734" spans="1:5" x14ac:dyDescent="0.3">
      <c r="A2734" s="397"/>
      <c r="B2734" s="709">
        <v>102000</v>
      </c>
      <c r="C2734" s="710" t="s">
        <v>3336</v>
      </c>
      <c r="D2734" s="709" t="s">
        <v>168</v>
      </c>
      <c r="E2734" s="711">
        <v>0.51539999999999997</v>
      </c>
    </row>
    <row r="2735" spans="1:5" x14ac:dyDescent="0.3">
      <c r="A2735" s="397"/>
      <c r="B2735" s="709">
        <v>102001</v>
      </c>
      <c r="C2735" s="710" t="s">
        <v>3337</v>
      </c>
      <c r="D2735" s="709" t="s">
        <v>168</v>
      </c>
      <c r="E2735" s="711">
        <v>0.47920000000000001</v>
      </c>
    </row>
    <row r="2736" spans="1:5" x14ac:dyDescent="0.3">
      <c r="A2736" s="397"/>
      <c r="B2736" s="709">
        <v>101983</v>
      </c>
      <c r="C2736" s="710" t="s">
        <v>3338</v>
      </c>
      <c r="D2736" s="709" t="s">
        <v>168</v>
      </c>
      <c r="E2736" s="711">
        <v>0.4854</v>
      </c>
    </row>
    <row r="2737" spans="1:5" x14ac:dyDescent="0.3">
      <c r="A2737" s="397"/>
      <c r="B2737" s="709">
        <v>101981</v>
      </c>
      <c r="C2737" s="710" t="s">
        <v>3339</v>
      </c>
      <c r="D2737" s="709" t="s">
        <v>168</v>
      </c>
      <c r="E2737" s="711">
        <v>0.45850000000000002</v>
      </c>
    </row>
    <row r="2738" spans="1:5" x14ac:dyDescent="0.3">
      <c r="A2738" s="397"/>
      <c r="B2738" s="709">
        <v>101982</v>
      </c>
      <c r="C2738" s="710" t="s">
        <v>3340</v>
      </c>
      <c r="D2738" s="709" t="s">
        <v>168</v>
      </c>
      <c r="E2738" s="711">
        <v>0.47339999999999999</v>
      </c>
    </row>
    <row r="2739" spans="1:5" x14ac:dyDescent="0.3">
      <c r="A2739" s="397"/>
      <c r="B2739" s="709">
        <v>101977</v>
      </c>
      <c r="C2739" s="710" t="s">
        <v>3341</v>
      </c>
      <c r="D2739" s="709" t="s">
        <v>168</v>
      </c>
      <c r="E2739" s="711">
        <v>0.55449999999999999</v>
      </c>
    </row>
    <row r="2740" spans="1:5" x14ac:dyDescent="0.3">
      <c r="A2740" s="397"/>
      <c r="B2740" s="709">
        <v>101980</v>
      </c>
      <c r="C2740" s="710" t="s">
        <v>3342</v>
      </c>
      <c r="D2740" s="709" t="s">
        <v>168</v>
      </c>
      <c r="E2740" s="711">
        <v>0.47860000000000003</v>
      </c>
    </row>
    <row r="2741" spans="1:5" x14ac:dyDescent="0.3">
      <c r="A2741" s="397"/>
      <c r="B2741" s="709">
        <v>101974</v>
      </c>
      <c r="C2741" s="710" t="s">
        <v>3343</v>
      </c>
      <c r="D2741" s="709" t="s">
        <v>168</v>
      </c>
      <c r="E2741" s="711">
        <v>0.54310000000000003</v>
      </c>
    </row>
    <row r="2742" spans="1:5" x14ac:dyDescent="0.3">
      <c r="A2742" s="397"/>
      <c r="B2742" s="709">
        <v>101975</v>
      </c>
      <c r="C2742" s="710" t="s">
        <v>3344</v>
      </c>
      <c r="D2742" s="709" t="s">
        <v>168</v>
      </c>
      <c r="E2742" s="711">
        <v>0.51149999999999995</v>
      </c>
    </row>
    <row r="2743" spans="1:5" x14ac:dyDescent="0.3">
      <c r="A2743" s="397"/>
      <c r="B2743" s="709">
        <v>101114</v>
      </c>
      <c r="C2743" s="710" t="s">
        <v>3345</v>
      </c>
      <c r="D2743" s="709" t="s">
        <v>170</v>
      </c>
      <c r="E2743" s="711">
        <v>0.3992</v>
      </c>
    </row>
    <row r="2744" spans="1:5" x14ac:dyDescent="0.3">
      <c r="A2744" s="397"/>
      <c r="B2744" s="709">
        <v>101118</v>
      </c>
      <c r="C2744" s="710" t="s">
        <v>3346</v>
      </c>
      <c r="D2744" s="709" t="s">
        <v>170</v>
      </c>
      <c r="E2744" s="711">
        <v>0.37590000000000001</v>
      </c>
    </row>
    <row r="2745" spans="1:5" x14ac:dyDescent="0.3">
      <c r="A2745" s="397"/>
      <c r="B2745" s="709">
        <v>101115</v>
      </c>
      <c r="C2745" s="710" t="s">
        <v>3347</v>
      </c>
      <c r="D2745" s="709" t="s">
        <v>170</v>
      </c>
      <c r="E2745" s="711">
        <v>0.32740000000000002</v>
      </c>
    </row>
    <row r="2746" spans="1:5" x14ac:dyDescent="0.3">
      <c r="A2746" s="397"/>
      <c r="B2746" s="709">
        <v>101116</v>
      </c>
      <c r="C2746" s="710" t="s">
        <v>3348</v>
      </c>
      <c r="D2746" s="709" t="s">
        <v>170</v>
      </c>
      <c r="E2746" s="711">
        <v>0.32240000000000002</v>
      </c>
    </row>
    <row r="2747" spans="1:5" x14ac:dyDescent="0.3">
      <c r="A2747" s="397"/>
      <c r="B2747" s="709">
        <v>101117</v>
      </c>
      <c r="C2747" s="710" t="s">
        <v>3349</v>
      </c>
      <c r="D2747" s="709" t="s">
        <v>170</v>
      </c>
      <c r="E2747" s="711">
        <v>0.1391</v>
      </c>
    </row>
    <row r="2748" spans="1:5" x14ac:dyDescent="0.3">
      <c r="A2748" s="397"/>
      <c r="B2748" s="709">
        <v>101124</v>
      </c>
      <c r="C2748" s="710" t="s">
        <v>3350</v>
      </c>
      <c r="D2748" s="709" t="s">
        <v>170</v>
      </c>
      <c r="E2748" s="711">
        <v>0.24179999999999999</v>
      </c>
    </row>
    <row r="2749" spans="1:5" x14ac:dyDescent="0.3">
      <c r="A2749" s="397"/>
      <c r="B2749" s="709">
        <v>101128</v>
      </c>
      <c r="C2749" s="710" t="s">
        <v>3351</v>
      </c>
      <c r="D2749" s="709" t="s">
        <v>170</v>
      </c>
      <c r="E2749" s="711">
        <v>0.22819999999999999</v>
      </c>
    </row>
    <row r="2750" spans="1:5" x14ac:dyDescent="0.3">
      <c r="A2750" s="397"/>
      <c r="B2750" s="709">
        <v>101125</v>
      </c>
      <c r="C2750" s="710" t="s">
        <v>3352</v>
      </c>
      <c r="D2750" s="709" t="s">
        <v>170</v>
      </c>
      <c r="E2750" s="711">
        <v>0.21390000000000001</v>
      </c>
    </row>
    <row r="2751" spans="1:5" x14ac:dyDescent="0.3">
      <c r="A2751" s="397"/>
      <c r="B2751" s="709">
        <v>101126</v>
      </c>
      <c r="C2751" s="710" t="s">
        <v>3353</v>
      </c>
      <c r="D2751" s="709" t="s">
        <v>170</v>
      </c>
      <c r="E2751" s="711">
        <v>0.20030000000000001</v>
      </c>
    </row>
    <row r="2752" spans="1:5" x14ac:dyDescent="0.3">
      <c r="A2752" s="397"/>
      <c r="B2752" s="709">
        <v>101127</v>
      </c>
      <c r="C2752" s="710" t="s">
        <v>3354</v>
      </c>
      <c r="D2752" s="709" t="s">
        <v>170</v>
      </c>
      <c r="E2752" s="711">
        <v>0.16470000000000001</v>
      </c>
    </row>
    <row r="2753" spans="1:5" x14ac:dyDescent="0.3">
      <c r="A2753" s="397"/>
      <c r="B2753" s="709">
        <v>101134</v>
      </c>
      <c r="C2753" s="710" t="s">
        <v>3355</v>
      </c>
      <c r="D2753" s="709" t="s">
        <v>170</v>
      </c>
      <c r="E2753" s="711">
        <v>0.2359</v>
      </c>
    </row>
    <row r="2754" spans="1:5" x14ac:dyDescent="0.3">
      <c r="A2754" s="397"/>
      <c r="B2754" s="709">
        <v>101144</v>
      </c>
      <c r="C2754" s="710" t="s">
        <v>3356</v>
      </c>
      <c r="D2754" s="709" t="s">
        <v>170</v>
      </c>
      <c r="E2754" s="711">
        <v>0.218</v>
      </c>
    </row>
    <row r="2755" spans="1:5" x14ac:dyDescent="0.3">
      <c r="A2755" s="397"/>
      <c r="B2755" s="709">
        <v>101138</v>
      </c>
      <c r="C2755" s="710" t="s">
        <v>261</v>
      </c>
      <c r="D2755" s="709" t="s">
        <v>170</v>
      </c>
      <c r="E2755" s="711">
        <v>0.22270000000000001</v>
      </c>
    </row>
    <row r="2756" spans="1:5" x14ac:dyDescent="0.3">
      <c r="A2756" s="397"/>
      <c r="B2756" s="709">
        <v>101148</v>
      </c>
      <c r="C2756" s="710" t="s">
        <v>3357</v>
      </c>
      <c r="D2756" s="709" t="s">
        <v>170</v>
      </c>
      <c r="E2756" s="711">
        <v>0.2039</v>
      </c>
    </row>
    <row r="2757" spans="1:5" x14ac:dyDescent="0.3">
      <c r="A2757" s="397"/>
      <c r="B2757" s="709">
        <v>101135</v>
      </c>
      <c r="C2757" s="710" t="s">
        <v>3358</v>
      </c>
      <c r="D2757" s="709" t="s">
        <v>170</v>
      </c>
      <c r="E2757" s="711">
        <v>0.20910000000000001</v>
      </c>
    </row>
    <row r="2758" spans="1:5" x14ac:dyDescent="0.3">
      <c r="A2758" s="397"/>
      <c r="B2758" s="709">
        <v>101145</v>
      </c>
      <c r="C2758" s="710" t="s">
        <v>3359</v>
      </c>
      <c r="D2758" s="709" t="s">
        <v>170</v>
      </c>
      <c r="E2758" s="711">
        <v>0.19</v>
      </c>
    </row>
    <row r="2759" spans="1:5" x14ac:dyDescent="0.3">
      <c r="A2759" s="397"/>
      <c r="B2759" s="709">
        <v>101136</v>
      </c>
      <c r="C2759" s="710" t="s">
        <v>3360</v>
      </c>
      <c r="D2759" s="709" t="s">
        <v>170</v>
      </c>
      <c r="E2759" s="711">
        <v>0.19570000000000001</v>
      </c>
    </row>
    <row r="2760" spans="1:5" x14ac:dyDescent="0.3">
      <c r="A2760" s="397"/>
      <c r="B2760" s="709">
        <v>101146</v>
      </c>
      <c r="C2760" s="710" t="s">
        <v>3361</v>
      </c>
      <c r="D2760" s="709" t="s">
        <v>170</v>
      </c>
      <c r="E2760" s="711">
        <v>0.1744</v>
      </c>
    </row>
    <row r="2761" spans="1:5" x14ac:dyDescent="0.3">
      <c r="A2761" s="397"/>
      <c r="B2761" s="709">
        <v>101137</v>
      </c>
      <c r="C2761" s="710" t="s">
        <v>3362</v>
      </c>
      <c r="D2761" s="709" t="s">
        <v>170</v>
      </c>
      <c r="E2761" s="711">
        <v>0.16220000000000001</v>
      </c>
    </row>
    <row r="2762" spans="1:5" x14ac:dyDescent="0.3">
      <c r="A2762" s="397"/>
      <c r="B2762" s="709">
        <v>101147</v>
      </c>
      <c r="C2762" s="710" t="s">
        <v>3363</v>
      </c>
      <c r="D2762" s="709" t="s">
        <v>170</v>
      </c>
      <c r="E2762" s="711">
        <v>0.14180000000000001</v>
      </c>
    </row>
    <row r="2763" spans="1:5" x14ac:dyDescent="0.3">
      <c r="A2763" s="397"/>
      <c r="B2763" s="709">
        <v>101119</v>
      </c>
      <c r="C2763" s="710" t="s">
        <v>3364</v>
      </c>
      <c r="D2763" s="709" t="s">
        <v>170</v>
      </c>
      <c r="E2763" s="711">
        <v>0.39910000000000001</v>
      </c>
    </row>
    <row r="2764" spans="1:5" x14ac:dyDescent="0.3">
      <c r="A2764" s="397"/>
      <c r="B2764" s="709">
        <v>101123</v>
      </c>
      <c r="C2764" s="710" t="s">
        <v>3365</v>
      </c>
      <c r="D2764" s="709" t="s">
        <v>170</v>
      </c>
      <c r="E2764" s="711">
        <v>0.37609999999999999</v>
      </c>
    </row>
    <row r="2765" spans="1:5" x14ac:dyDescent="0.3">
      <c r="A2765" s="397"/>
      <c r="B2765" s="709">
        <v>101120</v>
      </c>
      <c r="C2765" s="710" t="s">
        <v>3366</v>
      </c>
      <c r="D2765" s="709" t="s">
        <v>170</v>
      </c>
      <c r="E2765" s="711">
        <v>0.32890000000000003</v>
      </c>
    </row>
    <row r="2766" spans="1:5" x14ac:dyDescent="0.3">
      <c r="A2766" s="397"/>
      <c r="B2766" s="709">
        <v>101121</v>
      </c>
      <c r="C2766" s="710" t="s">
        <v>3367</v>
      </c>
      <c r="D2766" s="709" t="s">
        <v>170</v>
      </c>
      <c r="E2766" s="711">
        <v>0.32140000000000002</v>
      </c>
    </row>
    <row r="2767" spans="1:5" x14ac:dyDescent="0.3">
      <c r="A2767" s="397"/>
      <c r="B2767" s="709">
        <v>101122</v>
      </c>
      <c r="C2767" s="710" t="s">
        <v>3368</v>
      </c>
      <c r="D2767" s="709" t="s">
        <v>170</v>
      </c>
      <c r="E2767" s="711">
        <v>0.13980000000000001</v>
      </c>
    </row>
    <row r="2768" spans="1:5" x14ac:dyDescent="0.3">
      <c r="A2768" s="397"/>
      <c r="B2768" s="709">
        <v>101129</v>
      </c>
      <c r="C2768" s="710" t="s">
        <v>3369</v>
      </c>
      <c r="D2768" s="709" t="s">
        <v>170</v>
      </c>
      <c r="E2768" s="711">
        <v>0.27379999999999999</v>
      </c>
    </row>
    <row r="2769" spans="1:5" x14ac:dyDescent="0.3">
      <c r="A2769" s="397"/>
      <c r="B2769" s="709">
        <v>101133</v>
      </c>
      <c r="C2769" s="710" t="s">
        <v>3370</v>
      </c>
      <c r="D2769" s="709" t="s">
        <v>170</v>
      </c>
      <c r="E2769" s="711">
        <v>0.25600000000000001</v>
      </c>
    </row>
    <row r="2770" spans="1:5" x14ac:dyDescent="0.3">
      <c r="A2770" s="397"/>
      <c r="B2770" s="709">
        <v>101130</v>
      </c>
      <c r="C2770" s="710" t="s">
        <v>3371</v>
      </c>
      <c r="D2770" s="709" t="s">
        <v>170</v>
      </c>
      <c r="E2770" s="711">
        <v>0.23569999999999999</v>
      </c>
    </row>
    <row r="2771" spans="1:5" x14ac:dyDescent="0.3">
      <c r="A2771" s="397"/>
      <c r="B2771" s="709">
        <v>101131</v>
      </c>
      <c r="C2771" s="710" t="s">
        <v>3372</v>
      </c>
      <c r="D2771" s="709" t="s">
        <v>170</v>
      </c>
      <c r="E2771" s="711">
        <v>0.21690000000000001</v>
      </c>
    </row>
    <row r="2772" spans="1:5" x14ac:dyDescent="0.3">
      <c r="A2772" s="397"/>
      <c r="B2772" s="709">
        <v>101132</v>
      </c>
      <c r="C2772" s="710" t="s">
        <v>3373</v>
      </c>
      <c r="D2772" s="709" t="s">
        <v>170</v>
      </c>
      <c r="E2772" s="711">
        <v>0.16089999999999999</v>
      </c>
    </row>
    <row r="2773" spans="1:5" x14ac:dyDescent="0.3">
      <c r="A2773" s="397"/>
      <c r="B2773" s="709">
        <v>101139</v>
      </c>
      <c r="C2773" s="710" t="s">
        <v>3374</v>
      </c>
      <c r="D2773" s="709" t="s">
        <v>170</v>
      </c>
      <c r="E2773" s="711">
        <v>0.26769999999999999</v>
      </c>
    </row>
    <row r="2774" spans="1:5" x14ac:dyDescent="0.3">
      <c r="A2774" s="397"/>
      <c r="B2774" s="709">
        <v>101149</v>
      </c>
      <c r="C2774" s="710" t="s">
        <v>3375</v>
      </c>
      <c r="D2774" s="709" t="s">
        <v>170</v>
      </c>
      <c r="E2774" s="711">
        <v>0.25330000000000003</v>
      </c>
    </row>
    <row r="2775" spans="1:5" x14ac:dyDescent="0.3">
      <c r="A2775" s="397"/>
      <c r="B2775" s="709">
        <v>101143</v>
      </c>
      <c r="C2775" s="710" t="s">
        <v>3376</v>
      </c>
      <c r="D2775" s="709" t="s">
        <v>170</v>
      </c>
      <c r="E2775" s="711">
        <v>0.25030000000000002</v>
      </c>
    </row>
    <row r="2776" spans="1:5" x14ac:dyDescent="0.3">
      <c r="A2776" s="397"/>
      <c r="B2776" s="709">
        <v>101153</v>
      </c>
      <c r="C2776" s="710" t="s">
        <v>3377</v>
      </c>
      <c r="D2776" s="709" t="s">
        <v>170</v>
      </c>
      <c r="E2776" s="711">
        <v>0.23480000000000001</v>
      </c>
    </row>
    <row r="2777" spans="1:5" x14ac:dyDescent="0.3">
      <c r="A2777" s="397"/>
      <c r="B2777" s="709">
        <v>101140</v>
      </c>
      <c r="C2777" s="710" t="s">
        <v>3378</v>
      </c>
      <c r="D2777" s="709" t="s">
        <v>170</v>
      </c>
      <c r="E2777" s="711">
        <v>0.23069999999999999</v>
      </c>
    </row>
    <row r="2778" spans="1:5" x14ac:dyDescent="0.3">
      <c r="A2778" s="397"/>
      <c r="B2778" s="709">
        <v>101150</v>
      </c>
      <c r="C2778" s="710" t="s">
        <v>3379</v>
      </c>
      <c r="D2778" s="709" t="s">
        <v>170</v>
      </c>
      <c r="E2778" s="711">
        <v>0.21479999999999999</v>
      </c>
    </row>
    <row r="2779" spans="1:5" x14ac:dyDescent="0.3">
      <c r="A2779" s="397"/>
      <c r="B2779" s="709">
        <v>101141</v>
      </c>
      <c r="C2779" s="710" t="s">
        <v>3380</v>
      </c>
      <c r="D2779" s="709" t="s">
        <v>170</v>
      </c>
      <c r="E2779" s="711">
        <v>0.21190000000000001</v>
      </c>
    </row>
    <row r="2780" spans="1:5" x14ac:dyDescent="0.3">
      <c r="A2780" s="397"/>
      <c r="B2780" s="709">
        <v>101151</v>
      </c>
      <c r="C2780" s="710" t="s">
        <v>3381</v>
      </c>
      <c r="D2780" s="709" t="s">
        <v>170</v>
      </c>
      <c r="E2780" s="711">
        <v>0.19309999999999999</v>
      </c>
    </row>
    <row r="2781" spans="1:5" x14ac:dyDescent="0.3">
      <c r="A2781" s="397"/>
      <c r="B2781" s="709">
        <v>101142</v>
      </c>
      <c r="C2781" s="710" t="s">
        <v>3382</v>
      </c>
      <c r="D2781" s="709" t="s">
        <v>170</v>
      </c>
      <c r="E2781" s="711">
        <v>0.1588</v>
      </c>
    </row>
    <row r="2782" spans="1:5" x14ac:dyDescent="0.3">
      <c r="A2782" s="397"/>
      <c r="B2782" s="709">
        <v>101152</v>
      </c>
      <c r="C2782" s="710" t="s">
        <v>3383</v>
      </c>
      <c r="D2782" s="709" t="s">
        <v>170</v>
      </c>
      <c r="E2782" s="711">
        <v>0.14130000000000001</v>
      </c>
    </row>
    <row r="2783" spans="1:5" x14ac:dyDescent="0.3">
      <c r="A2783" s="397"/>
      <c r="B2783" s="709">
        <v>101207</v>
      </c>
      <c r="C2783" s="710" t="s">
        <v>3384</v>
      </c>
      <c r="D2783" s="709" t="s">
        <v>170</v>
      </c>
      <c r="E2783" s="711">
        <v>0.12959999999999999</v>
      </c>
    </row>
    <row r="2784" spans="1:5" x14ac:dyDescent="0.3">
      <c r="A2784" s="397"/>
      <c r="B2784" s="709">
        <v>101206</v>
      </c>
      <c r="C2784" s="710" t="s">
        <v>3385</v>
      </c>
      <c r="D2784" s="709" t="s">
        <v>170</v>
      </c>
      <c r="E2784" s="711">
        <v>0.15029999999999999</v>
      </c>
    </row>
    <row r="2785" spans="1:5" x14ac:dyDescent="0.3">
      <c r="A2785" s="397"/>
      <c r="B2785" s="709">
        <v>101210</v>
      </c>
      <c r="C2785" s="710" t="s">
        <v>3386</v>
      </c>
      <c r="D2785" s="709" t="s">
        <v>170</v>
      </c>
      <c r="E2785" s="711">
        <v>0.1229</v>
      </c>
    </row>
    <row r="2786" spans="1:5" x14ac:dyDescent="0.3">
      <c r="A2786" s="397"/>
      <c r="B2786" s="709">
        <v>101211</v>
      </c>
      <c r="C2786" s="710" t="s">
        <v>3387</v>
      </c>
      <c r="D2786" s="709" t="s">
        <v>170</v>
      </c>
      <c r="E2786" s="711">
        <v>0.1197</v>
      </c>
    </row>
    <row r="2787" spans="1:5" x14ac:dyDescent="0.3">
      <c r="A2787" s="397"/>
      <c r="B2787" s="709">
        <v>101215</v>
      </c>
      <c r="C2787" s="710" t="s">
        <v>3388</v>
      </c>
      <c r="D2787" s="709" t="s">
        <v>170</v>
      </c>
      <c r="E2787" s="711">
        <v>0.12529999999999999</v>
      </c>
    </row>
    <row r="2788" spans="1:5" x14ac:dyDescent="0.3">
      <c r="A2788" s="397"/>
      <c r="B2788" s="709">
        <v>101216</v>
      </c>
      <c r="C2788" s="710" t="s">
        <v>3389</v>
      </c>
      <c r="D2788" s="709" t="s">
        <v>170</v>
      </c>
      <c r="E2788" s="711">
        <v>0.1195</v>
      </c>
    </row>
    <row r="2789" spans="1:5" x14ac:dyDescent="0.3">
      <c r="A2789" s="397"/>
      <c r="B2789" s="709">
        <v>101212</v>
      </c>
      <c r="C2789" s="710" t="s">
        <v>3390</v>
      </c>
      <c r="D2789" s="709" t="s">
        <v>170</v>
      </c>
      <c r="E2789" s="711">
        <v>0.1193</v>
      </c>
    </row>
    <row r="2790" spans="1:5" x14ac:dyDescent="0.3">
      <c r="A2790" s="397"/>
      <c r="B2790" s="709">
        <v>101217</v>
      </c>
      <c r="C2790" s="710" t="s">
        <v>3391</v>
      </c>
      <c r="D2790" s="709" t="s">
        <v>170</v>
      </c>
      <c r="E2790" s="711">
        <v>0.1196</v>
      </c>
    </row>
    <row r="2791" spans="1:5" x14ac:dyDescent="0.3">
      <c r="A2791" s="397"/>
      <c r="B2791" s="709">
        <v>101218</v>
      </c>
      <c r="C2791" s="710" t="s">
        <v>3392</v>
      </c>
      <c r="D2791" s="709" t="s">
        <v>170</v>
      </c>
      <c r="E2791" s="711">
        <v>0.11310000000000001</v>
      </c>
    </row>
    <row r="2792" spans="1:5" x14ac:dyDescent="0.3">
      <c r="A2792" s="397"/>
      <c r="B2792" s="709">
        <v>101213</v>
      </c>
      <c r="C2792" s="710" t="s">
        <v>3393</v>
      </c>
      <c r="D2792" s="709" t="s">
        <v>170</v>
      </c>
      <c r="E2792" s="711">
        <v>0.1221</v>
      </c>
    </row>
    <row r="2793" spans="1:5" x14ac:dyDescent="0.3">
      <c r="A2793" s="397"/>
      <c r="B2793" s="709">
        <v>101219</v>
      </c>
      <c r="C2793" s="710" t="s">
        <v>3394</v>
      </c>
      <c r="D2793" s="709" t="s">
        <v>170</v>
      </c>
      <c r="E2793" s="711">
        <v>0.1065</v>
      </c>
    </row>
    <row r="2794" spans="1:5" x14ac:dyDescent="0.3">
      <c r="A2794" s="397"/>
      <c r="B2794" s="709">
        <v>101214</v>
      </c>
      <c r="C2794" s="710" t="s">
        <v>3395</v>
      </c>
      <c r="D2794" s="709" t="s">
        <v>170</v>
      </c>
      <c r="E2794" s="711">
        <v>0.1138</v>
      </c>
    </row>
    <row r="2795" spans="1:5" x14ac:dyDescent="0.3">
      <c r="A2795" s="397"/>
      <c r="B2795" s="709">
        <v>101254</v>
      </c>
      <c r="C2795" s="710" t="s">
        <v>3396</v>
      </c>
      <c r="D2795" s="709" t="s">
        <v>170</v>
      </c>
      <c r="E2795" s="711">
        <v>0.16489999999999999</v>
      </c>
    </row>
    <row r="2796" spans="1:5" x14ac:dyDescent="0.3">
      <c r="A2796" s="397"/>
      <c r="B2796" s="709">
        <v>101256</v>
      </c>
      <c r="C2796" s="710" t="s">
        <v>3397</v>
      </c>
      <c r="D2796" s="709" t="s">
        <v>170</v>
      </c>
      <c r="E2796" s="711">
        <v>0.14910000000000001</v>
      </c>
    </row>
    <row r="2797" spans="1:5" x14ac:dyDescent="0.3">
      <c r="A2797" s="397"/>
      <c r="B2797" s="709">
        <v>101257</v>
      </c>
      <c r="C2797" s="710" t="s">
        <v>3398</v>
      </c>
      <c r="D2797" s="709" t="s">
        <v>170</v>
      </c>
      <c r="E2797" s="711">
        <v>0.1414</v>
      </c>
    </row>
    <row r="2798" spans="1:5" x14ac:dyDescent="0.3">
      <c r="A2798" s="397"/>
      <c r="B2798" s="709">
        <v>101258</v>
      </c>
      <c r="C2798" s="710" t="s">
        <v>3399</v>
      </c>
      <c r="D2798" s="709" t="s">
        <v>170</v>
      </c>
      <c r="E2798" s="711">
        <v>0.13900000000000001</v>
      </c>
    </row>
    <row r="2799" spans="1:5" x14ac:dyDescent="0.3">
      <c r="A2799" s="397"/>
      <c r="B2799" s="709">
        <v>101259</v>
      </c>
      <c r="C2799" s="710" t="s">
        <v>3400</v>
      </c>
      <c r="D2799" s="709" t="s">
        <v>170</v>
      </c>
      <c r="E2799" s="711">
        <v>0.14050000000000001</v>
      </c>
    </row>
    <row r="2800" spans="1:5" x14ac:dyDescent="0.3">
      <c r="A2800" s="397"/>
      <c r="B2800" s="709">
        <v>101260</v>
      </c>
      <c r="C2800" s="710" t="s">
        <v>3401</v>
      </c>
      <c r="D2800" s="709" t="s">
        <v>170</v>
      </c>
      <c r="E2800" s="711">
        <v>0.13730000000000001</v>
      </c>
    </row>
    <row r="2801" spans="1:5" x14ac:dyDescent="0.3">
      <c r="A2801" s="397"/>
      <c r="B2801" s="709">
        <v>101208</v>
      </c>
      <c r="C2801" s="710" t="s">
        <v>3402</v>
      </c>
      <c r="D2801" s="709" t="s">
        <v>170</v>
      </c>
      <c r="E2801" s="711">
        <v>0.13339999999999999</v>
      </c>
    </row>
    <row r="2802" spans="1:5" x14ac:dyDescent="0.3">
      <c r="A2802" s="397"/>
      <c r="B2802" s="709">
        <v>101209</v>
      </c>
      <c r="C2802" s="710" t="s">
        <v>3403</v>
      </c>
      <c r="D2802" s="709" t="s">
        <v>170</v>
      </c>
      <c r="E2802" s="711">
        <v>0.13020000000000001</v>
      </c>
    </row>
    <row r="2803" spans="1:5" x14ac:dyDescent="0.3">
      <c r="A2803" s="397"/>
      <c r="B2803" s="709">
        <v>101220</v>
      </c>
      <c r="C2803" s="710" t="s">
        <v>3404</v>
      </c>
      <c r="D2803" s="709" t="s">
        <v>170</v>
      </c>
      <c r="E2803" s="711">
        <v>0.1196</v>
      </c>
    </row>
    <row r="2804" spans="1:5" x14ac:dyDescent="0.3">
      <c r="A2804" s="397"/>
      <c r="B2804" s="709">
        <v>101221</v>
      </c>
      <c r="C2804" s="710" t="s">
        <v>3405</v>
      </c>
      <c r="D2804" s="709" t="s">
        <v>170</v>
      </c>
      <c r="E2804" s="711">
        <v>0.1132</v>
      </c>
    </row>
    <row r="2805" spans="1:5" x14ac:dyDescent="0.3">
      <c r="A2805" s="397"/>
      <c r="B2805" s="709">
        <v>101225</v>
      </c>
      <c r="C2805" s="710" t="s">
        <v>3406</v>
      </c>
      <c r="D2805" s="709" t="s">
        <v>170</v>
      </c>
      <c r="E2805" s="711">
        <v>0.11799999999999999</v>
      </c>
    </row>
    <row r="2806" spans="1:5" x14ac:dyDescent="0.3">
      <c r="A2806" s="397"/>
      <c r="B2806" s="709">
        <v>101226</v>
      </c>
      <c r="C2806" s="710" t="s">
        <v>3407</v>
      </c>
      <c r="D2806" s="709" t="s">
        <v>170</v>
      </c>
      <c r="E2806" s="711">
        <v>0.1114</v>
      </c>
    </row>
    <row r="2807" spans="1:5" x14ac:dyDescent="0.3">
      <c r="A2807" s="397"/>
      <c r="B2807" s="709">
        <v>101222</v>
      </c>
      <c r="C2807" s="710" t="s">
        <v>3408</v>
      </c>
      <c r="D2807" s="709" t="s">
        <v>170</v>
      </c>
      <c r="E2807" s="711">
        <v>0.1111</v>
      </c>
    </row>
    <row r="2808" spans="1:5" x14ac:dyDescent="0.3">
      <c r="A2808" s="397"/>
      <c r="B2808" s="709">
        <v>101227</v>
      </c>
      <c r="C2808" s="710" t="s">
        <v>3409</v>
      </c>
      <c r="D2808" s="709" t="s">
        <v>170</v>
      </c>
      <c r="E2808" s="711">
        <v>0.1101</v>
      </c>
    </row>
    <row r="2809" spans="1:5" x14ac:dyDescent="0.3">
      <c r="A2809" s="397"/>
      <c r="B2809" s="709">
        <v>101228</v>
      </c>
      <c r="C2809" s="710" t="s">
        <v>3410</v>
      </c>
      <c r="D2809" s="709" t="s">
        <v>170</v>
      </c>
      <c r="E2809" s="711">
        <v>0.1037</v>
      </c>
    </row>
    <row r="2810" spans="1:5" x14ac:dyDescent="0.3">
      <c r="A2810" s="397"/>
      <c r="B2810" s="709">
        <v>101223</v>
      </c>
      <c r="C2810" s="710" t="s">
        <v>3411</v>
      </c>
      <c r="D2810" s="709" t="s">
        <v>170</v>
      </c>
      <c r="E2810" s="711">
        <v>0.1125</v>
      </c>
    </row>
    <row r="2811" spans="1:5" x14ac:dyDescent="0.3">
      <c r="A2811" s="397"/>
      <c r="B2811" s="709">
        <v>101229</v>
      </c>
      <c r="C2811" s="710" t="s">
        <v>3412</v>
      </c>
      <c r="D2811" s="709" t="s">
        <v>170</v>
      </c>
      <c r="E2811" s="711">
        <v>0.1023</v>
      </c>
    </row>
    <row r="2812" spans="1:5" x14ac:dyDescent="0.3">
      <c r="A2812" s="397"/>
      <c r="B2812" s="709">
        <v>101224</v>
      </c>
      <c r="C2812" s="710" t="s">
        <v>3413</v>
      </c>
      <c r="D2812" s="709" t="s">
        <v>170</v>
      </c>
      <c r="E2812" s="711">
        <v>0.10929999999999999</v>
      </c>
    </row>
    <row r="2813" spans="1:5" x14ac:dyDescent="0.3">
      <c r="A2813" s="397"/>
      <c r="B2813" s="709">
        <v>101265</v>
      </c>
      <c r="C2813" s="710" t="s">
        <v>3414</v>
      </c>
      <c r="D2813" s="709" t="s">
        <v>170</v>
      </c>
      <c r="E2813" s="711">
        <v>0.126</v>
      </c>
    </row>
    <row r="2814" spans="1:5" x14ac:dyDescent="0.3">
      <c r="A2814" s="397"/>
      <c r="B2814" s="709">
        <v>101255</v>
      </c>
      <c r="C2814" s="710" t="s">
        <v>3415</v>
      </c>
      <c r="D2814" s="709" t="s">
        <v>170</v>
      </c>
      <c r="E2814" s="711">
        <v>0.1477</v>
      </c>
    </row>
    <row r="2815" spans="1:5" x14ac:dyDescent="0.3">
      <c r="A2815" s="397"/>
      <c r="B2815" s="709">
        <v>101261</v>
      </c>
      <c r="C2815" s="710" t="s">
        <v>3416</v>
      </c>
      <c r="D2815" s="709" t="s">
        <v>170</v>
      </c>
      <c r="E2815" s="711">
        <v>0.14180000000000001</v>
      </c>
    </row>
    <row r="2816" spans="1:5" x14ac:dyDescent="0.3">
      <c r="A2816" s="397"/>
      <c r="B2816" s="709">
        <v>101262</v>
      </c>
      <c r="C2816" s="710" t="s">
        <v>3417</v>
      </c>
      <c r="D2816" s="709" t="s">
        <v>170</v>
      </c>
      <c r="E2816" s="711">
        <v>0.1343</v>
      </c>
    </row>
    <row r="2817" spans="1:5" x14ac:dyDescent="0.3">
      <c r="A2817" s="397"/>
      <c r="B2817" s="709">
        <v>101263</v>
      </c>
      <c r="C2817" s="710" t="s">
        <v>3418</v>
      </c>
      <c r="D2817" s="709" t="s">
        <v>170</v>
      </c>
      <c r="E2817" s="711">
        <v>0.13070000000000001</v>
      </c>
    </row>
    <row r="2818" spans="1:5" x14ac:dyDescent="0.3">
      <c r="A2818" s="397"/>
      <c r="B2818" s="709">
        <v>101264</v>
      </c>
      <c r="C2818" s="710" t="s">
        <v>3419</v>
      </c>
      <c r="D2818" s="709" t="s">
        <v>170</v>
      </c>
      <c r="E2818" s="711">
        <v>0.13100000000000001</v>
      </c>
    </row>
    <row r="2819" spans="1:5" x14ac:dyDescent="0.3">
      <c r="A2819" s="397"/>
      <c r="B2819" s="709">
        <v>101230</v>
      </c>
      <c r="C2819" s="710" t="s">
        <v>3420</v>
      </c>
      <c r="D2819" s="709" t="s">
        <v>170</v>
      </c>
      <c r="E2819" s="711">
        <v>0.14330000000000001</v>
      </c>
    </row>
    <row r="2820" spans="1:5" x14ac:dyDescent="0.3">
      <c r="A2820" s="397"/>
      <c r="B2820" s="709">
        <v>101231</v>
      </c>
      <c r="C2820" s="710" t="s">
        <v>3421</v>
      </c>
      <c r="D2820" s="709" t="s">
        <v>170</v>
      </c>
      <c r="E2820" s="711">
        <v>0.13830000000000001</v>
      </c>
    </row>
    <row r="2821" spans="1:5" x14ac:dyDescent="0.3">
      <c r="A2821" s="397"/>
      <c r="B2821" s="709">
        <v>101272</v>
      </c>
      <c r="C2821" s="710" t="s">
        <v>3422</v>
      </c>
      <c r="D2821" s="709" t="s">
        <v>170</v>
      </c>
      <c r="E2821" s="711">
        <v>0.13220000000000001</v>
      </c>
    </row>
    <row r="2822" spans="1:5" x14ac:dyDescent="0.3">
      <c r="A2822" s="397"/>
      <c r="B2822" s="709">
        <v>101266</v>
      </c>
      <c r="C2822" s="710" t="s">
        <v>3423</v>
      </c>
      <c r="D2822" s="709" t="s">
        <v>170</v>
      </c>
      <c r="E2822" s="711">
        <v>0.15659999999999999</v>
      </c>
    </row>
    <row r="2823" spans="1:5" x14ac:dyDescent="0.3">
      <c r="A2823" s="397"/>
      <c r="B2823" s="709">
        <v>101239</v>
      </c>
      <c r="C2823" s="710" t="s">
        <v>3424</v>
      </c>
      <c r="D2823" s="709" t="s">
        <v>170</v>
      </c>
      <c r="E2823" s="711">
        <v>0.1158</v>
      </c>
    </row>
    <row r="2824" spans="1:5" x14ac:dyDescent="0.3">
      <c r="A2824" s="397"/>
      <c r="B2824" s="709">
        <v>101240</v>
      </c>
      <c r="C2824" s="710" t="s">
        <v>3425</v>
      </c>
      <c r="D2824" s="709" t="s">
        <v>170</v>
      </c>
      <c r="E2824" s="711">
        <v>0.10979999999999999</v>
      </c>
    </row>
    <row r="2825" spans="1:5" x14ac:dyDescent="0.3">
      <c r="A2825" s="397"/>
      <c r="B2825" s="709">
        <v>101268</v>
      </c>
      <c r="C2825" s="710" t="s">
        <v>3426</v>
      </c>
      <c r="D2825" s="709" t="s">
        <v>170</v>
      </c>
      <c r="E2825" s="711">
        <v>0.13819999999999999</v>
      </c>
    </row>
    <row r="2826" spans="1:5" x14ac:dyDescent="0.3">
      <c r="A2826" s="397"/>
      <c r="B2826" s="709">
        <v>101234</v>
      </c>
      <c r="C2826" s="710" t="s">
        <v>3427</v>
      </c>
      <c r="D2826" s="709" t="s">
        <v>170</v>
      </c>
      <c r="E2826" s="711">
        <v>0.12859999999999999</v>
      </c>
    </row>
    <row r="2827" spans="1:5" x14ac:dyDescent="0.3">
      <c r="A2827" s="397"/>
      <c r="B2827" s="709">
        <v>101235</v>
      </c>
      <c r="C2827" s="710" t="s">
        <v>3428</v>
      </c>
      <c r="D2827" s="709" t="s">
        <v>170</v>
      </c>
      <c r="E2827" s="711">
        <v>0.1212</v>
      </c>
    </row>
    <row r="2828" spans="1:5" x14ac:dyDescent="0.3">
      <c r="A2828" s="397"/>
      <c r="B2828" s="709">
        <v>101241</v>
      </c>
      <c r="C2828" s="710" t="s">
        <v>3429</v>
      </c>
      <c r="D2828" s="709" t="s">
        <v>170</v>
      </c>
      <c r="E2828" s="711">
        <v>0.10979999999999999</v>
      </c>
    </row>
    <row r="2829" spans="1:5" x14ac:dyDescent="0.3">
      <c r="A2829" s="397"/>
      <c r="B2829" s="709">
        <v>101269</v>
      </c>
      <c r="C2829" s="710" t="s">
        <v>3430</v>
      </c>
      <c r="D2829" s="709" t="s">
        <v>170</v>
      </c>
      <c r="E2829" s="711">
        <v>0.14119999999999999</v>
      </c>
    </row>
    <row r="2830" spans="1:5" x14ac:dyDescent="0.3">
      <c r="A2830" s="397"/>
      <c r="B2830" s="709">
        <v>101236</v>
      </c>
      <c r="C2830" s="710" t="s">
        <v>3431</v>
      </c>
      <c r="D2830" s="709" t="s">
        <v>170</v>
      </c>
      <c r="E2830" s="711">
        <v>0.11940000000000001</v>
      </c>
    </row>
    <row r="2831" spans="1:5" x14ac:dyDescent="0.3">
      <c r="A2831" s="397"/>
      <c r="B2831" s="709">
        <v>101237</v>
      </c>
      <c r="C2831" s="710" t="s">
        <v>3432</v>
      </c>
      <c r="D2831" s="709" t="s">
        <v>170</v>
      </c>
      <c r="E2831" s="711">
        <v>0.1125</v>
      </c>
    </row>
    <row r="2832" spans="1:5" x14ac:dyDescent="0.3">
      <c r="A2832" s="397"/>
      <c r="B2832" s="709">
        <v>101242</v>
      </c>
      <c r="C2832" s="710" t="s">
        <v>3433</v>
      </c>
      <c r="D2832" s="709" t="s">
        <v>170</v>
      </c>
      <c r="E2832" s="711">
        <v>0.1124</v>
      </c>
    </row>
    <row r="2833" spans="1:5" x14ac:dyDescent="0.3">
      <c r="A2833" s="397"/>
      <c r="B2833" s="709">
        <v>101270</v>
      </c>
      <c r="C2833" s="710" t="s">
        <v>3434</v>
      </c>
      <c r="D2833" s="709" t="s">
        <v>170</v>
      </c>
      <c r="E2833" s="711">
        <v>0.13750000000000001</v>
      </c>
    </row>
    <row r="2834" spans="1:5" x14ac:dyDescent="0.3">
      <c r="A2834" s="397"/>
      <c r="B2834" s="709">
        <v>101243</v>
      </c>
      <c r="C2834" s="710" t="s">
        <v>3435</v>
      </c>
      <c r="D2834" s="709" t="s">
        <v>170</v>
      </c>
      <c r="E2834" s="711">
        <v>0.1041</v>
      </c>
    </row>
    <row r="2835" spans="1:5" x14ac:dyDescent="0.3">
      <c r="A2835" s="397"/>
      <c r="B2835" s="709">
        <v>101271</v>
      </c>
      <c r="C2835" s="710" t="s">
        <v>3436</v>
      </c>
      <c r="D2835" s="709" t="s">
        <v>170</v>
      </c>
      <c r="E2835" s="711">
        <v>0.1376</v>
      </c>
    </row>
    <row r="2836" spans="1:5" x14ac:dyDescent="0.3">
      <c r="A2836" s="397"/>
      <c r="B2836" s="709">
        <v>101238</v>
      </c>
      <c r="C2836" s="710" t="s">
        <v>3437</v>
      </c>
      <c r="D2836" s="709" t="s">
        <v>170</v>
      </c>
      <c r="E2836" s="711">
        <v>0.111</v>
      </c>
    </row>
    <row r="2837" spans="1:5" x14ac:dyDescent="0.3">
      <c r="A2837" s="397"/>
      <c r="B2837" s="709">
        <v>101232</v>
      </c>
      <c r="C2837" s="710" t="s">
        <v>3438</v>
      </c>
      <c r="D2837" s="709" t="s">
        <v>170</v>
      </c>
      <c r="E2837" s="711">
        <v>0.127</v>
      </c>
    </row>
    <row r="2838" spans="1:5" x14ac:dyDescent="0.3">
      <c r="A2838" s="397"/>
      <c r="B2838" s="709">
        <v>101233</v>
      </c>
      <c r="C2838" s="710" t="s">
        <v>3439</v>
      </c>
      <c r="D2838" s="709" t="s">
        <v>170</v>
      </c>
      <c r="E2838" s="711">
        <v>0.1229</v>
      </c>
    </row>
    <row r="2839" spans="1:5" x14ac:dyDescent="0.3">
      <c r="A2839" s="397"/>
      <c r="B2839" s="709">
        <v>101248</v>
      </c>
      <c r="C2839" s="710" t="s">
        <v>3440</v>
      </c>
      <c r="D2839" s="709" t="s">
        <v>170</v>
      </c>
      <c r="E2839" s="711">
        <v>0.1055</v>
      </c>
    </row>
    <row r="2840" spans="1:5" x14ac:dyDescent="0.3">
      <c r="A2840" s="397"/>
      <c r="B2840" s="709">
        <v>101277</v>
      </c>
      <c r="C2840" s="710" t="s">
        <v>3441</v>
      </c>
      <c r="D2840" s="709" t="s">
        <v>170</v>
      </c>
      <c r="E2840" s="711">
        <v>0.12740000000000001</v>
      </c>
    </row>
    <row r="2841" spans="1:5" x14ac:dyDescent="0.3">
      <c r="A2841" s="397"/>
      <c r="B2841" s="709">
        <v>101267</v>
      </c>
      <c r="C2841" s="710" t="s">
        <v>3442</v>
      </c>
      <c r="D2841" s="709" t="s">
        <v>170</v>
      </c>
      <c r="E2841" s="711">
        <v>0.155</v>
      </c>
    </row>
    <row r="2842" spans="1:5" x14ac:dyDescent="0.3">
      <c r="A2842" s="397"/>
      <c r="B2842" s="709">
        <v>101249</v>
      </c>
      <c r="C2842" s="710" t="s">
        <v>3443</v>
      </c>
      <c r="D2842" s="709" t="s">
        <v>170</v>
      </c>
      <c r="E2842" s="711">
        <v>0.1094</v>
      </c>
    </row>
    <row r="2843" spans="1:5" x14ac:dyDescent="0.3">
      <c r="A2843" s="397"/>
      <c r="B2843" s="709">
        <v>101273</v>
      </c>
      <c r="C2843" s="710" t="s">
        <v>3444</v>
      </c>
      <c r="D2843" s="709" t="s">
        <v>170</v>
      </c>
      <c r="E2843" s="711">
        <v>0.1318</v>
      </c>
    </row>
    <row r="2844" spans="1:5" x14ac:dyDescent="0.3">
      <c r="A2844" s="397"/>
      <c r="B2844" s="709">
        <v>101245</v>
      </c>
      <c r="C2844" s="710" t="s">
        <v>3445</v>
      </c>
      <c r="D2844" s="709" t="s">
        <v>170</v>
      </c>
      <c r="E2844" s="711">
        <v>0.11360000000000001</v>
      </c>
    </row>
    <row r="2845" spans="1:5" x14ac:dyDescent="0.3">
      <c r="A2845" s="397"/>
      <c r="B2845" s="709">
        <v>101250</v>
      </c>
      <c r="C2845" s="710" t="s">
        <v>3446</v>
      </c>
      <c r="D2845" s="709" t="s">
        <v>170</v>
      </c>
      <c r="E2845" s="711">
        <v>0.1119</v>
      </c>
    </row>
    <row r="2846" spans="1:5" x14ac:dyDescent="0.3">
      <c r="A2846" s="397"/>
      <c r="B2846" s="709">
        <v>101251</v>
      </c>
      <c r="C2846" s="710" t="s">
        <v>3447</v>
      </c>
      <c r="D2846" s="709" t="s">
        <v>170</v>
      </c>
      <c r="E2846" s="711">
        <v>0.10630000000000001</v>
      </c>
    </row>
    <row r="2847" spans="1:5" x14ac:dyDescent="0.3">
      <c r="A2847" s="397"/>
      <c r="B2847" s="709">
        <v>101274</v>
      </c>
      <c r="C2847" s="710" t="s">
        <v>3448</v>
      </c>
      <c r="D2847" s="709" t="s">
        <v>170</v>
      </c>
      <c r="E2847" s="711">
        <v>0.13400000000000001</v>
      </c>
    </row>
    <row r="2848" spans="1:5" x14ac:dyDescent="0.3">
      <c r="A2848" s="397"/>
      <c r="B2848" s="709">
        <v>101246</v>
      </c>
      <c r="C2848" s="710" t="s">
        <v>3449</v>
      </c>
      <c r="D2848" s="709" t="s">
        <v>170</v>
      </c>
      <c r="E2848" s="711">
        <v>0.11020000000000001</v>
      </c>
    </row>
    <row r="2849" spans="1:5" x14ac:dyDescent="0.3">
      <c r="A2849" s="397"/>
      <c r="B2849" s="709">
        <v>101252</v>
      </c>
      <c r="C2849" s="710" t="s">
        <v>3450</v>
      </c>
      <c r="D2849" s="709" t="s">
        <v>170</v>
      </c>
      <c r="E2849" s="711">
        <v>0.1019</v>
      </c>
    </row>
    <row r="2850" spans="1:5" x14ac:dyDescent="0.3">
      <c r="A2850" s="397"/>
      <c r="B2850" s="709">
        <v>101275</v>
      </c>
      <c r="C2850" s="710" t="s">
        <v>3451</v>
      </c>
      <c r="D2850" s="709" t="s">
        <v>170</v>
      </c>
      <c r="E2850" s="711">
        <v>0.1288</v>
      </c>
    </row>
    <row r="2851" spans="1:5" x14ac:dyDescent="0.3">
      <c r="A2851" s="397"/>
      <c r="B2851" s="709">
        <v>101247</v>
      </c>
      <c r="C2851" s="710" t="s">
        <v>3452</v>
      </c>
      <c r="D2851" s="709" t="s">
        <v>170</v>
      </c>
      <c r="E2851" s="711">
        <v>0.11</v>
      </c>
    </row>
    <row r="2852" spans="1:5" x14ac:dyDescent="0.3">
      <c r="A2852" s="397"/>
      <c r="B2852" s="709">
        <v>101276</v>
      </c>
      <c r="C2852" s="710" t="s">
        <v>3453</v>
      </c>
      <c r="D2852" s="709" t="s">
        <v>170</v>
      </c>
      <c r="E2852" s="711">
        <v>0.128</v>
      </c>
    </row>
    <row r="2853" spans="1:5" x14ac:dyDescent="0.3">
      <c r="A2853" s="397"/>
      <c r="B2853" s="709">
        <v>101253</v>
      </c>
      <c r="C2853" s="710" t="s">
        <v>3454</v>
      </c>
      <c r="D2853" s="709" t="s">
        <v>170</v>
      </c>
      <c r="E2853" s="711">
        <v>9.9299999999999999E-2</v>
      </c>
    </row>
    <row r="2854" spans="1:5" x14ac:dyDescent="0.3">
      <c r="A2854" s="397"/>
      <c r="B2854" s="709">
        <v>101244</v>
      </c>
      <c r="C2854" s="710" t="s">
        <v>3455</v>
      </c>
      <c r="D2854" s="709" t="s">
        <v>170</v>
      </c>
      <c r="E2854" s="711">
        <v>0.1208</v>
      </c>
    </row>
    <row r="2855" spans="1:5" x14ac:dyDescent="0.3">
      <c r="A2855" s="397"/>
      <c r="B2855" s="709">
        <v>93358</v>
      </c>
      <c r="C2855" s="710" t="s">
        <v>266</v>
      </c>
      <c r="D2855" s="709" t="s">
        <v>170</v>
      </c>
      <c r="E2855" s="711">
        <v>1</v>
      </c>
    </row>
    <row r="2856" spans="1:5" x14ac:dyDescent="0.3">
      <c r="A2856" s="397"/>
      <c r="B2856" s="709">
        <v>90082</v>
      </c>
      <c r="C2856" s="710" t="s">
        <v>3456</v>
      </c>
      <c r="D2856" s="709" t="s">
        <v>170</v>
      </c>
      <c r="E2856" s="711">
        <v>0.31580000000000003</v>
      </c>
    </row>
    <row r="2857" spans="1:5" x14ac:dyDescent="0.3">
      <c r="A2857" s="397"/>
      <c r="B2857" s="709">
        <v>90091</v>
      </c>
      <c r="C2857" s="710" t="s">
        <v>3457</v>
      </c>
      <c r="D2857" s="709" t="s">
        <v>170</v>
      </c>
      <c r="E2857" s="711">
        <v>0.31459999999999999</v>
      </c>
    </row>
    <row r="2858" spans="1:5" x14ac:dyDescent="0.3">
      <c r="A2858" s="397"/>
      <c r="B2858" s="709">
        <v>102307</v>
      </c>
      <c r="C2858" s="710" t="s">
        <v>3458</v>
      </c>
      <c r="D2858" s="709" t="s">
        <v>170</v>
      </c>
      <c r="E2858" s="711">
        <v>0.31559999999999999</v>
      </c>
    </row>
    <row r="2859" spans="1:5" x14ac:dyDescent="0.3">
      <c r="A2859" s="397"/>
      <c r="B2859" s="709">
        <v>102315</v>
      </c>
      <c r="C2859" s="710" t="s">
        <v>3459</v>
      </c>
      <c r="D2859" s="709" t="s">
        <v>170</v>
      </c>
      <c r="E2859" s="711">
        <v>0.31540000000000001</v>
      </c>
    </row>
    <row r="2860" spans="1:5" x14ac:dyDescent="0.3">
      <c r="A2860" s="397"/>
      <c r="B2860" s="709">
        <v>102283</v>
      </c>
      <c r="C2860" s="710" t="s">
        <v>3460</v>
      </c>
      <c r="D2860" s="709" t="s">
        <v>170</v>
      </c>
      <c r="E2860" s="711">
        <v>0.31559999999999999</v>
      </c>
    </row>
    <row r="2861" spans="1:5" x14ac:dyDescent="0.3">
      <c r="A2861" s="397"/>
      <c r="B2861" s="709">
        <v>102291</v>
      </c>
      <c r="C2861" s="710" t="s">
        <v>3461</v>
      </c>
      <c r="D2861" s="709" t="s">
        <v>170</v>
      </c>
      <c r="E2861" s="711">
        <v>0.31459999999999999</v>
      </c>
    </row>
    <row r="2862" spans="1:5" x14ac:dyDescent="0.3">
      <c r="A2862" s="397"/>
      <c r="B2862" s="709">
        <v>102276</v>
      </c>
      <c r="C2862" s="710" t="s">
        <v>3462</v>
      </c>
      <c r="D2862" s="709" t="s">
        <v>170</v>
      </c>
      <c r="E2862" s="711">
        <v>0.31540000000000001</v>
      </c>
    </row>
    <row r="2863" spans="1:5" x14ac:dyDescent="0.3">
      <c r="A2863" s="397"/>
      <c r="B2863" s="709">
        <v>102306</v>
      </c>
      <c r="C2863" s="710" t="s">
        <v>3463</v>
      </c>
      <c r="D2863" s="709" t="s">
        <v>170</v>
      </c>
      <c r="E2863" s="711">
        <v>0.31559999999999999</v>
      </c>
    </row>
    <row r="2864" spans="1:5" x14ac:dyDescent="0.3">
      <c r="A2864" s="397"/>
      <c r="B2864" s="709">
        <v>102279</v>
      </c>
      <c r="C2864" s="710" t="s">
        <v>3464</v>
      </c>
      <c r="D2864" s="709" t="s">
        <v>170</v>
      </c>
      <c r="E2864" s="711">
        <v>0.31480000000000002</v>
      </c>
    </row>
    <row r="2865" spans="1:5" x14ac:dyDescent="0.3">
      <c r="A2865" s="397"/>
      <c r="B2865" s="709">
        <v>102282</v>
      </c>
      <c r="C2865" s="710" t="s">
        <v>3465</v>
      </c>
      <c r="D2865" s="709" t="s">
        <v>170</v>
      </c>
      <c r="E2865" s="711">
        <v>0.316</v>
      </c>
    </row>
    <row r="2866" spans="1:5" x14ac:dyDescent="0.3">
      <c r="A2866" s="397"/>
      <c r="B2866" s="709">
        <v>102290</v>
      </c>
      <c r="C2866" s="710" t="s">
        <v>3466</v>
      </c>
      <c r="D2866" s="709" t="s">
        <v>170</v>
      </c>
      <c r="E2866" s="711">
        <v>0.31519999999999998</v>
      </c>
    </row>
    <row r="2867" spans="1:5" x14ac:dyDescent="0.3">
      <c r="A2867" s="397"/>
      <c r="B2867" s="709">
        <v>90100</v>
      </c>
      <c r="C2867" s="710" t="s">
        <v>3467</v>
      </c>
      <c r="D2867" s="709" t="s">
        <v>170</v>
      </c>
      <c r="E2867" s="711">
        <v>0.4456</v>
      </c>
    </row>
    <row r="2868" spans="1:5" x14ac:dyDescent="0.3">
      <c r="A2868" s="397"/>
      <c r="B2868" s="709">
        <v>102323</v>
      </c>
      <c r="C2868" s="710" t="s">
        <v>3468</v>
      </c>
      <c r="D2868" s="709" t="s">
        <v>170</v>
      </c>
      <c r="E2868" s="711">
        <v>0.44569999999999999</v>
      </c>
    </row>
    <row r="2869" spans="1:5" x14ac:dyDescent="0.3">
      <c r="A2869" s="397"/>
      <c r="B2869" s="709">
        <v>102327</v>
      </c>
      <c r="C2869" s="710" t="s">
        <v>3469</v>
      </c>
      <c r="D2869" s="709" t="s">
        <v>170</v>
      </c>
      <c r="E2869" s="711">
        <v>0.4461</v>
      </c>
    </row>
    <row r="2870" spans="1:5" x14ac:dyDescent="0.3">
      <c r="A2870" s="397"/>
      <c r="B2870" s="709">
        <v>102299</v>
      </c>
      <c r="C2870" s="710" t="s">
        <v>3470</v>
      </c>
      <c r="D2870" s="709" t="s">
        <v>170</v>
      </c>
      <c r="E2870" s="711">
        <v>0.44590000000000002</v>
      </c>
    </row>
    <row r="2871" spans="1:5" x14ac:dyDescent="0.3">
      <c r="A2871" s="397"/>
      <c r="B2871" s="709">
        <v>102303</v>
      </c>
      <c r="C2871" s="710" t="s">
        <v>3471</v>
      </c>
      <c r="D2871" s="709" t="s">
        <v>170</v>
      </c>
      <c r="E2871" s="711">
        <v>0.44629999999999997</v>
      </c>
    </row>
    <row r="2872" spans="1:5" x14ac:dyDescent="0.3">
      <c r="A2872" s="397"/>
      <c r="B2872" s="709">
        <v>90099</v>
      </c>
      <c r="C2872" s="710" t="s">
        <v>3472</v>
      </c>
      <c r="D2872" s="709" t="s">
        <v>170</v>
      </c>
      <c r="E2872" s="711">
        <v>0.44650000000000001</v>
      </c>
    </row>
    <row r="2873" spans="1:5" x14ac:dyDescent="0.3">
      <c r="A2873" s="397"/>
      <c r="B2873" s="709">
        <v>102322</v>
      </c>
      <c r="C2873" s="710" t="s">
        <v>3473</v>
      </c>
      <c r="D2873" s="709" t="s">
        <v>170</v>
      </c>
      <c r="E2873" s="711">
        <v>0.44600000000000001</v>
      </c>
    </row>
    <row r="2874" spans="1:5" x14ac:dyDescent="0.3">
      <c r="A2874" s="397"/>
      <c r="B2874" s="709">
        <v>102298</v>
      </c>
      <c r="C2874" s="710" t="s">
        <v>3474</v>
      </c>
      <c r="D2874" s="709" t="s">
        <v>170</v>
      </c>
      <c r="E2874" s="711">
        <v>0.44579999999999997</v>
      </c>
    </row>
    <row r="2875" spans="1:5" x14ac:dyDescent="0.3">
      <c r="A2875" s="397"/>
      <c r="B2875" s="709">
        <v>102302</v>
      </c>
      <c r="C2875" s="710" t="s">
        <v>3475</v>
      </c>
      <c r="D2875" s="709" t="s">
        <v>170</v>
      </c>
      <c r="E2875" s="711">
        <v>0.44569999999999999</v>
      </c>
    </row>
    <row r="2876" spans="1:5" x14ac:dyDescent="0.3">
      <c r="A2876" s="397"/>
      <c r="B2876" s="709">
        <v>102326</v>
      </c>
      <c r="C2876" s="710" t="s">
        <v>3476</v>
      </c>
      <c r="D2876" s="709" t="s">
        <v>170</v>
      </c>
      <c r="E2876" s="711">
        <v>0.44550000000000001</v>
      </c>
    </row>
    <row r="2877" spans="1:5" x14ac:dyDescent="0.3">
      <c r="A2877" s="397"/>
      <c r="B2877" s="709">
        <v>102314</v>
      </c>
      <c r="C2877" s="710" t="s">
        <v>3477</v>
      </c>
      <c r="D2877" s="709" t="s">
        <v>170</v>
      </c>
      <c r="E2877" s="711">
        <v>0.3155</v>
      </c>
    </row>
    <row r="2878" spans="1:5" x14ac:dyDescent="0.3">
      <c r="A2878" s="397"/>
      <c r="B2878" s="709">
        <v>102312</v>
      </c>
      <c r="C2878" s="710" t="s">
        <v>3478</v>
      </c>
      <c r="D2878" s="709" t="s">
        <v>170</v>
      </c>
      <c r="E2878" s="711">
        <v>0.2757</v>
      </c>
    </row>
    <row r="2879" spans="1:5" x14ac:dyDescent="0.3">
      <c r="A2879" s="397"/>
      <c r="B2879" s="709">
        <v>102288</v>
      </c>
      <c r="C2879" s="710" t="s">
        <v>3479</v>
      </c>
      <c r="D2879" s="709" t="s">
        <v>170</v>
      </c>
      <c r="E2879" s="711">
        <v>0.27539999999999998</v>
      </c>
    </row>
    <row r="2880" spans="1:5" x14ac:dyDescent="0.3">
      <c r="A2880" s="397"/>
      <c r="B2880" s="709">
        <v>90087</v>
      </c>
      <c r="C2880" s="710" t="s">
        <v>3480</v>
      </c>
      <c r="D2880" s="709" t="s">
        <v>170</v>
      </c>
      <c r="E2880" s="711">
        <v>0.27550000000000002</v>
      </c>
    </row>
    <row r="2881" spans="1:5" x14ac:dyDescent="0.3">
      <c r="A2881" s="397"/>
      <c r="B2881" s="709">
        <v>102308</v>
      </c>
      <c r="C2881" s="710" t="s">
        <v>3481</v>
      </c>
      <c r="D2881" s="709" t="s">
        <v>170</v>
      </c>
      <c r="E2881" s="711">
        <v>0.31530000000000002</v>
      </c>
    </row>
    <row r="2882" spans="1:5" x14ac:dyDescent="0.3">
      <c r="A2882" s="397"/>
      <c r="B2882" s="709">
        <v>90084</v>
      </c>
      <c r="C2882" s="710" t="s">
        <v>3482</v>
      </c>
      <c r="D2882" s="709" t="s">
        <v>170</v>
      </c>
      <c r="E2882" s="711">
        <v>0.31519999999999998</v>
      </c>
    </row>
    <row r="2883" spans="1:5" x14ac:dyDescent="0.3">
      <c r="A2883" s="397"/>
      <c r="B2883" s="709">
        <v>102284</v>
      </c>
      <c r="C2883" s="710" t="s">
        <v>3483</v>
      </c>
      <c r="D2883" s="709" t="s">
        <v>170</v>
      </c>
      <c r="E2883" s="711">
        <v>0.3155</v>
      </c>
    </row>
    <row r="2884" spans="1:5" x14ac:dyDescent="0.3">
      <c r="A2884" s="397"/>
      <c r="B2884" s="709">
        <v>102325</v>
      </c>
      <c r="C2884" s="710" t="s">
        <v>3484</v>
      </c>
      <c r="D2884" s="709" t="s">
        <v>170</v>
      </c>
      <c r="E2884" s="711">
        <v>0.4461</v>
      </c>
    </row>
    <row r="2885" spans="1:5" x14ac:dyDescent="0.3">
      <c r="A2885" s="397"/>
      <c r="B2885" s="709">
        <v>102329</v>
      </c>
      <c r="C2885" s="710" t="s">
        <v>3485</v>
      </c>
      <c r="D2885" s="709" t="s">
        <v>170</v>
      </c>
      <c r="E2885" s="711">
        <v>0.44550000000000001</v>
      </c>
    </row>
    <row r="2886" spans="1:5" x14ac:dyDescent="0.3">
      <c r="A2886" s="397"/>
      <c r="B2886" s="709">
        <v>102301</v>
      </c>
      <c r="C2886" s="710" t="s">
        <v>3486</v>
      </c>
      <c r="D2886" s="709" t="s">
        <v>170</v>
      </c>
      <c r="E2886" s="711">
        <v>0.44569999999999999</v>
      </c>
    </row>
    <row r="2887" spans="1:5" x14ac:dyDescent="0.3">
      <c r="A2887" s="397"/>
      <c r="B2887" s="709">
        <v>102305</v>
      </c>
      <c r="C2887" s="710" t="s">
        <v>3487</v>
      </c>
      <c r="D2887" s="709" t="s">
        <v>170</v>
      </c>
      <c r="E2887" s="711">
        <v>0.44600000000000001</v>
      </c>
    </row>
    <row r="2888" spans="1:5" x14ac:dyDescent="0.3">
      <c r="A2888" s="397"/>
      <c r="B2888" s="709">
        <v>90101</v>
      </c>
      <c r="C2888" s="710" t="s">
        <v>3488</v>
      </c>
      <c r="D2888" s="709" t="s">
        <v>170</v>
      </c>
      <c r="E2888" s="711">
        <v>0.44600000000000001</v>
      </c>
    </row>
    <row r="2889" spans="1:5" x14ac:dyDescent="0.3">
      <c r="A2889" s="397"/>
      <c r="B2889" s="709">
        <v>102324</v>
      </c>
      <c r="C2889" s="710" t="s">
        <v>3489</v>
      </c>
      <c r="D2889" s="709" t="s">
        <v>170</v>
      </c>
      <c r="E2889" s="711">
        <v>0.44650000000000001</v>
      </c>
    </row>
    <row r="2890" spans="1:5" x14ac:dyDescent="0.3">
      <c r="A2890" s="397"/>
      <c r="B2890" s="709">
        <v>102300</v>
      </c>
      <c r="C2890" s="710" t="s">
        <v>3490</v>
      </c>
      <c r="D2890" s="709" t="s">
        <v>170</v>
      </c>
      <c r="E2890" s="711">
        <v>0.44579999999999997</v>
      </c>
    </row>
    <row r="2891" spans="1:5" x14ac:dyDescent="0.3">
      <c r="A2891" s="397"/>
      <c r="B2891" s="709">
        <v>90102</v>
      </c>
      <c r="C2891" s="710" t="s">
        <v>3491</v>
      </c>
      <c r="D2891" s="709" t="s">
        <v>170</v>
      </c>
      <c r="E2891" s="711">
        <v>0.44619999999999999</v>
      </c>
    </row>
    <row r="2892" spans="1:5" x14ac:dyDescent="0.3">
      <c r="A2892" s="397"/>
      <c r="B2892" s="709">
        <v>102328</v>
      </c>
      <c r="C2892" s="710" t="s">
        <v>3492</v>
      </c>
      <c r="D2892" s="709" t="s">
        <v>170</v>
      </c>
      <c r="E2892" s="711">
        <v>0.44550000000000001</v>
      </c>
    </row>
    <row r="2893" spans="1:5" x14ac:dyDescent="0.3">
      <c r="A2893" s="397"/>
      <c r="B2893" s="709">
        <v>102304</v>
      </c>
      <c r="C2893" s="710" t="s">
        <v>3493</v>
      </c>
      <c r="D2893" s="709" t="s">
        <v>170</v>
      </c>
      <c r="E2893" s="711">
        <v>0.4456</v>
      </c>
    </row>
    <row r="2894" spans="1:5" x14ac:dyDescent="0.3">
      <c r="A2894" s="397"/>
      <c r="B2894" s="709">
        <v>102295</v>
      </c>
      <c r="C2894" s="710" t="s">
        <v>3494</v>
      </c>
      <c r="D2894" s="709" t="s">
        <v>170</v>
      </c>
      <c r="E2894" s="711">
        <v>0.27550000000000002</v>
      </c>
    </row>
    <row r="2895" spans="1:5" x14ac:dyDescent="0.3">
      <c r="A2895" s="397"/>
      <c r="B2895" s="709">
        <v>102281</v>
      </c>
      <c r="C2895" s="710" t="s">
        <v>3495</v>
      </c>
      <c r="D2895" s="709" t="s">
        <v>170</v>
      </c>
      <c r="E2895" s="711">
        <v>0.2752</v>
      </c>
    </row>
    <row r="2896" spans="1:5" x14ac:dyDescent="0.3">
      <c r="A2896" s="397"/>
      <c r="B2896" s="709">
        <v>102311</v>
      </c>
      <c r="C2896" s="710" t="s">
        <v>3496</v>
      </c>
      <c r="D2896" s="709" t="s">
        <v>170</v>
      </c>
      <c r="E2896" s="711">
        <v>0.27560000000000001</v>
      </c>
    </row>
    <row r="2897" spans="1:5" x14ac:dyDescent="0.3">
      <c r="A2897" s="397"/>
      <c r="B2897" s="709">
        <v>102319</v>
      </c>
      <c r="C2897" s="710" t="s">
        <v>3497</v>
      </c>
      <c r="D2897" s="709" t="s">
        <v>170</v>
      </c>
      <c r="E2897" s="711">
        <v>0.27500000000000002</v>
      </c>
    </row>
    <row r="2898" spans="1:5" x14ac:dyDescent="0.3">
      <c r="A2898" s="397"/>
      <c r="B2898" s="709">
        <v>102287</v>
      </c>
      <c r="C2898" s="710" t="s">
        <v>3498</v>
      </c>
      <c r="D2898" s="709" t="s">
        <v>170</v>
      </c>
      <c r="E2898" s="711">
        <v>0.27550000000000002</v>
      </c>
    </row>
    <row r="2899" spans="1:5" x14ac:dyDescent="0.3">
      <c r="A2899" s="397"/>
      <c r="B2899" s="709">
        <v>102316</v>
      </c>
      <c r="C2899" s="710" t="s">
        <v>3499</v>
      </c>
      <c r="D2899" s="709" t="s">
        <v>170</v>
      </c>
      <c r="E2899" s="711">
        <v>0.31390000000000001</v>
      </c>
    </row>
    <row r="2900" spans="1:5" x14ac:dyDescent="0.3">
      <c r="A2900" s="397"/>
      <c r="B2900" s="709">
        <v>102292</v>
      </c>
      <c r="C2900" s="710" t="s">
        <v>3500</v>
      </c>
      <c r="D2900" s="709" t="s">
        <v>170</v>
      </c>
      <c r="E2900" s="711">
        <v>0.31519999999999998</v>
      </c>
    </row>
    <row r="2901" spans="1:5" x14ac:dyDescent="0.3">
      <c r="A2901" s="397"/>
      <c r="B2901" s="709">
        <v>90092</v>
      </c>
      <c r="C2901" s="710" t="s">
        <v>280</v>
      </c>
      <c r="D2901" s="709" t="s">
        <v>170</v>
      </c>
      <c r="E2901" s="711">
        <v>0.31459999999999999</v>
      </c>
    </row>
    <row r="2902" spans="1:5" x14ac:dyDescent="0.3">
      <c r="A2902" s="397"/>
      <c r="B2902" s="709">
        <v>102278</v>
      </c>
      <c r="C2902" s="710" t="s">
        <v>3501</v>
      </c>
      <c r="D2902" s="709" t="s">
        <v>170</v>
      </c>
      <c r="E2902" s="711">
        <v>0.27560000000000001</v>
      </c>
    </row>
    <row r="2903" spans="1:5" x14ac:dyDescent="0.3">
      <c r="A2903" s="397"/>
      <c r="B2903" s="709">
        <v>90094</v>
      </c>
      <c r="C2903" s="710" t="s">
        <v>3502</v>
      </c>
      <c r="D2903" s="709" t="s">
        <v>170</v>
      </c>
      <c r="E2903" s="711">
        <v>0.31519999999999998</v>
      </c>
    </row>
    <row r="2904" spans="1:5" x14ac:dyDescent="0.3">
      <c r="A2904" s="397"/>
      <c r="B2904" s="709">
        <v>102309</v>
      </c>
      <c r="C2904" s="710" t="s">
        <v>3503</v>
      </c>
      <c r="D2904" s="709" t="s">
        <v>170</v>
      </c>
      <c r="E2904" s="711">
        <v>0.31540000000000001</v>
      </c>
    </row>
    <row r="2905" spans="1:5" x14ac:dyDescent="0.3">
      <c r="A2905" s="397"/>
      <c r="B2905" s="709">
        <v>102285</v>
      </c>
      <c r="C2905" s="710" t="s">
        <v>3504</v>
      </c>
      <c r="D2905" s="709" t="s">
        <v>170</v>
      </c>
      <c r="E2905" s="711">
        <v>0.31590000000000001</v>
      </c>
    </row>
    <row r="2906" spans="1:5" x14ac:dyDescent="0.3">
      <c r="A2906" s="397"/>
      <c r="B2906" s="709">
        <v>90095</v>
      </c>
      <c r="C2906" s="710" t="s">
        <v>3505</v>
      </c>
      <c r="D2906" s="709" t="s">
        <v>170</v>
      </c>
      <c r="E2906" s="711">
        <v>0.27400000000000002</v>
      </c>
    </row>
    <row r="2907" spans="1:5" x14ac:dyDescent="0.3">
      <c r="A2907" s="397"/>
      <c r="B2907" s="709">
        <v>102320</v>
      </c>
      <c r="C2907" s="710" t="s">
        <v>3506</v>
      </c>
      <c r="D2907" s="709" t="s">
        <v>170</v>
      </c>
      <c r="E2907" s="711">
        <v>0.27450000000000002</v>
      </c>
    </row>
    <row r="2908" spans="1:5" x14ac:dyDescent="0.3">
      <c r="A2908" s="397"/>
      <c r="B2908" s="709">
        <v>102296</v>
      </c>
      <c r="C2908" s="710" t="s">
        <v>3507</v>
      </c>
      <c r="D2908" s="709" t="s">
        <v>170</v>
      </c>
      <c r="E2908" s="711">
        <v>0.27450000000000002</v>
      </c>
    </row>
    <row r="2909" spans="1:5" x14ac:dyDescent="0.3">
      <c r="A2909" s="397"/>
      <c r="B2909" s="709">
        <v>90086</v>
      </c>
      <c r="C2909" s="710" t="s">
        <v>3508</v>
      </c>
      <c r="D2909" s="709" t="s">
        <v>170</v>
      </c>
      <c r="E2909" s="711">
        <v>0.31419999999999998</v>
      </c>
    </row>
    <row r="2910" spans="1:5" x14ac:dyDescent="0.3">
      <c r="A2910" s="397"/>
      <c r="B2910" s="709">
        <v>102277</v>
      </c>
      <c r="C2910" s="710" t="s">
        <v>3509</v>
      </c>
      <c r="D2910" s="709" t="s">
        <v>170</v>
      </c>
      <c r="E2910" s="711">
        <v>0.31519999999999998</v>
      </c>
    </row>
    <row r="2911" spans="1:5" x14ac:dyDescent="0.3">
      <c r="A2911" s="397"/>
      <c r="B2911" s="709">
        <v>102286</v>
      </c>
      <c r="C2911" s="710" t="s">
        <v>3510</v>
      </c>
      <c r="D2911" s="709" t="s">
        <v>170</v>
      </c>
      <c r="E2911" s="711">
        <v>0.31569999999999998</v>
      </c>
    </row>
    <row r="2912" spans="1:5" x14ac:dyDescent="0.3">
      <c r="A2912" s="397"/>
      <c r="B2912" s="709">
        <v>90098</v>
      </c>
      <c r="C2912" s="710" t="s">
        <v>3511</v>
      </c>
      <c r="D2912" s="709" t="s">
        <v>170</v>
      </c>
      <c r="E2912" s="711">
        <v>0.27589999999999998</v>
      </c>
    </row>
    <row r="2913" spans="1:5" x14ac:dyDescent="0.3">
      <c r="A2913" s="397"/>
      <c r="B2913" s="709">
        <v>102313</v>
      </c>
      <c r="C2913" s="710" t="s">
        <v>3512</v>
      </c>
      <c r="D2913" s="709" t="s">
        <v>170</v>
      </c>
      <c r="E2913" s="711">
        <v>0.27489999999999998</v>
      </c>
    </row>
    <row r="2914" spans="1:5" x14ac:dyDescent="0.3">
      <c r="A2914" s="397"/>
      <c r="B2914" s="709">
        <v>102321</v>
      </c>
      <c r="C2914" s="710" t="s">
        <v>3513</v>
      </c>
      <c r="D2914" s="709" t="s">
        <v>170</v>
      </c>
      <c r="E2914" s="711">
        <v>0.2747</v>
      </c>
    </row>
    <row r="2915" spans="1:5" x14ac:dyDescent="0.3">
      <c r="A2915" s="397"/>
      <c r="B2915" s="709">
        <v>102289</v>
      </c>
      <c r="C2915" s="710" t="s">
        <v>3514</v>
      </c>
      <c r="D2915" s="709" t="s">
        <v>170</v>
      </c>
      <c r="E2915" s="711">
        <v>0.27600000000000002</v>
      </c>
    </row>
    <row r="2916" spans="1:5" x14ac:dyDescent="0.3">
      <c r="A2916" s="397"/>
      <c r="B2916" s="709">
        <v>102297</v>
      </c>
      <c r="C2916" s="710" t="s">
        <v>3515</v>
      </c>
      <c r="D2916" s="709" t="s">
        <v>170</v>
      </c>
      <c r="E2916" s="711">
        <v>0.27460000000000001</v>
      </c>
    </row>
    <row r="2917" spans="1:5" x14ac:dyDescent="0.3">
      <c r="A2917" s="397"/>
      <c r="B2917" s="709">
        <v>102280</v>
      </c>
      <c r="C2917" s="710" t="s">
        <v>3516</v>
      </c>
      <c r="D2917" s="709" t="s">
        <v>170</v>
      </c>
      <c r="E2917" s="711">
        <v>0.3135</v>
      </c>
    </row>
    <row r="2918" spans="1:5" x14ac:dyDescent="0.3">
      <c r="A2918" s="397"/>
      <c r="B2918" s="709">
        <v>102294</v>
      </c>
      <c r="C2918" s="710" t="s">
        <v>3517</v>
      </c>
      <c r="D2918" s="709" t="s">
        <v>170</v>
      </c>
      <c r="E2918" s="711">
        <v>0.3145</v>
      </c>
    </row>
    <row r="2919" spans="1:5" x14ac:dyDescent="0.3">
      <c r="A2919" s="397"/>
      <c r="B2919" s="709">
        <v>90090</v>
      </c>
      <c r="C2919" s="710" t="s">
        <v>3518</v>
      </c>
      <c r="D2919" s="709" t="s">
        <v>170</v>
      </c>
      <c r="E2919" s="711">
        <v>0.27539999999999998</v>
      </c>
    </row>
    <row r="2920" spans="1:5" x14ac:dyDescent="0.3">
      <c r="A2920" s="397"/>
      <c r="B2920" s="709">
        <v>102317</v>
      </c>
      <c r="C2920" s="710" t="s">
        <v>3519</v>
      </c>
      <c r="D2920" s="709" t="s">
        <v>170</v>
      </c>
      <c r="E2920" s="711">
        <v>0.31469999999999998</v>
      </c>
    </row>
    <row r="2921" spans="1:5" x14ac:dyDescent="0.3">
      <c r="A2921" s="397"/>
      <c r="B2921" s="709">
        <v>102293</v>
      </c>
      <c r="C2921" s="710" t="s">
        <v>3520</v>
      </c>
      <c r="D2921" s="709" t="s">
        <v>170</v>
      </c>
      <c r="E2921" s="711">
        <v>0.31590000000000001</v>
      </c>
    </row>
    <row r="2922" spans="1:5" x14ac:dyDescent="0.3">
      <c r="A2922" s="397"/>
      <c r="B2922" s="709">
        <v>102310</v>
      </c>
      <c r="C2922" s="710" t="s">
        <v>3521</v>
      </c>
      <c r="D2922" s="709" t="s">
        <v>170</v>
      </c>
      <c r="E2922" s="711">
        <v>0.31580000000000003</v>
      </c>
    </row>
    <row r="2923" spans="1:5" x14ac:dyDescent="0.3">
      <c r="A2923" s="397"/>
      <c r="B2923" s="709">
        <v>102318</v>
      </c>
      <c r="C2923" s="710" t="s">
        <v>3522</v>
      </c>
      <c r="D2923" s="709" t="s">
        <v>170</v>
      </c>
      <c r="E2923" s="711">
        <v>0.31459999999999999</v>
      </c>
    </row>
    <row r="2924" spans="1:5" x14ac:dyDescent="0.3">
      <c r="A2924" s="397"/>
      <c r="B2924" s="709">
        <v>90106</v>
      </c>
      <c r="C2924" s="710" t="s">
        <v>268</v>
      </c>
      <c r="D2924" s="709" t="s">
        <v>170</v>
      </c>
      <c r="E2924" s="711">
        <v>0.44590000000000002</v>
      </c>
    </row>
    <row r="2925" spans="1:5" x14ac:dyDescent="0.3">
      <c r="A2925" s="397"/>
      <c r="B2925" s="709">
        <v>90105</v>
      </c>
      <c r="C2925" s="710" t="s">
        <v>3523</v>
      </c>
      <c r="D2925" s="709" t="s">
        <v>170</v>
      </c>
      <c r="E2925" s="711">
        <v>0.45390000000000003</v>
      </c>
    </row>
    <row r="2926" spans="1:5" x14ac:dyDescent="0.3">
      <c r="A2926" s="397"/>
      <c r="B2926" s="709">
        <v>90108</v>
      </c>
      <c r="C2926" s="710" t="s">
        <v>3524</v>
      </c>
      <c r="D2926" s="709" t="s">
        <v>170</v>
      </c>
      <c r="E2926" s="711">
        <v>0.44590000000000002</v>
      </c>
    </row>
    <row r="2927" spans="1:5" x14ac:dyDescent="0.3">
      <c r="A2927" s="397"/>
      <c r="B2927" s="709">
        <v>90107</v>
      </c>
      <c r="C2927" s="710" t="s">
        <v>3525</v>
      </c>
      <c r="D2927" s="709" t="s">
        <v>170</v>
      </c>
      <c r="E2927" s="711">
        <v>0.44569999999999999</v>
      </c>
    </row>
    <row r="2928" spans="1:5" x14ac:dyDescent="0.3">
      <c r="A2928" s="397"/>
      <c r="B2928" s="709">
        <v>102354</v>
      </c>
      <c r="C2928" s="710" t="s">
        <v>3526</v>
      </c>
      <c r="D2928" s="709" t="s">
        <v>170</v>
      </c>
      <c r="E2928" s="711">
        <v>0.4425</v>
      </c>
    </row>
    <row r="2929" spans="1:5" x14ac:dyDescent="0.3">
      <c r="A2929" s="397"/>
      <c r="B2929" s="709">
        <v>102355</v>
      </c>
      <c r="C2929" s="710" t="s">
        <v>3527</v>
      </c>
      <c r="D2929" s="709" t="s">
        <v>170</v>
      </c>
      <c r="E2929" s="711">
        <v>0.49909999999999999</v>
      </c>
    </row>
    <row r="2930" spans="1:5" x14ac:dyDescent="0.3">
      <c r="A2930" s="397"/>
      <c r="B2930" s="709">
        <v>102360</v>
      </c>
      <c r="C2930" s="710" t="s">
        <v>3540</v>
      </c>
      <c r="D2930" s="709" t="s">
        <v>170</v>
      </c>
      <c r="E2930" s="711">
        <v>0.32329999999999998</v>
      </c>
    </row>
    <row r="2931" spans="1:5" x14ac:dyDescent="0.3">
      <c r="A2931" s="397"/>
      <c r="B2931" s="709">
        <v>102361</v>
      </c>
      <c r="C2931" s="710" t="s">
        <v>3541</v>
      </c>
      <c r="D2931" s="709" t="s">
        <v>170</v>
      </c>
      <c r="E2931" s="711">
        <v>0.44840000000000002</v>
      </c>
    </row>
    <row r="2932" spans="1:5" x14ac:dyDescent="0.3">
      <c r="A2932" s="397"/>
      <c r="B2932" s="709">
        <v>101601</v>
      </c>
      <c r="C2932" s="710" t="s">
        <v>13403</v>
      </c>
      <c r="D2932" s="709" t="s">
        <v>168</v>
      </c>
      <c r="E2932" s="711">
        <v>0.52480000000000004</v>
      </c>
    </row>
    <row r="2933" spans="1:5" x14ac:dyDescent="0.3">
      <c r="A2933" s="397"/>
      <c r="B2933" s="709">
        <v>101600</v>
      </c>
      <c r="C2933" s="710" t="s">
        <v>13404</v>
      </c>
      <c r="D2933" s="709" t="s">
        <v>168</v>
      </c>
      <c r="E2933" s="711">
        <v>0.52470000000000006</v>
      </c>
    </row>
    <row r="2934" spans="1:5" x14ac:dyDescent="0.3">
      <c r="A2934" s="397"/>
      <c r="B2934" s="709">
        <v>101603</v>
      </c>
      <c r="C2934" s="710" t="s">
        <v>13405</v>
      </c>
      <c r="D2934" s="709" t="s">
        <v>168</v>
      </c>
      <c r="E2934" s="711">
        <v>0.52480000000000004</v>
      </c>
    </row>
    <row r="2935" spans="1:5" x14ac:dyDescent="0.3">
      <c r="A2935" s="397"/>
      <c r="B2935" s="709">
        <v>101602</v>
      </c>
      <c r="C2935" s="710" t="s">
        <v>13406</v>
      </c>
      <c r="D2935" s="709" t="s">
        <v>168</v>
      </c>
      <c r="E2935" s="711">
        <v>0.52459999999999996</v>
      </c>
    </row>
    <row r="2936" spans="1:5" x14ac:dyDescent="0.3">
      <c r="A2936" s="397"/>
      <c r="B2936" s="709">
        <v>101605</v>
      </c>
      <c r="C2936" s="710" t="s">
        <v>13407</v>
      </c>
      <c r="D2936" s="709" t="s">
        <v>168</v>
      </c>
      <c r="E2936" s="711">
        <v>0.52410000000000001</v>
      </c>
    </row>
    <row r="2937" spans="1:5" x14ac:dyDescent="0.3">
      <c r="A2937" s="397"/>
      <c r="B2937" s="709">
        <v>101604</v>
      </c>
      <c r="C2937" s="710" t="s">
        <v>13408</v>
      </c>
      <c r="D2937" s="709" t="s">
        <v>168</v>
      </c>
      <c r="E2937" s="711">
        <v>0.52449999999999997</v>
      </c>
    </row>
    <row r="2938" spans="1:5" x14ac:dyDescent="0.3">
      <c r="A2938" s="397"/>
      <c r="B2938" s="709">
        <v>101588</v>
      </c>
      <c r="C2938" s="710" t="s">
        <v>13409</v>
      </c>
      <c r="D2938" s="709" t="s">
        <v>168</v>
      </c>
      <c r="E2938" s="711">
        <v>0.4945</v>
      </c>
    </row>
    <row r="2939" spans="1:5" x14ac:dyDescent="0.3">
      <c r="A2939" s="397"/>
      <c r="B2939" s="709">
        <v>101591</v>
      </c>
      <c r="C2939" s="710" t="s">
        <v>13410</v>
      </c>
      <c r="D2939" s="709" t="s">
        <v>168</v>
      </c>
      <c r="E2939" s="711">
        <v>0.49580000000000002</v>
      </c>
    </row>
    <row r="2940" spans="1:5" x14ac:dyDescent="0.3">
      <c r="A2940" s="397"/>
      <c r="B2940" s="709">
        <v>101590</v>
      </c>
      <c r="C2940" s="710" t="s">
        <v>13411</v>
      </c>
      <c r="D2940" s="709" t="s">
        <v>168</v>
      </c>
      <c r="E2940" s="711">
        <v>0.48599999999999999</v>
      </c>
    </row>
    <row r="2941" spans="1:5" x14ac:dyDescent="0.3">
      <c r="A2941" s="397"/>
      <c r="B2941" s="709">
        <v>101593</v>
      </c>
      <c r="C2941" s="710" t="s">
        <v>13412</v>
      </c>
      <c r="D2941" s="709" t="s">
        <v>168</v>
      </c>
      <c r="E2941" s="711">
        <v>0.4783</v>
      </c>
    </row>
    <row r="2942" spans="1:5" x14ac:dyDescent="0.3">
      <c r="A2942" s="397"/>
      <c r="B2942" s="709">
        <v>101592</v>
      </c>
      <c r="C2942" s="710" t="s">
        <v>13413</v>
      </c>
      <c r="D2942" s="709" t="s">
        <v>168</v>
      </c>
      <c r="E2942" s="711">
        <v>0.45529999999999998</v>
      </c>
    </row>
    <row r="2943" spans="1:5" x14ac:dyDescent="0.3">
      <c r="A2943" s="397"/>
      <c r="B2943" s="709">
        <v>101583</v>
      </c>
      <c r="C2943" s="710" t="s">
        <v>13414</v>
      </c>
      <c r="D2943" s="709" t="s">
        <v>168</v>
      </c>
      <c r="E2943" s="711">
        <v>0.6119</v>
      </c>
    </row>
    <row r="2944" spans="1:5" x14ac:dyDescent="0.3">
      <c r="A2944" s="397"/>
      <c r="B2944" s="709">
        <v>101582</v>
      </c>
      <c r="C2944" s="710" t="s">
        <v>13415</v>
      </c>
      <c r="D2944" s="709" t="s">
        <v>168</v>
      </c>
      <c r="E2944" s="711">
        <v>0.53290000000000004</v>
      </c>
    </row>
    <row r="2945" spans="1:5" x14ac:dyDescent="0.3">
      <c r="A2945" s="397"/>
      <c r="B2945" s="709">
        <v>101585</v>
      </c>
      <c r="C2945" s="710" t="s">
        <v>13416</v>
      </c>
      <c r="D2945" s="709" t="s">
        <v>168</v>
      </c>
      <c r="E2945" s="711">
        <v>0.59340000000000004</v>
      </c>
    </row>
    <row r="2946" spans="1:5" x14ac:dyDescent="0.3">
      <c r="A2946" s="397"/>
      <c r="B2946" s="709">
        <v>101584</v>
      </c>
      <c r="C2946" s="710" t="s">
        <v>13417</v>
      </c>
      <c r="D2946" s="709" t="s">
        <v>168</v>
      </c>
      <c r="E2946" s="711">
        <v>0.49270000000000003</v>
      </c>
    </row>
    <row r="2947" spans="1:5" x14ac:dyDescent="0.3">
      <c r="A2947" s="397"/>
      <c r="B2947" s="709">
        <v>101587</v>
      </c>
      <c r="C2947" s="710" t="s">
        <v>13418</v>
      </c>
      <c r="D2947" s="709" t="s">
        <v>168</v>
      </c>
      <c r="E2947" s="711">
        <v>0.52869999999999995</v>
      </c>
    </row>
    <row r="2948" spans="1:5" x14ac:dyDescent="0.3">
      <c r="A2948" s="397"/>
      <c r="B2948" s="709">
        <v>101586</v>
      </c>
      <c r="C2948" s="710" t="s">
        <v>13419</v>
      </c>
      <c r="D2948" s="709" t="s">
        <v>168</v>
      </c>
      <c r="E2948" s="711">
        <v>0.39439999999999997</v>
      </c>
    </row>
    <row r="2949" spans="1:5" x14ac:dyDescent="0.3">
      <c r="A2949" s="397"/>
      <c r="B2949" s="709">
        <v>101577</v>
      </c>
      <c r="C2949" s="710" t="s">
        <v>13420</v>
      </c>
      <c r="D2949" s="709" t="s">
        <v>168</v>
      </c>
      <c r="E2949" s="711">
        <v>0.62319999999999998</v>
      </c>
    </row>
    <row r="2950" spans="1:5" x14ac:dyDescent="0.3">
      <c r="A2950" s="397"/>
      <c r="B2950" s="709">
        <v>101576</v>
      </c>
      <c r="C2950" s="710" t="s">
        <v>13421</v>
      </c>
      <c r="D2950" s="709" t="s">
        <v>168</v>
      </c>
      <c r="E2950" s="711">
        <v>0.54900000000000004</v>
      </c>
    </row>
    <row r="2951" spans="1:5" x14ac:dyDescent="0.3">
      <c r="A2951" s="397"/>
      <c r="B2951" s="709">
        <v>101579</v>
      </c>
      <c r="C2951" s="710" t="s">
        <v>13422</v>
      </c>
      <c r="D2951" s="709" t="s">
        <v>168</v>
      </c>
      <c r="E2951" s="711">
        <v>0.60050000000000003</v>
      </c>
    </row>
    <row r="2952" spans="1:5" x14ac:dyDescent="0.3">
      <c r="A2952" s="397"/>
      <c r="B2952" s="709">
        <v>101578</v>
      </c>
      <c r="C2952" s="710" t="s">
        <v>13423</v>
      </c>
      <c r="D2952" s="709" t="s">
        <v>168</v>
      </c>
      <c r="E2952" s="711">
        <v>0.50470000000000004</v>
      </c>
    </row>
    <row r="2953" spans="1:5" x14ac:dyDescent="0.3">
      <c r="A2953" s="397"/>
      <c r="B2953" s="709">
        <v>101581</v>
      </c>
      <c r="C2953" s="710" t="s">
        <v>13424</v>
      </c>
      <c r="D2953" s="709" t="s">
        <v>168</v>
      </c>
      <c r="E2953" s="711">
        <v>0.52359999999999995</v>
      </c>
    </row>
    <row r="2954" spans="1:5" x14ac:dyDescent="0.3">
      <c r="A2954" s="397"/>
      <c r="B2954" s="709">
        <v>101580</v>
      </c>
      <c r="C2954" s="710" t="s">
        <v>13425</v>
      </c>
      <c r="D2954" s="709" t="s">
        <v>168</v>
      </c>
      <c r="E2954" s="711">
        <v>0.39450000000000002</v>
      </c>
    </row>
    <row r="2955" spans="1:5" x14ac:dyDescent="0.3">
      <c r="A2955" s="397"/>
      <c r="B2955" s="709">
        <v>101571</v>
      </c>
      <c r="C2955" s="710" t="s">
        <v>13426</v>
      </c>
      <c r="D2955" s="709" t="s">
        <v>168</v>
      </c>
      <c r="E2955" s="711">
        <v>0.76480000000000004</v>
      </c>
    </row>
    <row r="2956" spans="1:5" x14ac:dyDescent="0.3">
      <c r="A2956" s="397"/>
      <c r="B2956" s="709">
        <v>101570</v>
      </c>
      <c r="C2956" s="710" t="s">
        <v>13427</v>
      </c>
      <c r="D2956" s="709" t="s">
        <v>168</v>
      </c>
      <c r="E2956" s="711">
        <v>0.72040000000000004</v>
      </c>
    </row>
    <row r="2957" spans="1:5" x14ac:dyDescent="0.3">
      <c r="A2957" s="397"/>
      <c r="B2957" s="709">
        <v>101573</v>
      </c>
      <c r="C2957" s="710" t="s">
        <v>13428</v>
      </c>
      <c r="D2957" s="709" t="s">
        <v>168</v>
      </c>
      <c r="E2957" s="711">
        <v>0.75029999999999997</v>
      </c>
    </row>
    <row r="2958" spans="1:5" x14ac:dyDescent="0.3">
      <c r="A2958" s="397"/>
      <c r="B2958" s="709">
        <v>101572</v>
      </c>
      <c r="C2958" s="710" t="s">
        <v>13429</v>
      </c>
      <c r="D2958" s="709" t="s">
        <v>168</v>
      </c>
      <c r="E2958" s="711">
        <v>0.68879999999999997</v>
      </c>
    </row>
    <row r="2959" spans="1:5" x14ac:dyDescent="0.3">
      <c r="A2959" s="397"/>
      <c r="B2959" s="709">
        <v>101575</v>
      </c>
      <c r="C2959" s="710" t="s">
        <v>13430</v>
      </c>
      <c r="D2959" s="709" t="s">
        <v>168</v>
      </c>
      <c r="E2959" s="711">
        <v>0.69579999999999997</v>
      </c>
    </row>
    <row r="2960" spans="1:5" x14ac:dyDescent="0.3">
      <c r="A2960" s="397"/>
      <c r="B2960" s="709">
        <v>101574</v>
      </c>
      <c r="C2960" s="710" t="s">
        <v>13431</v>
      </c>
      <c r="D2960" s="709" t="s">
        <v>168</v>
      </c>
      <c r="E2960" s="711">
        <v>0.60229999999999995</v>
      </c>
    </row>
    <row r="2961" spans="1:5" x14ac:dyDescent="0.3">
      <c r="A2961" s="397"/>
      <c r="B2961" s="709">
        <v>101589</v>
      </c>
      <c r="C2961" s="710" t="s">
        <v>13432</v>
      </c>
      <c r="D2961" s="709" t="s">
        <v>168</v>
      </c>
      <c r="E2961" s="711">
        <v>0.50039999999999996</v>
      </c>
    </row>
    <row r="2962" spans="1:5" x14ac:dyDescent="0.3">
      <c r="A2962" s="397"/>
      <c r="B2962" s="709">
        <v>106673</v>
      </c>
      <c r="C2962" s="710" t="s">
        <v>13433</v>
      </c>
      <c r="D2962" s="709" t="s">
        <v>168</v>
      </c>
      <c r="E2962" s="711">
        <v>0.99270000000000003</v>
      </c>
    </row>
    <row r="2963" spans="1:5" x14ac:dyDescent="0.3">
      <c r="A2963" s="397"/>
      <c r="B2963" s="709">
        <v>101617</v>
      </c>
      <c r="C2963" s="710" t="s">
        <v>13434</v>
      </c>
      <c r="D2963" s="709" t="s">
        <v>168</v>
      </c>
      <c r="E2963" s="711">
        <v>0.98729999999999996</v>
      </c>
    </row>
    <row r="2964" spans="1:5" x14ac:dyDescent="0.3">
      <c r="A2964" s="397"/>
      <c r="B2964" s="709">
        <v>101620</v>
      </c>
      <c r="C2964" s="710" t="s">
        <v>13435</v>
      </c>
      <c r="D2964" s="709" t="s">
        <v>170</v>
      </c>
      <c r="E2964" s="711">
        <v>0.50039999999999996</v>
      </c>
    </row>
    <row r="2965" spans="1:5" x14ac:dyDescent="0.3">
      <c r="A2965" s="397"/>
      <c r="B2965" s="709">
        <v>101625</v>
      </c>
      <c r="C2965" s="710" t="s">
        <v>13436</v>
      </c>
      <c r="D2965" s="709" t="s">
        <v>170</v>
      </c>
      <c r="E2965" s="711">
        <v>0.29809999999999998</v>
      </c>
    </row>
    <row r="2966" spans="1:5" x14ac:dyDescent="0.3">
      <c r="A2966" s="397"/>
      <c r="B2966" s="709">
        <v>101621</v>
      </c>
      <c r="C2966" s="710" t="s">
        <v>13437</v>
      </c>
      <c r="D2966" s="709" t="s">
        <v>170</v>
      </c>
      <c r="E2966" s="711">
        <v>0.498</v>
      </c>
    </row>
    <row r="2967" spans="1:5" x14ac:dyDescent="0.3">
      <c r="A2967" s="397"/>
      <c r="B2967" s="709">
        <v>101624</v>
      </c>
      <c r="C2967" s="710" t="s">
        <v>13438</v>
      </c>
      <c r="D2967" s="709" t="s">
        <v>170</v>
      </c>
      <c r="E2967" s="711">
        <v>0.29520000000000002</v>
      </c>
    </row>
    <row r="2968" spans="1:5" x14ac:dyDescent="0.3">
      <c r="A2968" s="397"/>
      <c r="B2968" s="709">
        <v>106672</v>
      </c>
      <c r="C2968" s="710" t="s">
        <v>13439</v>
      </c>
      <c r="D2968" s="709" t="s">
        <v>168</v>
      </c>
      <c r="E2968" s="711">
        <v>0.99480000000000002</v>
      </c>
    </row>
    <row r="2969" spans="1:5" x14ac:dyDescent="0.3">
      <c r="A2969" s="397"/>
      <c r="B2969" s="709">
        <v>101616</v>
      </c>
      <c r="C2969" s="710" t="s">
        <v>13440</v>
      </c>
      <c r="D2969" s="709" t="s">
        <v>168</v>
      </c>
      <c r="E2969" s="711">
        <v>0.99309999999999998</v>
      </c>
    </row>
    <row r="2970" spans="1:5" x14ac:dyDescent="0.3">
      <c r="A2970" s="397"/>
      <c r="B2970" s="709">
        <v>101618</v>
      </c>
      <c r="C2970" s="710" t="s">
        <v>13441</v>
      </c>
      <c r="D2970" s="709" t="s">
        <v>170</v>
      </c>
      <c r="E2970" s="711">
        <v>0.55710000000000004</v>
      </c>
    </row>
    <row r="2971" spans="1:5" x14ac:dyDescent="0.3">
      <c r="A2971" s="397"/>
      <c r="B2971" s="709">
        <v>101622</v>
      </c>
      <c r="C2971" s="710" t="s">
        <v>13442</v>
      </c>
      <c r="D2971" s="709" t="s">
        <v>170</v>
      </c>
      <c r="E2971" s="711">
        <v>0.37369999999999998</v>
      </c>
    </row>
    <row r="2972" spans="1:5" x14ac:dyDescent="0.3">
      <c r="A2972" s="397"/>
      <c r="B2972" s="709">
        <v>101619</v>
      </c>
      <c r="C2972" s="710" t="s">
        <v>13443</v>
      </c>
      <c r="D2972" s="709" t="s">
        <v>170</v>
      </c>
      <c r="E2972" s="711">
        <v>0.5474</v>
      </c>
    </row>
    <row r="2973" spans="1:5" x14ac:dyDescent="0.3">
      <c r="A2973" s="397"/>
      <c r="B2973" s="709">
        <v>101623</v>
      </c>
      <c r="C2973" s="710" t="s">
        <v>13444</v>
      </c>
      <c r="D2973" s="709" t="s">
        <v>170</v>
      </c>
      <c r="E2973" s="711">
        <v>0.36670000000000003</v>
      </c>
    </row>
    <row r="2974" spans="1:5" x14ac:dyDescent="0.3">
      <c r="A2974" s="397"/>
      <c r="B2974" s="709">
        <v>104482</v>
      </c>
      <c r="C2974" s="710" t="s">
        <v>273</v>
      </c>
      <c r="D2974" s="709" t="s">
        <v>234</v>
      </c>
      <c r="E2974" s="711">
        <v>0.96040000000000003</v>
      </c>
    </row>
    <row r="2975" spans="1:5" x14ac:dyDescent="0.3">
      <c r="A2975" s="397"/>
      <c r="B2975" s="709">
        <v>104189</v>
      </c>
      <c r="C2975" s="710" t="s">
        <v>3542</v>
      </c>
      <c r="D2975" s="709" t="s">
        <v>170</v>
      </c>
      <c r="E2975" s="711">
        <v>0.29799999999999999</v>
      </c>
    </row>
    <row r="2976" spans="1:5" x14ac:dyDescent="0.3">
      <c r="A2976" s="397"/>
      <c r="B2976" s="709">
        <v>104185</v>
      </c>
      <c r="C2976" s="710" t="s">
        <v>3545</v>
      </c>
      <c r="D2976" s="709" t="s">
        <v>136</v>
      </c>
      <c r="E2976" s="711">
        <v>1</v>
      </c>
    </row>
    <row r="2977" spans="1:5" x14ac:dyDescent="0.3">
      <c r="A2977" s="397"/>
      <c r="B2977" s="709">
        <v>104182</v>
      </c>
      <c r="C2977" s="710" t="s">
        <v>3546</v>
      </c>
      <c r="D2977" s="709" t="s">
        <v>159</v>
      </c>
      <c r="E2977" s="711">
        <v>0.72740000000000005</v>
      </c>
    </row>
    <row r="2978" spans="1:5" x14ac:dyDescent="0.3">
      <c r="A2978" s="397"/>
      <c r="B2978" s="709">
        <v>104184</v>
      </c>
      <c r="C2978" s="710" t="s">
        <v>3547</v>
      </c>
      <c r="D2978" s="709" t="s">
        <v>136</v>
      </c>
      <c r="E2978" s="711">
        <v>0.66620000000000001</v>
      </c>
    </row>
    <row r="2979" spans="1:5" x14ac:dyDescent="0.3">
      <c r="A2979" s="397"/>
      <c r="B2979" s="709">
        <v>104190</v>
      </c>
      <c r="C2979" s="710" t="s">
        <v>3548</v>
      </c>
      <c r="D2979" s="709" t="s">
        <v>136</v>
      </c>
      <c r="E2979" s="711">
        <v>1</v>
      </c>
    </row>
    <row r="2980" spans="1:5" x14ac:dyDescent="0.3">
      <c r="A2980" s="397"/>
      <c r="B2980" s="709">
        <v>104463</v>
      </c>
      <c r="C2980" s="710" t="s">
        <v>3549</v>
      </c>
      <c r="D2980" s="709" t="s">
        <v>136</v>
      </c>
      <c r="E2980" s="711">
        <v>0.20899999999999999</v>
      </c>
    </row>
    <row r="2981" spans="1:5" x14ac:dyDescent="0.3">
      <c r="A2981" s="397"/>
      <c r="B2981" s="709">
        <v>104464</v>
      </c>
      <c r="C2981" s="710" t="s">
        <v>3550</v>
      </c>
      <c r="D2981" s="709" t="s">
        <v>136</v>
      </c>
      <c r="E2981" s="711">
        <v>0.21</v>
      </c>
    </row>
    <row r="2982" spans="1:5" x14ac:dyDescent="0.3">
      <c r="A2982" s="397"/>
      <c r="B2982" s="709">
        <v>104183</v>
      </c>
      <c r="C2982" s="710" t="s">
        <v>3551</v>
      </c>
      <c r="D2982" s="709" t="s">
        <v>159</v>
      </c>
      <c r="E2982" s="711">
        <v>8.6800000000000002E-2</v>
      </c>
    </row>
    <row r="2983" spans="1:5" x14ac:dyDescent="0.3">
      <c r="A2983" s="397"/>
      <c r="B2983" s="709">
        <v>104187</v>
      </c>
      <c r="C2983" s="710" t="s">
        <v>3552</v>
      </c>
      <c r="D2983" s="709" t="s">
        <v>159</v>
      </c>
      <c r="E2983" s="711">
        <v>0.04</v>
      </c>
    </row>
    <row r="2984" spans="1:5" x14ac:dyDescent="0.3">
      <c r="A2984" s="397"/>
      <c r="B2984" s="709">
        <v>104186</v>
      </c>
      <c r="C2984" s="710" t="s">
        <v>3553</v>
      </c>
      <c r="D2984" s="709" t="s">
        <v>159</v>
      </c>
      <c r="E2984" s="711">
        <v>0.2046</v>
      </c>
    </row>
    <row r="2985" spans="1:5" x14ac:dyDescent="0.3">
      <c r="A2985" s="397"/>
      <c r="B2985" s="709">
        <v>104180</v>
      </c>
      <c r="C2985" s="710" t="s">
        <v>3554</v>
      </c>
      <c r="D2985" s="709" t="s">
        <v>159</v>
      </c>
      <c r="E2985" s="711">
        <v>0.2591</v>
      </c>
    </row>
    <row r="2986" spans="1:5" x14ac:dyDescent="0.3">
      <c r="A2986" s="397"/>
      <c r="B2986" s="709">
        <v>104181</v>
      </c>
      <c r="C2986" s="710" t="s">
        <v>3555</v>
      </c>
      <c r="D2986" s="709" t="s">
        <v>159</v>
      </c>
      <c r="E2986" s="711">
        <v>0.26050000000000001</v>
      </c>
    </row>
    <row r="2987" spans="1:5" x14ac:dyDescent="0.3">
      <c r="A2987" s="397"/>
      <c r="B2987" s="709">
        <v>100674</v>
      </c>
      <c r="C2987" s="710" t="s">
        <v>3556</v>
      </c>
      <c r="D2987" s="709" t="s">
        <v>168</v>
      </c>
      <c r="E2987" s="711">
        <v>3.4099999999999998E-2</v>
      </c>
    </row>
    <row r="2988" spans="1:5" x14ac:dyDescent="0.3">
      <c r="A2988" s="397"/>
      <c r="B2988" s="709">
        <v>94589</v>
      </c>
      <c r="C2988" s="710" t="s">
        <v>3558</v>
      </c>
      <c r="D2988" s="709" t="s">
        <v>159</v>
      </c>
      <c r="E2988" s="711">
        <v>0.56720000000000004</v>
      </c>
    </row>
    <row r="2989" spans="1:5" x14ac:dyDescent="0.3">
      <c r="A2989" s="397"/>
      <c r="B2989" s="709">
        <v>94590</v>
      </c>
      <c r="C2989" s="710" t="s">
        <v>3559</v>
      </c>
      <c r="D2989" s="709" t="s">
        <v>159</v>
      </c>
      <c r="E2989" s="711">
        <v>0.52339999999999998</v>
      </c>
    </row>
    <row r="2990" spans="1:5" x14ac:dyDescent="0.3">
      <c r="A2990" s="397"/>
      <c r="B2990" s="709">
        <v>94587</v>
      </c>
      <c r="C2990" s="710" t="s">
        <v>3560</v>
      </c>
      <c r="D2990" s="709" t="s">
        <v>159</v>
      </c>
      <c r="E2990" s="711">
        <v>0.42970000000000003</v>
      </c>
    </row>
    <row r="2991" spans="1:5" x14ac:dyDescent="0.3">
      <c r="A2991" s="397"/>
      <c r="B2991" s="709">
        <v>94588</v>
      </c>
      <c r="C2991" s="710" t="s">
        <v>3561</v>
      </c>
      <c r="D2991" s="709" t="s">
        <v>159</v>
      </c>
      <c r="E2991" s="711">
        <v>0.45839999999999997</v>
      </c>
    </row>
    <row r="2992" spans="1:5" x14ac:dyDescent="0.3">
      <c r="A2992" s="397"/>
      <c r="B2992" s="709">
        <v>105812</v>
      </c>
      <c r="C2992" s="710" t="s">
        <v>3562</v>
      </c>
      <c r="D2992" s="709" t="s">
        <v>159</v>
      </c>
      <c r="E2992" s="711">
        <v>7.2999999999999995E-2</v>
      </c>
    </row>
    <row r="2993" spans="1:5" x14ac:dyDescent="0.3">
      <c r="A2993" s="397"/>
      <c r="B2993" s="709">
        <v>94570</v>
      </c>
      <c r="C2993" s="710" t="s">
        <v>3564</v>
      </c>
      <c r="D2993" s="709" t="s">
        <v>168</v>
      </c>
      <c r="E2993" s="711">
        <v>3.1300000000000001E-2</v>
      </c>
    </row>
    <row r="2994" spans="1:5" x14ac:dyDescent="0.3">
      <c r="A2994" s="397"/>
      <c r="B2994" s="709">
        <v>94572</v>
      </c>
      <c r="C2994" s="710" t="s">
        <v>3566</v>
      </c>
      <c r="D2994" s="709" t="s">
        <v>168</v>
      </c>
      <c r="E2994" s="711">
        <v>3.2399999999999998E-2</v>
      </c>
    </row>
    <row r="2995" spans="1:5" x14ac:dyDescent="0.3">
      <c r="A2995" s="397"/>
      <c r="B2995" s="709">
        <v>94573</v>
      </c>
      <c r="C2995" s="710" t="s">
        <v>3567</v>
      </c>
      <c r="D2995" s="709" t="s">
        <v>168</v>
      </c>
      <c r="E2995" s="711">
        <v>2.8000000000000001E-2</v>
      </c>
    </row>
    <row r="2996" spans="1:5" x14ac:dyDescent="0.3">
      <c r="A2996" s="397"/>
      <c r="B2996" s="709">
        <v>94569</v>
      </c>
      <c r="C2996" s="710" t="s">
        <v>3569</v>
      </c>
      <c r="D2996" s="709" t="s">
        <v>168</v>
      </c>
      <c r="E2996" s="711">
        <v>5.3699999999999998E-2</v>
      </c>
    </row>
    <row r="2997" spans="1:5" x14ac:dyDescent="0.3">
      <c r="A2997" s="397"/>
      <c r="B2997" s="709">
        <v>94562</v>
      </c>
      <c r="C2997" s="710" t="s">
        <v>3572</v>
      </c>
      <c r="D2997" s="709" t="s">
        <v>168</v>
      </c>
      <c r="E2997" s="711">
        <v>0.1169</v>
      </c>
    </row>
    <row r="2998" spans="1:5" x14ac:dyDescent="0.3">
      <c r="A2998" s="397"/>
      <c r="B2998" s="709">
        <v>105813</v>
      </c>
      <c r="C2998" s="710" t="s">
        <v>3573</v>
      </c>
      <c r="D2998" s="709" t="s">
        <v>168</v>
      </c>
      <c r="E2998" s="711">
        <v>0.24540000000000001</v>
      </c>
    </row>
    <row r="2999" spans="1:5" x14ac:dyDescent="0.3">
      <c r="A2999" s="397"/>
      <c r="B2999" s="709">
        <v>94559</v>
      </c>
      <c r="C2999" s="710" t="s">
        <v>3574</v>
      </c>
      <c r="D2999" s="709" t="s">
        <v>168</v>
      </c>
      <c r="E2999" s="711">
        <v>0.34499999999999997</v>
      </c>
    </row>
    <row r="3000" spans="1:5" x14ac:dyDescent="0.3">
      <c r="A3000" s="397"/>
      <c r="B3000" s="709">
        <v>100668</v>
      </c>
      <c r="C3000" s="710" t="s">
        <v>3575</v>
      </c>
      <c r="D3000" s="709" t="s">
        <v>168</v>
      </c>
      <c r="E3000" s="711">
        <v>0.13519999999999999</v>
      </c>
    </row>
    <row r="3001" spans="1:5" x14ac:dyDescent="0.3">
      <c r="A3001" s="397"/>
      <c r="B3001" s="709">
        <v>100670</v>
      </c>
      <c r="C3001" s="710" t="s">
        <v>3576</v>
      </c>
      <c r="D3001" s="709" t="s">
        <v>168</v>
      </c>
      <c r="E3001" s="711">
        <v>6.8199999999999997E-2</v>
      </c>
    </row>
    <row r="3002" spans="1:5" x14ac:dyDescent="0.3">
      <c r="A3002" s="397"/>
      <c r="B3002" s="709">
        <v>100665</v>
      </c>
      <c r="C3002" s="710" t="s">
        <v>3577</v>
      </c>
      <c r="D3002" s="709" t="s">
        <v>168</v>
      </c>
      <c r="E3002" s="711">
        <v>9.3200000000000005E-2</v>
      </c>
    </row>
    <row r="3003" spans="1:5" x14ac:dyDescent="0.3">
      <c r="A3003" s="397"/>
      <c r="B3003" s="709">
        <v>100671</v>
      </c>
      <c r="C3003" s="710" t="s">
        <v>3579</v>
      </c>
      <c r="D3003" s="709" t="s">
        <v>168</v>
      </c>
      <c r="E3003" s="711">
        <v>5.5500000000000001E-2</v>
      </c>
    </row>
    <row r="3004" spans="1:5" x14ac:dyDescent="0.3">
      <c r="A3004" s="397"/>
      <c r="B3004" s="709">
        <v>100667</v>
      </c>
      <c r="C3004" s="710" t="s">
        <v>3580</v>
      </c>
      <c r="D3004" s="709" t="s">
        <v>168</v>
      </c>
      <c r="E3004" s="711">
        <v>7.3400000000000007E-2</v>
      </c>
    </row>
    <row r="3005" spans="1:5" x14ac:dyDescent="0.3">
      <c r="A3005" s="397"/>
      <c r="B3005" s="709">
        <v>100669</v>
      </c>
      <c r="C3005" s="710" t="s">
        <v>3581</v>
      </c>
      <c r="D3005" s="709" t="s">
        <v>168</v>
      </c>
      <c r="E3005" s="711">
        <v>0.18229999999999999</v>
      </c>
    </row>
    <row r="3006" spans="1:5" x14ac:dyDescent="0.3">
      <c r="A3006" s="397"/>
      <c r="B3006" s="709">
        <v>100672</v>
      </c>
      <c r="C3006" s="710" t="s">
        <v>3582</v>
      </c>
      <c r="D3006" s="709" t="s">
        <v>168</v>
      </c>
      <c r="E3006" s="711">
        <v>8.4099999999999994E-2</v>
      </c>
    </row>
    <row r="3007" spans="1:5" x14ac:dyDescent="0.3">
      <c r="A3007" s="397"/>
      <c r="B3007" s="709">
        <v>100666</v>
      </c>
      <c r="C3007" s="710" t="s">
        <v>3583</v>
      </c>
      <c r="D3007" s="709" t="s">
        <v>168</v>
      </c>
      <c r="E3007" s="711">
        <v>0.11509999999999999</v>
      </c>
    </row>
    <row r="3008" spans="1:5" x14ac:dyDescent="0.3">
      <c r="A3008" s="397"/>
      <c r="B3008" s="709">
        <v>105925</v>
      </c>
      <c r="C3008" s="710" t="s">
        <v>13445</v>
      </c>
      <c r="D3008" s="709" t="s">
        <v>159</v>
      </c>
      <c r="E3008" s="711">
        <v>0.96599999999999997</v>
      </c>
    </row>
    <row r="3009" spans="1:5" x14ac:dyDescent="0.3">
      <c r="A3009" s="397"/>
      <c r="B3009" s="709">
        <v>100659</v>
      </c>
      <c r="C3009" s="710" t="s">
        <v>13446</v>
      </c>
      <c r="D3009" s="709" t="s">
        <v>159</v>
      </c>
      <c r="E3009" s="711">
        <v>0.16719999999999999</v>
      </c>
    </row>
    <row r="3010" spans="1:5" x14ac:dyDescent="0.3">
      <c r="A3010" s="397"/>
      <c r="B3010" s="709">
        <v>100660</v>
      </c>
      <c r="C3010" s="710" t="s">
        <v>13447</v>
      </c>
      <c r="D3010" s="709" t="s">
        <v>159</v>
      </c>
      <c r="E3010" s="711">
        <v>0.251</v>
      </c>
    </row>
    <row r="3011" spans="1:5" x14ac:dyDescent="0.3">
      <c r="A3011" s="397"/>
      <c r="B3011" s="709">
        <v>100676</v>
      </c>
      <c r="C3011" s="710" t="s">
        <v>13448</v>
      </c>
      <c r="D3011" s="709" t="s">
        <v>136</v>
      </c>
      <c r="E3011" s="711">
        <v>0.41189999999999999</v>
      </c>
    </row>
    <row r="3012" spans="1:5" x14ac:dyDescent="0.3">
      <c r="A3012" s="397"/>
      <c r="B3012" s="709">
        <v>90806</v>
      </c>
      <c r="C3012" s="710" t="s">
        <v>13449</v>
      </c>
      <c r="D3012" s="709" t="s">
        <v>136</v>
      </c>
      <c r="E3012" s="711">
        <v>0.4244</v>
      </c>
    </row>
    <row r="3013" spans="1:5" x14ac:dyDescent="0.3">
      <c r="A3013" s="397"/>
      <c r="B3013" s="709">
        <v>91292</v>
      </c>
      <c r="C3013" s="710" t="s">
        <v>13450</v>
      </c>
      <c r="D3013" s="709" t="s">
        <v>136</v>
      </c>
      <c r="E3013" s="711">
        <v>0.53200000000000003</v>
      </c>
    </row>
    <row r="3014" spans="1:5" x14ac:dyDescent="0.3">
      <c r="A3014" s="397"/>
      <c r="B3014" s="709">
        <v>90801</v>
      </c>
      <c r="C3014" s="710" t="s">
        <v>13451</v>
      </c>
      <c r="D3014" s="709" t="s">
        <v>136</v>
      </c>
      <c r="E3014" s="711">
        <v>0.32329999999999998</v>
      </c>
    </row>
    <row r="3015" spans="1:5" x14ac:dyDescent="0.3">
      <c r="A3015" s="397"/>
      <c r="B3015" s="709">
        <v>91287</v>
      </c>
      <c r="C3015" s="710" t="s">
        <v>13452</v>
      </c>
      <c r="D3015" s="709" t="s">
        <v>136</v>
      </c>
      <c r="E3015" s="711">
        <v>0.43519999999999998</v>
      </c>
    </row>
    <row r="3016" spans="1:5" x14ac:dyDescent="0.3">
      <c r="A3016" s="397"/>
      <c r="B3016" s="709">
        <v>100706</v>
      </c>
      <c r="C3016" s="710" t="s">
        <v>13453</v>
      </c>
      <c r="D3016" s="709" t="s">
        <v>136</v>
      </c>
      <c r="E3016" s="711">
        <v>0.65210000000000001</v>
      </c>
    </row>
    <row r="3017" spans="1:5" x14ac:dyDescent="0.3">
      <c r="A3017" s="397"/>
      <c r="B3017" s="709">
        <v>100709</v>
      </c>
      <c r="C3017" s="710" t="s">
        <v>13454</v>
      </c>
      <c r="D3017" s="709" t="s">
        <v>136</v>
      </c>
      <c r="E3017" s="711">
        <v>0.72009999999999996</v>
      </c>
    </row>
    <row r="3018" spans="1:5" x14ac:dyDescent="0.3">
      <c r="A3018" s="397"/>
      <c r="B3018" s="709">
        <v>100710</v>
      </c>
      <c r="C3018" s="710" t="s">
        <v>13455</v>
      </c>
      <c r="D3018" s="709" t="s">
        <v>136</v>
      </c>
      <c r="E3018" s="711">
        <v>0.39300000000000002</v>
      </c>
    </row>
    <row r="3019" spans="1:5" x14ac:dyDescent="0.3">
      <c r="A3019" s="397"/>
      <c r="B3019" s="709">
        <v>90830</v>
      </c>
      <c r="C3019" s="710" t="s">
        <v>13456</v>
      </c>
      <c r="D3019" s="709" t="s">
        <v>136</v>
      </c>
      <c r="E3019" s="711">
        <v>0.22689999999999999</v>
      </c>
    </row>
    <row r="3020" spans="1:5" x14ac:dyDescent="0.3">
      <c r="A3020" s="397"/>
      <c r="B3020" s="709">
        <v>91304</v>
      </c>
      <c r="C3020" s="710" t="s">
        <v>13457</v>
      </c>
      <c r="D3020" s="709" t="s">
        <v>136</v>
      </c>
      <c r="E3020" s="711">
        <v>0.36730000000000002</v>
      </c>
    </row>
    <row r="3021" spans="1:5" x14ac:dyDescent="0.3">
      <c r="A3021" s="397"/>
      <c r="B3021" s="709">
        <v>90831</v>
      </c>
      <c r="C3021" s="710" t="s">
        <v>13458</v>
      </c>
      <c r="D3021" s="709" t="s">
        <v>136</v>
      </c>
      <c r="E3021" s="711">
        <v>0.19869999999999999</v>
      </c>
    </row>
    <row r="3022" spans="1:5" x14ac:dyDescent="0.3">
      <c r="A3022" s="397"/>
      <c r="B3022" s="709">
        <v>91305</v>
      </c>
      <c r="C3022" s="710" t="s">
        <v>13459</v>
      </c>
      <c r="D3022" s="709" t="s">
        <v>136</v>
      </c>
      <c r="E3022" s="711">
        <v>0.28420000000000001</v>
      </c>
    </row>
    <row r="3023" spans="1:5" x14ac:dyDescent="0.3">
      <c r="A3023" s="397"/>
      <c r="B3023" s="709">
        <v>91306</v>
      </c>
      <c r="C3023" s="710" t="s">
        <v>13460</v>
      </c>
      <c r="D3023" s="709" t="s">
        <v>136</v>
      </c>
      <c r="E3023" s="711">
        <v>0.19869999999999999</v>
      </c>
    </row>
    <row r="3024" spans="1:5" x14ac:dyDescent="0.3">
      <c r="A3024" s="397"/>
      <c r="B3024" s="709">
        <v>91307</v>
      </c>
      <c r="C3024" s="710" t="s">
        <v>13461</v>
      </c>
      <c r="D3024" s="709" t="s">
        <v>136</v>
      </c>
      <c r="E3024" s="711">
        <v>0.33250000000000002</v>
      </c>
    </row>
    <row r="3025" spans="1:5" x14ac:dyDescent="0.3">
      <c r="A3025" s="397"/>
      <c r="B3025" s="709">
        <v>100707</v>
      </c>
      <c r="C3025" s="710" t="s">
        <v>13462</v>
      </c>
      <c r="D3025" s="709" t="s">
        <v>136</v>
      </c>
      <c r="E3025" s="711">
        <v>0.32040000000000002</v>
      </c>
    </row>
    <row r="3026" spans="1:5" x14ac:dyDescent="0.3">
      <c r="A3026" s="397"/>
      <c r="B3026" s="709">
        <v>100708</v>
      </c>
      <c r="C3026" s="710" t="s">
        <v>13463</v>
      </c>
      <c r="D3026" s="709" t="s">
        <v>136</v>
      </c>
      <c r="E3026" s="711">
        <v>0.28549999999999998</v>
      </c>
    </row>
    <row r="3027" spans="1:5" x14ac:dyDescent="0.3">
      <c r="A3027" s="397"/>
      <c r="B3027" s="709">
        <v>91328</v>
      </c>
      <c r="C3027" s="710" t="s">
        <v>13464</v>
      </c>
      <c r="D3027" s="709" t="s">
        <v>136</v>
      </c>
      <c r="E3027" s="711">
        <v>0.2863</v>
      </c>
    </row>
    <row r="3028" spans="1:5" x14ac:dyDescent="0.3">
      <c r="A3028" s="397"/>
      <c r="B3028" s="709">
        <v>100687</v>
      </c>
      <c r="C3028" s="710" t="s">
        <v>13465</v>
      </c>
      <c r="D3028" s="709" t="s">
        <v>136</v>
      </c>
      <c r="E3028" s="711">
        <v>0.2732</v>
      </c>
    </row>
    <row r="3029" spans="1:5" x14ac:dyDescent="0.3">
      <c r="A3029" s="397"/>
      <c r="B3029" s="709">
        <v>100681</v>
      </c>
      <c r="C3029" s="710" t="s">
        <v>13466</v>
      </c>
      <c r="D3029" s="709" t="s">
        <v>136</v>
      </c>
      <c r="E3029" s="711">
        <v>0.27189999999999998</v>
      </c>
    </row>
    <row r="3030" spans="1:5" x14ac:dyDescent="0.3">
      <c r="A3030" s="397"/>
      <c r="B3030" s="709">
        <v>91330</v>
      </c>
      <c r="C3030" s="710" t="s">
        <v>13467</v>
      </c>
      <c r="D3030" s="709" t="s">
        <v>136</v>
      </c>
      <c r="E3030" s="711">
        <v>0.28439999999999999</v>
      </c>
    </row>
    <row r="3031" spans="1:5" x14ac:dyDescent="0.3">
      <c r="A3031" s="397"/>
      <c r="B3031" s="709">
        <v>100689</v>
      </c>
      <c r="C3031" s="710" t="s">
        <v>13468</v>
      </c>
      <c r="D3031" s="709" t="s">
        <v>136</v>
      </c>
      <c r="E3031" s="711">
        <v>0.27089999999999997</v>
      </c>
    </row>
    <row r="3032" spans="1:5" x14ac:dyDescent="0.3">
      <c r="A3032" s="397"/>
      <c r="B3032" s="709">
        <v>91332</v>
      </c>
      <c r="C3032" s="710" t="s">
        <v>13469</v>
      </c>
      <c r="D3032" s="709" t="s">
        <v>136</v>
      </c>
      <c r="E3032" s="711">
        <v>0.27910000000000001</v>
      </c>
    </row>
    <row r="3033" spans="1:5" x14ac:dyDescent="0.3">
      <c r="A3033" s="397"/>
      <c r="B3033" s="709">
        <v>100688</v>
      </c>
      <c r="C3033" s="710" t="s">
        <v>13470</v>
      </c>
      <c r="D3033" s="709" t="s">
        <v>136</v>
      </c>
      <c r="E3033" s="711">
        <v>0.3271</v>
      </c>
    </row>
    <row r="3034" spans="1:5" x14ac:dyDescent="0.3">
      <c r="A3034" s="397"/>
      <c r="B3034" s="709">
        <v>91329</v>
      </c>
      <c r="C3034" s="710" t="s">
        <v>13471</v>
      </c>
      <c r="D3034" s="709" t="s">
        <v>136</v>
      </c>
      <c r="E3034" s="711">
        <v>0.33329999999999999</v>
      </c>
    </row>
    <row r="3035" spans="1:5" x14ac:dyDescent="0.3">
      <c r="A3035" s="397"/>
      <c r="B3035" s="709">
        <v>100682</v>
      </c>
      <c r="C3035" s="710" t="s">
        <v>13472</v>
      </c>
      <c r="D3035" s="709" t="s">
        <v>136</v>
      </c>
      <c r="E3035" s="711">
        <v>0.33</v>
      </c>
    </row>
    <row r="3036" spans="1:5" x14ac:dyDescent="0.3">
      <c r="A3036" s="397"/>
      <c r="B3036" s="709">
        <v>91331</v>
      </c>
      <c r="C3036" s="710" t="s">
        <v>13473</v>
      </c>
      <c r="D3036" s="709" t="s">
        <v>136</v>
      </c>
      <c r="E3036" s="711">
        <v>0.32979999999999998</v>
      </c>
    </row>
    <row r="3037" spans="1:5" x14ac:dyDescent="0.3">
      <c r="A3037" s="397"/>
      <c r="B3037" s="709">
        <v>100690</v>
      </c>
      <c r="C3037" s="710" t="s">
        <v>13474</v>
      </c>
      <c r="D3037" s="709" t="s">
        <v>136</v>
      </c>
      <c r="E3037" s="711">
        <v>0.32729999999999998</v>
      </c>
    </row>
    <row r="3038" spans="1:5" x14ac:dyDescent="0.3">
      <c r="A3038" s="397"/>
      <c r="B3038" s="709">
        <v>91333</v>
      </c>
      <c r="C3038" s="710" t="s">
        <v>13475</v>
      </c>
      <c r="D3038" s="709" t="s">
        <v>136</v>
      </c>
      <c r="E3038" s="711">
        <v>0.32190000000000002</v>
      </c>
    </row>
    <row r="3039" spans="1:5" x14ac:dyDescent="0.3">
      <c r="A3039" s="397"/>
      <c r="B3039" s="709">
        <v>90845</v>
      </c>
      <c r="C3039" s="710" t="s">
        <v>13476</v>
      </c>
      <c r="D3039" s="709" t="s">
        <v>136</v>
      </c>
      <c r="E3039" s="711">
        <v>0.24790000000000001</v>
      </c>
    </row>
    <row r="3040" spans="1:5" x14ac:dyDescent="0.3">
      <c r="A3040" s="397"/>
      <c r="B3040" s="709">
        <v>90846</v>
      </c>
      <c r="C3040" s="710" t="s">
        <v>13477</v>
      </c>
      <c r="D3040" s="709" t="s">
        <v>136</v>
      </c>
      <c r="E3040" s="711">
        <v>0.2412</v>
      </c>
    </row>
    <row r="3041" spans="1:5" x14ac:dyDescent="0.3">
      <c r="A3041" s="397"/>
      <c r="B3041" s="709">
        <v>91316</v>
      </c>
      <c r="C3041" s="710" t="s">
        <v>13478</v>
      </c>
      <c r="D3041" s="709" t="s">
        <v>136</v>
      </c>
      <c r="E3041" s="711">
        <v>0.2903</v>
      </c>
    </row>
    <row r="3042" spans="1:5" x14ac:dyDescent="0.3">
      <c r="A3042" s="397"/>
      <c r="B3042" s="709">
        <v>91317</v>
      </c>
      <c r="C3042" s="710" t="s">
        <v>13479</v>
      </c>
      <c r="D3042" s="709" t="s">
        <v>136</v>
      </c>
      <c r="E3042" s="711">
        <v>0.28039999999999998</v>
      </c>
    </row>
    <row r="3043" spans="1:5" x14ac:dyDescent="0.3">
      <c r="A3043" s="397"/>
      <c r="B3043" s="709">
        <v>90841</v>
      </c>
      <c r="C3043" s="710" t="s">
        <v>13480</v>
      </c>
      <c r="D3043" s="709" t="s">
        <v>136</v>
      </c>
      <c r="E3043" s="711">
        <v>0.27850000000000003</v>
      </c>
    </row>
    <row r="3044" spans="1:5" x14ac:dyDescent="0.3">
      <c r="A3044" s="397"/>
      <c r="B3044" s="709">
        <v>90847</v>
      </c>
      <c r="C3044" s="710" t="s">
        <v>13481</v>
      </c>
      <c r="D3044" s="709" t="s">
        <v>136</v>
      </c>
      <c r="E3044" s="711">
        <v>0.2928</v>
      </c>
    </row>
    <row r="3045" spans="1:5" x14ac:dyDescent="0.3">
      <c r="A3045" s="397"/>
      <c r="B3045" s="709">
        <v>90842</v>
      </c>
      <c r="C3045" s="710" t="s">
        <v>13482</v>
      </c>
      <c r="D3045" s="709" t="s">
        <v>136</v>
      </c>
      <c r="E3045" s="711">
        <v>0.28149999999999997</v>
      </c>
    </row>
    <row r="3046" spans="1:5" x14ac:dyDescent="0.3">
      <c r="A3046" s="397"/>
      <c r="B3046" s="709">
        <v>90848</v>
      </c>
      <c r="C3046" s="710" t="s">
        <v>13483</v>
      </c>
      <c r="D3046" s="709" t="s">
        <v>136</v>
      </c>
      <c r="E3046" s="711">
        <v>0.29620000000000002</v>
      </c>
    </row>
    <row r="3047" spans="1:5" x14ac:dyDescent="0.3">
      <c r="A3047" s="397"/>
      <c r="B3047" s="709">
        <v>90843</v>
      </c>
      <c r="C3047" s="710" t="s">
        <v>13484</v>
      </c>
      <c r="D3047" s="709" t="s">
        <v>136</v>
      </c>
      <c r="E3047" s="711">
        <v>0.28310000000000002</v>
      </c>
    </row>
    <row r="3048" spans="1:5" x14ac:dyDescent="0.3">
      <c r="A3048" s="397"/>
      <c r="B3048" s="709">
        <v>90849</v>
      </c>
      <c r="C3048" s="710" t="s">
        <v>13485</v>
      </c>
      <c r="D3048" s="709" t="s">
        <v>136</v>
      </c>
      <c r="E3048" s="711">
        <v>0.29420000000000002</v>
      </c>
    </row>
    <row r="3049" spans="1:5" x14ac:dyDescent="0.3">
      <c r="A3049" s="397"/>
      <c r="B3049" s="709">
        <v>90844</v>
      </c>
      <c r="C3049" s="710" t="s">
        <v>13486</v>
      </c>
      <c r="D3049" s="709" t="s">
        <v>136</v>
      </c>
      <c r="E3049" s="711">
        <v>0.26900000000000002</v>
      </c>
    </row>
    <row r="3050" spans="1:5" x14ac:dyDescent="0.3">
      <c r="A3050" s="397"/>
      <c r="B3050" s="709">
        <v>90850</v>
      </c>
      <c r="C3050" s="710" t="s">
        <v>13487</v>
      </c>
      <c r="D3050" s="709" t="s">
        <v>136</v>
      </c>
      <c r="E3050" s="711">
        <v>0.2767</v>
      </c>
    </row>
    <row r="3051" spans="1:5" x14ac:dyDescent="0.3">
      <c r="A3051" s="397"/>
      <c r="B3051" s="709">
        <v>91312</v>
      </c>
      <c r="C3051" s="710" t="s">
        <v>13488</v>
      </c>
      <c r="D3051" s="709" t="s">
        <v>136</v>
      </c>
      <c r="E3051" s="711">
        <v>0.3347</v>
      </c>
    </row>
    <row r="3052" spans="1:5" x14ac:dyDescent="0.3">
      <c r="A3052" s="397"/>
      <c r="B3052" s="709">
        <v>91318</v>
      </c>
      <c r="C3052" s="710" t="s">
        <v>13489</v>
      </c>
      <c r="D3052" s="709" t="s">
        <v>136</v>
      </c>
      <c r="E3052" s="711">
        <v>0.34210000000000002</v>
      </c>
    </row>
    <row r="3053" spans="1:5" x14ac:dyDescent="0.3">
      <c r="A3053" s="397"/>
      <c r="B3053" s="709">
        <v>91313</v>
      </c>
      <c r="C3053" s="710" t="s">
        <v>13490</v>
      </c>
      <c r="D3053" s="709" t="s">
        <v>136</v>
      </c>
      <c r="E3053" s="711">
        <v>0.34429999999999999</v>
      </c>
    </row>
    <row r="3054" spans="1:5" x14ac:dyDescent="0.3">
      <c r="A3054" s="397"/>
      <c r="B3054" s="709">
        <v>91319</v>
      </c>
      <c r="C3054" s="710" t="s">
        <v>13491</v>
      </c>
      <c r="D3054" s="709" t="s">
        <v>136</v>
      </c>
      <c r="E3054" s="711">
        <v>0.3458</v>
      </c>
    </row>
    <row r="3055" spans="1:5" x14ac:dyDescent="0.3">
      <c r="A3055" s="397"/>
      <c r="B3055" s="709">
        <v>91314</v>
      </c>
      <c r="C3055" s="710" t="s">
        <v>13492</v>
      </c>
      <c r="D3055" s="709" t="s">
        <v>136</v>
      </c>
      <c r="E3055" s="711">
        <v>0.3453</v>
      </c>
    </row>
    <row r="3056" spans="1:5" x14ac:dyDescent="0.3">
      <c r="A3056" s="397"/>
      <c r="B3056" s="709">
        <v>91320</v>
      </c>
      <c r="C3056" s="710" t="s">
        <v>13493</v>
      </c>
      <c r="D3056" s="709" t="s">
        <v>136</v>
      </c>
      <c r="E3056" s="711">
        <v>0.3422</v>
      </c>
    </row>
    <row r="3057" spans="1:5" x14ac:dyDescent="0.3">
      <c r="A3057" s="397"/>
      <c r="B3057" s="709">
        <v>91315</v>
      </c>
      <c r="C3057" s="710" t="s">
        <v>13494</v>
      </c>
      <c r="D3057" s="709" t="s">
        <v>136</v>
      </c>
      <c r="E3057" s="711">
        <v>0.3236</v>
      </c>
    </row>
    <row r="3058" spans="1:5" x14ac:dyDescent="0.3">
      <c r="A3058" s="397"/>
      <c r="B3058" s="709">
        <v>91321</v>
      </c>
      <c r="C3058" s="710" t="s">
        <v>13495</v>
      </c>
      <c r="D3058" s="709" t="s">
        <v>136</v>
      </c>
      <c r="E3058" s="711">
        <v>0.31790000000000002</v>
      </c>
    </row>
    <row r="3059" spans="1:5" x14ac:dyDescent="0.3">
      <c r="A3059" s="397"/>
      <c r="B3059" s="709">
        <v>90851</v>
      </c>
      <c r="C3059" s="710" t="s">
        <v>13496</v>
      </c>
      <c r="D3059" s="709" t="s">
        <v>136</v>
      </c>
      <c r="E3059" s="711">
        <v>0.25109999999999999</v>
      </c>
    </row>
    <row r="3060" spans="1:5" x14ac:dyDescent="0.3">
      <c r="A3060" s="397"/>
      <c r="B3060" s="709">
        <v>90852</v>
      </c>
      <c r="C3060" s="710" t="s">
        <v>13497</v>
      </c>
      <c r="D3060" s="709" t="s">
        <v>136</v>
      </c>
      <c r="E3060" s="711">
        <v>0.24329999999999999</v>
      </c>
    </row>
    <row r="3061" spans="1:5" x14ac:dyDescent="0.3">
      <c r="A3061" s="397"/>
      <c r="B3061" s="709">
        <v>91322</v>
      </c>
      <c r="C3061" s="710" t="s">
        <v>13498</v>
      </c>
      <c r="D3061" s="709" t="s">
        <v>136</v>
      </c>
      <c r="E3061" s="711">
        <v>0.28199999999999997</v>
      </c>
    </row>
    <row r="3062" spans="1:5" x14ac:dyDescent="0.3">
      <c r="A3062" s="397"/>
      <c r="B3062" s="709">
        <v>91323</v>
      </c>
      <c r="C3062" s="710" t="s">
        <v>13499</v>
      </c>
      <c r="D3062" s="709" t="s">
        <v>136</v>
      </c>
      <c r="E3062" s="711">
        <v>0.27160000000000001</v>
      </c>
    </row>
    <row r="3063" spans="1:5" x14ac:dyDescent="0.3">
      <c r="A3063" s="397"/>
      <c r="B3063" s="709">
        <v>100678</v>
      </c>
      <c r="C3063" s="710" t="s">
        <v>13500</v>
      </c>
      <c r="D3063" s="709" t="s">
        <v>136</v>
      </c>
      <c r="E3063" s="711">
        <v>0.27560000000000001</v>
      </c>
    </row>
    <row r="3064" spans="1:5" x14ac:dyDescent="0.3">
      <c r="A3064" s="397"/>
      <c r="B3064" s="709">
        <v>91013</v>
      </c>
      <c r="C3064" s="710" t="s">
        <v>13501</v>
      </c>
      <c r="D3064" s="709" t="s">
        <v>136</v>
      </c>
      <c r="E3064" s="711">
        <v>0.2893</v>
      </c>
    </row>
    <row r="3065" spans="1:5" x14ac:dyDescent="0.3">
      <c r="A3065" s="397"/>
      <c r="B3065" s="709">
        <v>100680</v>
      </c>
      <c r="C3065" s="710" t="s">
        <v>13502</v>
      </c>
      <c r="D3065" s="709" t="s">
        <v>136</v>
      </c>
      <c r="E3065" s="711">
        <v>0.27850000000000003</v>
      </c>
    </row>
    <row r="3066" spans="1:5" x14ac:dyDescent="0.3">
      <c r="A3066" s="397"/>
      <c r="B3066" s="709">
        <v>91014</v>
      </c>
      <c r="C3066" s="710" t="s">
        <v>13503</v>
      </c>
      <c r="D3066" s="709" t="s">
        <v>136</v>
      </c>
      <c r="E3066" s="711">
        <v>0.29249999999999998</v>
      </c>
    </row>
    <row r="3067" spans="1:5" x14ac:dyDescent="0.3">
      <c r="A3067" s="397"/>
      <c r="B3067" s="709">
        <v>100683</v>
      </c>
      <c r="C3067" s="710" t="s">
        <v>13504</v>
      </c>
      <c r="D3067" s="709" t="s">
        <v>136</v>
      </c>
      <c r="E3067" s="711">
        <v>0.27229999999999999</v>
      </c>
    </row>
    <row r="3068" spans="1:5" x14ac:dyDescent="0.3">
      <c r="A3068" s="397"/>
      <c r="B3068" s="709">
        <v>91015</v>
      </c>
      <c r="C3068" s="710" t="s">
        <v>13505</v>
      </c>
      <c r="D3068" s="709" t="s">
        <v>136</v>
      </c>
      <c r="E3068" s="711">
        <v>0.28089999999999998</v>
      </c>
    </row>
    <row r="3069" spans="1:5" x14ac:dyDescent="0.3">
      <c r="A3069" s="397"/>
      <c r="B3069" s="709">
        <v>100685</v>
      </c>
      <c r="C3069" s="710" t="s">
        <v>13506</v>
      </c>
      <c r="D3069" s="709" t="s">
        <v>136</v>
      </c>
      <c r="E3069" s="711">
        <v>0.26679999999999998</v>
      </c>
    </row>
    <row r="3070" spans="1:5" x14ac:dyDescent="0.3">
      <c r="A3070" s="397"/>
      <c r="B3070" s="709">
        <v>91016</v>
      </c>
      <c r="C3070" s="710" t="s">
        <v>13507</v>
      </c>
      <c r="D3070" s="709" t="s">
        <v>136</v>
      </c>
      <c r="E3070" s="711">
        <v>0.27400000000000002</v>
      </c>
    </row>
    <row r="3071" spans="1:5" x14ac:dyDescent="0.3">
      <c r="A3071" s="397"/>
      <c r="B3071" s="709">
        <v>100679</v>
      </c>
      <c r="C3071" s="710" t="s">
        <v>13508</v>
      </c>
      <c r="D3071" s="709" t="s">
        <v>136</v>
      </c>
      <c r="E3071" s="711">
        <v>0.3306</v>
      </c>
    </row>
    <row r="3072" spans="1:5" x14ac:dyDescent="0.3">
      <c r="A3072" s="397"/>
      <c r="B3072" s="709">
        <v>91324</v>
      </c>
      <c r="C3072" s="710" t="s">
        <v>13509</v>
      </c>
      <c r="D3072" s="709" t="s">
        <v>136</v>
      </c>
      <c r="E3072" s="711">
        <v>0.33729999999999999</v>
      </c>
    </row>
    <row r="3073" spans="1:5" x14ac:dyDescent="0.3">
      <c r="A3073" s="397"/>
      <c r="B3073" s="709">
        <v>100712</v>
      </c>
      <c r="C3073" s="710" t="s">
        <v>13510</v>
      </c>
      <c r="D3073" s="709" t="s">
        <v>136</v>
      </c>
      <c r="E3073" s="711">
        <v>0.33989999999999998</v>
      </c>
    </row>
    <row r="3074" spans="1:5" x14ac:dyDescent="0.3">
      <c r="A3074" s="397"/>
      <c r="B3074" s="709">
        <v>91325</v>
      </c>
      <c r="C3074" s="710" t="s">
        <v>13511</v>
      </c>
      <c r="D3074" s="709" t="s">
        <v>136</v>
      </c>
      <c r="E3074" s="711">
        <v>0.34079999999999999</v>
      </c>
    </row>
    <row r="3075" spans="1:5" x14ac:dyDescent="0.3">
      <c r="A3075" s="397"/>
      <c r="B3075" s="709">
        <v>100684</v>
      </c>
      <c r="C3075" s="710" t="s">
        <v>13512</v>
      </c>
      <c r="D3075" s="709" t="s">
        <v>136</v>
      </c>
      <c r="E3075" s="711">
        <v>0.32940000000000003</v>
      </c>
    </row>
    <row r="3076" spans="1:5" x14ac:dyDescent="0.3">
      <c r="A3076" s="397"/>
      <c r="B3076" s="709">
        <v>91326</v>
      </c>
      <c r="C3076" s="710" t="s">
        <v>13513</v>
      </c>
      <c r="D3076" s="709" t="s">
        <v>136</v>
      </c>
      <c r="E3076" s="711">
        <v>0.32429999999999998</v>
      </c>
    </row>
    <row r="3077" spans="1:5" x14ac:dyDescent="0.3">
      <c r="A3077" s="397"/>
      <c r="B3077" s="709">
        <v>100686</v>
      </c>
      <c r="C3077" s="710" t="s">
        <v>13514</v>
      </c>
      <c r="D3077" s="709" t="s">
        <v>136</v>
      </c>
      <c r="E3077" s="711">
        <v>0.32050000000000001</v>
      </c>
    </row>
    <row r="3078" spans="1:5" x14ac:dyDescent="0.3">
      <c r="A3078" s="397"/>
      <c r="B3078" s="709">
        <v>91327</v>
      </c>
      <c r="C3078" s="710" t="s">
        <v>13515</v>
      </c>
      <c r="D3078" s="709" t="s">
        <v>136</v>
      </c>
      <c r="E3078" s="711">
        <v>0.3145</v>
      </c>
    </row>
    <row r="3079" spans="1:5" x14ac:dyDescent="0.3">
      <c r="A3079" s="397"/>
      <c r="B3079" s="709">
        <v>100693</v>
      </c>
      <c r="C3079" s="710" t="s">
        <v>13516</v>
      </c>
      <c r="D3079" s="709" t="s">
        <v>136</v>
      </c>
      <c r="E3079" s="711">
        <v>0.19040000000000001</v>
      </c>
    </row>
    <row r="3080" spans="1:5" x14ac:dyDescent="0.3">
      <c r="A3080" s="397"/>
      <c r="B3080" s="709">
        <v>91336</v>
      </c>
      <c r="C3080" s="710" t="s">
        <v>13517</v>
      </c>
      <c r="D3080" s="709" t="s">
        <v>136</v>
      </c>
      <c r="E3080" s="711">
        <v>0.1862</v>
      </c>
    </row>
    <row r="3081" spans="1:5" x14ac:dyDescent="0.3">
      <c r="A3081" s="397"/>
      <c r="B3081" s="709">
        <v>100694</v>
      </c>
      <c r="C3081" s="710" t="s">
        <v>13518</v>
      </c>
      <c r="D3081" s="709" t="s">
        <v>136</v>
      </c>
      <c r="E3081" s="711">
        <v>0.2145</v>
      </c>
    </row>
    <row r="3082" spans="1:5" x14ac:dyDescent="0.3">
      <c r="A3082" s="397"/>
      <c r="B3082" s="709">
        <v>91337</v>
      </c>
      <c r="C3082" s="710" t="s">
        <v>13519</v>
      </c>
      <c r="D3082" s="709" t="s">
        <v>136</v>
      </c>
      <c r="E3082" s="711">
        <v>0.20269999999999999</v>
      </c>
    </row>
    <row r="3083" spans="1:5" x14ac:dyDescent="0.3">
      <c r="A3083" s="397"/>
      <c r="B3083" s="709">
        <v>100691</v>
      </c>
      <c r="C3083" s="710" t="s">
        <v>13520</v>
      </c>
      <c r="D3083" s="709" t="s">
        <v>136</v>
      </c>
      <c r="E3083" s="711">
        <v>0.2104</v>
      </c>
    </row>
    <row r="3084" spans="1:5" x14ac:dyDescent="0.3">
      <c r="A3084" s="397"/>
      <c r="B3084" s="709">
        <v>100692</v>
      </c>
      <c r="C3084" s="710" t="s">
        <v>13521</v>
      </c>
      <c r="D3084" s="709" t="s">
        <v>136</v>
      </c>
      <c r="E3084" s="711">
        <v>0.24299999999999999</v>
      </c>
    </row>
    <row r="3085" spans="1:5" x14ac:dyDescent="0.3">
      <c r="A3085" s="397"/>
      <c r="B3085" s="709">
        <v>91334</v>
      </c>
      <c r="C3085" s="710" t="s">
        <v>13522</v>
      </c>
      <c r="D3085" s="709" t="s">
        <v>136</v>
      </c>
      <c r="E3085" s="711">
        <v>0.20810000000000001</v>
      </c>
    </row>
    <row r="3086" spans="1:5" x14ac:dyDescent="0.3">
      <c r="A3086" s="397"/>
      <c r="B3086" s="709">
        <v>91335</v>
      </c>
      <c r="C3086" s="710" t="s">
        <v>13523</v>
      </c>
      <c r="D3086" s="709" t="s">
        <v>136</v>
      </c>
      <c r="E3086" s="711">
        <v>0.2311</v>
      </c>
    </row>
    <row r="3087" spans="1:5" x14ac:dyDescent="0.3">
      <c r="A3087" s="397"/>
      <c r="B3087" s="709">
        <v>90788</v>
      </c>
      <c r="C3087" s="710" t="s">
        <v>13524</v>
      </c>
      <c r="D3087" s="709" t="s">
        <v>136</v>
      </c>
      <c r="E3087" s="711">
        <v>4.8899999999999999E-2</v>
      </c>
    </row>
    <row r="3088" spans="1:5" x14ac:dyDescent="0.3">
      <c r="A3088" s="397"/>
      <c r="B3088" s="709">
        <v>90789</v>
      </c>
      <c r="C3088" s="710" t="s">
        <v>13525</v>
      </c>
      <c r="D3088" s="709" t="s">
        <v>136</v>
      </c>
      <c r="E3088" s="711">
        <v>5.0599999999999999E-2</v>
      </c>
    </row>
    <row r="3089" spans="1:5" x14ac:dyDescent="0.3">
      <c r="A3089" s="397"/>
      <c r="B3089" s="709">
        <v>90790</v>
      </c>
      <c r="C3089" s="710" t="s">
        <v>13526</v>
      </c>
      <c r="D3089" s="709" t="s">
        <v>136</v>
      </c>
      <c r="E3089" s="711">
        <v>5.0799999999999998E-2</v>
      </c>
    </row>
    <row r="3090" spans="1:5" x14ac:dyDescent="0.3">
      <c r="A3090" s="397"/>
      <c r="B3090" s="709">
        <v>100675</v>
      </c>
      <c r="C3090" s="710" t="s">
        <v>13527</v>
      </c>
      <c r="D3090" s="709" t="s">
        <v>136</v>
      </c>
      <c r="E3090" s="711">
        <v>4.87E-2</v>
      </c>
    </row>
    <row r="3091" spans="1:5" x14ac:dyDescent="0.3">
      <c r="A3091" s="397"/>
      <c r="B3091" s="709">
        <v>90794</v>
      </c>
      <c r="C3091" s="710" t="s">
        <v>13528</v>
      </c>
      <c r="D3091" s="709" t="s">
        <v>136</v>
      </c>
      <c r="E3091" s="711">
        <v>0.1341</v>
      </c>
    </row>
    <row r="3092" spans="1:5" x14ac:dyDescent="0.3">
      <c r="A3092" s="397"/>
      <c r="B3092" s="709">
        <v>90796</v>
      </c>
      <c r="C3092" s="710" t="s">
        <v>13529</v>
      </c>
      <c r="D3092" s="709" t="s">
        <v>136</v>
      </c>
      <c r="E3092" s="711">
        <v>0.1444</v>
      </c>
    </row>
    <row r="3093" spans="1:5" x14ac:dyDescent="0.3">
      <c r="A3093" s="397"/>
      <c r="B3093" s="709">
        <v>90797</v>
      </c>
      <c r="C3093" s="710" t="s">
        <v>13530</v>
      </c>
      <c r="D3093" s="709" t="s">
        <v>136</v>
      </c>
      <c r="E3093" s="711">
        <v>0.14949999999999999</v>
      </c>
    </row>
    <row r="3094" spans="1:5" x14ac:dyDescent="0.3">
      <c r="A3094" s="397"/>
      <c r="B3094" s="709">
        <v>90791</v>
      </c>
      <c r="C3094" s="710" t="s">
        <v>13531</v>
      </c>
      <c r="D3094" s="709" t="s">
        <v>136</v>
      </c>
      <c r="E3094" s="711">
        <v>5.21E-2</v>
      </c>
    </row>
    <row r="3095" spans="1:5" x14ac:dyDescent="0.3">
      <c r="A3095" s="397"/>
      <c r="B3095" s="709">
        <v>90793</v>
      </c>
      <c r="C3095" s="710" t="s">
        <v>13532</v>
      </c>
      <c r="D3095" s="709" t="s">
        <v>136</v>
      </c>
      <c r="E3095" s="711">
        <v>5.8400000000000001E-2</v>
      </c>
    </row>
    <row r="3096" spans="1:5" x14ac:dyDescent="0.3">
      <c r="A3096" s="397"/>
      <c r="B3096" s="709">
        <v>90798</v>
      </c>
      <c r="C3096" s="710" t="s">
        <v>13533</v>
      </c>
      <c r="D3096" s="709" t="s">
        <v>136</v>
      </c>
      <c r="E3096" s="711">
        <v>0.1103</v>
      </c>
    </row>
    <row r="3097" spans="1:5" x14ac:dyDescent="0.3">
      <c r="A3097" s="397"/>
      <c r="B3097" s="709">
        <v>90799</v>
      </c>
      <c r="C3097" s="710" t="s">
        <v>13534</v>
      </c>
      <c r="D3097" s="709" t="s">
        <v>136</v>
      </c>
      <c r="E3097" s="711">
        <v>0.11169999999999999</v>
      </c>
    </row>
    <row r="3098" spans="1:5" x14ac:dyDescent="0.3">
      <c r="A3098" s="397"/>
      <c r="B3098" s="709">
        <v>100704</v>
      </c>
      <c r="C3098" s="710" t="s">
        <v>13535</v>
      </c>
      <c r="D3098" s="709" t="s">
        <v>136</v>
      </c>
      <c r="E3098" s="711">
        <v>0.31940000000000002</v>
      </c>
    </row>
    <row r="3099" spans="1:5" x14ac:dyDescent="0.3">
      <c r="A3099" s="397"/>
      <c r="B3099" s="709">
        <v>90838</v>
      </c>
      <c r="C3099" s="710" t="s">
        <v>13536</v>
      </c>
      <c r="D3099" s="709" t="s">
        <v>136</v>
      </c>
      <c r="E3099" s="711">
        <v>9.8199999999999996E-2</v>
      </c>
    </row>
    <row r="3100" spans="1:5" x14ac:dyDescent="0.3">
      <c r="A3100" s="397"/>
      <c r="B3100" s="709">
        <v>94805</v>
      </c>
      <c r="C3100" s="710" t="s">
        <v>13537</v>
      </c>
      <c r="D3100" s="709" t="s">
        <v>136</v>
      </c>
      <c r="E3100" s="711">
        <v>3.2399999999999998E-2</v>
      </c>
    </row>
    <row r="3101" spans="1:5" x14ac:dyDescent="0.3">
      <c r="A3101" s="397"/>
      <c r="B3101" s="709">
        <v>106145</v>
      </c>
      <c r="C3101" s="710" t="s">
        <v>13538</v>
      </c>
      <c r="D3101" s="709" t="s">
        <v>136</v>
      </c>
      <c r="E3101" s="711">
        <v>7.85E-2</v>
      </c>
    </row>
    <row r="3102" spans="1:5" x14ac:dyDescent="0.3">
      <c r="A3102" s="397"/>
      <c r="B3102" s="709">
        <v>106146</v>
      </c>
      <c r="C3102" s="710" t="s">
        <v>13539</v>
      </c>
      <c r="D3102" s="709" t="s">
        <v>136</v>
      </c>
      <c r="E3102" s="711">
        <v>0.11609999999999999</v>
      </c>
    </row>
    <row r="3103" spans="1:5" x14ac:dyDescent="0.3">
      <c r="A3103" s="397"/>
      <c r="B3103" s="709">
        <v>100702</v>
      </c>
      <c r="C3103" s="710" t="s">
        <v>13540</v>
      </c>
      <c r="D3103" s="709" t="s">
        <v>168</v>
      </c>
      <c r="E3103" s="711">
        <v>2.4899999999999999E-2</v>
      </c>
    </row>
    <row r="3104" spans="1:5" x14ac:dyDescent="0.3">
      <c r="A3104" s="397"/>
      <c r="B3104" s="709">
        <v>100701</v>
      </c>
      <c r="C3104" s="710" t="s">
        <v>13541</v>
      </c>
      <c r="D3104" s="709" t="s">
        <v>168</v>
      </c>
      <c r="E3104" s="711">
        <v>7.1499999999999994E-2</v>
      </c>
    </row>
    <row r="3105" spans="1:5" x14ac:dyDescent="0.3">
      <c r="A3105" s="397"/>
      <c r="B3105" s="709">
        <v>100700</v>
      </c>
      <c r="C3105" s="710" t="s">
        <v>13542</v>
      </c>
      <c r="D3105" s="709" t="s">
        <v>136</v>
      </c>
      <c r="E3105" s="711">
        <v>0.22539999999999999</v>
      </c>
    </row>
    <row r="3106" spans="1:5" x14ac:dyDescent="0.3">
      <c r="A3106" s="397"/>
      <c r="B3106" s="709">
        <v>91295</v>
      </c>
      <c r="C3106" s="710" t="s">
        <v>13543</v>
      </c>
      <c r="D3106" s="709" t="s">
        <v>136</v>
      </c>
      <c r="E3106" s="711">
        <v>0.15129999999999999</v>
      </c>
    </row>
    <row r="3107" spans="1:5" x14ac:dyDescent="0.3">
      <c r="A3107" s="397"/>
      <c r="B3107" s="709">
        <v>91296</v>
      </c>
      <c r="C3107" s="710" t="s">
        <v>13544</v>
      </c>
      <c r="D3107" s="709" t="s">
        <v>136</v>
      </c>
      <c r="E3107" s="711">
        <v>0.156</v>
      </c>
    </row>
    <row r="3108" spans="1:5" x14ac:dyDescent="0.3">
      <c r="A3108" s="397"/>
      <c r="B3108" s="709">
        <v>91297</v>
      </c>
      <c r="C3108" s="710" t="s">
        <v>13545</v>
      </c>
      <c r="D3108" s="709" t="s">
        <v>136</v>
      </c>
      <c r="E3108" s="711">
        <v>0.15559999999999999</v>
      </c>
    </row>
    <row r="3109" spans="1:5" x14ac:dyDescent="0.3">
      <c r="A3109" s="397"/>
      <c r="B3109" s="709">
        <v>90820</v>
      </c>
      <c r="C3109" s="710" t="s">
        <v>13546</v>
      </c>
      <c r="D3109" s="709" t="s">
        <v>136</v>
      </c>
      <c r="E3109" s="711">
        <v>0.16059999999999999</v>
      </c>
    </row>
    <row r="3110" spans="1:5" x14ac:dyDescent="0.3">
      <c r="A3110" s="397"/>
      <c r="B3110" s="709">
        <v>90821</v>
      </c>
      <c r="C3110" s="710" t="s">
        <v>13547</v>
      </c>
      <c r="D3110" s="709" t="s">
        <v>136</v>
      </c>
      <c r="E3110" s="711">
        <v>0.17330000000000001</v>
      </c>
    </row>
    <row r="3111" spans="1:5" x14ac:dyDescent="0.3">
      <c r="A3111" s="397"/>
      <c r="B3111" s="709">
        <v>90822</v>
      </c>
      <c r="C3111" s="710" t="s">
        <v>13548</v>
      </c>
      <c r="D3111" s="709" t="s">
        <v>136</v>
      </c>
      <c r="E3111" s="711">
        <v>0.17710000000000001</v>
      </c>
    </row>
    <row r="3112" spans="1:5" x14ac:dyDescent="0.3">
      <c r="A3112" s="397"/>
      <c r="B3112" s="709">
        <v>90823</v>
      </c>
      <c r="C3112" s="710" t="s">
        <v>13549</v>
      </c>
      <c r="D3112" s="709" t="s">
        <v>136</v>
      </c>
      <c r="E3112" s="711">
        <v>0.1583</v>
      </c>
    </row>
    <row r="3113" spans="1:5" x14ac:dyDescent="0.3">
      <c r="A3113" s="397"/>
      <c r="B3113" s="709">
        <v>90824</v>
      </c>
      <c r="C3113" s="710" t="s">
        <v>13550</v>
      </c>
      <c r="D3113" s="709" t="s">
        <v>136</v>
      </c>
      <c r="E3113" s="711">
        <v>0.14349999999999999</v>
      </c>
    </row>
    <row r="3114" spans="1:5" x14ac:dyDescent="0.3">
      <c r="A3114" s="397"/>
      <c r="B3114" s="709">
        <v>91009</v>
      </c>
      <c r="C3114" s="710" t="s">
        <v>13551</v>
      </c>
      <c r="D3114" s="709" t="s">
        <v>136</v>
      </c>
      <c r="E3114" s="711">
        <v>0.1555</v>
      </c>
    </row>
    <row r="3115" spans="1:5" x14ac:dyDescent="0.3">
      <c r="A3115" s="397"/>
      <c r="B3115" s="709">
        <v>91010</v>
      </c>
      <c r="C3115" s="710" t="s">
        <v>13552</v>
      </c>
      <c r="D3115" s="709" t="s">
        <v>136</v>
      </c>
      <c r="E3115" s="711">
        <v>0.16769999999999999</v>
      </c>
    </row>
    <row r="3116" spans="1:5" x14ac:dyDescent="0.3">
      <c r="A3116" s="397"/>
      <c r="B3116" s="709">
        <v>91011</v>
      </c>
      <c r="C3116" s="710" t="s">
        <v>13553</v>
      </c>
      <c r="D3116" s="709" t="s">
        <v>136</v>
      </c>
      <c r="E3116" s="711">
        <v>0.158</v>
      </c>
    </row>
    <row r="3117" spans="1:5" x14ac:dyDescent="0.3">
      <c r="A3117" s="397"/>
      <c r="B3117" s="709">
        <v>91012</v>
      </c>
      <c r="C3117" s="710" t="s">
        <v>13554</v>
      </c>
      <c r="D3117" s="709" t="s">
        <v>136</v>
      </c>
      <c r="E3117" s="711">
        <v>0.15490000000000001</v>
      </c>
    </row>
    <row r="3118" spans="1:5" x14ac:dyDescent="0.3">
      <c r="A3118" s="397"/>
      <c r="B3118" s="709">
        <v>91298</v>
      </c>
      <c r="C3118" s="710" t="s">
        <v>13555</v>
      </c>
      <c r="D3118" s="709" t="s">
        <v>136</v>
      </c>
      <c r="E3118" s="711">
        <v>8.6099999999999996E-2</v>
      </c>
    </row>
    <row r="3119" spans="1:5" x14ac:dyDescent="0.3">
      <c r="A3119" s="397"/>
      <c r="B3119" s="709">
        <v>90825</v>
      </c>
      <c r="C3119" s="710" t="s">
        <v>13556</v>
      </c>
      <c r="D3119" s="709" t="s">
        <v>136</v>
      </c>
      <c r="E3119" s="711">
        <v>0.1404</v>
      </c>
    </row>
    <row r="3120" spans="1:5" x14ac:dyDescent="0.3">
      <c r="A3120" s="397"/>
      <c r="B3120" s="709">
        <v>91299</v>
      </c>
      <c r="C3120" s="710" t="s">
        <v>13557</v>
      </c>
      <c r="D3120" s="709" t="s">
        <v>136</v>
      </c>
      <c r="E3120" s="711">
        <v>8.6199999999999999E-2</v>
      </c>
    </row>
    <row r="3121" spans="1:5" x14ac:dyDescent="0.3">
      <c r="A3121" s="397"/>
      <c r="B3121" s="709">
        <v>91341</v>
      </c>
      <c r="C3121" s="710" t="s">
        <v>13558</v>
      </c>
      <c r="D3121" s="709" t="s">
        <v>168</v>
      </c>
      <c r="E3121" s="711">
        <v>2.4400000000000002E-2</v>
      </c>
    </row>
    <row r="3122" spans="1:5" x14ac:dyDescent="0.3">
      <c r="A3122" s="397"/>
      <c r="B3122" s="709">
        <v>94806</v>
      </c>
      <c r="C3122" s="710" t="s">
        <v>13559</v>
      </c>
      <c r="D3122" s="709" t="s">
        <v>136</v>
      </c>
      <c r="E3122" s="711">
        <v>6.0900000000000003E-2</v>
      </c>
    </row>
    <row r="3123" spans="1:5" x14ac:dyDescent="0.3">
      <c r="A3123" s="397"/>
      <c r="B3123" s="709">
        <v>94807</v>
      </c>
      <c r="C3123" s="710" t="s">
        <v>13560</v>
      </c>
      <c r="D3123" s="709" t="s">
        <v>136</v>
      </c>
      <c r="E3123" s="711">
        <v>7.0099999999999996E-2</v>
      </c>
    </row>
    <row r="3124" spans="1:5" x14ac:dyDescent="0.3">
      <c r="A3124" s="397"/>
      <c r="B3124" s="709">
        <v>106142</v>
      </c>
      <c r="C3124" s="710" t="s">
        <v>13561</v>
      </c>
      <c r="D3124" s="709" t="s">
        <v>136</v>
      </c>
      <c r="E3124" s="711">
        <v>3.2199999999999999E-2</v>
      </c>
    </row>
    <row r="3125" spans="1:5" x14ac:dyDescent="0.3">
      <c r="A3125" s="397"/>
      <c r="B3125" s="709">
        <v>106143</v>
      </c>
      <c r="C3125" s="710" t="s">
        <v>13562</v>
      </c>
      <c r="D3125" s="709" t="s">
        <v>136</v>
      </c>
      <c r="E3125" s="711">
        <v>3.2800000000000003E-2</v>
      </c>
    </row>
    <row r="3126" spans="1:5" x14ac:dyDescent="0.3">
      <c r="A3126" s="397"/>
      <c r="B3126" s="709">
        <v>106144</v>
      </c>
      <c r="C3126" s="710" t="s">
        <v>13563</v>
      </c>
      <c r="D3126" s="709" t="s">
        <v>136</v>
      </c>
      <c r="E3126" s="711">
        <v>3.8399999999999997E-2</v>
      </c>
    </row>
    <row r="3127" spans="1:5" x14ac:dyDescent="0.3">
      <c r="A3127" s="397"/>
      <c r="B3127" s="709">
        <v>100703</v>
      </c>
      <c r="C3127" s="710" t="s">
        <v>13564</v>
      </c>
      <c r="D3127" s="709" t="s">
        <v>136</v>
      </c>
      <c r="E3127" s="711">
        <v>0.33839999999999998</v>
      </c>
    </row>
    <row r="3128" spans="1:5" x14ac:dyDescent="0.3">
      <c r="A3128" s="397"/>
      <c r="B3128" s="709">
        <v>106147</v>
      </c>
      <c r="C3128" s="710" t="s">
        <v>13565</v>
      </c>
      <c r="D3128" s="709" t="s">
        <v>136</v>
      </c>
      <c r="E3128" s="711">
        <v>0.9708</v>
      </c>
    </row>
    <row r="3129" spans="1:5" x14ac:dyDescent="0.3">
      <c r="A3129" s="397"/>
      <c r="B3129" s="709">
        <v>100695</v>
      </c>
      <c r="C3129" s="710" t="s">
        <v>13566</v>
      </c>
      <c r="D3129" s="709" t="s">
        <v>136</v>
      </c>
      <c r="E3129" s="711">
        <v>0.95850000000000002</v>
      </c>
    </row>
    <row r="3130" spans="1:5" x14ac:dyDescent="0.3">
      <c r="A3130" s="397"/>
      <c r="B3130" s="709">
        <v>100696</v>
      </c>
      <c r="C3130" s="710" t="s">
        <v>13567</v>
      </c>
      <c r="D3130" s="709" t="s">
        <v>136</v>
      </c>
      <c r="E3130" s="711">
        <v>0.96260000000000001</v>
      </c>
    </row>
    <row r="3131" spans="1:5" x14ac:dyDescent="0.3">
      <c r="A3131" s="397"/>
      <c r="B3131" s="709">
        <v>100697</v>
      </c>
      <c r="C3131" s="710" t="s">
        <v>13568</v>
      </c>
      <c r="D3131" s="709" t="s">
        <v>136</v>
      </c>
      <c r="E3131" s="711">
        <v>0.96589999999999998</v>
      </c>
    </row>
    <row r="3132" spans="1:5" x14ac:dyDescent="0.3">
      <c r="A3132" s="397"/>
      <c r="B3132" s="709">
        <v>100698</v>
      </c>
      <c r="C3132" s="710" t="s">
        <v>13569</v>
      </c>
      <c r="D3132" s="709" t="s">
        <v>136</v>
      </c>
      <c r="E3132" s="711">
        <v>0.96870000000000001</v>
      </c>
    </row>
    <row r="3133" spans="1:5" x14ac:dyDescent="0.3">
      <c r="A3133" s="397"/>
      <c r="B3133" s="709">
        <v>100699</v>
      </c>
      <c r="C3133" s="710" t="s">
        <v>13570</v>
      </c>
      <c r="D3133" s="709" t="s">
        <v>136</v>
      </c>
      <c r="E3133" s="711">
        <v>0.97389999999999999</v>
      </c>
    </row>
    <row r="3134" spans="1:5" x14ac:dyDescent="0.3">
      <c r="A3134" s="397"/>
      <c r="B3134" s="709">
        <v>100705</v>
      </c>
      <c r="C3134" s="710" t="s">
        <v>13571</v>
      </c>
      <c r="D3134" s="709" t="s">
        <v>136</v>
      </c>
      <c r="E3134" s="711">
        <v>0.33529999999999999</v>
      </c>
    </row>
    <row r="3135" spans="1:5" x14ac:dyDescent="0.3">
      <c r="A3135" s="397"/>
      <c r="B3135" s="709">
        <v>101173</v>
      </c>
      <c r="C3135" s="710" t="s">
        <v>3587</v>
      </c>
      <c r="D3135" s="709" t="s">
        <v>159</v>
      </c>
      <c r="E3135" s="711">
        <v>0.5484</v>
      </c>
    </row>
    <row r="3136" spans="1:5" x14ac:dyDescent="0.3">
      <c r="A3136" s="397"/>
      <c r="B3136" s="709">
        <v>101174</v>
      </c>
      <c r="C3136" s="710" t="s">
        <v>3588</v>
      </c>
      <c r="D3136" s="709" t="s">
        <v>159</v>
      </c>
      <c r="E3136" s="711">
        <v>0.59379999999999999</v>
      </c>
    </row>
    <row r="3137" spans="1:5" x14ac:dyDescent="0.3">
      <c r="A3137" s="397"/>
      <c r="B3137" s="709">
        <v>101175</v>
      </c>
      <c r="C3137" s="710" t="s">
        <v>3589</v>
      </c>
      <c r="D3137" s="709" t="s">
        <v>159</v>
      </c>
      <c r="E3137" s="711">
        <v>0.59050000000000002</v>
      </c>
    </row>
    <row r="3138" spans="1:5" x14ac:dyDescent="0.3">
      <c r="A3138" s="397"/>
      <c r="B3138" s="709">
        <v>101176</v>
      </c>
      <c r="C3138" s="710" t="s">
        <v>3590</v>
      </c>
      <c r="D3138" s="709" t="s">
        <v>159</v>
      </c>
      <c r="E3138" s="711">
        <v>0.54020000000000001</v>
      </c>
    </row>
    <row r="3139" spans="1:5" x14ac:dyDescent="0.3">
      <c r="A3139" s="397"/>
      <c r="B3139" s="709">
        <v>107113</v>
      </c>
      <c r="C3139" s="710" t="s">
        <v>13572</v>
      </c>
      <c r="D3139" s="709" t="s">
        <v>159</v>
      </c>
      <c r="E3139" s="711">
        <v>0.45860000000000001</v>
      </c>
    </row>
    <row r="3140" spans="1:5" x14ac:dyDescent="0.3">
      <c r="A3140" s="397"/>
      <c r="B3140" s="709">
        <v>100899</v>
      </c>
      <c r="C3140" s="710" t="s">
        <v>13573</v>
      </c>
      <c r="D3140" s="709" t="s">
        <v>159</v>
      </c>
      <c r="E3140" s="711">
        <v>0.41310000000000002</v>
      </c>
    </row>
    <row r="3141" spans="1:5" x14ac:dyDescent="0.3">
      <c r="A3141" s="397"/>
      <c r="B3141" s="709">
        <v>107107</v>
      </c>
      <c r="C3141" s="710" t="s">
        <v>13574</v>
      </c>
      <c r="D3141" s="709" t="s">
        <v>159</v>
      </c>
      <c r="E3141" s="711">
        <v>0.12839999999999999</v>
      </c>
    </row>
    <row r="3142" spans="1:5" x14ac:dyDescent="0.3">
      <c r="A3142" s="397"/>
      <c r="B3142" s="709">
        <v>100896</v>
      </c>
      <c r="C3142" s="710" t="s">
        <v>13575</v>
      </c>
      <c r="D3142" s="709" t="s">
        <v>159</v>
      </c>
      <c r="E3142" s="711">
        <v>0.1241</v>
      </c>
    </row>
    <row r="3143" spans="1:5" x14ac:dyDescent="0.3">
      <c r="A3143" s="397"/>
      <c r="B3143" s="709">
        <v>107133</v>
      </c>
      <c r="C3143" s="710" t="s">
        <v>13576</v>
      </c>
      <c r="D3143" s="709" t="s">
        <v>159</v>
      </c>
      <c r="E3143" s="711">
        <v>0.44650000000000001</v>
      </c>
    </row>
    <row r="3144" spans="1:5" x14ac:dyDescent="0.3">
      <c r="A3144" s="397"/>
      <c r="B3144" s="709">
        <v>107123</v>
      </c>
      <c r="C3144" s="710" t="s">
        <v>13577</v>
      </c>
      <c r="D3144" s="709" t="s">
        <v>159</v>
      </c>
      <c r="E3144" s="711">
        <v>0.4027</v>
      </c>
    </row>
    <row r="3145" spans="1:5" x14ac:dyDescent="0.3">
      <c r="A3145" s="397"/>
      <c r="B3145" s="709">
        <v>107127</v>
      </c>
      <c r="C3145" s="710" t="s">
        <v>13578</v>
      </c>
      <c r="D3145" s="709" t="s">
        <v>159</v>
      </c>
      <c r="E3145" s="711">
        <v>0.123</v>
      </c>
    </row>
    <row r="3146" spans="1:5" x14ac:dyDescent="0.3">
      <c r="A3146" s="397"/>
      <c r="B3146" s="709">
        <v>107117</v>
      </c>
      <c r="C3146" s="710" t="s">
        <v>13579</v>
      </c>
      <c r="D3146" s="709" t="s">
        <v>159</v>
      </c>
      <c r="E3146" s="711">
        <v>0.1196</v>
      </c>
    </row>
    <row r="3147" spans="1:5" x14ac:dyDescent="0.3">
      <c r="A3147" s="397"/>
      <c r="B3147" s="709">
        <v>107115</v>
      </c>
      <c r="C3147" s="710" t="s">
        <v>13580</v>
      </c>
      <c r="D3147" s="709" t="s">
        <v>159</v>
      </c>
      <c r="E3147" s="711">
        <v>0.43380000000000002</v>
      </c>
    </row>
    <row r="3148" spans="1:5" x14ac:dyDescent="0.3">
      <c r="A3148" s="397"/>
      <c r="B3148" s="709">
        <v>107105</v>
      </c>
      <c r="C3148" s="710" t="s">
        <v>13581</v>
      </c>
      <c r="D3148" s="709" t="s">
        <v>159</v>
      </c>
      <c r="E3148" s="711">
        <v>0.39679999999999999</v>
      </c>
    </row>
    <row r="3149" spans="1:5" x14ac:dyDescent="0.3">
      <c r="A3149" s="397"/>
      <c r="B3149" s="709">
        <v>107108</v>
      </c>
      <c r="C3149" s="710" t="s">
        <v>13582</v>
      </c>
      <c r="D3149" s="709" t="s">
        <v>159</v>
      </c>
      <c r="E3149" s="711">
        <v>0.10979999999999999</v>
      </c>
    </row>
    <row r="3150" spans="1:5" x14ac:dyDescent="0.3">
      <c r="A3150" s="397"/>
      <c r="B3150" s="709">
        <v>107102</v>
      </c>
      <c r="C3150" s="710" t="s">
        <v>13583</v>
      </c>
      <c r="D3150" s="709" t="s">
        <v>159</v>
      </c>
      <c r="E3150" s="711">
        <v>0.1082</v>
      </c>
    </row>
    <row r="3151" spans="1:5" x14ac:dyDescent="0.3">
      <c r="A3151" s="397"/>
      <c r="B3151" s="709">
        <v>107135</v>
      </c>
      <c r="C3151" s="710" t="s">
        <v>13584</v>
      </c>
      <c r="D3151" s="709" t="s">
        <v>159</v>
      </c>
      <c r="E3151" s="711">
        <v>0.42099999999999999</v>
      </c>
    </row>
    <row r="3152" spans="1:5" x14ac:dyDescent="0.3">
      <c r="A3152" s="397"/>
      <c r="B3152" s="709">
        <v>107125</v>
      </c>
      <c r="C3152" s="710" t="s">
        <v>13585</v>
      </c>
      <c r="D3152" s="709" t="s">
        <v>159</v>
      </c>
      <c r="E3152" s="711">
        <v>0.38550000000000001</v>
      </c>
    </row>
    <row r="3153" spans="1:5" x14ac:dyDescent="0.3">
      <c r="A3153" s="397"/>
      <c r="B3153" s="709">
        <v>107128</v>
      </c>
      <c r="C3153" s="710" t="s">
        <v>13586</v>
      </c>
      <c r="D3153" s="709" t="s">
        <v>159</v>
      </c>
      <c r="E3153" s="711">
        <v>0.1048</v>
      </c>
    </row>
    <row r="3154" spans="1:5" x14ac:dyDescent="0.3">
      <c r="A3154" s="397"/>
      <c r="B3154" s="709">
        <v>107118</v>
      </c>
      <c r="C3154" s="710" t="s">
        <v>13587</v>
      </c>
      <c r="D3154" s="709" t="s">
        <v>159</v>
      </c>
      <c r="E3154" s="711">
        <v>0.1037</v>
      </c>
    </row>
    <row r="3155" spans="1:5" x14ac:dyDescent="0.3">
      <c r="A3155" s="397"/>
      <c r="B3155" s="709">
        <v>107109</v>
      </c>
      <c r="C3155" s="710" t="s">
        <v>13588</v>
      </c>
      <c r="D3155" s="709" t="s">
        <v>159</v>
      </c>
      <c r="E3155" s="711">
        <v>9.5500000000000002E-2</v>
      </c>
    </row>
    <row r="3156" spans="1:5" x14ac:dyDescent="0.3">
      <c r="A3156" s="397"/>
      <c r="B3156" s="709">
        <v>107103</v>
      </c>
      <c r="C3156" s="710" t="s">
        <v>13589</v>
      </c>
      <c r="D3156" s="709" t="s">
        <v>159</v>
      </c>
      <c r="E3156" s="711">
        <v>9.11E-2</v>
      </c>
    </row>
    <row r="3157" spans="1:5" x14ac:dyDescent="0.3">
      <c r="A3157" s="397"/>
      <c r="B3157" s="709">
        <v>107129</v>
      </c>
      <c r="C3157" s="710" t="s">
        <v>13590</v>
      </c>
      <c r="D3157" s="709" t="s">
        <v>159</v>
      </c>
      <c r="E3157" s="711">
        <v>9.0800000000000006E-2</v>
      </c>
    </row>
    <row r="3158" spans="1:5" x14ac:dyDescent="0.3">
      <c r="A3158" s="397"/>
      <c r="B3158" s="709">
        <v>107119</v>
      </c>
      <c r="C3158" s="710" t="s">
        <v>13591</v>
      </c>
      <c r="D3158" s="709" t="s">
        <v>159</v>
      </c>
      <c r="E3158" s="711">
        <v>8.72E-2</v>
      </c>
    </row>
    <row r="3159" spans="1:5" x14ac:dyDescent="0.3">
      <c r="A3159" s="397"/>
      <c r="B3159" s="709">
        <v>107110</v>
      </c>
      <c r="C3159" s="710" t="s">
        <v>13592</v>
      </c>
      <c r="D3159" s="709" t="s">
        <v>159</v>
      </c>
      <c r="E3159" s="711">
        <v>8.43E-2</v>
      </c>
    </row>
    <row r="3160" spans="1:5" x14ac:dyDescent="0.3">
      <c r="A3160" s="397"/>
      <c r="B3160" s="709">
        <v>100897</v>
      </c>
      <c r="C3160" s="710" t="s">
        <v>13593</v>
      </c>
      <c r="D3160" s="709" t="s">
        <v>159</v>
      </c>
      <c r="E3160" s="711">
        <v>8.1699999999999995E-2</v>
      </c>
    </row>
    <row r="3161" spans="1:5" x14ac:dyDescent="0.3">
      <c r="A3161" s="397"/>
      <c r="B3161" s="709">
        <v>107130</v>
      </c>
      <c r="C3161" s="710" t="s">
        <v>13594</v>
      </c>
      <c r="D3161" s="709" t="s">
        <v>159</v>
      </c>
      <c r="E3161" s="711">
        <v>0.08</v>
      </c>
    </row>
    <row r="3162" spans="1:5" x14ac:dyDescent="0.3">
      <c r="A3162" s="397"/>
      <c r="B3162" s="709">
        <v>107120</v>
      </c>
      <c r="C3162" s="710" t="s">
        <v>13595</v>
      </c>
      <c r="D3162" s="709" t="s">
        <v>159</v>
      </c>
      <c r="E3162" s="711">
        <v>7.7899999999999997E-2</v>
      </c>
    </row>
    <row r="3163" spans="1:5" x14ac:dyDescent="0.3">
      <c r="A3163" s="397"/>
      <c r="B3163" s="709">
        <v>107116</v>
      </c>
      <c r="C3163" s="710" t="s">
        <v>13596</v>
      </c>
      <c r="D3163" s="709" t="s">
        <v>159</v>
      </c>
      <c r="E3163" s="711">
        <v>0.12770000000000001</v>
      </c>
    </row>
    <row r="3164" spans="1:5" x14ac:dyDescent="0.3">
      <c r="A3164" s="397"/>
      <c r="B3164" s="709">
        <v>107106</v>
      </c>
      <c r="C3164" s="710" t="s">
        <v>13597</v>
      </c>
      <c r="D3164" s="709" t="s">
        <v>159</v>
      </c>
      <c r="E3164" s="711">
        <v>9.4600000000000004E-2</v>
      </c>
    </row>
    <row r="3165" spans="1:5" x14ac:dyDescent="0.3">
      <c r="A3165" s="397"/>
      <c r="B3165" s="709">
        <v>107111</v>
      </c>
      <c r="C3165" s="710" t="s">
        <v>13598</v>
      </c>
      <c r="D3165" s="709" t="s">
        <v>159</v>
      </c>
      <c r="E3165" s="711">
        <v>6.83E-2</v>
      </c>
    </row>
    <row r="3166" spans="1:5" x14ac:dyDescent="0.3">
      <c r="A3166" s="397"/>
      <c r="B3166" s="709">
        <v>107104</v>
      </c>
      <c r="C3166" s="710" t="s">
        <v>13599</v>
      </c>
      <c r="D3166" s="709" t="s">
        <v>159</v>
      </c>
      <c r="E3166" s="711">
        <v>6.5000000000000002E-2</v>
      </c>
    </row>
    <row r="3167" spans="1:5" x14ac:dyDescent="0.3">
      <c r="A3167" s="397"/>
      <c r="B3167" s="709">
        <v>107136</v>
      </c>
      <c r="C3167" s="710" t="s">
        <v>13600</v>
      </c>
      <c r="D3167" s="709" t="s">
        <v>159</v>
      </c>
      <c r="E3167" s="711">
        <v>0.1212</v>
      </c>
    </row>
    <row r="3168" spans="1:5" x14ac:dyDescent="0.3">
      <c r="A3168" s="397"/>
      <c r="B3168" s="709">
        <v>107126</v>
      </c>
      <c r="C3168" s="710" t="s">
        <v>13601</v>
      </c>
      <c r="D3168" s="709" t="s">
        <v>159</v>
      </c>
      <c r="E3168" s="711">
        <v>9.0200000000000002E-2</v>
      </c>
    </row>
    <row r="3169" spans="1:5" x14ac:dyDescent="0.3">
      <c r="A3169" s="397"/>
      <c r="B3169" s="709">
        <v>107131</v>
      </c>
      <c r="C3169" s="710" t="s">
        <v>13602</v>
      </c>
      <c r="D3169" s="709" t="s">
        <v>159</v>
      </c>
      <c r="E3169" s="711">
        <v>6.4600000000000005E-2</v>
      </c>
    </row>
    <row r="3170" spans="1:5" x14ac:dyDescent="0.3">
      <c r="A3170" s="397"/>
      <c r="B3170" s="709">
        <v>107121</v>
      </c>
      <c r="C3170" s="710" t="s">
        <v>13603</v>
      </c>
      <c r="D3170" s="709" t="s">
        <v>159</v>
      </c>
      <c r="E3170" s="711">
        <v>6.1800000000000001E-2</v>
      </c>
    </row>
    <row r="3171" spans="1:5" x14ac:dyDescent="0.3">
      <c r="A3171" s="397"/>
      <c r="B3171" s="709">
        <v>107114</v>
      </c>
      <c r="C3171" s="710" t="s">
        <v>13604</v>
      </c>
      <c r="D3171" s="709" t="s">
        <v>159</v>
      </c>
      <c r="E3171" s="711">
        <v>0.1137</v>
      </c>
    </row>
    <row r="3172" spans="1:5" x14ac:dyDescent="0.3">
      <c r="A3172" s="397"/>
      <c r="B3172" s="709">
        <v>100900</v>
      </c>
      <c r="C3172" s="710" t="s">
        <v>13605</v>
      </c>
      <c r="D3172" s="709" t="s">
        <v>159</v>
      </c>
      <c r="E3172" s="711">
        <v>8.5500000000000007E-2</v>
      </c>
    </row>
    <row r="3173" spans="1:5" x14ac:dyDescent="0.3">
      <c r="A3173" s="397"/>
      <c r="B3173" s="709">
        <v>107112</v>
      </c>
      <c r="C3173" s="710" t="s">
        <v>13606</v>
      </c>
      <c r="D3173" s="709" t="s">
        <v>159</v>
      </c>
      <c r="E3173" s="711">
        <v>5.7799999999999997E-2</v>
      </c>
    </row>
    <row r="3174" spans="1:5" x14ac:dyDescent="0.3">
      <c r="A3174" s="397"/>
      <c r="B3174" s="709">
        <v>100898</v>
      </c>
      <c r="C3174" s="710" t="s">
        <v>13607</v>
      </c>
      <c r="D3174" s="709" t="s">
        <v>159</v>
      </c>
      <c r="E3174" s="711">
        <v>5.62E-2</v>
      </c>
    </row>
    <row r="3175" spans="1:5" x14ac:dyDescent="0.3">
      <c r="A3175" s="397"/>
      <c r="B3175" s="709">
        <v>107134</v>
      </c>
      <c r="C3175" s="710" t="s">
        <v>13608</v>
      </c>
      <c r="D3175" s="709" t="s">
        <v>159</v>
      </c>
      <c r="E3175" s="711">
        <v>0.1076</v>
      </c>
    </row>
    <row r="3176" spans="1:5" x14ac:dyDescent="0.3">
      <c r="A3176" s="397"/>
      <c r="B3176" s="709">
        <v>107124</v>
      </c>
      <c r="C3176" s="710" t="s">
        <v>13609</v>
      </c>
      <c r="D3176" s="709" t="s">
        <v>159</v>
      </c>
      <c r="E3176" s="711">
        <v>8.1199999999999994E-2</v>
      </c>
    </row>
    <row r="3177" spans="1:5" x14ac:dyDescent="0.3">
      <c r="A3177" s="397"/>
      <c r="B3177" s="709">
        <v>107132</v>
      </c>
      <c r="C3177" s="710" t="s">
        <v>13610</v>
      </c>
      <c r="D3177" s="709" t="s">
        <v>159</v>
      </c>
      <c r="E3177" s="711">
        <v>5.4600000000000003E-2</v>
      </c>
    </row>
    <row r="3178" spans="1:5" x14ac:dyDescent="0.3">
      <c r="A3178" s="397"/>
      <c r="B3178" s="709">
        <v>107122</v>
      </c>
      <c r="C3178" s="710" t="s">
        <v>13611</v>
      </c>
      <c r="D3178" s="709" t="s">
        <v>159</v>
      </c>
      <c r="E3178" s="711">
        <v>5.33E-2</v>
      </c>
    </row>
    <row r="3179" spans="1:5" x14ac:dyDescent="0.3">
      <c r="A3179" s="397"/>
      <c r="B3179" s="709">
        <v>100892</v>
      </c>
      <c r="C3179" s="710" t="s">
        <v>3602</v>
      </c>
      <c r="D3179" s="709" t="s">
        <v>175</v>
      </c>
      <c r="E3179" s="711">
        <v>7.5700000000000003E-2</v>
      </c>
    </row>
    <row r="3180" spans="1:5" x14ac:dyDescent="0.3">
      <c r="A3180" s="397"/>
      <c r="B3180" s="709">
        <v>100893</v>
      </c>
      <c r="C3180" s="710" t="s">
        <v>3603</v>
      </c>
      <c r="D3180" s="709" t="s">
        <v>175</v>
      </c>
      <c r="E3180" s="711">
        <v>6.6600000000000006E-2</v>
      </c>
    </row>
    <row r="3181" spans="1:5" x14ac:dyDescent="0.3">
      <c r="A3181" s="397"/>
      <c r="B3181" s="709">
        <v>100894</v>
      </c>
      <c r="C3181" s="710" t="s">
        <v>3604</v>
      </c>
      <c r="D3181" s="709" t="s">
        <v>175</v>
      </c>
      <c r="E3181" s="711">
        <v>5.6099999999999997E-2</v>
      </c>
    </row>
    <row r="3182" spans="1:5" x14ac:dyDescent="0.3">
      <c r="A3182" s="397"/>
      <c r="B3182" s="709">
        <v>100889</v>
      </c>
      <c r="C3182" s="710" t="s">
        <v>3605</v>
      </c>
      <c r="D3182" s="709" t="s">
        <v>175</v>
      </c>
      <c r="E3182" s="711">
        <v>4.8599999999999997E-2</v>
      </c>
    </row>
    <row r="3183" spans="1:5" x14ac:dyDescent="0.3">
      <c r="A3183" s="397"/>
      <c r="B3183" s="709">
        <v>100890</v>
      </c>
      <c r="C3183" s="710" t="s">
        <v>3607</v>
      </c>
      <c r="D3183" s="709" t="s">
        <v>175</v>
      </c>
      <c r="E3183" s="711">
        <v>4.02E-2</v>
      </c>
    </row>
    <row r="3184" spans="1:5" x14ac:dyDescent="0.3">
      <c r="A3184" s="397"/>
      <c r="B3184" s="709">
        <v>100658</v>
      </c>
      <c r="C3184" s="710" t="s">
        <v>3608</v>
      </c>
      <c r="D3184" s="709" t="s">
        <v>159</v>
      </c>
      <c r="E3184" s="711">
        <v>7.6799999999999993E-2</v>
      </c>
    </row>
    <row r="3185" spans="1:5" x14ac:dyDescent="0.3">
      <c r="A3185" s="397"/>
      <c r="B3185" s="709">
        <v>100657</v>
      </c>
      <c r="C3185" s="710" t="s">
        <v>3609</v>
      </c>
      <c r="D3185" s="709" t="s">
        <v>159</v>
      </c>
      <c r="E3185" s="711">
        <v>0.12959999999999999</v>
      </c>
    </row>
    <row r="3186" spans="1:5" x14ac:dyDescent="0.3">
      <c r="A3186" s="397"/>
      <c r="B3186" s="709">
        <v>100656</v>
      </c>
      <c r="C3186" s="710" t="s">
        <v>3610</v>
      </c>
      <c r="D3186" s="709" t="s">
        <v>159</v>
      </c>
      <c r="E3186" s="711">
        <v>0.15859999999999999</v>
      </c>
    </row>
    <row r="3187" spans="1:5" x14ac:dyDescent="0.3">
      <c r="A3187" s="397"/>
      <c r="B3187" s="709">
        <v>102649</v>
      </c>
      <c r="C3187" s="710" t="s">
        <v>3611</v>
      </c>
      <c r="D3187" s="709" t="s">
        <v>159</v>
      </c>
      <c r="E3187" s="711">
        <v>0.28110000000000002</v>
      </c>
    </row>
    <row r="3188" spans="1:5" x14ac:dyDescent="0.3">
      <c r="A3188" s="397"/>
      <c r="B3188" s="709">
        <v>102645</v>
      </c>
      <c r="C3188" s="710" t="s">
        <v>3612</v>
      </c>
      <c r="D3188" s="709" t="s">
        <v>159</v>
      </c>
      <c r="E3188" s="711">
        <v>0.24310000000000001</v>
      </c>
    </row>
    <row r="3189" spans="1:5" x14ac:dyDescent="0.3">
      <c r="A3189" s="397"/>
      <c r="B3189" s="709">
        <v>102650</v>
      </c>
      <c r="C3189" s="710" t="s">
        <v>3613</v>
      </c>
      <c r="D3189" s="709" t="s">
        <v>159</v>
      </c>
      <c r="E3189" s="711">
        <v>0.26779999999999998</v>
      </c>
    </row>
    <row r="3190" spans="1:5" x14ac:dyDescent="0.3">
      <c r="A3190" s="397"/>
      <c r="B3190" s="709">
        <v>102646</v>
      </c>
      <c r="C3190" s="710" t="s">
        <v>3614</v>
      </c>
      <c r="D3190" s="709" t="s">
        <v>159</v>
      </c>
      <c r="E3190" s="711">
        <v>0.23080000000000001</v>
      </c>
    </row>
    <row r="3191" spans="1:5" x14ac:dyDescent="0.3">
      <c r="A3191" s="397"/>
      <c r="B3191" s="709">
        <v>102651</v>
      </c>
      <c r="C3191" s="710" t="s">
        <v>3615</v>
      </c>
      <c r="D3191" s="709" t="s">
        <v>159</v>
      </c>
      <c r="E3191" s="711">
        <v>0.26939999999999997</v>
      </c>
    </row>
    <row r="3192" spans="1:5" x14ac:dyDescent="0.3">
      <c r="A3192" s="397"/>
      <c r="B3192" s="709">
        <v>102647</v>
      </c>
      <c r="C3192" s="710" t="s">
        <v>3616</v>
      </c>
      <c r="D3192" s="709" t="s">
        <v>159</v>
      </c>
      <c r="E3192" s="711">
        <v>0.2346</v>
      </c>
    </row>
    <row r="3193" spans="1:5" x14ac:dyDescent="0.3">
      <c r="A3193" s="397"/>
      <c r="B3193" s="709">
        <v>102652</v>
      </c>
      <c r="C3193" s="710" t="s">
        <v>3617</v>
      </c>
      <c r="D3193" s="709" t="s">
        <v>159</v>
      </c>
      <c r="E3193" s="711">
        <v>0.2535</v>
      </c>
    </row>
    <row r="3194" spans="1:5" x14ac:dyDescent="0.3">
      <c r="A3194" s="397"/>
      <c r="B3194" s="709">
        <v>102648</v>
      </c>
      <c r="C3194" s="710" t="s">
        <v>3618</v>
      </c>
      <c r="D3194" s="709" t="s">
        <v>159</v>
      </c>
      <c r="E3194" s="711">
        <v>0.21740000000000001</v>
      </c>
    </row>
    <row r="3195" spans="1:5" x14ac:dyDescent="0.3">
      <c r="A3195" s="397"/>
      <c r="B3195" s="709">
        <v>106794</v>
      </c>
      <c r="C3195" s="710" t="s">
        <v>13612</v>
      </c>
      <c r="D3195" s="709" t="s">
        <v>159</v>
      </c>
      <c r="E3195" s="711">
        <v>0.14169999999999999</v>
      </c>
    </row>
    <row r="3196" spans="1:5" x14ac:dyDescent="0.3">
      <c r="A3196" s="397"/>
      <c r="B3196" s="709">
        <v>100651</v>
      </c>
      <c r="C3196" s="710" t="s">
        <v>13613</v>
      </c>
      <c r="D3196" s="709" t="s">
        <v>159</v>
      </c>
      <c r="E3196" s="711">
        <v>0.13420000000000001</v>
      </c>
    </row>
    <row r="3197" spans="1:5" x14ac:dyDescent="0.3">
      <c r="A3197" s="397"/>
      <c r="B3197" s="709">
        <v>106804</v>
      </c>
      <c r="C3197" s="710" t="s">
        <v>13614</v>
      </c>
      <c r="D3197" s="709" t="s">
        <v>159</v>
      </c>
      <c r="E3197" s="711">
        <v>0.1368</v>
      </c>
    </row>
    <row r="3198" spans="1:5" x14ac:dyDescent="0.3">
      <c r="A3198" s="397"/>
      <c r="B3198" s="709">
        <v>106799</v>
      </c>
      <c r="C3198" s="710" t="s">
        <v>13615</v>
      </c>
      <c r="D3198" s="709" t="s">
        <v>159</v>
      </c>
      <c r="E3198" s="711">
        <v>0.1303</v>
      </c>
    </row>
    <row r="3199" spans="1:5" x14ac:dyDescent="0.3">
      <c r="A3199" s="397"/>
      <c r="B3199" s="709">
        <v>106795</v>
      </c>
      <c r="C3199" s="710" t="s">
        <v>13616</v>
      </c>
      <c r="D3199" s="709" t="s">
        <v>159</v>
      </c>
      <c r="E3199" s="711">
        <v>8.6900000000000005E-2</v>
      </c>
    </row>
    <row r="3200" spans="1:5" x14ac:dyDescent="0.3">
      <c r="A3200" s="397"/>
      <c r="B3200" s="709">
        <v>100652</v>
      </c>
      <c r="C3200" s="710" t="s">
        <v>13617</v>
      </c>
      <c r="D3200" s="709" t="s">
        <v>159</v>
      </c>
      <c r="E3200" s="711">
        <v>9.0399999999999994E-2</v>
      </c>
    </row>
    <row r="3201" spans="1:5" x14ac:dyDescent="0.3">
      <c r="A3201" s="397"/>
      <c r="B3201" s="709">
        <v>106805</v>
      </c>
      <c r="C3201" s="710" t="s">
        <v>13618</v>
      </c>
      <c r="D3201" s="709" t="s">
        <v>159</v>
      </c>
      <c r="E3201" s="711">
        <v>8.3199999999999996E-2</v>
      </c>
    </row>
    <row r="3202" spans="1:5" x14ac:dyDescent="0.3">
      <c r="A3202" s="397"/>
      <c r="B3202" s="709">
        <v>106800</v>
      </c>
      <c r="C3202" s="710" t="s">
        <v>13619</v>
      </c>
      <c r="D3202" s="709" t="s">
        <v>159</v>
      </c>
      <c r="E3202" s="711">
        <v>8.6999999999999994E-2</v>
      </c>
    </row>
    <row r="3203" spans="1:5" x14ac:dyDescent="0.3">
      <c r="A3203" s="397"/>
      <c r="B3203" s="709">
        <v>106796</v>
      </c>
      <c r="C3203" s="710" t="s">
        <v>13620</v>
      </c>
      <c r="D3203" s="709" t="s">
        <v>159</v>
      </c>
      <c r="E3203" s="711">
        <v>6.0499999999999998E-2</v>
      </c>
    </row>
    <row r="3204" spans="1:5" x14ac:dyDescent="0.3">
      <c r="A3204" s="397"/>
      <c r="B3204" s="709">
        <v>100653</v>
      </c>
      <c r="C3204" s="710" t="s">
        <v>13621</v>
      </c>
      <c r="D3204" s="709" t="s">
        <v>159</v>
      </c>
      <c r="E3204" s="711">
        <v>6.7000000000000004E-2</v>
      </c>
    </row>
    <row r="3205" spans="1:5" x14ac:dyDescent="0.3">
      <c r="A3205" s="397"/>
      <c r="B3205" s="709">
        <v>106806</v>
      </c>
      <c r="C3205" s="710" t="s">
        <v>13622</v>
      </c>
      <c r="D3205" s="709" t="s">
        <v>159</v>
      </c>
      <c r="E3205" s="711">
        <v>5.7599999999999998E-2</v>
      </c>
    </row>
    <row r="3206" spans="1:5" x14ac:dyDescent="0.3">
      <c r="A3206" s="397"/>
      <c r="B3206" s="709">
        <v>106801</v>
      </c>
      <c r="C3206" s="710" t="s">
        <v>13623</v>
      </c>
      <c r="D3206" s="709" t="s">
        <v>159</v>
      </c>
      <c r="E3206" s="711">
        <v>6.4199999999999993E-2</v>
      </c>
    </row>
    <row r="3207" spans="1:5" x14ac:dyDescent="0.3">
      <c r="A3207" s="397"/>
      <c r="B3207" s="709">
        <v>106797</v>
      </c>
      <c r="C3207" s="710" t="s">
        <v>13624</v>
      </c>
      <c r="D3207" s="709" t="s">
        <v>159</v>
      </c>
      <c r="E3207" s="711">
        <v>5.2900000000000003E-2</v>
      </c>
    </row>
    <row r="3208" spans="1:5" x14ac:dyDescent="0.3">
      <c r="A3208" s="397"/>
      <c r="B3208" s="709">
        <v>100654</v>
      </c>
      <c r="C3208" s="710" t="s">
        <v>13625</v>
      </c>
      <c r="D3208" s="709" t="s">
        <v>159</v>
      </c>
      <c r="E3208" s="711">
        <v>5.6300000000000003E-2</v>
      </c>
    </row>
    <row r="3209" spans="1:5" x14ac:dyDescent="0.3">
      <c r="A3209" s="397"/>
      <c r="B3209" s="709">
        <v>106807</v>
      </c>
      <c r="C3209" s="710" t="s">
        <v>13626</v>
      </c>
      <c r="D3209" s="709" t="s">
        <v>159</v>
      </c>
      <c r="E3209" s="711">
        <v>5.0299999999999997E-2</v>
      </c>
    </row>
    <row r="3210" spans="1:5" x14ac:dyDescent="0.3">
      <c r="A3210" s="397"/>
      <c r="B3210" s="709">
        <v>106802</v>
      </c>
      <c r="C3210" s="710" t="s">
        <v>13627</v>
      </c>
      <c r="D3210" s="709" t="s">
        <v>159</v>
      </c>
      <c r="E3210" s="711">
        <v>5.4100000000000002E-2</v>
      </c>
    </row>
    <row r="3211" spans="1:5" x14ac:dyDescent="0.3">
      <c r="A3211" s="397"/>
      <c r="B3211" s="709">
        <v>106798</v>
      </c>
      <c r="C3211" s="710" t="s">
        <v>13628</v>
      </c>
      <c r="D3211" s="709" t="s">
        <v>159</v>
      </c>
      <c r="E3211" s="711">
        <v>4.0800000000000003E-2</v>
      </c>
    </row>
    <row r="3212" spans="1:5" x14ac:dyDescent="0.3">
      <c r="A3212" s="397"/>
      <c r="B3212" s="709">
        <v>100655</v>
      </c>
      <c r="C3212" s="710" t="s">
        <v>13629</v>
      </c>
      <c r="D3212" s="709" t="s">
        <v>159</v>
      </c>
      <c r="E3212" s="711">
        <v>4.6100000000000002E-2</v>
      </c>
    </row>
    <row r="3213" spans="1:5" x14ac:dyDescent="0.3">
      <c r="A3213" s="397"/>
      <c r="B3213" s="709">
        <v>106808</v>
      </c>
      <c r="C3213" s="710" t="s">
        <v>13630</v>
      </c>
      <c r="D3213" s="709" t="s">
        <v>159</v>
      </c>
      <c r="E3213" s="711">
        <v>3.8800000000000001E-2</v>
      </c>
    </row>
    <row r="3214" spans="1:5" x14ac:dyDescent="0.3">
      <c r="A3214" s="397"/>
      <c r="B3214" s="709">
        <v>106803</v>
      </c>
      <c r="C3214" s="710" t="s">
        <v>13631</v>
      </c>
      <c r="D3214" s="709" t="s">
        <v>159</v>
      </c>
      <c r="E3214" s="711">
        <v>4.4200000000000003E-2</v>
      </c>
    </row>
    <row r="3215" spans="1:5" x14ac:dyDescent="0.3">
      <c r="A3215" s="397"/>
      <c r="B3215" s="709">
        <v>100364</v>
      </c>
      <c r="C3215" s="710" t="s">
        <v>13632</v>
      </c>
      <c r="D3215" s="709" t="s">
        <v>136</v>
      </c>
      <c r="E3215" s="711">
        <v>0.41589999999999999</v>
      </c>
    </row>
    <row r="3216" spans="1:5" x14ac:dyDescent="0.3">
      <c r="A3216" s="397"/>
      <c r="B3216" s="709">
        <v>100374</v>
      </c>
      <c r="C3216" s="710" t="s">
        <v>13633</v>
      </c>
      <c r="D3216" s="709" t="s">
        <v>136</v>
      </c>
      <c r="E3216" s="711">
        <v>0.44500000000000001</v>
      </c>
    </row>
    <row r="3217" spans="1:5" x14ac:dyDescent="0.3">
      <c r="A3217" s="397"/>
      <c r="B3217" s="709">
        <v>100365</v>
      </c>
      <c r="C3217" s="710" t="s">
        <v>13634</v>
      </c>
      <c r="D3217" s="709" t="s">
        <v>136</v>
      </c>
      <c r="E3217" s="711">
        <v>0.43809999999999999</v>
      </c>
    </row>
    <row r="3218" spans="1:5" x14ac:dyDescent="0.3">
      <c r="A3218" s="397"/>
      <c r="B3218" s="709">
        <v>100375</v>
      </c>
      <c r="C3218" s="710" t="s">
        <v>13635</v>
      </c>
      <c r="D3218" s="709" t="s">
        <v>136</v>
      </c>
      <c r="E3218" s="711">
        <v>0.47710000000000002</v>
      </c>
    </row>
    <row r="3219" spans="1:5" x14ac:dyDescent="0.3">
      <c r="A3219" s="397"/>
      <c r="B3219" s="709">
        <v>100366</v>
      </c>
      <c r="C3219" s="710" t="s">
        <v>13636</v>
      </c>
      <c r="D3219" s="709" t="s">
        <v>136</v>
      </c>
      <c r="E3219" s="711">
        <v>0.41249999999999998</v>
      </c>
    </row>
    <row r="3220" spans="1:5" x14ac:dyDescent="0.3">
      <c r="A3220" s="397"/>
      <c r="B3220" s="709">
        <v>100376</v>
      </c>
      <c r="C3220" s="710" t="s">
        <v>13637</v>
      </c>
      <c r="D3220" s="709" t="s">
        <v>136</v>
      </c>
      <c r="E3220" s="711">
        <v>0.46460000000000001</v>
      </c>
    </row>
    <row r="3221" spans="1:5" x14ac:dyDescent="0.3">
      <c r="A3221" s="397"/>
      <c r="B3221" s="709">
        <v>100357</v>
      </c>
      <c r="C3221" s="710" t="s">
        <v>13638</v>
      </c>
      <c r="D3221" s="709" t="s">
        <v>136</v>
      </c>
      <c r="E3221" s="711">
        <v>0.4158</v>
      </c>
    </row>
    <row r="3222" spans="1:5" x14ac:dyDescent="0.3">
      <c r="A3222" s="397"/>
      <c r="B3222" s="709">
        <v>100367</v>
      </c>
      <c r="C3222" s="710" t="s">
        <v>13639</v>
      </c>
      <c r="D3222" s="709" t="s">
        <v>136</v>
      </c>
      <c r="E3222" s="711">
        <v>0.42749999999999999</v>
      </c>
    </row>
    <row r="3223" spans="1:5" x14ac:dyDescent="0.3">
      <c r="A3223" s="397"/>
      <c r="B3223" s="709">
        <v>100358</v>
      </c>
      <c r="C3223" s="710" t="s">
        <v>13640</v>
      </c>
      <c r="D3223" s="709" t="s">
        <v>136</v>
      </c>
      <c r="E3223" s="711">
        <v>0.49330000000000002</v>
      </c>
    </row>
    <row r="3224" spans="1:5" x14ac:dyDescent="0.3">
      <c r="A3224" s="397"/>
      <c r="B3224" s="709">
        <v>100368</v>
      </c>
      <c r="C3224" s="710" t="s">
        <v>13641</v>
      </c>
      <c r="D3224" s="709" t="s">
        <v>136</v>
      </c>
      <c r="E3224" s="711">
        <v>0.50560000000000005</v>
      </c>
    </row>
    <row r="3225" spans="1:5" x14ac:dyDescent="0.3">
      <c r="A3225" s="397"/>
      <c r="B3225" s="709">
        <v>100359</v>
      </c>
      <c r="C3225" s="710" t="s">
        <v>13642</v>
      </c>
      <c r="D3225" s="709" t="s">
        <v>136</v>
      </c>
      <c r="E3225" s="711">
        <v>0.47099999999999997</v>
      </c>
    </row>
    <row r="3226" spans="1:5" x14ac:dyDescent="0.3">
      <c r="A3226" s="397"/>
      <c r="B3226" s="709">
        <v>100369</v>
      </c>
      <c r="C3226" s="710" t="s">
        <v>13643</v>
      </c>
      <c r="D3226" s="709" t="s">
        <v>136</v>
      </c>
      <c r="E3226" s="711">
        <v>0.4824</v>
      </c>
    </row>
    <row r="3227" spans="1:5" x14ac:dyDescent="0.3">
      <c r="A3227" s="397"/>
      <c r="B3227" s="709">
        <v>100360</v>
      </c>
      <c r="C3227" s="710" t="s">
        <v>13644</v>
      </c>
      <c r="D3227" s="709" t="s">
        <v>136</v>
      </c>
      <c r="E3227" s="711">
        <v>0.46960000000000002</v>
      </c>
    </row>
    <row r="3228" spans="1:5" x14ac:dyDescent="0.3">
      <c r="A3228" s="397"/>
      <c r="B3228" s="709">
        <v>100370</v>
      </c>
      <c r="C3228" s="710" t="s">
        <v>13645</v>
      </c>
      <c r="D3228" s="709" t="s">
        <v>136</v>
      </c>
      <c r="E3228" s="711">
        <v>0.45240000000000002</v>
      </c>
    </row>
    <row r="3229" spans="1:5" x14ac:dyDescent="0.3">
      <c r="A3229" s="397"/>
      <c r="B3229" s="709">
        <v>100361</v>
      </c>
      <c r="C3229" s="710" t="s">
        <v>13646</v>
      </c>
      <c r="D3229" s="709" t="s">
        <v>136</v>
      </c>
      <c r="E3229" s="711">
        <v>0.50549999999999995</v>
      </c>
    </row>
    <row r="3230" spans="1:5" x14ac:dyDescent="0.3">
      <c r="A3230" s="397"/>
      <c r="B3230" s="709">
        <v>100371</v>
      </c>
      <c r="C3230" s="710" t="s">
        <v>13647</v>
      </c>
      <c r="D3230" s="709" t="s">
        <v>136</v>
      </c>
      <c r="E3230" s="711">
        <v>0.52810000000000001</v>
      </c>
    </row>
    <row r="3231" spans="1:5" x14ac:dyDescent="0.3">
      <c r="A3231" s="397"/>
      <c r="B3231" s="709">
        <v>100362</v>
      </c>
      <c r="C3231" s="710" t="s">
        <v>13648</v>
      </c>
      <c r="D3231" s="709" t="s">
        <v>136</v>
      </c>
      <c r="E3231" s="711">
        <v>0.42249999999999999</v>
      </c>
    </row>
    <row r="3232" spans="1:5" x14ac:dyDescent="0.3">
      <c r="A3232" s="397"/>
      <c r="B3232" s="709">
        <v>100372</v>
      </c>
      <c r="C3232" s="710" t="s">
        <v>13649</v>
      </c>
      <c r="D3232" s="709" t="s">
        <v>136</v>
      </c>
      <c r="E3232" s="711">
        <v>0.44769999999999999</v>
      </c>
    </row>
    <row r="3233" spans="1:5" x14ac:dyDescent="0.3">
      <c r="A3233" s="397"/>
      <c r="B3233" s="709">
        <v>100363</v>
      </c>
      <c r="C3233" s="710" t="s">
        <v>13650</v>
      </c>
      <c r="D3233" s="709" t="s">
        <v>136</v>
      </c>
      <c r="E3233" s="711">
        <v>0.40970000000000001</v>
      </c>
    </row>
    <row r="3234" spans="1:5" x14ac:dyDescent="0.3">
      <c r="A3234" s="397"/>
      <c r="B3234" s="709">
        <v>100373</v>
      </c>
      <c r="C3234" s="710" t="s">
        <v>13651</v>
      </c>
      <c r="D3234" s="709" t="s">
        <v>136</v>
      </c>
      <c r="E3234" s="711">
        <v>0.43380000000000002</v>
      </c>
    </row>
    <row r="3235" spans="1:5" x14ac:dyDescent="0.3">
      <c r="A3235" s="397"/>
      <c r="B3235" s="709">
        <v>100381</v>
      </c>
      <c r="C3235" s="710" t="s">
        <v>13652</v>
      </c>
      <c r="D3235" s="709" t="s">
        <v>168</v>
      </c>
      <c r="E3235" s="711">
        <v>0.54869999999999997</v>
      </c>
    </row>
    <row r="3236" spans="1:5" x14ac:dyDescent="0.3">
      <c r="A3236" s="397"/>
      <c r="B3236" s="709">
        <v>100380</v>
      </c>
      <c r="C3236" s="710" t="s">
        <v>13653</v>
      </c>
      <c r="D3236" s="709" t="s">
        <v>168</v>
      </c>
      <c r="E3236" s="711">
        <v>0.50129999999999997</v>
      </c>
    </row>
    <row r="3237" spans="1:5" x14ac:dyDescent="0.3">
      <c r="A3237" s="397"/>
      <c r="B3237" s="709">
        <v>100379</v>
      </c>
      <c r="C3237" s="710" t="s">
        <v>13654</v>
      </c>
      <c r="D3237" s="709" t="s">
        <v>168</v>
      </c>
      <c r="E3237" s="711">
        <v>0.42759999999999998</v>
      </c>
    </row>
    <row r="3238" spans="1:5" x14ac:dyDescent="0.3">
      <c r="A3238" s="397"/>
      <c r="B3238" s="709">
        <v>100384</v>
      </c>
      <c r="C3238" s="710" t="s">
        <v>13655</v>
      </c>
      <c r="D3238" s="709" t="s">
        <v>168</v>
      </c>
      <c r="E3238" s="711">
        <v>0.35070000000000001</v>
      </c>
    </row>
    <row r="3239" spans="1:5" x14ac:dyDescent="0.3">
      <c r="A3239" s="397"/>
      <c r="B3239" s="709">
        <v>100383</v>
      </c>
      <c r="C3239" s="710" t="s">
        <v>13656</v>
      </c>
      <c r="D3239" s="709" t="s">
        <v>168</v>
      </c>
      <c r="E3239" s="711">
        <v>0.2979</v>
      </c>
    </row>
    <row r="3240" spans="1:5" x14ac:dyDescent="0.3">
      <c r="A3240" s="397"/>
      <c r="B3240" s="709">
        <v>100382</v>
      </c>
      <c r="C3240" s="710" t="s">
        <v>13657</v>
      </c>
      <c r="D3240" s="709" t="s">
        <v>168</v>
      </c>
      <c r="E3240" s="711">
        <v>0.28089999999999998</v>
      </c>
    </row>
    <row r="3241" spans="1:5" x14ac:dyDescent="0.3">
      <c r="A3241" s="397"/>
      <c r="B3241" s="709">
        <v>100387</v>
      </c>
      <c r="C3241" s="710" t="s">
        <v>13658</v>
      </c>
      <c r="D3241" s="709" t="s">
        <v>168</v>
      </c>
      <c r="E3241" s="711">
        <v>0.44009999999999999</v>
      </c>
    </row>
    <row r="3242" spans="1:5" x14ac:dyDescent="0.3">
      <c r="A3242" s="397"/>
      <c r="B3242" s="709">
        <v>100386</v>
      </c>
      <c r="C3242" s="710" t="s">
        <v>13659</v>
      </c>
      <c r="D3242" s="709" t="s">
        <v>168</v>
      </c>
      <c r="E3242" s="711">
        <v>0.42449999999999999</v>
      </c>
    </row>
    <row r="3243" spans="1:5" x14ac:dyDescent="0.3">
      <c r="A3243" s="397"/>
      <c r="B3243" s="709">
        <v>100385</v>
      </c>
      <c r="C3243" s="710" t="s">
        <v>13660</v>
      </c>
      <c r="D3243" s="709" t="s">
        <v>168</v>
      </c>
      <c r="E3243" s="711">
        <v>0.36809999999999998</v>
      </c>
    </row>
    <row r="3244" spans="1:5" x14ac:dyDescent="0.3">
      <c r="A3244" s="397"/>
      <c r="B3244" s="709">
        <v>100377</v>
      </c>
      <c r="C3244" s="710" t="s">
        <v>13661</v>
      </c>
      <c r="D3244" s="709" t="s">
        <v>175</v>
      </c>
      <c r="E3244" s="711">
        <v>0.24399999999999999</v>
      </c>
    </row>
    <row r="3245" spans="1:5" x14ac:dyDescent="0.3">
      <c r="A3245" s="397"/>
      <c r="B3245" s="709">
        <v>100378</v>
      </c>
      <c r="C3245" s="710" t="s">
        <v>13662</v>
      </c>
      <c r="D3245" s="709" t="s">
        <v>175</v>
      </c>
      <c r="E3245" s="711">
        <v>0.2152</v>
      </c>
    </row>
    <row r="3246" spans="1:5" x14ac:dyDescent="0.3">
      <c r="A3246" s="397"/>
      <c r="B3246" s="709">
        <v>92596</v>
      </c>
      <c r="C3246" s="710" t="s">
        <v>13663</v>
      </c>
      <c r="D3246" s="709" t="s">
        <v>136</v>
      </c>
      <c r="E3246" s="711">
        <v>0.24809999999999999</v>
      </c>
    </row>
    <row r="3247" spans="1:5" x14ac:dyDescent="0.3">
      <c r="A3247" s="397"/>
      <c r="B3247" s="709">
        <v>92616</v>
      </c>
      <c r="C3247" s="710" t="s">
        <v>13664</v>
      </c>
      <c r="D3247" s="709" t="s">
        <v>136</v>
      </c>
      <c r="E3247" s="711">
        <v>0.26939999999999997</v>
      </c>
    </row>
    <row r="3248" spans="1:5" x14ac:dyDescent="0.3">
      <c r="A3248" s="397"/>
      <c r="B3248" s="709">
        <v>92598</v>
      </c>
      <c r="C3248" s="710" t="s">
        <v>13665</v>
      </c>
      <c r="D3248" s="709" t="s">
        <v>136</v>
      </c>
      <c r="E3248" s="711">
        <v>0.23219999999999999</v>
      </c>
    </row>
    <row r="3249" spans="1:5" x14ac:dyDescent="0.3">
      <c r="A3249" s="397"/>
      <c r="B3249" s="709">
        <v>92618</v>
      </c>
      <c r="C3249" s="710" t="s">
        <v>13666</v>
      </c>
      <c r="D3249" s="709" t="s">
        <v>136</v>
      </c>
      <c r="E3249" s="711">
        <v>0.24629999999999999</v>
      </c>
    </row>
    <row r="3250" spans="1:5" x14ac:dyDescent="0.3">
      <c r="A3250" s="397"/>
      <c r="B3250" s="709">
        <v>92600</v>
      </c>
      <c r="C3250" s="710" t="s">
        <v>13667</v>
      </c>
      <c r="D3250" s="709" t="s">
        <v>136</v>
      </c>
      <c r="E3250" s="711">
        <v>0.218</v>
      </c>
    </row>
    <row r="3251" spans="1:5" x14ac:dyDescent="0.3">
      <c r="A3251" s="397"/>
      <c r="B3251" s="709">
        <v>92620</v>
      </c>
      <c r="C3251" s="710" t="s">
        <v>13668</v>
      </c>
      <c r="D3251" s="709" t="s">
        <v>136</v>
      </c>
      <c r="E3251" s="711">
        <v>0.23719999999999999</v>
      </c>
    </row>
    <row r="3252" spans="1:5" x14ac:dyDescent="0.3">
      <c r="A3252" s="397"/>
      <c r="B3252" s="709">
        <v>92582</v>
      </c>
      <c r="C3252" s="710" t="s">
        <v>13669</v>
      </c>
      <c r="D3252" s="709" t="s">
        <v>136</v>
      </c>
      <c r="E3252" s="711">
        <v>0.30170000000000002</v>
      </c>
    </row>
    <row r="3253" spans="1:5" x14ac:dyDescent="0.3">
      <c r="A3253" s="397"/>
      <c r="B3253" s="709">
        <v>92602</v>
      </c>
      <c r="C3253" s="710" t="s">
        <v>13670</v>
      </c>
      <c r="D3253" s="709" t="s">
        <v>136</v>
      </c>
      <c r="E3253" s="711">
        <v>0.31209999999999999</v>
      </c>
    </row>
    <row r="3254" spans="1:5" x14ac:dyDescent="0.3">
      <c r="A3254" s="397"/>
      <c r="B3254" s="709">
        <v>92584</v>
      </c>
      <c r="C3254" s="710" t="s">
        <v>13671</v>
      </c>
      <c r="D3254" s="709" t="s">
        <v>136</v>
      </c>
      <c r="E3254" s="711">
        <v>0.25340000000000001</v>
      </c>
    </row>
    <row r="3255" spans="1:5" x14ac:dyDescent="0.3">
      <c r="A3255" s="397"/>
      <c r="B3255" s="709">
        <v>92604</v>
      </c>
      <c r="C3255" s="710" t="s">
        <v>13672</v>
      </c>
      <c r="D3255" s="709" t="s">
        <v>136</v>
      </c>
      <c r="E3255" s="711">
        <v>0.26379999999999998</v>
      </c>
    </row>
    <row r="3256" spans="1:5" x14ac:dyDescent="0.3">
      <c r="A3256" s="397"/>
      <c r="B3256" s="709">
        <v>92586</v>
      </c>
      <c r="C3256" s="710" t="s">
        <v>13673</v>
      </c>
      <c r="D3256" s="709" t="s">
        <v>136</v>
      </c>
      <c r="E3256" s="711">
        <v>0.21940000000000001</v>
      </c>
    </row>
    <row r="3257" spans="1:5" x14ac:dyDescent="0.3">
      <c r="A3257" s="397"/>
      <c r="B3257" s="709">
        <v>92606</v>
      </c>
      <c r="C3257" s="710" t="s">
        <v>13674</v>
      </c>
      <c r="D3257" s="709" t="s">
        <v>136</v>
      </c>
      <c r="E3257" s="711">
        <v>0.2283</v>
      </c>
    </row>
    <row r="3258" spans="1:5" x14ac:dyDescent="0.3">
      <c r="A3258" s="397"/>
      <c r="B3258" s="709">
        <v>92588</v>
      </c>
      <c r="C3258" s="710" t="s">
        <v>13675</v>
      </c>
      <c r="D3258" s="709" t="s">
        <v>136</v>
      </c>
      <c r="E3258" s="711">
        <v>0.24879999999999999</v>
      </c>
    </row>
    <row r="3259" spans="1:5" x14ac:dyDescent="0.3">
      <c r="A3259" s="397"/>
      <c r="B3259" s="709">
        <v>92608</v>
      </c>
      <c r="C3259" s="710" t="s">
        <v>13676</v>
      </c>
      <c r="D3259" s="709" t="s">
        <v>136</v>
      </c>
      <c r="E3259" s="711">
        <v>0.26290000000000002</v>
      </c>
    </row>
    <row r="3260" spans="1:5" x14ac:dyDescent="0.3">
      <c r="A3260" s="397"/>
      <c r="B3260" s="709">
        <v>92590</v>
      </c>
      <c r="C3260" s="710" t="s">
        <v>13677</v>
      </c>
      <c r="D3260" s="709" t="s">
        <v>136</v>
      </c>
      <c r="E3260" s="711">
        <v>0.22409999999999999</v>
      </c>
    </row>
    <row r="3261" spans="1:5" x14ac:dyDescent="0.3">
      <c r="A3261" s="397"/>
      <c r="B3261" s="709">
        <v>92610</v>
      </c>
      <c r="C3261" s="710" t="s">
        <v>13678</v>
      </c>
      <c r="D3261" s="709" t="s">
        <v>136</v>
      </c>
      <c r="E3261" s="711">
        <v>0.23710000000000001</v>
      </c>
    </row>
    <row r="3262" spans="1:5" x14ac:dyDescent="0.3">
      <c r="A3262" s="397"/>
      <c r="B3262" s="709">
        <v>92592</v>
      </c>
      <c r="C3262" s="710" t="s">
        <v>13679</v>
      </c>
      <c r="D3262" s="709" t="s">
        <v>136</v>
      </c>
      <c r="E3262" s="711">
        <v>0.24210000000000001</v>
      </c>
    </row>
    <row r="3263" spans="1:5" x14ac:dyDescent="0.3">
      <c r="A3263" s="397"/>
      <c r="B3263" s="709">
        <v>92612</v>
      </c>
      <c r="C3263" s="710" t="s">
        <v>13680</v>
      </c>
      <c r="D3263" s="709" t="s">
        <v>136</v>
      </c>
      <c r="E3263" s="711">
        <v>0.26900000000000002</v>
      </c>
    </row>
    <row r="3264" spans="1:5" x14ac:dyDescent="0.3">
      <c r="A3264" s="397"/>
      <c r="B3264" s="709">
        <v>92594</v>
      </c>
      <c r="C3264" s="710" t="s">
        <v>13681</v>
      </c>
      <c r="D3264" s="709" t="s">
        <v>136</v>
      </c>
      <c r="E3264" s="711">
        <v>0.22120000000000001</v>
      </c>
    </row>
    <row r="3265" spans="1:5" x14ac:dyDescent="0.3">
      <c r="A3265" s="397"/>
      <c r="B3265" s="709">
        <v>92614</v>
      </c>
      <c r="C3265" s="710" t="s">
        <v>13682</v>
      </c>
      <c r="D3265" s="709" t="s">
        <v>136</v>
      </c>
      <c r="E3265" s="711">
        <v>0.2392</v>
      </c>
    </row>
    <row r="3266" spans="1:5" x14ac:dyDescent="0.3">
      <c r="A3266" s="397"/>
      <c r="B3266" s="709">
        <v>92552</v>
      </c>
      <c r="C3266" s="710" t="s">
        <v>13683</v>
      </c>
      <c r="D3266" s="709" t="s">
        <v>136</v>
      </c>
      <c r="E3266" s="711">
        <v>0.4425</v>
      </c>
    </row>
    <row r="3267" spans="1:5" x14ac:dyDescent="0.3">
      <c r="A3267" s="397"/>
      <c r="B3267" s="709">
        <v>92562</v>
      </c>
      <c r="C3267" s="710" t="s">
        <v>13684</v>
      </c>
      <c r="D3267" s="709" t="s">
        <v>136</v>
      </c>
      <c r="E3267" s="711">
        <v>0.45350000000000001</v>
      </c>
    </row>
    <row r="3268" spans="1:5" x14ac:dyDescent="0.3">
      <c r="A3268" s="397"/>
      <c r="B3268" s="709">
        <v>92553</v>
      </c>
      <c r="C3268" s="710" t="s">
        <v>13685</v>
      </c>
      <c r="D3268" s="709" t="s">
        <v>136</v>
      </c>
      <c r="E3268" s="711">
        <v>0.47620000000000001</v>
      </c>
    </row>
    <row r="3269" spans="1:5" x14ac:dyDescent="0.3">
      <c r="A3269" s="397"/>
      <c r="B3269" s="709">
        <v>92563</v>
      </c>
      <c r="C3269" s="710" t="s">
        <v>13686</v>
      </c>
      <c r="D3269" s="709" t="s">
        <v>136</v>
      </c>
      <c r="E3269" s="711">
        <v>0.48680000000000001</v>
      </c>
    </row>
    <row r="3270" spans="1:5" x14ac:dyDescent="0.3">
      <c r="A3270" s="397"/>
      <c r="B3270" s="709">
        <v>92554</v>
      </c>
      <c r="C3270" s="710" t="s">
        <v>13687</v>
      </c>
      <c r="D3270" s="709" t="s">
        <v>136</v>
      </c>
      <c r="E3270" s="711">
        <v>0.46100000000000002</v>
      </c>
    </row>
    <row r="3271" spans="1:5" x14ac:dyDescent="0.3">
      <c r="A3271" s="397"/>
      <c r="B3271" s="709">
        <v>92564</v>
      </c>
      <c r="C3271" s="710" t="s">
        <v>13688</v>
      </c>
      <c r="D3271" s="709" t="s">
        <v>136</v>
      </c>
      <c r="E3271" s="711">
        <v>0.4733</v>
      </c>
    </row>
    <row r="3272" spans="1:5" x14ac:dyDescent="0.3">
      <c r="A3272" s="397"/>
      <c r="B3272" s="709">
        <v>92545</v>
      </c>
      <c r="C3272" s="710" t="s">
        <v>13689</v>
      </c>
      <c r="D3272" s="709" t="s">
        <v>136</v>
      </c>
      <c r="E3272" s="711">
        <v>0.43809999999999999</v>
      </c>
    </row>
    <row r="3273" spans="1:5" x14ac:dyDescent="0.3">
      <c r="A3273" s="397"/>
      <c r="B3273" s="709">
        <v>92555</v>
      </c>
      <c r="C3273" s="710" t="s">
        <v>13690</v>
      </c>
      <c r="D3273" s="709" t="s">
        <v>136</v>
      </c>
      <c r="E3273" s="711">
        <v>0.439</v>
      </c>
    </row>
    <row r="3274" spans="1:5" x14ac:dyDescent="0.3">
      <c r="A3274" s="397"/>
      <c r="B3274" s="709">
        <v>92546</v>
      </c>
      <c r="C3274" s="710" t="s">
        <v>13691</v>
      </c>
      <c r="D3274" s="709" t="s">
        <v>136</v>
      </c>
      <c r="E3274" s="711">
        <v>0.4602</v>
      </c>
    </row>
    <row r="3275" spans="1:5" x14ac:dyDescent="0.3">
      <c r="A3275" s="397"/>
      <c r="B3275" s="709">
        <v>92556</v>
      </c>
      <c r="C3275" s="710" t="s">
        <v>13692</v>
      </c>
      <c r="D3275" s="709" t="s">
        <v>136</v>
      </c>
      <c r="E3275" s="711">
        <v>0.46989999999999998</v>
      </c>
    </row>
    <row r="3276" spans="1:5" x14ac:dyDescent="0.3">
      <c r="A3276" s="397"/>
      <c r="B3276" s="709">
        <v>92547</v>
      </c>
      <c r="C3276" s="710" t="s">
        <v>13693</v>
      </c>
      <c r="D3276" s="709" t="s">
        <v>136</v>
      </c>
      <c r="E3276" s="711">
        <v>0.43690000000000001</v>
      </c>
    </row>
    <row r="3277" spans="1:5" x14ac:dyDescent="0.3">
      <c r="A3277" s="397"/>
      <c r="B3277" s="709">
        <v>92557</v>
      </c>
      <c r="C3277" s="710" t="s">
        <v>13694</v>
      </c>
      <c r="D3277" s="709" t="s">
        <v>136</v>
      </c>
      <c r="E3277" s="711">
        <v>0.44590000000000002</v>
      </c>
    </row>
    <row r="3278" spans="1:5" x14ac:dyDescent="0.3">
      <c r="A3278" s="397"/>
      <c r="B3278" s="709">
        <v>92548</v>
      </c>
      <c r="C3278" s="710" t="s">
        <v>13695</v>
      </c>
      <c r="D3278" s="709" t="s">
        <v>136</v>
      </c>
      <c r="E3278" s="711">
        <v>0.44359999999999999</v>
      </c>
    </row>
    <row r="3279" spans="1:5" x14ac:dyDescent="0.3">
      <c r="A3279" s="397"/>
      <c r="B3279" s="709">
        <v>92558</v>
      </c>
      <c r="C3279" s="710" t="s">
        <v>13696</v>
      </c>
      <c r="D3279" s="709" t="s">
        <v>136</v>
      </c>
      <c r="E3279" s="711">
        <v>0.44879999999999998</v>
      </c>
    </row>
    <row r="3280" spans="1:5" x14ac:dyDescent="0.3">
      <c r="A3280" s="397"/>
      <c r="B3280" s="709">
        <v>92549</v>
      </c>
      <c r="C3280" s="710" t="s">
        <v>13697</v>
      </c>
      <c r="D3280" s="709" t="s">
        <v>136</v>
      </c>
      <c r="E3280" s="711">
        <v>0.49869999999999998</v>
      </c>
    </row>
    <row r="3281" spans="1:5" x14ac:dyDescent="0.3">
      <c r="A3281" s="397"/>
      <c r="B3281" s="709">
        <v>92559</v>
      </c>
      <c r="C3281" s="710" t="s">
        <v>13698</v>
      </c>
      <c r="D3281" s="709" t="s">
        <v>136</v>
      </c>
      <c r="E3281" s="711">
        <v>0.50660000000000005</v>
      </c>
    </row>
    <row r="3282" spans="1:5" x14ac:dyDescent="0.3">
      <c r="A3282" s="397"/>
      <c r="B3282" s="709">
        <v>92550</v>
      </c>
      <c r="C3282" s="710" t="s">
        <v>13699</v>
      </c>
      <c r="D3282" s="709" t="s">
        <v>136</v>
      </c>
      <c r="E3282" s="711">
        <v>0.4481</v>
      </c>
    </row>
    <row r="3283" spans="1:5" x14ac:dyDescent="0.3">
      <c r="A3283" s="397"/>
      <c r="B3283" s="709">
        <v>92560</v>
      </c>
      <c r="C3283" s="710" t="s">
        <v>13700</v>
      </c>
      <c r="D3283" s="709" t="s">
        <v>136</v>
      </c>
      <c r="E3283" s="711">
        <v>0.45590000000000003</v>
      </c>
    </row>
    <row r="3284" spans="1:5" x14ac:dyDescent="0.3">
      <c r="A3284" s="397"/>
      <c r="B3284" s="709">
        <v>92551</v>
      </c>
      <c r="C3284" s="710" t="s">
        <v>13701</v>
      </c>
      <c r="D3284" s="709" t="s">
        <v>136</v>
      </c>
      <c r="E3284" s="711">
        <v>0.43180000000000002</v>
      </c>
    </row>
    <row r="3285" spans="1:5" x14ac:dyDescent="0.3">
      <c r="A3285" s="397"/>
      <c r="B3285" s="709">
        <v>92561</v>
      </c>
      <c r="C3285" s="710" t="s">
        <v>13702</v>
      </c>
      <c r="D3285" s="709" t="s">
        <v>136</v>
      </c>
      <c r="E3285" s="711">
        <v>0.439</v>
      </c>
    </row>
    <row r="3286" spans="1:5" x14ac:dyDescent="0.3">
      <c r="A3286" s="397"/>
      <c r="B3286" s="709">
        <v>92262</v>
      </c>
      <c r="C3286" s="710" t="s">
        <v>13703</v>
      </c>
      <c r="D3286" s="709" t="s">
        <v>136</v>
      </c>
      <c r="E3286" s="711">
        <v>0.60370000000000001</v>
      </c>
    </row>
    <row r="3287" spans="1:5" x14ac:dyDescent="0.3">
      <c r="A3287" s="397"/>
      <c r="B3287" s="709">
        <v>106149</v>
      </c>
      <c r="C3287" s="710" t="s">
        <v>13704</v>
      </c>
      <c r="D3287" s="709" t="s">
        <v>136</v>
      </c>
      <c r="E3287" s="711">
        <v>0.66100000000000003</v>
      </c>
    </row>
    <row r="3288" spans="1:5" x14ac:dyDescent="0.3">
      <c r="A3288" s="397"/>
      <c r="B3288" s="709">
        <v>106150</v>
      </c>
      <c r="C3288" s="710" t="s">
        <v>13705</v>
      </c>
      <c r="D3288" s="709" t="s">
        <v>136</v>
      </c>
      <c r="E3288" s="711">
        <v>0.7097</v>
      </c>
    </row>
    <row r="3289" spans="1:5" x14ac:dyDescent="0.3">
      <c r="A3289" s="397"/>
      <c r="B3289" s="709">
        <v>106151</v>
      </c>
      <c r="C3289" s="710" t="s">
        <v>13706</v>
      </c>
      <c r="D3289" s="709" t="s">
        <v>136</v>
      </c>
      <c r="E3289" s="711">
        <v>0.75049999999999994</v>
      </c>
    </row>
    <row r="3290" spans="1:5" x14ac:dyDescent="0.3">
      <c r="A3290" s="397"/>
      <c r="B3290" s="709">
        <v>92259</v>
      </c>
      <c r="C3290" s="710" t="s">
        <v>13707</v>
      </c>
      <c r="D3290" s="709" t="s">
        <v>136</v>
      </c>
      <c r="E3290" s="711">
        <v>0.34589999999999999</v>
      </c>
    </row>
    <row r="3291" spans="1:5" x14ac:dyDescent="0.3">
      <c r="A3291" s="397"/>
      <c r="B3291" s="709">
        <v>92260</v>
      </c>
      <c r="C3291" s="710" t="s">
        <v>13708</v>
      </c>
      <c r="D3291" s="709" t="s">
        <v>136</v>
      </c>
      <c r="E3291" s="711">
        <v>0.4476</v>
      </c>
    </row>
    <row r="3292" spans="1:5" x14ac:dyDescent="0.3">
      <c r="A3292" s="397"/>
      <c r="B3292" s="709">
        <v>92261</v>
      </c>
      <c r="C3292" s="710" t="s">
        <v>13709</v>
      </c>
      <c r="D3292" s="709" t="s">
        <v>136</v>
      </c>
      <c r="E3292" s="711">
        <v>0.52010000000000001</v>
      </c>
    </row>
    <row r="3293" spans="1:5" x14ac:dyDescent="0.3">
      <c r="A3293" s="397"/>
      <c r="B3293" s="709">
        <v>92258</v>
      </c>
      <c r="C3293" s="710" t="s">
        <v>13710</v>
      </c>
      <c r="D3293" s="709" t="s">
        <v>136</v>
      </c>
      <c r="E3293" s="711">
        <v>0.88929999999999998</v>
      </c>
    </row>
    <row r="3294" spans="1:5" x14ac:dyDescent="0.3">
      <c r="A3294" s="397"/>
      <c r="B3294" s="709">
        <v>92255</v>
      </c>
      <c r="C3294" s="710" t="s">
        <v>13711</v>
      </c>
      <c r="D3294" s="709" t="s">
        <v>136</v>
      </c>
      <c r="E3294" s="711">
        <v>0.73660000000000003</v>
      </c>
    </row>
    <row r="3295" spans="1:5" x14ac:dyDescent="0.3">
      <c r="A3295" s="397"/>
      <c r="B3295" s="709">
        <v>92256</v>
      </c>
      <c r="C3295" s="710" t="s">
        <v>13712</v>
      </c>
      <c r="D3295" s="709" t="s">
        <v>136</v>
      </c>
      <c r="E3295" s="711">
        <v>0.81059999999999999</v>
      </c>
    </row>
    <row r="3296" spans="1:5" x14ac:dyDescent="0.3">
      <c r="A3296" s="397"/>
      <c r="B3296" s="709">
        <v>92257</v>
      </c>
      <c r="C3296" s="710" t="s">
        <v>13713</v>
      </c>
      <c r="D3296" s="709" t="s">
        <v>136</v>
      </c>
      <c r="E3296" s="711">
        <v>0.85119999999999996</v>
      </c>
    </row>
    <row r="3297" spans="1:5" x14ac:dyDescent="0.3">
      <c r="A3297" s="397"/>
      <c r="B3297" s="709">
        <v>100393</v>
      </c>
      <c r="C3297" s="710" t="s">
        <v>13714</v>
      </c>
      <c r="D3297" s="709" t="s">
        <v>168</v>
      </c>
      <c r="E3297" s="711">
        <v>0.67190000000000005</v>
      </c>
    </row>
    <row r="3298" spans="1:5" x14ac:dyDescent="0.3">
      <c r="A3298" s="397"/>
      <c r="B3298" s="709">
        <v>100389</v>
      </c>
      <c r="C3298" s="710" t="s">
        <v>13715</v>
      </c>
      <c r="D3298" s="709" t="s">
        <v>168</v>
      </c>
      <c r="E3298" s="711">
        <v>0.66390000000000005</v>
      </c>
    </row>
    <row r="3299" spans="1:5" x14ac:dyDescent="0.3">
      <c r="A3299" s="397"/>
      <c r="B3299" s="709">
        <v>100395</v>
      </c>
      <c r="C3299" s="710" t="s">
        <v>13716</v>
      </c>
      <c r="D3299" s="709" t="s">
        <v>168</v>
      </c>
      <c r="E3299" s="711">
        <v>0.7</v>
      </c>
    </row>
    <row r="3300" spans="1:5" x14ac:dyDescent="0.3">
      <c r="A3300" s="397"/>
      <c r="B3300" s="709">
        <v>100391</v>
      </c>
      <c r="C3300" s="710" t="s">
        <v>13717</v>
      </c>
      <c r="D3300" s="709" t="s">
        <v>168</v>
      </c>
      <c r="E3300" s="711">
        <v>0.69379999999999997</v>
      </c>
    </row>
    <row r="3301" spans="1:5" x14ac:dyDescent="0.3">
      <c r="A3301" s="397"/>
      <c r="B3301" s="709">
        <v>100392</v>
      </c>
      <c r="C3301" s="710" t="s">
        <v>13718</v>
      </c>
      <c r="D3301" s="709" t="s">
        <v>168</v>
      </c>
      <c r="E3301" s="711">
        <v>0.59799999999999998</v>
      </c>
    </row>
    <row r="3302" spans="1:5" x14ac:dyDescent="0.3">
      <c r="A3302" s="397"/>
      <c r="B3302" s="709">
        <v>100388</v>
      </c>
      <c r="C3302" s="710" t="s">
        <v>13719</v>
      </c>
      <c r="D3302" s="709" t="s">
        <v>168</v>
      </c>
      <c r="E3302" s="711">
        <v>0.60199999999999998</v>
      </c>
    </row>
    <row r="3303" spans="1:5" x14ac:dyDescent="0.3">
      <c r="A3303" s="397"/>
      <c r="B3303" s="709">
        <v>100394</v>
      </c>
      <c r="C3303" s="710" t="s">
        <v>13720</v>
      </c>
      <c r="D3303" s="709" t="s">
        <v>168</v>
      </c>
      <c r="E3303" s="711">
        <v>0.6573</v>
      </c>
    </row>
    <row r="3304" spans="1:5" x14ac:dyDescent="0.3">
      <c r="A3304" s="397"/>
      <c r="B3304" s="709">
        <v>100390</v>
      </c>
      <c r="C3304" s="710" t="s">
        <v>13721</v>
      </c>
      <c r="D3304" s="709" t="s">
        <v>168</v>
      </c>
      <c r="E3304" s="711">
        <v>0.66020000000000001</v>
      </c>
    </row>
    <row r="3305" spans="1:5" x14ac:dyDescent="0.3">
      <c r="A3305" s="397"/>
      <c r="B3305" s="709">
        <v>92575</v>
      </c>
      <c r="C3305" s="710" t="s">
        <v>13722</v>
      </c>
      <c r="D3305" s="709" t="s">
        <v>168</v>
      </c>
      <c r="E3305" s="711">
        <v>0.1159</v>
      </c>
    </row>
    <row r="3306" spans="1:5" x14ac:dyDescent="0.3">
      <c r="A3306" s="397"/>
      <c r="B3306" s="709">
        <v>92569</v>
      </c>
      <c r="C3306" s="710" t="s">
        <v>13723</v>
      </c>
      <c r="D3306" s="709" t="s">
        <v>168</v>
      </c>
      <c r="E3306" s="711">
        <v>0.108</v>
      </c>
    </row>
    <row r="3307" spans="1:5" x14ac:dyDescent="0.3">
      <c r="A3307" s="397"/>
      <c r="B3307" s="709">
        <v>92578</v>
      </c>
      <c r="C3307" s="710" t="s">
        <v>13724</v>
      </c>
      <c r="D3307" s="709" t="s">
        <v>168</v>
      </c>
      <c r="E3307" s="711">
        <v>0.14380000000000001</v>
      </c>
    </row>
    <row r="3308" spans="1:5" x14ac:dyDescent="0.3">
      <c r="A3308" s="397"/>
      <c r="B3308" s="709">
        <v>92572</v>
      </c>
      <c r="C3308" s="710" t="s">
        <v>13725</v>
      </c>
      <c r="D3308" s="709" t="s">
        <v>168</v>
      </c>
      <c r="E3308" s="711">
        <v>0.1384</v>
      </c>
    </row>
    <row r="3309" spans="1:5" x14ac:dyDescent="0.3">
      <c r="A3309" s="397"/>
      <c r="B3309" s="709">
        <v>92576</v>
      </c>
      <c r="C3309" s="710" t="s">
        <v>13726</v>
      </c>
      <c r="D3309" s="709" t="s">
        <v>168</v>
      </c>
      <c r="E3309" s="711">
        <v>8.09E-2</v>
      </c>
    </row>
    <row r="3310" spans="1:5" x14ac:dyDescent="0.3">
      <c r="A3310" s="397"/>
      <c r="B3310" s="709">
        <v>92570</v>
      </c>
      <c r="C3310" s="710" t="s">
        <v>13727</v>
      </c>
      <c r="D3310" s="709" t="s">
        <v>168</v>
      </c>
      <c r="E3310" s="711">
        <v>8.0500000000000002E-2</v>
      </c>
    </row>
    <row r="3311" spans="1:5" x14ac:dyDescent="0.3">
      <c r="A3311" s="397"/>
      <c r="B3311" s="709">
        <v>92579</v>
      </c>
      <c r="C3311" s="710" t="s">
        <v>13728</v>
      </c>
      <c r="D3311" s="709" t="s">
        <v>168</v>
      </c>
      <c r="E3311" s="711">
        <v>0.11840000000000001</v>
      </c>
    </row>
    <row r="3312" spans="1:5" x14ac:dyDescent="0.3">
      <c r="A3312" s="397"/>
      <c r="B3312" s="709">
        <v>92573</v>
      </c>
      <c r="C3312" s="710" t="s">
        <v>13729</v>
      </c>
      <c r="D3312" s="709" t="s">
        <v>168</v>
      </c>
      <c r="E3312" s="711">
        <v>0.11749999999999999</v>
      </c>
    </row>
    <row r="3313" spans="1:5" x14ac:dyDescent="0.3">
      <c r="A3313" s="397"/>
      <c r="B3313" s="709">
        <v>92574</v>
      </c>
      <c r="C3313" s="710" t="s">
        <v>13730</v>
      </c>
      <c r="D3313" s="709" t="s">
        <v>168</v>
      </c>
      <c r="E3313" s="711">
        <v>0.1489</v>
      </c>
    </row>
    <row r="3314" spans="1:5" x14ac:dyDescent="0.3">
      <c r="A3314" s="397"/>
      <c r="B3314" s="709">
        <v>92568</v>
      </c>
      <c r="C3314" s="710" t="s">
        <v>13731</v>
      </c>
      <c r="D3314" s="709" t="s">
        <v>168</v>
      </c>
      <c r="E3314" s="711">
        <v>0.13270000000000001</v>
      </c>
    </row>
    <row r="3315" spans="1:5" x14ac:dyDescent="0.3">
      <c r="A3315" s="397"/>
      <c r="B3315" s="709">
        <v>92577</v>
      </c>
      <c r="C3315" s="710" t="s">
        <v>13732</v>
      </c>
      <c r="D3315" s="709" t="s">
        <v>168</v>
      </c>
      <c r="E3315" s="711">
        <v>0.1585</v>
      </c>
    </row>
    <row r="3316" spans="1:5" x14ac:dyDescent="0.3">
      <c r="A3316" s="397"/>
      <c r="B3316" s="709">
        <v>92571</v>
      </c>
      <c r="C3316" s="710" t="s">
        <v>13733</v>
      </c>
      <c r="D3316" s="709" t="s">
        <v>168</v>
      </c>
      <c r="E3316" s="711">
        <v>0.1522</v>
      </c>
    </row>
    <row r="3317" spans="1:5" x14ac:dyDescent="0.3">
      <c r="A3317" s="397"/>
      <c r="B3317" s="709">
        <v>92581</v>
      </c>
      <c r="C3317" s="710" t="s">
        <v>13734</v>
      </c>
      <c r="D3317" s="709" t="s">
        <v>168</v>
      </c>
      <c r="E3317" s="711">
        <v>0.19159999999999999</v>
      </c>
    </row>
    <row r="3318" spans="1:5" x14ac:dyDescent="0.3">
      <c r="A3318" s="397"/>
      <c r="B3318" s="709">
        <v>104314</v>
      </c>
      <c r="C3318" s="710" t="s">
        <v>13735</v>
      </c>
      <c r="D3318" s="709" t="s">
        <v>175</v>
      </c>
      <c r="E3318" s="711">
        <v>0.21360000000000001</v>
      </c>
    </row>
    <row r="3319" spans="1:5" x14ac:dyDescent="0.3">
      <c r="A3319" s="397"/>
      <c r="B3319" s="709">
        <v>92580</v>
      </c>
      <c r="C3319" s="710" t="s">
        <v>13736</v>
      </c>
      <c r="D3319" s="709" t="s">
        <v>168</v>
      </c>
      <c r="E3319" s="711">
        <v>0.21390000000000001</v>
      </c>
    </row>
    <row r="3320" spans="1:5" x14ac:dyDescent="0.3">
      <c r="A3320" s="397"/>
      <c r="B3320" s="709">
        <v>92539</v>
      </c>
      <c r="C3320" s="710" t="s">
        <v>13737</v>
      </c>
      <c r="D3320" s="709" t="s">
        <v>168</v>
      </c>
      <c r="E3320" s="711">
        <v>0.38</v>
      </c>
    </row>
    <row r="3321" spans="1:5" x14ac:dyDescent="0.3">
      <c r="A3321" s="397"/>
      <c r="B3321" s="709">
        <v>92540</v>
      </c>
      <c r="C3321" s="710" t="s">
        <v>13738</v>
      </c>
      <c r="D3321" s="709" t="s">
        <v>168</v>
      </c>
      <c r="E3321" s="711">
        <v>0.41299999999999998</v>
      </c>
    </row>
    <row r="3322" spans="1:5" x14ac:dyDescent="0.3">
      <c r="A3322" s="397"/>
      <c r="B3322" s="709">
        <v>92544</v>
      </c>
      <c r="C3322" s="710" t="s">
        <v>13739</v>
      </c>
      <c r="D3322" s="709" t="s">
        <v>168</v>
      </c>
      <c r="E3322" s="711">
        <v>0.32790000000000002</v>
      </c>
    </row>
    <row r="3323" spans="1:5" x14ac:dyDescent="0.3">
      <c r="A3323" s="397"/>
      <c r="B3323" s="709">
        <v>92543</v>
      </c>
      <c r="C3323" s="710" t="s">
        <v>13740</v>
      </c>
      <c r="D3323" s="709" t="s">
        <v>168</v>
      </c>
      <c r="E3323" s="711">
        <v>0.32469999999999999</v>
      </c>
    </row>
    <row r="3324" spans="1:5" x14ac:dyDescent="0.3">
      <c r="A3324" s="397"/>
      <c r="B3324" s="709">
        <v>97740</v>
      </c>
      <c r="C3324" s="710" t="s">
        <v>3629</v>
      </c>
      <c r="D3324" s="709" t="s">
        <v>170</v>
      </c>
      <c r="E3324" s="711">
        <v>0.3755</v>
      </c>
    </row>
    <row r="3325" spans="1:5" x14ac:dyDescent="0.3">
      <c r="A3325" s="397"/>
      <c r="B3325" s="709">
        <v>97738</v>
      </c>
      <c r="C3325" s="710" t="s">
        <v>3630</v>
      </c>
      <c r="D3325" s="709" t="s">
        <v>170</v>
      </c>
      <c r="E3325" s="711">
        <v>0.61829999999999996</v>
      </c>
    </row>
    <row r="3326" spans="1:5" x14ac:dyDescent="0.3">
      <c r="A3326" s="397"/>
      <c r="B3326" s="709">
        <v>97739</v>
      </c>
      <c r="C3326" s="710" t="s">
        <v>3631</v>
      </c>
      <c r="D3326" s="709" t="s">
        <v>170</v>
      </c>
      <c r="E3326" s="711">
        <v>0.56759999999999999</v>
      </c>
    </row>
    <row r="3327" spans="1:5" x14ac:dyDescent="0.3">
      <c r="A3327" s="397"/>
      <c r="B3327" s="709">
        <v>97736</v>
      </c>
      <c r="C3327" s="710" t="s">
        <v>3632</v>
      </c>
      <c r="D3327" s="709" t="s">
        <v>170</v>
      </c>
      <c r="E3327" s="711">
        <v>0.40129999999999999</v>
      </c>
    </row>
    <row r="3328" spans="1:5" x14ac:dyDescent="0.3">
      <c r="A3328" s="397"/>
      <c r="B3328" s="709">
        <v>97734</v>
      </c>
      <c r="C3328" s="710" t="s">
        <v>3633</v>
      </c>
      <c r="D3328" s="709" t="s">
        <v>170</v>
      </c>
      <c r="E3328" s="711">
        <v>0.70579999999999998</v>
      </c>
    </row>
    <row r="3329" spans="1:5" x14ac:dyDescent="0.3">
      <c r="A3329" s="397"/>
      <c r="B3329" s="709">
        <v>97735</v>
      </c>
      <c r="C3329" s="710" t="s">
        <v>3634</v>
      </c>
      <c r="D3329" s="709" t="s">
        <v>170</v>
      </c>
      <c r="E3329" s="711">
        <v>0.64539999999999997</v>
      </c>
    </row>
    <row r="3330" spans="1:5" x14ac:dyDescent="0.3">
      <c r="A3330" s="397"/>
      <c r="B3330" s="709">
        <v>97737</v>
      </c>
      <c r="C3330" s="710" t="s">
        <v>3635</v>
      </c>
      <c r="D3330" s="709" t="s">
        <v>170</v>
      </c>
      <c r="E3330" s="711">
        <v>0.59560000000000002</v>
      </c>
    </row>
    <row r="3331" spans="1:5" x14ac:dyDescent="0.3">
      <c r="A3331" s="397"/>
      <c r="B3331" s="709">
        <v>97733</v>
      </c>
      <c r="C3331" s="710" t="s">
        <v>3636</v>
      </c>
      <c r="D3331" s="709" t="s">
        <v>170</v>
      </c>
      <c r="E3331" s="711">
        <v>0.69389999999999996</v>
      </c>
    </row>
    <row r="3332" spans="1:5" x14ac:dyDescent="0.3">
      <c r="A3332" s="397"/>
      <c r="B3332" s="709">
        <v>98616</v>
      </c>
      <c r="C3332" s="710" t="s">
        <v>3637</v>
      </c>
      <c r="D3332" s="709" t="s">
        <v>168</v>
      </c>
      <c r="E3332" s="711">
        <v>0.15210000000000001</v>
      </c>
    </row>
    <row r="3333" spans="1:5" x14ac:dyDescent="0.3">
      <c r="A3333" s="397"/>
      <c r="B3333" s="709">
        <v>98619</v>
      </c>
      <c r="C3333" s="710" t="s">
        <v>3638</v>
      </c>
      <c r="D3333" s="709" t="s">
        <v>168</v>
      </c>
      <c r="E3333" s="711">
        <v>0.11459999999999999</v>
      </c>
    </row>
    <row r="3334" spans="1:5" x14ac:dyDescent="0.3">
      <c r="A3334" s="397"/>
      <c r="B3334" s="709">
        <v>98622</v>
      </c>
      <c r="C3334" s="710" t="s">
        <v>3639</v>
      </c>
      <c r="D3334" s="709" t="s">
        <v>168</v>
      </c>
      <c r="E3334" s="711">
        <v>0.11840000000000001</v>
      </c>
    </row>
    <row r="3335" spans="1:5" x14ac:dyDescent="0.3">
      <c r="A3335" s="397"/>
      <c r="B3335" s="709">
        <v>98625</v>
      </c>
      <c r="C3335" s="710" t="s">
        <v>3640</v>
      </c>
      <c r="D3335" s="709" t="s">
        <v>168</v>
      </c>
      <c r="E3335" s="711">
        <v>8.5300000000000001E-2</v>
      </c>
    </row>
    <row r="3336" spans="1:5" x14ac:dyDescent="0.3">
      <c r="A3336" s="397"/>
      <c r="B3336" s="709">
        <v>98657</v>
      </c>
      <c r="C3336" s="710" t="s">
        <v>3648</v>
      </c>
      <c r="D3336" s="709" t="s">
        <v>159</v>
      </c>
      <c r="E3336" s="711">
        <v>0.37619999999999998</v>
      </c>
    </row>
    <row r="3337" spans="1:5" x14ac:dyDescent="0.3">
      <c r="A3337" s="397"/>
      <c r="B3337" s="709">
        <v>100344</v>
      </c>
      <c r="C3337" s="710" t="s">
        <v>3649</v>
      </c>
      <c r="D3337" s="709" t="s">
        <v>175</v>
      </c>
      <c r="E3337" s="711">
        <v>0.27089999999999997</v>
      </c>
    </row>
    <row r="3338" spans="1:5" x14ac:dyDescent="0.3">
      <c r="A3338" s="397"/>
      <c r="B3338" s="709">
        <v>100345</v>
      </c>
      <c r="C3338" s="710" t="s">
        <v>3650</v>
      </c>
      <c r="D3338" s="709" t="s">
        <v>175</v>
      </c>
      <c r="E3338" s="711">
        <v>0.1704</v>
      </c>
    </row>
    <row r="3339" spans="1:5" x14ac:dyDescent="0.3">
      <c r="A3339" s="397"/>
      <c r="B3339" s="709">
        <v>100346</v>
      </c>
      <c r="C3339" s="710" t="s">
        <v>3651</v>
      </c>
      <c r="D3339" s="709" t="s">
        <v>175</v>
      </c>
      <c r="E3339" s="711">
        <v>0.12909999999999999</v>
      </c>
    </row>
    <row r="3340" spans="1:5" x14ac:dyDescent="0.3">
      <c r="A3340" s="397"/>
      <c r="B3340" s="709">
        <v>100347</v>
      </c>
      <c r="C3340" s="710" t="s">
        <v>3652</v>
      </c>
      <c r="D3340" s="709" t="s">
        <v>175</v>
      </c>
      <c r="E3340" s="711">
        <v>8.9200000000000002E-2</v>
      </c>
    </row>
    <row r="3341" spans="1:5" x14ac:dyDescent="0.3">
      <c r="A3341" s="397"/>
      <c r="B3341" s="709">
        <v>100348</v>
      </c>
      <c r="C3341" s="710" t="s">
        <v>3653</v>
      </c>
      <c r="D3341" s="709" t="s">
        <v>175</v>
      </c>
      <c r="E3341" s="711">
        <v>7.17E-2</v>
      </c>
    </row>
    <row r="3342" spans="1:5" x14ac:dyDescent="0.3">
      <c r="A3342" s="397"/>
      <c r="B3342" s="709">
        <v>100342</v>
      </c>
      <c r="C3342" s="710" t="s">
        <v>3654</v>
      </c>
      <c r="D3342" s="709" t="s">
        <v>175</v>
      </c>
      <c r="E3342" s="711">
        <v>0.47660000000000002</v>
      </c>
    </row>
    <row r="3343" spans="1:5" x14ac:dyDescent="0.3">
      <c r="A3343" s="397"/>
      <c r="B3343" s="709">
        <v>100343</v>
      </c>
      <c r="C3343" s="710" t="s">
        <v>3655</v>
      </c>
      <c r="D3343" s="709" t="s">
        <v>175</v>
      </c>
      <c r="E3343" s="711">
        <v>0.37569999999999998</v>
      </c>
    </row>
    <row r="3344" spans="1:5" x14ac:dyDescent="0.3">
      <c r="A3344" s="397"/>
      <c r="B3344" s="709">
        <v>100349</v>
      </c>
      <c r="C3344" s="710" t="s">
        <v>3656</v>
      </c>
      <c r="D3344" s="709" t="s">
        <v>170</v>
      </c>
      <c r="E3344" s="711">
        <v>3.9800000000000002E-2</v>
      </c>
    </row>
    <row r="3345" spans="1:5" x14ac:dyDescent="0.3">
      <c r="A3345" s="397"/>
      <c r="B3345" s="709">
        <v>105805</v>
      </c>
      <c r="C3345" s="710" t="s">
        <v>3661</v>
      </c>
      <c r="D3345" s="709" t="s">
        <v>168</v>
      </c>
      <c r="E3345" s="711">
        <v>0.12720000000000001</v>
      </c>
    </row>
    <row r="3346" spans="1:5" x14ac:dyDescent="0.3">
      <c r="A3346" s="397"/>
      <c r="B3346" s="709">
        <v>105806</v>
      </c>
      <c r="C3346" s="710" t="s">
        <v>3662</v>
      </c>
      <c r="D3346" s="709" t="s">
        <v>168</v>
      </c>
      <c r="E3346" s="711">
        <v>0.15920000000000001</v>
      </c>
    </row>
    <row r="3347" spans="1:5" x14ac:dyDescent="0.3">
      <c r="A3347" s="397"/>
      <c r="B3347" s="709">
        <v>105807</v>
      </c>
      <c r="C3347" s="710" t="s">
        <v>3663</v>
      </c>
      <c r="D3347" s="709" t="s">
        <v>168</v>
      </c>
      <c r="E3347" s="711">
        <v>0.13639999999999999</v>
      </c>
    </row>
    <row r="3348" spans="1:5" x14ac:dyDescent="0.3">
      <c r="A3348" s="397"/>
      <c r="B3348" s="709">
        <v>105808</v>
      </c>
      <c r="C3348" s="710" t="s">
        <v>3664</v>
      </c>
      <c r="D3348" s="709" t="s">
        <v>168</v>
      </c>
      <c r="E3348" s="711">
        <v>0.17119999999999999</v>
      </c>
    </row>
    <row r="3349" spans="1:5" x14ac:dyDescent="0.3">
      <c r="A3349" s="397"/>
      <c r="B3349" s="709">
        <v>100341</v>
      </c>
      <c r="C3349" s="710" t="s">
        <v>3665</v>
      </c>
      <c r="D3349" s="709" t="s">
        <v>168</v>
      </c>
      <c r="E3349" s="711">
        <v>0.48959999999999998</v>
      </c>
    </row>
    <row r="3350" spans="1:5" x14ac:dyDescent="0.3">
      <c r="A3350" s="397"/>
      <c r="B3350" s="709">
        <v>105042</v>
      </c>
      <c r="C3350" s="710" t="s">
        <v>3685</v>
      </c>
      <c r="D3350" s="709" t="s">
        <v>159</v>
      </c>
      <c r="E3350" s="711">
        <v>0.29110000000000003</v>
      </c>
    </row>
    <row r="3351" spans="1:5" x14ac:dyDescent="0.3">
      <c r="A3351" s="397"/>
      <c r="B3351" s="709">
        <v>105046</v>
      </c>
      <c r="C3351" s="710" t="s">
        <v>3686</v>
      </c>
      <c r="D3351" s="709" t="s">
        <v>159</v>
      </c>
      <c r="E3351" s="711">
        <v>0.20549999999999999</v>
      </c>
    </row>
    <row r="3352" spans="1:5" x14ac:dyDescent="0.3">
      <c r="A3352" s="397"/>
      <c r="B3352" s="709">
        <v>105095</v>
      </c>
      <c r="C3352" s="710" t="s">
        <v>3687</v>
      </c>
      <c r="D3352" s="709" t="s">
        <v>159</v>
      </c>
      <c r="E3352" s="711">
        <v>0.18659999999999999</v>
      </c>
    </row>
    <row r="3353" spans="1:5" x14ac:dyDescent="0.3">
      <c r="A3353" s="397"/>
      <c r="B3353" s="709">
        <v>105098</v>
      </c>
      <c r="C3353" s="710" t="s">
        <v>3688</v>
      </c>
      <c r="D3353" s="709" t="s">
        <v>159</v>
      </c>
      <c r="E3353" s="711">
        <v>0.1258</v>
      </c>
    </row>
    <row r="3354" spans="1:5" x14ac:dyDescent="0.3">
      <c r="A3354" s="397"/>
      <c r="B3354" s="709">
        <v>105050</v>
      </c>
      <c r="C3354" s="710" t="s">
        <v>3689</v>
      </c>
      <c r="D3354" s="709" t="s">
        <v>159</v>
      </c>
      <c r="E3354" s="711">
        <v>8.6400000000000005E-2</v>
      </c>
    </row>
    <row r="3355" spans="1:5" x14ac:dyDescent="0.3">
      <c r="A3355" s="397"/>
      <c r="B3355" s="709">
        <v>105053</v>
      </c>
      <c r="C3355" s="710" t="s">
        <v>3690</v>
      </c>
      <c r="D3355" s="709" t="s">
        <v>159</v>
      </c>
      <c r="E3355" s="711">
        <v>5.6399999999999999E-2</v>
      </c>
    </row>
    <row r="3356" spans="1:5" x14ac:dyDescent="0.3">
      <c r="A3356" s="397"/>
      <c r="B3356" s="709">
        <v>105056</v>
      </c>
      <c r="C3356" s="710" t="s">
        <v>3691</v>
      </c>
      <c r="D3356" s="709" t="s">
        <v>159</v>
      </c>
      <c r="E3356" s="711">
        <v>6.2899999999999998E-2</v>
      </c>
    </row>
    <row r="3357" spans="1:5" x14ac:dyDescent="0.3">
      <c r="A3357" s="397"/>
      <c r="B3357" s="709">
        <v>105058</v>
      </c>
      <c r="C3357" s="710" t="s">
        <v>3692</v>
      </c>
      <c r="D3357" s="709" t="s">
        <v>159</v>
      </c>
      <c r="E3357" s="711">
        <v>4.2900000000000001E-2</v>
      </c>
    </row>
    <row r="3358" spans="1:5" x14ac:dyDescent="0.3">
      <c r="A3358" s="397"/>
      <c r="B3358" s="709">
        <v>105061</v>
      </c>
      <c r="C3358" s="710" t="s">
        <v>3705</v>
      </c>
      <c r="D3358" s="709" t="s">
        <v>159</v>
      </c>
      <c r="E3358" s="711">
        <v>0.31380000000000002</v>
      </c>
    </row>
    <row r="3359" spans="1:5" x14ac:dyDescent="0.3">
      <c r="A3359" s="397"/>
      <c r="B3359" s="709">
        <v>105064</v>
      </c>
      <c r="C3359" s="710" t="s">
        <v>3706</v>
      </c>
      <c r="D3359" s="709" t="s">
        <v>159</v>
      </c>
      <c r="E3359" s="711">
        <v>0.21659999999999999</v>
      </c>
    </row>
    <row r="3360" spans="1:5" x14ac:dyDescent="0.3">
      <c r="A3360" s="397"/>
      <c r="B3360" s="709">
        <v>105068</v>
      </c>
      <c r="C3360" s="710" t="s">
        <v>3707</v>
      </c>
      <c r="D3360" s="709" t="s">
        <v>159</v>
      </c>
      <c r="E3360" s="711">
        <v>0.1943</v>
      </c>
    </row>
    <row r="3361" spans="1:5" x14ac:dyDescent="0.3">
      <c r="A3361" s="397"/>
      <c r="B3361" s="709">
        <v>105071</v>
      </c>
      <c r="C3361" s="710" t="s">
        <v>3708</v>
      </c>
      <c r="D3361" s="709" t="s">
        <v>159</v>
      </c>
      <c r="E3361" s="711">
        <v>0.1268</v>
      </c>
    </row>
    <row r="3362" spans="1:5" x14ac:dyDescent="0.3">
      <c r="A3362" s="397"/>
      <c r="B3362" s="709">
        <v>105074</v>
      </c>
      <c r="C3362" s="710" t="s">
        <v>3709</v>
      </c>
      <c r="D3362" s="709" t="s">
        <v>159</v>
      </c>
      <c r="E3362" s="711">
        <v>0.1273</v>
      </c>
    </row>
    <row r="3363" spans="1:5" x14ac:dyDescent="0.3">
      <c r="A3363" s="397"/>
      <c r="B3363" s="709">
        <v>105077</v>
      </c>
      <c r="C3363" s="710" t="s">
        <v>3710</v>
      </c>
      <c r="D3363" s="709" t="s">
        <v>159</v>
      </c>
      <c r="E3363" s="711">
        <v>8.1000000000000003E-2</v>
      </c>
    </row>
    <row r="3364" spans="1:5" x14ac:dyDescent="0.3">
      <c r="A3364" s="397"/>
      <c r="B3364" s="709">
        <v>105090</v>
      </c>
      <c r="C3364" s="710" t="s">
        <v>3711</v>
      </c>
      <c r="D3364" s="709" t="s">
        <v>168</v>
      </c>
      <c r="E3364" s="711">
        <v>6.7900000000000002E-2</v>
      </c>
    </row>
    <row r="3365" spans="1:5" x14ac:dyDescent="0.3">
      <c r="A3365" s="397"/>
      <c r="B3365" s="709">
        <v>105099</v>
      </c>
      <c r="C3365" s="710" t="s">
        <v>3712</v>
      </c>
      <c r="D3365" s="709" t="s">
        <v>159</v>
      </c>
      <c r="E3365" s="711">
        <v>0.36059999999999998</v>
      </c>
    </row>
    <row r="3366" spans="1:5" x14ac:dyDescent="0.3">
      <c r="A3366" s="397"/>
      <c r="B3366" s="709">
        <v>105100</v>
      </c>
      <c r="C3366" s="710" t="s">
        <v>3713</v>
      </c>
      <c r="D3366" s="709" t="s">
        <v>159</v>
      </c>
      <c r="E3366" s="711">
        <v>0.255</v>
      </c>
    </row>
    <row r="3367" spans="1:5" x14ac:dyDescent="0.3">
      <c r="A3367" s="397"/>
      <c r="B3367" s="709">
        <v>105101</v>
      </c>
      <c r="C3367" s="710" t="s">
        <v>3714</v>
      </c>
      <c r="D3367" s="709" t="s">
        <v>159</v>
      </c>
      <c r="E3367" s="711">
        <v>0.14050000000000001</v>
      </c>
    </row>
    <row r="3368" spans="1:5" x14ac:dyDescent="0.3">
      <c r="A3368" s="397"/>
      <c r="B3368" s="709">
        <v>105102</v>
      </c>
      <c r="C3368" s="710" t="s">
        <v>3715</v>
      </c>
      <c r="D3368" s="709" t="s">
        <v>159</v>
      </c>
      <c r="E3368" s="711">
        <v>0.1197</v>
      </c>
    </row>
    <row r="3369" spans="1:5" x14ac:dyDescent="0.3">
      <c r="A3369" s="397"/>
      <c r="B3369" s="709">
        <v>105080</v>
      </c>
      <c r="C3369" s="710" t="s">
        <v>3716</v>
      </c>
      <c r="D3369" s="709" t="s">
        <v>159</v>
      </c>
      <c r="E3369" s="711">
        <v>0.32979999999999998</v>
      </c>
    </row>
    <row r="3370" spans="1:5" x14ac:dyDescent="0.3">
      <c r="A3370" s="397"/>
      <c r="B3370" s="709">
        <v>105081</v>
      </c>
      <c r="C3370" s="710" t="s">
        <v>3717</v>
      </c>
      <c r="D3370" s="709" t="s">
        <v>159</v>
      </c>
      <c r="E3370" s="711">
        <v>0.29559999999999997</v>
      </c>
    </row>
    <row r="3371" spans="1:5" x14ac:dyDescent="0.3">
      <c r="A3371" s="397"/>
      <c r="B3371" s="709">
        <v>105091</v>
      </c>
      <c r="C3371" s="710" t="s">
        <v>3718</v>
      </c>
      <c r="D3371" s="709" t="s">
        <v>159</v>
      </c>
      <c r="E3371" s="711">
        <v>0.18870000000000001</v>
      </c>
    </row>
    <row r="3372" spans="1:5" x14ac:dyDescent="0.3">
      <c r="A3372" s="397"/>
      <c r="B3372" s="709">
        <v>105089</v>
      </c>
      <c r="C3372" s="710" t="s">
        <v>3719</v>
      </c>
      <c r="D3372" s="709" t="s">
        <v>159</v>
      </c>
      <c r="E3372" s="711">
        <v>0.1628</v>
      </c>
    </row>
    <row r="3373" spans="1:5" x14ac:dyDescent="0.3">
      <c r="A3373" s="397"/>
      <c r="B3373" s="709">
        <v>105082</v>
      </c>
      <c r="C3373" s="710" t="s">
        <v>3720</v>
      </c>
      <c r="D3373" s="709" t="s">
        <v>159</v>
      </c>
      <c r="E3373" s="711">
        <v>0.31640000000000001</v>
      </c>
    </row>
    <row r="3374" spans="1:5" x14ac:dyDescent="0.3">
      <c r="A3374" s="397"/>
      <c r="B3374" s="709">
        <v>105083</v>
      </c>
      <c r="C3374" s="710" t="s">
        <v>3721</v>
      </c>
      <c r="D3374" s="709" t="s">
        <v>159</v>
      </c>
      <c r="E3374" s="711">
        <v>0.29070000000000001</v>
      </c>
    </row>
    <row r="3375" spans="1:5" x14ac:dyDescent="0.3">
      <c r="A3375" s="397"/>
      <c r="B3375" s="709">
        <v>105084</v>
      </c>
      <c r="C3375" s="710" t="s">
        <v>3722</v>
      </c>
      <c r="D3375" s="709" t="s">
        <v>159</v>
      </c>
      <c r="E3375" s="711">
        <v>0.2424</v>
      </c>
    </row>
    <row r="3376" spans="1:5" x14ac:dyDescent="0.3">
      <c r="A3376" s="397"/>
      <c r="B3376" s="709">
        <v>105086</v>
      </c>
      <c r="C3376" s="710" t="s">
        <v>3723</v>
      </c>
      <c r="D3376" s="709" t="s">
        <v>159</v>
      </c>
      <c r="E3376" s="711">
        <v>0.27210000000000001</v>
      </c>
    </row>
    <row r="3377" spans="1:5" x14ac:dyDescent="0.3">
      <c r="A3377" s="397"/>
      <c r="B3377" s="709">
        <v>105087</v>
      </c>
      <c r="C3377" s="710" t="s">
        <v>3724</v>
      </c>
      <c r="D3377" s="709" t="s">
        <v>159</v>
      </c>
      <c r="E3377" s="711">
        <v>0.25209999999999999</v>
      </c>
    </row>
    <row r="3378" spans="1:5" x14ac:dyDescent="0.3">
      <c r="A3378" s="397"/>
      <c r="B3378" s="709">
        <v>105088</v>
      </c>
      <c r="C3378" s="710" t="s">
        <v>3725</v>
      </c>
      <c r="D3378" s="709" t="s">
        <v>159</v>
      </c>
      <c r="E3378" s="711">
        <v>0.15029999999999999</v>
      </c>
    </row>
    <row r="3379" spans="1:5" x14ac:dyDescent="0.3">
      <c r="A3379" s="397"/>
      <c r="B3379" s="709">
        <v>105092</v>
      </c>
      <c r="C3379" s="710" t="s">
        <v>3726</v>
      </c>
      <c r="D3379" s="709" t="s">
        <v>159</v>
      </c>
      <c r="E3379" s="711">
        <v>0.1734</v>
      </c>
    </row>
    <row r="3380" spans="1:5" x14ac:dyDescent="0.3">
      <c r="A3380" s="397"/>
      <c r="B3380" s="709">
        <v>105085</v>
      </c>
      <c r="C3380" s="710" t="s">
        <v>3727</v>
      </c>
      <c r="D3380" s="709" t="s">
        <v>159</v>
      </c>
      <c r="E3380" s="711">
        <v>0.23449999999999999</v>
      </c>
    </row>
    <row r="3381" spans="1:5" x14ac:dyDescent="0.3">
      <c r="A3381" s="397"/>
      <c r="B3381" s="709">
        <v>105093</v>
      </c>
      <c r="C3381" s="710" t="s">
        <v>3728</v>
      </c>
      <c r="D3381" s="709" t="s">
        <v>159</v>
      </c>
      <c r="E3381" s="711">
        <v>0.1862</v>
      </c>
    </row>
    <row r="3382" spans="1:5" x14ac:dyDescent="0.3">
      <c r="A3382" s="397"/>
      <c r="B3382" s="709">
        <v>105041</v>
      </c>
      <c r="C3382" s="710" t="s">
        <v>3729</v>
      </c>
      <c r="D3382" s="709" t="s">
        <v>159</v>
      </c>
      <c r="E3382" s="711">
        <v>0.42159999999999997</v>
      </c>
    </row>
    <row r="3383" spans="1:5" x14ac:dyDescent="0.3">
      <c r="A3383" s="397"/>
      <c r="B3383" s="709">
        <v>105045</v>
      </c>
      <c r="C3383" s="710" t="s">
        <v>3730</v>
      </c>
      <c r="D3383" s="709" t="s">
        <v>159</v>
      </c>
      <c r="E3383" s="711">
        <v>0.39300000000000002</v>
      </c>
    </row>
    <row r="3384" spans="1:5" x14ac:dyDescent="0.3">
      <c r="A3384" s="397"/>
      <c r="B3384" s="709">
        <v>93961</v>
      </c>
      <c r="C3384" s="710" t="s">
        <v>3731</v>
      </c>
      <c r="D3384" s="709" t="s">
        <v>159</v>
      </c>
      <c r="E3384" s="711">
        <v>0.63939999999999997</v>
      </c>
    </row>
    <row r="3385" spans="1:5" x14ac:dyDescent="0.3">
      <c r="A3385" s="397"/>
      <c r="B3385" s="709">
        <v>93971</v>
      </c>
      <c r="C3385" s="710" t="s">
        <v>3732</v>
      </c>
      <c r="D3385" s="709" t="s">
        <v>159</v>
      </c>
      <c r="E3385" s="711">
        <v>0.61419999999999997</v>
      </c>
    </row>
    <row r="3386" spans="1:5" x14ac:dyDescent="0.3">
      <c r="A3386" s="397"/>
      <c r="B3386" s="709">
        <v>93959</v>
      </c>
      <c r="C3386" s="710" t="s">
        <v>3733</v>
      </c>
      <c r="D3386" s="709" t="s">
        <v>159</v>
      </c>
      <c r="E3386" s="711">
        <v>0.64700000000000002</v>
      </c>
    </row>
    <row r="3387" spans="1:5" x14ac:dyDescent="0.3">
      <c r="A3387" s="397"/>
      <c r="B3387" s="709">
        <v>93969</v>
      </c>
      <c r="C3387" s="710" t="s">
        <v>3734</v>
      </c>
      <c r="D3387" s="709" t="s">
        <v>159</v>
      </c>
      <c r="E3387" s="711">
        <v>0.62490000000000001</v>
      </c>
    </row>
    <row r="3388" spans="1:5" x14ac:dyDescent="0.3">
      <c r="A3388" s="397"/>
      <c r="B3388" s="709">
        <v>93957</v>
      </c>
      <c r="C3388" s="710" t="s">
        <v>3735</v>
      </c>
      <c r="D3388" s="709" t="s">
        <v>159</v>
      </c>
      <c r="E3388" s="711">
        <v>0.66220000000000001</v>
      </c>
    </row>
    <row r="3389" spans="1:5" x14ac:dyDescent="0.3">
      <c r="A3389" s="397"/>
      <c r="B3389" s="709">
        <v>93967</v>
      </c>
      <c r="C3389" s="710" t="s">
        <v>3736</v>
      </c>
      <c r="D3389" s="709" t="s">
        <v>159</v>
      </c>
      <c r="E3389" s="711">
        <v>0.64629999999999999</v>
      </c>
    </row>
    <row r="3390" spans="1:5" x14ac:dyDescent="0.3">
      <c r="A3390" s="397"/>
      <c r="B3390" s="709">
        <v>104878</v>
      </c>
      <c r="C3390" s="710" t="s">
        <v>3737</v>
      </c>
      <c r="D3390" s="709" t="s">
        <v>136</v>
      </c>
      <c r="E3390" s="711">
        <v>4.9599999999999998E-2</v>
      </c>
    </row>
    <row r="3391" spans="1:5" x14ac:dyDescent="0.3">
      <c r="A3391" s="397"/>
      <c r="B3391" s="709">
        <v>104877</v>
      </c>
      <c r="C3391" s="710" t="s">
        <v>3738</v>
      </c>
      <c r="D3391" s="709" t="s">
        <v>136</v>
      </c>
      <c r="E3391" s="711">
        <v>0.1799</v>
      </c>
    </row>
    <row r="3392" spans="1:5" x14ac:dyDescent="0.3">
      <c r="A3392" s="397"/>
      <c r="B3392" s="709">
        <v>104841</v>
      </c>
      <c r="C3392" s="710" t="s">
        <v>3739</v>
      </c>
      <c r="D3392" s="709" t="s">
        <v>159</v>
      </c>
      <c r="E3392" s="711">
        <v>0.3387</v>
      </c>
    </row>
    <row r="3393" spans="1:5" x14ac:dyDescent="0.3">
      <c r="A3393" s="397"/>
      <c r="B3393" s="709">
        <v>104849</v>
      </c>
      <c r="C3393" s="710" t="s">
        <v>3740</v>
      </c>
      <c r="D3393" s="709" t="s">
        <v>159</v>
      </c>
      <c r="E3393" s="711">
        <v>0.33329999999999999</v>
      </c>
    </row>
    <row r="3394" spans="1:5" x14ac:dyDescent="0.3">
      <c r="A3394" s="397"/>
      <c r="B3394" s="709">
        <v>104887</v>
      </c>
      <c r="C3394" s="710" t="s">
        <v>3741</v>
      </c>
      <c r="D3394" s="709" t="s">
        <v>159</v>
      </c>
      <c r="E3394" s="711">
        <v>0.25209999999999999</v>
      </c>
    </row>
    <row r="3395" spans="1:5" x14ac:dyDescent="0.3">
      <c r="A3395" s="397"/>
      <c r="B3395" s="709">
        <v>104844</v>
      </c>
      <c r="C3395" s="710" t="s">
        <v>3742</v>
      </c>
      <c r="D3395" s="709" t="s">
        <v>159</v>
      </c>
      <c r="E3395" s="711">
        <v>0.34770000000000001</v>
      </c>
    </row>
    <row r="3396" spans="1:5" x14ac:dyDescent="0.3">
      <c r="A3396" s="397"/>
      <c r="B3396" s="709">
        <v>104852</v>
      </c>
      <c r="C3396" s="710" t="s">
        <v>3743</v>
      </c>
      <c r="D3396" s="709" t="s">
        <v>159</v>
      </c>
      <c r="E3396" s="711">
        <v>0.34739999999999999</v>
      </c>
    </row>
    <row r="3397" spans="1:5" x14ac:dyDescent="0.3">
      <c r="A3397" s="397"/>
      <c r="B3397" s="709">
        <v>104846</v>
      </c>
      <c r="C3397" s="710" t="s">
        <v>3744</v>
      </c>
      <c r="D3397" s="709" t="s">
        <v>159</v>
      </c>
      <c r="E3397" s="711">
        <v>0.35830000000000001</v>
      </c>
    </row>
    <row r="3398" spans="1:5" x14ac:dyDescent="0.3">
      <c r="A3398" s="397"/>
      <c r="B3398" s="709">
        <v>104854</v>
      </c>
      <c r="C3398" s="710" t="s">
        <v>3745</v>
      </c>
      <c r="D3398" s="709" t="s">
        <v>159</v>
      </c>
      <c r="E3398" s="711">
        <v>0.36409999999999998</v>
      </c>
    </row>
    <row r="3399" spans="1:5" x14ac:dyDescent="0.3">
      <c r="A3399" s="397"/>
      <c r="B3399" s="709">
        <v>104890</v>
      </c>
      <c r="C3399" s="710" t="s">
        <v>3746</v>
      </c>
      <c r="D3399" s="709" t="s">
        <v>159</v>
      </c>
      <c r="E3399" s="711">
        <v>0.2752</v>
      </c>
    </row>
    <row r="3400" spans="1:5" x14ac:dyDescent="0.3">
      <c r="A3400" s="397"/>
      <c r="B3400" s="709">
        <v>104842</v>
      </c>
      <c r="C3400" s="710" t="s">
        <v>3747</v>
      </c>
      <c r="D3400" s="709" t="s">
        <v>159</v>
      </c>
      <c r="E3400" s="711">
        <v>0.32179999999999997</v>
      </c>
    </row>
    <row r="3401" spans="1:5" x14ac:dyDescent="0.3">
      <c r="A3401" s="397"/>
      <c r="B3401" s="709">
        <v>104850</v>
      </c>
      <c r="C3401" s="710" t="s">
        <v>3748</v>
      </c>
      <c r="D3401" s="709" t="s">
        <v>159</v>
      </c>
      <c r="E3401" s="711">
        <v>0.31369999999999998</v>
      </c>
    </row>
    <row r="3402" spans="1:5" x14ac:dyDescent="0.3">
      <c r="A3402" s="397"/>
      <c r="B3402" s="709">
        <v>104888</v>
      </c>
      <c r="C3402" s="710" t="s">
        <v>3749</v>
      </c>
      <c r="D3402" s="709" t="s">
        <v>159</v>
      </c>
      <c r="E3402" s="711">
        <v>0.23300000000000001</v>
      </c>
    </row>
    <row r="3403" spans="1:5" x14ac:dyDescent="0.3">
      <c r="A3403" s="397"/>
      <c r="B3403" s="709">
        <v>104879</v>
      </c>
      <c r="C3403" s="710" t="s">
        <v>3750</v>
      </c>
      <c r="D3403" s="709" t="s">
        <v>159</v>
      </c>
      <c r="E3403" s="711">
        <v>0.3322</v>
      </c>
    </row>
    <row r="3404" spans="1:5" x14ac:dyDescent="0.3">
      <c r="A3404" s="397"/>
      <c r="B3404" s="709">
        <v>104853</v>
      </c>
      <c r="C3404" s="710" t="s">
        <v>3751</v>
      </c>
      <c r="D3404" s="709" t="s">
        <v>159</v>
      </c>
      <c r="E3404" s="711">
        <v>0.32890000000000003</v>
      </c>
    </row>
    <row r="3405" spans="1:5" x14ac:dyDescent="0.3">
      <c r="A3405" s="397"/>
      <c r="B3405" s="709">
        <v>104847</v>
      </c>
      <c r="C3405" s="710" t="s">
        <v>3752</v>
      </c>
      <c r="D3405" s="709" t="s">
        <v>159</v>
      </c>
      <c r="E3405" s="711">
        <v>0.34429999999999999</v>
      </c>
    </row>
    <row r="3406" spans="1:5" x14ac:dyDescent="0.3">
      <c r="A3406" s="397"/>
      <c r="B3406" s="709">
        <v>104855</v>
      </c>
      <c r="C3406" s="710" t="s">
        <v>3753</v>
      </c>
      <c r="D3406" s="709" t="s">
        <v>159</v>
      </c>
      <c r="E3406" s="711">
        <v>0.34670000000000001</v>
      </c>
    </row>
    <row r="3407" spans="1:5" x14ac:dyDescent="0.3">
      <c r="A3407" s="397"/>
      <c r="B3407" s="709">
        <v>104891</v>
      </c>
      <c r="C3407" s="710" t="s">
        <v>3754</v>
      </c>
      <c r="D3407" s="709" t="s">
        <v>159</v>
      </c>
      <c r="E3407" s="711">
        <v>0.25669999999999998</v>
      </c>
    </row>
    <row r="3408" spans="1:5" x14ac:dyDescent="0.3">
      <c r="A3408" s="397"/>
      <c r="B3408" s="709">
        <v>104892</v>
      </c>
      <c r="C3408" s="710" t="s">
        <v>3755</v>
      </c>
      <c r="D3408" s="709" t="s">
        <v>159</v>
      </c>
      <c r="E3408" s="711">
        <v>0.3579</v>
      </c>
    </row>
    <row r="3409" spans="1:5" x14ac:dyDescent="0.3">
      <c r="A3409" s="397"/>
      <c r="B3409" s="709">
        <v>104848</v>
      </c>
      <c r="C3409" s="710" t="s">
        <v>3756</v>
      </c>
      <c r="D3409" s="709" t="s">
        <v>159</v>
      </c>
      <c r="E3409" s="711">
        <v>0.35580000000000001</v>
      </c>
    </row>
    <row r="3410" spans="1:5" x14ac:dyDescent="0.3">
      <c r="A3410" s="397"/>
      <c r="B3410" s="709">
        <v>104886</v>
      </c>
      <c r="C3410" s="710" t="s">
        <v>3757</v>
      </c>
      <c r="D3410" s="709" t="s">
        <v>159</v>
      </c>
      <c r="E3410" s="711">
        <v>0.27460000000000001</v>
      </c>
    </row>
    <row r="3411" spans="1:5" x14ac:dyDescent="0.3">
      <c r="A3411" s="397"/>
      <c r="B3411" s="709">
        <v>104843</v>
      </c>
      <c r="C3411" s="710" t="s">
        <v>3758</v>
      </c>
      <c r="D3411" s="709" t="s">
        <v>159</v>
      </c>
      <c r="E3411" s="711">
        <v>0.36499999999999999</v>
      </c>
    </row>
    <row r="3412" spans="1:5" x14ac:dyDescent="0.3">
      <c r="A3412" s="397"/>
      <c r="B3412" s="709">
        <v>104851</v>
      </c>
      <c r="C3412" s="710" t="s">
        <v>3759</v>
      </c>
      <c r="D3412" s="709" t="s">
        <v>159</v>
      </c>
      <c r="E3412" s="711">
        <v>0.36849999999999999</v>
      </c>
    </row>
    <row r="3413" spans="1:5" x14ac:dyDescent="0.3">
      <c r="A3413" s="397"/>
      <c r="B3413" s="709">
        <v>104845</v>
      </c>
      <c r="C3413" s="710" t="s">
        <v>3760</v>
      </c>
      <c r="D3413" s="709" t="s">
        <v>159</v>
      </c>
      <c r="E3413" s="711">
        <v>0.37369999999999998</v>
      </c>
    </row>
    <row r="3414" spans="1:5" x14ac:dyDescent="0.3">
      <c r="A3414" s="397"/>
      <c r="B3414" s="709">
        <v>104880</v>
      </c>
      <c r="C3414" s="710" t="s">
        <v>3761</v>
      </c>
      <c r="D3414" s="709" t="s">
        <v>159</v>
      </c>
      <c r="E3414" s="711">
        <v>0.38329999999999997</v>
      </c>
    </row>
    <row r="3415" spans="1:5" x14ac:dyDescent="0.3">
      <c r="A3415" s="397"/>
      <c r="B3415" s="709">
        <v>104889</v>
      </c>
      <c r="C3415" s="710" t="s">
        <v>3762</v>
      </c>
      <c r="D3415" s="709" t="s">
        <v>159</v>
      </c>
      <c r="E3415" s="711">
        <v>0.29670000000000002</v>
      </c>
    </row>
    <row r="3416" spans="1:5" x14ac:dyDescent="0.3">
      <c r="A3416" s="397"/>
      <c r="B3416" s="709">
        <v>95108</v>
      </c>
      <c r="C3416" s="710" t="s">
        <v>3763</v>
      </c>
      <c r="D3416" s="709" t="s">
        <v>136</v>
      </c>
      <c r="E3416" s="711">
        <v>0.75160000000000005</v>
      </c>
    </row>
    <row r="3417" spans="1:5" x14ac:dyDescent="0.3">
      <c r="A3417" s="397"/>
      <c r="B3417" s="709">
        <v>104876</v>
      </c>
      <c r="C3417" s="710" t="s">
        <v>3788</v>
      </c>
      <c r="D3417" s="709" t="s">
        <v>136</v>
      </c>
      <c r="E3417" s="711">
        <v>0.98709999999999998</v>
      </c>
    </row>
    <row r="3418" spans="1:5" x14ac:dyDescent="0.3">
      <c r="A3418" s="397"/>
      <c r="B3418" s="709">
        <v>104875</v>
      </c>
      <c r="C3418" s="710" t="s">
        <v>3789</v>
      </c>
      <c r="D3418" s="709" t="s">
        <v>159</v>
      </c>
      <c r="E3418" s="711">
        <v>0.94850000000000001</v>
      </c>
    </row>
    <row r="3419" spans="1:5" x14ac:dyDescent="0.3">
      <c r="A3419" s="397"/>
      <c r="B3419" s="709">
        <v>96120</v>
      </c>
      <c r="C3419" s="710" t="s">
        <v>3796</v>
      </c>
      <c r="D3419" s="709" t="s">
        <v>159</v>
      </c>
      <c r="E3419" s="711">
        <v>0.57979999999999998</v>
      </c>
    </row>
    <row r="3420" spans="1:5" x14ac:dyDescent="0.3">
      <c r="A3420" s="397"/>
      <c r="B3420" s="709">
        <v>96123</v>
      </c>
      <c r="C3420" s="710" t="s">
        <v>3797</v>
      </c>
      <c r="D3420" s="709" t="s">
        <v>159</v>
      </c>
      <c r="E3420" s="711">
        <v>0.37630000000000002</v>
      </c>
    </row>
    <row r="3421" spans="1:5" x14ac:dyDescent="0.3">
      <c r="A3421" s="397"/>
      <c r="B3421" s="709">
        <v>96122</v>
      </c>
      <c r="C3421" s="710" t="s">
        <v>3798</v>
      </c>
      <c r="D3421" s="709" t="s">
        <v>159</v>
      </c>
      <c r="E3421" s="711">
        <v>0.31159999999999999</v>
      </c>
    </row>
    <row r="3422" spans="1:5" x14ac:dyDescent="0.3">
      <c r="A3422" s="397"/>
      <c r="B3422" s="709">
        <v>96121</v>
      </c>
      <c r="C3422" s="710" t="s">
        <v>3799</v>
      </c>
      <c r="D3422" s="709" t="s">
        <v>159</v>
      </c>
      <c r="E3422" s="711">
        <v>0.43070000000000003</v>
      </c>
    </row>
    <row r="3423" spans="1:5" x14ac:dyDescent="0.3">
      <c r="A3423" s="397"/>
      <c r="B3423" s="709">
        <v>99054</v>
      </c>
      <c r="C3423" s="710" t="s">
        <v>3800</v>
      </c>
      <c r="D3423" s="709" t="s">
        <v>168</v>
      </c>
      <c r="E3423" s="711">
        <v>0.72899999999999998</v>
      </c>
    </row>
    <row r="3424" spans="1:5" x14ac:dyDescent="0.3">
      <c r="A3424" s="397"/>
      <c r="B3424" s="709">
        <v>96110</v>
      </c>
      <c r="C3424" s="710" t="s">
        <v>3801</v>
      </c>
      <c r="D3424" s="709" t="s">
        <v>168</v>
      </c>
      <c r="E3424" s="711">
        <v>0.34770000000000001</v>
      </c>
    </row>
    <row r="3425" spans="1:5" x14ac:dyDescent="0.3">
      <c r="A3425" s="397"/>
      <c r="B3425" s="709">
        <v>96114</v>
      </c>
      <c r="C3425" s="710" t="s">
        <v>3802</v>
      </c>
      <c r="D3425" s="709" t="s">
        <v>168</v>
      </c>
      <c r="E3425" s="711">
        <v>0.30209999999999998</v>
      </c>
    </row>
    <row r="3426" spans="1:5" x14ac:dyDescent="0.3">
      <c r="A3426" s="397"/>
      <c r="B3426" s="709">
        <v>104757</v>
      </c>
      <c r="C3426" s="710" t="s">
        <v>13741</v>
      </c>
      <c r="D3426" s="709" t="s">
        <v>168</v>
      </c>
      <c r="E3426" s="711">
        <v>0.21260000000000001</v>
      </c>
    </row>
    <row r="3427" spans="1:5" x14ac:dyDescent="0.3">
      <c r="A3427" s="397"/>
      <c r="B3427" s="709">
        <v>104756</v>
      </c>
      <c r="C3427" s="710" t="s">
        <v>3803</v>
      </c>
      <c r="D3427" s="709" t="s">
        <v>168</v>
      </c>
      <c r="E3427" s="711">
        <v>0.31030000000000002</v>
      </c>
    </row>
    <row r="3428" spans="1:5" x14ac:dyDescent="0.3">
      <c r="A3428" s="397"/>
      <c r="B3428" s="709">
        <v>96112</v>
      </c>
      <c r="C3428" s="710" t="s">
        <v>3804</v>
      </c>
      <c r="D3428" s="709" t="s">
        <v>168</v>
      </c>
      <c r="E3428" s="711">
        <v>0.44350000000000001</v>
      </c>
    </row>
    <row r="3429" spans="1:5" x14ac:dyDescent="0.3">
      <c r="A3429" s="397"/>
      <c r="B3429" s="709">
        <v>96113</v>
      </c>
      <c r="C3429" s="710" t="s">
        <v>3805</v>
      </c>
      <c r="D3429" s="709" t="s">
        <v>168</v>
      </c>
      <c r="E3429" s="711">
        <v>0.65969999999999995</v>
      </c>
    </row>
    <row r="3430" spans="1:5" x14ac:dyDescent="0.3">
      <c r="A3430" s="397"/>
      <c r="B3430" s="709">
        <v>96109</v>
      </c>
      <c r="C3430" s="710" t="s">
        <v>3806</v>
      </c>
      <c r="D3430" s="709" t="s">
        <v>168</v>
      </c>
      <c r="E3430" s="711">
        <v>0.69210000000000005</v>
      </c>
    </row>
    <row r="3431" spans="1:5" x14ac:dyDescent="0.3">
      <c r="A3431" s="397"/>
      <c r="B3431" s="709">
        <v>96116</v>
      </c>
      <c r="C3431" s="710" t="s">
        <v>3807</v>
      </c>
      <c r="D3431" s="709" t="s">
        <v>168</v>
      </c>
      <c r="E3431" s="711">
        <v>0.22459999999999999</v>
      </c>
    </row>
    <row r="3432" spans="1:5" x14ac:dyDescent="0.3">
      <c r="A3432" s="397"/>
      <c r="B3432" s="709">
        <v>96111</v>
      </c>
      <c r="C3432" s="710" t="s">
        <v>3808</v>
      </c>
      <c r="D3432" s="709" t="s">
        <v>168</v>
      </c>
      <c r="E3432" s="711">
        <v>0.26900000000000002</v>
      </c>
    </row>
    <row r="3433" spans="1:5" x14ac:dyDescent="0.3">
      <c r="A3433" s="397"/>
      <c r="B3433" s="709">
        <v>96486</v>
      </c>
      <c r="C3433" s="710" t="s">
        <v>3809</v>
      </c>
      <c r="D3433" s="709" t="s">
        <v>168</v>
      </c>
      <c r="E3433" s="711">
        <v>0.19040000000000001</v>
      </c>
    </row>
    <row r="3434" spans="1:5" x14ac:dyDescent="0.3">
      <c r="A3434" s="397"/>
      <c r="B3434" s="709">
        <v>96485</v>
      </c>
      <c r="C3434" s="710" t="s">
        <v>3810</v>
      </c>
      <c r="D3434" s="709" t="s">
        <v>168</v>
      </c>
      <c r="E3434" s="711">
        <v>0.22700000000000001</v>
      </c>
    </row>
    <row r="3435" spans="1:5" x14ac:dyDescent="0.3">
      <c r="A3435" s="397"/>
      <c r="B3435" s="709">
        <v>101807</v>
      </c>
      <c r="C3435" s="710" t="s">
        <v>3812</v>
      </c>
      <c r="D3435" s="709" t="s">
        <v>136</v>
      </c>
      <c r="E3435" s="711">
        <v>0.59089999999999998</v>
      </c>
    </row>
    <row r="3436" spans="1:5" x14ac:dyDescent="0.3">
      <c r="A3436" s="397"/>
      <c r="B3436" s="709">
        <v>101806</v>
      </c>
      <c r="C3436" s="710" t="s">
        <v>3813</v>
      </c>
      <c r="D3436" s="709" t="s">
        <v>136</v>
      </c>
      <c r="E3436" s="711">
        <v>0.61760000000000004</v>
      </c>
    </row>
    <row r="3437" spans="1:5" x14ac:dyDescent="0.3">
      <c r="A3437" s="397"/>
      <c r="B3437" s="709">
        <v>101808</v>
      </c>
      <c r="C3437" s="710" t="s">
        <v>3814</v>
      </c>
      <c r="D3437" s="709" t="s">
        <v>136</v>
      </c>
      <c r="E3437" s="711">
        <v>0.13</v>
      </c>
    </row>
    <row r="3438" spans="1:5" x14ac:dyDescent="0.3">
      <c r="A3438" s="397"/>
      <c r="B3438" s="709">
        <v>98058</v>
      </c>
      <c r="C3438" s="710" t="s">
        <v>3815</v>
      </c>
      <c r="D3438" s="709" t="s">
        <v>136</v>
      </c>
      <c r="E3438" s="711">
        <v>0.1898</v>
      </c>
    </row>
    <row r="3439" spans="1:5" x14ac:dyDescent="0.3">
      <c r="A3439" s="397"/>
      <c r="B3439" s="709">
        <v>98059</v>
      </c>
      <c r="C3439" s="710" t="s">
        <v>3816</v>
      </c>
      <c r="D3439" s="709" t="s">
        <v>136</v>
      </c>
      <c r="E3439" s="711">
        <v>0.1295</v>
      </c>
    </row>
    <row r="3440" spans="1:5" x14ac:dyDescent="0.3">
      <c r="A3440" s="397"/>
      <c r="B3440" s="709">
        <v>98060</v>
      </c>
      <c r="C3440" s="710" t="s">
        <v>3817</v>
      </c>
      <c r="D3440" s="709" t="s">
        <v>136</v>
      </c>
      <c r="E3440" s="711">
        <v>0.13539999999999999</v>
      </c>
    </row>
    <row r="3441" spans="1:5" x14ac:dyDescent="0.3">
      <c r="A3441" s="397"/>
      <c r="B3441" s="709">
        <v>98061</v>
      </c>
      <c r="C3441" s="710" t="s">
        <v>3818</v>
      </c>
      <c r="D3441" s="709" t="s">
        <v>136</v>
      </c>
      <c r="E3441" s="711">
        <v>0.13370000000000001</v>
      </c>
    </row>
    <row r="3442" spans="1:5" x14ac:dyDescent="0.3">
      <c r="A3442" s="397"/>
      <c r="B3442" s="709">
        <v>98088</v>
      </c>
      <c r="C3442" s="710" t="s">
        <v>3819</v>
      </c>
      <c r="D3442" s="709" t="s">
        <v>136</v>
      </c>
      <c r="E3442" s="711">
        <v>0.46539999999999998</v>
      </c>
    </row>
    <row r="3443" spans="1:5" x14ac:dyDescent="0.3">
      <c r="A3443" s="397"/>
      <c r="B3443" s="709">
        <v>98089</v>
      </c>
      <c r="C3443" s="710" t="s">
        <v>3820</v>
      </c>
      <c r="D3443" s="709" t="s">
        <v>136</v>
      </c>
      <c r="E3443" s="711">
        <v>0.47139999999999999</v>
      </c>
    </row>
    <row r="3444" spans="1:5" x14ac:dyDescent="0.3">
      <c r="A3444" s="397"/>
      <c r="B3444" s="709">
        <v>98090</v>
      </c>
      <c r="C3444" s="710" t="s">
        <v>3821</v>
      </c>
      <c r="D3444" s="709" t="s">
        <v>136</v>
      </c>
      <c r="E3444" s="711">
        <v>0.47470000000000001</v>
      </c>
    </row>
    <row r="3445" spans="1:5" x14ac:dyDescent="0.3">
      <c r="A3445" s="397"/>
      <c r="B3445" s="709">
        <v>98091</v>
      </c>
      <c r="C3445" s="710" t="s">
        <v>3822</v>
      </c>
      <c r="D3445" s="709" t="s">
        <v>136</v>
      </c>
      <c r="E3445" s="711">
        <v>0.47570000000000001</v>
      </c>
    </row>
    <row r="3446" spans="1:5" x14ac:dyDescent="0.3">
      <c r="A3446" s="397"/>
      <c r="B3446" s="709">
        <v>98092</v>
      </c>
      <c r="C3446" s="710" t="s">
        <v>3823</v>
      </c>
      <c r="D3446" s="709" t="s">
        <v>136</v>
      </c>
      <c r="E3446" s="711">
        <v>0.47699999999999998</v>
      </c>
    </row>
    <row r="3447" spans="1:5" x14ac:dyDescent="0.3">
      <c r="A3447" s="397"/>
      <c r="B3447" s="709">
        <v>98093</v>
      </c>
      <c r="C3447" s="710" t="s">
        <v>3824</v>
      </c>
      <c r="D3447" s="709" t="s">
        <v>136</v>
      </c>
      <c r="E3447" s="711">
        <v>0.47749999999999998</v>
      </c>
    </row>
    <row r="3448" spans="1:5" x14ac:dyDescent="0.3">
      <c r="A3448" s="397"/>
      <c r="B3448" s="709">
        <v>98072</v>
      </c>
      <c r="C3448" s="710" t="s">
        <v>3825</v>
      </c>
      <c r="D3448" s="709" t="s">
        <v>136</v>
      </c>
      <c r="E3448" s="711">
        <v>0.50039999999999996</v>
      </c>
    </row>
    <row r="3449" spans="1:5" x14ac:dyDescent="0.3">
      <c r="A3449" s="397"/>
      <c r="B3449" s="709">
        <v>98073</v>
      </c>
      <c r="C3449" s="710" t="s">
        <v>3826</v>
      </c>
      <c r="D3449" s="709" t="s">
        <v>136</v>
      </c>
      <c r="E3449" s="711">
        <v>0.50149999999999995</v>
      </c>
    </row>
    <row r="3450" spans="1:5" x14ac:dyDescent="0.3">
      <c r="A3450" s="397"/>
      <c r="B3450" s="709">
        <v>98074</v>
      </c>
      <c r="C3450" s="710" t="s">
        <v>3827</v>
      </c>
      <c r="D3450" s="709" t="s">
        <v>136</v>
      </c>
      <c r="E3450" s="711">
        <v>0.50119999999999998</v>
      </c>
    </row>
    <row r="3451" spans="1:5" x14ac:dyDescent="0.3">
      <c r="A3451" s="397"/>
      <c r="B3451" s="709">
        <v>98075</v>
      </c>
      <c r="C3451" s="710" t="s">
        <v>3828</v>
      </c>
      <c r="D3451" s="709" t="s">
        <v>136</v>
      </c>
      <c r="E3451" s="711">
        <v>0.50090000000000001</v>
      </c>
    </row>
    <row r="3452" spans="1:5" x14ac:dyDescent="0.3">
      <c r="A3452" s="397"/>
      <c r="B3452" s="709">
        <v>98076</v>
      </c>
      <c r="C3452" s="710" t="s">
        <v>3829</v>
      </c>
      <c r="D3452" s="709" t="s">
        <v>136</v>
      </c>
      <c r="E3452" s="711">
        <v>0.50080000000000002</v>
      </c>
    </row>
    <row r="3453" spans="1:5" x14ac:dyDescent="0.3">
      <c r="A3453" s="397"/>
      <c r="B3453" s="709">
        <v>98077</v>
      </c>
      <c r="C3453" s="710" t="s">
        <v>3830</v>
      </c>
      <c r="D3453" s="709" t="s">
        <v>136</v>
      </c>
      <c r="E3453" s="711">
        <v>0.50060000000000004</v>
      </c>
    </row>
    <row r="3454" spans="1:5" x14ac:dyDescent="0.3">
      <c r="A3454" s="397"/>
      <c r="B3454" s="709">
        <v>98062</v>
      </c>
      <c r="C3454" s="710" t="s">
        <v>3831</v>
      </c>
      <c r="D3454" s="709" t="s">
        <v>136</v>
      </c>
      <c r="E3454" s="711">
        <v>0.1046</v>
      </c>
    </row>
    <row r="3455" spans="1:5" x14ac:dyDescent="0.3">
      <c r="A3455" s="397"/>
      <c r="B3455" s="709">
        <v>98063</v>
      </c>
      <c r="C3455" s="710" t="s">
        <v>3832</v>
      </c>
      <c r="D3455" s="709" t="s">
        <v>136</v>
      </c>
      <c r="E3455" s="711">
        <v>0.1013</v>
      </c>
    </row>
    <row r="3456" spans="1:5" x14ac:dyDescent="0.3">
      <c r="A3456" s="397"/>
      <c r="B3456" s="709">
        <v>98064</v>
      </c>
      <c r="C3456" s="710" t="s">
        <v>3833</v>
      </c>
      <c r="D3456" s="709" t="s">
        <v>136</v>
      </c>
      <c r="E3456" s="711">
        <v>9.1399999999999995E-2</v>
      </c>
    </row>
    <row r="3457" spans="1:5" x14ac:dyDescent="0.3">
      <c r="A3457" s="397"/>
      <c r="B3457" s="709">
        <v>98065</v>
      </c>
      <c r="C3457" s="710" t="s">
        <v>3834</v>
      </c>
      <c r="D3457" s="709" t="s">
        <v>136</v>
      </c>
      <c r="E3457" s="711">
        <v>8.7499999999999994E-2</v>
      </c>
    </row>
    <row r="3458" spans="1:5" x14ac:dyDescent="0.3">
      <c r="A3458" s="397"/>
      <c r="B3458" s="709">
        <v>98094</v>
      </c>
      <c r="C3458" s="710" t="s">
        <v>3835</v>
      </c>
      <c r="D3458" s="709" t="s">
        <v>136</v>
      </c>
      <c r="E3458" s="711">
        <v>0.43330000000000002</v>
      </c>
    </row>
    <row r="3459" spans="1:5" x14ac:dyDescent="0.3">
      <c r="A3459" s="397"/>
      <c r="B3459" s="709">
        <v>98099</v>
      </c>
      <c r="C3459" s="710" t="s">
        <v>3836</v>
      </c>
      <c r="D3459" s="709" t="s">
        <v>136</v>
      </c>
      <c r="E3459" s="711">
        <v>0.43569999999999998</v>
      </c>
    </row>
    <row r="3460" spans="1:5" x14ac:dyDescent="0.3">
      <c r="A3460" s="397"/>
      <c r="B3460" s="709">
        <v>98100</v>
      </c>
      <c r="C3460" s="710" t="s">
        <v>3837</v>
      </c>
      <c r="D3460" s="709" t="s">
        <v>136</v>
      </c>
      <c r="E3460" s="711">
        <v>0.441</v>
      </c>
    </row>
    <row r="3461" spans="1:5" x14ac:dyDescent="0.3">
      <c r="A3461" s="397"/>
      <c r="B3461" s="709">
        <v>98101</v>
      </c>
      <c r="C3461" s="710" t="s">
        <v>3838</v>
      </c>
      <c r="D3461" s="709" t="s">
        <v>136</v>
      </c>
      <c r="E3461" s="711">
        <v>0.44440000000000002</v>
      </c>
    </row>
    <row r="3462" spans="1:5" x14ac:dyDescent="0.3">
      <c r="A3462" s="397"/>
      <c r="B3462" s="709">
        <v>98078</v>
      </c>
      <c r="C3462" s="710" t="s">
        <v>3839</v>
      </c>
      <c r="D3462" s="709" t="s">
        <v>136</v>
      </c>
      <c r="E3462" s="711">
        <v>0.46820000000000001</v>
      </c>
    </row>
    <row r="3463" spans="1:5" x14ac:dyDescent="0.3">
      <c r="A3463" s="397"/>
      <c r="B3463" s="709">
        <v>98079</v>
      </c>
      <c r="C3463" s="710" t="s">
        <v>3840</v>
      </c>
      <c r="D3463" s="709" t="s">
        <v>136</v>
      </c>
      <c r="E3463" s="711">
        <v>0.46800000000000003</v>
      </c>
    </row>
    <row r="3464" spans="1:5" x14ac:dyDescent="0.3">
      <c r="A3464" s="397"/>
      <c r="B3464" s="709">
        <v>98080</v>
      </c>
      <c r="C3464" s="710" t="s">
        <v>3841</v>
      </c>
      <c r="D3464" s="709" t="s">
        <v>136</v>
      </c>
      <c r="E3464" s="711">
        <v>0.4698</v>
      </c>
    </row>
    <row r="3465" spans="1:5" x14ac:dyDescent="0.3">
      <c r="A3465" s="397"/>
      <c r="B3465" s="709">
        <v>98081</v>
      </c>
      <c r="C3465" s="710" t="s">
        <v>3842</v>
      </c>
      <c r="D3465" s="709" t="s">
        <v>136</v>
      </c>
      <c r="E3465" s="711">
        <v>0.4708</v>
      </c>
    </row>
    <row r="3466" spans="1:5" x14ac:dyDescent="0.3">
      <c r="A3466" s="397"/>
      <c r="B3466" s="709">
        <v>98052</v>
      </c>
      <c r="C3466" s="710" t="s">
        <v>3843</v>
      </c>
      <c r="D3466" s="709" t="s">
        <v>136</v>
      </c>
      <c r="E3466" s="711">
        <v>0.1371</v>
      </c>
    </row>
    <row r="3467" spans="1:5" x14ac:dyDescent="0.3">
      <c r="A3467" s="397"/>
      <c r="B3467" s="709">
        <v>98053</v>
      </c>
      <c r="C3467" s="710" t="s">
        <v>3844</v>
      </c>
      <c r="D3467" s="709" t="s">
        <v>136</v>
      </c>
      <c r="E3467" s="711">
        <v>0.13439999999999999</v>
      </c>
    </row>
    <row r="3468" spans="1:5" x14ac:dyDescent="0.3">
      <c r="A3468" s="397"/>
      <c r="B3468" s="709">
        <v>98054</v>
      </c>
      <c r="C3468" s="710" t="s">
        <v>3845</v>
      </c>
      <c r="D3468" s="709" t="s">
        <v>136</v>
      </c>
      <c r="E3468" s="711">
        <v>8.6699999999999999E-2</v>
      </c>
    </row>
    <row r="3469" spans="1:5" x14ac:dyDescent="0.3">
      <c r="A3469" s="397"/>
      <c r="B3469" s="709">
        <v>98055</v>
      </c>
      <c r="C3469" s="710" t="s">
        <v>3846</v>
      </c>
      <c r="D3469" s="709" t="s">
        <v>136</v>
      </c>
      <c r="E3469" s="711">
        <v>8.7999999999999995E-2</v>
      </c>
    </row>
    <row r="3470" spans="1:5" x14ac:dyDescent="0.3">
      <c r="A3470" s="397"/>
      <c r="B3470" s="709">
        <v>98056</v>
      </c>
      <c r="C3470" s="710" t="s">
        <v>3847</v>
      </c>
      <c r="D3470" s="709" t="s">
        <v>136</v>
      </c>
      <c r="E3470" s="711">
        <v>8.0299999999999996E-2</v>
      </c>
    </row>
    <row r="3471" spans="1:5" x14ac:dyDescent="0.3">
      <c r="A3471" s="397"/>
      <c r="B3471" s="709">
        <v>98057</v>
      </c>
      <c r="C3471" s="710" t="s">
        <v>3848</v>
      </c>
      <c r="D3471" s="709" t="s">
        <v>136</v>
      </c>
      <c r="E3471" s="711">
        <v>8.3699999999999997E-2</v>
      </c>
    </row>
    <row r="3472" spans="1:5" x14ac:dyDescent="0.3">
      <c r="A3472" s="397"/>
      <c r="B3472" s="709">
        <v>98082</v>
      </c>
      <c r="C3472" s="710" t="s">
        <v>3849</v>
      </c>
      <c r="D3472" s="709" t="s">
        <v>136</v>
      </c>
      <c r="E3472" s="711">
        <v>0.46970000000000001</v>
      </c>
    </row>
    <row r="3473" spans="1:5" x14ac:dyDescent="0.3">
      <c r="A3473" s="397"/>
      <c r="B3473" s="709">
        <v>98083</v>
      </c>
      <c r="C3473" s="710" t="s">
        <v>3850</v>
      </c>
      <c r="D3473" s="709" t="s">
        <v>136</v>
      </c>
      <c r="E3473" s="711">
        <v>0.47310000000000002</v>
      </c>
    </row>
    <row r="3474" spans="1:5" x14ac:dyDescent="0.3">
      <c r="A3474" s="397"/>
      <c r="B3474" s="709">
        <v>98084</v>
      </c>
      <c r="C3474" s="710" t="s">
        <v>3851</v>
      </c>
      <c r="D3474" s="709" t="s">
        <v>136</v>
      </c>
      <c r="E3474" s="711">
        <v>0.47710000000000002</v>
      </c>
    </row>
    <row r="3475" spans="1:5" x14ac:dyDescent="0.3">
      <c r="A3475" s="397"/>
      <c r="B3475" s="709">
        <v>98085</v>
      </c>
      <c r="C3475" s="710" t="s">
        <v>3852</v>
      </c>
      <c r="D3475" s="709" t="s">
        <v>136</v>
      </c>
      <c r="E3475" s="711">
        <v>0.48199999999999998</v>
      </c>
    </row>
    <row r="3476" spans="1:5" x14ac:dyDescent="0.3">
      <c r="A3476" s="397"/>
      <c r="B3476" s="709">
        <v>98087</v>
      </c>
      <c r="C3476" s="710" t="s">
        <v>3853</v>
      </c>
      <c r="D3476" s="709" t="s">
        <v>136</v>
      </c>
      <c r="E3476" s="711">
        <v>0.47939999999999999</v>
      </c>
    </row>
    <row r="3477" spans="1:5" x14ac:dyDescent="0.3">
      <c r="A3477" s="397"/>
      <c r="B3477" s="709">
        <v>98086</v>
      </c>
      <c r="C3477" s="710" t="s">
        <v>3854</v>
      </c>
      <c r="D3477" s="709" t="s">
        <v>136</v>
      </c>
      <c r="E3477" s="711">
        <v>0.48159999999999997</v>
      </c>
    </row>
    <row r="3478" spans="1:5" x14ac:dyDescent="0.3">
      <c r="A3478" s="397"/>
      <c r="B3478" s="709">
        <v>98066</v>
      </c>
      <c r="C3478" s="710" t="s">
        <v>3855</v>
      </c>
      <c r="D3478" s="709" t="s">
        <v>136</v>
      </c>
      <c r="E3478" s="711">
        <v>0.49809999999999999</v>
      </c>
    </row>
    <row r="3479" spans="1:5" x14ac:dyDescent="0.3">
      <c r="A3479" s="397"/>
      <c r="B3479" s="709">
        <v>98067</v>
      </c>
      <c r="C3479" s="710" t="s">
        <v>3856</v>
      </c>
      <c r="D3479" s="709" t="s">
        <v>136</v>
      </c>
      <c r="E3479" s="711">
        <v>0.49980000000000002</v>
      </c>
    </row>
    <row r="3480" spans="1:5" x14ac:dyDescent="0.3">
      <c r="A3480" s="397"/>
      <c r="B3480" s="709">
        <v>98068</v>
      </c>
      <c r="C3480" s="710" t="s">
        <v>3857</v>
      </c>
      <c r="D3480" s="709" t="s">
        <v>136</v>
      </c>
      <c r="E3480" s="711">
        <v>0.50180000000000002</v>
      </c>
    </row>
    <row r="3481" spans="1:5" x14ac:dyDescent="0.3">
      <c r="A3481" s="397"/>
      <c r="B3481" s="709">
        <v>98069</v>
      </c>
      <c r="C3481" s="710" t="s">
        <v>3858</v>
      </c>
      <c r="D3481" s="709" t="s">
        <v>136</v>
      </c>
      <c r="E3481" s="711">
        <v>0.50439999999999996</v>
      </c>
    </row>
    <row r="3482" spans="1:5" x14ac:dyDescent="0.3">
      <c r="A3482" s="397"/>
      <c r="B3482" s="709">
        <v>98071</v>
      </c>
      <c r="C3482" s="710" t="s">
        <v>3859</v>
      </c>
      <c r="D3482" s="709" t="s">
        <v>136</v>
      </c>
      <c r="E3482" s="711">
        <v>0.50280000000000002</v>
      </c>
    </row>
    <row r="3483" spans="1:5" x14ac:dyDescent="0.3">
      <c r="A3483" s="397"/>
      <c r="B3483" s="709">
        <v>98070</v>
      </c>
      <c r="C3483" s="710" t="s">
        <v>3860</v>
      </c>
      <c r="D3483" s="709" t="s">
        <v>136</v>
      </c>
      <c r="E3483" s="711">
        <v>0.50409999999999999</v>
      </c>
    </row>
    <row r="3484" spans="1:5" x14ac:dyDescent="0.3">
      <c r="A3484" s="397"/>
      <c r="B3484" s="709">
        <v>104915</v>
      </c>
      <c r="C3484" s="710" t="s">
        <v>3861</v>
      </c>
      <c r="D3484" s="709" t="s">
        <v>175</v>
      </c>
      <c r="E3484" s="711">
        <v>5.7599999999999998E-2</v>
      </c>
    </row>
    <row r="3485" spans="1:5" x14ac:dyDescent="0.3">
      <c r="A3485" s="397"/>
      <c r="B3485" s="709">
        <v>96546</v>
      </c>
      <c r="C3485" s="710" t="s">
        <v>3862</v>
      </c>
      <c r="D3485" s="709" t="s">
        <v>175</v>
      </c>
      <c r="E3485" s="711">
        <v>0.37309999999999999</v>
      </c>
    </row>
    <row r="3486" spans="1:5" x14ac:dyDescent="0.3">
      <c r="A3486" s="397"/>
      <c r="B3486" s="709">
        <v>96544</v>
      </c>
      <c r="C3486" s="710" t="s">
        <v>3863</v>
      </c>
      <c r="D3486" s="709" t="s">
        <v>175</v>
      </c>
      <c r="E3486" s="711">
        <v>0.51290000000000002</v>
      </c>
    </row>
    <row r="3487" spans="1:5" x14ac:dyDescent="0.3">
      <c r="A3487" s="397"/>
      <c r="B3487" s="709">
        <v>96545</v>
      </c>
      <c r="C3487" s="710" t="s">
        <v>3864</v>
      </c>
      <c r="D3487" s="709" t="s">
        <v>175</v>
      </c>
      <c r="E3487" s="711">
        <v>0.42770000000000002</v>
      </c>
    </row>
    <row r="3488" spans="1:5" x14ac:dyDescent="0.3">
      <c r="A3488" s="397"/>
      <c r="B3488" s="709">
        <v>96543</v>
      </c>
      <c r="C3488" s="710" t="s">
        <v>3865</v>
      </c>
      <c r="D3488" s="709" t="s">
        <v>175</v>
      </c>
      <c r="E3488" s="711">
        <v>0.61119999999999997</v>
      </c>
    </row>
    <row r="3489" spans="1:5" x14ac:dyDescent="0.3">
      <c r="A3489" s="397"/>
      <c r="B3489" s="709">
        <v>104922</v>
      </c>
      <c r="C3489" s="710" t="s">
        <v>3866</v>
      </c>
      <c r="D3489" s="709" t="s">
        <v>175</v>
      </c>
      <c r="E3489" s="711">
        <v>0.1588</v>
      </c>
    </row>
    <row r="3490" spans="1:5" x14ac:dyDescent="0.3">
      <c r="A3490" s="397"/>
      <c r="B3490" s="709">
        <v>104920</v>
      </c>
      <c r="C3490" s="710" t="s">
        <v>3867</v>
      </c>
      <c r="D3490" s="709" t="s">
        <v>175</v>
      </c>
      <c r="E3490" s="711">
        <v>0.27339999999999998</v>
      </c>
    </row>
    <row r="3491" spans="1:5" x14ac:dyDescent="0.3">
      <c r="A3491" s="397"/>
      <c r="B3491" s="709">
        <v>104921</v>
      </c>
      <c r="C3491" s="710" t="s">
        <v>3868</v>
      </c>
      <c r="D3491" s="709" t="s">
        <v>175</v>
      </c>
      <c r="E3491" s="711">
        <v>0.2195</v>
      </c>
    </row>
    <row r="3492" spans="1:5" x14ac:dyDescent="0.3">
      <c r="A3492" s="397"/>
      <c r="B3492" s="709">
        <v>104919</v>
      </c>
      <c r="C3492" s="710" t="s">
        <v>3869</v>
      </c>
      <c r="D3492" s="709" t="s">
        <v>175</v>
      </c>
      <c r="E3492" s="711">
        <v>0.29959999999999998</v>
      </c>
    </row>
    <row r="3493" spans="1:5" x14ac:dyDescent="0.3">
      <c r="A3493" s="397"/>
      <c r="B3493" s="709">
        <v>104917</v>
      </c>
      <c r="C3493" s="710" t="s">
        <v>3870</v>
      </c>
      <c r="D3493" s="709" t="s">
        <v>175</v>
      </c>
      <c r="E3493" s="711">
        <v>0.42709999999999998</v>
      </c>
    </row>
    <row r="3494" spans="1:5" x14ac:dyDescent="0.3">
      <c r="A3494" s="397"/>
      <c r="B3494" s="709">
        <v>104918</v>
      </c>
      <c r="C3494" s="710" t="s">
        <v>3871</v>
      </c>
      <c r="D3494" s="709" t="s">
        <v>175</v>
      </c>
      <c r="E3494" s="711">
        <v>0.34570000000000001</v>
      </c>
    </row>
    <row r="3495" spans="1:5" x14ac:dyDescent="0.3">
      <c r="A3495" s="397"/>
      <c r="B3495" s="709">
        <v>104916</v>
      </c>
      <c r="C3495" s="710" t="s">
        <v>3872</v>
      </c>
      <c r="D3495" s="709" t="s">
        <v>175</v>
      </c>
      <c r="E3495" s="711">
        <v>0.53039999999999998</v>
      </c>
    </row>
    <row r="3496" spans="1:5" x14ac:dyDescent="0.3">
      <c r="A3496" s="397"/>
      <c r="B3496" s="709">
        <v>96557</v>
      </c>
      <c r="C3496" s="710" t="s">
        <v>3873</v>
      </c>
      <c r="D3496" s="709" t="s">
        <v>170</v>
      </c>
      <c r="E3496" s="711">
        <v>2.5499999999999998E-2</v>
      </c>
    </row>
    <row r="3497" spans="1:5" x14ac:dyDescent="0.3">
      <c r="A3497" s="397"/>
      <c r="B3497" s="709">
        <v>96555</v>
      </c>
      <c r="C3497" s="710" t="s">
        <v>3874</v>
      </c>
      <c r="D3497" s="709" t="s">
        <v>170</v>
      </c>
      <c r="E3497" s="711">
        <v>0.3004</v>
      </c>
    </row>
    <row r="3498" spans="1:5" x14ac:dyDescent="0.3">
      <c r="A3498" s="397"/>
      <c r="B3498" s="709">
        <v>104924</v>
      </c>
      <c r="C3498" s="710" t="s">
        <v>3875</v>
      </c>
      <c r="D3498" s="709" t="s">
        <v>170</v>
      </c>
      <c r="E3498" s="711">
        <v>3.2599999999999997E-2</v>
      </c>
    </row>
    <row r="3499" spans="1:5" x14ac:dyDescent="0.3">
      <c r="A3499" s="397"/>
      <c r="B3499" s="709">
        <v>104923</v>
      </c>
      <c r="C3499" s="710" t="s">
        <v>3876</v>
      </c>
      <c r="D3499" s="709" t="s">
        <v>170</v>
      </c>
      <c r="E3499" s="711">
        <v>0.33239999999999997</v>
      </c>
    </row>
    <row r="3500" spans="1:5" x14ac:dyDescent="0.3">
      <c r="A3500" s="397"/>
      <c r="B3500" s="709">
        <v>96558</v>
      </c>
      <c r="C3500" s="710" t="s">
        <v>3877</v>
      </c>
      <c r="D3500" s="709" t="s">
        <v>170</v>
      </c>
      <c r="E3500" s="711">
        <v>4.2999999999999997E-2</v>
      </c>
    </row>
    <row r="3501" spans="1:5" x14ac:dyDescent="0.3">
      <c r="A3501" s="397"/>
      <c r="B3501" s="709">
        <v>96556</v>
      </c>
      <c r="C3501" s="710" t="s">
        <v>3878</v>
      </c>
      <c r="D3501" s="709" t="s">
        <v>170</v>
      </c>
      <c r="E3501" s="711">
        <v>0.4042</v>
      </c>
    </row>
    <row r="3502" spans="1:5" x14ac:dyDescent="0.3">
      <c r="A3502" s="397"/>
      <c r="B3502" s="709">
        <v>96523</v>
      </c>
      <c r="C3502" s="710" t="s">
        <v>3879</v>
      </c>
      <c r="D3502" s="709" t="s">
        <v>170</v>
      </c>
      <c r="E3502" s="711">
        <v>1</v>
      </c>
    </row>
    <row r="3503" spans="1:5" x14ac:dyDescent="0.3">
      <c r="A3503" s="397"/>
      <c r="B3503" s="709">
        <v>96522</v>
      </c>
      <c r="C3503" s="710" t="s">
        <v>3880</v>
      </c>
      <c r="D3503" s="709" t="s">
        <v>170</v>
      </c>
      <c r="E3503" s="711">
        <v>1</v>
      </c>
    </row>
    <row r="3504" spans="1:5" x14ac:dyDescent="0.3">
      <c r="A3504" s="397"/>
      <c r="B3504" s="709">
        <v>96527</v>
      </c>
      <c r="C3504" s="710" t="s">
        <v>3881</v>
      </c>
      <c r="D3504" s="709" t="s">
        <v>170</v>
      </c>
      <c r="E3504" s="711">
        <v>1</v>
      </c>
    </row>
    <row r="3505" spans="1:5" x14ac:dyDescent="0.3">
      <c r="A3505" s="397"/>
      <c r="B3505" s="709">
        <v>96526</v>
      </c>
      <c r="C3505" s="710" t="s">
        <v>3882</v>
      </c>
      <c r="D3505" s="709" t="s">
        <v>170</v>
      </c>
      <c r="E3505" s="711">
        <v>1</v>
      </c>
    </row>
    <row r="3506" spans="1:5" x14ac:dyDescent="0.3">
      <c r="A3506" s="397"/>
      <c r="B3506" s="709">
        <v>96521</v>
      </c>
      <c r="C3506" s="710" t="s">
        <v>3883</v>
      </c>
      <c r="D3506" s="709" t="s">
        <v>170</v>
      </c>
      <c r="E3506" s="711">
        <v>0.3967</v>
      </c>
    </row>
    <row r="3507" spans="1:5" x14ac:dyDescent="0.3">
      <c r="A3507" s="397"/>
      <c r="B3507" s="709">
        <v>96520</v>
      </c>
      <c r="C3507" s="710" t="s">
        <v>3884</v>
      </c>
      <c r="D3507" s="709" t="s">
        <v>170</v>
      </c>
      <c r="E3507" s="711">
        <v>0.65600000000000003</v>
      </c>
    </row>
    <row r="3508" spans="1:5" x14ac:dyDescent="0.3">
      <c r="A3508" s="397"/>
      <c r="B3508" s="709">
        <v>96525</v>
      </c>
      <c r="C3508" s="710" t="s">
        <v>3885</v>
      </c>
      <c r="D3508" s="709" t="s">
        <v>170</v>
      </c>
      <c r="E3508" s="711">
        <v>0.39839999999999998</v>
      </c>
    </row>
    <row r="3509" spans="1:5" x14ac:dyDescent="0.3">
      <c r="A3509" s="397"/>
      <c r="B3509" s="709">
        <v>96524</v>
      </c>
      <c r="C3509" s="710" t="s">
        <v>3886</v>
      </c>
      <c r="D3509" s="709" t="s">
        <v>170</v>
      </c>
      <c r="E3509" s="711">
        <v>0.72799999999999998</v>
      </c>
    </row>
    <row r="3510" spans="1:5" x14ac:dyDescent="0.3">
      <c r="A3510" s="397"/>
      <c r="B3510" s="709">
        <v>96537</v>
      </c>
      <c r="C3510" s="710" t="s">
        <v>3887</v>
      </c>
      <c r="D3510" s="709" t="s">
        <v>168</v>
      </c>
      <c r="E3510" s="711">
        <v>0.56479999999999997</v>
      </c>
    </row>
    <row r="3511" spans="1:5" x14ac:dyDescent="0.3">
      <c r="A3511" s="397"/>
      <c r="B3511" s="709">
        <v>96540</v>
      </c>
      <c r="C3511" s="710" t="s">
        <v>3888</v>
      </c>
      <c r="D3511" s="709" t="s">
        <v>168</v>
      </c>
      <c r="E3511" s="711">
        <v>0.67369999999999997</v>
      </c>
    </row>
    <row r="3512" spans="1:5" x14ac:dyDescent="0.3">
      <c r="A3512" s="397"/>
      <c r="B3512" s="709">
        <v>96528</v>
      </c>
      <c r="C3512" s="710" t="s">
        <v>3889</v>
      </c>
      <c r="D3512" s="709" t="s">
        <v>168</v>
      </c>
      <c r="E3512" s="711">
        <v>0.4829</v>
      </c>
    </row>
    <row r="3513" spans="1:5" x14ac:dyDescent="0.3">
      <c r="A3513" s="397"/>
      <c r="B3513" s="709">
        <v>96531</v>
      </c>
      <c r="C3513" s="710" t="s">
        <v>3890</v>
      </c>
      <c r="D3513" s="709" t="s">
        <v>168</v>
      </c>
      <c r="E3513" s="711">
        <v>0.60680000000000001</v>
      </c>
    </row>
    <row r="3514" spans="1:5" x14ac:dyDescent="0.3">
      <c r="A3514" s="397"/>
      <c r="B3514" s="709">
        <v>96534</v>
      </c>
      <c r="C3514" s="710" t="s">
        <v>3891</v>
      </c>
      <c r="D3514" s="709" t="s">
        <v>168</v>
      </c>
      <c r="E3514" s="711">
        <v>0.72929999999999995</v>
      </c>
    </row>
    <row r="3515" spans="1:5" x14ac:dyDescent="0.3">
      <c r="A3515" s="397"/>
      <c r="B3515" s="709">
        <v>104928</v>
      </c>
      <c r="C3515" s="710" t="s">
        <v>3892</v>
      </c>
      <c r="D3515" s="709" t="s">
        <v>168</v>
      </c>
      <c r="E3515" s="711">
        <v>0.60719999999999996</v>
      </c>
    </row>
    <row r="3516" spans="1:5" x14ac:dyDescent="0.3">
      <c r="A3516" s="397"/>
      <c r="B3516" s="709">
        <v>104929</v>
      </c>
      <c r="C3516" s="710" t="s">
        <v>3893</v>
      </c>
      <c r="D3516" s="709" t="s">
        <v>168</v>
      </c>
      <c r="E3516" s="711">
        <v>0.64970000000000006</v>
      </c>
    </row>
    <row r="3517" spans="1:5" x14ac:dyDescent="0.3">
      <c r="A3517" s="397"/>
      <c r="B3517" s="709">
        <v>104925</v>
      </c>
      <c r="C3517" s="710" t="s">
        <v>3894</v>
      </c>
      <c r="D3517" s="709" t="s">
        <v>168</v>
      </c>
      <c r="E3517" s="711">
        <v>0.45129999999999998</v>
      </c>
    </row>
    <row r="3518" spans="1:5" x14ac:dyDescent="0.3">
      <c r="A3518" s="397"/>
      <c r="B3518" s="709">
        <v>104926</v>
      </c>
      <c r="C3518" s="710" t="s">
        <v>3895</v>
      </c>
      <c r="D3518" s="709" t="s">
        <v>168</v>
      </c>
      <c r="E3518" s="711">
        <v>0.55689999999999995</v>
      </c>
    </row>
    <row r="3519" spans="1:5" x14ac:dyDescent="0.3">
      <c r="A3519" s="397"/>
      <c r="B3519" s="709">
        <v>104927</v>
      </c>
      <c r="C3519" s="710" t="s">
        <v>3896</v>
      </c>
      <c r="D3519" s="709" t="s">
        <v>168</v>
      </c>
      <c r="E3519" s="711">
        <v>0.67300000000000004</v>
      </c>
    </row>
    <row r="3520" spans="1:5" x14ac:dyDescent="0.3">
      <c r="A3520" s="397"/>
      <c r="B3520" s="709">
        <v>96538</v>
      </c>
      <c r="C3520" s="710" t="s">
        <v>3897</v>
      </c>
      <c r="D3520" s="709" t="s">
        <v>168</v>
      </c>
      <c r="E3520" s="711">
        <v>0.69679999999999997</v>
      </c>
    </row>
    <row r="3521" spans="1:5" x14ac:dyDescent="0.3">
      <c r="A3521" s="397"/>
      <c r="B3521" s="709">
        <v>96541</v>
      </c>
      <c r="C3521" s="710" t="s">
        <v>3898</v>
      </c>
      <c r="D3521" s="709" t="s">
        <v>168</v>
      </c>
      <c r="E3521" s="711">
        <v>0.77659999999999996</v>
      </c>
    </row>
    <row r="3522" spans="1:5" x14ac:dyDescent="0.3">
      <c r="A3522" s="397"/>
      <c r="B3522" s="709">
        <v>96529</v>
      </c>
      <c r="C3522" s="710" t="s">
        <v>3899</v>
      </c>
      <c r="D3522" s="709" t="s">
        <v>168</v>
      </c>
      <c r="E3522" s="711">
        <v>0.65569999999999995</v>
      </c>
    </row>
    <row r="3523" spans="1:5" x14ac:dyDescent="0.3">
      <c r="A3523" s="397"/>
      <c r="B3523" s="709">
        <v>96532</v>
      </c>
      <c r="C3523" s="710" t="s">
        <v>3900</v>
      </c>
      <c r="D3523" s="709" t="s">
        <v>168</v>
      </c>
      <c r="E3523" s="711">
        <v>0.73780000000000001</v>
      </c>
    </row>
    <row r="3524" spans="1:5" x14ac:dyDescent="0.3">
      <c r="A3524" s="397"/>
      <c r="B3524" s="709">
        <v>96535</v>
      </c>
      <c r="C3524" s="710" t="s">
        <v>3901</v>
      </c>
      <c r="D3524" s="709" t="s">
        <v>168</v>
      </c>
      <c r="E3524" s="711">
        <v>0.81879999999999997</v>
      </c>
    </row>
    <row r="3525" spans="1:5" x14ac:dyDescent="0.3">
      <c r="A3525" s="397"/>
      <c r="B3525" s="709">
        <v>96539</v>
      </c>
      <c r="C3525" s="710" t="s">
        <v>3902</v>
      </c>
      <c r="D3525" s="709" t="s">
        <v>168</v>
      </c>
      <c r="E3525" s="711">
        <v>0.59019999999999995</v>
      </c>
    </row>
    <row r="3526" spans="1:5" x14ac:dyDescent="0.3">
      <c r="A3526" s="397"/>
      <c r="B3526" s="709">
        <v>96542</v>
      </c>
      <c r="C3526" s="710" t="s">
        <v>3903</v>
      </c>
      <c r="D3526" s="709" t="s">
        <v>168</v>
      </c>
      <c r="E3526" s="711">
        <v>0.70630000000000004</v>
      </c>
    </row>
    <row r="3527" spans="1:5" x14ac:dyDescent="0.3">
      <c r="A3527" s="397"/>
      <c r="B3527" s="709">
        <v>96530</v>
      </c>
      <c r="C3527" s="710" t="s">
        <v>3904</v>
      </c>
      <c r="D3527" s="709" t="s">
        <v>168</v>
      </c>
      <c r="E3527" s="711">
        <v>0.46860000000000002</v>
      </c>
    </row>
    <row r="3528" spans="1:5" x14ac:dyDescent="0.3">
      <c r="A3528" s="397"/>
      <c r="B3528" s="709">
        <v>96533</v>
      </c>
      <c r="C3528" s="710" t="s">
        <v>3905</v>
      </c>
      <c r="D3528" s="709" t="s">
        <v>168</v>
      </c>
      <c r="E3528" s="711">
        <v>0.58220000000000005</v>
      </c>
    </row>
    <row r="3529" spans="1:5" x14ac:dyDescent="0.3">
      <c r="A3529" s="397"/>
      <c r="B3529" s="709">
        <v>96536</v>
      </c>
      <c r="C3529" s="710" t="s">
        <v>3906</v>
      </c>
      <c r="D3529" s="709" t="s">
        <v>168</v>
      </c>
      <c r="E3529" s="711">
        <v>0.70079999999999998</v>
      </c>
    </row>
    <row r="3530" spans="1:5" x14ac:dyDescent="0.3">
      <c r="A3530" s="397"/>
      <c r="B3530" s="709">
        <v>101793</v>
      </c>
      <c r="C3530" s="710" t="s">
        <v>3911</v>
      </c>
      <c r="D3530" s="709" t="s">
        <v>170</v>
      </c>
      <c r="E3530" s="711">
        <v>0.46850000000000003</v>
      </c>
    </row>
    <row r="3531" spans="1:5" x14ac:dyDescent="0.3">
      <c r="A3531" s="397"/>
      <c r="B3531" s="709">
        <v>101792</v>
      </c>
      <c r="C3531" s="710" t="s">
        <v>3912</v>
      </c>
      <c r="D3531" s="709" t="s">
        <v>170</v>
      </c>
      <c r="E3531" s="711">
        <v>0.51680000000000004</v>
      </c>
    </row>
    <row r="3532" spans="1:5" x14ac:dyDescent="0.3">
      <c r="A3532" s="397"/>
      <c r="B3532" s="709">
        <v>92272</v>
      </c>
      <c r="C3532" s="710" t="s">
        <v>3913</v>
      </c>
      <c r="D3532" s="709" t="s">
        <v>159</v>
      </c>
      <c r="E3532" s="711">
        <v>0.18820000000000001</v>
      </c>
    </row>
    <row r="3533" spans="1:5" x14ac:dyDescent="0.3">
      <c r="A3533" s="397"/>
      <c r="B3533" s="709">
        <v>101791</v>
      </c>
      <c r="C3533" s="710" t="s">
        <v>3914</v>
      </c>
      <c r="D3533" s="709" t="s">
        <v>159</v>
      </c>
      <c r="E3533" s="711">
        <v>0.1128</v>
      </c>
    </row>
    <row r="3534" spans="1:5" x14ac:dyDescent="0.3">
      <c r="A3534" s="397"/>
      <c r="B3534" s="709">
        <v>92273</v>
      </c>
      <c r="C3534" s="710" t="s">
        <v>3915</v>
      </c>
      <c r="D3534" s="709" t="s">
        <v>159</v>
      </c>
      <c r="E3534" s="711">
        <v>0.32429999999999998</v>
      </c>
    </row>
    <row r="3535" spans="1:5" x14ac:dyDescent="0.3">
      <c r="A3535" s="397"/>
      <c r="B3535" s="709">
        <v>92268</v>
      </c>
      <c r="C3535" s="710" t="s">
        <v>3916</v>
      </c>
      <c r="D3535" s="709" t="s">
        <v>168</v>
      </c>
      <c r="E3535" s="711">
        <v>1.09E-2</v>
      </c>
    </row>
    <row r="3536" spans="1:5" x14ac:dyDescent="0.3">
      <c r="A3536" s="397"/>
      <c r="B3536" s="709">
        <v>92267</v>
      </c>
      <c r="C3536" s="710" t="s">
        <v>3917</v>
      </c>
      <c r="D3536" s="709" t="s">
        <v>168</v>
      </c>
      <c r="E3536" s="711">
        <v>1.83E-2</v>
      </c>
    </row>
    <row r="3537" spans="1:5" x14ac:dyDescent="0.3">
      <c r="A3537" s="397"/>
      <c r="B3537" s="709">
        <v>92271</v>
      </c>
      <c r="C3537" s="710" t="s">
        <v>3918</v>
      </c>
      <c r="D3537" s="709" t="s">
        <v>168</v>
      </c>
      <c r="E3537" s="711">
        <v>5.8999999999999999E-3</v>
      </c>
    </row>
    <row r="3538" spans="1:5" x14ac:dyDescent="0.3">
      <c r="A3538" s="397"/>
      <c r="B3538" s="709">
        <v>92264</v>
      </c>
      <c r="C3538" s="710" t="s">
        <v>3919</v>
      </c>
      <c r="D3538" s="709" t="s">
        <v>168</v>
      </c>
      <c r="E3538" s="711">
        <v>0.22570000000000001</v>
      </c>
    </row>
    <row r="3539" spans="1:5" x14ac:dyDescent="0.3">
      <c r="A3539" s="397"/>
      <c r="B3539" s="709">
        <v>92263</v>
      </c>
      <c r="C3539" s="710" t="s">
        <v>3920</v>
      </c>
      <c r="D3539" s="709" t="s">
        <v>168</v>
      </c>
      <c r="E3539" s="711">
        <v>0.29849999999999999</v>
      </c>
    </row>
    <row r="3540" spans="1:5" x14ac:dyDescent="0.3">
      <c r="A3540" s="397"/>
      <c r="B3540" s="709">
        <v>92269</v>
      </c>
      <c r="C3540" s="710" t="s">
        <v>3921</v>
      </c>
      <c r="D3540" s="709" t="s">
        <v>168</v>
      </c>
      <c r="E3540" s="711">
        <v>0.25819999999999999</v>
      </c>
    </row>
    <row r="3541" spans="1:5" x14ac:dyDescent="0.3">
      <c r="A3541" s="397"/>
      <c r="B3541" s="709">
        <v>92270</v>
      </c>
      <c r="C3541" s="710" t="s">
        <v>3922</v>
      </c>
      <c r="D3541" s="709" t="s">
        <v>168</v>
      </c>
      <c r="E3541" s="711">
        <v>0.22009999999999999</v>
      </c>
    </row>
    <row r="3542" spans="1:5" x14ac:dyDescent="0.3">
      <c r="A3542" s="397"/>
      <c r="B3542" s="709">
        <v>92266</v>
      </c>
      <c r="C3542" s="710" t="s">
        <v>3923</v>
      </c>
      <c r="D3542" s="709" t="s">
        <v>168</v>
      </c>
      <c r="E3542" s="711">
        <v>0.23250000000000001</v>
      </c>
    </row>
    <row r="3543" spans="1:5" x14ac:dyDescent="0.3">
      <c r="A3543" s="397"/>
      <c r="B3543" s="709">
        <v>92265</v>
      </c>
      <c r="C3543" s="710" t="s">
        <v>3924</v>
      </c>
      <c r="D3543" s="709" t="s">
        <v>168</v>
      </c>
      <c r="E3543" s="711">
        <v>0.31769999999999998</v>
      </c>
    </row>
    <row r="3544" spans="1:5" x14ac:dyDescent="0.3">
      <c r="A3544" s="397"/>
      <c r="B3544" s="709">
        <v>92524</v>
      </c>
      <c r="C3544" s="710" t="s">
        <v>3925</v>
      </c>
      <c r="D3544" s="709" t="s">
        <v>168</v>
      </c>
      <c r="E3544" s="711">
        <v>0.34789999999999999</v>
      </c>
    </row>
    <row r="3545" spans="1:5" x14ac:dyDescent="0.3">
      <c r="A3545" s="397"/>
      <c r="B3545" s="709">
        <v>92528</v>
      </c>
      <c r="C3545" s="710" t="s">
        <v>3926</v>
      </c>
      <c r="D3545" s="709" t="s">
        <v>168</v>
      </c>
      <c r="E3545" s="711">
        <v>0.33639999999999998</v>
      </c>
    </row>
    <row r="3546" spans="1:5" x14ac:dyDescent="0.3">
      <c r="A3546" s="397"/>
      <c r="B3546" s="709">
        <v>92532</v>
      </c>
      <c r="C3546" s="710" t="s">
        <v>3927</v>
      </c>
      <c r="D3546" s="709" t="s">
        <v>168</v>
      </c>
      <c r="E3546" s="711">
        <v>0.32390000000000002</v>
      </c>
    </row>
    <row r="3547" spans="1:5" x14ac:dyDescent="0.3">
      <c r="A3547" s="397"/>
      <c r="B3547" s="709">
        <v>92536</v>
      </c>
      <c r="C3547" s="710" t="s">
        <v>3928</v>
      </c>
      <c r="D3547" s="709" t="s">
        <v>168</v>
      </c>
      <c r="E3547" s="711">
        <v>0.30080000000000001</v>
      </c>
    </row>
    <row r="3548" spans="1:5" x14ac:dyDescent="0.3">
      <c r="A3548" s="397"/>
      <c r="B3548" s="709">
        <v>92508</v>
      </c>
      <c r="C3548" s="710" t="s">
        <v>3929</v>
      </c>
      <c r="D3548" s="709" t="s">
        <v>168</v>
      </c>
      <c r="E3548" s="711">
        <v>0.3458</v>
      </c>
    </row>
    <row r="3549" spans="1:5" x14ac:dyDescent="0.3">
      <c r="A3549" s="397"/>
      <c r="B3549" s="709">
        <v>92512</v>
      </c>
      <c r="C3549" s="710" t="s">
        <v>3930</v>
      </c>
      <c r="D3549" s="709" t="s">
        <v>168</v>
      </c>
      <c r="E3549" s="711">
        <v>0.37580000000000002</v>
      </c>
    </row>
    <row r="3550" spans="1:5" x14ac:dyDescent="0.3">
      <c r="A3550" s="397"/>
      <c r="B3550" s="709">
        <v>92515</v>
      </c>
      <c r="C3550" s="710" t="s">
        <v>3931</v>
      </c>
      <c r="D3550" s="709" t="s">
        <v>168</v>
      </c>
      <c r="E3550" s="711">
        <v>0.38100000000000001</v>
      </c>
    </row>
    <row r="3551" spans="1:5" x14ac:dyDescent="0.3">
      <c r="A3551" s="397"/>
      <c r="B3551" s="709">
        <v>92520</v>
      </c>
      <c r="C3551" s="710" t="s">
        <v>3932</v>
      </c>
      <c r="D3551" s="709" t="s">
        <v>168</v>
      </c>
      <c r="E3551" s="711">
        <v>0.37580000000000002</v>
      </c>
    </row>
    <row r="3552" spans="1:5" x14ac:dyDescent="0.3">
      <c r="A3552" s="397"/>
      <c r="B3552" s="709">
        <v>92526</v>
      </c>
      <c r="C3552" s="710" t="s">
        <v>3933</v>
      </c>
      <c r="D3552" s="709" t="s">
        <v>168</v>
      </c>
      <c r="E3552" s="711">
        <v>0.36709999999999998</v>
      </c>
    </row>
    <row r="3553" spans="1:5" x14ac:dyDescent="0.3">
      <c r="A3553" s="397"/>
      <c r="B3553" s="709">
        <v>92530</v>
      </c>
      <c r="C3553" s="710" t="s">
        <v>3934</v>
      </c>
      <c r="D3553" s="709" t="s">
        <v>168</v>
      </c>
      <c r="E3553" s="711">
        <v>0.3609</v>
      </c>
    </row>
    <row r="3554" spans="1:5" x14ac:dyDescent="0.3">
      <c r="A3554" s="397"/>
      <c r="B3554" s="709">
        <v>92534</v>
      </c>
      <c r="C3554" s="710" t="s">
        <v>3935</v>
      </c>
      <c r="D3554" s="709" t="s">
        <v>168</v>
      </c>
      <c r="E3554" s="711">
        <v>0.35289999999999999</v>
      </c>
    </row>
    <row r="3555" spans="1:5" x14ac:dyDescent="0.3">
      <c r="A3555" s="397"/>
      <c r="B3555" s="709">
        <v>92538</v>
      </c>
      <c r="C3555" s="710" t="s">
        <v>3936</v>
      </c>
      <c r="D3555" s="709" t="s">
        <v>168</v>
      </c>
      <c r="E3555" s="711">
        <v>0.33929999999999999</v>
      </c>
    </row>
    <row r="3556" spans="1:5" x14ac:dyDescent="0.3">
      <c r="A3556" s="397"/>
      <c r="B3556" s="709">
        <v>103760</v>
      </c>
      <c r="C3556" s="710" t="s">
        <v>3937</v>
      </c>
      <c r="D3556" s="709" t="s">
        <v>168</v>
      </c>
      <c r="E3556" s="711">
        <v>0.31780000000000003</v>
      </c>
    </row>
    <row r="3557" spans="1:5" x14ac:dyDescent="0.3">
      <c r="A3557" s="397"/>
      <c r="B3557" s="709">
        <v>103761</v>
      </c>
      <c r="C3557" s="710" t="s">
        <v>3938</v>
      </c>
      <c r="D3557" s="709" t="s">
        <v>168</v>
      </c>
      <c r="E3557" s="711">
        <v>0.43209999999999998</v>
      </c>
    </row>
    <row r="3558" spans="1:5" x14ac:dyDescent="0.3">
      <c r="A3558" s="397"/>
      <c r="B3558" s="709">
        <v>103762</v>
      </c>
      <c r="C3558" s="710" t="s">
        <v>3939</v>
      </c>
      <c r="D3558" s="709" t="s">
        <v>168</v>
      </c>
      <c r="E3558" s="711">
        <v>0.46810000000000002</v>
      </c>
    </row>
    <row r="3559" spans="1:5" x14ac:dyDescent="0.3">
      <c r="A3559" s="397"/>
      <c r="B3559" s="709">
        <v>103763</v>
      </c>
      <c r="C3559" s="710" t="s">
        <v>3940</v>
      </c>
      <c r="D3559" s="709" t="s">
        <v>168</v>
      </c>
      <c r="E3559" s="711">
        <v>0.49399999999999999</v>
      </c>
    </row>
    <row r="3560" spans="1:5" x14ac:dyDescent="0.3">
      <c r="A3560" s="397"/>
      <c r="B3560" s="709">
        <v>92510</v>
      </c>
      <c r="C3560" s="710" t="s">
        <v>3941</v>
      </c>
      <c r="D3560" s="709" t="s">
        <v>168</v>
      </c>
      <c r="E3560" s="711">
        <v>0.317</v>
      </c>
    </row>
    <row r="3561" spans="1:5" x14ac:dyDescent="0.3">
      <c r="A3561" s="397"/>
      <c r="B3561" s="709">
        <v>92514</v>
      </c>
      <c r="C3561" s="710" t="s">
        <v>3942</v>
      </c>
      <c r="D3561" s="709" t="s">
        <v>168</v>
      </c>
      <c r="E3561" s="711">
        <v>0.374</v>
      </c>
    </row>
    <row r="3562" spans="1:5" x14ac:dyDescent="0.3">
      <c r="A3562" s="397"/>
      <c r="B3562" s="709">
        <v>92518</v>
      </c>
      <c r="C3562" s="710" t="s">
        <v>3943</v>
      </c>
      <c r="D3562" s="709" t="s">
        <v>168</v>
      </c>
      <c r="E3562" s="711">
        <v>0.39789999999999998</v>
      </c>
    </row>
    <row r="3563" spans="1:5" x14ac:dyDescent="0.3">
      <c r="A3563" s="397"/>
      <c r="B3563" s="709">
        <v>92522</v>
      </c>
      <c r="C3563" s="710" t="s">
        <v>3944</v>
      </c>
      <c r="D3563" s="709" t="s">
        <v>168</v>
      </c>
      <c r="E3563" s="711">
        <v>0.40429999999999999</v>
      </c>
    </row>
    <row r="3564" spans="1:5" x14ac:dyDescent="0.3">
      <c r="A3564" s="397"/>
      <c r="B3564" s="709">
        <v>92482</v>
      </c>
      <c r="C3564" s="710" t="s">
        <v>3945</v>
      </c>
      <c r="D3564" s="709" t="s">
        <v>168</v>
      </c>
      <c r="E3564" s="711">
        <v>0.42549999999999999</v>
      </c>
    </row>
    <row r="3565" spans="1:5" x14ac:dyDescent="0.3">
      <c r="A3565" s="397"/>
      <c r="B3565" s="709">
        <v>92484</v>
      </c>
      <c r="C3565" s="710" t="s">
        <v>3946</v>
      </c>
      <c r="D3565" s="709" t="s">
        <v>168</v>
      </c>
      <c r="E3565" s="711">
        <v>0.50639999999999996</v>
      </c>
    </row>
    <row r="3566" spans="1:5" x14ac:dyDescent="0.3">
      <c r="A3566" s="397"/>
      <c r="B3566" s="709">
        <v>92486</v>
      </c>
      <c r="C3566" s="710" t="s">
        <v>3947</v>
      </c>
      <c r="D3566" s="709" t="s">
        <v>168</v>
      </c>
      <c r="E3566" s="711">
        <v>0.58289999999999997</v>
      </c>
    </row>
    <row r="3567" spans="1:5" x14ac:dyDescent="0.3">
      <c r="A3567" s="397"/>
      <c r="B3567" s="709">
        <v>92492</v>
      </c>
      <c r="C3567" s="710" t="s">
        <v>3948</v>
      </c>
      <c r="D3567" s="709" t="s">
        <v>168</v>
      </c>
      <c r="E3567" s="711">
        <v>0.42949999999999999</v>
      </c>
    </row>
    <row r="3568" spans="1:5" x14ac:dyDescent="0.3">
      <c r="A3568" s="397"/>
      <c r="B3568" s="709">
        <v>92496</v>
      </c>
      <c r="C3568" s="710" t="s">
        <v>3949</v>
      </c>
      <c r="D3568" s="709" t="s">
        <v>168</v>
      </c>
      <c r="E3568" s="711">
        <v>0.41649999999999998</v>
      </c>
    </row>
    <row r="3569" spans="1:5" x14ac:dyDescent="0.3">
      <c r="A3569" s="397"/>
      <c r="B3569" s="709">
        <v>92500</v>
      </c>
      <c r="C3569" s="710" t="s">
        <v>3950</v>
      </c>
      <c r="D3569" s="709" t="s">
        <v>168</v>
      </c>
      <c r="E3569" s="711">
        <v>0.39989999999999998</v>
      </c>
    </row>
    <row r="3570" spans="1:5" x14ac:dyDescent="0.3">
      <c r="A3570" s="397"/>
      <c r="B3570" s="709">
        <v>92504</v>
      </c>
      <c r="C3570" s="710" t="s">
        <v>3951</v>
      </c>
      <c r="D3570" s="709" t="s">
        <v>168</v>
      </c>
      <c r="E3570" s="711">
        <v>0.36870000000000003</v>
      </c>
    </row>
    <row r="3571" spans="1:5" x14ac:dyDescent="0.3">
      <c r="A3571" s="397"/>
      <c r="B3571" s="709">
        <v>92488</v>
      </c>
      <c r="C3571" s="710" t="s">
        <v>3952</v>
      </c>
      <c r="D3571" s="709" t="s">
        <v>168</v>
      </c>
      <c r="E3571" s="711">
        <v>0.4405</v>
      </c>
    </row>
    <row r="3572" spans="1:5" x14ac:dyDescent="0.3">
      <c r="A3572" s="397"/>
      <c r="B3572" s="709">
        <v>92494</v>
      </c>
      <c r="C3572" s="710" t="s">
        <v>3953</v>
      </c>
      <c r="D3572" s="709" t="s">
        <v>168</v>
      </c>
      <c r="E3572" s="711">
        <v>0.47360000000000002</v>
      </c>
    </row>
    <row r="3573" spans="1:5" x14ac:dyDescent="0.3">
      <c r="A3573" s="397"/>
      <c r="B3573" s="709">
        <v>92498</v>
      </c>
      <c r="C3573" s="710" t="s">
        <v>3954</v>
      </c>
      <c r="D3573" s="709" t="s">
        <v>168</v>
      </c>
      <c r="E3573" s="711">
        <v>0.46439999999999998</v>
      </c>
    </row>
    <row r="3574" spans="1:5" x14ac:dyDescent="0.3">
      <c r="A3574" s="397"/>
      <c r="B3574" s="709">
        <v>92502</v>
      </c>
      <c r="C3574" s="710" t="s">
        <v>3955</v>
      </c>
      <c r="D3574" s="709" t="s">
        <v>168</v>
      </c>
      <c r="E3574" s="711">
        <v>0.44929999999999998</v>
      </c>
    </row>
    <row r="3575" spans="1:5" x14ac:dyDescent="0.3">
      <c r="A3575" s="397"/>
      <c r="B3575" s="709">
        <v>92506</v>
      </c>
      <c r="C3575" s="710" t="s">
        <v>3956</v>
      </c>
      <c r="D3575" s="709" t="s">
        <v>168</v>
      </c>
      <c r="E3575" s="711">
        <v>0.42099999999999999</v>
      </c>
    </row>
    <row r="3576" spans="1:5" x14ac:dyDescent="0.3">
      <c r="A3576" s="397"/>
      <c r="B3576" s="709">
        <v>92490</v>
      </c>
      <c r="C3576" s="710" t="s">
        <v>3957</v>
      </c>
      <c r="D3576" s="709" t="s">
        <v>168</v>
      </c>
      <c r="E3576" s="711">
        <v>0.47889999999999999</v>
      </c>
    </row>
    <row r="3577" spans="1:5" x14ac:dyDescent="0.3">
      <c r="A3577" s="397"/>
      <c r="B3577" s="709">
        <v>92433</v>
      </c>
      <c r="C3577" s="710" t="s">
        <v>3958</v>
      </c>
      <c r="D3577" s="709" t="s">
        <v>168</v>
      </c>
      <c r="E3577" s="711">
        <v>0.5202</v>
      </c>
    </row>
    <row r="3578" spans="1:5" x14ac:dyDescent="0.3">
      <c r="A3578" s="397"/>
      <c r="B3578" s="709">
        <v>92437</v>
      </c>
      <c r="C3578" s="710" t="s">
        <v>3959</v>
      </c>
      <c r="D3578" s="709" t="s">
        <v>168</v>
      </c>
      <c r="E3578" s="711">
        <v>0.52210000000000001</v>
      </c>
    </row>
    <row r="3579" spans="1:5" x14ac:dyDescent="0.3">
      <c r="A3579" s="397"/>
      <c r="B3579" s="709">
        <v>92441</v>
      </c>
      <c r="C3579" s="710" t="s">
        <v>3960</v>
      </c>
      <c r="D3579" s="709" t="s">
        <v>168</v>
      </c>
      <c r="E3579" s="711">
        <v>0.52380000000000004</v>
      </c>
    </row>
    <row r="3580" spans="1:5" x14ac:dyDescent="0.3">
      <c r="A3580" s="397"/>
      <c r="B3580" s="709">
        <v>92445</v>
      </c>
      <c r="C3580" s="710" t="s">
        <v>3961</v>
      </c>
      <c r="D3580" s="709" t="s">
        <v>168</v>
      </c>
      <c r="E3580" s="711">
        <v>0.53400000000000003</v>
      </c>
    </row>
    <row r="3581" spans="1:5" x14ac:dyDescent="0.3">
      <c r="A3581" s="397"/>
      <c r="B3581" s="709">
        <v>92417</v>
      </c>
      <c r="C3581" s="710" t="s">
        <v>3962</v>
      </c>
      <c r="D3581" s="709" t="s">
        <v>168</v>
      </c>
      <c r="E3581" s="711">
        <v>0.51629999999999998</v>
      </c>
    </row>
    <row r="3582" spans="1:5" x14ac:dyDescent="0.3">
      <c r="A3582" s="397"/>
      <c r="B3582" s="709">
        <v>92421</v>
      </c>
      <c r="C3582" s="710" t="s">
        <v>3963</v>
      </c>
      <c r="D3582" s="709" t="s">
        <v>168</v>
      </c>
      <c r="E3582" s="711">
        <v>0.54149999999999998</v>
      </c>
    </row>
    <row r="3583" spans="1:5" x14ac:dyDescent="0.3">
      <c r="A3583" s="397"/>
      <c r="B3583" s="709">
        <v>92425</v>
      </c>
      <c r="C3583" s="710" t="s">
        <v>3964</v>
      </c>
      <c r="D3583" s="709" t="s">
        <v>168</v>
      </c>
      <c r="E3583" s="711">
        <v>0.54420000000000002</v>
      </c>
    </row>
    <row r="3584" spans="1:5" x14ac:dyDescent="0.3">
      <c r="A3584" s="397"/>
      <c r="B3584" s="709">
        <v>92429</v>
      </c>
      <c r="C3584" s="710" t="s">
        <v>3965</v>
      </c>
      <c r="D3584" s="709" t="s">
        <v>168</v>
      </c>
      <c r="E3584" s="711">
        <v>0.54630000000000001</v>
      </c>
    </row>
    <row r="3585" spans="1:5" x14ac:dyDescent="0.3">
      <c r="A3585" s="397"/>
      <c r="B3585" s="709">
        <v>92431</v>
      </c>
      <c r="C3585" s="710" t="s">
        <v>3966</v>
      </c>
      <c r="D3585" s="709" t="s">
        <v>168</v>
      </c>
      <c r="E3585" s="711">
        <v>0.4163</v>
      </c>
    </row>
    <row r="3586" spans="1:5" x14ac:dyDescent="0.3">
      <c r="A3586" s="397"/>
      <c r="B3586" s="709">
        <v>92435</v>
      </c>
      <c r="C3586" s="710" t="s">
        <v>3967</v>
      </c>
      <c r="D3586" s="709" t="s">
        <v>168</v>
      </c>
      <c r="E3586" s="711">
        <v>0.41689999999999999</v>
      </c>
    </row>
    <row r="3587" spans="1:5" x14ac:dyDescent="0.3">
      <c r="A3587" s="397"/>
      <c r="B3587" s="709">
        <v>92439</v>
      </c>
      <c r="C3587" s="710" t="s">
        <v>3968</v>
      </c>
      <c r="D3587" s="709" t="s">
        <v>168</v>
      </c>
      <c r="E3587" s="711">
        <v>0.41749999999999998</v>
      </c>
    </row>
    <row r="3588" spans="1:5" x14ac:dyDescent="0.3">
      <c r="A3588" s="397"/>
      <c r="B3588" s="709">
        <v>92443</v>
      </c>
      <c r="C3588" s="710" t="s">
        <v>3969</v>
      </c>
      <c r="D3588" s="709" t="s">
        <v>168</v>
      </c>
      <c r="E3588" s="711">
        <v>0.42459999999999998</v>
      </c>
    </row>
    <row r="3589" spans="1:5" x14ac:dyDescent="0.3">
      <c r="A3589" s="397"/>
      <c r="B3589" s="709">
        <v>92415</v>
      </c>
      <c r="C3589" s="710" t="s">
        <v>3970</v>
      </c>
      <c r="D3589" s="709" t="s">
        <v>168</v>
      </c>
      <c r="E3589" s="711">
        <v>0.43659999999999999</v>
      </c>
    </row>
    <row r="3590" spans="1:5" x14ac:dyDescent="0.3">
      <c r="A3590" s="397"/>
      <c r="B3590" s="709">
        <v>92419</v>
      </c>
      <c r="C3590" s="710" t="s">
        <v>3971</v>
      </c>
      <c r="D3590" s="709" t="s">
        <v>168</v>
      </c>
      <c r="E3590" s="711">
        <v>0.4506</v>
      </c>
    </row>
    <row r="3591" spans="1:5" x14ac:dyDescent="0.3">
      <c r="A3591" s="397"/>
      <c r="B3591" s="709">
        <v>92423</v>
      </c>
      <c r="C3591" s="710" t="s">
        <v>3972</v>
      </c>
      <c r="D3591" s="709" t="s">
        <v>168</v>
      </c>
      <c r="E3591" s="711">
        <v>0.44869999999999999</v>
      </c>
    </row>
    <row r="3592" spans="1:5" x14ac:dyDescent="0.3">
      <c r="A3592" s="397"/>
      <c r="B3592" s="709">
        <v>92427</v>
      </c>
      <c r="C3592" s="710" t="s">
        <v>3973</v>
      </c>
      <c r="D3592" s="709" t="s">
        <v>168</v>
      </c>
      <c r="E3592" s="711">
        <v>0.44750000000000001</v>
      </c>
    </row>
    <row r="3593" spans="1:5" x14ac:dyDescent="0.3">
      <c r="A3593" s="397"/>
      <c r="B3593" s="709">
        <v>92409</v>
      </c>
      <c r="C3593" s="710" t="s">
        <v>3974</v>
      </c>
      <c r="D3593" s="709" t="s">
        <v>168</v>
      </c>
      <c r="E3593" s="711">
        <v>0.60070000000000001</v>
      </c>
    </row>
    <row r="3594" spans="1:5" x14ac:dyDescent="0.3">
      <c r="A3594" s="397"/>
      <c r="B3594" s="709">
        <v>92411</v>
      </c>
      <c r="C3594" s="710" t="s">
        <v>3975</v>
      </c>
      <c r="D3594" s="709" t="s">
        <v>168</v>
      </c>
      <c r="E3594" s="711">
        <v>0.69699999999999995</v>
      </c>
    </row>
    <row r="3595" spans="1:5" x14ac:dyDescent="0.3">
      <c r="A3595" s="397"/>
      <c r="B3595" s="709">
        <v>92413</v>
      </c>
      <c r="C3595" s="710" t="s">
        <v>3976</v>
      </c>
      <c r="D3595" s="709" t="s">
        <v>168</v>
      </c>
      <c r="E3595" s="711">
        <v>0.76229999999999998</v>
      </c>
    </row>
    <row r="3596" spans="1:5" x14ac:dyDescent="0.3">
      <c r="A3596" s="397"/>
      <c r="B3596" s="709">
        <v>92465</v>
      </c>
      <c r="C3596" s="710" t="s">
        <v>3977</v>
      </c>
      <c r="D3596" s="709" t="s">
        <v>168</v>
      </c>
      <c r="E3596" s="711">
        <v>0.39610000000000001</v>
      </c>
    </row>
    <row r="3597" spans="1:5" x14ac:dyDescent="0.3">
      <c r="A3597" s="397"/>
      <c r="B3597" s="709">
        <v>92469</v>
      </c>
      <c r="C3597" s="710" t="s">
        <v>3978</v>
      </c>
      <c r="D3597" s="709" t="s">
        <v>168</v>
      </c>
      <c r="E3597" s="711">
        <v>0.39789999999999998</v>
      </c>
    </row>
    <row r="3598" spans="1:5" x14ac:dyDescent="0.3">
      <c r="A3598" s="397"/>
      <c r="B3598" s="709">
        <v>92473</v>
      </c>
      <c r="C3598" s="710" t="s">
        <v>3979</v>
      </c>
      <c r="D3598" s="709" t="s">
        <v>168</v>
      </c>
      <c r="E3598" s="711">
        <v>0.39750000000000002</v>
      </c>
    </row>
    <row r="3599" spans="1:5" x14ac:dyDescent="0.3">
      <c r="A3599" s="397"/>
      <c r="B3599" s="709">
        <v>92477</v>
      </c>
      <c r="C3599" s="710" t="s">
        <v>3980</v>
      </c>
      <c r="D3599" s="709" t="s">
        <v>168</v>
      </c>
      <c r="E3599" s="711">
        <v>0.40450000000000003</v>
      </c>
    </row>
    <row r="3600" spans="1:5" x14ac:dyDescent="0.3">
      <c r="A3600" s="397"/>
      <c r="B3600" s="709">
        <v>92449</v>
      </c>
      <c r="C3600" s="710" t="s">
        <v>3981</v>
      </c>
      <c r="D3600" s="709" t="s">
        <v>168</v>
      </c>
      <c r="E3600" s="711">
        <v>0.375</v>
      </c>
    </row>
    <row r="3601" spans="1:5" x14ac:dyDescent="0.3">
      <c r="A3601" s="397"/>
      <c r="B3601" s="709">
        <v>92453</v>
      </c>
      <c r="C3601" s="710" t="s">
        <v>3982</v>
      </c>
      <c r="D3601" s="709" t="s">
        <v>168</v>
      </c>
      <c r="E3601" s="711">
        <v>0.38169999999999998</v>
      </c>
    </row>
    <row r="3602" spans="1:5" x14ac:dyDescent="0.3">
      <c r="A3602" s="397"/>
      <c r="B3602" s="709">
        <v>92457</v>
      </c>
      <c r="C3602" s="710" t="s">
        <v>3983</v>
      </c>
      <c r="D3602" s="709" t="s">
        <v>168</v>
      </c>
      <c r="E3602" s="711">
        <v>0.38690000000000002</v>
      </c>
    </row>
    <row r="3603" spans="1:5" x14ac:dyDescent="0.3">
      <c r="A3603" s="397"/>
      <c r="B3603" s="709">
        <v>92461</v>
      </c>
      <c r="C3603" s="710" t="s">
        <v>3984</v>
      </c>
      <c r="D3603" s="709" t="s">
        <v>168</v>
      </c>
      <c r="E3603" s="711">
        <v>0.38350000000000001</v>
      </c>
    </row>
    <row r="3604" spans="1:5" x14ac:dyDescent="0.3">
      <c r="A3604" s="397"/>
      <c r="B3604" s="709">
        <v>92467</v>
      </c>
      <c r="C3604" s="710" t="s">
        <v>3985</v>
      </c>
      <c r="D3604" s="709" t="s">
        <v>168</v>
      </c>
      <c r="E3604" s="711">
        <v>0.40699999999999997</v>
      </c>
    </row>
    <row r="3605" spans="1:5" x14ac:dyDescent="0.3">
      <c r="A3605" s="397"/>
      <c r="B3605" s="709">
        <v>92471</v>
      </c>
      <c r="C3605" s="710" t="s">
        <v>3986</v>
      </c>
      <c r="D3605" s="709" t="s">
        <v>168</v>
      </c>
      <c r="E3605" s="711">
        <v>0.40870000000000001</v>
      </c>
    </row>
    <row r="3606" spans="1:5" x14ac:dyDescent="0.3">
      <c r="A3606" s="397"/>
      <c r="B3606" s="709">
        <v>92475</v>
      </c>
      <c r="C3606" s="710" t="s">
        <v>3987</v>
      </c>
      <c r="D3606" s="709" t="s">
        <v>168</v>
      </c>
      <c r="E3606" s="711">
        <v>0.40820000000000001</v>
      </c>
    </row>
    <row r="3607" spans="1:5" x14ac:dyDescent="0.3">
      <c r="A3607" s="397"/>
      <c r="B3607" s="709">
        <v>92479</v>
      </c>
      <c r="C3607" s="710" t="s">
        <v>3988</v>
      </c>
      <c r="D3607" s="709" t="s">
        <v>168</v>
      </c>
      <c r="E3607" s="711">
        <v>0.4143</v>
      </c>
    </row>
    <row r="3608" spans="1:5" x14ac:dyDescent="0.3">
      <c r="A3608" s="397"/>
      <c r="B3608" s="709">
        <v>92451</v>
      </c>
      <c r="C3608" s="710" t="s">
        <v>3989</v>
      </c>
      <c r="D3608" s="709" t="s">
        <v>168</v>
      </c>
      <c r="E3608" s="711">
        <v>0.3891</v>
      </c>
    </row>
    <row r="3609" spans="1:5" x14ac:dyDescent="0.3">
      <c r="A3609" s="397"/>
      <c r="B3609" s="709">
        <v>92455</v>
      </c>
      <c r="C3609" s="710" t="s">
        <v>3990</v>
      </c>
      <c r="D3609" s="709" t="s">
        <v>168</v>
      </c>
      <c r="E3609" s="711">
        <v>0.4012</v>
      </c>
    </row>
    <row r="3610" spans="1:5" x14ac:dyDescent="0.3">
      <c r="A3610" s="397"/>
      <c r="B3610" s="709">
        <v>92459</v>
      </c>
      <c r="C3610" s="710" t="s">
        <v>3991</v>
      </c>
      <c r="D3610" s="709" t="s">
        <v>168</v>
      </c>
      <c r="E3610" s="711">
        <v>0.4093</v>
      </c>
    </row>
    <row r="3611" spans="1:5" x14ac:dyDescent="0.3">
      <c r="A3611" s="397"/>
      <c r="B3611" s="709">
        <v>92463</v>
      </c>
      <c r="C3611" s="710" t="s">
        <v>3992</v>
      </c>
      <c r="D3611" s="709" t="s">
        <v>168</v>
      </c>
      <c r="E3611" s="711">
        <v>0.40799999999999997</v>
      </c>
    </row>
    <row r="3612" spans="1:5" x14ac:dyDescent="0.3">
      <c r="A3612" s="397"/>
      <c r="B3612" s="709">
        <v>92446</v>
      </c>
      <c r="C3612" s="710" t="s">
        <v>3993</v>
      </c>
      <c r="D3612" s="709" t="s">
        <v>168</v>
      </c>
      <c r="E3612" s="711">
        <v>0.43469999999999998</v>
      </c>
    </row>
    <row r="3613" spans="1:5" x14ac:dyDescent="0.3">
      <c r="A3613" s="397"/>
      <c r="B3613" s="709">
        <v>92447</v>
      </c>
      <c r="C3613" s="710" t="s">
        <v>3994</v>
      </c>
      <c r="D3613" s="709" t="s">
        <v>168</v>
      </c>
      <c r="E3613" s="711">
        <v>0.48060000000000003</v>
      </c>
    </row>
    <row r="3614" spans="1:5" x14ac:dyDescent="0.3">
      <c r="A3614" s="397"/>
      <c r="B3614" s="709">
        <v>92448</v>
      </c>
      <c r="C3614" s="710" t="s">
        <v>3995</v>
      </c>
      <c r="D3614" s="709" t="s">
        <v>168</v>
      </c>
      <c r="E3614" s="711">
        <v>0.50290000000000001</v>
      </c>
    </row>
    <row r="3615" spans="1:5" x14ac:dyDescent="0.3">
      <c r="A3615" s="397"/>
      <c r="B3615" s="709">
        <v>92466</v>
      </c>
      <c r="C3615" s="710" t="s">
        <v>3996</v>
      </c>
      <c r="D3615" s="709" t="s">
        <v>168</v>
      </c>
      <c r="E3615" s="711">
        <v>0.23710000000000001</v>
      </c>
    </row>
    <row r="3616" spans="1:5" x14ac:dyDescent="0.3">
      <c r="A3616" s="397"/>
      <c r="B3616" s="709">
        <v>92470</v>
      </c>
      <c r="C3616" s="710" t="s">
        <v>3997</v>
      </c>
      <c r="D3616" s="709" t="s">
        <v>168</v>
      </c>
      <c r="E3616" s="711">
        <v>0.22459999999999999</v>
      </c>
    </row>
    <row r="3617" spans="1:5" x14ac:dyDescent="0.3">
      <c r="A3617" s="397"/>
      <c r="B3617" s="709">
        <v>92474</v>
      </c>
      <c r="C3617" s="710" t="s">
        <v>3998</v>
      </c>
      <c r="D3617" s="709" t="s">
        <v>168</v>
      </c>
      <c r="E3617" s="711">
        <v>0.21249999999999999</v>
      </c>
    </row>
    <row r="3618" spans="1:5" x14ac:dyDescent="0.3">
      <c r="A3618" s="397"/>
      <c r="B3618" s="709">
        <v>92478</v>
      </c>
      <c r="C3618" s="710" t="s">
        <v>3999</v>
      </c>
      <c r="D3618" s="709" t="s">
        <v>168</v>
      </c>
      <c r="E3618" s="711">
        <v>0.18890000000000001</v>
      </c>
    </row>
    <row r="3619" spans="1:5" x14ac:dyDescent="0.3">
      <c r="A3619" s="397"/>
      <c r="B3619" s="709">
        <v>92450</v>
      </c>
      <c r="C3619" s="710" t="s">
        <v>4000</v>
      </c>
      <c r="D3619" s="709" t="s">
        <v>168</v>
      </c>
      <c r="E3619" s="711">
        <v>0.30359999999999998</v>
      </c>
    </row>
    <row r="3620" spans="1:5" x14ac:dyDescent="0.3">
      <c r="A3620" s="397"/>
      <c r="B3620" s="709">
        <v>92454</v>
      </c>
      <c r="C3620" s="710" t="s">
        <v>4001</v>
      </c>
      <c r="D3620" s="709" t="s">
        <v>168</v>
      </c>
      <c r="E3620" s="711">
        <v>0.28910000000000002</v>
      </c>
    </row>
    <row r="3621" spans="1:5" x14ac:dyDescent="0.3">
      <c r="A3621" s="397"/>
      <c r="B3621" s="709">
        <v>92458</v>
      </c>
      <c r="C3621" s="710" t="s">
        <v>4002</v>
      </c>
      <c r="D3621" s="709" t="s">
        <v>168</v>
      </c>
      <c r="E3621" s="711">
        <v>0.27400000000000002</v>
      </c>
    </row>
    <row r="3622" spans="1:5" x14ac:dyDescent="0.3">
      <c r="A3622" s="397"/>
      <c r="B3622" s="709">
        <v>92462</v>
      </c>
      <c r="C3622" s="710" t="s">
        <v>4003</v>
      </c>
      <c r="D3622" s="709" t="s">
        <v>168</v>
      </c>
      <c r="E3622" s="711">
        <v>0.25940000000000002</v>
      </c>
    </row>
    <row r="3623" spans="1:5" x14ac:dyDescent="0.3">
      <c r="A3623" s="397"/>
      <c r="B3623" s="709">
        <v>92468</v>
      </c>
      <c r="C3623" s="710" t="s">
        <v>4004</v>
      </c>
      <c r="D3623" s="709" t="s">
        <v>168</v>
      </c>
      <c r="E3623" s="711">
        <v>0.39889999999999998</v>
      </c>
    </row>
    <row r="3624" spans="1:5" x14ac:dyDescent="0.3">
      <c r="A3624" s="397"/>
      <c r="B3624" s="709">
        <v>92472</v>
      </c>
      <c r="C3624" s="710" t="s">
        <v>4005</v>
      </c>
      <c r="D3624" s="709" t="s">
        <v>168</v>
      </c>
      <c r="E3624" s="711">
        <v>0.38700000000000001</v>
      </c>
    </row>
    <row r="3625" spans="1:5" x14ac:dyDescent="0.3">
      <c r="A3625" s="397"/>
      <c r="B3625" s="709">
        <v>92476</v>
      </c>
      <c r="C3625" s="710" t="s">
        <v>4006</v>
      </c>
      <c r="D3625" s="709" t="s">
        <v>168</v>
      </c>
      <c r="E3625" s="711">
        <v>0.37419999999999998</v>
      </c>
    </row>
    <row r="3626" spans="1:5" x14ac:dyDescent="0.3">
      <c r="A3626" s="397"/>
      <c r="B3626" s="709">
        <v>92480</v>
      </c>
      <c r="C3626" s="710" t="s">
        <v>4007</v>
      </c>
      <c r="D3626" s="709" t="s">
        <v>168</v>
      </c>
      <c r="E3626" s="711">
        <v>0.34960000000000002</v>
      </c>
    </row>
    <row r="3627" spans="1:5" x14ac:dyDescent="0.3">
      <c r="A3627" s="397"/>
      <c r="B3627" s="709">
        <v>92452</v>
      </c>
      <c r="C3627" s="710" t="s">
        <v>4008</v>
      </c>
      <c r="D3627" s="709" t="s">
        <v>168</v>
      </c>
      <c r="E3627" s="711">
        <v>0.43180000000000002</v>
      </c>
    </row>
    <row r="3628" spans="1:5" x14ac:dyDescent="0.3">
      <c r="A3628" s="397"/>
      <c r="B3628" s="709">
        <v>92456</v>
      </c>
      <c r="C3628" s="710" t="s">
        <v>4009</v>
      </c>
      <c r="D3628" s="709" t="s">
        <v>168</v>
      </c>
      <c r="E3628" s="711">
        <v>0.43909999999999999</v>
      </c>
    </row>
    <row r="3629" spans="1:5" x14ac:dyDescent="0.3">
      <c r="A3629" s="397"/>
      <c r="B3629" s="709">
        <v>92460</v>
      </c>
      <c r="C3629" s="710" t="s">
        <v>4010</v>
      </c>
      <c r="D3629" s="709" t="s">
        <v>168</v>
      </c>
      <c r="E3629" s="711">
        <v>0.45800000000000002</v>
      </c>
    </row>
    <row r="3630" spans="1:5" x14ac:dyDescent="0.3">
      <c r="A3630" s="397"/>
      <c r="B3630" s="709">
        <v>92464</v>
      </c>
      <c r="C3630" s="710" t="s">
        <v>4011</v>
      </c>
      <c r="D3630" s="709" t="s">
        <v>168</v>
      </c>
      <c r="E3630" s="711">
        <v>0.43130000000000002</v>
      </c>
    </row>
    <row r="3631" spans="1:5" x14ac:dyDescent="0.3">
      <c r="A3631" s="397"/>
      <c r="B3631" s="709">
        <v>105403</v>
      </c>
      <c r="C3631" s="710" t="s">
        <v>4012</v>
      </c>
      <c r="D3631" s="709" t="s">
        <v>168</v>
      </c>
      <c r="E3631" s="711">
        <v>0.15970000000000001</v>
      </c>
    </row>
    <row r="3632" spans="1:5" x14ac:dyDescent="0.3">
      <c r="A3632" s="397"/>
      <c r="B3632" s="709">
        <v>96252</v>
      </c>
      <c r="C3632" s="710" t="s">
        <v>4013</v>
      </c>
      <c r="D3632" s="709" t="s">
        <v>168</v>
      </c>
      <c r="E3632" s="711">
        <v>0.1789</v>
      </c>
    </row>
    <row r="3633" spans="1:5" x14ac:dyDescent="0.3">
      <c r="A3633" s="397"/>
      <c r="B3633" s="709">
        <v>105406</v>
      </c>
      <c r="C3633" s="710" t="s">
        <v>4016</v>
      </c>
      <c r="D3633" s="709" t="s">
        <v>168</v>
      </c>
      <c r="E3633" s="711">
        <v>0.48359999999999997</v>
      </c>
    </row>
    <row r="3634" spans="1:5" x14ac:dyDescent="0.3">
      <c r="A3634" s="397"/>
      <c r="B3634" s="709">
        <v>96258</v>
      </c>
      <c r="C3634" s="710" t="s">
        <v>4019</v>
      </c>
      <c r="D3634" s="709" t="s">
        <v>168</v>
      </c>
      <c r="E3634" s="711">
        <v>0.50019999999999998</v>
      </c>
    </row>
    <row r="3635" spans="1:5" x14ac:dyDescent="0.3">
      <c r="A3635" s="397"/>
      <c r="B3635" s="709">
        <v>92751</v>
      </c>
      <c r="C3635" s="710" t="s">
        <v>4022</v>
      </c>
      <c r="D3635" s="709" t="s">
        <v>170</v>
      </c>
      <c r="E3635" s="711">
        <v>0.19189999999999999</v>
      </c>
    </row>
    <row r="3636" spans="1:5" x14ac:dyDescent="0.3">
      <c r="A3636" s="397"/>
      <c r="B3636" s="709">
        <v>92752</v>
      </c>
      <c r="C3636" s="710" t="s">
        <v>4023</v>
      </c>
      <c r="D3636" s="709" t="s">
        <v>170</v>
      </c>
      <c r="E3636" s="711">
        <v>0.1842</v>
      </c>
    </row>
    <row r="3637" spans="1:5" x14ac:dyDescent="0.3">
      <c r="A3637" s="397"/>
      <c r="B3637" s="709">
        <v>92750</v>
      </c>
      <c r="C3637" s="710" t="s">
        <v>4024</v>
      </c>
      <c r="D3637" s="709" t="s">
        <v>170</v>
      </c>
      <c r="E3637" s="711">
        <v>0.20219999999999999</v>
      </c>
    </row>
    <row r="3638" spans="1:5" x14ac:dyDescent="0.3">
      <c r="A3638" s="397"/>
      <c r="B3638" s="709">
        <v>92749</v>
      </c>
      <c r="C3638" s="710" t="s">
        <v>4025</v>
      </c>
      <c r="D3638" s="709" t="s">
        <v>170</v>
      </c>
      <c r="E3638" s="711">
        <v>0.2392</v>
      </c>
    </row>
    <row r="3639" spans="1:5" x14ac:dyDescent="0.3">
      <c r="A3639" s="397"/>
      <c r="B3639" s="709">
        <v>92745</v>
      </c>
      <c r="C3639" s="710" t="s">
        <v>4026</v>
      </c>
      <c r="D3639" s="709" t="s">
        <v>170</v>
      </c>
      <c r="E3639" s="711">
        <v>0.28220000000000001</v>
      </c>
    </row>
    <row r="3640" spans="1:5" x14ac:dyDescent="0.3">
      <c r="A3640" s="397"/>
      <c r="B3640" s="709">
        <v>92747</v>
      </c>
      <c r="C3640" s="710" t="s">
        <v>4027</v>
      </c>
      <c r="D3640" s="709" t="s">
        <v>170</v>
      </c>
      <c r="E3640" s="711">
        <v>0.28220000000000001</v>
      </c>
    </row>
    <row r="3641" spans="1:5" x14ac:dyDescent="0.3">
      <c r="A3641" s="397"/>
      <c r="B3641" s="709">
        <v>92743</v>
      </c>
      <c r="C3641" s="710" t="s">
        <v>4028</v>
      </c>
      <c r="D3641" s="709" t="s">
        <v>170</v>
      </c>
      <c r="E3641" s="711">
        <v>0.2928</v>
      </c>
    </row>
    <row r="3642" spans="1:5" x14ac:dyDescent="0.3">
      <c r="A3642" s="397"/>
      <c r="B3642" s="709">
        <v>92746</v>
      </c>
      <c r="C3642" s="710" t="s">
        <v>4029</v>
      </c>
      <c r="D3642" s="709" t="s">
        <v>170</v>
      </c>
      <c r="E3642" s="711">
        <v>0.20219999999999999</v>
      </c>
    </row>
    <row r="3643" spans="1:5" x14ac:dyDescent="0.3">
      <c r="A3643" s="397"/>
      <c r="B3643" s="709">
        <v>92748</v>
      </c>
      <c r="C3643" s="710" t="s">
        <v>4030</v>
      </c>
      <c r="D3643" s="709" t="s">
        <v>170</v>
      </c>
      <c r="E3643" s="711">
        <v>0.21609999999999999</v>
      </c>
    </row>
    <row r="3644" spans="1:5" x14ac:dyDescent="0.3">
      <c r="A3644" s="397"/>
      <c r="B3644" s="709">
        <v>92744</v>
      </c>
      <c r="C3644" s="710" t="s">
        <v>4031</v>
      </c>
      <c r="D3644" s="709" t="s">
        <v>170</v>
      </c>
      <c r="E3644" s="711">
        <v>0.17780000000000001</v>
      </c>
    </row>
    <row r="3645" spans="1:5" x14ac:dyDescent="0.3">
      <c r="A3645" s="397"/>
      <c r="B3645" s="709">
        <v>92754</v>
      </c>
      <c r="C3645" s="710" t="s">
        <v>4032</v>
      </c>
      <c r="D3645" s="709" t="s">
        <v>170</v>
      </c>
      <c r="E3645" s="711">
        <v>0.27429999999999999</v>
      </c>
    </row>
    <row r="3646" spans="1:5" x14ac:dyDescent="0.3">
      <c r="A3646" s="397"/>
      <c r="B3646" s="709">
        <v>92753</v>
      </c>
      <c r="C3646" s="710" t="s">
        <v>4033</v>
      </c>
      <c r="D3646" s="709" t="s">
        <v>170</v>
      </c>
      <c r="E3646" s="711">
        <v>0.24510000000000001</v>
      </c>
    </row>
    <row r="3647" spans="1:5" x14ac:dyDescent="0.3">
      <c r="A3647" s="397"/>
      <c r="B3647" s="709">
        <v>92755</v>
      </c>
      <c r="C3647" s="710" t="s">
        <v>4034</v>
      </c>
      <c r="D3647" s="709" t="s">
        <v>168</v>
      </c>
      <c r="E3647" s="711">
        <v>0.2858</v>
      </c>
    </row>
    <row r="3648" spans="1:5" x14ac:dyDescent="0.3">
      <c r="A3648" s="397"/>
      <c r="B3648" s="709">
        <v>92756</v>
      </c>
      <c r="C3648" s="710" t="s">
        <v>4035</v>
      </c>
      <c r="D3648" s="709" t="s">
        <v>168</v>
      </c>
      <c r="E3648" s="711">
        <v>0.29649999999999999</v>
      </c>
    </row>
    <row r="3649" spans="1:5" x14ac:dyDescent="0.3">
      <c r="A3649" s="397"/>
      <c r="B3649" s="709">
        <v>92757</v>
      </c>
      <c r="C3649" s="710" t="s">
        <v>4036</v>
      </c>
      <c r="D3649" s="709" t="s">
        <v>168</v>
      </c>
      <c r="E3649" s="711">
        <v>0.3049</v>
      </c>
    </row>
    <row r="3650" spans="1:5" x14ac:dyDescent="0.3">
      <c r="A3650" s="397"/>
      <c r="B3650" s="709">
        <v>92758</v>
      </c>
      <c r="C3650" s="710" t="s">
        <v>4037</v>
      </c>
      <c r="D3650" s="709" t="s">
        <v>170</v>
      </c>
      <c r="E3650" s="711">
        <v>0.14349999999999999</v>
      </c>
    </row>
    <row r="3651" spans="1:5" x14ac:dyDescent="0.3">
      <c r="A3651" s="397"/>
      <c r="B3651" s="709">
        <v>104491</v>
      </c>
      <c r="C3651" s="710" t="s">
        <v>4053</v>
      </c>
      <c r="D3651" s="709" t="s">
        <v>159</v>
      </c>
      <c r="E3651" s="711">
        <v>1.7399999999999999E-2</v>
      </c>
    </row>
    <row r="3652" spans="1:5" x14ac:dyDescent="0.3">
      <c r="A3652" s="397"/>
      <c r="B3652" s="709">
        <v>104492</v>
      </c>
      <c r="C3652" s="710" t="s">
        <v>4054</v>
      </c>
      <c r="D3652" s="709" t="s">
        <v>159</v>
      </c>
      <c r="E3652" s="711">
        <v>1.7100000000000001E-2</v>
      </c>
    </row>
    <row r="3653" spans="1:5" x14ac:dyDescent="0.3">
      <c r="A3653" s="397"/>
      <c r="B3653" s="709">
        <v>104494</v>
      </c>
      <c r="C3653" s="710" t="s">
        <v>4056</v>
      </c>
      <c r="D3653" s="709" t="s">
        <v>159</v>
      </c>
      <c r="E3653" s="711">
        <v>1.4999999999999999E-2</v>
      </c>
    </row>
    <row r="3654" spans="1:5" x14ac:dyDescent="0.3">
      <c r="A3654" s="397"/>
      <c r="B3654" s="709">
        <v>104497</v>
      </c>
      <c r="C3654" s="710" t="s">
        <v>4059</v>
      </c>
      <c r="D3654" s="709" t="s">
        <v>159</v>
      </c>
      <c r="E3654" s="711">
        <v>1.6899999999999998E-2</v>
      </c>
    </row>
    <row r="3655" spans="1:5" x14ac:dyDescent="0.3">
      <c r="A3655" s="397"/>
      <c r="B3655" s="709">
        <v>104515</v>
      </c>
      <c r="C3655" s="710" t="s">
        <v>4062</v>
      </c>
      <c r="D3655" s="709" t="s">
        <v>168</v>
      </c>
      <c r="E3655" s="711">
        <v>1.7500000000000002E-2</v>
      </c>
    </row>
    <row r="3656" spans="1:5" x14ac:dyDescent="0.3">
      <c r="A3656" s="397"/>
      <c r="B3656" s="709">
        <v>106550</v>
      </c>
      <c r="C3656" s="710" t="s">
        <v>13742</v>
      </c>
      <c r="D3656" s="709" t="s">
        <v>159</v>
      </c>
      <c r="E3656" s="711">
        <v>0.35930000000000001</v>
      </c>
    </row>
    <row r="3657" spans="1:5" x14ac:dyDescent="0.3">
      <c r="A3657" s="397"/>
      <c r="B3657" s="709">
        <v>87430</v>
      </c>
      <c r="C3657" s="710" t="s">
        <v>4063</v>
      </c>
      <c r="D3657" s="709" t="s">
        <v>168</v>
      </c>
      <c r="E3657" s="711">
        <v>0.60909999999999997</v>
      </c>
    </row>
    <row r="3658" spans="1:5" x14ac:dyDescent="0.3">
      <c r="A3658" s="397"/>
      <c r="B3658" s="709">
        <v>87433</v>
      </c>
      <c r="C3658" s="710" t="s">
        <v>4064</v>
      </c>
      <c r="D3658" s="709" t="s">
        <v>168</v>
      </c>
      <c r="E3658" s="711">
        <v>0.52839999999999998</v>
      </c>
    </row>
    <row r="3659" spans="1:5" x14ac:dyDescent="0.3">
      <c r="A3659" s="397"/>
      <c r="B3659" s="709">
        <v>87436</v>
      </c>
      <c r="C3659" s="710" t="s">
        <v>4065</v>
      </c>
      <c r="D3659" s="709" t="s">
        <v>168</v>
      </c>
      <c r="E3659" s="711">
        <v>0.58169999999999999</v>
      </c>
    </row>
    <row r="3660" spans="1:5" x14ac:dyDescent="0.3">
      <c r="A3660" s="397"/>
      <c r="B3660" s="709">
        <v>87439</v>
      </c>
      <c r="C3660" s="710" t="s">
        <v>4066</v>
      </c>
      <c r="D3660" s="709" t="s">
        <v>168</v>
      </c>
      <c r="E3660" s="711">
        <v>0.55700000000000005</v>
      </c>
    </row>
    <row r="3661" spans="1:5" x14ac:dyDescent="0.3">
      <c r="A3661" s="397"/>
      <c r="B3661" s="709">
        <v>104633</v>
      </c>
      <c r="C3661" s="710" t="s">
        <v>4067</v>
      </c>
      <c r="D3661" s="709" t="s">
        <v>168</v>
      </c>
      <c r="E3661" s="711">
        <v>0.67669999999999997</v>
      </c>
    </row>
    <row r="3662" spans="1:5" x14ac:dyDescent="0.3">
      <c r="A3662" s="397"/>
      <c r="B3662" s="709">
        <v>104634</v>
      </c>
      <c r="C3662" s="710" t="s">
        <v>4068</v>
      </c>
      <c r="D3662" s="709" t="s">
        <v>168</v>
      </c>
      <c r="E3662" s="711">
        <v>0.61570000000000003</v>
      </c>
    </row>
    <row r="3663" spans="1:5" x14ac:dyDescent="0.3">
      <c r="A3663" s="397"/>
      <c r="B3663" s="709">
        <v>87418</v>
      </c>
      <c r="C3663" s="710" t="s">
        <v>4069</v>
      </c>
      <c r="D3663" s="709" t="s">
        <v>168</v>
      </c>
      <c r="E3663" s="711">
        <v>0.56179999999999997</v>
      </c>
    </row>
    <row r="3664" spans="1:5" x14ac:dyDescent="0.3">
      <c r="A3664" s="397"/>
      <c r="B3664" s="709">
        <v>87421</v>
      </c>
      <c r="C3664" s="710" t="s">
        <v>4070</v>
      </c>
      <c r="D3664" s="709" t="s">
        <v>168</v>
      </c>
      <c r="E3664" s="711">
        <v>0.49790000000000001</v>
      </c>
    </row>
    <row r="3665" spans="1:5" x14ac:dyDescent="0.3">
      <c r="A3665" s="397"/>
      <c r="B3665" s="709">
        <v>104628</v>
      </c>
      <c r="C3665" s="710" t="s">
        <v>4071</v>
      </c>
      <c r="D3665" s="709" t="s">
        <v>168</v>
      </c>
      <c r="E3665" s="711">
        <v>0.71350000000000002</v>
      </c>
    </row>
    <row r="3666" spans="1:5" x14ac:dyDescent="0.3">
      <c r="A3666" s="397"/>
      <c r="B3666" s="709">
        <v>104631</v>
      </c>
      <c r="C3666" s="710" t="s">
        <v>4072</v>
      </c>
      <c r="D3666" s="709" t="s">
        <v>168</v>
      </c>
      <c r="E3666" s="711">
        <v>0.63280000000000003</v>
      </c>
    </row>
    <row r="3667" spans="1:5" x14ac:dyDescent="0.3">
      <c r="A3667" s="397"/>
      <c r="B3667" s="709">
        <v>104627</v>
      </c>
      <c r="C3667" s="710" t="s">
        <v>4073</v>
      </c>
      <c r="D3667" s="709" t="s">
        <v>168</v>
      </c>
      <c r="E3667" s="711">
        <v>0.56159999999999999</v>
      </c>
    </row>
    <row r="3668" spans="1:5" x14ac:dyDescent="0.3">
      <c r="A3668" s="397"/>
      <c r="B3668" s="709">
        <v>104630</v>
      </c>
      <c r="C3668" s="710" t="s">
        <v>4074</v>
      </c>
      <c r="D3668" s="709" t="s">
        <v>168</v>
      </c>
      <c r="E3668" s="711">
        <v>0.50949999999999995</v>
      </c>
    </row>
    <row r="3669" spans="1:5" x14ac:dyDescent="0.3">
      <c r="A3669" s="397"/>
      <c r="B3669" s="709">
        <v>104629</v>
      </c>
      <c r="C3669" s="710" t="s">
        <v>4075</v>
      </c>
      <c r="D3669" s="709" t="s">
        <v>168</v>
      </c>
      <c r="E3669" s="711">
        <v>0.7611</v>
      </c>
    </row>
    <row r="3670" spans="1:5" x14ac:dyDescent="0.3">
      <c r="A3670" s="397"/>
      <c r="B3670" s="709">
        <v>104632</v>
      </c>
      <c r="C3670" s="710" t="s">
        <v>4076</v>
      </c>
      <c r="D3670" s="709" t="s">
        <v>168</v>
      </c>
      <c r="E3670" s="711">
        <v>0.67910000000000004</v>
      </c>
    </row>
    <row r="3671" spans="1:5" x14ac:dyDescent="0.3">
      <c r="A3671" s="397"/>
      <c r="B3671" s="709">
        <v>87412</v>
      </c>
      <c r="C3671" s="710" t="s">
        <v>4077</v>
      </c>
      <c r="D3671" s="709" t="s">
        <v>168</v>
      </c>
      <c r="E3671" s="711">
        <v>0.6573</v>
      </c>
    </row>
    <row r="3672" spans="1:5" x14ac:dyDescent="0.3">
      <c r="A3672" s="397"/>
      <c r="B3672" s="709">
        <v>87415</v>
      </c>
      <c r="C3672" s="710" t="s">
        <v>4078</v>
      </c>
      <c r="D3672" s="709" t="s">
        <v>168</v>
      </c>
      <c r="E3672" s="711">
        <v>0.57040000000000002</v>
      </c>
    </row>
    <row r="3673" spans="1:5" x14ac:dyDescent="0.3">
      <c r="A3673" s="397"/>
      <c r="B3673" s="709">
        <v>87411</v>
      </c>
      <c r="C3673" s="710" t="s">
        <v>4079</v>
      </c>
      <c r="D3673" s="709" t="s">
        <v>168</v>
      </c>
      <c r="E3673" s="711">
        <v>0.4965</v>
      </c>
    </row>
    <row r="3674" spans="1:5" x14ac:dyDescent="0.3">
      <c r="A3674" s="397"/>
      <c r="B3674" s="709">
        <v>87414</v>
      </c>
      <c r="C3674" s="710" t="s">
        <v>4080</v>
      </c>
      <c r="D3674" s="709" t="s">
        <v>168</v>
      </c>
      <c r="E3674" s="711">
        <v>0.4446</v>
      </c>
    </row>
    <row r="3675" spans="1:5" x14ac:dyDescent="0.3">
      <c r="A3675" s="397"/>
      <c r="B3675" s="709">
        <v>87413</v>
      </c>
      <c r="C3675" s="710" t="s">
        <v>4081</v>
      </c>
      <c r="D3675" s="709" t="s">
        <v>168</v>
      </c>
      <c r="E3675" s="711">
        <v>0.71040000000000003</v>
      </c>
    </row>
    <row r="3676" spans="1:5" x14ac:dyDescent="0.3">
      <c r="A3676" s="397"/>
      <c r="B3676" s="709">
        <v>87416</v>
      </c>
      <c r="C3676" s="710" t="s">
        <v>4082</v>
      </c>
      <c r="D3676" s="709" t="s">
        <v>168</v>
      </c>
      <c r="E3676" s="711">
        <v>0.61980000000000002</v>
      </c>
    </row>
    <row r="3677" spans="1:5" x14ac:dyDescent="0.3">
      <c r="A3677" s="397"/>
      <c r="B3677" s="709">
        <v>104635</v>
      </c>
      <c r="C3677" s="710" t="s">
        <v>4083</v>
      </c>
      <c r="D3677" s="709" t="s">
        <v>168</v>
      </c>
      <c r="E3677" s="711">
        <v>0.71870000000000001</v>
      </c>
    </row>
    <row r="3678" spans="1:5" x14ac:dyDescent="0.3">
      <c r="A3678" s="397"/>
      <c r="B3678" s="709">
        <v>104636</v>
      </c>
      <c r="C3678" s="710" t="s">
        <v>4084</v>
      </c>
      <c r="D3678" s="709" t="s">
        <v>168</v>
      </c>
      <c r="E3678" s="711">
        <v>0.68600000000000005</v>
      </c>
    </row>
    <row r="3679" spans="1:5" x14ac:dyDescent="0.3">
      <c r="A3679" s="397"/>
      <c r="B3679" s="709">
        <v>87424</v>
      </c>
      <c r="C3679" s="710" t="s">
        <v>4085</v>
      </c>
      <c r="D3679" s="709" t="s">
        <v>168</v>
      </c>
      <c r="E3679" s="711">
        <v>0.61250000000000004</v>
      </c>
    </row>
    <row r="3680" spans="1:5" x14ac:dyDescent="0.3">
      <c r="A3680" s="397"/>
      <c r="B3680" s="709">
        <v>87427</v>
      </c>
      <c r="C3680" s="710" t="s">
        <v>4086</v>
      </c>
      <c r="D3680" s="709" t="s">
        <v>168</v>
      </c>
      <c r="E3680" s="711">
        <v>0.57550000000000001</v>
      </c>
    </row>
    <row r="3681" spans="1:5" x14ac:dyDescent="0.3">
      <c r="A3681" s="397"/>
      <c r="B3681" s="709">
        <v>89998</v>
      </c>
      <c r="C3681" s="710" t="s">
        <v>15851</v>
      </c>
      <c r="D3681" s="709" t="s">
        <v>175</v>
      </c>
      <c r="E3681" s="711">
        <v>0.2467</v>
      </c>
    </row>
    <row r="3682" spans="1:5" x14ac:dyDescent="0.3">
      <c r="A3682" s="397"/>
      <c r="B3682" s="709">
        <v>102920</v>
      </c>
      <c r="C3682" s="710" t="s">
        <v>15852</v>
      </c>
      <c r="D3682" s="709" t="s">
        <v>175</v>
      </c>
      <c r="E3682" s="711">
        <v>0.1925</v>
      </c>
    </row>
    <row r="3683" spans="1:5" x14ac:dyDescent="0.3">
      <c r="A3683" s="397"/>
      <c r="B3683" s="709">
        <v>102923</v>
      </c>
      <c r="C3683" s="710" t="s">
        <v>15853</v>
      </c>
      <c r="D3683" s="709" t="s">
        <v>175</v>
      </c>
      <c r="E3683" s="711">
        <v>0.12239999999999999</v>
      </c>
    </row>
    <row r="3684" spans="1:5" x14ac:dyDescent="0.3">
      <c r="A3684" s="397"/>
      <c r="B3684" s="709">
        <v>107137</v>
      </c>
      <c r="C3684" s="710" t="s">
        <v>15854</v>
      </c>
      <c r="D3684" s="709" t="s">
        <v>175</v>
      </c>
      <c r="E3684" s="711">
        <v>0.33169999999999999</v>
      </c>
    </row>
    <row r="3685" spans="1:5" x14ac:dyDescent="0.3">
      <c r="A3685" s="397"/>
      <c r="B3685" s="709">
        <v>90000</v>
      </c>
      <c r="C3685" s="710" t="s">
        <v>15855</v>
      </c>
      <c r="D3685" s="709" t="s">
        <v>175</v>
      </c>
      <c r="E3685" s="711">
        <v>0.60160000000000002</v>
      </c>
    </row>
    <row r="3686" spans="1:5" x14ac:dyDescent="0.3">
      <c r="A3686" s="397"/>
      <c r="B3686" s="709">
        <v>103088</v>
      </c>
      <c r="C3686" s="710" t="s">
        <v>15856</v>
      </c>
      <c r="D3686" s="709" t="s">
        <v>175</v>
      </c>
      <c r="E3686" s="711">
        <v>0.52649999999999997</v>
      </c>
    </row>
    <row r="3687" spans="1:5" x14ac:dyDescent="0.3">
      <c r="A3687" s="397"/>
      <c r="B3687" s="709">
        <v>102922</v>
      </c>
      <c r="C3687" s="710" t="s">
        <v>15857</v>
      </c>
      <c r="D3687" s="709" t="s">
        <v>175</v>
      </c>
      <c r="E3687" s="711">
        <v>0.40279999999999999</v>
      </c>
    </row>
    <row r="3688" spans="1:5" x14ac:dyDescent="0.3">
      <c r="A3688" s="397"/>
      <c r="B3688" s="709">
        <v>107138</v>
      </c>
      <c r="C3688" s="710" t="s">
        <v>15858</v>
      </c>
      <c r="D3688" s="709" t="s">
        <v>175</v>
      </c>
      <c r="E3688" s="711">
        <v>0.79100000000000004</v>
      </c>
    </row>
    <row r="3689" spans="1:5" x14ac:dyDescent="0.3">
      <c r="A3689" s="397"/>
      <c r="B3689" s="709">
        <v>89999</v>
      </c>
      <c r="C3689" s="710" t="s">
        <v>15859</v>
      </c>
      <c r="D3689" s="709" t="s">
        <v>175</v>
      </c>
      <c r="E3689" s="711">
        <v>0.69099999999999995</v>
      </c>
    </row>
    <row r="3690" spans="1:5" x14ac:dyDescent="0.3">
      <c r="A3690" s="397"/>
      <c r="B3690" s="709">
        <v>89996</v>
      </c>
      <c r="C3690" s="710" t="s">
        <v>15860</v>
      </c>
      <c r="D3690" s="709" t="s">
        <v>175</v>
      </c>
      <c r="E3690" s="711">
        <v>0.2762</v>
      </c>
    </row>
    <row r="3691" spans="1:5" x14ac:dyDescent="0.3">
      <c r="A3691" s="397"/>
      <c r="B3691" s="709">
        <v>89997</v>
      </c>
      <c r="C3691" s="710" t="s">
        <v>15861</v>
      </c>
      <c r="D3691" s="709" t="s">
        <v>175</v>
      </c>
      <c r="E3691" s="711">
        <v>0.21729999999999999</v>
      </c>
    </row>
    <row r="3692" spans="1:5" x14ac:dyDescent="0.3">
      <c r="A3692" s="397"/>
      <c r="B3692" s="709">
        <v>102921</v>
      </c>
      <c r="C3692" s="710" t="s">
        <v>15862</v>
      </c>
      <c r="D3692" s="709" t="s">
        <v>175</v>
      </c>
      <c r="E3692" s="711">
        <v>0.1421</v>
      </c>
    </row>
    <row r="3693" spans="1:5" x14ac:dyDescent="0.3">
      <c r="A3693" s="397"/>
      <c r="B3693" s="709">
        <v>90278</v>
      </c>
      <c r="C3693" s="710" t="s">
        <v>15863</v>
      </c>
      <c r="D3693" s="709" t="s">
        <v>170</v>
      </c>
      <c r="E3693" s="711">
        <v>0.22140000000000001</v>
      </c>
    </row>
    <row r="3694" spans="1:5" x14ac:dyDescent="0.3">
      <c r="A3694" s="397"/>
      <c r="B3694" s="709">
        <v>90282</v>
      </c>
      <c r="C3694" s="710" t="s">
        <v>15864</v>
      </c>
      <c r="D3694" s="709" t="s">
        <v>170</v>
      </c>
      <c r="E3694" s="711">
        <v>0.21829999999999999</v>
      </c>
    </row>
    <row r="3695" spans="1:5" x14ac:dyDescent="0.3">
      <c r="A3695" s="397"/>
      <c r="B3695" s="709">
        <v>90279</v>
      </c>
      <c r="C3695" s="710" t="s">
        <v>15865</v>
      </c>
      <c r="D3695" s="709" t="s">
        <v>170</v>
      </c>
      <c r="E3695" s="711">
        <v>0.2185</v>
      </c>
    </row>
    <row r="3696" spans="1:5" x14ac:dyDescent="0.3">
      <c r="A3696" s="397"/>
      <c r="B3696" s="709">
        <v>90283</v>
      </c>
      <c r="C3696" s="710" t="s">
        <v>15866</v>
      </c>
      <c r="D3696" s="709" t="s">
        <v>170</v>
      </c>
      <c r="E3696" s="711">
        <v>0.2152</v>
      </c>
    </row>
    <row r="3697" spans="1:5" x14ac:dyDescent="0.3">
      <c r="A3697" s="397"/>
      <c r="B3697" s="709">
        <v>90280</v>
      </c>
      <c r="C3697" s="710" t="s">
        <v>15867</v>
      </c>
      <c r="D3697" s="709" t="s">
        <v>170</v>
      </c>
      <c r="E3697" s="711">
        <v>0.1966</v>
      </c>
    </row>
    <row r="3698" spans="1:5" x14ac:dyDescent="0.3">
      <c r="A3698" s="397"/>
      <c r="B3698" s="709">
        <v>90284</v>
      </c>
      <c r="C3698" s="710" t="s">
        <v>15868</v>
      </c>
      <c r="D3698" s="709" t="s">
        <v>170</v>
      </c>
      <c r="E3698" s="711">
        <v>0.192</v>
      </c>
    </row>
    <row r="3699" spans="1:5" x14ac:dyDescent="0.3">
      <c r="A3699" s="397"/>
      <c r="B3699" s="709">
        <v>90281</v>
      </c>
      <c r="C3699" s="710" t="s">
        <v>15869</v>
      </c>
      <c r="D3699" s="709" t="s">
        <v>170</v>
      </c>
      <c r="E3699" s="711">
        <v>0.16439999999999999</v>
      </c>
    </row>
    <row r="3700" spans="1:5" x14ac:dyDescent="0.3">
      <c r="A3700" s="397"/>
      <c r="B3700" s="709">
        <v>90285</v>
      </c>
      <c r="C3700" s="710" t="s">
        <v>15870</v>
      </c>
      <c r="D3700" s="709" t="s">
        <v>170</v>
      </c>
      <c r="E3700" s="711">
        <v>0.16059999999999999</v>
      </c>
    </row>
    <row r="3701" spans="1:5" x14ac:dyDescent="0.3">
      <c r="A3701" s="397"/>
      <c r="B3701" s="709">
        <v>106813</v>
      </c>
      <c r="C3701" s="710" t="s">
        <v>15871</v>
      </c>
      <c r="D3701" s="709" t="s">
        <v>170</v>
      </c>
      <c r="E3701" s="711">
        <v>0.21079999999999999</v>
      </c>
    </row>
    <row r="3702" spans="1:5" x14ac:dyDescent="0.3">
      <c r="A3702" s="397"/>
      <c r="B3702" s="709">
        <v>106814</v>
      </c>
      <c r="C3702" s="710" t="s">
        <v>15872</v>
      </c>
      <c r="D3702" s="709" t="s">
        <v>170</v>
      </c>
      <c r="E3702" s="711">
        <v>3.4799999999999998E-2</v>
      </c>
    </row>
    <row r="3703" spans="1:5" x14ac:dyDescent="0.3">
      <c r="A3703" s="397"/>
      <c r="B3703" s="709">
        <v>107140</v>
      </c>
      <c r="C3703" s="710" t="s">
        <v>15873</v>
      </c>
      <c r="D3703" s="709" t="s">
        <v>170</v>
      </c>
      <c r="E3703" s="711">
        <v>0.1686</v>
      </c>
    </row>
    <row r="3704" spans="1:5" x14ac:dyDescent="0.3">
      <c r="A3704" s="397"/>
      <c r="B3704" s="709">
        <v>105800</v>
      </c>
      <c r="C3704" s="710" t="s">
        <v>15874</v>
      </c>
      <c r="D3704" s="709" t="s">
        <v>170</v>
      </c>
      <c r="E3704" s="711">
        <v>0.61709999999999998</v>
      </c>
    </row>
    <row r="3705" spans="1:5" x14ac:dyDescent="0.3">
      <c r="A3705" s="397"/>
      <c r="B3705" s="709">
        <v>89994</v>
      </c>
      <c r="C3705" s="710" t="s">
        <v>15875</v>
      </c>
      <c r="D3705" s="709" t="s">
        <v>170</v>
      </c>
      <c r="E3705" s="711">
        <v>0.59509999999999996</v>
      </c>
    </row>
    <row r="3706" spans="1:5" x14ac:dyDescent="0.3">
      <c r="A3706" s="397"/>
      <c r="B3706" s="709">
        <v>105801</v>
      </c>
      <c r="C3706" s="710" t="s">
        <v>15876</v>
      </c>
      <c r="D3706" s="709" t="s">
        <v>170</v>
      </c>
      <c r="E3706" s="711">
        <v>0.56200000000000006</v>
      </c>
    </row>
    <row r="3707" spans="1:5" x14ac:dyDescent="0.3">
      <c r="A3707" s="397"/>
      <c r="B3707" s="709">
        <v>105802</v>
      </c>
      <c r="C3707" s="710" t="s">
        <v>15877</v>
      </c>
      <c r="D3707" s="709" t="s">
        <v>170</v>
      </c>
      <c r="E3707" s="711">
        <v>0.51290000000000002</v>
      </c>
    </row>
    <row r="3708" spans="1:5" x14ac:dyDescent="0.3">
      <c r="A3708" s="397"/>
      <c r="B3708" s="709">
        <v>105803</v>
      </c>
      <c r="C3708" s="710" t="s">
        <v>15878</v>
      </c>
      <c r="D3708" s="709" t="s">
        <v>170</v>
      </c>
      <c r="E3708" s="711">
        <v>0.60419999999999996</v>
      </c>
    </row>
    <row r="3709" spans="1:5" x14ac:dyDescent="0.3">
      <c r="A3709" s="397"/>
      <c r="B3709" s="709">
        <v>107141</v>
      </c>
      <c r="C3709" s="710" t="s">
        <v>15879</v>
      </c>
      <c r="D3709" s="709" t="s">
        <v>170</v>
      </c>
      <c r="E3709" s="711">
        <v>9.2399999999999996E-2</v>
      </c>
    </row>
    <row r="3710" spans="1:5" x14ac:dyDescent="0.3">
      <c r="A3710" s="397"/>
      <c r="B3710" s="709">
        <v>105796</v>
      </c>
      <c r="C3710" s="710" t="s">
        <v>15880</v>
      </c>
      <c r="D3710" s="709" t="s">
        <v>170</v>
      </c>
      <c r="E3710" s="711">
        <v>0.44669999999999999</v>
      </c>
    </row>
    <row r="3711" spans="1:5" x14ac:dyDescent="0.3">
      <c r="A3711" s="397"/>
      <c r="B3711" s="709">
        <v>89995</v>
      </c>
      <c r="C3711" s="710" t="s">
        <v>15881</v>
      </c>
      <c r="D3711" s="709" t="s">
        <v>170</v>
      </c>
      <c r="E3711" s="711">
        <v>0.42809999999999998</v>
      </c>
    </row>
    <row r="3712" spans="1:5" x14ac:dyDescent="0.3">
      <c r="A3712" s="397"/>
      <c r="B3712" s="709">
        <v>105797</v>
      </c>
      <c r="C3712" s="710" t="s">
        <v>15882</v>
      </c>
      <c r="D3712" s="709" t="s">
        <v>170</v>
      </c>
      <c r="E3712" s="711">
        <v>0.39539999999999997</v>
      </c>
    </row>
    <row r="3713" spans="1:5" x14ac:dyDescent="0.3">
      <c r="A3713" s="397"/>
      <c r="B3713" s="709">
        <v>105798</v>
      </c>
      <c r="C3713" s="710" t="s">
        <v>15883</v>
      </c>
      <c r="D3713" s="709" t="s">
        <v>170</v>
      </c>
      <c r="E3713" s="711">
        <v>0.34810000000000002</v>
      </c>
    </row>
    <row r="3714" spans="1:5" x14ac:dyDescent="0.3">
      <c r="A3714" s="397"/>
      <c r="B3714" s="709">
        <v>105799</v>
      </c>
      <c r="C3714" s="710" t="s">
        <v>15884</v>
      </c>
      <c r="D3714" s="709" t="s">
        <v>170</v>
      </c>
      <c r="E3714" s="711">
        <v>0.43290000000000001</v>
      </c>
    </row>
    <row r="3715" spans="1:5" x14ac:dyDescent="0.3">
      <c r="A3715" s="397"/>
      <c r="B3715" s="709">
        <v>107139</v>
      </c>
      <c r="C3715" s="710" t="s">
        <v>15885</v>
      </c>
      <c r="D3715" s="709" t="s">
        <v>170</v>
      </c>
      <c r="E3715" s="711">
        <v>0.1021</v>
      </c>
    </row>
    <row r="3716" spans="1:5" x14ac:dyDescent="0.3">
      <c r="A3716" s="397"/>
      <c r="B3716" s="709">
        <v>105792</v>
      </c>
      <c r="C3716" s="710" t="s">
        <v>15886</v>
      </c>
      <c r="D3716" s="709" t="s">
        <v>170</v>
      </c>
      <c r="E3716" s="711">
        <v>0.4743</v>
      </c>
    </row>
    <row r="3717" spans="1:5" x14ac:dyDescent="0.3">
      <c r="A3717" s="397"/>
      <c r="B3717" s="709">
        <v>89993</v>
      </c>
      <c r="C3717" s="710" t="s">
        <v>15887</v>
      </c>
      <c r="D3717" s="709" t="s">
        <v>170</v>
      </c>
      <c r="E3717" s="711">
        <v>0.4546</v>
      </c>
    </row>
    <row r="3718" spans="1:5" x14ac:dyDescent="0.3">
      <c r="A3718" s="397"/>
      <c r="B3718" s="709">
        <v>105793</v>
      </c>
      <c r="C3718" s="710" t="s">
        <v>15888</v>
      </c>
      <c r="D3718" s="709" t="s">
        <v>170</v>
      </c>
      <c r="E3718" s="711">
        <v>0.4214</v>
      </c>
    </row>
    <row r="3719" spans="1:5" x14ac:dyDescent="0.3">
      <c r="A3719" s="397"/>
      <c r="B3719" s="709">
        <v>105794</v>
      </c>
      <c r="C3719" s="710" t="s">
        <v>15889</v>
      </c>
      <c r="D3719" s="709" t="s">
        <v>170</v>
      </c>
      <c r="E3719" s="711">
        <v>0.37309999999999999</v>
      </c>
    </row>
    <row r="3720" spans="1:5" x14ac:dyDescent="0.3">
      <c r="A3720" s="397"/>
      <c r="B3720" s="709">
        <v>105795</v>
      </c>
      <c r="C3720" s="710" t="s">
        <v>15890</v>
      </c>
      <c r="D3720" s="709" t="s">
        <v>170</v>
      </c>
      <c r="E3720" s="711">
        <v>0.46050000000000002</v>
      </c>
    </row>
    <row r="3721" spans="1:5" x14ac:dyDescent="0.3">
      <c r="A3721" s="397"/>
      <c r="B3721" s="709">
        <v>99860</v>
      </c>
      <c r="C3721" s="710" t="s">
        <v>13743</v>
      </c>
      <c r="D3721" s="709" t="s">
        <v>159</v>
      </c>
      <c r="E3721" s="711">
        <v>0.4572</v>
      </c>
    </row>
    <row r="3722" spans="1:5" x14ac:dyDescent="0.3">
      <c r="A3722" s="397"/>
      <c r="B3722" s="709">
        <v>99858</v>
      </c>
      <c r="C3722" s="710" t="s">
        <v>13744</v>
      </c>
      <c r="D3722" s="709" t="s">
        <v>159</v>
      </c>
      <c r="E3722" s="711">
        <v>0.28649999999999998</v>
      </c>
    </row>
    <row r="3723" spans="1:5" x14ac:dyDescent="0.3">
      <c r="A3723" s="397"/>
      <c r="B3723" s="709">
        <v>99857</v>
      </c>
      <c r="C3723" s="710" t="s">
        <v>16209</v>
      </c>
      <c r="D3723" s="709" t="s">
        <v>159</v>
      </c>
      <c r="E3723" s="711">
        <v>0.4572</v>
      </c>
    </row>
    <row r="3724" spans="1:5" x14ac:dyDescent="0.3">
      <c r="A3724" s="397"/>
      <c r="B3724" s="709">
        <v>99855</v>
      </c>
      <c r="C3724" s="710" t="s">
        <v>16210</v>
      </c>
      <c r="D3724" s="709" t="s">
        <v>159</v>
      </c>
      <c r="E3724" s="711">
        <v>0.29399999999999998</v>
      </c>
    </row>
    <row r="3725" spans="1:5" x14ac:dyDescent="0.3">
      <c r="A3725" s="397"/>
      <c r="B3725" s="709">
        <v>99862</v>
      </c>
      <c r="C3725" s="710" t="s">
        <v>13745</v>
      </c>
      <c r="D3725" s="709" t="s">
        <v>168</v>
      </c>
      <c r="E3725" s="711">
        <v>0.53990000000000005</v>
      </c>
    </row>
    <row r="3726" spans="1:5" x14ac:dyDescent="0.3">
      <c r="A3726" s="397"/>
      <c r="B3726" s="709">
        <v>99861</v>
      </c>
      <c r="C3726" s="710" t="s">
        <v>13746</v>
      </c>
      <c r="D3726" s="709" t="s">
        <v>168</v>
      </c>
      <c r="E3726" s="711">
        <v>0.71379999999999999</v>
      </c>
    </row>
    <row r="3727" spans="1:5" x14ac:dyDescent="0.3">
      <c r="A3727" s="397"/>
      <c r="B3727" s="709">
        <v>106220</v>
      </c>
      <c r="C3727" s="710" t="s">
        <v>13747</v>
      </c>
      <c r="D3727" s="709" t="s">
        <v>159</v>
      </c>
      <c r="E3727" s="711">
        <v>0.4733</v>
      </c>
    </row>
    <row r="3728" spans="1:5" x14ac:dyDescent="0.3">
      <c r="A3728" s="397"/>
      <c r="B3728" s="709">
        <v>106221</v>
      </c>
      <c r="C3728" s="710" t="s">
        <v>13748</v>
      </c>
      <c r="D3728" s="709" t="s">
        <v>159</v>
      </c>
      <c r="E3728" s="711">
        <v>0.26140000000000002</v>
      </c>
    </row>
    <row r="3729" spans="1:5" x14ac:dyDescent="0.3">
      <c r="A3729" s="397"/>
      <c r="B3729" s="709">
        <v>99844</v>
      </c>
      <c r="C3729" s="710" t="s">
        <v>13749</v>
      </c>
      <c r="D3729" s="709" t="s">
        <v>159</v>
      </c>
      <c r="E3729" s="711">
        <v>0.51080000000000003</v>
      </c>
    </row>
    <row r="3730" spans="1:5" x14ac:dyDescent="0.3">
      <c r="A3730" s="397"/>
      <c r="B3730" s="709">
        <v>99842</v>
      </c>
      <c r="C3730" s="710" t="s">
        <v>16211</v>
      </c>
      <c r="D3730" s="709" t="s">
        <v>159</v>
      </c>
      <c r="E3730" s="711">
        <v>0.38169999999999998</v>
      </c>
    </row>
    <row r="3731" spans="1:5" x14ac:dyDescent="0.3">
      <c r="A3731" s="397"/>
      <c r="B3731" s="709">
        <v>94276</v>
      </c>
      <c r="C3731" s="710" t="s">
        <v>4087</v>
      </c>
      <c r="D3731" s="709" t="s">
        <v>159</v>
      </c>
      <c r="E3731" s="711">
        <v>0.30649999999999999</v>
      </c>
    </row>
    <row r="3732" spans="1:5" x14ac:dyDescent="0.3">
      <c r="A3732" s="397"/>
      <c r="B3732" s="709">
        <v>94274</v>
      </c>
      <c r="C3732" s="710" t="s">
        <v>4088</v>
      </c>
      <c r="D3732" s="709" t="s">
        <v>159</v>
      </c>
      <c r="E3732" s="711">
        <v>0.29770000000000002</v>
      </c>
    </row>
    <row r="3733" spans="1:5" x14ac:dyDescent="0.3">
      <c r="A3733" s="397"/>
      <c r="B3733" s="709">
        <v>94280</v>
      </c>
      <c r="C3733" s="710" t="s">
        <v>4089</v>
      </c>
      <c r="D3733" s="709" t="s">
        <v>159</v>
      </c>
      <c r="E3733" s="711">
        <v>0.26600000000000001</v>
      </c>
    </row>
    <row r="3734" spans="1:5" x14ac:dyDescent="0.3">
      <c r="A3734" s="397"/>
      <c r="B3734" s="709">
        <v>94278</v>
      </c>
      <c r="C3734" s="710" t="s">
        <v>4090</v>
      </c>
      <c r="D3734" s="709" t="s">
        <v>159</v>
      </c>
      <c r="E3734" s="711">
        <v>0.32879999999999998</v>
      </c>
    </row>
    <row r="3735" spans="1:5" x14ac:dyDescent="0.3">
      <c r="A3735" s="397"/>
      <c r="B3735" s="709">
        <v>94275</v>
      </c>
      <c r="C3735" s="710" t="s">
        <v>4091</v>
      </c>
      <c r="D3735" s="709" t="s">
        <v>159</v>
      </c>
      <c r="E3735" s="711">
        <v>0.2606</v>
      </c>
    </row>
    <row r="3736" spans="1:5" x14ac:dyDescent="0.3">
      <c r="A3736" s="397"/>
      <c r="B3736" s="709">
        <v>94273</v>
      </c>
      <c r="C3736" s="710" t="s">
        <v>4092</v>
      </c>
      <c r="D3736" s="709" t="s">
        <v>159</v>
      </c>
      <c r="E3736" s="711">
        <v>0.2555</v>
      </c>
    </row>
    <row r="3737" spans="1:5" x14ac:dyDescent="0.3">
      <c r="A3737" s="397"/>
      <c r="B3737" s="709">
        <v>94279</v>
      </c>
      <c r="C3737" s="710" t="s">
        <v>4093</v>
      </c>
      <c r="D3737" s="709" t="s">
        <v>159</v>
      </c>
      <c r="E3737" s="711">
        <v>0.2203</v>
      </c>
    </row>
    <row r="3738" spans="1:5" x14ac:dyDescent="0.3">
      <c r="A3738" s="397"/>
      <c r="B3738" s="709">
        <v>94277</v>
      </c>
      <c r="C3738" s="710" t="s">
        <v>4094</v>
      </c>
      <c r="D3738" s="709" t="s">
        <v>159</v>
      </c>
      <c r="E3738" s="711">
        <v>0.27839999999999998</v>
      </c>
    </row>
    <row r="3739" spans="1:5" x14ac:dyDescent="0.3">
      <c r="A3739" s="397"/>
      <c r="B3739" s="709">
        <v>94294</v>
      </c>
      <c r="C3739" s="710" t="s">
        <v>4097</v>
      </c>
      <c r="D3739" s="709" t="s">
        <v>159</v>
      </c>
      <c r="E3739" s="711">
        <v>0.313</v>
      </c>
    </row>
    <row r="3740" spans="1:5" x14ac:dyDescent="0.3">
      <c r="A3740" s="397"/>
      <c r="B3740" s="709">
        <v>94288</v>
      </c>
      <c r="C3740" s="710" t="s">
        <v>4098</v>
      </c>
      <c r="D3740" s="709" t="s">
        <v>159</v>
      </c>
      <c r="E3740" s="711">
        <v>0.44269999999999998</v>
      </c>
    </row>
    <row r="3741" spans="1:5" x14ac:dyDescent="0.3">
      <c r="A3741" s="397"/>
      <c r="B3741" s="709">
        <v>94282</v>
      </c>
      <c r="C3741" s="710" t="s">
        <v>4099</v>
      </c>
      <c r="D3741" s="709" t="s">
        <v>159</v>
      </c>
      <c r="E3741" s="711">
        <v>0.37140000000000001</v>
      </c>
    </row>
    <row r="3742" spans="1:5" x14ac:dyDescent="0.3">
      <c r="A3742" s="397"/>
      <c r="B3742" s="709">
        <v>94290</v>
      </c>
      <c r="C3742" s="710" t="s">
        <v>4100</v>
      </c>
      <c r="D3742" s="709" t="s">
        <v>159</v>
      </c>
      <c r="E3742" s="711">
        <v>0.35420000000000001</v>
      </c>
    </row>
    <row r="3743" spans="1:5" x14ac:dyDescent="0.3">
      <c r="A3743" s="397"/>
      <c r="B3743" s="709">
        <v>94284</v>
      </c>
      <c r="C3743" s="710" t="s">
        <v>4101</v>
      </c>
      <c r="D3743" s="709" t="s">
        <v>159</v>
      </c>
      <c r="E3743" s="711">
        <v>0.29980000000000001</v>
      </c>
    </row>
    <row r="3744" spans="1:5" x14ac:dyDescent="0.3">
      <c r="A3744" s="397"/>
      <c r="B3744" s="709">
        <v>94292</v>
      </c>
      <c r="C3744" s="710" t="s">
        <v>4102</v>
      </c>
      <c r="D3744" s="709" t="s">
        <v>159</v>
      </c>
      <c r="E3744" s="711">
        <v>0.30149999999999999</v>
      </c>
    </row>
    <row r="3745" spans="1:5" x14ac:dyDescent="0.3">
      <c r="A3745" s="397"/>
      <c r="B3745" s="709">
        <v>94286</v>
      </c>
      <c r="C3745" s="710" t="s">
        <v>4103</v>
      </c>
      <c r="D3745" s="709" t="s">
        <v>159</v>
      </c>
      <c r="E3745" s="711">
        <v>0.27529999999999999</v>
      </c>
    </row>
    <row r="3746" spans="1:5" x14ac:dyDescent="0.3">
      <c r="A3746" s="397"/>
      <c r="B3746" s="709">
        <v>94287</v>
      </c>
      <c r="C3746" s="710" t="s">
        <v>4104</v>
      </c>
      <c r="D3746" s="709" t="s">
        <v>159</v>
      </c>
      <c r="E3746" s="711">
        <v>0.33600000000000002</v>
      </c>
    </row>
    <row r="3747" spans="1:5" x14ac:dyDescent="0.3">
      <c r="A3747" s="397"/>
      <c r="B3747" s="709">
        <v>94281</v>
      </c>
      <c r="C3747" s="710" t="s">
        <v>4105</v>
      </c>
      <c r="D3747" s="709" t="s">
        <v>159</v>
      </c>
      <c r="E3747" s="711">
        <v>0.2702</v>
      </c>
    </row>
    <row r="3748" spans="1:5" x14ac:dyDescent="0.3">
      <c r="A3748" s="397"/>
      <c r="B3748" s="709">
        <v>94289</v>
      </c>
      <c r="C3748" s="710" t="s">
        <v>4106</v>
      </c>
      <c r="D3748" s="709" t="s">
        <v>159</v>
      </c>
      <c r="E3748" s="711">
        <v>0.26050000000000001</v>
      </c>
    </row>
    <row r="3749" spans="1:5" x14ac:dyDescent="0.3">
      <c r="A3749" s="397"/>
      <c r="B3749" s="709">
        <v>94283</v>
      </c>
      <c r="C3749" s="710" t="s">
        <v>4107</v>
      </c>
      <c r="D3749" s="709" t="s">
        <v>159</v>
      </c>
      <c r="E3749" s="711">
        <v>0.21779999999999999</v>
      </c>
    </row>
    <row r="3750" spans="1:5" x14ac:dyDescent="0.3">
      <c r="A3750" s="397"/>
      <c r="B3750" s="709">
        <v>94291</v>
      </c>
      <c r="C3750" s="710" t="s">
        <v>4108</v>
      </c>
      <c r="D3750" s="709" t="s">
        <v>159</v>
      </c>
      <c r="E3750" s="711">
        <v>0.2205</v>
      </c>
    </row>
    <row r="3751" spans="1:5" x14ac:dyDescent="0.3">
      <c r="A3751" s="397"/>
      <c r="B3751" s="709">
        <v>94285</v>
      </c>
      <c r="C3751" s="710" t="s">
        <v>4109</v>
      </c>
      <c r="D3751" s="709" t="s">
        <v>159</v>
      </c>
      <c r="E3751" s="711">
        <v>0.21060000000000001</v>
      </c>
    </row>
    <row r="3752" spans="1:5" x14ac:dyDescent="0.3">
      <c r="A3752" s="397"/>
      <c r="B3752" s="709">
        <v>94293</v>
      </c>
      <c r="C3752" s="710" t="s">
        <v>4110</v>
      </c>
      <c r="D3752" s="709" t="s">
        <v>159</v>
      </c>
      <c r="E3752" s="711">
        <v>0.2077</v>
      </c>
    </row>
    <row r="3753" spans="1:5" x14ac:dyDescent="0.3">
      <c r="A3753" s="397"/>
      <c r="B3753" s="709">
        <v>94264</v>
      </c>
      <c r="C3753" s="710" t="s">
        <v>4111</v>
      </c>
      <c r="D3753" s="709" t="s">
        <v>159</v>
      </c>
      <c r="E3753" s="711">
        <v>0.5242</v>
      </c>
    </row>
    <row r="3754" spans="1:5" x14ac:dyDescent="0.3">
      <c r="A3754" s="397"/>
      <c r="B3754" s="709">
        <v>94266</v>
      </c>
      <c r="C3754" s="710" t="s">
        <v>4112</v>
      </c>
      <c r="D3754" s="709" t="s">
        <v>159</v>
      </c>
      <c r="E3754" s="711">
        <v>0.42349999999999999</v>
      </c>
    </row>
    <row r="3755" spans="1:5" x14ac:dyDescent="0.3">
      <c r="A3755" s="397"/>
      <c r="B3755" s="709">
        <v>94263</v>
      </c>
      <c r="C3755" s="710" t="s">
        <v>4113</v>
      </c>
      <c r="D3755" s="709" t="s">
        <v>159</v>
      </c>
      <c r="E3755" s="711">
        <v>0.47270000000000001</v>
      </c>
    </row>
    <row r="3756" spans="1:5" x14ac:dyDescent="0.3">
      <c r="A3756" s="397"/>
      <c r="B3756" s="709">
        <v>94265</v>
      </c>
      <c r="C3756" s="710" t="s">
        <v>4114</v>
      </c>
      <c r="D3756" s="709" t="s">
        <v>159</v>
      </c>
      <c r="E3756" s="711">
        <v>0.37019999999999997</v>
      </c>
    </row>
    <row r="3757" spans="1:5" x14ac:dyDescent="0.3">
      <c r="A3757" s="397"/>
      <c r="B3757" s="709">
        <v>94268</v>
      </c>
      <c r="C3757" s="710" t="s">
        <v>4115</v>
      </c>
      <c r="D3757" s="709" t="s">
        <v>159</v>
      </c>
      <c r="E3757" s="711">
        <v>0.38129999999999997</v>
      </c>
    </row>
    <row r="3758" spans="1:5" x14ac:dyDescent="0.3">
      <c r="A3758" s="397"/>
      <c r="B3758" s="709">
        <v>94270</v>
      </c>
      <c r="C3758" s="710" t="s">
        <v>4116</v>
      </c>
      <c r="D3758" s="709" t="s">
        <v>159</v>
      </c>
      <c r="E3758" s="711">
        <v>0.33310000000000001</v>
      </c>
    </row>
    <row r="3759" spans="1:5" x14ac:dyDescent="0.3">
      <c r="A3759" s="397"/>
      <c r="B3759" s="709">
        <v>94272</v>
      </c>
      <c r="C3759" s="710" t="s">
        <v>4117</v>
      </c>
      <c r="D3759" s="709" t="s">
        <v>159</v>
      </c>
      <c r="E3759" s="711">
        <v>0.33450000000000002</v>
      </c>
    </row>
    <row r="3760" spans="1:5" x14ac:dyDescent="0.3">
      <c r="A3760" s="397"/>
      <c r="B3760" s="709">
        <v>94267</v>
      </c>
      <c r="C3760" s="710" t="s">
        <v>4118</v>
      </c>
      <c r="D3760" s="709" t="s">
        <v>159</v>
      </c>
      <c r="E3760" s="711">
        <v>0.32819999999999999</v>
      </c>
    </row>
    <row r="3761" spans="1:5" x14ac:dyDescent="0.3">
      <c r="A3761" s="397"/>
      <c r="B3761" s="709">
        <v>94269</v>
      </c>
      <c r="C3761" s="710" t="s">
        <v>4119</v>
      </c>
      <c r="D3761" s="709" t="s">
        <v>159</v>
      </c>
      <c r="E3761" s="711">
        <v>0.27750000000000002</v>
      </c>
    </row>
    <row r="3762" spans="1:5" x14ac:dyDescent="0.3">
      <c r="A3762" s="397"/>
      <c r="B3762" s="709">
        <v>94271</v>
      </c>
      <c r="C3762" s="710" t="s">
        <v>4120</v>
      </c>
      <c r="D3762" s="709" t="s">
        <v>159</v>
      </c>
      <c r="E3762" s="711">
        <v>0.27400000000000002</v>
      </c>
    </row>
    <row r="3763" spans="1:5" x14ac:dyDescent="0.3">
      <c r="A3763" s="397"/>
      <c r="B3763" s="709">
        <v>97605</v>
      </c>
      <c r="C3763" s="710" t="s">
        <v>4131</v>
      </c>
      <c r="D3763" s="709" t="s">
        <v>136</v>
      </c>
      <c r="E3763" s="711">
        <v>0.22450000000000001</v>
      </c>
    </row>
    <row r="3764" spans="1:5" x14ac:dyDescent="0.3">
      <c r="A3764" s="397"/>
      <c r="B3764" s="709">
        <v>97607</v>
      </c>
      <c r="C3764" s="710" t="s">
        <v>4132</v>
      </c>
      <c r="D3764" s="709" t="s">
        <v>136</v>
      </c>
      <c r="E3764" s="711">
        <v>0.26279999999999998</v>
      </c>
    </row>
    <row r="3765" spans="1:5" x14ac:dyDescent="0.3">
      <c r="A3765" s="397"/>
      <c r="B3765" s="709">
        <v>97599</v>
      </c>
      <c r="C3765" s="710" t="s">
        <v>4133</v>
      </c>
      <c r="D3765" s="709" t="s">
        <v>136</v>
      </c>
      <c r="E3765" s="711">
        <v>0.3997</v>
      </c>
    </row>
    <row r="3766" spans="1:5" x14ac:dyDescent="0.3">
      <c r="A3766" s="397"/>
      <c r="B3766" s="709">
        <v>103782</v>
      </c>
      <c r="C3766" s="710" t="s">
        <v>4148</v>
      </c>
      <c r="D3766" s="709" t="s">
        <v>136</v>
      </c>
      <c r="E3766" s="711">
        <v>0.66590000000000005</v>
      </c>
    </row>
    <row r="3767" spans="1:5" x14ac:dyDescent="0.3">
      <c r="A3767" s="397"/>
      <c r="B3767" s="709">
        <v>97610</v>
      </c>
      <c r="C3767" s="710" t="s">
        <v>4157</v>
      </c>
      <c r="D3767" s="709" t="s">
        <v>136</v>
      </c>
      <c r="E3767" s="711">
        <v>0.43259999999999998</v>
      </c>
    </row>
    <row r="3768" spans="1:5" x14ac:dyDescent="0.3">
      <c r="A3768" s="397"/>
      <c r="B3768" s="709">
        <v>97609</v>
      </c>
      <c r="C3768" s="710" t="s">
        <v>4158</v>
      </c>
      <c r="D3768" s="709" t="s">
        <v>136</v>
      </c>
      <c r="E3768" s="711">
        <v>0.44940000000000002</v>
      </c>
    </row>
    <row r="3769" spans="1:5" x14ac:dyDescent="0.3">
      <c r="A3769" s="397"/>
      <c r="B3769" s="709">
        <v>105554</v>
      </c>
      <c r="C3769" s="710" t="s">
        <v>4159</v>
      </c>
      <c r="D3769" s="709" t="s">
        <v>136</v>
      </c>
      <c r="E3769" s="711">
        <v>0.62909999999999999</v>
      </c>
    </row>
    <row r="3770" spans="1:5" x14ac:dyDescent="0.3">
      <c r="A3770" s="397"/>
      <c r="B3770" s="709">
        <v>100903</v>
      </c>
      <c r="C3770" s="710" t="s">
        <v>4160</v>
      </c>
      <c r="D3770" s="709" t="s">
        <v>136</v>
      </c>
      <c r="E3770" s="711">
        <v>0.48899999999999999</v>
      </c>
    </row>
    <row r="3771" spans="1:5" x14ac:dyDescent="0.3">
      <c r="A3771" s="397"/>
      <c r="B3771" s="709">
        <v>100902</v>
      </c>
      <c r="C3771" s="710" t="s">
        <v>4161</v>
      </c>
      <c r="D3771" s="709" t="s">
        <v>136</v>
      </c>
      <c r="E3771" s="711">
        <v>0.52859999999999996</v>
      </c>
    </row>
    <row r="3772" spans="1:5" x14ac:dyDescent="0.3">
      <c r="A3772" s="397"/>
      <c r="B3772" s="709">
        <v>97595</v>
      </c>
      <c r="C3772" s="710" t="s">
        <v>4163</v>
      </c>
      <c r="D3772" s="709" t="s">
        <v>136</v>
      </c>
      <c r="E3772" s="711">
        <v>0.29799999999999999</v>
      </c>
    </row>
    <row r="3773" spans="1:5" x14ac:dyDescent="0.3">
      <c r="A3773" s="397"/>
      <c r="B3773" s="709">
        <v>97597</v>
      </c>
      <c r="C3773" s="710" t="s">
        <v>4164</v>
      </c>
      <c r="D3773" s="709" t="s">
        <v>136</v>
      </c>
      <c r="E3773" s="711">
        <v>0.30909999999999999</v>
      </c>
    </row>
    <row r="3774" spans="1:5" x14ac:dyDescent="0.3">
      <c r="A3774" s="397"/>
      <c r="B3774" s="709">
        <v>97596</v>
      </c>
      <c r="C3774" s="710" t="s">
        <v>4165</v>
      </c>
      <c r="D3774" s="709" t="s">
        <v>136</v>
      </c>
      <c r="E3774" s="711">
        <v>0.40699999999999997</v>
      </c>
    </row>
    <row r="3775" spans="1:5" x14ac:dyDescent="0.3">
      <c r="A3775" s="397"/>
      <c r="B3775" s="709">
        <v>97598</v>
      </c>
      <c r="C3775" s="710" t="s">
        <v>4166</v>
      </c>
      <c r="D3775" s="709" t="s">
        <v>136</v>
      </c>
      <c r="E3775" s="711">
        <v>0.32479999999999998</v>
      </c>
    </row>
    <row r="3776" spans="1:5" x14ac:dyDescent="0.3">
      <c r="A3776" s="397"/>
      <c r="B3776" s="709">
        <v>98562</v>
      </c>
      <c r="C3776" s="710" t="s">
        <v>4168</v>
      </c>
      <c r="D3776" s="709" t="s">
        <v>168</v>
      </c>
      <c r="E3776" s="711">
        <v>0.7</v>
      </c>
    </row>
    <row r="3777" spans="1:5" x14ac:dyDescent="0.3">
      <c r="A3777" s="397"/>
      <c r="B3777" s="709">
        <v>98555</v>
      </c>
      <c r="C3777" s="710" t="s">
        <v>4169</v>
      </c>
      <c r="D3777" s="709" t="s">
        <v>168</v>
      </c>
      <c r="E3777" s="711">
        <v>0.66220000000000001</v>
      </c>
    </row>
    <row r="3778" spans="1:5" x14ac:dyDescent="0.3">
      <c r="A3778" s="397"/>
      <c r="B3778" s="709">
        <v>98556</v>
      </c>
      <c r="C3778" s="710" t="s">
        <v>13750</v>
      </c>
      <c r="D3778" s="709" t="s">
        <v>168</v>
      </c>
      <c r="E3778" s="711">
        <v>0.58960000000000001</v>
      </c>
    </row>
    <row r="3779" spans="1:5" x14ac:dyDescent="0.3">
      <c r="A3779" s="397"/>
      <c r="B3779" s="709">
        <v>98557</v>
      </c>
      <c r="C3779" s="710" t="s">
        <v>4170</v>
      </c>
      <c r="D3779" s="709" t="s">
        <v>168</v>
      </c>
      <c r="E3779" s="711">
        <v>0.35260000000000002</v>
      </c>
    </row>
    <row r="3780" spans="1:5" x14ac:dyDescent="0.3">
      <c r="A3780" s="397"/>
      <c r="B3780" s="709">
        <v>98547</v>
      </c>
      <c r="C3780" s="710" t="s">
        <v>4172</v>
      </c>
      <c r="D3780" s="709" t="s">
        <v>168</v>
      </c>
      <c r="E3780" s="711">
        <v>0.25259999999999999</v>
      </c>
    </row>
    <row r="3781" spans="1:5" x14ac:dyDescent="0.3">
      <c r="A3781" s="397"/>
      <c r="B3781" s="709">
        <v>98546</v>
      </c>
      <c r="C3781" s="710" t="s">
        <v>4173</v>
      </c>
      <c r="D3781" s="709" t="s">
        <v>168</v>
      </c>
      <c r="E3781" s="711">
        <v>0.26690000000000003</v>
      </c>
    </row>
    <row r="3782" spans="1:5" x14ac:dyDescent="0.3">
      <c r="A3782" s="397"/>
      <c r="B3782" s="709">
        <v>98553</v>
      </c>
      <c r="C3782" s="710" t="s">
        <v>4175</v>
      </c>
      <c r="D3782" s="709" t="s">
        <v>168</v>
      </c>
      <c r="E3782" s="711">
        <v>0.1048</v>
      </c>
    </row>
    <row r="3783" spans="1:5" x14ac:dyDescent="0.3">
      <c r="A3783" s="397"/>
      <c r="B3783" s="709">
        <v>98554</v>
      </c>
      <c r="C3783" s="710" t="s">
        <v>4176</v>
      </c>
      <c r="D3783" s="709" t="s">
        <v>168</v>
      </c>
      <c r="E3783" s="711">
        <v>0.43120000000000003</v>
      </c>
    </row>
    <row r="3784" spans="1:5" x14ac:dyDescent="0.3">
      <c r="A3784" s="397"/>
      <c r="B3784" s="709">
        <v>98565</v>
      </c>
      <c r="C3784" s="710" t="s">
        <v>4177</v>
      </c>
      <c r="D3784" s="709" t="s">
        <v>168</v>
      </c>
      <c r="E3784" s="711">
        <v>0.59140000000000004</v>
      </c>
    </row>
    <row r="3785" spans="1:5" x14ac:dyDescent="0.3">
      <c r="A3785" s="397"/>
      <c r="B3785" s="709">
        <v>98567</v>
      </c>
      <c r="C3785" s="710" t="s">
        <v>4178</v>
      </c>
      <c r="D3785" s="709" t="s">
        <v>168</v>
      </c>
      <c r="E3785" s="711">
        <v>0.60709999999999997</v>
      </c>
    </row>
    <row r="3786" spans="1:5" x14ac:dyDescent="0.3">
      <c r="A3786" s="397"/>
      <c r="B3786" s="709">
        <v>98569</v>
      </c>
      <c r="C3786" s="710" t="s">
        <v>4179</v>
      </c>
      <c r="D3786" s="709" t="s">
        <v>168</v>
      </c>
      <c r="E3786" s="711">
        <v>0.61439999999999995</v>
      </c>
    </row>
    <row r="3787" spans="1:5" x14ac:dyDescent="0.3">
      <c r="A3787" s="397"/>
      <c r="B3787" s="709">
        <v>98571</v>
      </c>
      <c r="C3787" s="710" t="s">
        <v>4180</v>
      </c>
      <c r="D3787" s="709" t="s">
        <v>168</v>
      </c>
      <c r="E3787" s="711">
        <v>0.45839999999999997</v>
      </c>
    </row>
    <row r="3788" spans="1:5" x14ac:dyDescent="0.3">
      <c r="A3788" s="397"/>
      <c r="B3788" s="709">
        <v>98572</v>
      </c>
      <c r="C3788" s="710" t="s">
        <v>4181</v>
      </c>
      <c r="D3788" s="709" t="s">
        <v>168</v>
      </c>
      <c r="E3788" s="711">
        <v>0.46689999999999998</v>
      </c>
    </row>
    <row r="3789" spans="1:5" x14ac:dyDescent="0.3">
      <c r="A3789" s="397"/>
      <c r="B3789" s="709">
        <v>98563</v>
      </c>
      <c r="C3789" s="710" t="s">
        <v>4182</v>
      </c>
      <c r="D3789" s="709" t="s">
        <v>168</v>
      </c>
      <c r="E3789" s="711">
        <v>0.56820000000000004</v>
      </c>
    </row>
    <row r="3790" spans="1:5" x14ac:dyDescent="0.3">
      <c r="A3790" s="397"/>
      <c r="B3790" s="709">
        <v>98564</v>
      </c>
      <c r="C3790" s="710" t="s">
        <v>4183</v>
      </c>
      <c r="D3790" s="709" t="s">
        <v>168</v>
      </c>
      <c r="E3790" s="711">
        <v>0.46089999999999998</v>
      </c>
    </row>
    <row r="3791" spans="1:5" x14ac:dyDescent="0.3">
      <c r="A3791" s="397"/>
      <c r="B3791" s="709">
        <v>98566</v>
      </c>
      <c r="C3791" s="710" t="s">
        <v>4184</v>
      </c>
      <c r="D3791" s="709" t="s">
        <v>168</v>
      </c>
      <c r="E3791" s="711">
        <v>0.50529999999999997</v>
      </c>
    </row>
    <row r="3792" spans="1:5" x14ac:dyDescent="0.3">
      <c r="A3792" s="397"/>
      <c r="B3792" s="709">
        <v>98568</v>
      </c>
      <c r="C3792" s="710" t="s">
        <v>4185</v>
      </c>
      <c r="D3792" s="709" t="s">
        <v>168</v>
      </c>
      <c r="E3792" s="711">
        <v>0.53449999999999998</v>
      </c>
    </row>
    <row r="3793" spans="1:5" x14ac:dyDescent="0.3">
      <c r="A3793" s="397"/>
      <c r="B3793" s="709">
        <v>98570</v>
      </c>
      <c r="C3793" s="710" t="s">
        <v>4186</v>
      </c>
      <c r="D3793" s="709" t="s">
        <v>168</v>
      </c>
      <c r="E3793" s="711">
        <v>0.55269999999999997</v>
      </c>
    </row>
    <row r="3794" spans="1:5" x14ac:dyDescent="0.3">
      <c r="A3794" s="397"/>
      <c r="B3794" s="709">
        <v>98573</v>
      </c>
      <c r="C3794" s="710" t="s">
        <v>4187</v>
      </c>
      <c r="D3794" s="709" t="s">
        <v>168</v>
      </c>
      <c r="E3794" s="711">
        <v>0.40289999999999998</v>
      </c>
    </row>
    <row r="3795" spans="1:5" x14ac:dyDescent="0.3">
      <c r="A3795" s="397"/>
      <c r="B3795" s="709">
        <v>98576</v>
      </c>
      <c r="C3795" s="710" t="s">
        <v>4188</v>
      </c>
      <c r="D3795" s="709" t="s">
        <v>159</v>
      </c>
      <c r="E3795" s="711">
        <v>4.3099999999999999E-2</v>
      </c>
    </row>
    <row r="3796" spans="1:5" x14ac:dyDescent="0.3">
      <c r="A3796" s="397"/>
      <c r="B3796" s="709">
        <v>98575</v>
      </c>
      <c r="C3796" s="710" t="s">
        <v>4189</v>
      </c>
      <c r="D3796" s="709" t="s">
        <v>159</v>
      </c>
      <c r="E3796" s="711">
        <v>0.6351</v>
      </c>
    </row>
    <row r="3797" spans="1:5" x14ac:dyDescent="0.3">
      <c r="A3797" s="397"/>
      <c r="B3797" s="709">
        <v>98577</v>
      </c>
      <c r="C3797" s="710" t="s">
        <v>260</v>
      </c>
      <c r="D3797" s="709" t="s">
        <v>159</v>
      </c>
      <c r="E3797" s="711">
        <v>0.81359999999999999</v>
      </c>
    </row>
    <row r="3798" spans="1:5" x14ac:dyDescent="0.3">
      <c r="A3798" s="397"/>
      <c r="B3798" s="709">
        <v>98558</v>
      </c>
      <c r="C3798" s="710" t="s">
        <v>13751</v>
      </c>
      <c r="D3798" s="709" t="s">
        <v>136</v>
      </c>
      <c r="E3798" s="711">
        <v>0.49480000000000002</v>
      </c>
    </row>
    <row r="3799" spans="1:5" x14ac:dyDescent="0.3">
      <c r="A3799" s="397"/>
      <c r="B3799" s="709">
        <v>98559</v>
      </c>
      <c r="C3799" s="710" t="s">
        <v>13752</v>
      </c>
      <c r="D3799" s="709" t="s">
        <v>159</v>
      </c>
      <c r="E3799" s="711">
        <v>0.41980000000000001</v>
      </c>
    </row>
    <row r="3800" spans="1:5" x14ac:dyDescent="0.3">
      <c r="A3800" s="397"/>
      <c r="B3800" s="709">
        <v>91925</v>
      </c>
      <c r="C3800" s="710" t="s">
        <v>4192</v>
      </c>
      <c r="D3800" s="709" t="s">
        <v>159</v>
      </c>
      <c r="E3800" s="711">
        <v>0.32690000000000002</v>
      </c>
    </row>
    <row r="3801" spans="1:5" x14ac:dyDescent="0.3">
      <c r="A3801" s="397"/>
      <c r="B3801" s="709">
        <v>91924</v>
      </c>
      <c r="C3801" s="710" t="s">
        <v>4193</v>
      </c>
      <c r="D3801" s="709" t="s">
        <v>159</v>
      </c>
      <c r="E3801" s="711">
        <v>0.39419999999999999</v>
      </c>
    </row>
    <row r="3802" spans="1:5" x14ac:dyDescent="0.3">
      <c r="A3802" s="397"/>
      <c r="B3802" s="709">
        <v>91933</v>
      </c>
      <c r="C3802" s="710" t="s">
        <v>4194</v>
      </c>
      <c r="D3802" s="709" t="s">
        <v>159</v>
      </c>
      <c r="E3802" s="711">
        <v>0.24329999999999999</v>
      </c>
    </row>
    <row r="3803" spans="1:5" x14ac:dyDescent="0.3">
      <c r="A3803" s="397"/>
      <c r="B3803" s="709">
        <v>91932</v>
      </c>
      <c r="C3803" s="710" t="s">
        <v>4195</v>
      </c>
      <c r="D3803" s="709" t="s">
        <v>159</v>
      </c>
      <c r="E3803" s="711">
        <v>0.2346</v>
      </c>
    </row>
    <row r="3804" spans="1:5" x14ac:dyDescent="0.3">
      <c r="A3804" s="397"/>
      <c r="B3804" s="709">
        <v>91935</v>
      </c>
      <c r="C3804" s="710" t="s">
        <v>4196</v>
      </c>
      <c r="D3804" s="709" t="s">
        <v>159</v>
      </c>
      <c r="E3804" s="711">
        <v>0.23280000000000001</v>
      </c>
    </row>
    <row r="3805" spans="1:5" x14ac:dyDescent="0.3">
      <c r="A3805" s="397"/>
      <c r="B3805" s="709">
        <v>91934</v>
      </c>
      <c r="C3805" s="710" t="s">
        <v>4197</v>
      </c>
      <c r="D3805" s="709" t="s">
        <v>159</v>
      </c>
      <c r="E3805" s="711">
        <v>0.24379999999999999</v>
      </c>
    </row>
    <row r="3806" spans="1:5" x14ac:dyDescent="0.3">
      <c r="A3806" s="397"/>
      <c r="B3806" s="709">
        <v>91927</v>
      </c>
      <c r="C3806" s="710" t="s">
        <v>4198</v>
      </c>
      <c r="D3806" s="709" t="s">
        <v>159</v>
      </c>
      <c r="E3806" s="711">
        <v>0.30599999999999999</v>
      </c>
    </row>
    <row r="3807" spans="1:5" x14ac:dyDescent="0.3">
      <c r="A3807" s="397"/>
      <c r="B3807" s="709">
        <v>91926</v>
      </c>
      <c r="C3807" s="710" t="s">
        <v>4199</v>
      </c>
      <c r="D3807" s="709" t="s">
        <v>159</v>
      </c>
      <c r="E3807" s="711">
        <v>0.34329999999999999</v>
      </c>
    </row>
    <row r="3808" spans="1:5" x14ac:dyDescent="0.3">
      <c r="A3808" s="397"/>
      <c r="B3808" s="709">
        <v>91929</v>
      </c>
      <c r="C3808" s="710" t="s">
        <v>4200</v>
      </c>
      <c r="D3808" s="709" t="s">
        <v>159</v>
      </c>
      <c r="E3808" s="711">
        <v>0.28050000000000003</v>
      </c>
    </row>
    <row r="3809" spans="1:5" x14ac:dyDescent="0.3">
      <c r="A3809" s="397"/>
      <c r="B3809" s="709">
        <v>91928</v>
      </c>
      <c r="C3809" s="710" t="s">
        <v>4201</v>
      </c>
      <c r="D3809" s="709" t="s">
        <v>159</v>
      </c>
      <c r="E3809" s="711">
        <v>0.30009999999999998</v>
      </c>
    </row>
    <row r="3810" spans="1:5" x14ac:dyDescent="0.3">
      <c r="A3810" s="397"/>
      <c r="B3810" s="709">
        <v>91931</v>
      </c>
      <c r="C3810" s="710" t="s">
        <v>4202</v>
      </c>
      <c r="D3810" s="709" t="s">
        <v>159</v>
      </c>
      <c r="E3810" s="711">
        <v>0.26069999999999999</v>
      </c>
    </row>
    <row r="3811" spans="1:5" x14ac:dyDescent="0.3">
      <c r="A3811" s="397"/>
      <c r="B3811" s="709">
        <v>91930</v>
      </c>
      <c r="C3811" s="710" t="s">
        <v>4203</v>
      </c>
      <c r="D3811" s="709" t="s">
        <v>159</v>
      </c>
      <c r="E3811" s="711">
        <v>0.28170000000000001</v>
      </c>
    </row>
    <row r="3812" spans="1:5" x14ac:dyDescent="0.3">
      <c r="A3812" s="397"/>
      <c r="B3812" s="709">
        <v>91937</v>
      </c>
      <c r="C3812" s="710" t="s">
        <v>4210</v>
      </c>
      <c r="D3812" s="709" t="s">
        <v>136</v>
      </c>
      <c r="E3812" s="711">
        <v>0.70830000000000004</v>
      </c>
    </row>
    <row r="3813" spans="1:5" x14ac:dyDescent="0.3">
      <c r="A3813" s="397"/>
      <c r="B3813" s="709">
        <v>92865</v>
      </c>
      <c r="C3813" s="710" t="s">
        <v>4211</v>
      </c>
      <c r="D3813" s="709" t="s">
        <v>136</v>
      </c>
      <c r="E3813" s="711">
        <v>0.80710000000000004</v>
      </c>
    </row>
    <row r="3814" spans="1:5" x14ac:dyDescent="0.3">
      <c r="A3814" s="397"/>
      <c r="B3814" s="709">
        <v>91936</v>
      </c>
      <c r="C3814" s="710" t="s">
        <v>4212</v>
      </c>
      <c r="D3814" s="709" t="s">
        <v>136</v>
      </c>
      <c r="E3814" s="711">
        <v>0.627</v>
      </c>
    </row>
    <row r="3815" spans="1:5" x14ac:dyDescent="0.3">
      <c r="A3815" s="397"/>
      <c r="B3815" s="709">
        <v>92867</v>
      </c>
      <c r="C3815" s="710" t="s">
        <v>4213</v>
      </c>
      <c r="D3815" s="709" t="s">
        <v>136</v>
      </c>
      <c r="E3815" s="711">
        <v>0.94310000000000005</v>
      </c>
    </row>
    <row r="3816" spans="1:5" x14ac:dyDescent="0.3">
      <c r="A3816" s="397"/>
      <c r="B3816" s="709">
        <v>91939</v>
      </c>
      <c r="C3816" s="710" t="s">
        <v>4214</v>
      </c>
      <c r="D3816" s="709" t="s">
        <v>136</v>
      </c>
      <c r="E3816" s="711">
        <v>0.9032</v>
      </c>
    </row>
    <row r="3817" spans="1:5" x14ac:dyDescent="0.3">
      <c r="A3817" s="397"/>
      <c r="B3817" s="709">
        <v>92869</v>
      </c>
      <c r="C3817" s="710" t="s">
        <v>4215</v>
      </c>
      <c r="D3817" s="709" t="s">
        <v>136</v>
      </c>
      <c r="E3817" s="711">
        <v>0.83430000000000004</v>
      </c>
    </row>
    <row r="3818" spans="1:5" x14ac:dyDescent="0.3">
      <c r="A3818" s="397"/>
      <c r="B3818" s="709">
        <v>91941</v>
      </c>
      <c r="C3818" s="710" t="s">
        <v>4216</v>
      </c>
      <c r="D3818" s="709" t="s">
        <v>136</v>
      </c>
      <c r="E3818" s="711">
        <v>0.73939999999999995</v>
      </c>
    </row>
    <row r="3819" spans="1:5" x14ac:dyDescent="0.3">
      <c r="A3819" s="397"/>
      <c r="B3819" s="709">
        <v>92868</v>
      </c>
      <c r="C3819" s="710" t="s">
        <v>4217</v>
      </c>
      <c r="D3819" s="709" t="s">
        <v>136</v>
      </c>
      <c r="E3819" s="711">
        <v>0.8982</v>
      </c>
    </row>
    <row r="3820" spans="1:5" x14ac:dyDescent="0.3">
      <c r="A3820" s="397"/>
      <c r="B3820" s="709">
        <v>91940</v>
      </c>
      <c r="C3820" s="710" t="s">
        <v>4218</v>
      </c>
      <c r="D3820" s="709" t="s">
        <v>136</v>
      </c>
      <c r="E3820" s="711">
        <v>0.83250000000000002</v>
      </c>
    </row>
    <row r="3821" spans="1:5" x14ac:dyDescent="0.3">
      <c r="A3821" s="397"/>
      <c r="B3821" s="709">
        <v>92870</v>
      </c>
      <c r="C3821" s="710" t="s">
        <v>4219</v>
      </c>
      <c r="D3821" s="709" t="s">
        <v>136</v>
      </c>
      <c r="E3821" s="711">
        <v>0.89970000000000006</v>
      </c>
    </row>
    <row r="3822" spans="1:5" x14ac:dyDescent="0.3">
      <c r="A3822" s="397"/>
      <c r="B3822" s="709">
        <v>91942</v>
      </c>
      <c r="C3822" s="710" t="s">
        <v>4220</v>
      </c>
      <c r="D3822" s="709" t="s">
        <v>136</v>
      </c>
      <c r="E3822" s="711">
        <v>0.83640000000000003</v>
      </c>
    </row>
    <row r="3823" spans="1:5" x14ac:dyDescent="0.3">
      <c r="A3823" s="397"/>
      <c r="B3823" s="709">
        <v>92872</v>
      </c>
      <c r="C3823" s="710" t="s">
        <v>4221</v>
      </c>
      <c r="D3823" s="709" t="s">
        <v>136</v>
      </c>
      <c r="E3823" s="711">
        <v>0.73199999999999998</v>
      </c>
    </row>
    <row r="3824" spans="1:5" x14ac:dyDescent="0.3">
      <c r="A3824" s="397"/>
      <c r="B3824" s="709">
        <v>91944</v>
      </c>
      <c r="C3824" s="710" t="s">
        <v>4222</v>
      </c>
      <c r="D3824" s="709" t="s">
        <v>136</v>
      </c>
      <c r="E3824" s="711">
        <v>0.60880000000000001</v>
      </c>
    </row>
    <row r="3825" spans="1:5" x14ac:dyDescent="0.3">
      <c r="A3825" s="397"/>
      <c r="B3825" s="709">
        <v>92871</v>
      </c>
      <c r="C3825" s="710" t="s">
        <v>4223</v>
      </c>
      <c r="D3825" s="709" t="s">
        <v>136</v>
      </c>
      <c r="E3825" s="711">
        <v>0.82730000000000004</v>
      </c>
    </row>
    <row r="3826" spans="1:5" x14ac:dyDescent="0.3">
      <c r="A3826" s="397"/>
      <c r="B3826" s="709">
        <v>91943</v>
      </c>
      <c r="C3826" s="710" t="s">
        <v>4224</v>
      </c>
      <c r="D3826" s="709" t="s">
        <v>136</v>
      </c>
      <c r="E3826" s="711">
        <v>0.73199999999999998</v>
      </c>
    </row>
    <row r="3827" spans="1:5" x14ac:dyDescent="0.3">
      <c r="A3827" s="397"/>
      <c r="B3827" s="709">
        <v>92866</v>
      </c>
      <c r="C3827" s="710" t="s">
        <v>4225</v>
      </c>
      <c r="D3827" s="709" t="s">
        <v>136</v>
      </c>
      <c r="E3827" s="711">
        <v>0.90139999999999998</v>
      </c>
    </row>
    <row r="3828" spans="1:5" x14ac:dyDescent="0.3">
      <c r="A3828" s="397"/>
      <c r="B3828" s="709">
        <v>91987</v>
      </c>
      <c r="C3828" s="710" t="s">
        <v>4226</v>
      </c>
      <c r="D3828" s="709" t="s">
        <v>136</v>
      </c>
      <c r="E3828" s="711">
        <v>0.53159999999999996</v>
      </c>
    </row>
    <row r="3829" spans="1:5" x14ac:dyDescent="0.3">
      <c r="A3829" s="397"/>
      <c r="B3829" s="709">
        <v>91986</v>
      </c>
      <c r="C3829" s="710" t="s">
        <v>4227</v>
      </c>
      <c r="D3829" s="709" t="s">
        <v>136</v>
      </c>
      <c r="E3829" s="711">
        <v>0.50960000000000005</v>
      </c>
    </row>
    <row r="3830" spans="1:5" x14ac:dyDescent="0.3">
      <c r="A3830" s="397"/>
      <c r="B3830" s="709">
        <v>97559</v>
      </c>
      <c r="C3830" s="710" t="s">
        <v>4228</v>
      </c>
      <c r="D3830" s="709" t="s">
        <v>136</v>
      </c>
      <c r="E3830" s="711">
        <v>0.79090000000000005</v>
      </c>
    </row>
    <row r="3831" spans="1:5" x14ac:dyDescent="0.3">
      <c r="A3831" s="397"/>
      <c r="B3831" s="709">
        <v>97562</v>
      </c>
      <c r="C3831" s="710" t="s">
        <v>4229</v>
      </c>
      <c r="D3831" s="709" t="s">
        <v>136</v>
      </c>
      <c r="E3831" s="711">
        <v>0.74850000000000005</v>
      </c>
    </row>
    <row r="3832" spans="1:5" x14ac:dyDescent="0.3">
      <c r="A3832" s="397"/>
      <c r="B3832" s="709">
        <v>97564</v>
      </c>
      <c r="C3832" s="710" t="s">
        <v>4230</v>
      </c>
      <c r="D3832" s="709" t="s">
        <v>136</v>
      </c>
      <c r="E3832" s="711">
        <v>0.84419999999999995</v>
      </c>
    </row>
    <row r="3833" spans="1:5" x14ac:dyDescent="0.3">
      <c r="A3833" s="397"/>
      <c r="B3833" s="709">
        <v>91889</v>
      </c>
      <c r="C3833" s="710" t="s">
        <v>4231</v>
      </c>
      <c r="D3833" s="709" t="s">
        <v>136</v>
      </c>
      <c r="E3833" s="711">
        <v>0.77749999999999997</v>
      </c>
    </row>
    <row r="3834" spans="1:5" x14ac:dyDescent="0.3">
      <c r="A3834" s="397"/>
      <c r="B3834" s="709">
        <v>91901</v>
      </c>
      <c r="C3834" s="710" t="s">
        <v>4232</v>
      </c>
      <c r="D3834" s="709" t="s">
        <v>136</v>
      </c>
      <c r="E3834" s="711">
        <v>0.72570000000000001</v>
      </c>
    </row>
    <row r="3835" spans="1:5" x14ac:dyDescent="0.3">
      <c r="A3835" s="397"/>
      <c r="B3835" s="709">
        <v>91913</v>
      </c>
      <c r="C3835" s="710" t="s">
        <v>4233</v>
      </c>
      <c r="D3835" s="709" t="s">
        <v>136</v>
      </c>
      <c r="E3835" s="711">
        <v>0.83930000000000005</v>
      </c>
    </row>
    <row r="3836" spans="1:5" x14ac:dyDescent="0.3">
      <c r="A3836" s="397"/>
      <c r="B3836" s="709">
        <v>91892</v>
      </c>
      <c r="C3836" s="710" t="s">
        <v>4234</v>
      </c>
      <c r="D3836" s="709" t="s">
        <v>136</v>
      </c>
      <c r="E3836" s="711">
        <v>0.66979999999999995</v>
      </c>
    </row>
    <row r="3837" spans="1:5" x14ac:dyDescent="0.3">
      <c r="A3837" s="397"/>
      <c r="B3837" s="709">
        <v>91904</v>
      </c>
      <c r="C3837" s="710" t="s">
        <v>4235</v>
      </c>
      <c r="D3837" s="709" t="s">
        <v>136</v>
      </c>
      <c r="E3837" s="711">
        <v>0.61470000000000002</v>
      </c>
    </row>
    <row r="3838" spans="1:5" x14ac:dyDescent="0.3">
      <c r="A3838" s="397"/>
      <c r="B3838" s="709">
        <v>91916</v>
      </c>
      <c r="C3838" s="710" t="s">
        <v>4236</v>
      </c>
      <c r="D3838" s="709" t="s">
        <v>136</v>
      </c>
      <c r="E3838" s="711">
        <v>0.74399999999999999</v>
      </c>
    </row>
    <row r="3839" spans="1:5" x14ac:dyDescent="0.3">
      <c r="A3839" s="397"/>
      <c r="B3839" s="709">
        <v>91895</v>
      </c>
      <c r="C3839" s="710" t="s">
        <v>4237</v>
      </c>
      <c r="D3839" s="709" t="s">
        <v>136</v>
      </c>
      <c r="E3839" s="711">
        <v>0.64380000000000004</v>
      </c>
    </row>
    <row r="3840" spans="1:5" x14ac:dyDescent="0.3">
      <c r="A3840" s="397"/>
      <c r="B3840" s="709">
        <v>91907</v>
      </c>
      <c r="C3840" s="710" t="s">
        <v>4238</v>
      </c>
      <c r="D3840" s="709" t="s">
        <v>136</v>
      </c>
      <c r="E3840" s="711">
        <v>0.59599999999999997</v>
      </c>
    </row>
    <row r="3841" spans="1:5" x14ac:dyDescent="0.3">
      <c r="A3841" s="397"/>
      <c r="B3841" s="709">
        <v>91919</v>
      </c>
      <c r="C3841" s="710" t="s">
        <v>4239</v>
      </c>
      <c r="D3841" s="709" t="s">
        <v>136</v>
      </c>
      <c r="E3841" s="711">
        <v>0.71179999999999999</v>
      </c>
    </row>
    <row r="3842" spans="1:5" x14ac:dyDescent="0.3">
      <c r="A3842" s="397"/>
      <c r="B3842" s="709">
        <v>91898</v>
      </c>
      <c r="C3842" s="710" t="s">
        <v>4240</v>
      </c>
      <c r="D3842" s="709" t="s">
        <v>136</v>
      </c>
      <c r="E3842" s="711">
        <v>0.65349999999999997</v>
      </c>
    </row>
    <row r="3843" spans="1:5" x14ac:dyDescent="0.3">
      <c r="A3843" s="397"/>
      <c r="B3843" s="709">
        <v>91910</v>
      </c>
      <c r="C3843" s="710" t="s">
        <v>4241</v>
      </c>
      <c r="D3843" s="709" t="s">
        <v>136</v>
      </c>
      <c r="E3843" s="711">
        <v>0.61450000000000005</v>
      </c>
    </row>
    <row r="3844" spans="1:5" x14ac:dyDescent="0.3">
      <c r="A3844" s="397"/>
      <c r="B3844" s="709">
        <v>91922</v>
      </c>
      <c r="C3844" s="710" t="s">
        <v>4242</v>
      </c>
      <c r="D3844" s="709" t="s">
        <v>136</v>
      </c>
      <c r="E3844" s="711">
        <v>0.71230000000000004</v>
      </c>
    </row>
    <row r="3845" spans="1:5" x14ac:dyDescent="0.3">
      <c r="A3845" s="397"/>
      <c r="B3845" s="709">
        <v>91887</v>
      </c>
      <c r="C3845" s="710" t="s">
        <v>4243</v>
      </c>
      <c r="D3845" s="709" t="s">
        <v>136</v>
      </c>
      <c r="E3845" s="711">
        <v>0.75700000000000001</v>
      </c>
    </row>
    <row r="3846" spans="1:5" x14ac:dyDescent="0.3">
      <c r="A3846" s="397"/>
      <c r="B3846" s="709">
        <v>91899</v>
      </c>
      <c r="C3846" s="710" t="s">
        <v>4244</v>
      </c>
      <c r="D3846" s="709" t="s">
        <v>136</v>
      </c>
      <c r="E3846" s="711">
        <v>0.70220000000000005</v>
      </c>
    </row>
    <row r="3847" spans="1:5" x14ac:dyDescent="0.3">
      <c r="A3847" s="397"/>
      <c r="B3847" s="709">
        <v>91911</v>
      </c>
      <c r="C3847" s="710" t="s">
        <v>4245</v>
      </c>
      <c r="D3847" s="709" t="s">
        <v>136</v>
      </c>
      <c r="E3847" s="711">
        <v>0.82310000000000005</v>
      </c>
    </row>
    <row r="3848" spans="1:5" x14ac:dyDescent="0.3">
      <c r="A3848" s="397"/>
      <c r="B3848" s="709">
        <v>91890</v>
      </c>
      <c r="C3848" s="710" t="s">
        <v>4246</v>
      </c>
      <c r="D3848" s="709" t="s">
        <v>136</v>
      </c>
      <c r="E3848" s="711">
        <v>0.77639999999999998</v>
      </c>
    </row>
    <row r="3849" spans="1:5" x14ac:dyDescent="0.3">
      <c r="A3849" s="397"/>
      <c r="B3849" s="709">
        <v>91902</v>
      </c>
      <c r="C3849" s="710" t="s">
        <v>4247</v>
      </c>
      <c r="D3849" s="709" t="s">
        <v>136</v>
      </c>
      <c r="E3849" s="711">
        <v>0.73199999999999998</v>
      </c>
    </row>
    <row r="3850" spans="1:5" x14ac:dyDescent="0.3">
      <c r="A3850" s="397"/>
      <c r="B3850" s="709">
        <v>91914</v>
      </c>
      <c r="C3850" s="710" t="s">
        <v>4248</v>
      </c>
      <c r="D3850" s="709" t="s">
        <v>136</v>
      </c>
      <c r="E3850" s="711">
        <v>0.83260000000000001</v>
      </c>
    </row>
    <row r="3851" spans="1:5" x14ac:dyDescent="0.3">
      <c r="A3851" s="397"/>
      <c r="B3851" s="709">
        <v>91893</v>
      </c>
      <c r="C3851" s="710" t="s">
        <v>4249</v>
      </c>
      <c r="D3851" s="709" t="s">
        <v>136</v>
      </c>
      <c r="E3851" s="711">
        <v>0.7278</v>
      </c>
    </row>
    <row r="3852" spans="1:5" x14ac:dyDescent="0.3">
      <c r="A3852" s="397"/>
      <c r="B3852" s="709">
        <v>91905</v>
      </c>
      <c r="C3852" s="710" t="s">
        <v>4250</v>
      </c>
      <c r="D3852" s="709" t="s">
        <v>136</v>
      </c>
      <c r="E3852" s="711">
        <v>0.68579999999999997</v>
      </c>
    </row>
    <row r="3853" spans="1:5" x14ac:dyDescent="0.3">
      <c r="A3853" s="397"/>
      <c r="B3853" s="709">
        <v>91917</v>
      </c>
      <c r="C3853" s="710" t="s">
        <v>4251</v>
      </c>
      <c r="D3853" s="709" t="s">
        <v>136</v>
      </c>
      <c r="E3853" s="711">
        <v>0.78520000000000001</v>
      </c>
    </row>
    <row r="3854" spans="1:5" x14ac:dyDescent="0.3">
      <c r="A3854" s="397"/>
      <c r="B3854" s="709">
        <v>91896</v>
      </c>
      <c r="C3854" s="710" t="s">
        <v>4252</v>
      </c>
      <c r="D3854" s="709" t="s">
        <v>136</v>
      </c>
      <c r="E3854" s="711">
        <v>0.73319999999999996</v>
      </c>
    </row>
    <row r="3855" spans="1:5" x14ac:dyDescent="0.3">
      <c r="A3855" s="397"/>
      <c r="B3855" s="709">
        <v>91908</v>
      </c>
      <c r="C3855" s="710" t="s">
        <v>4253</v>
      </c>
      <c r="D3855" s="709" t="s">
        <v>136</v>
      </c>
      <c r="E3855" s="711">
        <v>0.69910000000000005</v>
      </c>
    </row>
    <row r="3856" spans="1:5" x14ac:dyDescent="0.3">
      <c r="A3856" s="397"/>
      <c r="B3856" s="709">
        <v>91920</v>
      </c>
      <c r="C3856" s="710" t="s">
        <v>4254</v>
      </c>
      <c r="D3856" s="709" t="s">
        <v>136</v>
      </c>
      <c r="E3856" s="711">
        <v>0.78300000000000003</v>
      </c>
    </row>
    <row r="3857" spans="1:5" x14ac:dyDescent="0.3">
      <c r="A3857" s="397"/>
      <c r="B3857" s="709">
        <v>91983</v>
      </c>
      <c r="C3857" s="710" t="s">
        <v>4255</v>
      </c>
      <c r="D3857" s="709" t="s">
        <v>136</v>
      </c>
      <c r="E3857" s="711">
        <v>0.1908</v>
      </c>
    </row>
    <row r="3858" spans="1:5" x14ac:dyDescent="0.3">
      <c r="A3858" s="397"/>
      <c r="B3858" s="709">
        <v>91982</v>
      </c>
      <c r="C3858" s="710" t="s">
        <v>4256</v>
      </c>
      <c r="D3858" s="709" t="s">
        <v>136</v>
      </c>
      <c r="E3858" s="711">
        <v>0.13850000000000001</v>
      </c>
    </row>
    <row r="3859" spans="1:5" x14ac:dyDescent="0.3">
      <c r="A3859" s="397"/>
      <c r="B3859" s="709">
        <v>91833</v>
      </c>
      <c r="C3859" s="710" t="s">
        <v>4257</v>
      </c>
      <c r="D3859" s="709" t="s">
        <v>159</v>
      </c>
      <c r="E3859" s="711">
        <v>0.66379999999999995</v>
      </c>
    </row>
    <row r="3860" spans="1:5" x14ac:dyDescent="0.3">
      <c r="A3860" s="397"/>
      <c r="B3860" s="709">
        <v>91843</v>
      </c>
      <c r="C3860" s="710" t="s">
        <v>4258</v>
      </c>
      <c r="D3860" s="709" t="s">
        <v>159</v>
      </c>
      <c r="E3860" s="711">
        <v>0.47149999999999997</v>
      </c>
    </row>
    <row r="3861" spans="1:5" x14ac:dyDescent="0.3">
      <c r="A3861" s="397"/>
      <c r="B3861" s="709">
        <v>91853</v>
      </c>
      <c r="C3861" s="710" t="s">
        <v>4259</v>
      </c>
      <c r="D3861" s="709" t="s">
        <v>159</v>
      </c>
      <c r="E3861" s="711">
        <v>0.66369999999999996</v>
      </c>
    </row>
    <row r="3862" spans="1:5" x14ac:dyDescent="0.3">
      <c r="A3862" s="397"/>
      <c r="B3862" s="709">
        <v>91835</v>
      </c>
      <c r="C3862" s="710" t="s">
        <v>4260</v>
      </c>
      <c r="D3862" s="709" t="s">
        <v>159</v>
      </c>
      <c r="E3862" s="711">
        <v>0.62919999999999998</v>
      </c>
    </row>
    <row r="3863" spans="1:5" x14ac:dyDescent="0.3">
      <c r="A3863" s="397"/>
      <c r="B3863" s="709">
        <v>91845</v>
      </c>
      <c r="C3863" s="710" t="s">
        <v>4261</v>
      </c>
      <c r="D3863" s="709" t="s">
        <v>159</v>
      </c>
      <c r="E3863" s="711">
        <v>0.43490000000000001</v>
      </c>
    </row>
    <row r="3864" spans="1:5" x14ac:dyDescent="0.3">
      <c r="A3864" s="397"/>
      <c r="B3864" s="709">
        <v>91855</v>
      </c>
      <c r="C3864" s="710" t="s">
        <v>4262</v>
      </c>
      <c r="D3864" s="709" t="s">
        <v>159</v>
      </c>
      <c r="E3864" s="711">
        <v>0.61180000000000001</v>
      </c>
    </row>
    <row r="3865" spans="1:5" x14ac:dyDescent="0.3">
      <c r="A3865" s="397"/>
      <c r="B3865" s="709">
        <v>91837</v>
      </c>
      <c r="C3865" s="710" t="s">
        <v>4263</v>
      </c>
      <c r="D3865" s="709" t="s">
        <v>159</v>
      </c>
      <c r="E3865" s="711">
        <v>0.52180000000000004</v>
      </c>
    </row>
    <row r="3866" spans="1:5" x14ac:dyDescent="0.3">
      <c r="A3866" s="397"/>
      <c r="B3866" s="709">
        <v>91847</v>
      </c>
      <c r="C3866" s="710" t="s">
        <v>4264</v>
      </c>
      <c r="D3866" s="709" t="s">
        <v>159</v>
      </c>
      <c r="E3866" s="711">
        <v>0.3261</v>
      </c>
    </row>
    <row r="3867" spans="1:5" x14ac:dyDescent="0.3">
      <c r="A3867" s="397"/>
      <c r="B3867" s="709">
        <v>91857</v>
      </c>
      <c r="C3867" s="710" t="s">
        <v>4265</v>
      </c>
      <c r="D3867" s="709" t="s">
        <v>159</v>
      </c>
      <c r="E3867" s="711">
        <v>0.47670000000000001</v>
      </c>
    </row>
    <row r="3868" spans="1:5" x14ac:dyDescent="0.3">
      <c r="A3868" s="397"/>
      <c r="B3868" s="709">
        <v>91840</v>
      </c>
      <c r="C3868" s="710" t="s">
        <v>4269</v>
      </c>
      <c r="D3868" s="709" t="s">
        <v>159</v>
      </c>
      <c r="E3868" s="711">
        <v>0.62829999999999997</v>
      </c>
    </row>
    <row r="3869" spans="1:5" x14ac:dyDescent="0.3">
      <c r="A3869" s="397"/>
      <c r="B3869" s="709">
        <v>91850</v>
      </c>
      <c r="C3869" s="710" t="s">
        <v>4270</v>
      </c>
      <c r="D3869" s="709" t="s">
        <v>159</v>
      </c>
      <c r="E3869" s="711">
        <v>0.47889999999999999</v>
      </c>
    </row>
    <row r="3870" spans="1:5" x14ac:dyDescent="0.3">
      <c r="A3870" s="397"/>
      <c r="B3870" s="709">
        <v>91860</v>
      </c>
      <c r="C3870" s="710" t="s">
        <v>4271</v>
      </c>
      <c r="D3870" s="709" t="s">
        <v>159</v>
      </c>
      <c r="E3870" s="711">
        <v>0.61739999999999995</v>
      </c>
    </row>
    <row r="3871" spans="1:5" x14ac:dyDescent="0.3">
      <c r="A3871" s="397"/>
      <c r="B3871" s="709">
        <v>91831</v>
      </c>
      <c r="C3871" s="710" t="s">
        <v>4272</v>
      </c>
      <c r="D3871" s="709" t="s">
        <v>159</v>
      </c>
      <c r="E3871" s="711">
        <v>0.6905</v>
      </c>
    </row>
    <row r="3872" spans="1:5" x14ac:dyDescent="0.3">
      <c r="A3872" s="397"/>
      <c r="B3872" s="709">
        <v>91852</v>
      </c>
      <c r="C3872" s="710" t="s">
        <v>4273</v>
      </c>
      <c r="D3872" s="709" t="s">
        <v>159</v>
      </c>
      <c r="E3872" s="711">
        <v>0.70679999999999998</v>
      </c>
    </row>
    <row r="3873" spans="1:5" x14ac:dyDescent="0.3">
      <c r="A3873" s="397"/>
      <c r="B3873" s="709">
        <v>91834</v>
      </c>
      <c r="C3873" s="710" t="s">
        <v>4274</v>
      </c>
      <c r="D3873" s="709" t="s">
        <v>159</v>
      </c>
      <c r="E3873" s="711">
        <v>0.6915</v>
      </c>
    </row>
    <row r="3874" spans="1:5" x14ac:dyDescent="0.3">
      <c r="A3874" s="397"/>
      <c r="B3874" s="709">
        <v>91854</v>
      </c>
      <c r="C3874" s="710" t="s">
        <v>4275</v>
      </c>
      <c r="D3874" s="709" t="s">
        <v>159</v>
      </c>
      <c r="E3874" s="711">
        <v>0.70650000000000002</v>
      </c>
    </row>
    <row r="3875" spans="1:5" x14ac:dyDescent="0.3">
      <c r="A3875" s="397"/>
      <c r="B3875" s="709">
        <v>91836</v>
      </c>
      <c r="C3875" s="710" t="s">
        <v>4276</v>
      </c>
      <c r="D3875" s="709" t="s">
        <v>159</v>
      </c>
      <c r="E3875" s="711">
        <v>0.62380000000000002</v>
      </c>
    </row>
    <row r="3876" spans="1:5" x14ac:dyDescent="0.3">
      <c r="A3876" s="397"/>
      <c r="B3876" s="709">
        <v>91856</v>
      </c>
      <c r="C3876" s="710" t="s">
        <v>4277</v>
      </c>
      <c r="D3876" s="709" t="s">
        <v>159</v>
      </c>
      <c r="E3876" s="711">
        <v>0.60970000000000002</v>
      </c>
    </row>
    <row r="3877" spans="1:5" x14ac:dyDescent="0.3">
      <c r="A3877" s="397"/>
      <c r="B3877" s="709">
        <v>91839</v>
      </c>
      <c r="C3877" s="710" t="s">
        <v>4278</v>
      </c>
      <c r="D3877" s="709" t="s">
        <v>159</v>
      </c>
      <c r="E3877" s="711">
        <v>0.67749999999999999</v>
      </c>
    </row>
    <row r="3878" spans="1:5" x14ac:dyDescent="0.3">
      <c r="A3878" s="397"/>
      <c r="B3878" s="709">
        <v>91849</v>
      </c>
      <c r="C3878" s="710" t="s">
        <v>4279</v>
      </c>
      <c r="D3878" s="709" t="s">
        <v>159</v>
      </c>
      <c r="E3878" s="711">
        <v>0.53720000000000001</v>
      </c>
    </row>
    <row r="3879" spans="1:5" x14ac:dyDescent="0.3">
      <c r="A3879" s="397"/>
      <c r="B3879" s="709">
        <v>91859</v>
      </c>
      <c r="C3879" s="710" t="s">
        <v>4280</v>
      </c>
      <c r="D3879" s="709" t="s">
        <v>159</v>
      </c>
      <c r="E3879" s="711">
        <v>0.68700000000000006</v>
      </c>
    </row>
    <row r="3880" spans="1:5" x14ac:dyDescent="0.3">
      <c r="A3880" s="397"/>
      <c r="B3880" s="709">
        <v>91841</v>
      </c>
      <c r="C3880" s="710" t="s">
        <v>4281</v>
      </c>
      <c r="D3880" s="709" t="s">
        <v>159</v>
      </c>
      <c r="E3880" s="711">
        <v>0.65580000000000005</v>
      </c>
    </row>
    <row r="3881" spans="1:5" x14ac:dyDescent="0.3">
      <c r="A3881" s="397"/>
      <c r="B3881" s="709">
        <v>91851</v>
      </c>
      <c r="C3881" s="710" t="s">
        <v>4282</v>
      </c>
      <c r="D3881" s="709" t="s">
        <v>159</v>
      </c>
      <c r="E3881" s="711">
        <v>0.51990000000000003</v>
      </c>
    </row>
    <row r="3882" spans="1:5" x14ac:dyDescent="0.3">
      <c r="A3882" s="397"/>
      <c r="B3882" s="709">
        <v>91861</v>
      </c>
      <c r="C3882" s="710" t="s">
        <v>4283</v>
      </c>
      <c r="D3882" s="709" t="s">
        <v>159</v>
      </c>
      <c r="E3882" s="711">
        <v>0.65590000000000004</v>
      </c>
    </row>
    <row r="3883" spans="1:5" x14ac:dyDescent="0.3">
      <c r="A3883" s="397"/>
      <c r="B3883" s="709">
        <v>91862</v>
      </c>
      <c r="C3883" s="710" t="s">
        <v>4284</v>
      </c>
      <c r="D3883" s="709" t="s">
        <v>159</v>
      </c>
      <c r="E3883" s="711">
        <v>0.55200000000000005</v>
      </c>
    </row>
    <row r="3884" spans="1:5" x14ac:dyDescent="0.3">
      <c r="A3884" s="397"/>
      <c r="B3884" s="709">
        <v>91866</v>
      </c>
      <c r="C3884" s="710" t="s">
        <v>4285</v>
      </c>
      <c r="D3884" s="709" t="s">
        <v>159</v>
      </c>
      <c r="E3884" s="711">
        <v>0.48280000000000001</v>
      </c>
    </row>
    <row r="3885" spans="1:5" x14ac:dyDescent="0.3">
      <c r="A3885" s="397"/>
      <c r="B3885" s="709">
        <v>91870</v>
      </c>
      <c r="C3885" s="710" t="s">
        <v>4286</v>
      </c>
      <c r="D3885" s="709" t="s">
        <v>159</v>
      </c>
      <c r="E3885" s="711">
        <v>0.65700000000000003</v>
      </c>
    </row>
    <row r="3886" spans="1:5" x14ac:dyDescent="0.3">
      <c r="A3886" s="397"/>
      <c r="B3886" s="709">
        <v>91863</v>
      </c>
      <c r="C3886" s="710" t="s">
        <v>4287</v>
      </c>
      <c r="D3886" s="709" t="s">
        <v>159</v>
      </c>
      <c r="E3886" s="711">
        <v>0.52910000000000001</v>
      </c>
    </row>
    <row r="3887" spans="1:5" x14ac:dyDescent="0.3">
      <c r="A3887" s="397"/>
      <c r="B3887" s="709">
        <v>91867</v>
      </c>
      <c r="C3887" s="710" t="s">
        <v>4288</v>
      </c>
      <c r="D3887" s="709" t="s">
        <v>159</v>
      </c>
      <c r="E3887" s="711">
        <v>0.46860000000000002</v>
      </c>
    </row>
    <row r="3888" spans="1:5" x14ac:dyDescent="0.3">
      <c r="A3888" s="397"/>
      <c r="B3888" s="709">
        <v>91871</v>
      </c>
      <c r="C3888" s="710" t="s">
        <v>4289</v>
      </c>
      <c r="D3888" s="709" t="s">
        <v>159</v>
      </c>
      <c r="E3888" s="711">
        <v>0.62580000000000002</v>
      </c>
    </row>
    <row r="3889" spans="1:5" x14ac:dyDescent="0.3">
      <c r="A3889" s="397"/>
      <c r="B3889" s="709">
        <v>91864</v>
      </c>
      <c r="C3889" s="710" t="s">
        <v>4290</v>
      </c>
      <c r="D3889" s="709" t="s">
        <v>159</v>
      </c>
      <c r="E3889" s="711">
        <v>0.45600000000000002</v>
      </c>
    </row>
    <row r="3890" spans="1:5" x14ac:dyDescent="0.3">
      <c r="A3890" s="397"/>
      <c r="B3890" s="709">
        <v>91868</v>
      </c>
      <c r="C3890" s="710" t="s">
        <v>4291</v>
      </c>
      <c r="D3890" s="709" t="s">
        <v>159</v>
      </c>
      <c r="E3890" s="711">
        <v>0.40649999999999997</v>
      </c>
    </row>
    <row r="3891" spans="1:5" x14ac:dyDescent="0.3">
      <c r="A3891" s="397"/>
      <c r="B3891" s="709">
        <v>91872</v>
      </c>
      <c r="C3891" s="710" t="s">
        <v>4292</v>
      </c>
      <c r="D3891" s="709" t="s">
        <v>159</v>
      </c>
      <c r="E3891" s="711">
        <v>0.54320000000000002</v>
      </c>
    </row>
    <row r="3892" spans="1:5" x14ac:dyDescent="0.3">
      <c r="A3892" s="397"/>
      <c r="B3892" s="709">
        <v>91865</v>
      </c>
      <c r="C3892" s="710" t="s">
        <v>4293</v>
      </c>
      <c r="D3892" s="709" t="s">
        <v>159</v>
      </c>
      <c r="E3892" s="711">
        <v>0.4234</v>
      </c>
    </row>
    <row r="3893" spans="1:5" x14ac:dyDescent="0.3">
      <c r="A3893" s="397"/>
      <c r="B3893" s="709">
        <v>91869</v>
      </c>
      <c r="C3893" s="710" t="s">
        <v>4294</v>
      </c>
      <c r="D3893" s="709" t="s">
        <v>159</v>
      </c>
      <c r="E3893" s="711">
        <v>0.38069999999999998</v>
      </c>
    </row>
    <row r="3894" spans="1:5" x14ac:dyDescent="0.3">
      <c r="A3894" s="397"/>
      <c r="B3894" s="709">
        <v>91873</v>
      </c>
      <c r="C3894" s="710" t="s">
        <v>4295</v>
      </c>
      <c r="D3894" s="709" t="s">
        <v>159</v>
      </c>
      <c r="E3894" s="711">
        <v>0.49809999999999999</v>
      </c>
    </row>
    <row r="3895" spans="1:5" x14ac:dyDescent="0.3">
      <c r="A3895" s="397"/>
      <c r="B3895" s="709">
        <v>91981</v>
      </c>
      <c r="C3895" s="710" t="s">
        <v>4296</v>
      </c>
      <c r="D3895" s="709" t="s">
        <v>136</v>
      </c>
      <c r="E3895" s="711">
        <v>0.55830000000000002</v>
      </c>
    </row>
    <row r="3896" spans="1:5" x14ac:dyDescent="0.3">
      <c r="A3896" s="397"/>
      <c r="B3896" s="709">
        <v>91980</v>
      </c>
      <c r="C3896" s="710" t="s">
        <v>4297</v>
      </c>
      <c r="D3896" s="709" t="s">
        <v>136</v>
      </c>
      <c r="E3896" s="711">
        <v>0.54479999999999995</v>
      </c>
    </row>
    <row r="3897" spans="1:5" x14ac:dyDescent="0.3">
      <c r="A3897" s="397"/>
      <c r="B3897" s="709">
        <v>91979</v>
      </c>
      <c r="C3897" s="710" t="s">
        <v>4298</v>
      </c>
      <c r="D3897" s="709" t="s">
        <v>136</v>
      </c>
      <c r="E3897" s="711">
        <v>0.54520000000000002</v>
      </c>
    </row>
    <row r="3898" spans="1:5" x14ac:dyDescent="0.3">
      <c r="A3898" s="397"/>
      <c r="B3898" s="709">
        <v>91978</v>
      </c>
      <c r="C3898" s="710" t="s">
        <v>4299</v>
      </c>
      <c r="D3898" s="709" t="s">
        <v>136</v>
      </c>
      <c r="E3898" s="711">
        <v>0.52849999999999997</v>
      </c>
    </row>
    <row r="3899" spans="1:5" x14ac:dyDescent="0.3">
      <c r="A3899" s="397"/>
      <c r="B3899" s="709">
        <v>92029</v>
      </c>
      <c r="C3899" s="710" t="s">
        <v>4300</v>
      </c>
      <c r="D3899" s="709" t="s">
        <v>136</v>
      </c>
      <c r="E3899" s="711">
        <v>0.63649999999999995</v>
      </c>
    </row>
    <row r="3900" spans="1:5" x14ac:dyDescent="0.3">
      <c r="A3900" s="397"/>
      <c r="B3900" s="709">
        <v>92028</v>
      </c>
      <c r="C3900" s="710" t="s">
        <v>4301</v>
      </c>
      <c r="D3900" s="709" t="s">
        <v>136</v>
      </c>
      <c r="E3900" s="711">
        <v>0.64390000000000003</v>
      </c>
    </row>
    <row r="3901" spans="1:5" x14ac:dyDescent="0.3">
      <c r="A3901" s="397"/>
      <c r="B3901" s="709">
        <v>92031</v>
      </c>
      <c r="C3901" s="710" t="s">
        <v>4302</v>
      </c>
      <c r="D3901" s="709" t="s">
        <v>136</v>
      </c>
      <c r="E3901" s="711">
        <v>0.63549999999999995</v>
      </c>
    </row>
    <row r="3902" spans="1:5" x14ac:dyDescent="0.3">
      <c r="A3902" s="397"/>
      <c r="B3902" s="709">
        <v>92030</v>
      </c>
      <c r="C3902" s="710" t="s">
        <v>4303</v>
      </c>
      <c r="D3902" s="709" t="s">
        <v>136</v>
      </c>
      <c r="E3902" s="711">
        <v>0.64039999999999997</v>
      </c>
    </row>
    <row r="3903" spans="1:5" x14ac:dyDescent="0.3">
      <c r="A3903" s="397"/>
      <c r="B3903" s="709">
        <v>91955</v>
      </c>
      <c r="C3903" s="710" t="s">
        <v>4304</v>
      </c>
      <c r="D3903" s="709" t="s">
        <v>136</v>
      </c>
      <c r="E3903" s="711">
        <v>0.63819999999999999</v>
      </c>
    </row>
    <row r="3904" spans="1:5" x14ac:dyDescent="0.3">
      <c r="A3904" s="397"/>
      <c r="B3904" s="709">
        <v>91954</v>
      </c>
      <c r="C3904" s="710" t="s">
        <v>4305</v>
      </c>
      <c r="D3904" s="709" t="s">
        <v>136</v>
      </c>
      <c r="E3904" s="711">
        <v>0.65249999999999997</v>
      </c>
    </row>
    <row r="3905" spans="1:5" x14ac:dyDescent="0.3">
      <c r="A3905" s="397"/>
      <c r="B3905" s="709">
        <v>92033</v>
      </c>
      <c r="C3905" s="710" t="s">
        <v>4306</v>
      </c>
      <c r="D3905" s="709" t="s">
        <v>136</v>
      </c>
      <c r="E3905" s="711">
        <v>0.62660000000000005</v>
      </c>
    </row>
    <row r="3906" spans="1:5" x14ac:dyDescent="0.3">
      <c r="A3906" s="397"/>
      <c r="B3906" s="709">
        <v>92032</v>
      </c>
      <c r="C3906" s="710" t="s">
        <v>4307</v>
      </c>
      <c r="D3906" s="709" t="s">
        <v>136</v>
      </c>
      <c r="E3906" s="711">
        <v>0.63009999999999999</v>
      </c>
    </row>
    <row r="3907" spans="1:5" x14ac:dyDescent="0.3">
      <c r="A3907" s="397"/>
      <c r="B3907" s="709">
        <v>91961</v>
      </c>
      <c r="C3907" s="710" t="s">
        <v>4308</v>
      </c>
      <c r="D3907" s="709" t="s">
        <v>136</v>
      </c>
      <c r="E3907" s="711">
        <v>0.62439999999999996</v>
      </c>
    </row>
    <row r="3908" spans="1:5" x14ac:dyDescent="0.3">
      <c r="A3908" s="397"/>
      <c r="B3908" s="709">
        <v>91960</v>
      </c>
      <c r="C3908" s="710" t="s">
        <v>4309</v>
      </c>
      <c r="D3908" s="709" t="s">
        <v>136</v>
      </c>
      <c r="E3908" s="711">
        <v>0.62890000000000001</v>
      </c>
    </row>
    <row r="3909" spans="1:5" x14ac:dyDescent="0.3">
      <c r="A3909" s="397"/>
      <c r="B3909" s="709">
        <v>91969</v>
      </c>
      <c r="C3909" s="710" t="s">
        <v>4310</v>
      </c>
      <c r="D3909" s="709" t="s">
        <v>136</v>
      </c>
      <c r="E3909" s="711">
        <v>0.61799999999999999</v>
      </c>
    </row>
    <row r="3910" spans="1:5" x14ac:dyDescent="0.3">
      <c r="A3910" s="397"/>
      <c r="B3910" s="709">
        <v>91968</v>
      </c>
      <c r="C3910" s="710" t="s">
        <v>4311</v>
      </c>
      <c r="D3910" s="709" t="s">
        <v>136</v>
      </c>
      <c r="E3910" s="711">
        <v>0.62</v>
      </c>
    </row>
    <row r="3911" spans="1:5" x14ac:dyDescent="0.3">
      <c r="A3911" s="397"/>
      <c r="B3911" s="709">
        <v>91985</v>
      </c>
      <c r="C3911" s="710" t="s">
        <v>4312</v>
      </c>
      <c r="D3911" s="709" t="s">
        <v>136</v>
      </c>
      <c r="E3911" s="711">
        <v>0.6522</v>
      </c>
    </row>
    <row r="3912" spans="1:5" x14ac:dyDescent="0.3">
      <c r="A3912" s="397"/>
      <c r="B3912" s="709">
        <v>91984</v>
      </c>
      <c r="C3912" s="710" t="s">
        <v>4313</v>
      </c>
      <c r="D3912" s="709" t="s">
        <v>136</v>
      </c>
      <c r="E3912" s="711">
        <v>0.68130000000000002</v>
      </c>
    </row>
    <row r="3913" spans="1:5" x14ac:dyDescent="0.3">
      <c r="A3913" s="397"/>
      <c r="B3913" s="709">
        <v>91989</v>
      </c>
      <c r="C3913" s="710" t="s">
        <v>4314</v>
      </c>
      <c r="D3913" s="709" t="s">
        <v>136</v>
      </c>
      <c r="E3913" s="711">
        <v>0.57289999999999996</v>
      </c>
    </row>
    <row r="3914" spans="1:5" x14ac:dyDescent="0.3">
      <c r="A3914" s="397"/>
      <c r="B3914" s="709">
        <v>91988</v>
      </c>
      <c r="C3914" s="710" t="s">
        <v>4315</v>
      </c>
      <c r="D3914" s="709" t="s">
        <v>136</v>
      </c>
      <c r="E3914" s="711">
        <v>0.55640000000000001</v>
      </c>
    </row>
    <row r="3915" spans="1:5" x14ac:dyDescent="0.3">
      <c r="A3915" s="397"/>
      <c r="B3915" s="709">
        <v>92023</v>
      </c>
      <c r="C3915" s="710" t="s">
        <v>4316</v>
      </c>
      <c r="D3915" s="709" t="s">
        <v>136</v>
      </c>
      <c r="E3915" s="711">
        <v>0.63</v>
      </c>
    </row>
    <row r="3916" spans="1:5" x14ac:dyDescent="0.3">
      <c r="A3916" s="397"/>
      <c r="B3916" s="709">
        <v>92022</v>
      </c>
      <c r="C3916" s="710" t="s">
        <v>4317</v>
      </c>
      <c r="D3916" s="709" t="s">
        <v>136</v>
      </c>
      <c r="E3916" s="711">
        <v>0.63680000000000003</v>
      </c>
    </row>
    <row r="3917" spans="1:5" x14ac:dyDescent="0.3">
      <c r="A3917" s="397"/>
      <c r="B3917" s="709">
        <v>92025</v>
      </c>
      <c r="C3917" s="710" t="s">
        <v>4318</v>
      </c>
      <c r="D3917" s="709" t="s">
        <v>136</v>
      </c>
      <c r="E3917" s="711">
        <v>0.63109999999999999</v>
      </c>
    </row>
    <row r="3918" spans="1:5" x14ac:dyDescent="0.3">
      <c r="A3918" s="397"/>
      <c r="B3918" s="709">
        <v>92024</v>
      </c>
      <c r="C3918" s="710" t="s">
        <v>4319</v>
      </c>
      <c r="D3918" s="709" t="s">
        <v>136</v>
      </c>
      <c r="E3918" s="711">
        <v>0.63570000000000004</v>
      </c>
    </row>
    <row r="3919" spans="1:5" x14ac:dyDescent="0.3">
      <c r="A3919" s="397"/>
      <c r="B3919" s="709">
        <v>91957</v>
      </c>
      <c r="C3919" s="710" t="s">
        <v>4320</v>
      </c>
      <c r="D3919" s="709" t="s">
        <v>136</v>
      </c>
      <c r="E3919" s="711">
        <v>0.61650000000000005</v>
      </c>
    </row>
    <row r="3920" spans="1:5" x14ac:dyDescent="0.3">
      <c r="A3920" s="397"/>
      <c r="B3920" s="709">
        <v>91956</v>
      </c>
      <c r="C3920" s="710" t="s">
        <v>4321</v>
      </c>
      <c r="D3920" s="709" t="s">
        <v>136</v>
      </c>
      <c r="E3920" s="711">
        <v>0.61960000000000004</v>
      </c>
    </row>
    <row r="3921" spans="1:5" x14ac:dyDescent="0.3">
      <c r="A3921" s="397"/>
      <c r="B3921" s="709">
        <v>91963</v>
      </c>
      <c r="C3921" s="710" t="s">
        <v>4322</v>
      </c>
      <c r="D3921" s="709" t="s">
        <v>136</v>
      </c>
      <c r="E3921" s="711">
        <v>0.61219999999999997</v>
      </c>
    </row>
    <row r="3922" spans="1:5" x14ac:dyDescent="0.3">
      <c r="A3922" s="397"/>
      <c r="B3922" s="709">
        <v>91962</v>
      </c>
      <c r="C3922" s="710" t="s">
        <v>4323</v>
      </c>
      <c r="D3922" s="709" t="s">
        <v>136</v>
      </c>
      <c r="E3922" s="711">
        <v>0.61339999999999995</v>
      </c>
    </row>
    <row r="3923" spans="1:5" x14ac:dyDescent="0.3">
      <c r="A3923" s="397"/>
      <c r="B3923" s="709">
        <v>91953</v>
      </c>
      <c r="C3923" s="710" t="s">
        <v>4324</v>
      </c>
      <c r="D3923" s="709" t="s">
        <v>136</v>
      </c>
      <c r="E3923" s="711">
        <v>0.62819999999999998</v>
      </c>
    </row>
    <row r="3924" spans="1:5" x14ac:dyDescent="0.3">
      <c r="A3924" s="397"/>
      <c r="B3924" s="709">
        <v>91952</v>
      </c>
      <c r="C3924" s="710" t="s">
        <v>4325</v>
      </c>
      <c r="D3924" s="709" t="s">
        <v>136</v>
      </c>
      <c r="E3924" s="711">
        <v>0.64149999999999996</v>
      </c>
    </row>
    <row r="3925" spans="1:5" x14ac:dyDescent="0.3">
      <c r="A3925" s="397"/>
      <c r="B3925" s="709">
        <v>92035</v>
      </c>
      <c r="C3925" s="710" t="s">
        <v>4326</v>
      </c>
      <c r="D3925" s="709" t="s">
        <v>136</v>
      </c>
      <c r="E3925" s="711">
        <v>0.62150000000000005</v>
      </c>
    </row>
    <row r="3926" spans="1:5" x14ac:dyDescent="0.3">
      <c r="A3926" s="397"/>
      <c r="B3926" s="709">
        <v>92034</v>
      </c>
      <c r="C3926" s="710" t="s">
        <v>4327</v>
      </c>
      <c r="D3926" s="709" t="s">
        <v>136</v>
      </c>
      <c r="E3926" s="711">
        <v>0.62429999999999997</v>
      </c>
    </row>
    <row r="3927" spans="1:5" x14ac:dyDescent="0.3">
      <c r="A3927" s="397"/>
      <c r="B3927" s="709">
        <v>92027</v>
      </c>
      <c r="C3927" s="710" t="s">
        <v>4328</v>
      </c>
      <c r="D3927" s="709" t="s">
        <v>136</v>
      </c>
      <c r="E3927" s="711">
        <v>0.61529999999999996</v>
      </c>
    </row>
    <row r="3928" spans="1:5" x14ac:dyDescent="0.3">
      <c r="A3928" s="397"/>
      <c r="B3928" s="709">
        <v>92026</v>
      </c>
      <c r="C3928" s="710" t="s">
        <v>4329</v>
      </c>
      <c r="D3928" s="709" t="s">
        <v>136</v>
      </c>
      <c r="E3928" s="711">
        <v>0.61729999999999996</v>
      </c>
    </row>
    <row r="3929" spans="1:5" x14ac:dyDescent="0.3">
      <c r="A3929" s="397"/>
      <c r="B3929" s="709">
        <v>91965</v>
      </c>
      <c r="C3929" s="710" t="s">
        <v>4330</v>
      </c>
      <c r="D3929" s="709" t="s">
        <v>136</v>
      </c>
      <c r="E3929" s="711">
        <v>0.60519999999999996</v>
      </c>
    </row>
    <row r="3930" spans="1:5" x14ac:dyDescent="0.3">
      <c r="A3930" s="397"/>
      <c r="B3930" s="709">
        <v>91964</v>
      </c>
      <c r="C3930" s="710" t="s">
        <v>4331</v>
      </c>
      <c r="D3930" s="709" t="s">
        <v>136</v>
      </c>
      <c r="E3930" s="711">
        <v>0.60519999999999996</v>
      </c>
    </row>
    <row r="3931" spans="1:5" x14ac:dyDescent="0.3">
      <c r="A3931" s="397"/>
      <c r="B3931" s="709">
        <v>91973</v>
      </c>
      <c r="C3931" s="710" t="s">
        <v>4332</v>
      </c>
      <c r="D3931" s="709" t="s">
        <v>136</v>
      </c>
      <c r="E3931" s="711">
        <v>0.58609999999999995</v>
      </c>
    </row>
    <row r="3932" spans="1:5" x14ac:dyDescent="0.3">
      <c r="A3932" s="397"/>
      <c r="B3932" s="709">
        <v>91972</v>
      </c>
      <c r="C3932" s="710" t="s">
        <v>4333</v>
      </c>
      <c r="D3932" s="709" t="s">
        <v>136</v>
      </c>
      <c r="E3932" s="711">
        <v>0.60629999999999995</v>
      </c>
    </row>
    <row r="3933" spans="1:5" x14ac:dyDescent="0.3">
      <c r="A3933" s="397"/>
      <c r="B3933" s="709">
        <v>91959</v>
      </c>
      <c r="C3933" s="710" t="s">
        <v>4334</v>
      </c>
      <c r="D3933" s="709" t="s">
        <v>136</v>
      </c>
      <c r="E3933" s="711">
        <v>0.60729999999999995</v>
      </c>
    </row>
    <row r="3934" spans="1:5" x14ac:dyDescent="0.3">
      <c r="A3934" s="397"/>
      <c r="B3934" s="709">
        <v>91958</v>
      </c>
      <c r="C3934" s="710" t="s">
        <v>4335</v>
      </c>
      <c r="D3934" s="709" t="s">
        <v>136</v>
      </c>
      <c r="E3934" s="711">
        <v>0.6079</v>
      </c>
    </row>
    <row r="3935" spans="1:5" x14ac:dyDescent="0.3">
      <c r="A3935" s="397"/>
      <c r="B3935" s="709">
        <v>91971</v>
      </c>
      <c r="C3935" s="710" t="s">
        <v>4336</v>
      </c>
      <c r="D3935" s="709" t="s">
        <v>136</v>
      </c>
      <c r="E3935" s="711">
        <v>0.57869999999999999</v>
      </c>
    </row>
    <row r="3936" spans="1:5" x14ac:dyDescent="0.3">
      <c r="A3936" s="397"/>
      <c r="B3936" s="709">
        <v>91970</v>
      </c>
      <c r="C3936" s="710" t="s">
        <v>4337</v>
      </c>
      <c r="D3936" s="709" t="s">
        <v>136</v>
      </c>
      <c r="E3936" s="711">
        <v>0.59899999999999998</v>
      </c>
    </row>
    <row r="3937" spans="1:5" x14ac:dyDescent="0.3">
      <c r="A3937" s="397"/>
      <c r="B3937" s="709">
        <v>91967</v>
      </c>
      <c r="C3937" s="710" t="s">
        <v>4338</v>
      </c>
      <c r="D3937" s="709" t="s">
        <v>136</v>
      </c>
      <c r="E3937" s="711">
        <v>0.59709999999999996</v>
      </c>
    </row>
    <row r="3938" spans="1:5" x14ac:dyDescent="0.3">
      <c r="A3938" s="397"/>
      <c r="B3938" s="709">
        <v>91966</v>
      </c>
      <c r="C3938" s="710" t="s">
        <v>4339</v>
      </c>
      <c r="D3938" s="709" t="s">
        <v>136</v>
      </c>
      <c r="E3938" s="711">
        <v>0.59530000000000005</v>
      </c>
    </row>
    <row r="3939" spans="1:5" x14ac:dyDescent="0.3">
      <c r="A3939" s="397"/>
      <c r="B3939" s="709">
        <v>91975</v>
      </c>
      <c r="C3939" s="710" t="s">
        <v>4340</v>
      </c>
      <c r="D3939" s="709" t="s">
        <v>136</v>
      </c>
      <c r="E3939" s="711">
        <v>0.57030000000000003</v>
      </c>
    </row>
    <row r="3940" spans="1:5" x14ac:dyDescent="0.3">
      <c r="A3940" s="397"/>
      <c r="B3940" s="709">
        <v>91974</v>
      </c>
      <c r="C3940" s="710" t="s">
        <v>4341</v>
      </c>
      <c r="D3940" s="709" t="s">
        <v>136</v>
      </c>
      <c r="E3940" s="711">
        <v>0.59060000000000001</v>
      </c>
    </row>
    <row r="3941" spans="1:5" x14ac:dyDescent="0.3">
      <c r="A3941" s="397"/>
      <c r="B3941" s="709">
        <v>91977</v>
      </c>
      <c r="C3941" s="710" t="s">
        <v>4342</v>
      </c>
      <c r="D3941" s="709" t="s">
        <v>136</v>
      </c>
      <c r="E3941" s="711">
        <v>0.56969999999999998</v>
      </c>
    </row>
    <row r="3942" spans="1:5" x14ac:dyDescent="0.3">
      <c r="A3942" s="397"/>
      <c r="B3942" s="709">
        <v>91976</v>
      </c>
      <c r="C3942" s="710" t="s">
        <v>4343</v>
      </c>
      <c r="D3942" s="709" t="s">
        <v>136</v>
      </c>
      <c r="E3942" s="711">
        <v>0.58340000000000003</v>
      </c>
    </row>
    <row r="3943" spans="1:5" x14ac:dyDescent="0.3">
      <c r="A3943" s="397"/>
      <c r="B3943" s="709">
        <v>91874</v>
      </c>
      <c r="C3943" s="710" t="s">
        <v>4344</v>
      </c>
      <c r="D3943" s="709" t="s">
        <v>136</v>
      </c>
      <c r="E3943" s="711">
        <v>0.87409999999999999</v>
      </c>
    </row>
    <row r="3944" spans="1:5" x14ac:dyDescent="0.3">
      <c r="A3944" s="397"/>
      <c r="B3944" s="709">
        <v>91878</v>
      </c>
      <c r="C3944" s="710" t="s">
        <v>4345</v>
      </c>
      <c r="D3944" s="709" t="s">
        <v>136</v>
      </c>
      <c r="E3944" s="711">
        <v>0.8407</v>
      </c>
    </row>
    <row r="3945" spans="1:5" x14ac:dyDescent="0.3">
      <c r="A3945" s="397"/>
      <c r="B3945" s="709">
        <v>91882</v>
      </c>
      <c r="C3945" s="710" t="s">
        <v>4346</v>
      </c>
      <c r="D3945" s="709" t="s">
        <v>136</v>
      </c>
      <c r="E3945" s="711">
        <v>0.91220000000000001</v>
      </c>
    </row>
    <row r="3946" spans="1:5" x14ac:dyDescent="0.3">
      <c r="A3946" s="397"/>
      <c r="B3946" s="709">
        <v>91875</v>
      </c>
      <c r="C3946" s="710" t="s">
        <v>4347</v>
      </c>
      <c r="D3946" s="709" t="s">
        <v>136</v>
      </c>
      <c r="E3946" s="711">
        <v>0.84240000000000004</v>
      </c>
    </row>
    <row r="3947" spans="1:5" x14ac:dyDescent="0.3">
      <c r="A3947" s="397"/>
      <c r="B3947" s="709">
        <v>91879</v>
      </c>
      <c r="C3947" s="710" t="s">
        <v>4348</v>
      </c>
      <c r="D3947" s="709" t="s">
        <v>136</v>
      </c>
      <c r="E3947" s="711">
        <v>0.80800000000000005</v>
      </c>
    </row>
    <row r="3948" spans="1:5" x14ac:dyDescent="0.3">
      <c r="A3948" s="397"/>
      <c r="B3948" s="709">
        <v>91884</v>
      </c>
      <c r="C3948" s="710" t="s">
        <v>4349</v>
      </c>
      <c r="D3948" s="709" t="s">
        <v>136</v>
      </c>
      <c r="E3948" s="711">
        <v>0.88490000000000002</v>
      </c>
    </row>
    <row r="3949" spans="1:5" x14ac:dyDescent="0.3">
      <c r="A3949" s="397"/>
      <c r="B3949" s="709">
        <v>91876</v>
      </c>
      <c r="C3949" s="710" t="s">
        <v>4350</v>
      </c>
      <c r="D3949" s="709" t="s">
        <v>136</v>
      </c>
      <c r="E3949" s="711">
        <v>0.81689999999999996</v>
      </c>
    </row>
    <row r="3950" spans="1:5" x14ac:dyDescent="0.3">
      <c r="A3950" s="397"/>
      <c r="B3950" s="709">
        <v>91880</v>
      </c>
      <c r="C3950" s="710" t="s">
        <v>4351</v>
      </c>
      <c r="D3950" s="709" t="s">
        <v>136</v>
      </c>
      <c r="E3950" s="711">
        <v>0.78510000000000002</v>
      </c>
    </row>
    <row r="3951" spans="1:5" x14ac:dyDescent="0.3">
      <c r="A3951" s="397"/>
      <c r="B3951" s="709">
        <v>91885</v>
      </c>
      <c r="C3951" s="710" t="s">
        <v>4352</v>
      </c>
      <c r="D3951" s="709" t="s">
        <v>136</v>
      </c>
      <c r="E3951" s="711">
        <v>0.85929999999999995</v>
      </c>
    </row>
    <row r="3952" spans="1:5" x14ac:dyDescent="0.3">
      <c r="A3952" s="397"/>
      <c r="B3952" s="709">
        <v>91877</v>
      </c>
      <c r="C3952" s="710" t="s">
        <v>4353</v>
      </c>
      <c r="D3952" s="709" t="s">
        <v>136</v>
      </c>
      <c r="E3952" s="711">
        <v>0.76990000000000003</v>
      </c>
    </row>
    <row r="3953" spans="1:5" x14ac:dyDescent="0.3">
      <c r="A3953" s="397"/>
      <c r="B3953" s="709">
        <v>91881</v>
      </c>
      <c r="C3953" s="710" t="s">
        <v>4354</v>
      </c>
      <c r="D3953" s="709" t="s">
        <v>136</v>
      </c>
      <c r="E3953" s="711">
        <v>0.73839999999999995</v>
      </c>
    </row>
    <row r="3954" spans="1:5" x14ac:dyDescent="0.3">
      <c r="A3954" s="397"/>
      <c r="B3954" s="709">
        <v>91886</v>
      </c>
      <c r="C3954" s="710" t="s">
        <v>4355</v>
      </c>
      <c r="D3954" s="709" t="s">
        <v>136</v>
      </c>
      <c r="E3954" s="711">
        <v>0.81440000000000001</v>
      </c>
    </row>
    <row r="3955" spans="1:5" x14ac:dyDescent="0.3">
      <c r="A3955" s="397"/>
      <c r="B3955" s="709">
        <v>91945</v>
      </c>
      <c r="C3955" s="710" t="s">
        <v>4356</v>
      </c>
      <c r="D3955" s="709" t="s">
        <v>136</v>
      </c>
      <c r="E3955" s="711">
        <v>0.69140000000000001</v>
      </c>
    </row>
    <row r="3956" spans="1:5" x14ac:dyDescent="0.3">
      <c r="A3956" s="397"/>
      <c r="B3956" s="709">
        <v>91947</v>
      </c>
      <c r="C3956" s="710" t="s">
        <v>4357</v>
      </c>
      <c r="D3956" s="709" t="s">
        <v>136</v>
      </c>
      <c r="E3956" s="711">
        <v>0.52159999999999995</v>
      </c>
    </row>
    <row r="3957" spans="1:5" x14ac:dyDescent="0.3">
      <c r="A3957" s="397"/>
      <c r="B3957" s="709">
        <v>91946</v>
      </c>
      <c r="C3957" s="710" t="s">
        <v>4358</v>
      </c>
      <c r="D3957" s="709" t="s">
        <v>136</v>
      </c>
      <c r="E3957" s="711">
        <v>0.60540000000000005</v>
      </c>
    </row>
    <row r="3958" spans="1:5" x14ac:dyDescent="0.3">
      <c r="A3958" s="397"/>
      <c r="B3958" s="709">
        <v>91949</v>
      </c>
      <c r="C3958" s="710" t="s">
        <v>4359</v>
      </c>
      <c r="D3958" s="709" t="s">
        <v>136</v>
      </c>
      <c r="E3958" s="711">
        <v>0.58409999999999995</v>
      </c>
    </row>
    <row r="3959" spans="1:5" x14ac:dyDescent="0.3">
      <c r="A3959" s="397"/>
      <c r="B3959" s="709">
        <v>91951</v>
      </c>
      <c r="C3959" s="710" t="s">
        <v>4360</v>
      </c>
      <c r="D3959" s="709" t="s">
        <v>136</v>
      </c>
      <c r="E3959" s="711">
        <v>0.40329999999999999</v>
      </c>
    </row>
    <row r="3960" spans="1:5" x14ac:dyDescent="0.3">
      <c r="A3960" s="397"/>
      <c r="B3960" s="709">
        <v>91950</v>
      </c>
      <c r="C3960" s="710" t="s">
        <v>4361</v>
      </c>
      <c r="D3960" s="709" t="s">
        <v>136</v>
      </c>
      <c r="E3960" s="711">
        <v>0.48670000000000002</v>
      </c>
    </row>
    <row r="3961" spans="1:5" x14ac:dyDescent="0.3">
      <c r="A3961" s="397"/>
      <c r="B3961" s="709">
        <v>91992</v>
      </c>
      <c r="C3961" s="710" t="s">
        <v>4362</v>
      </c>
      <c r="D3961" s="709" t="s">
        <v>136</v>
      </c>
      <c r="E3961" s="711">
        <v>0.73460000000000003</v>
      </c>
    </row>
    <row r="3962" spans="1:5" x14ac:dyDescent="0.3">
      <c r="A3962" s="397"/>
      <c r="B3962" s="709">
        <v>91990</v>
      </c>
      <c r="C3962" s="710" t="s">
        <v>4363</v>
      </c>
      <c r="D3962" s="709" t="s">
        <v>136</v>
      </c>
      <c r="E3962" s="711">
        <v>0.77600000000000002</v>
      </c>
    </row>
    <row r="3963" spans="1:5" x14ac:dyDescent="0.3">
      <c r="A3963" s="397"/>
      <c r="B3963" s="709">
        <v>91993</v>
      </c>
      <c r="C3963" s="710" t="s">
        <v>4364</v>
      </c>
      <c r="D3963" s="709" t="s">
        <v>136</v>
      </c>
      <c r="E3963" s="711">
        <v>0.70130000000000003</v>
      </c>
    </row>
    <row r="3964" spans="1:5" x14ac:dyDescent="0.3">
      <c r="A3964" s="397"/>
      <c r="B3964" s="709">
        <v>91991</v>
      </c>
      <c r="C3964" s="710" t="s">
        <v>4365</v>
      </c>
      <c r="D3964" s="709" t="s">
        <v>136</v>
      </c>
      <c r="E3964" s="711">
        <v>0.73029999999999995</v>
      </c>
    </row>
    <row r="3965" spans="1:5" x14ac:dyDescent="0.3">
      <c r="A3965" s="397"/>
      <c r="B3965" s="709">
        <v>92000</v>
      </c>
      <c r="C3965" s="710" t="s">
        <v>4366</v>
      </c>
      <c r="D3965" s="709" t="s">
        <v>136</v>
      </c>
      <c r="E3965" s="711">
        <v>0.61570000000000003</v>
      </c>
    </row>
    <row r="3966" spans="1:5" x14ac:dyDescent="0.3">
      <c r="A3966" s="397"/>
      <c r="B3966" s="709">
        <v>91998</v>
      </c>
      <c r="C3966" s="710" t="s">
        <v>4367</v>
      </c>
      <c r="D3966" s="709" t="s">
        <v>136</v>
      </c>
      <c r="E3966" s="711">
        <v>0.62119999999999997</v>
      </c>
    </row>
    <row r="3967" spans="1:5" x14ac:dyDescent="0.3">
      <c r="A3967" s="397"/>
      <c r="B3967" s="709">
        <v>92001</v>
      </c>
      <c r="C3967" s="710" t="s">
        <v>4368</v>
      </c>
      <c r="D3967" s="709" t="s">
        <v>136</v>
      </c>
      <c r="E3967" s="711">
        <v>0.57620000000000005</v>
      </c>
    </row>
    <row r="3968" spans="1:5" x14ac:dyDescent="0.3">
      <c r="A3968" s="397"/>
      <c r="B3968" s="709">
        <v>91999</v>
      </c>
      <c r="C3968" s="710" t="s">
        <v>4369</v>
      </c>
      <c r="D3968" s="709" t="s">
        <v>136</v>
      </c>
      <c r="E3968" s="711">
        <v>0.56179999999999997</v>
      </c>
    </row>
    <row r="3969" spans="1:5" x14ac:dyDescent="0.3">
      <c r="A3969" s="397"/>
      <c r="B3969" s="709">
        <v>92008</v>
      </c>
      <c r="C3969" s="710" t="s">
        <v>4370</v>
      </c>
      <c r="D3969" s="709" t="s">
        <v>136</v>
      </c>
      <c r="E3969" s="711">
        <v>0.59189999999999998</v>
      </c>
    </row>
    <row r="3970" spans="1:5" x14ac:dyDescent="0.3">
      <c r="A3970" s="397"/>
      <c r="B3970" s="709">
        <v>92006</v>
      </c>
      <c r="C3970" s="710" t="s">
        <v>4371</v>
      </c>
      <c r="D3970" s="709" t="s">
        <v>136</v>
      </c>
      <c r="E3970" s="711">
        <v>0.58789999999999998</v>
      </c>
    </row>
    <row r="3971" spans="1:5" x14ac:dyDescent="0.3">
      <c r="A3971" s="397"/>
      <c r="B3971" s="709">
        <v>92009</v>
      </c>
      <c r="C3971" s="710" t="s">
        <v>4372</v>
      </c>
      <c r="D3971" s="709" t="s">
        <v>136</v>
      </c>
      <c r="E3971" s="711">
        <v>0.54359999999999997</v>
      </c>
    </row>
    <row r="3972" spans="1:5" x14ac:dyDescent="0.3">
      <c r="A3972" s="397"/>
      <c r="B3972" s="709">
        <v>92007</v>
      </c>
      <c r="C3972" s="710" t="s">
        <v>4373</v>
      </c>
      <c r="D3972" s="709" t="s">
        <v>136</v>
      </c>
      <c r="E3972" s="711">
        <v>0.52729999999999999</v>
      </c>
    </row>
    <row r="3973" spans="1:5" x14ac:dyDescent="0.3">
      <c r="A3973" s="397"/>
      <c r="B3973" s="709">
        <v>92016</v>
      </c>
      <c r="C3973" s="710" t="s">
        <v>4374</v>
      </c>
      <c r="D3973" s="709" t="s">
        <v>136</v>
      </c>
      <c r="E3973" s="711">
        <v>0.5806</v>
      </c>
    </row>
    <row r="3974" spans="1:5" x14ac:dyDescent="0.3">
      <c r="A3974" s="397"/>
      <c r="B3974" s="709">
        <v>92014</v>
      </c>
      <c r="C3974" s="710" t="s">
        <v>4375</v>
      </c>
      <c r="D3974" s="709" t="s">
        <v>136</v>
      </c>
      <c r="E3974" s="711">
        <v>0.5756</v>
      </c>
    </row>
    <row r="3975" spans="1:5" x14ac:dyDescent="0.3">
      <c r="A3975" s="397"/>
      <c r="B3975" s="709">
        <v>92017</v>
      </c>
      <c r="C3975" s="710" t="s">
        <v>4376</v>
      </c>
      <c r="D3975" s="709" t="s">
        <v>136</v>
      </c>
      <c r="E3975" s="711">
        <v>0.52849999999999997</v>
      </c>
    </row>
    <row r="3976" spans="1:5" x14ac:dyDescent="0.3">
      <c r="A3976" s="397"/>
      <c r="B3976" s="709">
        <v>92015</v>
      </c>
      <c r="C3976" s="710" t="s">
        <v>4377</v>
      </c>
      <c r="D3976" s="709" t="s">
        <v>136</v>
      </c>
      <c r="E3976" s="711">
        <v>0.51459999999999995</v>
      </c>
    </row>
    <row r="3977" spans="1:5" x14ac:dyDescent="0.3">
      <c r="A3977" s="397"/>
      <c r="B3977" s="709">
        <v>92019</v>
      </c>
      <c r="C3977" s="710" t="s">
        <v>4378</v>
      </c>
      <c r="D3977" s="709" t="s">
        <v>136</v>
      </c>
      <c r="E3977" s="711">
        <v>0.55679999999999996</v>
      </c>
    </row>
    <row r="3978" spans="1:5" x14ac:dyDescent="0.3">
      <c r="A3978" s="397"/>
      <c r="B3978" s="709">
        <v>92018</v>
      </c>
      <c r="C3978" s="710" t="s">
        <v>4379</v>
      </c>
      <c r="D3978" s="709" t="s">
        <v>136</v>
      </c>
      <c r="E3978" s="711">
        <v>0.57250000000000001</v>
      </c>
    </row>
    <row r="3979" spans="1:5" x14ac:dyDescent="0.3">
      <c r="A3979" s="397"/>
      <c r="B3979" s="709">
        <v>92021</v>
      </c>
      <c r="C3979" s="710" t="s">
        <v>4380</v>
      </c>
      <c r="D3979" s="709" t="s">
        <v>136</v>
      </c>
      <c r="E3979" s="711">
        <v>0.5554</v>
      </c>
    </row>
    <row r="3980" spans="1:5" x14ac:dyDescent="0.3">
      <c r="A3980" s="397"/>
      <c r="B3980" s="709">
        <v>92020</v>
      </c>
      <c r="C3980" s="710" t="s">
        <v>4381</v>
      </c>
      <c r="D3980" s="709" t="s">
        <v>136</v>
      </c>
      <c r="E3980" s="711">
        <v>0.56579999999999997</v>
      </c>
    </row>
    <row r="3981" spans="1:5" x14ac:dyDescent="0.3">
      <c r="A3981" s="397"/>
      <c r="B3981" s="709">
        <v>91996</v>
      </c>
      <c r="C3981" s="710" t="s">
        <v>4382</v>
      </c>
      <c r="D3981" s="709" t="s">
        <v>136</v>
      </c>
      <c r="E3981" s="711">
        <v>0.6583</v>
      </c>
    </row>
    <row r="3982" spans="1:5" x14ac:dyDescent="0.3">
      <c r="A3982" s="397"/>
      <c r="B3982" s="709">
        <v>91994</v>
      </c>
      <c r="C3982" s="710" t="s">
        <v>4383</v>
      </c>
      <c r="D3982" s="709" t="s">
        <v>136</v>
      </c>
      <c r="E3982" s="711">
        <v>0.68240000000000001</v>
      </c>
    </row>
    <row r="3983" spans="1:5" x14ac:dyDescent="0.3">
      <c r="A3983" s="397"/>
      <c r="B3983" s="709">
        <v>91997</v>
      </c>
      <c r="C3983" s="710" t="s">
        <v>4384</v>
      </c>
      <c r="D3983" s="709" t="s">
        <v>136</v>
      </c>
      <c r="E3983" s="711">
        <v>0.62050000000000005</v>
      </c>
    </row>
    <row r="3984" spans="1:5" x14ac:dyDescent="0.3">
      <c r="A3984" s="397"/>
      <c r="B3984" s="709">
        <v>91995</v>
      </c>
      <c r="C3984" s="710" t="s">
        <v>4385</v>
      </c>
      <c r="D3984" s="709" t="s">
        <v>136</v>
      </c>
      <c r="E3984" s="711">
        <v>0.62680000000000002</v>
      </c>
    </row>
    <row r="3985" spans="1:5" x14ac:dyDescent="0.3">
      <c r="A3985" s="397"/>
      <c r="B3985" s="709">
        <v>92004</v>
      </c>
      <c r="C3985" s="710" t="s">
        <v>4386</v>
      </c>
      <c r="D3985" s="709" t="s">
        <v>136</v>
      </c>
      <c r="E3985" s="711">
        <v>0.64910000000000001</v>
      </c>
    </row>
    <row r="3986" spans="1:5" x14ac:dyDescent="0.3">
      <c r="A3986" s="397"/>
      <c r="B3986" s="709">
        <v>92002</v>
      </c>
      <c r="C3986" s="710" t="s">
        <v>4387</v>
      </c>
      <c r="D3986" s="709" t="s">
        <v>136</v>
      </c>
      <c r="E3986" s="711">
        <v>0.65969999999999995</v>
      </c>
    </row>
    <row r="3987" spans="1:5" x14ac:dyDescent="0.3">
      <c r="A3987" s="397"/>
      <c r="B3987" s="709">
        <v>92005</v>
      </c>
      <c r="C3987" s="710" t="s">
        <v>4388</v>
      </c>
      <c r="D3987" s="709" t="s">
        <v>136</v>
      </c>
      <c r="E3987" s="711">
        <v>0.60299999999999998</v>
      </c>
    </row>
    <row r="3988" spans="1:5" x14ac:dyDescent="0.3">
      <c r="A3988" s="397"/>
      <c r="B3988" s="709">
        <v>92003</v>
      </c>
      <c r="C3988" s="710" t="s">
        <v>4389</v>
      </c>
      <c r="D3988" s="709" t="s">
        <v>136</v>
      </c>
      <c r="E3988" s="711">
        <v>0.60250000000000004</v>
      </c>
    </row>
    <row r="3989" spans="1:5" x14ac:dyDescent="0.3">
      <c r="A3989" s="397"/>
      <c r="B3989" s="709">
        <v>92012</v>
      </c>
      <c r="C3989" s="710" t="s">
        <v>4390</v>
      </c>
      <c r="D3989" s="709" t="s">
        <v>136</v>
      </c>
      <c r="E3989" s="711">
        <v>0.64459999999999995</v>
      </c>
    </row>
    <row r="3990" spans="1:5" x14ac:dyDescent="0.3">
      <c r="A3990" s="397"/>
      <c r="B3990" s="709">
        <v>92010</v>
      </c>
      <c r="C3990" s="710" t="s">
        <v>4391</v>
      </c>
      <c r="D3990" s="709" t="s">
        <v>136</v>
      </c>
      <c r="E3990" s="711">
        <v>0.6512</v>
      </c>
    </row>
    <row r="3991" spans="1:5" x14ac:dyDescent="0.3">
      <c r="A3991" s="397"/>
      <c r="B3991" s="709">
        <v>92013</v>
      </c>
      <c r="C3991" s="710" t="s">
        <v>4392</v>
      </c>
      <c r="D3991" s="709" t="s">
        <v>136</v>
      </c>
      <c r="E3991" s="711">
        <v>0.59499999999999997</v>
      </c>
    </row>
    <row r="3992" spans="1:5" x14ac:dyDescent="0.3">
      <c r="A3992" s="397"/>
      <c r="B3992" s="709">
        <v>92011</v>
      </c>
      <c r="C3992" s="710" t="s">
        <v>4393</v>
      </c>
      <c r="D3992" s="709" t="s">
        <v>136</v>
      </c>
      <c r="E3992" s="711">
        <v>0.59340000000000004</v>
      </c>
    </row>
    <row r="3993" spans="1:5" x14ac:dyDescent="0.3">
      <c r="A3993" s="397"/>
      <c r="B3993" s="709">
        <v>95777</v>
      </c>
      <c r="C3993" s="710" t="s">
        <v>13753</v>
      </c>
      <c r="D3993" s="709" t="s">
        <v>136</v>
      </c>
      <c r="E3993" s="711">
        <v>0.38019999999999998</v>
      </c>
    </row>
    <row r="3994" spans="1:5" x14ac:dyDescent="0.3">
      <c r="A3994" s="397"/>
      <c r="B3994" s="709">
        <v>95780</v>
      </c>
      <c r="C3994" s="710" t="s">
        <v>13754</v>
      </c>
      <c r="D3994" s="709" t="s">
        <v>136</v>
      </c>
      <c r="E3994" s="711">
        <v>0.32919999999999999</v>
      </c>
    </row>
    <row r="3995" spans="1:5" x14ac:dyDescent="0.3">
      <c r="A3995" s="397"/>
      <c r="B3995" s="709">
        <v>95778</v>
      </c>
      <c r="C3995" s="710" t="s">
        <v>13755</v>
      </c>
      <c r="D3995" s="709" t="s">
        <v>136</v>
      </c>
      <c r="E3995" s="711">
        <v>0.42630000000000001</v>
      </c>
    </row>
    <row r="3996" spans="1:5" x14ac:dyDescent="0.3">
      <c r="A3996" s="397"/>
      <c r="B3996" s="709">
        <v>95781</v>
      </c>
      <c r="C3996" s="710" t="s">
        <v>13756</v>
      </c>
      <c r="D3996" s="709" t="s">
        <v>136</v>
      </c>
      <c r="E3996" s="711">
        <v>0.37990000000000002</v>
      </c>
    </row>
    <row r="3997" spans="1:5" x14ac:dyDescent="0.3">
      <c r="A3997" s="397"/>
      <c r="B3997" s="709">
        <v>95782</v>
      </c>
      <c r="C3997" s="710" t="s">
        <v>13757</v>
      </c>
      <c r="D3997" s="709" t="s">
        <v>136</v>
      </c>
      <c r="E3997" s="711">
        <v>0.30430000000000001</v>
      </c>
    </row>
    <row r="3998" spans="1:5" x14ac:dyDescent="0.3">
      <c r="A3998" s="397"/>
      <c r="B3998" s="709">
        <v>95779</v>
      </c>
      <c r="C3998" s="710" t="s">
        <v>13758</v>
      </c>
      <c r="D3998" s="709" t="s">
        <v>136</v>
      </c>
      <c r="E3998" s="711">
        <v>0.41489999999999999</v>
      </c>
    </row>
    <row r="3999" spans="1:5" x14ac:dyDescent="0.3">
      <c r="A3999" s="397"/>
      <c r="B3999" s="709">
        <v>95785</v>
      </c>
      <c r="C3999" s="710" t="s">
        <v>13759</v>
      </c>
      <c r="D3999" s="709" t="s">
        <v>136</v>
      </c>
      <c r="E3999" s="711">
        <v>0.26769999999999999</v>
      </c>
    </row>
    <row r="4000" spans="1:5" x14ac:dyDescent="0.3">
      <c r="A4000" s="397"/>
      <c r="B4000" s="709">
        <v>95787</v>
      </c>
      <c r="C4000" s="710" t="s">
        <v>13760</v>
      </c>
      <c r="D4000" s="709" t="s">
        <v>136</v>
      </c>
      <c r="E4000" s="711">
        <v>0.51800000000000002</v>
      </c>
    </row>
    <row r="4001" spans="1:5" x14ac:dyDescent="0.3">
      <c r="A4001" s="397"/>
      <c r="B4001" s="709">
        <v>95789</v>
      </c>
      <c r="C4001" s="710" t="s">
        <v>13761</v>
      </c>
      <c r="D4001" s="709" t="s">
        <v>136</v>
      </c>
      <c r="E4001" s="711">
        <v>0.4168</v>
      </c>
    </row>
    <row r="4002" spans="1:5" x14ac:dyDescent="0.3">
      <c r="A4002" s="397"/>
      <c r="B4002" s="709">
        <v>95791</v>
      </c>
      <c r="C4002" s="710" t="s">
        <v>13762</v>
      </c>
      <c r="D4002" s="709" t="s">
        <v>136</v>
      </c>
      <c r="E4002" s="711">
        <v>0.32640000000000002</v>
      </c>
    </row>
    <row r="4003" spans="1:5" x14ac:dyDescent="0.3">
      <c r="A4003" s="397"/>
      <c r="B4003" s="709">
        <v>95795</v>
      </c>
      <c r="C4003" s="710" t="s">
        <v>13763</v>
      </c>
      <c r="D4003" s="709" t="s">
        <v>136</v>
      </c>
      <c r="E4003" s="711">
        <v>0.52510000000000001</v>
      </c>
    </row>
    <row r="4004" spans="1:5" x14ac:dyDescent="0.3">
      <c r="A4004" s="397"/>
      <c r="B4004" s="709">
        <v>95796</v>
      </c>
      <c r="C4004" s="710" t="s">
        <v>13764</v>
      </c>
      <c r="D4004" s="709" t="s">
        <v>136</v>
      </c>
      <c r="E4004" s="711">
        <v>0.41849999999999998</v>
      </c>
    </row>
    <row r="4005" spans="1:5" x14ac:dyDescent="0.3">
      <c r="A4005" s="397"/>
      <c r="B4005" s="709">
        <v>95797</v>
      </c>
      <c r="C4005" s="710" t="s">
        <v>13765</v>
      </c>
      <c r="D4005" s="709" t="s">
        <v>136</v>
      </c>
      <c r="E4005" s="711">
        <v>0.33739999999999998</v>
      </c>
    </row>
    <row r="4006" spans="1:5" x14ac:dyDescent="0.3">
      <c r="A4006" s="397"/>
      <c r="B4006" s="709">
        <v>95801</v>
      </c>
      <c r="C4006" s="710" t="s">
        <v>13766</v>
      </c>
      <c r="D4006" s="709" t="s">
        <v>136</v>
      </c>
      <c r="E4006" s="711">
        <v>0.49380000000000002</v>
      </c>
    </row>
    <row r="4007" spans="1:5" x14ac:dyDescent="0.3">
      <c r="A4007" s="397"/>
      <c r="B4007" s="709">
        <v>95802</v>
      </c>
      <c r="C4007" s="710" t="s">
        <v>13767</v>
      </c>
      <c r="D4007" s="709" t="s">
        <v>136</v>
      </c>
      <c r="E4007" s="711">
        <v>0.46460000000000001</v>
      </c>
    </row>
    <row r="4008" spans="1:5" x14ac:dyDescent="0.3">
      <c r="A4008" s="397"/>
      <c r="B4008" s="709">
        <v>95803</v>
      </c>
      <c r="C4008" s="710" t="s">
        <v>13768</v>
      </c>
      <c r="D4008" s="709" t="s">
        <v>136</v>
      </c>
      <c r="E4008" s="711">
        <v>0.35859999999999997</v>
      </c>
    </row>
    <row r="4009" spans="1:5" x14ac:dyDescent="0.3">
      <c r="A4009" s="397"/>
      <c r="B4009" s="709">
        <v>95804</v>
      </c>
      <c r="C4009" s="710" t="s">
        <v>13769</v>
      </c>
      <c r="D4009" s="709" t="s">
        <v>136</v>
      </c>
      <c r="E4009" s="711">
        <v>0.42499999999999999</v>
      </c>
    </row>
    <row r="4010" spans="1:5" x14ac:dyDescent="0.3">
      <c r="A4010" s="397"/>
      <c r="B4010" s="709">
        <v>95805</v>
      </c>
      <c r="C4010" s="710" t="s">
        <v>13770</v>
      </c>
      <c r="D4010" s="709" t="s">
        <v>136</v>
      </c>
      <c r="E4010" s="711">
        <v>0.42899999999999999</v>
      </c>
    </row>
    <row r="4011" spans="1:5" x14ac:dyDescent="0.3">
      <c r="A4011" s="397"/>
      <c r="B4011" s="709">
        <v>95806</v>
      </c>
      <c r="C4011" s="710" t="s">
        <v>13771</v>
      </c>
      <c r="D4011" s="709" t="s">
        <v>136</v>
      </c>
      <c r="E4011" s="711">
        <v>0.4244</v>
      </c>
    </row>
    <row r="4012" spans="1:5" x14ac:dyDescent="0.3">
      <c r="A4012" s="397"/>
      <c r="B4012" s="709">
        <v>104401</v>
      </c>
      <c r="C4012" s="710" t="s">
        <v>13772</v>
      </c>
      <c r="D4012" s="709" t="s">
        <v>136</v>
      </c>
      <c r="E4012" s="711">
        <v>0.43809999999999999</v>
      </c>
    </row>
    <row r="4013" spans="1:5" x14ac:dyDescent="0.3">
      <c r="A4013" s="397"/>
      <c r="B4013" s="709">
        <v>104402</v>
      </c>
      <c r="C4013" s="710" t="s">
        <v>13773</v>
      </c>
      <c r="D4013" s="709" t="s">
        <v>136</v>
      </c>
      <c r="E4013" s="711">
        <v>0.47249999999999998</v>
      </c>
    </row>
    <row r="4014" spans="1:5" x14ac:dyDescent="0.3">
      <c r="A4014" s="397"/>
      <c r="B4014" s="709">
        <v>104403</v>
      </c>
      <c r="C4014" s="710" t="s">
        <v>13774</v>
      </c>
      <c r="D4014" s="709" t="s">
        <v>136</v>
      </c>
      <c r="E4014" s="711">
        <v>0.42870000000000003</v>
      </c>
    </row>
    <row r="4015" spans="1:5" x14ac:dyDescent="0.3">
      <c r="A4015" s="397"/>
      <c r="B4015" s="709">
        <v>104395</v>
      </c>
      <c r="C4015" s="710" t="s">
        <v>13775</v>
      </c>
      <c r="D4015" s="709" t="s">
        <v>136</v>
      </c>
      <c r="E4015" s="711">
        <v>0.43559999999999999</v>
      </c>
    </row>
    <row r="4016" spans="1:5" x14ac:dyDescent="0.3">
      <c r="A4016" s="397"/>
      <c r="B4016" s="709">
        <v>104396</v>
      </c>
      <c r="C4016" s="710" t="s">
        <v>13776</v>
      </c>
      <c r="D4016" s="709" t="s">
        <v>136</v>
      </c>
      <c r="E4016" s="711">
        <v>0.45910000000000001</v>
      </c>
    </row>
    <row r="4017" spans="1:5" x14ac:dyDescent="0.3">
      <c r="A4017" s="397"/>
      <c r="B4017" s="709">
        <v>104397</v>
      </c>
      <c r="C4017" s="710" t="s">
        <v>13777</v>
      </c>
      <c r="D4017" s="709" t="s">
        <v>136</v>
      </c>
      <c r="E4017" s="711">
        <v>0.41189999999999999</v>
      </c>
    </row>
    <row r="4018" spans="1:5" x14ac:dyDescent="0.3">
      <c r="A4018" s="397"/>
      <c r="B4018" s="709">
        <v>95810</v>
      </c>
      <c r="C4018" s="710" t="s">
        <v>13778</v>
      </c>
      <c r="D4018" s="709" t="s">
        <v>136</v>
      </c>
      <c r="E4018" s="711">
        <v>0.248</v>
      </c>
    </row>
    <row r="4019" spans="1:5" x14ac:dyDescent="0.3">
      <c r="A4019" s="397"/>
      <c r="B4019" s="709">
        <v>95811</v>
      </c>
      <c r="C4019" s="710" t="s">
        <v>13779</v>
      </c>
      <c r="D4019" s="709" t="s">
        <v>136</v>
      </c>
      <c r="E4019" s="711">
        <v>0.26790000000000003</v>
      </c>
    </row>
    <row r="4020" spans="1:5" x14ac:dyDescent="0.3">
      <c r="A4020" s="397"/>
      <c r="B4020" s="709">
        <v>95812</v>
      </c>
      <c r="C4020" s="710" t="s">
        <v>13780</v>
      </c>
      <c r="D4020" s="709" t="s">
        <v>136</v>
      </c>
      <c r="E4020" s="711">
        <v>0.26340000000000002</v>
      </c>
    </row>
    <row r="4021" spans="1:5" x14ac:dyDescent="0.3">
      <c r="A4021" s="397"/>
      <c r="B4021" s="709">
        <v>95807</v>
      </c>
      <c r="C4021" s="710" t="s">
        <v>13781</v>
      </c>
      <c r="D4021" s="709" t="s">
        <v>136</v>
      </c>
      <c r="E4021" s="711">
        <v>0.46879999999999999</v>
      </c>
    </row>
    <row r="4022" spans="1:5" x14ac:dyDescent="0.3">
      <c r="A4022" s="397"/>
      <c r="B4022" s="709">
        <v>95808</v>
      </c>
      <c r="C4022" s="710" t="s">
        <v>13782</v>
      </c>
      <c r="D4022" s="709" t="s">
        <v>136</v>
      </c>
      <c r="E4022" s="711">
        <v>0.47810000000000002</v>
      </c>
    </row>
    <row r="4023" spans="1:5" x14ac:dyDescent="0.3">
      <c r="A4023" s="397"/>
      <c r="B4023" s="709">
        <v>95809</v>
      </c>
      <c r="C4023" s="710" t="s">
        <v>13783</v>
      </c>
      <c r="D4023" s="709" t="s">
        <v>136</v>
      </c>
      <c r="E4023" s="711">
        <v>0.4551</v>
      </c>
    </row>
    <row r="4024" spans="1:5" x14ac:dyDescent="0.3">
      <c r="A4024" s="397"/>
      <c r="B4024" s="709">
        <v>104398</v>
      </c>
      <c r="C4024" s="710" t="s">
        <v>13784</v>
      </c>
      <c r="D4024" s="709" t="s">
        <v>136</v>
      </c>
      <c r="E4024" s="711">
        <v>0.46910000000000002</v>
      </c>
    </row>
    <row r="4025" spans="1:5" x14ac:dyDescent="0.3">
      <c r="A4025" s="397"/>
      <c r="B4025" s="709">
        <v>104399</v>
      </c>
      <c r="C4025" s="710" t="s">
        <v>13785</v>
      </c>
      <c r="D4025" s="709" t="s">
        <v>136</v>
      </c>
      <c r="E4025" s="711">
        <v>0.50590000000000002</v>
      </c>
    </row>
    <row r="4026" spans="1:5" x14ac:dyDescent="0.3">
      <c r="A4026" s="397"/>
      <c r="B4026" s="709">
        <v>104400</v>
      </c>
      <c r="C4026" s="710" t="s">
        <v>13786</v>
      </c>
      <c r="D4026" s="709" t="s">
        <v>136</v>
      </c>
      <c r="E4026" s="711">
        <v>0.46489999999999998</v>
      </c>
    </row>
    <row r="4027" spans="1:5" x14ac:dyDescent="0.3">
      <c r="A4027" s="397"/>
      <c r="B4027" s="709">
        <v>104404</v>
      </c>
      <c r="C4027" s="710" t="s">
        <v>13787</v>
      </c>
      <c r="D4027" s="709" t="s">
        <v>136</v>
      </c>
      <c r="E4027" s="711">
        <v>0.4924</v>
      </c>
    </row>
    <row r="4028" spans="1:5" x14ac:dyDescent="0.3">
      <c r="A4028" s="397"/>
      <c r="B4028" s="709">
        <v>104405</v>
      </c>
      <c r="C4028" s="710" t="s">
        <v>13788</v>
      </c>
      <c r="D4028" s="709" t="s">
        <v>136</v>
      </c>
      <c r="E4028" s="711">
        <v>0.43390000000000001</v>
      </c>
    </row>
    <row r="4029" spans="1:5" x14ac:dyDescent="0.3">
      <c r="A4029" s="397"/>
      <c r="B4029" s="709">
        <v>95813</v>
      </c>
      <c r="C4029" s="710" t="s">
        <v>13789</v>
      </c>
      <c r="D4029" s="709" t="s">
        <v>136</v>
      </c>
      <c r="E4029" s="711">
        <v>0.2853</v>
      </c>
    </row>
    <row r="4030" spans="1:5" x14ac:dyDescent="0.3">
      <c r="A4030" s="397"/>
      <c r="B4030" s="709">
        <v>95814</v>
      </c>
      <c r="C4030" s="710" t="s">
        <v>13790</v>
      </c>
      <c r="D4030" s="709" t="s">
        <v>136</v>
      </c>
      <c r="E4030" s="711">
        <v>0.30659999999999998</v>
      </c>
    </row>
    <row r="4031" spans="1:5" x14ac:dyDescent="0.3">
      <c r="A4031" s="397"/>
      <c r="B4031" s="709">
        <v>95815</v>
      </c>
      <c r="C4031" s="710" t="s">
        <v>13791</v>
      </c>
      <c r="D4031" s="709" t="s">
        <v>136</v>
      </c>
      <c r="E4031" s="711">
        <v>0.2762</v>
      </c>
    </row>
    <row r="4032" spans="1:5" x14ac:dyDescent="0.3">
      <c r="A4032" s="397"/>
      <c r="B4032" s="709">
        <v>95816</v>
      </c>
      <c r="C4032" s="710" t="s">
        <v>13792</v>
      </c>
      <c r="D4032" s="709" t="s">
        <v>136</v>
      </c>
      <c r="E4032" s="711">
        <v>0.47289999999999999</v>
      </c>
    </row>
    <row r="4033" spans="1:5" x14ac:dyDescent="0.3">
      <c r="A4033" s="397"/>
      <c r="B4033" s="709">
        <v>95817</v>
      </c>
      <c r="C4033" s="710" t="s">
        <v>13793</v>
      </c>
      <c r="D4033" s="709" t="s">
        <v>136</v>
      </c>
      <c r="E4033" s="711">
        <v>0.49349999999999999</v>
      </c>
    </row>
    <row r="4034" spans="1:5" x14ac:dyDescent="0.3">
      <c r="A4034" s="397"/>
      <c r="B4034" s="709">
        <v>95818</v>
      </c>
      <c r="C4034" s="710" t="s">
        <v>13794</v>
      </c>
      <c r="D4034" s="709" t="s">
        <v>136</v>
      </c>
      <c r="E4034" s="711">
        <v>0.43020000000000003</v>
      </c>
    </row>
    <row r="4035" spans="1:5" x14ac:dyDescent="0.3">
      <c r="A4035" s="397"/>
      <c r="B4035" s="709">
        <v>104391</v>
      </c>
      <c r="C4035" s="710" t="s">
        <v>13795</v>
      </c>
      <c r="D4035" s="709" t="s">
        <v>136</v>
      </c>
      <c r="E4035" s="711">
        <v>0.44119999999999998</v>
      </c>
    </row>
    <row r="4036" spans="1:5" x14ac:dyDescent="0.3">
      <c r="A4036" s="397"/>
      <c r="B4036" s="709">
        <v>104392</v>
      </c>
      <c r="C4036" s="710" t="s">
        <v>13796</v>
      </c>
      <c r="D4036" s="709" t="s">
        <v>136</v>
      </c>
      <c r="E4036" s="711">
        <v>0.36730000000000002</v>
      </c>
    </row>
    <row r="4037" spans="1:5" x14ac:dyDescent="0.3">
      <c r="A4037" s="397"/>
      <c r="B4037" s="709">
        <v>104393</v>
      </c>
      <c r="C4037" s="710" t="s">
        <v>13797</v>
      </c>
      <c r="D4037" s="709" t="s">
        <v>136</v>
      </c>
      <c r="E4037" s="711">
        <v>0.2356</v>
      </c>
    </row>
    <row r="4038" spans="1:5" x14ac:dyDescent="0.3">
      <c r="A4038" s="397"/>
      <c r="B4038" s="709">
        <v>104394</v>
      </c>
      <c r="C4038" s="710" t="s">
        <v>13798</v>
      </c>
      <c r="D4038" s="709" t="s">
        <v>136</v>
      </c>
      <c r="E4038" s="711">
        <v>0.18459999999999999</v>
      </c>
    </row>
    <row r="4039" spans="1:5" x14ac:dyDescent="0.3">
      <c r="A4039" s="397"/>
      <c r="B4039" s="709">
        <v>95761</v>
      </c>
      <c r="C4039" s="710" t="s">
        <v>13799</v>
      </c>
      <c r="D4039" s="709" t="s">
        <v>136</v>
      </c>
      <c r="E4039" s="711">
        <v>0.47810000000000002</v>
      </c>
    </row>
    <row r="4040" spans="1:5" x14ac:dyDescent="0.3">
      <c r="A4040" s="397"/>
      <c r="B4040" s="709">
        <v>95763</v>
      </c>
      <c r="C4040" s="710" t="s">
        <v>13800</v>
      </c>
      <c r="D4040" s="709" t="s">
        <v>136</v>
      </c>
      <c r="E4040" s="711">
        <v>0.4355</v>
      </c>
    </row>
    <row r="4041" spans="1:5" x14ac:dyDescent="0.3">
      <c r="A4041" s="397"/>
      <c r="B4041" s="709">
        <v>95767</v>
      </c>
      <c r="C4041" s="710" t="s">
        <v>13801</v>
      </c>
      <c r="D4041" s="709" t="s">
        <v>136</v>
      </c>
      <c r="E4041" s="711">
        <v>0.2452</v>
      </c>
    </row>
    <row r="4042" spans="1:5" x14ac:dyDescent="0.3">
      <c r="A4042" s="397"/>
      <c r="B4042" s="709">
        <v>95762</v>
      </c>
      <c r="C4042" s="710" t="s">
        <v>13802</v>
      </c>
      <c r="D4042" s="709" t="s">
        <v>136</v>
      </c>
      <c r="E4042" s="711">
        <v>0.47599999999999998</v>
      </c>
    </row>
    <row r="4043" spans="1:5" x14ac:dyDescent="0.3">
      <c r="A4043" s="397"/>
      <c r="B4043" s="709">
        <v>95764</v>
      </c>
      <c r="C4043" s="710" t="s">
        <v>13803</v>
      </c>
      <c r="D4043" s="709" t="s">
        <v>136</v>
      </c>
      <c r="E4043" s="711">
        <v>0.4284</v>
      </c>
    </row>
    <row r="4044" spans="1:5" x14ac:dyDescent="0.3">
      <c r="A4044" s="397"/>
      <c r="B4044" s="709">
        <v>95766</v>
      </c>
      <c r="C4044" s="710" t="s">
        <v>13804</v>
      </c>
      <c r="D4044" s="709" t="s">
        <v>136</v>
      </c>
      <c r="E4044" s="711">
        <v>0.2777</v>
      </c>
    </row>
    <row r="4045" spans="1:5" x14ac:dyDescent="0.3">
      <c r="A4045" s="397"/>
      <c r="B4045" s="709">
        <v>95768</v>
      </c>
      <c r="C4045" s="710" t="s">
        <v>13805</v>
      </c>
      <c r="D4045" s="709" t="s">
        <v>136</v>
      </c>
      <c r="E4045" s="711">
        <v>0.2414</v>
      </c>
    </row>
    <row r="4046" spans="1:5" x14ac:dyDescent="0.3">
      <c r="A4046" s="397"/>
      <c r="B4046" s="709">
        <v>106671</v>
      </c>
      <c r="C4046" s="710" t="s">
        <v>13806</v>
      </c>
      <c r="D4046" s="709" t="s">
        <v>159</v>
      </c>
      <c r="E4046" s="711">
        <v>6.6900000000000001E-2</v>
      </c>
    </row>
    <row r="4047" spans="1:5" x14ac:dyDescent="0.3">
      <c r="A4047" s="397"/>
      <c r="B4047" s="709">
        <v>106670</v>
      </c>
      <c r="C4047" s="710" t="s">
        <v>13807</v>
      </c>
      <c r="D4047" s="709" t="s">
        <v>159</v>
      </c>
      <c r="E4047" s="711">
        <v>8.7300000000000003E-2</v>
      </c>
    </row>
    <row r="4048" spans="1:5" x14ac:dyDescent="0.3">
      <c r="A4048" s="397"/>
      <c r="B4048" s="709">
        <v>106669</v>
      </c>
      <c r="C4048" s="710" t="s">
        <v>13808</v>
      </c>
      <c r="D4048" s="709" t="s">
        <v>159</v>
      </c>
      <c r="E4048" s="711">
        <v>0.1011</v>
      </c>
    </row>
    <row r="4049" spans="1:5" x14ac:dyDescent="0.3">
      <c r="A4049" s="397"/>
      <c r="B4049" s="709">
        <v>95726</v>
      </c>
      <c r="C4049" s="710" t="s">
        <v>13809</v>
      </c>
      <c r="D4049" s="709" t="s">
        <v>159</v>
      </c>
      <c r="E4049" s="711">
        <v>0.68920000000000003</v>
      </c>
    </row>
    <row r="4050" spans="1:5" x14ac:dyDescent="0.3">
      <c r="A4050" s="397"/>
      <c r="B4050" s="709">
        <v>95727</v>
      </c>
      <c r="C4050" s="710" t="s">
        <v>13810</v>
      </c>
      <c r="D4050" s="709" t="s">
        <v>159</v>
      </c>
      <c r="E4050" s="711">
        <v>0.66830000000000001</v>
      </c>
    </row>
    <row r="4051" spans="1:5" x14ac:dyDescent="0.3">
      <c r="A4051" s="397"/>
      <c r="B4051" s="709">
        <v>95728</v>
      </c>
      <c r="C4051" s="710" t="s">
        <v>13811</v>
      </c>
      <c r="D4051" s="709" t="s">
        <v>159</v>
      </c>
      <c r="E4051" s="711">
        <v>0.61260000000000003</v>
      </c>
    </row>
    <row r="4052" spans="1:5" x14ac:dyDescent="0.3">
      <c r="A4052" s="397"/>
      <c r="B4052" s="709">
        <v>104452</v>
      </c>
      <c r="C4052" s="710" t="s">
        <v>13812</v>
      </c>
      <c r="D4052" s="709" t="s">
        <v>136</v>
      </c>
      <c r="E4052" s="711">
        <v>0.73809999999999998</v>
      </c>
    </row>
    <row r="4053" spans="1:5" x14ac:dyDescent="0.3">
      <c r="A4053" s="397"/>
      <c r="B4053" s="709">
        <v>104448</v>
      </c>
      <c r="C4053" s="710" t="s">
        <v>13813</v>
      </c>
      <c r="D4053" s="709" t="s">
        <v>136</v>
      </c>
      <c r="E4053" s="711">
        <v>0.71850000000000003</v>
      </c>
    </row>
    <row r="4054" spans="1:5" x14ac:dyDescent="0.3">
      <c r="A4054" s="397"/>
      <c r="B4054" s="709">
        <v>104449</v>
      </c>
      <c r="C4054" s="710" t="s">
        <v>13814</v>
      </c>
      <c r="D4054" s="709" t="s">
        <v>136</v>
      </c>
      <c r="E4054" s="711">
        <v>0.60499999999999998</v>
      </c>
    </row>
    <row r="4055" spans="1:5" x14ac:dyDescent="0.3">
      <c r="A4055" s="397"/>
      <c r="B4055" s="709">
        <v>104450</v>
      </c>
      <c r="C4055" s="710" t="s">
        <v>13815</v>
      </c>
      <c r="D4055" s="709" t="s">
        <v>136</v>
      </c>
      <c r="E4055" s="711">
        <v>0.53180000000000005</v>
      </c>
    </row>
    <row r="4056" spans="1:5" x14ac:dyDescent="0.3">
      <c r="A4056" s="397"/>
      <c r="B4056" s="709">
        <v>101884</v>
      </c>
      <c r="C4056" s="710" t="s">
        <v>4394</v>
      </c>
      <c r="D4056" s="709" t="s">
        <v>159</v>
      </c>
      <c r="E4056" s="711">
        <v>1.6899999999999998E-2</v>
      </c>
    </row>
    <row r="4057" spans="1:5" x14ac:dyDescent="0.3">
      <c r="A4057" s="397"/>
      <c r="B4057" s="709">
        <v>101886</v>
      </c>
      <c r="C4057" s="710" t="s">
        <v>4395</v>
      </c>
      <c r="D4057" s="709" t="s">
        <v>159</v>
      </c>
      <c r="E4057" s="711">
        <v>2.1899999999999999E-2</v>
      </c>
    </row>
    <row r="4058" spans="1:5" x14ac:dyDescent="0.3">
      <c r="A4058" s="397"/>
      <c r="B4058" s="709">
        <v>101888</v>
      </c>
      <c r="C4058" s="710" t="s">
        <v>4396</v>
      </c>
      <c r="D4058" s="709" t="s">
        <v>159</v>
      </c>
      <c r="E4058" s="711">
        <v>4.1799999999999997E-2</v>
      </c>
    </row>
    <row r="4059" spans="1:5" x14ac:dyDescent="0.3">
      <c r="A4059" s="397"/>
      <c r="B4059" s="709">
        <v>101938</v>
      </c>
      <c r="C4059" s="710" t="s">
        <v>4397</v>
      </c>
      <c r="D4059" s="709" t="s">
        <v>136</v>
      </c>
      <c r="E4059" s="711">
        <v>0.42</v>
      </c>
    </row>
    <row r="4060" spans="1:5" x14ac:dyDescent="0.3">
      <c r="A4060" s="397"/>
      <c r="B4060" s="709">
        <v>101904</v>
      </c>
      <c r="C4060" s="710" t="s">
        <v>4398</v>
      </c>
      <c r="D4060" s="709" t="s">
        <v>136</v>
      </c>
      <c r="E4060" s="711">
        <v>2.52E-2</v>
      </c>
    </row>
    <row r="4061" spans="1:5" x14ac:dyDescent="0.3">
      <c r="A4061" s="397"/>
      <c r="B4061" s="709">
        <v>101901</v>
      </c>
      <c r="C4061" s="710" t="s">
        <v>4399</v>
      </c>
      <c r="D4061" s="709" t="s">
        <v>136</v>
      </c>
      <c r="E4061" s="711">
        <v>3.5200000000000002E-2</v>
      </c>
    </row>
    <row r="4062" spans="1:5" x14ac:dyDescent="0.3">
      <c r="A4062" s="397"/>
      <c r="B4062" s="709">
        <v>101902</v>
      </c>
      <c r="C4062" s="710" t="s">
        <v>4400</v>
      </c>
      <c r="D4062" s="709" t="s">
        <v>136</v>
      </c>
      <c r="E4062" s="711">
        <v>3.78E-2</v>
      </c>
    </row>
    <row r="4063" spans="1:5" x14ac:dyDescent="0.3">
      <c r="A4063" s="397"/>
      <c r="B4063" s="709">
        <v>101903</v>
      </c>
      <c r="C4063" s="710" t="s">
        <v>4401</v>
      </c>
      <c r="D4063" s="709" t="s">
        <v>136</v>
      </c>
      <c r="E4063" s="711">
        <v>3.4099999999999998E-2</v>
      </c>
    </row>
    <row r="4064" spans="1:5" x14ac:dyDescent="0.3">
      <c r="A4064" s="397"/>
      <c r="B4064" s="709">
        <v>101900</v>
      </c>
      <c r="C4064" s="710" t="s">
        <v>4412</v>
      </c>
      <c r="D4064" s="709" t="s">
        <v>136</v>
      </c>
      <c r="E4064" s="711">
        <v>1.9199999999999998E-2</v>
      </c>
    </row>
    <row r="4065" spans="1:5" x14ac:dyDescent="0.3">
      <c r="A4065" s="397"/>
      <c r="B4065" s="709">
        <v>106030</v>
      </c>
      <c r="C4065" s="710" t="s">
        <v>4413</v>
      </c>
      <c r="D4065" s="709" t="s">
        <v>136</v>
      </c>
      <c r="E4065" s="711">
        <v>0.13930000000000001</v>
      </c>
    </row>
    <row r="4066" spans="1:5" x14ac:dyDescent="0.3">
      <c r="A4066" s="397"/>
      <c r="B4066" s="709">
        <v>93660</v>
      </c>
      <c r="C4066" s="710" t="s">
        <v>4414</v>
      </c>
      <c r="D4066" s="709" t="s">
        <v>136</v>
      </c>
      <c r="E4066" s="711">
        <v>8.5099999999999995E-2</v>
      </c>
    </row>
    <row r="4067" spans="1:5" x14ac:dyDescent="0.3">
      <c r="A4067" s="397"/>
      <c r="B4067" s="709">
        <v>93661</v>
      </c>
      <c r="C4067" s="710" t="s">
        <v>4415</v>
      </c>
      <c r="D4067" s="709" t="s">
        <v>136</v>
      </c>
      <c r="E4067" s="711">
        <v>8.5099999999999995E-2</v>
      </c>
    </row>
    <row r="4068" spans="1:5" x14ac:dyDescent="0.3">
      <c r="A4068" s="397"/>
      <c r="B4068" s="709">
        <v>93662</v>
      </c>
      <c r="C4068" s="710" t="s">
        <v>4416</v>
      </c>
      <c r="D4068" s="709" t="s">
        <v>136</v>
      </c>
      <c r="E4068" s="711">
        <v>0.108</v>
      </c>
    </row>
    <row r="4069" spans="1:5" x14ac:dyDescent="0.3">
      <c r="A4069" s="397"/>
      <c r="B4069" s="709">
        <v>93663</v>
      </c>
      <c r="C4069" s="710" t="s">
        <v>4417</v>
      </c>
      <c r="D4069" s="709" t="s">
        <v>136</v>
      </c>
      <c r="E4069" s="711">
        <v>0.14219999999999999</v>
      </c>
    </row>
    <row r="4070" spans="1:5" x14ac:dyDescent="0.3">
      <c r="A4070" s="397"/>
      <c r="B4070" s="709">
        <v>93664</v>
      </c>
      <c r="C4070" s="710" t="s">
        <v>4418</v>
      </c>
      <c r="D4070" s="709" t="s">
        <v>136</v>
      </c>
      <c r="E4070" s="711">
        <v>0.18140000000000001</v>
      </c>
    </row>
    <row r="4071" spans="1:5" x14ac:dyDescent="0.3">
      <c r="A4071" s="397"/>
      <c r="B4071" s="709">
        <v>93665</v>
      </c>
      <c r="C4071" s="710" t="s">
        <v>4419</v>
      </c>
      <c r="D4071" s="709" t="s">
        <v>136</v>
      </c>
      <c r="E4071" s="711">
        <v>0.2465</v>
      </c>
    </row>
    <row r="4072" spans="1:5" x14ac:dyDescent="0.3">
      <c r="A4072" s="397"/>
      <c r="B4072" s="709">
        <v>93666</v>
      </c>
      <c r="C4072" s="710" t="s">
        <v>4420</v>
      </c>
      <c r="D4072" s="709" t="s">
        <v>136</v>
      </c>
      <c r="E4072" s="711">
        <v>0.309</v>
      </c>
    </row>
    <row r="4073" spans="1:5" x14ac:dyDescent="0.3">
      <c r="A4073" s="397"/>
      <c r="B4073" s="709">
        <v>93674</v>
      </c>
      <c r="C4073" s="710" t="s">
        <v>4421</v>
      </c>
      <c r="D4073" s="709" t="s">
        <v>136</v>
      </c>
      <c r="E4073" s="711">
        <v>6.0600000000000001E-2</v>
      </c>
    </row>
    <row r="4074" spans="1:5" x14ac:dyDescent="0.3">
      <c r="A4074" s="397"/>
      <c r="B4074" s="709">
        <v>93675</v>
      </c>
      <c r="C4074" s="710" t="s">
        <v>4422</v>
      </c>
      <c r="D4074" s="709" t="s">
        <v>136</v>
      </c>
      <c r="E4074" s="711">
        <v>0.1111</v>
      </c>
    </row>
    <row r="4075" spans="1:5" x14ac:dyDescent="0.3">
      <c r="A4075" s="397"/>
      <c r="B4075" s="709">
        <v>101892</v>
      </c>
      <c r="C4075" s="710" t="s">
        <v>4423</v>
      </c>
      <c r="D4075" s="709" t="s">
        <v>136</v>
      </c>
      <c r="E4075" s="711">
        <v>0.12130000000000001</v>
      </c>
    </row>
    <row r="4076" spans="1:5" x14ac:dyDescent="0.3">
      <c r="A4076" s="397"/>
      <c r="B4076" s="709">
        <v>93653</v>
      </c>
      <c r="C4076" s="710" t="s">
        <v>4424</v>
      </c>
      <c r="D4076" s="709" t="s">
        <v>136</v>
      </c>
      <c r="E4076" s="711">
        <v>0.1948</v>
      </c>
    </row>
    <row r="4077" spans="1:5" x14ac:dyDescent="0.3">
      <c r="A4077" s="397"/>
      <c r="B4077" s="709">
        <v>93654</v>
      </c>
      <c r="C4077" s="710" t="s">
        <v>4425</v>
      </c>
      <c r="D4077" s="709" t="s">
        <v>136</v>
      </c>
      <c r="E4077" s="711">
        <v>0.1948</v>
      </c>
    </row>
    <row r="4078" spans="1:5" x14ac:dyDescent="0.3">
      <c r="A4078" s="397"/>
      <c r="B4078" s="709">
        <v>93655</v>
      </c>
      <c r="C4078" s="710" t="s">
        <v>4426</v>
      </c>
      <c r="D4078" s="709" t="s">
        <v>136</v>
      </c>
      <c r="E4078" s="711">
        <v>0.23419999999999999</v>
      </c>
    </row>
    <row r="4079" spans="1:5" x14ac:dyDescent="0.3">
      <c r="A4079" s="397"/>
      <c r="B4079" s="709">
        <v>93656</v>
      </c>
      <c r="C4079" s="710" t="s">
        <v>4427</v>
      </c>
      <c r="D4079" s="709" t="s">
        <v>136</v>
      </c>
      <c r="E4079" s="711">
        <v>0.29530000000000001</v>
      </c>
    </row>
    <row r="4080" spans="1:5" x14ac:dyDescent="0.3">
      <c r="A4080" s="397"/>
      <c r="B4080" s="709">
        <v>93657</v>
      </c>
      <c r="C4080" s="710" t="s">
        <v>4428</v>
      </c>
      <c r="D4080" s="709" t="s">
        <v>136</v>
      </c>
      <c r="E4080" s="711">
        <v>0.35720000000000002</v>
      </c>
    </row>
    <row r="4081" spans="1:5" x14ac:dyDescent="0.3">
      <c r="A4081" s="397"/>
      <c r="B4081" s="709">
        <v>93658</v>
      </c>
      <c r="C4081" s="710" t="s">
        <v>4429</v>
      </c>
      <c r="D4081" s="709" t="s">
        <v>136</v>
      </c>
      <c r="E4081" s="711">
        <v>0.36530000000000001</v>
      </c>
    </row>
    <row r="4082" spans="1:5" x14ac:dyDescent="0.3">
      <c r="A4082" s="397"/>
      <c r="B4082" s="709">
        <v>93659</v>
      </c>
      <c r="C4082" s="710" t="s">
        <v>4430</v>
      </c>
      <c r="D4082" s="709" t="s">
        <v>136</v>
      </c>
      <c r="E4082" s="711">
        <v>0.43730000000000002</v>
      </c>
    </row>
    <row r="4083" spans="1:5" x14ac:dyDescent="0.3">
      <c r="A4083" s="397"/>
      <c r="B4083" s="709">
        <v>101890</v>
      </c>
      <c r="C4083" s="710" t="s">
        <v>4431</v>
      </c>
      <c r="D4083" s="709" t="s">
        <v>136</v>
      </c>
      <c r="E4083" s="711">
        <v>0.19739999999999999</v>
      </c>
    </row>
    <row r="4084" spans="1:5" x14ac:dyDescent="0.3">
      <c r="A4084" s="397"/>
      <c r="B4084" s="709">
        <v>101891</v>
      </c>
      <c r="C4084" s="710" t="s">
        <v>4432</v>
      </c>
      <c r="D4084" s="709" t="s">
        <v>136</v>
      </c>
      <c r="E4084" s="711">
        <v>0.29260000000000003</v>
      </c>
    </row>
    <row r="4085" spans="1:5" x14ac:dyDescent="0.3">
      <c r="A4085" s="397"/>
      <c r="B4085" s="709">
        <v>101895</v>
      </c>
      <c r="C4085" s="710" t="s">
        <v>4433</v>
      </c>
      <c r="D4085" s="709" t="s">
        <v>136</v>
      </c>
      <c r="E4085" s="711">
        <v>0.1923</v>
      </c>
    </row>
    <row r="4086" spans="1:5" x14ac:dyDescent="0.3">
      <c r="A4086" s="397"/>
      <c r="B4086" s="709">
        <v>101896</v>
      </c>
      <c r="C4086" s="710" t="s">
        <v>4434</v>
      </c>
      <c r="D4086" s="709" t="s">
        <v>136</v>
      </c>
      <c r="E4086" s="711">
        <v>0.13039999999999999</v>
      </c>
    </row>
    <row r="4087" spans="1:5" x14ac:dyDescent="0.3">
      <c r="A4087" s="397"/>
      <c r="B4087" s="709">
        <v>101897</v>
      </c>
      <c r="C4087" s="710" t="s">
        <v>4435</v>
      </c>
      <c r="D4087" s="709" t="s">
        <v>136</v>
      </c>
      <c r="E4087" s="711">
        <v>8.2900000000000001E-2</v>
      </c>
    </row>
    <row r="4088" spans="1:5" x14ac:dyDescent="0.3">
      <c r="A4088" s="397"/>
      <c r="B4088" s="709">
        <v>101898</v>
      </c>
      <c r="C4088" s="710" t="s">
        <v>4436</v>
      </c>
      <c r="D4088" s="709" t="s">
        <v>136</v>
      </c>
      <c r="E4088" s="711">
        <v>6.2600000000000003E-2</v>
      </c>
    </row>
    <row r="4089" spans="1:5" x14ac:dyDescent="0.3">
      <c r="A4089" s="397"/>
      <c r="B4089" s="709">
        <v>101899</v>
      </c>
      <c r="C4089" s="710" t="s">
        <v>4437</v>
      </c>
      <c r="D4089" s="709" t="s">
        <v>136</v>
      </c>
      <c r="E4089" s="711">
        <v>3.9600000000000003E-2</v>
      </c>
    </row>
    <row r="4090" spans="1:5" x14ac:dyDescent="0.3">
      <c r="A4090" s="397"/>
      <c r="B4090" s="709">
        <v>93676</v>
      </c>
      <c r="C4090" s="710" t="s">
        <v>4438</v>
      </c>
      <c r="D4090" s="709" t="s">
        <v>136</v>
      </c>
      <c r="E4090" s="711">
        <v>9.9900000000000003E-2</v>
      </c>
    </row>
    <row r="4091" spans="1:5" x14ac:dyDescent="0.3">
      <c r="A4091" s="397"/>
      <c r="B4091" s="709">
        <v>97711</v>
      </c>
      <c r="C4091" s="710" t="s">
        <v>4439</v>
      </c>
      <c r="D4091" s="709" t="s">
        <v>136</v>
      </c>
      <c r="E4091" s="711">
        <v>0.17860000000000001</v>
      </c>
    </row>
    <row r="4092" spans="1:5" x14ac:dyDescent="0.3">
      <c r="A4092" s="397"/>
      <c r="B4092" s="709">
        <v>106020</v>
      </c>
      <c r="C4092" s="710" t="s">
        <v>4440</v>
      </c>
      <c r="D4092" s="709" t="s">
        <v>136</v>
      </c>
      <c r="E4092" s="711">
        <v>0.31080000000000002</v>
      </c>
    </row>
    <row r="4093" spans="1:5" x14ac:dyDescent="0.3">
      <c r="A4093" s="397"/>
      <c r="B4093" s="709">
        <v>93667</v>
      </c>
      <c r="C4093" s="710" t="s">
        <v>4442</v>
      </c>
      <c r="D4093" s="709" t="s">
        <v>136</v>
      </c>
      <c r="E4093" s="711">
        <v>0.1013</v>
      </c>
    </row>
    <row r="4094" spans="1:5" x14ac:dyDescent="0.3">
      <c r="A4094" s="397"/>
      <c r="B4094" s="709">
        <v>93668</v>
      </c>
      <c r="C4094" s="710" t="s">
        <v>4443</v>
      </c>
      <c r="D4094" s="709" t="s">
        <v>136</v>
      </c>
      <c r="E4094" s="711">
        <v>0.1013</v>
      </c>
    </row>
    <row r="4095" spans="1:5" x14ac:dyDescent="0.3">
      <c r="A4095" s="397"/>
      <c r="B4095" s="709">
        <v>93669</v>
      </c>
      <c r="C4095" s="710" t="s">
        <v>4444</v>
      </c>
      <c r="D4095" s="709" t="s">
        <v>136</v>
      </c>
      <c r="E4095" s="711">
        <v>0.1275</v>
      </c>
    </row>
    <row r="4096" spans="1:5" x14ac:dyDescent="0.3">
      <c r="A4096" s="397"/>
      <c r="B4096" s="709">
        <v>93670</v>
      </c>
      <c r="C4096" s="710" t="s">
        <v>4445</v>
      </c>
      <c r="D4096" s="709" t="s">
        <v>136</v>
      </c>
      <c r="E4096" s="711">
        <v>0.16639999999999999</v>
      </c>
    </row>
    <row r="4097" spans="1:5" x14ac:dyDescent="0.3">
      <c r="A4097" s="397"/>
      <c r="B4097" s="709">
        <v>93671</v>
      </c>
      <c r="C4097" s="710" t="s">
        <v>4446</v>
      </c>
      <c r="D4097" s="709" t="s">
        <v>136</v>
      </c>
      <c r="E4097" s="711">
        <v>0.2104</v>
      </c>
    </row>
    <row r="4098" spans="1:5" x14ac:dyDescent="0.3">
      <c r="A4098" s="397"/>
      <c r="B4098" s="709">
        <v>93672</v>
      </c>
      <c r="C4098" s="710" t="s">
        <v>4447</v>
      </c>
      <c r="D4098" s="709" t="s">
        <v>136</v>
      </c>
      <c r="E4098" s="711">
        <v>0.27929999999999999</v>
      </c>
    </row>
    <row r="4099" spans="1:5" x14ac:dyDescent="0.3">
      <c r="A4099" s="397"/>
      <c r="B4099" s="709">
        <v>93673</v>
      </c>
      <c r="C4099" s="710" t="s">
        <v>4448</v>
      </c>
      <c r="D4099" s="709" t="s">
        <v>136</v>
      </c>
      <c r="E4099" s="711">
        <v>0.34549999999999997</v>
      </c>
    </row>
    <row r="4100" spans="1:5" x14ac:dyDescent="0.3">
      <c r="A4100" s="397"/>
      <c r="B4100" s="709">
        <v>101893</v>
      </c>
      <c r="C4100" s="710" t="s">
        <v>4449</v>
      </c>
      <c r="D4100" s="709" t="s">
        <v>136</v>
      </c>
      <c r="E4100" s="711">
        <v>0.14080000000000001</v>
      </c>
    </row>
    <row r="4101" spans="1:5" x14ac:dyDescent="0.3">
      <c r="A4101" s="397"/>
      <c r="B4101" s="709">
        <v>101894</v>
      </c>
      <c r="C4101" s="710" t="s">
        <v>4450</v>
      </c>
      <c r="D4101" s="709" t="s">
        <v>136</v>
      </c>
      <c r="E4101" s="711">
        <v>0.29880000000000001</v>
      </c>
    </row>
    <row r="4102" spans="1:5" x14ac:dyDescent="0.3">
      <c r="A4102" s="397"/>
      <c r="B4102" s="709">
        <v>106027</v>
      </c>
      <c r="C4102" s="710" t="s">
        <v>4451</v>
      </c>
      <c r="D4102" s="709" t="s">
        <v>136</v>
      </c>
      <c r="E4102" s="711">
        <v>0.12</v>
      </c>
    </row>
    <row r="4103" spans="1:5" x14ac:dyDescent="0.3">
      <c r="A4103" s="397"/>
      <c r="B4103" s="709">
        <v>101875</v>
      </c>
      <c r="C4103" s="710" t="s">
        <v>4465</v>
      </c>
      <c r="D4103" s="709" t="s">
        <v>136</v>
      </c>
      <c r="E4103" s="711">
        <v>0.2074</v>
      </c>
    </row>
    <row r="4104" spans="1:5" x14ac:dyDescent="0.3">
      <c r="A4104" s="397"/>
      <c r="B4104" s="709">
        <v>101883</v>
      </c>
      <c r="C4104" s="710" t="s">
        <v>4466</v>
      </c>
      <c r="D4104" s="709" t="s">
        <v>136</v>
      </c>
      <c r="E4104" s="711">
        <v>0.17580000000000001</v>
      </c>
    </row>
    <row r="4105" spans="1:5" x14ac:dyDescent="0.3">
      <c r="A4105" s="397"/>
      <c r="B4105" s="709">
        <v>101879</v>
      </c>
      <c r="C4105" s="710" t="s">
        <v>4467</v>
      </c>
      <c r="D4105" s="709" t="s">
        <v>136</v>
      </c>
      <c r="E4105" s="711">
        <v>0.16950000000000001</v>
      </c>
    </row>
    <row r="4106" spans="1:5" x14ac:dyDescent="0.3">
      <c r="A4106" s="397"/>
      <c r="B4106" s="709">
        <v>101880</v>
      </c>
      <c r="C4106" s="710" t="s">
        <v>4469</v>
      </c>
      <c r="D4106" s="709" t="s">
        <v>136</v>
      </c>
      <c r="E4106" s="711">
        <v>0.17979999999999999</v>
      </c>
    </row>
    <row r="4107" spans="1:5" x14ac:dyDescent="0.3">
      <c r="A4107" s="397"/>
      <c r="B4107" s="709">
        <v>101882</v>
      </c>
      <c r="C4107" s="710" t="s">
        <v>4470</v>
      </c>
      <c r="D4107" s="709" t="s">
        <v>136</v>
      </c>
      <c r="E4107" s="711">
        <v>9.4899999999999998E-2</v>
      </c>
    </row>
    <row r="4108" spans="1:5" x14ac:dyDescent="0.3">
      <c r="A4108" s="397"/>
      <c r="B4108" s="709">
        <v>101881</v>
      </c>
      <c r="C4108" s="710" t="s">
        <v>4472</v>
      </c>
      <c r="D4108" s="709" t="s">
        <v>136</v>
      </c>
      <c r="E4108" s="711">
        <v>0.13139999999999999</v>
      </c>
    </row>
    <row r="4109" spans="1:5" x14ac:dyDescent="0.3">
      <c r="A4109" s="397"/>
      <c r="B4109" s="709">
        <v>101878</v>
      </c>
      <c r="C4109" s="710" t="s">
        <v>4474</v>
      </c>
      <c r="D4109" s="709" t="s">
        <v>136</v>
      </c>
      <c r="E4109" s="711">
        <v>4.1200000000000001E-2</v>
      </c>
    </row>
    <row r="4110" spans="1:5" x14ac:dyDescent="0.3">
      <c r="A4110" s="397"/>
      <c r="B4110" s="709">
        <v>101877</v>
      </c>
      <c r="C4110" s="710" t="s">
        <v>4478</v>
      </c>
      <c r="D4110" s="709" t="s">
        <v>136</v>
      </c>
      <c r="E4110" s="711">
        <v>0.4965</v>
      </c>
    </row>
    <row r="4111" spans="1:5" x14ac:dyDescent="0.3">
      <c r="A4111" s="397"/>
      <c r="B4111" s="709">
        <v>101876</v>
      </c>
      <c r="C4111" s="710" t="s">
        <v>4479</v>
      </c>
      <c r="D4111" s="709" t="s">
        <v>136</v>
      </c>
      <c r="E4111" s="711">
        <v>0.42699999999999999</v>
      </c>
    </row>
    <row r="4112" spans="1:5" x14ac:dyDescent="0.3">
      <c r="A4112" s="397"/>
      <c r="B4112" s="709">
        <v>97360</v>
      </c>
      <c r="C4112" s="710" t="s">
        <v>4484</v>
      </c>
      <c r="D4112" s="709" t="s">
        <v>136</v>
      </c>
      <c r="E4112" s="711">
        <v>4.07E-2</v>
      </c>
    </row>
    <row r="4113" spans="1:5" x14ac:dyDescent="0.3">
      <c r="A4113" s="397"/>
      <c r="B4113" s="709">
        <v>97361</v>
      </c>
      <c r="C4113" s="710" t="s">
        <v>4485</v>
      </c>
      <c r="D4113" s="709" t="s">
        <v>136</v>
      </c>
      <c r="E4113" s="711">
        <v>4.07E-2</v>
      </c>
    </row>
    <row r="4114" spans="1:5" x14ac:dyDescent="0.3">
      <c r="A4114" s="397"/>
      <c r="B4114" s="709">
        <v>97359</v>
      </c>
      <c r="C4114" s="710" t="s">
        <v>4486</v>
      </c>
      <c r="D4114" s="709" t="s">
        <v>136</v>
      </c>
      <c r="E4114" s="711">
        <v>5.2200000000000003E-2</v>
      </c>
    </row>
    <row r="4115" spans="1:5" x14ac:dyDescent="0.3">
      <c r="A4115" s="397"/>
      <c r="B4115" s="709">
        <v>101946</v>
      </c>
      <c r="C4115" s="710" t="s">
        <v>4487</v>
      </c>
      <c r="D4115" s="709" t="s">
        <v>136</v>
      </c>
      <c r="E4115" s="711">
        <v>0.24940000000000001</v>
      </c>
    </row>
    <row r="4116" spans="1:5" x14ac:dyDescent="0.3">
      <c r="A4116" s="397"/>
      <c r="B4116" s="709">
        <v>97362</v>
      </c>
      <c r="C4116" s="710" t="s">
        <v>4488</v>
      </c>
      <c r="D4116" s="709" t="s">
        <v>136</v>
      </c>
      <c r="E4116" s="711">
        <v>2.7900000000000001E-2</v>
      </c>
    </row>
    <row r="4117" spans="1:5" x14ac:dyDescent="0.3">
      <c r="A4117" s="397"/>
      <c r="B4117" s="709">
        <v>101553</v>
      </c>
      <c r="C4117" s="710" t="s">
        <v>13816</v>
      </c>
      <c r="D4117" s="709" t="s">
        <v>136</v>
      </c>
      <c r="E4117" s="711">
        <v>0.35620000000000002</v>
      </c>
    </row>
    <row r="4118" spans="1:5" x14ac:dyDescent="0.3">
      <c r="A4118" s="397"/>
      <c r="B4118" s="709">
        <v>101554</v>
      </c>
      <c r="C4118" s="710" t="s">
        <v>13817</v>
      </c>
      <c r="D4118" s="709" t="s">
        <v>136</v>
      </c>
      <c r="E4118" s="711">
        <v>0.4783</v>
      </c>
    </row>
    <row r="4119" spans="1:5" x14ac:dyDescent="0.3">
      <c r="A4119" s="397"/>
      <c r="B4119" s="709">
        <v>101555</v>
      </c>
      <c r="C4119" s="710" t="s">
        <v>13818</v>
      </c>
      <c r="D4119" s="709" t="s">
        <v>136</v>
      </c>
      <c r="E4119" s="711">
        <v>0.69550000000000001</v>
      </c>
    </row>
    <row r="4120" spans="1:5" x14ac:dyDescent="0.3">
      <c r="A4120" s="397"/>
      <c r="B4120" s="709">
        <v>101556</v>
      </c>
      <c r="C4120" s="710" t="s">
        <v>13819</v>
      </c>
      <c r="D4120" s="709" t="s">
        <v>136</v>
      </c>
      <c r="E4120" s="711">
        <v>0.74960000000000004</v>
      </c>
    </row>
    <row r="4121" spans="1:5" x14ac:dyDescent="0.3">
      <c r="A4121" s="397"/>
      <c r="B4121" s="709">
        <v>101537</v>
      </c>
      <c r="C4121" s="710" t="s">
        <v>13820</v>
      </c>
      <c r="D4121" s="709" t="s">
        <v>136</v>
      </c>
      <c r="E4121" s="711">
        <v>0.4869</v>
      </c>
    </row>
    <row r="4122" spans="1:5" x14ac:dyDescent="0.3">
      <c r="A4122" s="397"/>
      <c r="B4122" s="709">
        <v>101538</v>
      </c>
      <c r="C4122" s="710" t="s">
        <v>13821</v>
      </c>
      <c r="D4122" s="709" t="s">
        <v>136</v>
      </c>
      <c r="E4122" s="711">
        <v>0.2979</v>
      </c>
    </row>
    <row r="4123" spans="1:5" x14ac:dyDescent="0.3">
      <c r="A4123" s="397"/>
      <c r="B4123" s="709">
        <v>101542</v>
      </c>
      <c r="C4123" s="710" t="s">
        <v>13822</v>
      </c>
      <c r="D4123" s="709" t="s">
        <v>136</v>
      </c>
      <c r="E4123" s="711">
        <v>0.32469999999999999</v>
      </c>
    </row>
    <row r="4124" spans="1:5" x14ac:dyDescent="0.3">
      <c r="A4124" s="397"/>
      <c r="B4124" s="709">
        <v>101539</v>
      </c>
      <c r="C4124" s="710" t="s">
        <v>13823</v>
      </c>
      <c r="D4124" s="709" t="s">
        <v>136</v>
      </c>
      <c r="E4124" s="711">
        <v>0.35410000000000003</v>
      </c>
    </row>
    <row r="4125" spans="1:5" x14ac:dyDescent="0.3">
      <c r="A4125" s="397"/>
      <c r="B4125" s="709">
        <v>101543</v>
      </c>
      <c r="C4125" s="710" t="s">
        <v>13824</v>
      </c>
      <c r="D4125" s="709" t="s">
        <v>136</v>
      </c>
      <c r="E4125" s="711">
        <v>0.36099999999999999</v>
      </c>
    </row>
    <row r="4126" spans="1:5" x14ac:dyDescent="0.3">
      <c r="A4126" s="397"/>
      <c r="B4126" s="709">
        <v>101540</v>
      </c>
      <c r="C4126" s="710" t="s">
        <v>13825</v>
      </c>
      <c r="D4126" s="709" t="s">
        <v>136</v>
      </c>
      <c r="E4126" s="711">
        <v>0.31850000000000001</v>
      </c>
    </row>
    <row r="4127" spans="1:5" x14ac:dyDescent="0.3">
      <c r="A4127" s="397"/>
      <c r="B4127" s="709">
        <v>101544</v>
      </c>
      <c r="C4127" s="710" t="s">
        <v>13826</v>
      </c>
      <c r="D4127" s="709" t="s">
        <v>136</v>
      </c>
      <c r="E4127" s="711">
        <v>0.34079999999999999</v>
      </c>
    </row>
    <row r="4128" spans="1:5" x14ac:dyDescent="0.3">
      <c r="A4128" s="397"/>
      <c r="B4128" s="709">
        <v>101541</v>
      </c>
      <c r="C4128" s="710" t="s">
        <v>13827</v>
      </c>
      <c r="D4128" s="709" t="s">
        <v>136</v>
      </c>
      <c r="E4128" s="711">
        <v>0.3251</v>
      </c>
    </row>
    <row r="4129" spans="1:5" x14ac:dyDescent="0.3">
      <c r="A4129" s="397"/>
      <c r="B4129" s="709">
        <v>101545</v>
      </c>
      <c r="C4129" s="710" t="s">
        <v>13828</v>
      </c>
      <c r="D4129" s="709" t="s">
        <v>136</v>
      </c>
      <c r="E4129" s="711">
        <v>0.31590000000000001</v>
      </c>
    </row>
    <row r="4130" spans="1:5" x14ac:dyDescent="0.3">
      <c r="A4130" s="397"/>
      <c r="B4130" s="709">
        <v>106502</v>
      </c>
      <c r="C4130" s="710" t="s">
        <v>13829</v>
      </c>
      <c r="D4130" s="709" t="s">
        <v>159</v>
      </c>
      <c r="E4130" s="711">
        <v>2.0799999999999999E-2</v>
      </c>
    </row>
    <row r="4131" spans="1:5" x14ac:dyDescent="0.3">
      <c r="A4131" s="397"/>
      <c r="B4131" s="709">
        <v>106503</v>
      </c>
      <c r="C4131" s="710" t="s">
        <v>13830</v>
      </c>
      <c r="D4131" s="709" t="s">
        <v>159</v>
      </c>
      <c r="E4131" s="711">
        <v>2.3300000000000001E-2</v>
      </c>
    </row>
    <row r="4132" spans="1:5" x14ac:dyDescent="0.3">
      <c r="A4132" s="397"/>
      <c r="B4132" s="709">
        <v>106504</v>
      </c>
      <c r="C4132" s="710" t="s">
        <v>13831</v>
      </c>
      <c r="D4132" s="709" t="s">
        <v>159</v>
      </c>
      <c r="E4132" s="711">
        <v>2.1999999999999999E-2</v>
      </c>
    </row>
    <row r="4133" spans="1:5" x14ac:dyDescent="0.3">
      <c r="A4133" s="397"/>
      <c r="B4133" s="709">
        <v>106505</v>
      </c>
      <c r="C4133" s="710" t="s">
        <v>13832</v>
      </c>
      <c r="D4133" s="709" t="s">
        <v>159</v>
      </c>
      <c r="E4133" s="711">
        <v>3.5999999999999997E-2</v>
      </c>
    </row>
    <row r="4134" spans="1:5" x14ac:dyDescent="0.3">
      <c r="A4134" s="397"/>
      <c r="B4134" s="709">
        <v>106506</v>
      </c>
      <c r="C4134" s="710" t="s">
        <v>13833</v>
      </c>
      <c r="D4134" s="709" t="s">
        <v>159</v>
      </c>
      <c r="E4134" s="711">
        <v>4.3200000000000002E-2</v>
      </c>
    </row>
    <row r="4135" spans="1:5" x14ac:dyDescent="0.3">
      <c r="A4135" s="397"/>
      <c r="B4135" s="709">
        <v>106507</v>
      </c>
      <c r="C4135" s="710" t="s">
        <v>13834</v>
      </c>
      <c r="D4135" s="709" t="s">
        <v>159</v>
      </c>
      <c r="E4135" s="711">
        <v>4.87E-2</v>
      </c>
    </row>
    <row r="4136" spans="1:5" x14ac:dyDescent="0.3">
      <c r="A4136" s="397"/>
      <c r="B4136" s="709">
        <v>106508</v>
      </c>
      <c r="C4136" s="710" t="s">
        <v>13835</v>
      </c>
      <c r="D4136" s="709" t="s">
        <v>159</v>
      </c>
      <c r="E4136" s="711">
        <v>4.6100000000000002E-2</v>
      </c>
    </row>
    <row r="4137" spans="1:5" x14ac:dyDescent="0.3">
      <c r="A4137" s="397"/>
      <c r="B4137" s="709">
        <v>106509</v>
      </c>
      <c r="C4137" s="710" t="s">
        <v>13836</v>
      </c>
      <c r="D4137" s="709" t="s">
        <v>159</v>
      </c>
      <c r="E4137" s="711">
        <v>7.5200000000000003E-2</v>
      </c>
    </row>
    <row r="4138" spans="1:5" x14ac:dyDescent="0.3">
      <c r="A4138" s="397"/>
      <c r="B4138" s="709">
        <v>101560</v>
      </c>
      <c r="C4138" s="710" t="s">
        <v>13837</v>
      </c>
      <c r="D4138" s="709" t="s">
        <v>159</v>
      </c>
      <c r="E4138" s="711">
        <v>7.6E-3</v>
      </c>
    </row>
    <row r="4139" spans="1:5" x14ac:dyDescent="0.3">
      <c r="A4139" s="397"/>
      <c r="B4139" s="709">
        <v>101568</v>
      </c>
      <c r="C4139" s="710" t="s">
        <v>13838</v>
      </c>
      <c r="D4139" s="709" t="s">
        <v>159</v>
      </c>
      <c r="E4139" s="711">
        <v>6.9999999999999999E-4</v>
      </c>
    </row>
    <row r="4140" spans="1:5" x14ac:dyDescent="0.3">
      <c r="A4140" s="397"/>
      <c r="B4140" s="709">
        <v>101561</v>
      </c>
      <c r="C4140" s="710" t="s">
        <v>13839</v>
      </c>
      <c r="D4140" s="709" t="s">
        <v>159</v>
      </c>
      <c r="E4140" s="711">
        <v>4.7999999999999996E-3</v>
      </c>
    </row>
    <row r="4141" spans="1:5" x14ac:dyDescent="0.3">
      <c r="A4141" s="397"/>
      <c r="B4141" s="709">
        <v>101562</v>
      </c>
      <c r="C4141" s="710" t="s">
        <v>13840</v>
      </c>
      <c r="D4141" s="709" t="s">
        <v>159</v>
      </c>
      <c r="E4141" s="711">
        <v>3.0999999999999999E-3</v>
      </c>
    </row>
    <row r="4142" spans="1:5" x14ac:dyDescent="0.3">
      <c r="A4142" s="397"/>
      <c r="B4142" s="709">
        <v>101563</v>
      </c>
      <c r="C4142" s="710" t="s">
        <v>13841</v>
      </c>
      <c r="D4142" s="709" t="s">
        <v>159</v>
      </c>
      <c r="E4142" s="711">
        <v>2.2000000000000001E-3</v>
      </c>
    </row>
    <row r="4143" spans="1:5" x14ac:dyDescent="0.3">
      <c r="A4143" s="397"/>
      <c r="B4143" s="709">
        <v>101564</v>
      </c>
      <c r="C4143" s="710" t="s">
        <v>13842</v>
      </c>
      <c r="D4143" s="709" t="s">
        <v>159</v>
      </c>
      <c r="E4143" s="711">
        <v>1.5E-3</v>
      </c>
    </row>
    <row r="4144" spans="1:5" x14ac:dyDescent="0.3">
      <c r="A4144" s="397"/>
      <c r="B4144" s="709">
        <v>101565</v>
      </c>
      <c r="C4144" s="710" t="s">
        <v>13843</v>
      </c>
      <c r="D4144" s="709" t="s">
        <v>159</v>
      </c>
      <c r="E4144" s="711">
        <v>1.1000000000000001E-3</v>
      </c>
    </row>
    <row r="4145" spans="1:5" x14ac:dyDescent="0.3">
      <c r="A4145" s="397"/>
      <c r="B4145" s="709">
        <v>101567</v>
      </c>
      <c r="C4145" s="710" t="s">
        <v>13844</v>
      </c>
      <c r="D4145" s="709" t="s">
        <v>159</v>
      </c>
      <c r="E4145" s="711">
        <v>8.9999999999999998E-4</v>
      </c>
    </row>
    <row r="4146" spans="1:5" x14ac:dyDescent="0.3">
      <c r="A4146" s="397"/>
      <c r="B4146" s="709">
        <v>101501</v>
      </c>
      <c r="C4146" s="710" t="s">
        <v>13845</v>
      </c>
      <c r="D4146" s="709" t="s">
        <v>136</v>
      </c>
      <c r="E4146" s="711">
        <v>0.27700000000000002</v>
      </c>
    </row>
    <row r="4147" spans="1:5" x14ac:dyDescent="0.3">
      <c r="A4147" s="397"/>
      <c r="B4147" s="709">
        <v>101502</v>
      </c>
      <c r="C4147" s="710" t="s">
        <v>13846</v>
      </c>
      <c r="D4147" s="709" t="s">
        <v>136</v>
      </c>
      <c r="E4147" s="711">
        <v>0.27189999999999998</v>
      </c>
    </row>
    <row r="4148" spans="1:5" x14ac:dyDescent="0.3">
      <c r="A4148" s="397"/>
      <c r="B4148" s="709">
        <v>101503</v>
      </c>
      <c r="C4148" s="710" t="s">
        <v>13847</v>
      </c>
      <c r="D4148" s="709" t="s">
        <v>136</v>
      </c>
      <c r="E4148" s="711">
        <v>0.24249999999999999</v>
      </c>
    </row>
    <row r="4149" spans="1:5" x14ac:dyDescent="0.3">
      <c r="A4149" s="397"/>
      <c r="B4149" s="709">
        <v>101504</v>
      </c>
      <c r="C4149" s="710" t="s">
        <v>13848</v>
      </c>
      <c r="D4149" s="709" t="s">
        <v>136</v>
      </c>
      <c r="E4149" s="711">
        <v>0.2281</v>
      </c>
    </row>
    <row r="4150" spans="1:5" x14ac:dyDescent="0.3">
      <c r="A4150" s="397"/>
      <c r="B4150" s="709">
        <v>101497</v>
      </c>
      <c r="C4150" s="710" t="s">
        <v>13849</v>
      </c>
      <c r="D4150" s="709" t="s">
        <v>136</v>
      </c>
      <c r="E4150" s="711">
        <v>0.28320000000000001</v>
      </c>
    </row>
    <row r="4151" spans="1:5" x14ac:dyDescent="0.3">
      <c r="A4151" s="397"/>
      <c r="B4151" s="709">
        <v>101498</v>
      </c>
      <c r="C4151" s="710" t="s">
        <v>13850</v>
      </c>
      <c r="D4151" s="709" t="s">
        <v>136</v>
      </c>
      <c r="E4151" s="711">
        <v>0.2777</v>
      </c>
    </row>
    <row r="4152" spans="1:5" x14ac:dyDescent="0.3">
      <c r="A4152" s="397"/>
      <c r="B4152" s="709">
        <v>101499</v>
      </c>
      <c r="C4152" s="710" t="s">
        <v>13851</v>
      </c>
      <c r="D4152" s="709" t="s">
        <v>136</v>
      </c>
      <c r="E4152" s="711">
        <v>0.2482</v>
      </c>
    </row>
    <row r="4153" spans="1:5" x14ac:dyDescent="0.3">
      <c r="A4153" s="397"/>
      <c r="B4153" s="709">
        <v>101500</v>
      </c>
      <c r="C4153" s="710" t="s">
        <v>13852</v>
      </c>
      <c r="D4153" s="709" t="s">
        <v>136</v>
      </c>
      <c r="E4153" s="711">
        <v>0.23330000000000001</v>
      </c>
    </row>
    <row r="4154" spans="1:5" x14ac:dyDescent="0.3">
      <c r="A4154" s="397"/>
      <c r="B4154" s="709">
        <v>101493</v>
      </c>
      <c r="C4154" s="710" t="s">
        <v>13853</v>
      </c>
      <c r="D4154" s="709" t="s">
        <v>136</v>
      </c>
      <c r="E4154" s="711">
        <v>0.29899999999999999</v>
      </c>
    </row>
    <row r="4155" spans="1:5" x14ac:dyDescent="0.3">
      <c r="A4155" s="397"/>
      <c r="B4155" s="709">
        <v>101494</v>
      </c>
      <c r="C4155" s="710" t="s">
        <v>13854</v>
      </c>
      <c r="D4155" s="709" t="s">
        <v>136</v>
      </c>
      <c r="E4155" s="711">
        <v>0.29360000000000003</v>
      </c>
    </row>
    <row r="4156" spans="1:5" x14ac:dyDescent="0.3">
      <c r="A4156" s="397"/>
      <c r="B4156" s="709">
        <v>101495</v>
      </c>
      <c r="C4156" s="710" t="s">
        <v>13855</v>
      </c>
      <c r="D4156" s="709" t="s">
        <v>136</v>
      </c>
      <c r="E4156" s="711">
        <v>0.27010000000000001</v>
      </c>
    </row>
    <row r="4157" spans="1:5" x14ac:dyDescent="0.3">
      <c r="A4157" s="397"/>
      <c r="B4157" s="709">
        <v>101496</v>
      </c>
      <c r="C4157" s="710" t="s">
        <v>13856</v>
      </c>
      <c r="D4157" s="709" t="s">
        <v>136</v>
      </c>
      <c r="E4157" s="711">
        <v>0.2571</v>
      </c>
    </row>
    <row r="4158" spans="1:5" x14ac:dyDescent="0.3">
      <c r="A4158" s="397"/>
      <c r="B4158" s="709">
        <v>101489</v>
      </c>
      <c r="C4158" s="710" t="s">
        <v>13857</v>
      </c>
      <c r="D4158" s="709" t="s">
        <v>136</v>
      </c>
      <c r="E4158" s="711">
        <v>0.30740000000000001</v>
      </c>
    </row>
    <row r="4159" spans="1:5" x14ac:dyDescent="0.3">
      <c r="A4159" s="397"/>
      <c r="B4159" s="709">
        <v>101490</v>
      </c>
      <c r="C4159" s="710" t="s">
        <v>13858</v>
      </c>
      <c r="D4159" s="709" t="s">
        <v>136</v>
      </c>
      <c r="E4159" s="711">
        <v>0.30149999999999999</v>
      </c>
    </row>
    <row r="4160" spans="1:5" x14ac:dyDescent="0.3">
      <c r="A4160" s="397"/>
      <c r="B4160" s="709">
        <v>101491</v>
      </c>
      <c r="C4160" s="710" t="s">
        <v>13859</v>
      </c>
      <c r="D4160" s="709" t="s">
        <v>136</v>
      </c>
      <c r="E4160" s="711">
        <v>0.27810000000000001</v>
      </c>
    </row>
    <row r="4161" spans="1:5" x14ac:dyDescent="0.3">
      <c r="A4161" s="397"/>
      <c r="B4161" s="709">
        <v>101492</v>
      </c>
      <c r="C4161" s="710" t="s">
        <v>13860</v>
      </c>
      <c r="D4161" s="709" t="s">
        <v>136</v>
      </c>
      <c r="E4161" s="711">
        <v>0.26450000000000001</v>
      </c>
    </row>
    <row r="4162" spans="1:5" x14ac:dyDescent="0.3">
      <c r="A4162" s="397"/>
      <c r="B4162" s="709">
        <v>101509</v>
      </c>
      <c r="C4162" s="710" t="s">
        <v>13861</v>
      </c>
      <c r="D4162" s="709" t="s">
        <v>136</v>
      </c>
      <c r="E4162" s="711">
        <v>0.27279999999999999</v>
      </c>
    </row>
    <row r="4163" spans="1:5" x14ac:dyDescent="0.3">
      <c r="A4163" s="397"/>
      <c r="B4163" s="709">
        <v>101510</v>
      </c>
      <c r="C4163" s="710" t="s">
        <v>13862</v>
      </c>
      <c r="D4163" s="709" t="s">
        <v>136</v>
      </c>
      <c r="E4163" s="711">
        <v>0.2671</v>
      </c>
    </row>
    <row r="4164" spans="1:5" x14ac:dyDescent="0.3">
      <c r="A4164" s="397"/>
      <c r="B4164" s="709">
        <v>101511</v>
      </c>
      <c r="C4164" s="710" t="s">
        <v>13863</v>
      </c>
      <c r="D4164" s="709" t="s">
        <v>136</v>
      </c>
      <c r="E4164" s="711">
        <v>0.23169999999999999</v>
      </c>
    </row>
    <row r="4165" spans="1:5" x14ac:dyDescent="0.3">
      <c r="A4165" s="397"/>
      <c r="B4165" s="709">
        <v>101512</v>
      </c>
      <c r="C4165" s="710" t="s">
        <v>13864</v>
      </c>
      <c r="D4165" s="709" t="s">
        <v>136</v>
      </c>
      <c r="E4165" s="711">
        <v>0.2152</v>
      </c>
    </row>
    <row r="4166" spans="1:5" x14ac:dyDescent="0.3">
      <c r="A4166" s="397"/>
      <c r="B4166" s="709">
        <v>101505</v>
      </c>
      <c r="C4166" s="710" t="s">
        <v>13865</v>
      </c>
      <c r="D4166" s="709" t="s">
        <v>136</v>
      </c>
      <c r="E4166" s="711">
        <v>0.28310000000000002</v>
      </c>
    </row>
    <row r="4167" spans="1:5" x14ac:dyDescent="0.3">
      <c r="A4167" s="397"/>
      <c r="B4167" s="709">
        <v>101506</v>
      </c>
      <c r="C4167" s="710" t="s">
        <v>13866</v>
      </c>
      <c r="D4167" s="709" t="s">
        <v>136</v>
      </c>
      <c r="E4167" s="711">
        <v>0.27629999999999999</v>
      </c>
    </row>
    <row r="4168" spans="1:5" x14ac:dyDescent="0.3">
      <c r="A4168" s="397"/>
      <c r="B4168" s="709">
        <v>101507</v>
      </c>
      <c r="C4168" s="710" t="s">
        <v>13867</v>
      </c>
      <c r="D4168" s="709" t="s">
        <v>136</v>
      </c>
      <c r="E4168" s="711">
        <v>0.24030000000000001</v>
      </c>
    </row>
    <row r="4169" spans="1:5" x14ac:dyDescent="0.3">
      <c r="A4169" s="397"/>
      <c r="B4169" s="709">
        <v>101508</v>
      </c>
      <c r="C4169" s="710" t="s">
        <v>13868</v>
      </c>
      <c r="D4169" s="709" t="s">
        <v>136</v>
      </c>
      <c r="E4169" s="711">
        <v>0.22270000000000001</v>
      </c>
    </row>
    <row r="4170" spans="1:5" x14ac:dyDescent="0.3">
      <c r="A4170" s="397"/>
      <c r="B4170" s="709">
        <v>101525</v>
      </c>
      <c r="C4170" s="710" t="s">
        <v>13869</v>
      </c>
      <c r="D4170" s="709" t="s">
        <v>136</v>
      </c>
      <c r="E4170" s="711">
        <v>0.20230000000000001</v>
      </c>
    </row>
    <row r="4171" spans="1:5" x14ac:dyDescent="0.3">
      <c r="A4171" s="397"/>
      <c r="B4171" s="709">
        <v>101526</v>
      </c>
      <c r="C4171" s="710" t="s">
        <v>13870</v>
      </c>
      <c r="D4171" s="709" t="s">
        <v>136</v>
      </c>
      <c r="E4171" s="711">
        <v>0.2041</v>
      </c>
    </row>
    <row r="4172" spans="1:5" x14ac:dyDescent="0.3">
      <c r="A4172" s="397"/>
      <c r="B4172" s="709">
        <v>101527</v>
      </c>
      <c r="C4172" s="710" t="s">
        <v>13871</v>
      </c>
      <c r="D4172" s="709" t="s">
        <v>136</v>
      </c>
      <c r="E4172" s="711">
        <v>0.1547</v>
      </c>
    </row>
    <row r="4173" spans="1:5" x14ac:dyDescent="0.3">
      <c r="A4173" s="397"/>
      <c r="B4173" s="709">
        <v>101528</v>
      </c>
      <c r="C4173" s="710" t="s">
        <v>13872</v>
      </c>
      <c r="D4173" s="709" t="s">
        <v>136</v>
      </c>
      <c r="E4173" s="711">
        <v>0.13930000000000001</v>
      </c>
    </row>
    <row r="4174" spans="1:5" x14ac:dyDescent="0.3">
      <c r="A4174" s="397"/>
      <c r="B4174" s="709">
        <v>101521</v>
      </c>
      <c r="C4174" s="710" t="s">
        <v>13873</v>
      </c>
      <c r="D4174" s="709" t="s">
        <v>136</v>
      </c>
      <c r="E4174" s="711">
        <v>0.21290000000000001</v>
      </c>
    </row>
    <row r="4175" spans="1:5" x14ac:dyDescent="0.3">
      <c r="A4175" s="397"/>
      <c r="B4175" s="709">
        <v>101522</v>
      </c>
      <c r="C4175" s="710" t="s">
        <v>13874</v>
      </c>
      <c r="D4175" s="709" t="s">
        <v>136</v>
      </c>
      <c r="E4175" s="711">
        <v>0.21310000000000001</v>
      </c>
    </row>
    <row r="4176" spans="1:5" x14ac:dyDescent="0.3">
      <c r="A4176" s="397"/>
      <c r="B4176" s="709">
        <v>101523</v>
      </c>
      <c r="C4176" s="710" t="s">
        <v>13875</v>
      </c>
      <c r="D4176" s="709" t="s">
        <v>136</v>
      </c>
      <c r="E4176" s="711">
        <v>0.16370000000000001</v>
      </c>
    </row>
    <row r="4177" spans="1:5" x14ac:dyDescent="0.3">
      <c r="A4177" s="397"/>
      <c r="B4177" s="709">
        <v>101524</v>
      </c>
      <c r="C4177" s="710" t="s">
        <v>13876</v>
      </c>
      <c r="D4177" s="709" t="s">
        <v>136</v>
      </c>
      <c r="E4177" s="711">
        <v>0.14710000000000001</v>
      </c>
    </row>
    <row r="4178" spans="1:5" x14ac:dyDescent="0.3">
      <c r="A4178" s="397"/>
      <c r="B4178" s="709">
        <v>101517</v>
      </c>
      <c r="C4178" s="710" t="s">
        <v>13877</v>
      </c>
      <c r="D4178" s="709" t="s">
        <v>136</v>
      </c>
      <c r="E4178" s="711">
        <v>0.21929999999999999</v>
      </c>
    </row>
    <row r="4179" spans="1:5" x14ac:dyDescent="0.3">
      <c r="A4179" s="397"/>
      <c r="B4179" s="709">
        <v>101518</v>
      </c>
      <c r="C4179" s="710" t="s">
        <v>13878</v>
      </c>
      <c r="D4179" s="709" t="s">
        <v>136</v>
      </c>
      <c r="E4179" s="711">
        <v>0.21859999999999999</v>
      </c>
    </row>
    <row r="4180" spans="1:5" x14ac:dyDescent="0.3">
      <c r="A4180" s="397"/>
      <c r="B4180" s="709">
        <v>101519</v>
      </c>
      <c r="C4180" s="710" t="s">
        <v>13879</v>
      </c>
      <c r="D4180" s="709" t="s">
        <v>136</v>
      </c>
      <c r="E4180" s="711">
        <v>0.17369999999999999</v>
      </c>
    </row>
    <row r="4181" spans="1:5" x14ac:dyDescent="0.3">
      <c r="A4181" s="397"/>
      <c r="B4181" s="709">
        <v>101520</v>
      </c>
      <c r="C4181" s="710" t="s">
        <v>13880</v>
      </c>
      <c r="D4181" s="709" t="s">
        <v>136</v>
      </c>
      <c r="E4181" s="711">
        <v>0.15709999999999999</v>
      </c>
    </row>
    <row r="4182" spans="1:5" x14ac:dyDescent="0.3">
      <c r="A4182" s="397"/>
      <c r="B4182" s="709">
        <v>101513</v>
      </c>
      <c r="C4182" s="710" t="s">
        <v>13881</v>
      </c>
      <c r="D4182" s="709" t="s">
        <v>136</v>
      </c>
      <c r="E4182" s="711">
        <v>0.23599999999999999</v>
      </c>
    </row>
    <row r="4183" spans="1:5" x14ac:dyDescent="0.3">
      <c r="A4183" s="397"/>
      <c r="B4183" s="709">
        <v>101514</v>
      </c>
      <c r="C4183" s="710" t="s">
        <v>13882</v>
      </c>
      <c r="D4183" s="709" t="s">
        <v>136</v>
      </c>
      <c r="E4183" s="711">
        <v>0.23319999999999999</v>
      </c>
    </row>
    <row r="4184" spans="1:5" x14ac:dyDescent="0.3">
      <c r="A4184" s="397"/>
      <c r="B4184" s="709">
        <v>101515</v>
      </c>
      <c r="C4184" s="710" t="s">
        <v>13883</v>
      </c>
      <c r="D4184" s="709" t="s">
        <v>136</v>
      </c>
      <c r="E4184" s="711">
        <v>0.1885</v>
      </c>
    </row>
    <row r="4185" spans="1:5" x14ac:dyDescent="0.3">
      <c r="A4185" s="397"/>
      <c r="B4185" s="709">
        <v>101516</v>
      </c>
      <c r="C4185" s="710" t="s">
        <v>13884</v>
      </c>
      <c r="D4185" s="709" t="s">
        <v>136</v>
      </c>
      <c r="E4185" s="711">
        <v>0.1704</v>
      </c>
    </row>
    <row r="4186" spans="1:5" x14ac:dyDescent="0.3">
      <c r="A4186" s="397"/>
      <c r="B4186" s="709">
        <v>101533</v>
      </c>
      <c r="C4186" s="710" t="s">
        <v>13885</v>
      </c>
      <c r="D4186" s="709" t="s">
        <v>136</v>
      </c>
      <c r="E4186" s="711">
        <v>0.20519999999999999</v>
      </c>
    </row>
    <row r="4187" spans="1:5" x14ac:dyDescent="0.3">
      <c r="A4187" s="397"/>
      <c r="B4187" s="709">
        <v>101534</v>
      </c>
      <c r="C4187" s="710" t="s">
        <v>13886</v>
      </c>
      <c r="D4187" s="709" t="s">
        <v>136</v>
      </c>
      <c r="E4187" s="711">
        <v>0.20669999999999999</v>
      </c>
    </row>
    <row r="4188" spans="1:5" x14ac:dyDescent="0.3">
      <c r="A4188" s="397"/>
      <c r="B4188" s="709">
        <v>101535</v>
      </c>
      <c r="C4188" s="710" t="s">
        <v>13887</v>
      </c>
      <c r="D4188" s="709" t="s">
        <v>136</v>
      </c>
      <c r="E4188" s="711">
        <v>0.15079999999999999</v>
      </c>
    </row>
    <row r="4189" spans="1:5" x14ac:dyDescent="0.3">
      <c r="A4189" s="397"/>
      <c r="B4189" s="709">
        <v>101536</v>
      </c>
      <c r="C4189" s="710" t="s">
        <v>13888</v>
      </c>
      <c r="D4189" s="709" t="s">
        <v>136</v>
      </c>
      <c r="E4189" s="711">
        <v>0.1343</v>
      </c>
    </row>
    <row r="4190" spans="1:5" x14ac:dyDescent="0.3">
      <c r="A4190" s="397"/>
      <c r="B4190" s="709">
        <v>101529</v>
      </c>
      <c r="C4190" s="710" t="s">
        <v>13889</v>
      </c>
      <c r="D4190" s="709" t="s">
        <v>136</v>
      </c>
      <c r="E4190" s="711">
        <v>0.21959999999999999</v>
      </c>
    </row>
    <row r="4191" spans="1:5" x14ac:dyDescent="0.3">
      <c r="A4191" s="397"/>
      <c r="B4191" s="709">
        <v>101530</v>
      </c>
      <c r="C4191" s="710" t="s">
        <v>13890</v>
      </c>
      <c r="D4191" s="709" t="s">
        <v>136</v>
      </c>
      <c r="E4191" s="711">
        <v>0.21870000000000001</v>
      </c>
    </row>
    <row r="4192" spans="1:5" x14ac:dyDescent="0.3">
      <c r="A4192" s="397"/>
      <c r="B4192" s="709">
        <v>101531</v>
      </c>
      <c r="C4192" s="710" t="s">
        <v>13891</v>
      </c>
      <c r="D4192" s="709" t="s">
        <v>136</v>
      </c>
      <c r="E4192" s="711">
        <v>0.1615</v>
      </c>
    </row>
    <row r="4193" spans="1:5" x14ac:dyDescent="0.3">
      <c r="A4193" s="397"/>
      <c r="B4193" s="709">
        <v>101532</v>
      </c>
      <c r="C4193" s="710" t="s">
        <v>13892</v>
      </c>
      <c r="D4193" s="709" t="s">
        <v>136</v>
      </c>
      <c r="E4193" s="711">
        <v>0.14299999999999999</v>
      </c>
    </row>
    <row r="4194" spans="1:5" x14ac:dyDescent="0.3">
      <c r="A4194" s="397"/>
      <c r="B4194" s="709">
        <v>101549</v>
      </c>
      <c r="C4194" s="710" t="s">
        <v>13893</v>
      </c>
      <c r="D4194" s="709" t="s">
        <v>136</v>
      </c>
      <c r="E4194" s="711">
        <v>0.2576</v>
      </c>
    </row>
    <row r="4195" spans="1:5" x14ac:dyDescent="0.3">
      <c r="A4195" s="397"/>
      <c r="B4195" s="709">
        <v>101547</v>
      </c>
      <c r="C4195" s="710" t="s">
        <v>13894</v>
      </c>
      <c r="D4195" s="709" t="s">
        <v>136</v>
      </c>
      <c r="E4195" s="711">
        <v>2.3400000000000001E-2</v>
      </c>
    </row>
    <row r="4196" spans="1:5" x14ac:dyDescent="0.3">
      <c r="A4196" s="397"/>
      <c r="B4196" s="709">
        <v>101546</v>
      </c>
      <c r="C4196" s="710" t="s">
        <v>13895</v>
      </c>
      <c r="D4196" s="709" t="s">
        <v>136</v>
      </c>
      <c r="E4196" s="711">
        <v>7.2599999999999998E-2</v>
      </c>
    </row>
    <row r="4197" spans="1:5" x14ac:dyDescent="0.3">
      <c r="A4197" s="397"/>
      <c r="B4197" s="709">
        <v>101548</v>
      </c>
      <c r="C4197" s="710" t="s">
        <v>13896</v>
      </c>
      <c r="D4197" s="709" t="s">
        <v>136</v>
      </c>
      <c r="E4197" s="711">
        <v>0.28110000000000002</v>
      </c>
    </row>
    <row r="4198" spans="1:5" x14ac:dyDescent="0.3">
      <c r="A4198" s="397"/>
      <c r="B4198" s="709">
        <v>94764</v>
      </c>
      <c r="C4198" s="710" t="s">
        <v>4489</v>
      </c>
      <c r="D4198" s="709" t="s">
        <v>136</v>
      </c>
      <c r="E4198" s="711">
        <v>0.1487</v>
      </c>
    </row>
    <row r="4199" spans="1:5" x14ac:dyDescent="0.3">
      <c r="A4199" s="397"/>
      <c r="B4199" s="709">
        <v>94765</v>
      </c>
      <c r="C4199" s="710" t="s">
        <v>4490</v>
      </c>
      <c r="D4199" s="709" t="s">
        <v>136</v>
      </c>
      <c r="E4199" s="711">
        <v>0.13730000000000001</v>
      </c>
    </row>
    <row r="4200" spans="1:5" x14ac:dyDescent="0.3">
      <c r="A4200" s="397"/>
      <c r="B4200" s="709">
        <v>94766</v>
      </c>
      <c r="C4200" s="710" t="s">
        <v>4491</v>
      </c>
      <c r="D4200" s="709" t="s">
        <v>136</v>
      </c>
      <c r="E4200" s="711">
        <v>0.12520000000000001</v>
      </c>
    </row>
    <row r="4201" spans="1:5" x14ac:dyDescent="0.3">
      <c r="A4201" s="397"/>
      <c r="B4201" s="709">
        <v>94767</v>
      </c>
      <c r="C4201" s="710" t="s">
        <v>4492</v>
      </c>
      <c r="D4201" s="709" t="s">
        <v>136</v>
      </c>
      <c r="E4201" s="711">
        <v>8.5699999999999998E-2</v>
      </c>
    </row>
    <row r="4202" spans="1:5" x14ac:dyDescent="0.3">
      <c r="A4202" s="397"/>
      <c r="B4202" s="709">
        <v>94768</v>
      </c>
      <c r="C4202" s="710" t="s">
        <v>4493</v>
      </c>
      <c r="D4202" s="709" t="s">
        <v>136</v>
      </c>
      <c r="E4202" s="711">
        <v>7.7899999999999997E-2</v>
      </c>
    </row>
    <row r="4203" spans="1:5" x14ac:dyDescent="0.3">
      <c r="A4203" s="397"/>
      <c r="B4203" s="709">
        <v>94769</v>
      </c>
      <c r="C4203" s="710" t="s">
        <v>4494</v>
      </c>
      <c r="D4203" s="709" t="s">
        <v>136</v>
      </c>
      <c r="E4203" s="711">
        <v>6.0199999999999997E-2</v>
      </c>
    </row>
    <row r="4204" spans="1:5" x14ac:dyDescent="0.3">
      <c r="A4204" s="397"/>
      <c r="B4204" s="709">
        <v>94783</v>
      </c>
      <c r="C4204" s="710" t="s">
        <v>4495</v>
      </c>
      <c r="D4204" s="709" t="s">
        <v>136</v>
      </c>
      <c r="E4204" s="711">
        <v>0.34210000000000002</v>
      </c>
    </row>
    <row r="4205" spans="1:5" x14ac:dyDescent="0.3">
      <c r="A4205" s="397"/>
      <c r="B4205" s="709">
        <v>94703</v>
      </c>
      <c r="C4205" s="710" t="s">
        <v>4496</v>
      </c>
      <c r="D4205" s="709" t="s">
        <v>136</v>
      </c>
      <c r="E4205" s="711">
        <v>0.32629999999999998</v>
      </c>
    </row>
    <row r="4206" spans="1:5" x14ac:dyDescent="0.3">
      <c r="A4206" s="397"/>
      <c r="B4206" s="709">
        <v>94704</v>
      </c>
      <c r="C4206" s="710" t="s">
        <v>4497</v>
      </c>
      <c r="D4206" s="709" t="s">
        <v>136</v>
      </c>
      <c r="E4206" s="711">
        <v>0.249</v>
      </c>
    </row>
    <row r="4207" spans="1:5" x14ac:dyDescent="0.3">
      <c r="A4207" s="397"/>
      <c r="B4207" s="709">
        <v>94705</v>
      </c>
      <c r="C4207" s="710" t="s">
        <v>4498</v>
      </c>
      <c r="D4207" s="709" t="s">
        <v>136</v>
      </c>
      <c r="E4207" s="711">
        <v>0.18690000000000001</v>
      </c>
    </row>
    <row r="4208" spans="1:5" x14ac:dyDescent="0.3">
      <c r="A4208" s="397"/>
      <c r="B4208" s="709">
        <v>94706</v>
      </c>
      <c r="C4208" s="710" t="s">
        <v>4499</v>
      </c>
      <c r="D4208" s="709" t="s">
        <v>136</v>
      </c>
      <c r="E4208" s="711">
        <v>0.19839999999999999</v>
      </c>
    </row>
    <row r="4209" spans="1:5" x14ac:dyDescent="0.3">
      <c r="A4209" s="397"/>
      <c r="B4209" s="709">
        <v>94707</v>
      </c>
      <c r="C4209" s="710" t="s">
        <v>4500</v>
      </c>
      <c r="D4209" s="709" t="s">
        <v>136</v>
      </c>
      <c r="E4209" s="711">
        <v>0.1295</v>
      </c>
    </row>
    <row r="4210" spans="1:5" x14ac:dyDescent="0.3">
      <c r="A4210" s="397"/>
      <c r="B4210" s="709">
        <v>94715</v>
      </c>
      <c r="C4210" s="710" t="s">
        <v>4501</v>
      </c>
      <c r="D4210" s="709" t="s">
        <v>136</v>
      </c>
      <c r="E4210" s="711">
        <v>4.9599999999999998E-2</v>
      </c>
    </row>
    <row r="4211" spans="1:5" x14ac:dyDescent="0.3">
      <c r="A4211" s="397"/>
      <c r="B4211" s="709">
        <v>94713</v>
      </c>
      <c r="C4211" s="710" t="s">
        <v>4502</v>
      </c>
      <c r="D4211" s="709" t="s">
        <v>136</v>
      </c>
      <c r="E4211" s="711">
        <v>5.5399999999999998E-2</v>
      </c>
    </row>
    <row r="4212" spans="1:5" x14ac:dyDescent="0.3">
      <c r="A4212" s="397"/>
      <c r="B4212" s="709">
        <v>94714</v>
      </c>
      <c r="C4212" s="710" t="s">
        <v>4503</v>
      </c>
      <c r="D4212" s="709" t="s">
        <v>136</v>
      </c>
      <c r="E4212" s="711">
        <v>4.07E-2</v>
      </c>
    </row>
    <row r="4213" spans="1:5" x14ac:dyDescent="0.3">
      <c r="A4213" s="397"/>
      <c r="B4213" s="709">
        <v>94670</v>
      </c>
      <c r="C4213" s="710" t="s">
        <v>4504</v>
      </c>
      <c r="D4213" s="709" t="s">
        <v>136</v>
      </c>
      <c r="E4213" s="711">
        <v>0.26500000000000001</v>
      </c>
    </row>
    <row r="4214" spans="1:5" x14ac:dyDescent="0.3">
      <c r="A4214" s="397"/>
      <c r="B4214" s="709">
        <v>94656</v>
      </c>
      <c r="C4214" s="710" t="s">
        <v>4505</v>
      </c>
      <c r="D4214" s="709" t="s">
        <v>136</v>
      </c>
      <c r="E4214" s="711">
        <v>0.54049999999999998</v>
      </c>
    </row>
    <row r="4215" spans="1:5" x14ac:dyDescent="0.3">
      <c r="A4215" s="397"/>
      <c r="B4215" s="709">
        <v>94658</v>
      </c>
      <c r="C4215" s="710" t="s">
        <v>4506</v>
      </c>
      <c r="D4215" s="709" t="s">
        <v>136</v>
      </c>
      <c r="E4215" s="711">
        <v>0.46820000000000001</v>
      </c>
    </row>
    <row r="4216" spans="1:5" x14ac:dyDescent="0.3">
      <c r="A4216" s="397"/>
      <c r="B4216" s="709">
        <v>94660</v>
      </c>
      <c r="C4216" s="710" t="s">
        <v>4507</v>
      </c>
      <c r="D4216" s="709" t="s">
        <v>136</v>
      </c>
      <c r="E4216" s="711">
        <v>0.39379999999999998</v>
      </c>
    </row>
    <row r="4217" spans="1:5" x14ac:dyDescent="0.3">
      <c r="A4217" s="397"/>
      <c r="B4217" s="709">
        <v>94662</v>
      </c>
      <c r="C4217" s="710" t="s">
        <v>4508</v>
      </c>
      <c r="D4217" s="709" t="s">
        <v>136</v>
      </c>
      <c r="E4217" s="711">
        <v>0.41810000000000003</v>
      </c>
    </row>
    <row r="4218" spans="1:5" x14ac:dyDescent="0.3">
      <c r="A4218" s="397"/>
      <c r="B4218" s="709">
        <v>94664</v>
      </c>
      <c r="C4218" s="710" t="s">
        <v>4509</v>
      </c>
      <c r="D4218" s="709" t="s">
        <v>136</v>
      </c>
      <c r="E4218" s="711">
        <v>0.30559999999999998</v>
      </c>
    </row>
    <row r="4219" spans="1:5" x14ac:dyDescent="0.3">
      <c r="A4219" s="397"/>
      <c r="B4219" s="709">
        <v>94666</v>
      </c>
      <c r="C4219" s="710" t="s">
        <v>4510</v>
      </c>
      <c r="D4219" s="709" t="s">
        <v>136</v>
      </c>
      <c r="E4219" s="711">
        <v>0.27629999999999999</v>
      </c>
    </row>
    <row r="4220" spans="1:5" x14ac:dyDescent="0.3">
      <c r="A4220" s="397"/>
      <c r="B4220" s="709">
        <v>94668</v>
      </c>
      <c r="C4220" s="710" t="s">
        <v>4511</v>
      </c>
      <c r="D4220" s="709" t="s">
        <v>136</v>
      </c>
      <c r="E4220" s="711">
        <v>0.26019999999999999</v>
      </c>
    </row>
    <row r="4221" spans="1:5" x14ac:dyDescent="0.3">
      <c r="A4221" s="397"/>
      <c r="B4221" s="709">
        <v>105215</v>
      </c>
      <c r="C4221" s="710" t="s">
        <v>4512</v>
      </c>
      <c r="D4221" s="709" t="s">
        <v>136</v>
      </c>
      <c r="E4221" s="711">
        <v>0.1804</v>
      </c>
    </row>
    <row r="4222" spans="1:5" x14ac:dyDescent="0.3">
      <c r="A4222" s="397"/>
      <c r="B4222" s="709">
        <v>105216</v>
      </c>
      <c r="C4222" s="710" t="s">
        <v>4513</v>
      </c>
      <c r="D4222" s="709" t="s">
        <v>136</v>
      </c>
      <c r="E4222" s="711">
        <v>5.8999999999999997E-2</v>
      </c>
    </row>
    <row r="4223" spans="1:5" x14ac:dyDescent="0.3">
      <c r="A4223" s="397"/>
      <c r="B4223" s="709">
        <v>105217</v>
      </c>
      <c r="C4223" s="710" t="s">
        <v>4514</v>
      </c>
      <c r="D4223" s="709" t="s">
        <v>136</v>
      </c>
      <c r="E4223" s="711">
        <v>5.5800000000000002E-2</v>
      </c>
    </row>
    <row r="4224" spans="1:5" x14ac:dyDescent="0.3">
      <c r="A4224" s="397"/>
      <c r="B4224" s="709">
        <v>105214</v>
      </c>
      <c r="C4224" s="710" t="s">
        <v>4515</v>
      </c>
      <c r="D4224" s="709" t="s">
        <v>136</v>
      </c>
      <c r="E4224" s="711">
        <v>7.5499999999999998E-2</v>
      </c>
    </row>
    <row r="4225" spans="1:5" x14ac:dyDescent="0.3">
      <c r="A4225" s="397"/>
      <c r="B4225" s="709">
        <v>105218</v>
      </c>
      <c r="C4225" s="710" t="s">
        <v>4516</v>
      </c>
      <c r="D4225" s="709" t="s">
        <v>136</v>
      </c>
      <c r="E4225" s="711">
        <v>4.9099999999999998E-2</v>
      </c>
    </row>
    <row r="4226" spans="1:5" x14ac:dyDescent="0.3">
      <c r="A4226" s="397"/>
      <c r="B4226" s="709">
        <v>105213</v>
      </c>
      <c r="C4226" s="710" t="s">
        <v>4517</v>
      </c>
      <c r="D4226" s="709" t="s">
        <v>136</v>
      </c>
      <c r="E4226" s="711">
        <v>9.7299999999999998E-2</v>
      </c>
    </row>
    <row r="4227" spans="1:5" x14ac:dyDescent="0.3">
      <c r="A4227" s="397"/>
      <c r="B4227" s="709">
        <v>105233</v>
      </c>
      <c r="C4227" s="710" t="s">
        <v>4518</v>
      </c>
      <c r="D4227" s="709" t="s">
        <v>136</v>
      </c>
      <c r="E4227" s="711">
        <v>0.3196</v>
      </c>
    </row>
    <row r="4228" spans="1:5" x14ac:dyDescent="0.3">
      <c r="A4228" s="397"/>
      <c r="B4228" s="709">
        <v>105234</v>
      </c>
      <c r="C4228" s="710" t="s">
        <v>4519</v>
      </c>
      <c r="D4228" s="709" t="s">
        <v>136</v>
      </c>
      <c r="E4228" s="711">
        <v>0.3276</v>
      </c>
    </row>
    <row r="4229" spans="1:5" x14ac:dyDescent="0.3">
      <c r="A4229" s="397"/>
      <c r="B4229" s="709">
        <v>105228</v>
      </c>
      <c r="C4229" s="710" t="s">
        <v>4520</v>
      </c>
      <c r="D4229" s="709" t="s">
        <v>136</v>
      </c>
      <c r="E4229" s="711">
        <v>0.29559999999999997</v>
      </c>
    </row>
    <row r="4230" spans="1:5" x14ac:dyDescent="0.3">
      <c r="A4230" s="397"/>
      <c r="B4230" s="709">
        <v>105138</v>
      </c>
      <c r="C4230" s="710" t="s">
        <v>4521</v>
      </c>
      <c r="D4230" s="709" t="s">
        <v>136</v>
      </c>
      <c r="E4230" s="711">
        <v>0.23039999999999999</v>
      </c>
    </row>
    <row r="4231" spans="1:5" x14ac:dyDescent="0.3">
      <c r="A4231" s="397"/>
      <c r="B4231" s="709">
        <v>105139</v>
      </c>
      <c r="C4231" s="710" t="s">
        <v>4522</v>
      </c>
      <c r="D4231" s="709" t="s">
        <v>136</v>
      </c>
      <c r="E4231" s="711">
        <v>0.2102</v>
      </c>
    </row>
    <row r="4232" spans="1:5" x14ac:dyDescent="0.3">
      <c r="A4232" s="397"/>
      <c r="B4232" s="709">
        <v>105140</v>
      </c>
      <c r="C4232" s="710" t="s">
        <v>4523</v>
      </c>
      <c r="D4232" s="709" t="s">
        <v>136</v>
      </c>
      <c r="E4232" s="711">
        <v>0.2036</v>
      </c>
    </row>
    <row r="4233" spans="1:5" x14ac:dyDescent="0.3">
      <c r="A4233" s="397"/>
      <c r="B4233" s="709">
        <v>105141</v>
      </c>
      <c r="C4233" s="710" t="s">
        <v>4524</v>
      </c>
      <c r="D4233" s="709" t="s">
        <v>136</v>
      </c>
      <c r="E4233" s="711">
        <v>0.2175</v>
      </c>
    </row>
    <row r="4234" spans="1:5" x14ac:dyDescent="0.3">
      <c r="A4234" s="397"/>
      <c r="B4234" s="709">
        <v>105172</v>
      </c>
      <c r="C4234" s="710" t="s">
        <v>4525</v>
      </c>
      <c r="D4234" s="709" t="s">
        <v>136</v>
      </c>
      <c r="E4234" s="711">
        <v>0.28720000000000001</v>
      </c>
    </row>
    <row r="4235" spans="1:5" x14ac:dyDescent="0.3">
      <c r="A4235" s="397"/>
      <c r="B4235" s="709">
        <v>105169</v>
      </c>
      <c r="C4235" s="710" t="s">
        <v>4526</v>
      </c>
      <c r="D4235" s="709" t="s">
        <v>136</v>
      </c>
      <c r="E4235" s="711">
        <v>0.30590000000000001</v>
      </c>
    </row>
    <row r="4236" spans="1:5" x14ac:dyDescent="0.3">
      <c r="A4236" s="397"/>
      <c r="B4236" s="709">
        <v>105230</v>
      </c>
      <c r="C4236" s="710" t="s">
        <v>4527</v>
      </c>
      <c r="D4236" s="709" t="s">
        <v>136</v>
      </c>
      <c r="E4236" s="711">
        <v>0.47920000000000001</v>
      </c>
    </row>
    <row r="4237" spans="1:5" x14ac:dyDescent="0.3">
      <c r="A4237" s="397"/>
      <c r="B4237" s="709">
        <v>105231</v>
      </c>
      <c r="C4237" s="710" t="s">
        <v>4528</v>
      </c>
      <c r="D4237" s="709" t="s">
        <v>136</v>
      </c>
      <c r="E4237" s="711">
        <v>0.4612</v>
      </c>
    </row>
    <row r="4238" spans="1:5" x14ac:dyDescent="0.3">
      <c r="A4238" s="397"/>
      <c r="B4238" s="709">
        <v>105232</v>
      </c>
      <c r="C4238" s="710" t="s">
        <v>4529</v>
      </c>
      <c r="D4238" s="709" t="s">
        <v>136</v>
      </c>
      <c r="E4238" s="711">
        <v>0.26750000000000002</v>
      </c>
    </row>
    <row r="4239" spans="1:5" x14ac:dyDescent="0.3">
      <c r="A4239" s="397"/>
      <c r="B4239" s="709">
        <v>105229</v>
      </c>
      <c r="C4239" s="710" t="s">
        <v>4530</v>
      </c>
      <c r="D4239" s="709" t="s">
        <v>136</v>
      </c>
      <c r="E4239" s="711">
        <v>0.19450000000000001</v>
      </c>
    </row>
    <row r="4240" spans="1:5" x14ac:dyDescent="0.3">
      <c r="A4240" s="397"/>
      <c r="B4240" s="709">
        <v>105146</v>
      </c>
      <c r="C4240" s="710" t="s">
        <v>4531</v>
      </c>
      <c r="D4240" s="709" t="s">
        <v>136</v>
      </c>
      <c r="E4240" s="711">
        <v>0.25440000000000002</v>
      </c>
    </row>
    <row r="4241" spans="1:5" x14ac:dyDescent="0.3">
      <c r="A4241" s="397"/>
      <c r="B4241" s="709">
        <v>96738</v>
      </c>
      <c r="C4241" s="710" t="s">
        <v>4536</v>
      </c>
      <c r="D4241" s="709" t="s">
        <v>136</v>
      </c>
      <c r="E4241" s="711">
        <v>0.16900000000000001</v>
      </c>
    </row>
    <row r="4242" spans="1:5" x14ac:dyDescent="0.3">
      <c r="A4242" s="397"/>
      <c r="B4242" s="709">
        <v>96740</v>
      </c>
      <c r="C4242" s="710" t="s">
        <v>4537</v>
      </c>
      <c r="D4242" s="709" t="s">
        <v>136</v>
      </c>
      <c r="E4242" s="711">
        <v>0.1414</v>
      </c>
    </row>
    <row r="4243" spans="1:5" x14ac:dyDescent="0.3">
      <c r="A4243" s="397"/>
      <c r="B4243" s="709">
        <v>94738</v>
      </c>
      <c r="C4243" s="710" t="s">
        <v>4538</v>
      </c>
      <c r="D4243" s="709" t="s">
        <v>136</v>
      </c>
      <c r="E4243" s="711">
        <v>1.01E-2</v>
      </c>
    </row>
    <row r="4244" spans="1:5" x14ac:dyDescent="0.3">
      <c r="A4244" s="397"/>
      <c r="B4244" s="709">
        <v>94724</v>
      </c>
      <c r="C4244" s="710" t="s">
        <v>4539</v>
      </c>
      <c r="D4244" s="709" t="s">
        <v>136</v>
      </c>
      <c r="E4244" s="711">
        <v>5.4899999999999997E-2</v>
      </c>
    </row>
    <row r="4245" spans="1:5" x14ac:dyDescent="0.3">
      <c r="A4245" s="397"/>
      <c r="B4245" s="709">
        <v>94726</v>
      </c>
      <c r="C4245" s="710" t="s">
        <v>4540</v>
      </c>
      <c r="D4245" s="709" t="s">
        <v>136</v>
      </c>
      <c r="E4245" s="711">
        <v>5.3699999999999998E-2</v>
      </c>
    </row>
    <row r="4246" spans="1:5" x14ac:dyDescent="0.3">
      <c r="A4246" s="397"/>
      <c r="B4246" s="709">
        <v>94728</v>
      </c>
      <c r="C4246" s="710" t="s">
        <v>4541</v>
      </c>
      <c r="D4246" s="709" t="s">
        <v>136</v>
      </c>
      <c r="E4246" s="711">
        <v>4.4600000000000001E-2</v>
      </c>
    </row>
    <row r="4247" spans="1:5" x14ac:dyDescent="0.3">
      <c r="A4247" s="397"/>
      <c r="B4247" s="709">
        <v>94730</v>
      </c>
      <c r="C4247" s="710" t="s">
        <v>4542</v>
      </c>
      <c r="D4247" s="709" t="s">
        <v>136</v>
      </c>
      <c r="E4247" s="711">
        <v>4.6699999999999998E-2</v>
      </c>
    </row>
    <row r="4248" spans="1:5" x14ac:dyDescent="0.3">
      <c r="A4248" s="397"/>
      <c r="B4248" s="709">
        <v>94732</v>
      </c>
      <c r="C4248" s="710" t="s">
        <v>4543</v>
      </c>
      <c r="D4248" s="709" t="s">
        <v>136</v>
      </c>
      <c r="E4248" s="711">
        <v>4.2700000000000002E-2</v>
      </c>
    </row>
    <row r="4249" spans="1:5" x14ac:dyDescent="0.3">
      <c r="A4249" s="397"/>
      <c r="B4249" s="709">
        <v>94734</v>
      </c>
      <c r="C4249" s="710" t="s">
        <v>4544</v>
      </c>
      <c r="D4249" s="709" t="s">
        <v>136</v>
      </c>
      <c r="E4249" s="711">
        <v>1.9400000000000001E-2</v>
      </c>
    </row>
    <row r="4250" spans="1:5" x14ac:dyDescent="0.3">
      <c r="A4250" s="397"/>
      <c r="B4250" s="709">
        <v>94736</v>
      </c>
      <c r="C4250" s="710" t="s">
        <v>4545</v>
      </c>
      <c r="D4250" s="709" t="s">
        <v>136</v>
      </c>
      <c r="E4250" s="711">
        <v>1.9099999999999999E-2</v>
      </c>
    </row>
    <row r="4251" spans="1:5" x14ac:dyDescent="0.3">
      <c r="A4251" s="397"/>
      <c r="B4251" s="709">
        <v>94483</v>
      </c>
      <c r="C4251" s="710" t="s">
        <v>4546</v>
      </c>
      <c r="D4251" s="709" t="s">
        <v>136</v>
      </c>
      <c r="E4251" s="711">
        <v>0.37519999999999998</v>
      </c>
    </row>
    <row r="4252" spans="1:5" x14ac:dyDescent="0.3">
      <c r="A4252" s="397"/>
      <c r="B4252" s="709">
        <v>94482</v>
      </c>
      <c r="C4252" s="710" t="s">
        <v>4547</v>
      </c>
      <c r="D4252" s="709" t="s">
        <v>136</v>
      </c>
      <c r="E4252" s="711">
        <v>0.33040000000000003</v>
      </c>
    </row>
    <row r="4253" spans="1:5" x14ac:dyDescent="0.3">
      <c r="A4253" s="397"/>
      <c r="B4253" s="709">
        <v>94481</v>
      </c>
      <c r="C4253" s="710" t="s">
        <v>4548</v>
      </c>
      <c r="D4253" s="709" t="s">
        <v>136</v>
      </c>
      <c r="E4253" s="711">
        <v>0.27560000000000001</v>
      </c>
    </row>
    <row r="4254" spans="1:5" x14ac:dyDescent="0.3">
      <c r="A4254" s="397"/>
      <c r="B4254" s="709">
        <v>94480</v>
      </c>
      <c r="C4254" s="710" t="s">
        <v>4549</v>
      </c>
      <c r="D4254" s="709" t="s">
        <v>136</v>
      </c>
      <c r="E4254" s="711">
        <v>0.2074</v>
      </c>
    </row>
    <row r="4255" spans="1:5" x14ac:dyDescent="0.3">
      <c r="A4255" s="397"/>
      <c r="B4255" s="709">
        <v>94472</v>
      </c>
      <c r="C4255" s="710" t="s">
        <v>4550</v>
      </c>
      <c r="D4255" s="709" t="s">
        <v>136</v>
      </c>
      <c r="E4255" s="711">
        <v>0.39079999999999998</v>
      </c>
    </row>
    <row r="4256" spans="1:5" x14ac:dyDescent="0.3">
      <c r="A4256" s="397"/>
      <c r="B4256" s="709">
        <v>94474</v>
      </c>
      <c r="C4256" s="710" t="s">
        <v>4551</v>
      </c>
      <c r="D4256" s="709" t="s">
        <v>136</v>
      </c>
      <c r="E4256" s="711">
        <v>0.28039999999999998</v>
      </c>
    </row>
    <row r="4257" spans="1:5" x14ac:dyDescent="0.3">
      <c r="A4257" s="397"/>
      <c r="B4257" s="709">
        <v>94476</v>
      </c>
      <c r="C4257" s="710" t="s">
        <v>4552</v>
      </c>
      <c r="D4257" s="709" t="s">
        <v>136</v>
      </c>
      <c r="E4257" s="711">
        <v>0.2397</v>
      </c>
    </row>
    <row r="4258" spans="1:5" x14ac:dyDescent="0.3">
      <c r="A4258" s="397"/>
      <c r="B4258" s="709">
        <v>94471</v>
      </c>
      <c r="C4258" s="710" t="s">
        <v>4553</v>
      </c>
      <c r="D4258" s="709" t="s">
        <v>136</v>
      </c>
      <c r="E4258" s="711">
        <v>0.40139999999999998</v>
      </c>
    </row>
    <row r="4259" spans="1:5" x14ac:dyDescent="0.3">
      <c r="A4259" s="397"/>
      <c r="B4259" s="709">
        <v>94473</v>
      </c>
      <c r="C4259" s="710" t="s">
        <v>4554</v>
      </c>
      <c r="D4259" s="709" t="s">
        <v>136</v>
      </c>
      <c r="E4259" s="711">
        <v>0.30180000000000001</v>
      </c>
    </row>
    <row r="4260" spans="1:5" x14ac:dyDescent="0.3">
      <c r="A4260" s="397"/>
      <c r="B4260" s="709">
        <v>94475</v>
      </c>
      <c r="C4260" s="710" t="s">
        <v>4555</v>
      </c>
      <c r="D4260" s="709" t="s">
        <v>136</v>
      </c>
      <c r="E4260" s="711">
        <v>0.2661</v>
      </c>
    </row>
    <row r="4261" spans="1:5" x14ac:dyDescent="0.3">
      <c r="A4261" s="397"/>
      <c r="B4261" s="709">
        <v>105194</v>
      </c>
      <c r="C4261" s="710" t="s">
        <v>4556</v>
      </c>
      <c r="D4261" s="709" t="s">
        <v>136</v>
      </c>
      <c r="E4261" s="711">
        <v>0.36449999999999999</v>
      </c>
    </row>
    <row r="4262" spans="1:5" x14ac:dyDescent="0.3">
      <c r="A4262" s="397"/>
      <c r="B4262" s="709">
        <v>105195</v>
      </c>
      <c r="C4262" s="710" t="s">
        <v>4557</v>
      </c>
      <c r="D4262" s="709" t="s">
        <v>136</v>
      </c>
      <c r="E4262" s="711">
        <v>0.2054</v>
      </c>
    </row>
    <row r="4263" spans="1:5" x14ac:dyDescent="0.3">
      <c r="A4263" s="397"/>
      <c r="B4263" s="709">
        <v>105178</v>
      </c>
      <c r="C4263" s="710" t="s">
        <v>4558</v>
      </c>
      <c r="D4263" s="709" t="s">
        <v>136</v>
      </c>
      <c r="E4263" s="711">
        <v>0.25319999999999998</v>
      </c>
    </row>
    <row r="4264" spans="1:5" x14ac:dyDescent="0.3">
      <c r="A4264" s="397"/>
      <c r="B4264" s="709">
        <v>94620</v>
      </c>
      <c r="C4264" s="710" t="s">
        <v>4559</v>
      </c>
      <c r="D4264" s="709" t="s">
        <v>136</v>
      </c>
      <c r="E4264" s="711">
        <v>3.61E-2</v>
      </c>
    </row>
    <row r="4265" spans="1:5" x14ac:dyDescent="0.3">
      <c r="A4265" s="397"/>
      <c r="B4265" s="709">
        <v>94614</v>
      </c>
      <c r="C4265" s="710" t="s">
        <v>4560</v>
      </c>
      <c r="D4265" s="709" t="s">
        <v>136</v>
      </c>
      <c r="E4265" s="711">
        <v>0.1981</v>
      </c>
    </row>
    <row r="4266" spans="1:5" x14ac:dyDescent="0.3">
      <c r="A4266" s="397"/>
      <c r="B4266" s="709">
        <v>94616</v>
      </c>
      <c r="C4266" s="710" t="s">
        <v>4561</v>
      </c>
      <c r="D4266" s="709" t="s">
        <v>136</v>
      </c>
      <c r="E4266" s="711">
        <v>7.1999999999999995E-2</v>
      </c>
    </row>
    <row r="4267" spans="1:5" x14ac:dyDescent="0.3">
      <c r="A4267" s="397"/>
      <c r="B4267" s="709">
        <v>94618</v>
      </c>
      <c r="C4267" s="710" t="s">
        <v>4562</v>
      </c>
      <c r="D4267" s="709" t="s">
        <v>136</v>
      </c>
      <c r="E4267" s="711">
        <v>7.7499999999999999E-2</v>
      </c>
    </row>
    <row r="4268" spans="1:5" x14ac:dyDescent="0.3">
      <c r="A4268" s="397"/>
      <c r="B4268" s="709">
        <v>105193</v>
      </c>
      <c r="C4268" s="710" t="s">
        <v>4563</v>
      </c>
      <c r="D4268" s="709" t="s">
        <v>136</v>
      </c>
      <c r="E4268" s="711">
        <v>0.24940000000000001</v>
      </c>
    </row>
    <row r="4269" spans="1:5" x14ac:dyDescent="0.3">
      <c r="A4269" s="397"/>
      <c r="B4269" s="709">
        <v>105197</v>
      </c>
      <c r="C4269" s="710" t="s">
        <v>4564</v>
      </c>
      <c r="D4269" s="709" t="s">
        <v>136</v>
      </c>
      <c r="E4269" s="711">
        <v>0.20269999999999999</v>
      </c>
    </row>
    <row r="4270" spans="1:5" x14ac:dyDescent="0.3">
      <c r="A4270" s="397"/>
      <c r="B4270" s="709">
        <v>105196</v>
      </c>
      <c r="C4270" s="710" t="s">
        <v>4565</v>
      </c>
      <c r="D4270" s="709" t="s">
        <v>136</v>
      </c>
      <c r="E4270" s="711">
        <v>0.1648</v>
      </c>
    </row>
    <row r="4271" spans="1:5" x14ac:dyDescent="0.3">
      <c r="A4271" s="397"/>
      <c r="B4271" s="709">
        <v>105198</v>
      </c>
      <c r="C4271" s="710" t="s">
        <v>4566</v>
      </c>
      <c r="D4271" s="709" t="s">
        <v>136</v>
      </c>
      <c r="E4271" s="711">
        <v>0.13819999999999999</v>
      </c>
    </row>
    <row r="4272" spans="1:5" x14ac:dyDescent="0.3">
      <c r="A4272" s="397"/>
      <c r="B4272" s="709">
        <v>105200</v>
      </c>
      <c r="C4272" s="710" t="s">
        <v>4567</v>
      </c>
      <c r="D4272" s="709" t="s">
        <v>136</v>
      </c>
      <c r="E4272" s="711">
        <v>0.25330000000000003</v>
      </c>
    </row>
    <row r="4273" spans="1:5" x14ac:dyDescent="0.3">
      <c r="A4273" s="397"/>
      <c r="B4273" s="709">
        <v>105199</v>
      </c>
      <c r="C4273" s="710" t="s">
        <v>4568</v>
      </c>
      <c r="D4273" s="709" t="s">
        <v>136</v>
      </c>
      <c r="E4273" s="711">
        <v>0.18049999999999999</v>
      </c>
    </row>
    <row r="4274" spans="1:5" x14ac:dyDescent="0.3">
      <c r="A4274" s="397"/>
      <c r="B4274" s="709">
        <v>105201</v>
      </c>
      <c r="C4274" s="710" t="s">
        <v>4569</v>
      </c>
      <c r="D4274" s="709" t="s">
        <v>136</v>
      </c>
      <c r="E4274" s="711">
        <v>0.15679999999999999</v>
      </c>
    </row>
    <row r="4275" spans="1:5" x14ac:dyDescent="0.3">
      <c r="A4275" s="397"/>
      <c r="B4275" s="709">
        <v>94741</v>
      </c>
      <c r="C4275" s="710" t="s">
        <v>4571</v>
      </c>
      <c r="D4275" s="709" t="s">
        <v>136</v>
      </c>
      <c r="E4275" s="711">
        <v>0.17449999999999999</v>
      </c>
    </row>
    <row r="4276" spans="1:5" x14ac:dyDescent="0.3">
      <c r="A4276" s="397"/>
      <c r="B4276" s="709">
        <v>94743</v>
      </c>
      <c r="C4276" s="710" t="s">
        <v>4572</v>
      </c>
      <c r="D4276" s="709" t="s">
        <v>136</v>
      </c>
      <c r="E4276" s="711">
        <v>0.13270000000000001</v>
      </c>
    </row>
    <row r="4277" spans="1:5" x14ac:dyDescent="0.3">
      <c r="A4277" s="397"/>
      <c r="B4277" s="709">
        <v>105209</v>
      </c>
      <c r="C4277" s="710" t="s">
        <v>4578</v>
      </c>
      <c r="D4277" s="709" t="s">
        <v>136</v>
      </c>
      <c r="E4277" s="711">
        <v>0.20899999999999999</v>
      </c>
    </row>
    <row r="4278" spans="1:5" x14ac:dyDescent="0.3">
      <c r="A4278" s="397"/>
      <c r="B4278" s="709">
        <v>105208</v>
      </c>
      <c r="C4278" s="710" t="s">
        <v>4579</v>
      </c>
      <c r="D4278" s="709" t="s">
        <v>136</v>
      </c>
      <c r="E4278" s="711">
        <v>0.1216</v>
      </c>
    </row>
    <row r="4279" spans="1:5" x14ac:dyDescent="0.3">
      <c r="A4279" s="397"/>
      <c r="B4279" s="709">
        <v>105210</v>
      </c>
      <c r="C4279" s="710" t="s">
        <v>4580</v>
      </c>
      <c r="D4279" s="709" t="s">
        <v>136</v>
      </c>
      <c r="E4279" s="711">
        <v>0.1115</v>
      </c>
    </row>
    <row r="4280" spans="1:5" x14ac:dyDescent="0.3">
      <c r="A4280" s="397"/>
      <c r="B4280" s="709">
        <v>105203</v>
      </c>
      <c r="C4280" s="710" t="s">
        <v>4581</v>
      </c>
      <c r="D4280" s="709" t="s">
        <v>136</v>
      </c>
      <c r="E4280" s="711">
        <v>0.2036</v>
      </c>
    </row>
    <row r="4281" spans="1:5" x14ac:dyDescent="0.3">
      <c r="A4281" s="397"/>
      <c r="B4281" s="709">
        <v>105202</v>
      </c>
      <c r="C4281" s="710" t="s">
        <v>4582</v>
      </c>
      <c r="D4281" s="709" t="s">
        <v>136</v>
      </c>
      <c r="E4281" s="711">
        <v>0.14699999999999999</v>
      </c>
    </row>
    <row r="4282" spans="1:5" x14ac:dyDescent="0.3">
      <c r="A4282" s="397"/>
      <c r="B4282" s="709">
        <v>105204</v>
      </c>
      <c r="C4282" s="710" t="s">
        <v>4583</v>
      </c>
      <c r="D4282" s="709" t="s">
        <v>136</v>
      </c>
      <c r="E4282" s="711">
        <v>0.13100000000000001</v>
      </c>
    </row>
    <row r="4283" spans="1:5" x14ac:dyDescent="0.3">
      <c r="A4283" s="397"/>
      <c r="B4283" s="709">
        <v>105206</v>
      </c>
      <c r="C4283" s="710" t="s">
        <v>4584</v>
      </c>
      <c r="D4283" s="709" t="s">
        <v>136</v>
      </c>
      <c r="E4283" s="711">
        <v>0.21310000000000001</v>
      </c>
    </row>
    <row r="4284" spans="1:5" x14ac:dyDescent="0.3">
      <c r="A4284" s="397"/>
      <c r="B4284" s="709">
        <v>105205</v>
      </c>
      <c r="C4284" s="710" t="s">
        <v>4585</v>
      </c>
      <c r="D4284" s="709" t="s">
        <v>136</v>
      </c>
      <c r="E4284" s="711">
        <v>0.15859999999999999</v>
      </c>
    </row>
    <row r="4285" spans="1:5" x14ac:dyDescent="0.3">
      <c r="A4285" s="397"/>
      <c r="B4285" s="709">
        <v>105207</v>
      </c>
      <c r="C4285" s="710" t="s">
        <v>4586</v>
      </c>
      <c r="D4285" s="709" t="s">
        <v>136</v>
      </c>
      <c r="E4285" s="711">
        <v>0.13469999999999999</v>
      </c>
    </row>
    <row r="4286" spans="1:5" x14ac:dyDescent="0.3">
      <c r="A4286" s="397"/>
      <c r="B4286" s="709">
        <v>94687</v>
      </c>
      <c r="C4286" s="710" t="s">
        <v>4587</v>
      </c>
      <c r="D4286" s="709" t="s">
        <v>136</v>
      </c>
      <c r="E4286" s="711">
        <v>0.11940000000000001</v>
      </c>
    </row>
    <row r="4287" spans="1:5" x14ac:dyDescent="0.3">
      <c r="A4287" s="397"/>
      <c r="B4287" s="709">
        <v>94673</v>
      </c>
      <c r="C4287" s="710" t="s">
        <v>4588</v>
      </c>
      <c r="D4287" s="709" t="s">
        <v>136</v>
      </c>
      <c r="E4287" s="711">
        <v>0.39360000000000001</v>
      </c>
    </row>
    <row r="4288" spans="1:5" x14ac:dyDescent="0.3">
      <c r="A4288" s="397"/>
      <c r="B4288" s="709">
        <v>94675</v>
      </c>
      <c r="C4288" s="710" t="s">
        <v>4589</v>
      </c>
      <c r="D4288" s="709" t="s">
        <v>136</v>
      </c>
      <c r="E4288" s="711">
        <v>0.30320000000000003</v>
      </c>
    </row>
    <row r="4289" spans="1:5" x14ac:dyDescent="0.3">
      <c r="A4289" s="397"/>
      <c r="B4289" s="709">
        <v>94677</v>
      </c>
      <c r="C4289" s="710" t="s">
        <v>4590</v>
      </c>
      <c r="D4289" s="709" t="s">
        <v>136</v>
      </c>
      <c r="E4289" s="711">
        <v>0.25030000000000002</v>
      </c>
    </row>
    <row r="4290" spans="1:5" x14ac:dyDescent="0.3">
      <c r="A4290" s="397"/>
      <c r="B4290" s="709">
        <v>94679</v>
      </c>
      <c r="C4290" s="710" t="s">
        <v>4591</v>
      </c>
      <c r="D4290" s="709" t="s">
        <v>136</v>
      </c>
      <c r="E4290" s="711">
        <v>0.28949999999999998</v>
      </c>
    </row>
    <row r="4291" spans="1:5" x14ac:dyDescent="0.3">
      <c r="A4291" s="397"/>
      <c r="B4291" s="709">
        <v>94681</v>
      </c>
      <c r="C4291" s="710" t="s">
        <v>4592</v>
      </c>
      <c r="D4291" s="709" t="s">
        <v>136</v>
      </c>
      <c r="E4291" s="711">
        <v>0.18759999999999999</v>
      </c>
    </row>
    <row r="4292" spans="1:5" x14ac:dyDescent="0.3">
      <c r="A4292" s="397"/>
      <c r="B4292" s="709">
        <v>94683</v>
      </c>
      <c r="C4292" s="710" t="s">
        <v>4593</v>
      </c>
      <c r="D4292" s="709" t="s">
        <v>136</v>
      </c>
      <c r="E4292" s="711">
        <v>0.1817</v>
      </c>
    </row>
    <row r="4293" spans="1:5" x14ac:dyDescent="0.3">
      <c r="A4293" s="397"/>
      <c r="B4293" s="709">
        <v>94685</v>
      </c>
      <c r="C4293" s="710" t="s">
        <v>4594</v>
      </c>
      <c r="D4293" s="709" t="s">
        <v>136</v>
      </c>
      <c r="E4293" s="711">
        <v>0.1789</v>
      </c>
    </row>
    <row r="4294" spans="1:5" x14ac:dyDescent="0.3">
      <c r="A4294" s="397"/>
      <c r="B4294" s="709">
        <v>94615</v>
      </c>
      <c r="C4294" s="710" t="s">
        <v>4596</v>
      </c>
      <c r="D4294" s="709" t="s">
        <v>136</v>
      </c>
      <c r="E4294" s="711">
        <v>0.17369999999999999</v>
      </c>
    </row>
    <row r="4295" spans="1:5" x14ac:dyDescent="0.3">
      <c r="A4295" s="397"/>
      <c r="B4295" s="709">
        <v>94617</v>
      </c>
      <c r="C4295" s="710" t="s">
        <v>4597</v>
      </c>
      <c r="D4295" s="709" t="s">
        <v>136</v>
      </c>
      <c r="E4295" s="711">
        <v>8.6800000000000002E-2</v>
      </c>
    </row>
    <row r="4296" spans="1:5" x14ac:dyDescent="0.3">
      <c r="A4296" s="397"/>
      <c r="B4296" s="709">
        <v>105147</v>
      </c>
      <c r="C4296" s="710" t="s">
        <v>4599</v>
      </c>
      <c r="D4296" s="709" t="s">
        <v>136</v>
      </c>
      <c r="E4296" s="711">
        <v>0.34399999999999997</v>
      </c>
    </row>
    <row r="4297" spans="1:5" x14ac:dyDescent="0.3">
      <c r="A4297" s="397"/>
      <c r="B4297" s="709">
        <v>105148</v>
      </c>
      <c r="C4297" s="710" t="s">
        <v>4600</v>
      </c>
      <c r="D4297" s="709" t="s">
        <v>136</v>
      </c>
      <c r="E4297" s="711">
        <v>0.26369999999999999</v>
      </c>
    </row>
    <row r="4298" spans="1:5" x14ac:dyDescent="0.3">
      <c r="A4298" s="397"/>
      <c r="B4298" s="709">
        <v>105154</v>
      </c>
      <c r="C4298" s="710" t="s">
        <v>4601</v>
      </c>
      <c r="D4298" s="709" t="s">
        <v>136</v>
      </c>
      <c r="E4298" s="711">
        <v>0.42709999999999998</v>
      </c>
    </row>
    <row r="4299" spans="1:5" x14ac:dyDescent="0.3">
      <c r="A4299" s="397"/>
      <c r="B4299" s="709">
        <v>105155</v>
      </c>
      <c r="C4299" s="710" t="s">
        <v>4602</v>
      </c>
      <c r="D4299" s="709" t="s">
        <v>136</v>
      </c>
      <c r="E4299" s="711">
        <v>0.36659999999999998</v>
      </c>
    </row>
    <row r="4300" spans="1:5" x14ac:dyDescent="0.3">
      <c r="A4300" s="397"/>
      <c r="B4300" s="709">
        <v>105156</v>
      </c>
      <c r="C4300" s="710" t="s">
        <v>4603</v>
      </c>
      <c r="D4300" s="709" t="s">
        <v>136</v>
      </c>
      <c r="E4300" s="711">
        <v>0.38740000000000002</v>
      </c>
    </row>
    <row r="4301" spans="1:5" x14ac:dyDescent="0.3">
      <c r="A4301" s="397"/>
      <c r="B4301" s="709">
        <v>105157</v>
      </c>
      <c r="C4301" s="710" t="s">
        <v>4604</v>
      </c>
      <c r="D4301" s="709" t="s">
        <v>136</v>
      </c>
      <c r="E4301" s="711">
        <v>0.3478</v>
      </c>
    </row>
    <row r="4302" spans="1:5" x14ac:dyDescent="0.3">
      <c r="A4302" s="397"/>
      <c r="B4302" s="709">
        <v>105158</v>
      </c>
      <c r="C4302" s="710" t="s">
        <v>4605</v>
      </c>
      <c r="D4302" s="709" t="s">
        <v>136</v>
      </c>
      <c r="E4302" s="711">
        <v>0.31719999999999998</v>
      </c>
    </row>
    <row r="4303" spans="1:5" x14ac:dyDescent="0.3">
      <c r="A4303" s="397"/>
      <c r="B4303" s="709">
        <v>105159</v>
      </c>
      <c r="C4303" s="710" t="s">
        <v>4606</v>
      </c>
      <c r="D4303" s="709" t="s">
        <v>136</v>
      </c>
      <c r="E4303" s="711">
        <v>0.25979999999999998</v>
      </c>
    </row>
    <row r="4304" spans="1:5" x14ac:dyDescent="0.3">
      <c r="A4304" s="397"/>
      <c r="B4304" s="709">
        <v>105160</v>
      </c>
      <c r="C4304" s="710" t="s">
        <v>4607</v>
      </c>
      <c r="D4304" s="709" t="s">
        <v>136</v>
      </c>
      <c r="E4304" s="711">
        <v>0.2641</v>
      </c>
    </row>
    <row r="4305" spans="1:5" x14ac:dyDescent="0.3">
      <c r="A4305" s="397"/>
      <c r="B4305" s="709">
        <v>94672</v>
      </c>
      <c r="C4305" s="710" t="s">
        <v>4612</v>
      </c>
      <c r="D4305" s="709" t="s">
        <v>136</v>
      </c>
      <c r="E4305" s="711">
        <v>0.46820000000000001</v>
      </c>
    </row>
    <row r="4306" spans="1:5" x14ac:dyDescent="0.3">
      <c r="A4306" s="397"/>
      <c r="B4306" s="709">
        <v>94754</v>
      </c>
      <c r="C4306" s="710" t="s">
        <v>4613</v>
      </c>
      <c r="D4306" s="709" t="s">
        <v>136</v>
      </c>
      <c r="E4306" s="711">
        <v>8.8999999999999996E-2</v>
      </c>
    </row>
    <row r="4307" spans="1:5" x14ac:dyDescent="0.3">
      <c r="A4307" s="397"/>
      <c r="B4307" s="709">
        <v>94740</v>
      </c>
      <c r="C4307" s="710" t="s">
        <v>4614</v>
      </c>
      <c r="D4307" s="709" t="s">
        <v>136</v>
      </c>
      <c r="E4307" s="711">
        <v>0.23080000000000001</v>
      </c>
    </row>
    <row r="4308" spans="1:5" x14ac:dyDescent="0.3">
      <c r="A4308" s="397"/>
      <c r="B4308" s="709">
        <v>94742</v>
      </c>
      <c r="C4308" s="710" t="s">
        <v>4615</v>
      </c>
      <c r="D4308" s="709" t="s">
        <v>136</v>
      </c>
      <c r="E4308" s="711">
        <v>0.1706</v>
      </c>
    </row>
    <row r="4309" spans="1:5" x14ac:dyDescent="0.3">
      <c r="A4309" s="397"/>
      <c r="B4309" s="709">
        <v>94744</v>
      </c>
      <c r="C4309" s="710" t="s">
        <v>4616</v>
      </c>
      <c r="D4309" s="709" t="s">
        <v>136</v>
      </c>
      <c r="E4309" s="711">
        <v>0.13900000000000001</v>
      </c>
    </row>
    <row r="4310" spans="1:5" x14ac:dyDescent="0.3">
      <c r="A4310" s="397"/>
      <c r="B4310" s="709">
        <v>94746</v>
      </c>
      <c r="C4310" s="710" t="s">
        <v>4617</v>
      </c>
      <c r="D4310" s="709" t="s">
        <v>136</v>
      </c>
      <c r="E4310" s="711">
        <v>0.1234</v>
      </c>
    </row>
    <row r="4311" spans="1:5" x14ac:dyDescent="0.3">
      <c r="A4311" s="397"/>
      <c r="B4311" s="709">
        <v>94748</v>
      </c>
      <c r="C4311" s="710" t="s">
        <v>4618</v>
      </c>
      <c r="D4311" s="709" t="s">
        <v>136</v>
      </c>
      <c r="E4311" s="711">
        <v>8.1199999999999994E-2</v>
      </c>
    </row>
    <row r="4312" spans="1:5" x14ac:dyDescent="0.3">
      <c r="A4312" s="397"/>
      <c r="B4312" s="709">
        <v>94750</v>
      </c>
      <c r="C4312" s="710" t="s">
        <v>4619</v>
      </c>
      <c r="D4312" s="709" t="s">
        <v>136</v>
      </c>
      <c r="E4312" s="711">
        <v>6.6699999999999995E-2</v>
      </c>
    </row>
    <row r="4313" spans="1:5" x14ac:dyDescent="0.3">
      <c r="A4313" s="397"/>
      <c r="B4313" s="709">
        <v>94752</v>
      </c>
      <c r="C4313" s="710" t="s">
        <v>4620</v>
      </c>
      <c r="D4313" s="709" t="s">
        <v>136</v>
      </c>
      <c r="E4313" s="711">
        <v>7.9899999999999999E-2</v>
      </c>
    </row>
    <row r="4314" spans="1:5" x14ac:dyDescent="0.3">
      <c r="A4314" s="397"/>
      <c r="B4314" s="709">
        <v>96755</v>
      </c>
      <c r="C4314" s="710" t="s">
        <v>4621</v>
      </c>
      <c r="D4314" s="709" t="s">
        <v>136</v>
      </c>
      <c r="E4314" s="711">
        <v>9.8199999999999996E-2</v>
      </c>
    </row>
    <row r="4315" spans="1:5" x14ac:dyDescent="0.3">
      <c r="A4315" s="397"/>
      <c r="B4315" s="709">
        <v>96747</v>
      </c>
      <c r="C4315" s="710" t="s">
        <v>4622</v>
      </c>
      <c r="D4315" s="709" t="s">
        <v>136</v>
      </c>
      <c r="E4315" s="711">
        <v>0.73699999999999999</v>
      </c>
    </row>
    <row r="4316" spans="1:5" x14ac:dyDescent="0.3">
      <c r="A4316" s="397"/>
      <c r="B4316" s="709">
        <v>96748</v>
      </c>
      <c r="C4316" s="710" t="s">
        <v>4623</v>
      </c>
      <c r="D4316" s="709" t="s">
        <v>136</v>
      </c>
      <c r="E4316" s="711">
        <v>0.69579999999999997</v>
      </c>
    </row>
    <row r="4317" spans="1:5" x14ac:dyDescent="0.3">
      <c r="A4317" s="397"/>
      <c r="B4317" s="709">
        <v>96749</v>
      </c>
      <c r="C4317" s="710" t="s">
        <v>4624</v>
      </c>
      <c r="D4317" s="709" t="s">
        <v>136</v>
      </c>
      <c r="E4317" s="711">
        <v>0.63590000000000002</v>
      </c>
    </row>
    <row r="4318" spans="1:5" x14ac:dyDescent="0.3">
      <c r="A4318" s="397"/>
      <c r="B4318" s="709">
        <v>96750</v>
      </c>
      <c r="C4318" s="710" t="s">
        <v>4625</v>
      </c>
      <c r="D4318" s="709" t="s">
        <v>136</v>
      </c>
      <c r="E4318" s="711">
        <v>0.48409999999999997</v>
      </c>
    </row>
    <row r="4319" spans="1:5" x14ac:dyDescent="0.3">
      <c r="A4319" s="397"/>
      <c r="B4319" s="709">
        <v>96751</v>
      </c>
      <c r="C4319" s="710" t="s">
        <v>4626</v>
      </c>
      <c r="D4319" s="709" t="s">
        <v>136</v>
      </c>
      <c r="E4319" s="711">
        <v>0.41639999999999999</v>
      </c>
    </row>
    <row r="4320" spans="1:5" x14ac:dyDescent="0.3">
      <c r="A4320" s="397"/>
      <c r="B4320" s="709">
        <v>96752</v>
      </c>
      <c r="C4320" s="710" t="s">
        <v>4627</v>
      </c>
      <c r="D4320" s="709" t="s">
        <v>136</v>
      </c>
      <c r="E4320" s="711">
        <v>0.37</v>
      </c>
    </row>
    <row r="4321" spans="1:5" x14ac:dyDescent="0.3">
      <c r="A4321" s="397"/>
      <c r="B4321" s="709">
        <v>96753</v>
      </c>
      <c r="C4321" s="710" t="s">
        <v>4628</v>
      </c>
      <c r="D4321" s="709" t="s">
        <v>136</v>
      </c>
      <c r="E4321" s="711">
        <v>0.20660000000000001</v>
      </c>
    </row>
    <row r="4322" spans="1:5" x14ac:dyDescent="0.3">
      <c r="A4322" s="397"/>
      <c r="B4322" s="709">
        <v>96754</v>
      </c>
      <c r="C4322" s="710" t="s">
        <v>4629</v>
      </c>
      <c r="D4322" s="709" t="s">
        <v>136</v>
      </c>
      <c r="E4322" s="711">
        <v>0.214</v>
      </c>
    </row>
    <row r="4323" spans="1:5" x14ac:dyDescent="0.3">
      <c r="A4323" s="397"/>
      <c r="B4323" s="709">
        <v>94686</v>
      </c>
      <c r="C4323" s="710" t="s">
        <v>4630</v>
      </c>
      <c r="D4323" s="709" t="s">
        <v>136</v>
      </c>
      <c r="E4323" s="711">
        <v>0.108</v>
      </c>
    </row>
    <row r="4324" spans="1:5" x14ac:dyDescent="0.3">
      <c r="A4324" s="397"/>
      <c r="B4324" s="709">
        <v>94674</v>
      </c>
      <c r="C4324" s="710" t="s">
        <v>4631</v>
      </c>
      <c r="D4324" s="709" t="s">
        <v>136</v>
      </c>
      <c r="E4324" s="711">
        <v>0.46689999999999998</v>
      </c>
    </row>
    <row r="4325" spans="1:5" x14ac:dyDescent="0.3">
      <c r="A4325" s="397"/>
      <c r="B4325" s="709">
        <v>94676</v>
      </c>
      <c r="C4325" s="710" t="s">
        <v>4632</v>
      </c>
      <c r="D4325" s="709" t="s">
        <v>136</v>
      </c>
      <c r="E4325" s="711">
        <v>0.37230000000000002</v>
      </c>
    </row>
    <row r="4326" spans="1:5" x14ac:dyDescent="0.3">
      <c r="A4326" s="397"/>
      <c r="B4326" s="709">
        <v>94678</v>
      </c>
      <c r="C4326" s="710" t="s">
        <v>4633</v>
      </c>
      <c r="D4326" s="709" t="s">
        <v>136</v>
      </c>
      <c r="E4326" s="711">
        <v>0.45040000000000002</v>
      </c>
    </row>
    <row r="4327" spans="1:5" x14ac:dyDescent="0.3">
      <c r="A4327" s="397"/>
      <c r="B4327" s="709">
        <v>94680</v>
      </c>
      <c r="C4327" s="710" t="s">
        <v>4634</v>
      </c>
      <c r="D4327" s="709" t="s">
        <v>136</v>
      </c>
      <c r="E4327" s="711">
        <v>0.21079999999999999</v>
      </c>
    </row>
    <row r="4328" spans="1:5" x14ac:dyDescent="0.3">
      <c r="A4328" s="397"/>
      <c r="B4328" s="709">
        <v>94682</v>
      </c>
      <c r="C4328" s="710" t="s">
        <v>4635</v>
      </c>
      <c r="D4328" s="709" t="s">
        <v>136</v>
      </c>
      <c r="E4328" s="711">
        <v>0.1241</v>
      </c>
    </row>
    <row r="4329" spans="1:5" x14ac:dyDescent="0.3">
      <c r="A4329" s="397"/>
      <c r="B4329" s="709">
        <v>94684</v>
      </c>
      <c r="C4329" s="710" t="s">
        <v>4636</v>
      </c>
      <c r="D4329" s="709" t="s">
        <v>136</v>
      </c>
      <c r="E4329" s="711">
        <v>0.12909999999999999</v>
      </c>
    </row>
    <row r="4330" spans="1:5" x14ac:dyDescent="0.3">
      <c r="A4330" s="397"/>
      <c r="B4330" s="709">
        <v>105219</v>
      </c>
      <c r="C4330" s="710" t="s">
        <v>4637</v>
      </c>
      <c r="D4330" s="709" t="s">
        <v>136</v>
      </c>
      <c r="E4330" s="711">
        <v>0.1956</v>
      </c>
    </row>
    <row r="4331" spans="1:5" x14ac:dyDescent="0.3">
      <c r="A4331" s="397"/>
      <c r="B4331" s="709">
        <v>105220</v>
      </c>
      <c r="C4331" s="710" t="s">
        <v>4638</v>
      </c>
      <c r="D4331" s="709" t="s">
        <v>136</v>
      </c>
      <c r="E4331" s="711">
        <v>0.17829999999999999</v>
      </c>
    </row>
    <row r="4332" spans="1:5" x14ac:dyDescent="0.3">
      <c r="A4332" s="397"/>
      <c r="B4332" s="709">
        <v>105221</v>
      </c>
      <c r="C4332" s="710" t="s">
        <v>4639</v>
      </c>
      <c r="D4332" s="709" t="s">
        <v>136</v>
      </c>
      <c r="E4332" s="711">
        <v>0.14910000000000001</v>
      </c>
    </row>
    <row r="4333" spans="1:5" x14ac:dyDescent="0.3">
      <c r="A4333" s="397"/>
      <c r="B4333" s="709">
        <v>105166</v>
      </c>
      <c r="C4333" s="710" t="s">
        <v>4640</v>
      </c>
      <c r="D4333" s="709" t="s">
        <v>136</v>
      </c>
      <c r="E4333" s="711">
        <v>0.12479999999999999</v>
      </c>
    </row>
    <row r="4334" spans="1:5" x14ac:dyDescent="0.3">
      <c r="A4334" s="397"/>
      <c r="B4334" s="709">
        <v>105222</v>
      </c>
      <c r="C4334" s="710" t="s">
        <v>4641</v>
      </c>
      <c r="D4334" s="709" t="s">
        <v>136</v>
      </c>
      <c r="E4334" s="711">
        <v>9.5799999999999996E-2</v>
      </c>
    </row>
    <row r="4335" spans="1:5" x14ac:dyDescent="0.3">
      <c r="A4335" s="397"/>
      <c r="B4335" s="709">
        <v>105223</v>
      </c>
      <c r="C4335" s="710" t="s">
        <v>4642</v>
      </c>
      <c r="D4335" s="709" t="s">
        <v>136</v>
      </c>
      <c r="E4335" s="711">
        <v>6.9000000000000006E-2</v>
      </c>
    </row>
    <row r="4336" spans="1:5" x14ac:dyDescent="0.3">
      <c r="A4336" s="397"/>
      <c r="B4336" s="709">
        <v>105224</v>
      </c>
      <c r="C4336" s="710" t="s">
        <v>4643</v>
      </c>
      <c r="D4336" s="709" t="s">
        <v>136</v>
      </c>
      <c r="E4336" s="711">
        <v>6.7900000000000002E-2</v>
      </c>
    </row>
    <row r="4337" spans="1:5" x14ac:dyDescent="0.3">
      <c r="A4337" s="397"/>
      <c r="B4337" s="709">
        <v>105149</v>
      </c>
      <c r="C4337" s="710" t="s">
        <v>4644</v>
      </c>
      <c r="D4337" s="709" t="s">
        <v>136</v>
      </c>
      <c r="E4337" s="711">
        <v>0.71340000000000003</v>
      </c>
    </row>
    <row r="4338" spans="1:5" x14ac:dyDescent="0.3">
      <c r="A4338" s="397"/>
      <c r="B4338" s="709">
        <v>105150</v>
      </c>
      <c r="C4338" s="710" t="s">
        <v>4645</v>
      </c>
      <c r="D4338" s="709" t="s">
        <v>136</v>
      </c>
      <c r="E4338" s="711">
        <v>0.6653</v>
      </c>
    </row>
    <row r="4339" spans="1:5" x14ac:dyDescent="0.3">
      <c r="A4339" s="397"/>
      <c r="B4339" s="709">
        <v>105151</v>
      </c>
      <c r="C4339" s="710" t="s">
        <v>4646</v>
      </c>
      <c r="D4339" s="709" t="s">
        <v>136</v>
      </c>
      <c r="E4339" s="711">
        <v>0.36780000000000002</v>
      </c>
    </row>
    <row r="4340" spans="1:5" x14ac:dyDescent="0.3">
      <c r="A4340" s="397"/>
      <c r="B4340" s="709">
        <v>105152</v>
      </c>
      <c r="C4340" s="710" t="s">
        <v>4647</v>
      </c>
      <c r="D4340" s="709" t="s">
        <v>136</v>
      </c>
      <c r="E4340" s="711">
        <v>0.31019999999999998</v>
      </c>
    </row>
    <row r="4341" spans="1:5" x14ac:dyDescent="0.3">
      <c r="A4341" s="397"/>
      <c r="B4341" s="709">
        <v>105153</v>
      </c>
      <c r="C4341" s="710" t="s">
        <v>4648</v>
      </c>
      <c r="D4341" s="709" t="s">
        <v>136</v>
      </c>
      <c r="E4341" s="711">
        <v>0.26300000000000001</v>
      </c>
    </row>
    <row r="4342" spans="1:5" x14ac:dyDescent="0.3">
      <c r="A4342" s="397"/>
      <c r="B4342" s="709">
        <v>105161</v>
      </c>
      <c r="C4342" s="710" t="s">
        <v>4649</v>
      </c>
      <c r="D4342" s="709" t="s">
        <v>136</v>
      </c>
      <c r="E4342" s="711">
        <v>0.18640000000000001</v>
      </c>
    </row>
    <row r="4343" spans="1:5" x14ac:dyDescent="0.3">
      <c r="A4343" s="397"/>
      <c r="B4343" s="709">
        <v>105162</v>
      </c>
      <c r="C4343" s="710" t="s">
        <v>4650</v>
      </c>
      <c r="D4343" s="709" t="s">
        <v>136</v>
      </c>
      <c r="E4343" s="711">
        <v>0.14480000000000001</v>
      </c>
    </row>
    <row r="4344" spans="1:5" x14ac:dyDescent="0.3">
      <c r="A4344" s="397"/>
      <c r="B4344" s="709">
        <v>105163</v>
      </c>
      <c r="C4344" s="710" t="s">
        <v>4651</v>
      </c>
      <c r="D4344" s="709" t="s">
        <v>136</v>
      </c>
      <c r="E4344" s="711">
        <v>0.48680000000000001</v>
      </c>
    </row>
    <row r="4345" spans="1:5" x14ac:dyDescent="0.3">
      <c r="A4345" s="397"/>
      <c r="B4345" s="709">
        <v>105170</v>
      </c>
      <c r="C4345" s="710" t="s">
        <v>4652</v>
      </c>
      <c r="D4345" s="709" t="s">
        <v>136</v>
      </c>
      <c r="E4345" s="711">
        <v>0.503</v>
      </c>
    </row>
    <row r="4346" spans="1:5" x14ac:dyDescent="0.3">
      <c r="A4346" s="397"/>
      <c r="B4346" s="709">
        <v>105179</v>
      </c>
      <c r="C4346" s="710" t="s">
        <v>4653</v>
      </c>
      <c r="D4346" s="709" t="s">
        <v>136</v>
      </c>
      <c r="E4346" s="711">
        <v>0.3795</v>
      </c>
    </row>
    <row r="4347" spans="1:5" x14ac:dyDescent="0.3">
      <c r="A4347" s="397"/>
      <c r="B4347" s="709">
        <v>105180</v>
      </c>
      <c r="C4347" s="710" t="s">
        <v>4654</v>
      </c>
      <c r="D4347" s="709" t="s">
        <v>136</v>
      </c>
      <c r="E4347" s="711">
        <v>0.37069999999999997</v>
      </c>
    </row>
    <row r="4348" spans="1:5" x14ac:dyDescent="0.3">
      <c r="A4348" s="397"/>
      <c r="B4348" s="709">
        <v>105181</v>
      </c>
      <c r="C4348" s="710" t="s">
        <v>4655</v>
      </c>
      <c r="D4348" s="709" t="s">
        <v>136</v>
      </c>
      <c r="E4348" s="711">
        <v>0.38429999999999997</v>
      </c>
    </row>
    <row r="4349" spans="1:5" x14ac:dyDescent="0.3">
      <c r="A4349" s="397"/>
      <c r="B4349" s="709">
        <v>105182</v>
      </c>
      <c r="C4349" s="710" t="s">
        <v>4656</v>
      </c>
      <c r="D4349" s="709" t="s">
        <v>136</v>
      </c>
      <c r="E4349" s="711">
        <v>0.22</v>
      </c>
    </row>
    <row r="4350" spans="1:5" x14ac:dyDescent="0.3">
      <c r="A4350" s="397"/>
      <c r="B4350" s="709">
        <v>105183</v>
      </c>
      <c r="C4350" s="710" t="s">
        <v>4657</v>
      </c>
      <c r="D4350" s="709" t="s">
        <v>136</v>
      </c>
      <c r="E4350" s="711">
        <v>0.15390000000000001</v>
      </c>
    </row>
    <row r="4351" spans="1:5" x14ac:dyDescent="0.3">
      <c r="A4351" s="397"/>
      <c r="B4351" s="709">
        <v>105184</v>
      </c>
      <c r="C4351" s="710" t="s">
        <v>4658</v>
      </c>
      <c r="D4351" s="709" t="s">
        <v>136</v>
      </c>
      <c r="E4351" s="711">
        <v>0.15579999999999999</v>
      </c>
    </row>
    <row r="4352" spans="1:5" x14ac:dyDescent="0.3">
      <c r="A4352" s="397"/>
      <c r="B4352" s="709">
        <v>94612</v>
      </c>
      <c r="C4352" s="710" t="s">
        <v>4659</v>
      </c>
      <c r="D4352" s="709" t="s">
        <v>136</v>
      </c>
      <c r="E4352" s="711">
        <v>4.9599999999999998E-2</v>
      </c>
    </row>
    <row r="4353" spans="1:5" x14ac:dyDescent="0.3">
      <c r="A4353" s="397"/>
      <c r="B4353" s="709">
        <v>105142</v>
      </c>
      <c r="C4353" s="710" t="s">
        <v>4660</v>
      </c>
      <c r="D4353" s="709" t="s">
        <v>136</v>
      </c>
      <c r="E4353" s="711">
        <v>0.31590000000000001</v>
      </c>
    </row>
    <row r="4354" spans="1:5" x14ac:dyDescent="0.3">
      <c r="A4354" s="397"/>
      <c r="B4354" s="709">
        <v>105143</v>
      </c>
      <c r="C4354" s="710" t="s">
        <v>4661</v>
      </c>
      <c r="D4354" s="709" t="s">
        <v>136</v>
      </c>
      <c r="E4354" s="711">
        <v>0.27839999999999998</v>
      </c>
    </row>
    <row r="4355" spans="1:5" x14ac:dyDescent="0.3">
      <c r="A4355" s="397"/>
      <c r="B4355" s="709">
        <v>105144</v>
      </c>
      <c r="C4355" s="710" t="s">
        <v>4662</v>
      </c>
      <c r="D4355" s="709" t="s">
        <v>136</v>
      </c>
      <c r="E4355" s="711">
        <v>0.2455</v>
      </c>
    </row>
    <row r="4356" spans="1:5" x14ac:dyDescent="0.3">
      <c r="A4356" s="397"/>
      <c r="B4356" s="709">
        <v>105173</v>
      </c>
      <c r="C4356" s="710" t="s">
        <v>4663</v>
      </c>
      <c r="D4356" s="709" t="s">
        <v>136</v>
      </c>
      <c r="E4356" s="711">
        <v>0.2616</v>
      </c>
    </row>
    <row r="4357" spans="1:5" x14ac:dyDescent="0.3">
      <c r="A4357" s="397"/>
      <c r="B4357" s="709">
        <v>105175</v>
      </c>
      <c r="C4357" s="710" t="s">
        <v>4664</v>
      </c>
      <c r="D4357" s="709" t="s">
        <v>136</v>
      </c>
      <c r="E4357" s="711">
        <v>0.2039</v>
      </c>
    </row>
    <row r="4358" spans="1:5" x14ac:dyDescent="0.3">
      <c r="A4358" s="397"/>
      <c r="B4358" s="709">
        <v>105174</v>
      </c>
      <c r="C4358" s="710" t="s">
        <v>4665</v>
      </c>
      <c r="D4358" s="709" t="s">
        <v>136</v>
      </c>
      <c r="E4358" s="711">
        <v>0.215</v>
      </c>
    </row>
    <row r="4359" spans="1:5" x14ac:dyDescent="0.3">
      <c r="A4359" s="397"/>
      <c r="B4359" s="709">
        <v>105145</v>
      </c>
      <c r="C4359" s="710" t="s">
        <v>4666</v>
      </c>
      <c r="D4359" s="709" t="s">
        <v>136</v>
      </c>
      <c r="E4359" s="711">
        <v>0.27039999999999997</v>
      </c>
    </row>
    <row r="4360" spans="1:5" x14ac:dyDescent="0.3">
      <c r="A4360" s="397"/>
      <c r="B4360" s="709">
        <v>94606</v>
      </c>
      <c r="C4360" s="710" t="s">
        <v>4667</v>
      </c>
      <c r="D4360" s="709" t="s">
        <v>136</v>
      </c>
      <c r="E4360" s="711">
        <v>0.22650000000000001</v>
      </c>
    </row>
    <row r="4361" spans="1:5" x14ac:dyDescent="0.3">
      <c r="A4361" s="397"/>
      <c r="B4361" s="709">
        <v>94608</v>
      </c>
      <c r="C4361" s="710" t="s">
        <v>4668</v>
      </c>
      <c r="D4361" s="709" t="s">
        <v>136</v>
      </c>
      <c r="E4361" s="711">
        <v>9.1999999999999998E-2</v>
      </c>
    </row>
    <row r="4362" spans="1:5" x14ac:dyDescent="0.3">
      <c r="A4362" s="397"/>
      <c r="B4362" s="709">
        <v>94610</v>
      </c>
      <c r="C4362" s="710" t="s">
        <v>4669</v>
      </c>
      <c r="D4362" s="709" t="s">
        <v>136</v>
      </c>
      <c r="E4362" s="711">
        <v>6.54E-2</v>
      </c>
    </row>
    <row r="4363" spans="1:5" x14ac:dyDescent="0.3">
      <c r="A4363" s="397"/>
      <c r="B4363" s="709">
        <v>94657</v>
      </c>
      <c r="C4363" s="710" t="s">
        <v>4670</v>
      </c>
      <c r="D4363" s="709" t="s">
        <v>136</v>
      </c>
      <c r="E4363" s="711">
        <v>0.47520000000000001</v>
      </c>
    </row>
    <row r="4364" spans="1:5" x14ac:dyDescent="0.3">
      <c r="A4364" s="397"/>
      <c r="B4364" s="709">
        <v>94659</v>
      </c>
      <c r="C4364" s="710" t="s">
        <v>4671</v>
      </c>
      <c r="D4364" s="709" t="s">
        <v>136</v>
      </c>
      <c r="E4364" s="711">
        <v>0.39589999999999997</v>
      </c>
    </row>
    <row r="4365" spans="1:5" x14ac:dyDescent="0.3">
      <c r="A4365" s="397"/>
      <c r="B4365" s="709">
        <v>94739</v>
      </c>
      <c r="C4365" s="710" t="s">
        <v>4672</v>
      </c>
      <c r="D4365" s="709" t="s">
        <v>136</v>
      </c>
      <c r="E4365" s="711">
        <v>7.2400000000000006E-2</v>
      </c>
    </row>
    <row r="4366" spans="1:5" x14ac:dyDescent="0.3">
      <c r="A4366" s="397"/>
      <c r="B4366" s="709">
        <v>94725</v>
      </c>
      <c r="C4366" s="710" t="s">
        <v>4673</v>
      </c>
      <c r="D4366" s="709" t="s">
        <v>136</v>
      </c>
      <c r="E4366" s="711">
        <v>0.218</v>
      </c>
    </row>
    <row r="4367" spans="1:5" x14ac:dyDescent="0.3">
      <c r="A4367" s="397"/>
      <c r="B4367" s="709">
        <v>94727</v>
      </c>
      <c r="C4367" s="710" t="s">
        <v>4674</v>
      </c>
      <c r="D4367" s="709" t="s">
        <v>136</v>
      </c>
      <c r="E4367" s="711">
        <v>0.16550000000000001</v>
      </c>
    </row>
    <row r="4368" spans="1:5" x14ac:dyDescent="0.3">
      <c r="A4368" s="397"/>
      <c r="B4368" s="709">
        <v>94729</v>
      </c>
      <c r="C4368" s="710" t="s">
        <v>4675</v>
      </c>
      <c r="D4368" s="709" t="s">
        <v>136</v>
      </c>
      <c r="E4368" s="711">
        <v>0.12230000000000001</v>
      </c>
    </row>
    <row r="4369" spans="1:5" x14ac:dyDescent="0.3">
      <c r="A4369" s="397"/>
      <c r="B4369" s="709">
        <v>94731</v>
      </c>
      <c r="C4369" s="710" t="s">
        <v>4676</v>
      </c>
      <c r="D4369" s="709" t="s">
        <v>136</v>
      </c>
      <c r="E4369" s="711">
        <v>0.11799999999999999</v>
      </c>
    </row>
    <row r="4370" spans="1:5" x14ac:dyDescent="0.3">
      <c r="A4370" s="397"/>
      <c r="B4370" s="709">
        <v>94733</v>
      </c>
      <c r="C4370" s="710" t="s">
        <v>4677</v>
      </c>
      <c r="D4370" s="709" t="s">
        <v>136</v>
      </c>
      <c r="E4370" s="711">
        <v>9.8000000000000004E-2</v>
      </c>
    </row>
    <row r="4371" spans="1:5" x14ac:dyDescent="0.3">
      <c r="A4371" s="397"/>
      <c r="B4371" s="709">
        <v>94863</v>
      </c>
      <c r="C4371" s="710" t="s">
        <v>4678</v>
      </c>
      <c r="D4371" s="709" t="s">
        <v>136</v>
      </c>
      <c r="E4371" s="711">
        <v>4.6199999999999998E-2</v>
      </c>
    </row>
    <row r="4372" spans="1:5" x14ac:dyDescent="0.3">
      <c r="A4372" s="397"/>
      <c r="B4372" s="709">
        <v>94737</v>
      </c>
      <c r="C4372" s="710" t="s">
        <v>4679</v>
      </c>
      <c r="D4372" s="709" t="s">
        <v>136</v>
      </c>
      <c r="E4372" s="711">
        <v>5.5599999999999997E-2</v>
      </c>
    </row>
    <row r="4373" spans="1:5" x14ac:dyDescent="0.3">
      <c r="A4373" s="397"/>
      <c r="B4373" s="709">
        <v>94465</v>
      </c>
      <c r="C4373" s="710" t="s">
        <v>4680</v>
      </c>
      <c r="D4373" s="709" t="s">
        <v>136</v>
      </c>
      <c r="E4373" s="711">
        <v>0.38679999999999998</v>
      </c>
    </row>
    <row r="4374" spans="1:5" x14ac:dyDescent="0.3">
      <c r="A4374" s="397"/>
      <c r="B4374" s="709">
        <v>94467</v>
      </c>
      <c r="C4374" s="710" t="s">
        <v>4681</v>
      </c>
      <c r="D4374" s="709" t="s">
        <v>136</v>
      </c>
      <c r="E4374" s="711">
        <v>0.28910000000000002</v>
      </c>
    </row>
    <row r="4375" spans="1:5" x14ac:dyDescent="0.3">
      <c r="A4375" s="397"/>
      <c r="B4375" s="709">
        <v>94469</v>
      </c>
      <c r="C4375" s="710" t="s">
        <v>4682</v>
      </c>
      <c r="D4375" s="709" t="s">
        <v>136</v>
      </c>
      <c r="E4375" s="711">
        <v>0.24199999999999999</v>
      </c>
    </row>
    <row r="4376" spans="1:5" x14ac:dyDescent="0.3">
      <c r="A4376" s="397"/>
      <c r="B4376" s="709">
        <v>96746</v>
      </c>
      <c r="C4376" s="710" t="s">
        <v>4683</v>
      </c>
      <c r="D4376" s="709" t="s">
        <v>136</v>
      </c>
      <c r="E4376" s="711">
        <v>0.19850000000000001</v>
      </c>
    </row>
    <row r="4377" spans="1:5" x14ac:dyDescent="0.3">
      <c r="A4377" s="397"/>
      <c r="B4377" s="709">
        <v>96736</v>
      </c>
      <c r="C4377" s="710" t="s">
        <v>4684</v>
      </c>
      <c r="D4377" s="709" t="s">
        <v>136</v>
      </c>
      <c r="E4377" s="711">
        <v>0.5988</v>
      </c>
    </row>
    <row r="4378" spans="1:5" x14ac:dyDescent="0.3">
      <c r="A4378" s="397"/>
      <c r="B4378" s="709">
        <v>96737</v>
      </c>
      <c r="C4378" s="710" t="s">
        <v>4685</v>
      </c>
      <c r="D4378" s="709" t="s">
        <v>136</v>
      </c>
      <c r="E4378" s="711">
        <v>0.64090000000000003</v>
      </c>
    </row>
    <row r="4379" spans="1:5" x14ac:dyDescent="0.3">
      <c r="A4379" s="397"/>
      <c r="B4379" s="709">
        <v>96739</v>
      </c>
      <c r="C4379" s="710" t="s">
        <v>4686</v>
      </c>
      <c r="D4379" s="709" t="s">
        <v>136</v>
      </c>
      <c r="E4379" s="711">
        <v>0.53790000000000004</v>
      </c>
    </row>
    <row r="4380" spans="1:5" x14ac:dyDescent="0.3">
      <c r="A4380" s="397"/>
      <c r="B4380" s="709">
        <v>96741</v>
      </c>
      <c r="C4380" s="710" t="s">
        <v>4687</v>
      </c>
      <c r="D4380" s="709" t="s">
        <v>136</v>
      </c>
      <c r="E4380" s="711">
        <v>0.33029999999999998</v>
      </c>
    </row>
    <row r="4381" spans="1:5" x14ac:dyDescent="0.3">
      <c r="A4381" s="397"/>
      <c r="B4381" s="709">
        <v>96742</v>
      </c>
      <c r="C4381" s="710" t="s">
        <v>4688</v>
      </c>
      <c r="D4381" s="709" t="s">
        <v>136</v>
      </c>
      <c r="E4381" s="711">
        <v>0.33810000000000001</v>
      </c>
    </row>
    <row r="4382" spans="1:5" x14ac:dyDescent="0.3">
      <c r="A4382" s="397"/>
      <c r="B4382" s="709">
        <v>96743</v>
      </c>
      <c r="C4382" s="710" t="s">
        <v>4689</v>
      </c>
      <c r="D4382" s="709" t="s">
        <v>136</v>
      </c>
      <c r="E4382" s="711">
        <v>0.2893</v>
      </c>
    </row>
    <row r="4383" spans="1:5" x14ac:dyDescent="0.3">
      <c r="A4383" s="397"/>
      <c r="B4383" s="709">
        <v>96744</v>
      </c>
      <c r="C4383" s="710" t="s">
        <v>4690</v>
      </c>
      <c r="D4383" s="709" t="s">
        <v>136</v>
      </c>
      <c r="E4383" s="711">
        <v>0.21970000000000001</v>
      </c>
    </row>
    <row r="4384" spans="1:5" x14ac:dyDescent="0.3">
      <c r="A4384" s="397"/>
      <c r="B4384" s="709">
        <v>96745</v>
      </c>
      <c r="C4384" s="710" t="s">
        <v>4691</v>
      </c>
      <c r="D4384" s="709" t="s">
        <v>136</v>
      </c>
      <c r="E4384" s="711">
        <v>0.1862</v>
      </c>
    </row>
    <row r="4385" spans="1:5" x14ac:dyDescent="0.3">
      <c r="A4385" s="397"/>
      <c r="B4385" s="709">
        <v>94671</v>
      </c>
      <c r="C4385" s="710" t="s">
        <v>4692</v>
      </c>
      <c r="D4385" s="709" t="s">
        <v>136</v>
      </c>
      <c r="E4385" s="711">
        <v>0.17169999999999999</v>
      </c>
    </row>
    <row r="4386" spans="1:5" x14ac:dyDescent="0.3">
      <c r="A4386" s="397"/>
      <c r="B4386" s="709">
        <v>94661</v>
      </c>
      <c r="C4386" s="710" t="s">
        <v>4693</v>
      </c>
      <c r="D4386" s="709" t="s">
        <v>136</v>
      </c>
      <c r="E4386" s="711">
        <v>0.33329999999999999</v>
      </c>
    </row>
    <row r="4387" spans="1:5" x14ac:dyDescent="0.3">
      <c r="A4387" s="397"/>
      <c r="B4387" s="709">
        <v>94663</v>
      </c>
      <c r="C4387" s="710" t="s">
        <v>4694</v>
      </c>
      <c r="D4387" s="709" t="s">
        <v>136</v>
      </c>
      <c r="E4387" s="711">
        <v>0.3725</v>
      </c>
    </row>
    <row r="4388" spans="1:5" x14ac:dyDescent="0.3">
      <c r="A4388" s="397"/>
      <c r="B4388" s="709">
        <v>94665</v>
      </c>
      <c r="C4388" s="710" t="s">
        <v>4695</v>
      </c>
      <c r="D4388" s="709" t="s">
        <v>136</v>
      </c>
      <c r="E4388" s="711">
        <v>0.25259999999999999</v>
      </c>
    </row>
    <row r="4389" spans="1:5" x14ac:dyDescent="0.3">
      <c r="A4389" s="397"/>
      <c r="B4389" s="709">
        <v>94667</v>
      </c>
      <c r="C4389" s="710" t="s">
        <v>4696</v>
      </c>
      <c r="D4389" s="709" t="s">
        <v>136</v>
      </c>
      <c r="E4389" s="711">
        <v>0.25309999999999999</v>
      </c>
    </row>
    <row r="4390" spans="1:5" x14ac:dyDescent="0.3">
      <c r="A4390" s="397"/>
      <c r="B4390" s="709">
        <v>94669</v>
      </c>
      <c r="C4390" s="710" t="s">
        <v>4697</v>
      </c>
      <c r="D4390" s="709" t="s">
        <v>136</v>
      </c>
      <c r="E4390" s="711">
        <v>0.1741</v>
      </c>
    </row>
    <row r="4391" spans="1:5" x14ac:dyDescent="0.3">
      <c r="A4391" s="397"/>
      <c r="B4391" s="709">
        <v>105177</v>
      </c>
      <c r="C4391" s="710" t="s">
        <v>4698</v>
      </c>
      <c r="D4391" s="709" t="s">
        <v>136</v>
      </c>
      <c r="E4391" s="711">
        <v>0.18190000000000001</v>
      </c>
    </row>
    <row r="4392" spans="1:5" x14ac:dyDescent="0.3">
      <c r="A4392" s="397"/>
      <c r="B4392" s="709">
        <v>105176</v>
      </c>
      <c r="C4392" s="710" t="s">
        <v>4699</v>
      </c>
      <c r="D4392" s="709" t="s">
        <v>136</v>
      </c>
      <c r="E4392" s="711">
        <v>0.17369999999999999</v>
      </c>
    </row>
    <row r="4393" spans="1:5" x14ac:dyDescent="0.3">
      <c r="A4393" s="397"/>
      <c r="B4393" s="709">
        <v>94466</v>
      </c>
      <c r="C4393" s="710" t="s">
        <v>4700</v>
      </c>
      <c r="D4393" s="709" t="s">
        <v>136</v>
      </c>
      <c r="E4393" s="711">
        <v>0.3866</v>
      </c>
    </row>
    <row r="4394" spans="1:5" x14ac:dyDescent="0.3">
      <c r="A4394" s="397"/>
      <c r="B4394" s="709">
        <v>94468</v>
      </c>
      <c r="C4394" s="710" t="s">
        <v>4701</v>
      </c>
      <c r="D4394" s="709" t="s">
        <v>136</v>
      </c>
      <c r="E4394" s="711">
        <v>0.3256</v>
      </c>
    </row>
    <row r="4395" spans="1:5" x14ac:dyDescent="0.3">
      <c r="A4395" s="397"/>
      <c r="B4395" s="709">
        <v>94470</v>
      </c>
      <c r="C4395" s="710" t="s">
        <v>4702</v>
      </c>
      <c r="D4395" s="709" t="s">
        <v>136</v>
      </c>
      <c r="E4395" s="711">
        <v>0.26050000000000001</v>
      </c>
    </row>
    <row r="4396" spans="1:5" x14ac:dyDescent="0.3">
      <c r="A4396" s="397"/>
      <c r="B4396" s="709">
        <v>105225</v>
      </c>
      <c r="C4396" s="710" t="s">
        <v>4703</v>
      </c>
      <c r="D4396" s="709" t="s">
        <v>136</v>
      </c>
      <c r="E4396" s="711">
        <v>0.20710000000000001</v>
      </c>
    </row>
    <row r="4397" spans="1:5" x14ac:dyDescent="0.3">
      <c r="A4397" s="397"/>
      <c r="B4397" s="709">
        <v>105226</v>
      </c>
      <c r="C4397" s="710" t="s">
        <v>4704</v>
      </c>
      <c r="D4397" s="709" t="s">
        <v>136</v>
      </c>
      <c r="E4397" s="711">
        <v>0.1101</v>
      </c>
    </row>
    <row r="4398" spans="1:5" x14ac:dyDescent="0.3">
      <c r="A4398" s="397"/>
      <c r="B4398" s="709">
        <v>105227</v>
      </c>
      <c r="C4398" s="710" t="s">
        <v>4705</v>
      </c>
      <c r="D4398" s="709" t="s">
        <v>136</v>
      </c>
      <c r="E4398" s="711">
        <v>9.8500000000000004E-2</v>
      </c>
    </row>
    <row r="4399" spans="1:5" x14ac:dyDescent="0.3">
      <c r="A4399" s="397"/>
      <c r="B4399" s="709">
        <v>105212</v>
      </c>
      <c r="C4399" s="710" t="s">
        <v>4706</v>
      </c>
      <c r="D4399" s="709" t="s">
        <v>136</v>
      </c>
      <c r="E4399" s="711">
        <v>0.2233</v>
      </c>
    </row>
    <row r="4400" spans="1:5" x14ac:dyDescent="0.3">
      <c r="A4400" s="397"/>
      <c r="B4400" s="709">
        <v>105211</v>
      </c>
      <c r="C4400" s="710" t="s">
        <v>4707</v>
      </c>
      <c r="D4400" s="709" t="s">
        <v>136</v>
      </c>
      <c r="E4400" s="711">
        <v>0.23089999999999999</v>
      </c>
    </row>
    <row r="4401" spans="1:5" x14ac:dyDescent="0.3">
      <c r="A4401" s="397"/>
      <c r="B4401" s="709">
        <v>105189</v>
      </c>
      <c r="C4401" s="710" t="s">
        <v>4708</v>
      </c>
      <c r="D4401" s="709" t="s">
        <v>136</v>
      </c>
      <c r="E4401" s="711">
        <v>0.33739999999999998</v>
      </c>
    </row>
    <row r="4402" spans="1:5" x14ac:dyDescent="0.3">
      <c r="A4402" s="397"/>
      <c r="B4402" s="709">
        <v>105190</v>
      </c>
      <c r="C4402" s="710" t="s">
        <v>4709</v>
      </c>
      <c r="D4402" s="709" t="s">
        <v>136</v>
      </c>
      <c r="E4402" s="711">
        <v>0.28420000000000001</v>
      </c>
    </row>
    <row r="4403" spans="1:5" x14ac:dyDescent="0.3">
      <c r="A4403" s="397"/>
      <c r="B4403" s="709">
        <v>94625</v>
      </c>
      <c r="C4403" s="710" t="s">
        <v>4710</v>
      </c>
      <c r="D4403" s="709" t="s">
        <v>136</v>
      </c>
      <c r="E4403" s="711">
        <v>2.76E-2</v>
      </c>
    </row>
    <row r="4404" spans="1:5" x14ac:dyDescent="0.3">
      <c r="A4404" s="397"/>
      <c r="B4404" s="709">
        <v>94622</v>
      </c>
      <c r="C4404" s="710" t="s">
        <v>4711</v>
      </c>
      <c r="D4404" s="709" t="s">
        <v>136</v>
      </c>
      <c r="E4404" s="711">
        <v>0.18049999999999999</v>
      </c>
    </row>
    <row r="4405" spans="1:5" x14ac:dyDescent="0.3">
      <c r="A4405" s="397"/>
      <c r="B4405" s="709">
        <v>94623</v>
      </c>
      <c r="C4405" s="710" t="s">
        <v>4712</v>
      </c>
      <c r="D4405" s="709" t="s">
        <v>136</v>
      </c>
      <c r="E4405" s="711">
        <v>7.7600000000000002E-2</v>
      </c>
    </row>
    <row r="4406" spans="1:5" x14ac:dyDescent="0.3">
      <c r="A4406" s="397"/>
      <c r="B4406" s="709">
        <v>94624</v>
      </c>
      <c r="C4406" s="710" t="s">
        <v>4713</v>
      </c>
      <c r="D4406" s="709" t="s">
        <v>136</v>
      </c>
      <c r="E4406" s="711">
        <v>5.3600000000000002E-2</v>
      </c>
    </row>
    <row r="4407" spans="1:5" x14ac:dyDescent="0.3">
      <c r="A4407" s="397"/>
      <c r="B4407" s="709">
        <v>94763</v>
      </c>
      <c r="C4407" s="710" t="s">
        <v>4714</v>
      </c>
      <c r="D4407" s="709" t="s">
        <v>136</v>
      </c>
      <c r="E4407" s="711">
        <v>9.5500000000000002E-2</v>
      </c>
    </row>
    <row r="4408" spans="1:5" x14ac:dyDescent="0.3">
      <c r="A4408" s="397"/>
      <c r="B4408" s="709">
        <v>94756</v>
      </c>
      <c r="C4408" s="710" t="s">
        <v>4715</v>
      </c>
      <c r="D4408" s="709" t="s">
        <v>136</v>
      </c>
      <c r="E4408" s="711">
        <v>0.24099999999999999</v>
      </c>
    </row>
    <row r="4409" spans="1:5" x14ac:dyDescent="0.3">
      <c r="A4409" s="397"/>
      <c r="B4409" s="709">
        <v>94757</v>
      </c>
      <c r="C4409" s="710" t="s">
        <v>4716</v>
      </c>
      <c r="D4409" s="709" t="s">
        <v>136</v>
      </c>
      <c r="E4409" s="711">
        <v>0.18890000000000001</v>
      </c>
    </row>
    <row r="4410" spans="1:5" x14ac:dyDescent="0.3">
      <c r="A4410" s="397"/>
      <c r="B4410" s="709">
        <v>94758</v>
      </c>
      <c r="C4410" s="710" t="s">
        <v>4717</v>
      </c>
      <c r="D4410" s="709" t="s">
        <v>136</v>
      </c>
      <c r="E4410" s="711">
        <v>9.3200000000000005E-2</v>
      </c>
    </row>
    <row r="4411" spans="1:5" x14ac:dyDescent="0.3">
      <c r="A4411" s="397"/>
      <c r="B4411" s="709">
        <v>94759</v>
      </c>
      <c r="C4411" s="710" t="s">
        <v>4718</v>
      </c>
      <c r="D4411" s="709" t="s">
        <v>136</v>
      </c>
      <c r="E4411" s="711">
        <v>9.4E-2</v>
      </c>
    </row>
    <row r="4412" spans="1:5" x14ac:dyDescent="0.3">
      <c r="A4412" s="397"/>
      <c r="B4412" s="709">
        <v>94760</v>
      </c>
      <c r="C4412" s="710" t="s">
        <v>4719</v>
      </c>
      <c r="D4412" s="709" t="s">
        <v>136</v>
      </c>
      <c r="E4412" s="711">
        <v>8.6499999999999994E-2</v>
      </c>
    </row>
    <row r="4413" spans="1:5" x14ac:dyDescent="0.3">
      <c r="A4413" s="397"/>
      <c r="B4413" s="709">
        <v>94761</v>
      </c>
      <c r="C4413" s="710" t="s">
        <v>4720</v>
      </c>
      <c r="D4413" s="709" t="s">
        <v>136</v>
      </c>
      <c r="E4413" s="711">
        <v>6.6100000000000006E-2</v>
      </c>
    </row>
    <row r="4414" spans="1:5" x14ac:dyDescent="0.3">
      <c r="A4414" s="397"/>
      <c r="B4414" s="709">
        <v>94762</v>
      </c>
      <c r="C4414" s="710" t="s">
        <v>4721</v>
      </c>
      <c r="D4414" s="709" t="s">
        <v>136</v>
      </c>
      <c r="E4414" s="711">
        <v>7.8399999999999997E-2</v>
      </c>
    </row>
    <row r="4415" spans="1:5" x14ac:dyDescent="0.3">
      <c r="A4415" s="397"/>
      <c r="B4415" s="709">
        <v>94462</v>
      </c>
      <c r="C4415" s="710" t="s">
        <v>4722</v>
      </c>
      <c r="D4415" s="709" t="s">
        <v>159</v>
      </c>
      <c r="E4415" s="711">
        <v>0.22239999999999999</v>
      </c>
    </row>
    <row r="4416" spans="1:5" x14ac:dyDescent="0.3">
      <c r="A4416" s="397"/>
      <c r="B4416" s="709">
        <v>94463</v>
      </c>
      <c r="C4416" s="710" t="s">
        <v>4723</v>
      </c>
      <c r="D4416" s="709" t="s">
        <v>159</v>
      </c>
      <c r="E4416" s="711">
        <v>0.21210000000000001</v>
      </c>
    </row>
    <row r="4417" spans="1:5" x14ac:dyDescent="0.3">
      <c r="A4417" s="397"/>
      <c r="B4417" s="709">
        <v>94464</v>
      </c>
      <c r="C4417" s="710" t="s">
        <v>4724</v>
      </c>
      <c r="D4417" s="709" t="s">
        <v>159</v>
      </c>
      <c r="E4417" s="711">
        <v>0.191</v>
      </c>
    </row>
    <row r="4418" spans="1:5" x14ac:dyDescent="0.3">
      <c r="A4418" s="397"/>
      <c r="B4418" s="709">
        <v>94605</v>
      </c>
      <c r="C4418" s="710" t="s">
        <v>4725</v>
      </c>
      <c r="D4418" s="709" t="s">
        <v>159</v>
      </c>
      <c r="E4418" s="711">
        <v>3.9300000000000002E-2</v>
      </c>
    </row>
    <row r="4419" spans="1:5" x14ac:dyDescent="0.3">
      <c r="A4419" s="397"/>
      <c r="B4419" s="709">
        <v>94602</v>
      </c>
      <c r="C4419" s="710" t="s">
        <v>4726</v>
      </c>
      <c r="D4419" s="709" t="s">
        <v>159</v>
      </c>
      <c r="E4419" s="711">
        <v>9.5100000000000004E-2</v>
      </c>
    </row>
    <row r="4420" spans="1:5" x14ac:dyDescent="0.3">
      <c r="A4420" s="397"/>
      <c r="B4420" s="709">
        <v>94603</v>
      </c>
      <c r="C4420" s="710" t="s">
        <v>4727</v>
      </c>
      <c r="D4420" s="709" t="s">
        <v>159</v>
      </c>
      <c r="E4420" s="711">
        <v>7.2300000000000003E-2</v>
      </c>
    </row>
    <row r="4421" spans="1:5" x14ac:dyDescent="0.3">
      <c r="A4421" s="397"/>
      <c r="B4421" s="709">
        <v>94604</v>
      </c>
      <c r="C4421" s="710" t="s">
        <v>4728</v>
      </c>
      <c r="D4421" s="709" t="s">
        <v>159</v>
      </c>
      <c r="E4421" s="711">
        <v>5.28E-2</v>
      </c>
    </row>
    <row r="4422" spans="1:5" x14ac:dyDescent="0.3">
      <c r="A4422" s="397"/>
      <c r="B4422" s="709">
        <v>94723</v>
      </c>
      <c r="C4422" s="710" t="s">
        <v>4729</v>
      </c>
      <c r="D4422" s="709" t="s">
        <v>159</v>
      </c>
      <c r="E4422" s="711">
        <v>4.3999999999999997E-2</v>
      </c>
    </row>
    <row r="4423" spans="1:5" x14ac:dyDescent="0.3">
      <c r="A4423" s="397"/>
      <c r="B4423" s="709">
        <v>94716</v>
      </c>
      <c r="C4423" s="710" t="s">
        <v>4730</v>
      </c>
      <c r="D4423" s="709" t="s">
        <v>159</v>
      </c>
      <c r="E4423" s="711">
        <v>7.6600000000000001E-2</v>
      </c>
    </row>
    <row r="4424" spans="1:5" x14ac:dyDescent="0.3">
      <c r="A4424" s="397"/>
      <c r="B4424" s="709">
        <v>94717</v>
      </c>
      <c r="C4424" s="710" t="s">
        <v>4731</v>
      </c>
      <c r="D4424" s="709" t="s">
        <v>159</v>
      </c>
      <c r="E4424" s="711">
        <v>5.7299999999999997E-2</v>
      </c>
    </row>
    <row r="4425" spans="1:5" x14ac:dyDescent="0.3">
      <c r="A4425" s="397"/>
      <c r="B4425" s="709">
        <v>94718</v>
      </c>
      <c r="C4425" s="710" t="s">
        <v>4732</v>
      </c>
      <c r="D4425" s="709" t="s">
        <v>159</v>
      </c>
      <c r="E4425" s="711">
        <v>5.7000000000000002E-2</v>
      </c>
    </row>
    <row r="4426" spans="1:5" x14ac:dyDescent="0.3">
      <c r="A4426" s="397"/>
      <c r="B4426" s="709">
        <v>94719</v>
      </c>
      <c r="C4426" s="710" t="s">
        <v>4733</v>
      </c>
      <c r="D4426" s="709" t="s">
        <v>159</v>
      </c>
      <c r="E4426" s="711">
        <v>5.4899999999999997E-2</v>
      </c>
    </row>
    <row r="4427" spans="1:5" x14ac:dyDescent="0.3">
      <c r="A4427" s="397"/>
      <c r="B4427" s="709">
        <v>94720</v>
      </c>
      <c r="C4427" s="710" t="s">
        <v>4734</v>
      </c>
      <c r="D4427" s="709" t="s">
        <v>159</v>
      </c>
      <c r="E4427" s="711">
        <v>5.5199999999999999E-2</v>
      </c>
    </row>
    <row r="4428" spans="1:5" x14ac:dyDescent="0.3">
      <c r="A4428" s="397"/>
      <c r="B4428" s="709">
        <v>94721</v>
      </c>
      <c r="C4428" s="710" t="s">
        <v>4735</v>
      </c>
      <c r="D4428" s="709" t="s">
        <v>159</v>
      </c>
      <c r="E4428" s="711">
        <v>5.6899999999999999E-2</v>
      </c>
    </row>
    <row r="4429" spans="1:5" x14ac:dyDescent="0.3">
      <c r="A4429" s="397"/>
      <c r="B4429" s="709">
        <v>94722</v>
      </c>
      <c r="C4429" s="710" t="s">
        <v>4736</v>
      </c>
      <c r="D4429" s="709" t="s">
        <v>159</v>
      </c>
      <c r="E4429" s="711">
        <v>5.2200000000000003E-2</v>
      </c>
    </row>
    <row r="4430" spans="1:5" x14ac:dyDescent="0.3">
      <c r="A4430" s="397"/>
      <c r="B4430" s="709">
        <v>96726</v>
      </c>
      <c r="C4430" s="710" t="s">
        <v>4737</v>
      </c>
      <c r="D4430" s="709" t="s">
        <v>159</v>
      </c>
      <c r="E4430" s="711">
        <v>0.1618</v>
      </c>
    </row>
    <row r="4431" spans="1:5" x14ac:dyDescent="0.3">
      <c r="A4431" s="397"/>
      <c r="B4431" s="709">
        <v>96735</v>
      </c>
      <c r="C4431" s="710" t="s">
        <v>4738</v>
      </c>
      <c r="D4431" s="709" t="s">
        <v>159</v>
      </c>
      <c r="E4431" s="711">
        <v>0.1052</v>
      </c>
    </row>
    <row r="4432" spans="1:5" x14ac:dyDescent="0.3">
      <c r="A4432" s="397"/>
      <c r="B4432" s="709">
        <v>96718</v>
      </c>
      <c r="C4432" s="710" t="s">
        <v>4739</v>
      </c>
      <c r="D4432" s="709" t="s">
        <v>159</v>
      </c>
      <c r="E4432" s="711">
        <v>0.29509999999999997</v>
      </c>
    </row>
    <row r="4433" spans="1:5" x14ac:dyDescent="0.3">
      <c r="A4433" s="397"/>
      <c r="B4433" s="709">
        <v>96727</v>
      </c>
      <c r="C4433" s="710" t="s">
        <v>4740</v>
      </c>
      <c r="D4433" s="709" t="s">
        <v>159</v>
      </c>
      <c r="E4433" s="711">
        <v>0.31890000000000002</v>
      </c>
    </row>
    <row r="4434" spans="1:5" x14ac:dyDescent="0.3">
      <c r="A4434" s="397"/>
      <c r="B4434" s="709">
        <v>96719</v>
      </c>
      <c r="C4434" s="710" t="s">
        <v>4741</v>
      </c>
      <c r="D4434" s="709" t="s">
        <v>159</v>
      </c>
      <c r="E4434" s="711">
        <v>0.2535</v>
      </c>
    </row>
    <row r="4435" spans="1:5" x14ac:dyDescent="0.3">
      <c r="A4435" s="397"/>
      <c r="B4435" s="709">
        <v>96728</v>
      </c>
      <c r="C4435" s="710" t="s">
        <v>4742</v>
      </c>
      <c r="D4435" s="709" t="s">
        <v>159</v>
      </c>
      <c r="E4435" s="711">
        <v>0.27100000000000002</v>
      </c>
    </row>
    <row r="4436" spans="1:5" x14ac:dyDescent="0.3">
      <c r="A4436" s="397"/>
      <c r="B4436" s="709">
        <v>96720</v>
      </c>
      <c r="C4436" s="710" t="s">
        <v>4743</v>
      </c>
      <c r="D4436" s="709" t="s">
        <v>159</v>
      </c>
      <c r="E4436" s="711">
        <v>0.32350000000000001</v>
      </c>
    </row>
    <row r="4437" spans="1:5" x14ac:dyDescent="0.3">
      <c r="A4437" s="397"/>
      <c r="B4437" s="709">
        <v>96729</v>
      </c>
      <c r="C4437" s="710" t="s">
        <v>4744</v>
      </c>
      <c r="D4437" s="709" t="s">
        <v>159</v>
      </c>
      <c r="E4437" s="711">
        <v>0.24360000000000001</v>
      </c>
    </row>
    <row r="4438" spans="1:5" x14ac:dyDescent="0.3">
      <c r="A4438" s="397"/>
      <c r="B4438" s="709">
        <v>96721</v>
      </c>
      <c r="C4438" s="710" t="s">
        <v>4745</v>
      </c>
      <c r="D4438" s="709" t="s">
        <v>159</v>
      </c>
      <c r="E4438" s="711">
        <v>0.29849999999999999</v>
      </c>
    </row>
    <row r="4439" spans="1:5" x14ac:dyDescent="0.3">
      <c r="A4439" s="397"/>
      <c r="B4439" s="709">
        <v>96730</v>
      </c>
      <c r="C4439" s="710" t="s">
        <v>4746</v>
      </c>
      <c r="D4439" s="709" t="s">
        <v>159</v>
      </c>
      <c r="E4439" s="711">
        <v>0.21099999999999999</v>
      </c>
    </row>
    <row r="4440" spans="1:5" x14ac:dyDescent="0.3">
      <c r="A4440" s="397"/>
      <c r="B4440" s="709">
        <v>96722</v>
      </c>
      <c r="C4440" s="710" t="s">
        <v>4747</v>
      </c>
      <c r="D4440" s="709" t="s">
        <v>159</v>
      </c>
      <c r="E4440" s="711">
        <v>0.2447</v>
      </c>
    </row>
    <row r="4441" spans="1:5" x14ac:dyDescent="0.3">
      <c r="A4441" s="397"/>
      <c r="B4441" s="709">
        <v>96731</v>
      </c>
      <c r="C4441" s="710" t="s">
        <v>4748</v>
      </c>
      <c r="D4441" s="709" t="s">
        <v>159</v>
      </c>
      <c r="E4441" s="711">
        <v>0.17560000000000001</v>
      </c>
    </row>
    <row r="4442" spans="1:5" x14ac:dyDescent="0.3">
      <c r="A4442" s="397"/>
      <c r="B4442" s="709">
        <v>96723</v>
      </c>
      <c r="C4442" s="710" t="s">
        <v>4749</v>
      </c>
      <c r="D4442" s="709" t="s">
        <v>159</v>
      </c>
      <c r="E4442" s="711">
        <v>0.2102</v>
      </c>
    </row>
    <row r="4443" spans="1:5" x14ac:dyDescent="0.3">
      <c r="A4443" s="397"/>
      <c r="B4443" s="709">
        <v>96732</v>
      </c>
      <c r="C4443" s="710" t="s">
        <v>4750</v>
      </c>
      <c r="D4443" s="709" t="s">
        <v>159</v>
      </c>
      <c r="E4443" s="711">
        <v>0.13919999999999999</v>
      </c>
    </row>
    <row r="4444" spans="1:5" x14ac:dyDescent="0.3">
      <c r="A4444" s="397"/>
      <c r="B4444" s="709">
        <v>96724</v>
      </c>
      <c r="C4444" s="710" t="s">
        <v>4751</v>
      </c>
      <c r="D4444" s="709" t="s">
        <v>159</v>
      </c>
      <c r="E4444" s="711">
        <v>0.2102</v>
      </c>
    </row>
    <row r="4445" spans="1:5" x14ac:dyDescent="0.3">
      <c r="A4445" s="397"/>
      <c r="B4445" s="709">
        <v>96733</v>
      </c>
      <c r="C4445" s="710" t="s">
        <v>4752</v>
      </c>
      <c r="D4445" s="709" t="s">
        <v>159</v>
      </c>
      <c r="E4445" s="711">
        <v>0.13100000000000001</v>
      </c>
    </row>
    <row r="4446" spans="1:5" x14ac:dyDescent="0.3">
      <c r="A4446" s="397"/>
      <c r="B4446" s="709">
        <v>96725</v>
      </c>
      <c r="C4446" s="710" t="s">
        <v>4753</v>
      </c>
      <c r="D4446" s="709" t="s">
        <v>159</v>
      </c>
      <c r="E4446" s="711">
        <v>0.17080000000000001</v>
      </c>
    </row>
    <row r="4447" spans="1:5" x14ac:dyDescent="0.3">
      <c r="A4447" s="397"/>
      <c r="B4447" s="709">
        <v>96734</v>
      </c>
      <c r="C4447" s="710" t="s">
        <v>4754</v>
      </c>
      <c r="D4447" s="709" t="s">
        <v>159</v>
      </c>
      <c r="E4447" s="711">
        <v>0.1045</v>
      </c>
    </row>
    <row r="4448" spans="1:5" x14ac:dyDescent="0.3">
      <c r="A4448" s="397"/>
      <c r="B4448" s="709">
        <v>94655</v>
      </c>
      <c r="C4448" s="710" t="s">
        <v>4755</v>
      </c>
      <c r="D4448" s="709" t="s">
        <v>159</v>
      </c>
      <c r="E4448" s="711">
        <v>0.1799</v>
      </c>
    </row>
    <row r="4449" spans="1:5" x14ac:dyDescent="0.3">
      <c r="A4449" s="397"/>
      <c r="B4449" s="709">
        <v>94648</v>
      </c>
      <c r="C4449" s="710" t="s">
        <v>4756</v>
      </c>
      <c r="D4449" s="709" t="s">
        <v>159</v>
      </c>
      <c r="E4449" s="711">
        <v>0.33</v>
      </c>
    </row>
    <row r="4450" spans="1:5" x14ac:dyDescent="0.3">
      <c r="A4450" s="397"/>
      <c r="B4450" s="709">
        <v>94649</v>
      </c>
      <c r="C4450" s="710" t="s">
        <v>4757</v>
      </c>
      <c r="D4450" s="709" t="s">
        <v>159</v>
      </c>
      <c r="E4450" s="711">
        <v>0.22969999999999999</v>
      </c>
    </row>
    <row r="4451" spans="1:5" x14ac:dyDescent="0.3">
      <c r="A4451" s="397"/>
      <c r="B4451" s="709">
        <v>94650</v>
      </c>
      <c r="C4451" s="710" t="s">
        <v>4758</v>
      </c>
      <c r="D4451" s="709" t="s">
        <v>159</v>
      </c>
      <c r="E4451" s="711">
        <v>0.20300000000000001</v>
      </c>
    </row>
    <row r="4452" spans="1:5" x14ac:dyDescent="0.3">
      <c r="A4452" s="397"/>
      <c r="B4452" s="709">
        <v>94651</v>
      </c>
      <c r="C4452" s="710" t="s">
        <v>4759</v>
      </c>
      <c r="D4452" s="709" t="s">
        <v>159</v>
      </c>
      <c r="E4452" s="711">
        <v>0.24460000000000001</v>
      </c>
    </row>
    <row r="4453" spans="1:5" x14ac:dyDescent="0.3">
      <c r="A4453" s="397"/>
      <c r="B4453" s="709">
        <v>94652</v>
      </c>
      <c r="C4453" s="710" t="s">
        <v>4760</v>
      </c>
      <c r="D4453" s="709" t="s">
        <v>159</v>
      </c>
      <c r="E4453" s="711">
        <v>0.2094</v>
      </c>
    </row>
    <row r="4454" spans="1:5" x14ac:dyDescent="0.3">
      <c r="A4454" s="397"/>
      <c r="B4454" s="709">
        <v>94653</v>
      </c>
      <c r="C4454" s="710" t="s">
        <v>4761</v>
      </c>
      <c r="D4454" s="709" t="s">
        <v>159</v>
      </c>
      <c r="E4454" s="711">
        <v>0.19070000000000001</v>
      </c>
    </row>
    <row r="4455" spans="1:5" x14ac:dyDescent="0.3">
      <c r="A4455" s="397"/>
      <c r="B4455" s="709">
        <v>94654</v>
      </c>
      <c r="C4455" s="710" t="s">
        <v>4762</v>
      </c>
      <c r="D4455" s="709" t="s">
        <v>159</v>
      </c>
      <c r="E4455" s="711">
        <v>0.17510000000000001</v>
      </c>
    </row>
    <row r="4456" spans="1:5" x14ac:dyDescent="0.3">
      <c r="A4456" s="397"/>
      <c r="B4456" s="709">
        <v>94689</v>
      </c>
      <c r="C4456" s="710" t="s">
        <v>4763</v>
      </c>
      <c r="D4456" s="709" t="s">
        <v>136</v>
      </c>
      <c r="E4456" s="711">
        <v>0.39600000000000002</v>
      </c>
    </row>
    <row r="4457" spans="1:5" x14ac:dyDescent="0.3">
      <c r="A4457" s="397"/>
      <c r="B4457" s="709">
        <v>94702</v>
      </c>
      <c r="C4457" s="710" t="s">
        <v>4764</v>
      </c>
      <c r="D4457" s="709" t="s">
        <v>136</v>
      </c>
      <c r="E4457" s="711">
        <v>0.15</v>
      </c>
    </row>
    <row r="4458" spans="1:5" x14ac:dyDescent="0.3">
      <c r="A4458" s="397"/>
      <c r="B4458" s="709">
        <v>94691</v>
      </c>
      <c r="C4458" s="710" t="s">
        <v>4765</v>
      </c>
      <c r="D4458" s="709" t="s">
        <v>136</v>
      </c>
      <c r="E4458" s="711">
        <v>0.33019999999999999</v>
      </c>
    </row>
    <row r="4459" spans="1:5" x14ac:dyDescent="0.3">
      <c r="A4459" s="397"/>
      <c r="B4459" s="709">
        <v>94693</v>
      </c>
      <c r="C4459" s="710" t="s">
        <v>4766</v>
      </c>
      <c r="D4459" s="709" t="s">
        <v>136</v>
      </c>
      <c r="E4459" s="711">
        <v>0.33539999999999998</v>
      </c>
    </row>
    <row r="4460" spans="1:5" x14ac:dyDescent="0.3">
      <c r="A4460" s="397"/>
      <c r="B4460" s="709">
        <v>94695</v>
      </c>
      <c r="C4460" s="710" t="s">
        <v>4767</v>
      </c>
      <c r="D4460" s="709" t="s">
        <v>136</v>
      </c>
      <c r="E4460" s="711">
        <v>0.26340000000000002</v>
      </c>
    </row>
    <row r="4461" spans="1:5" x14ac:dyDescent="0.3">
      <c r="A4461" s="397"/>
      <c r="B4461" s="709">
        <v>94698</v>
      </c>
      <c r="C4461" s="710" t="s">
        <v>4768</v>
      </c>
      <c r="D4461" s="709" t="s">
        <v>136</v>
      </c>
      <c r="E4461" s="711">
        <v>0.22359999999999999</v>
      </c>
    </row>
    <row r="4462" spans="1:5" x14ac:dyDescent="0.3">
      <c r="A4462" s="397"/>
      <c r="B4462" s="709">
        <v>94700</v>
      </c>
      <c r="C4462" s="710" t="s">
        <v>4769</v>
      </c>
      <c r="D4462" s="709" t="s">
        <v>136</v>
      </c>
      <c r="E4462" s="711">
        <v>0.1452</v>
      </c>
    </row>
    <row r="4463" spans="1:5" x14ac:dyDescent="0.3">
      <c r="A4463" s="397"/>
      <c r="B4463" s="709">
        <v>94477</v>
      </c>
      <c r="C4463" s="710" t="s">
        <v>4770</v>
      </c>
      <c r="D4463" s="709" t="s">
        <v>136</v>
      </c>
      <c r="E4463" s="711">
        <v>0.40150000000000002</v>
      </c>
    </row>
    <row r="4464" spans="1:5" x14ac:dyDescent="0.3">
      <c r="A4464" s="397"/>
      <c r="B4464" s="709">
        <v>94478</v>
      </c>
      <c r="C4464" s="710" t="s">
        <v>4771</v>
      </c>
      <c r="D4464" s="709" t="s">
        <v>136</v>
      </c>
      <c r="E4464" s="711">
        <v>0.29349999999999998</v>
      </c>
    </row>
    <row r="4465" spans="1:5" x14ac:dyDescent="0.3">
      <c r="A4465" s="397"/>
      <c r="B4465" s="709">
        <v>94479</v>
      </c>
      <c r="C4465" s="710" t="s">
        <v>4772</v>
      </c>
      <c r="D4465" s="709" t="s">
        <v>136</v>
      </c>
      <c r="E4465" s="711">
        <v>0.26819999999999999</v>
      </c>
    </row>
    <row r="4466" spans="1:5" x14ac:dyDescent="0.3">
      <c r="A4466" s="397"/>
      <c r="B4466" s="709">
        <v>96764</v>
      </c>
      <c r="C4466" s="710" t="s">
        <v>4773</v>
      </c>
      <c r="D4466" s="709" t="s">
        <v>136</v>
      </c>
      <c r="E4466" s="711">
        <v>0.14369999999999999</v>
      </c>
    </row>
    <row r="4467" spans="1:5" x14ac:dyDescent="0.3">
      <c r="A4467" s="397"/>
      <c r="B4467" s="709">
        <v>105164</v>
      </c>
      <c r="C4467" s="710" t="s">
        <v>4774</v>
      </c>
      <c r="D4467" s="709" t="s">
        <v>136</v>
      </c>
      <c r="E4467" s="711">
        <v>0.66210000000000002</v>
      </c>
    </row>
    <row r="4468" spans="1:5" x14ac:dyDescent="0.3">
      <c r="A4468" s="397"/>
      <c r="B4468" s="709">
        <v>105165</v>
      </c>
      <c r="C4468" s="710" t="s">
        <v>4775</v>
      </c>
      <c r="D4468" s="709" t="s">
        <v>136</v>
      </c>
      <c r="E4468" s="711">
        <v>0.71319999999999995</v>
      </c>
    </row>
    <row r="4469" spans="1:5" x14ac:dyDescent="0.3">
      <c r="A4469" s="397"/>
      <c r="B4469" s="709">
        <v>96758</v>
      </c>
      <c r="C4469" s="710" t="s">
        <v>4776</v>
      </c>
      <c r="D4469" s="709" t="s">
        <v>136</v>
      </c>
      <c r="E4469" s="711">
        <v>0.53959999999999997</v>
      </c>
    </row>
    <row r="4470" spans="1:5" x14ac:dyDescent="0.3">
      <c r="A4470" s="397"/>
      <c r="B4470" s="709">
        <v>96759</v>
      </c>
      <c r="C4470" s="710" t="s">
        <v>4777</v>
      </c>
      <c r="D4470" s="709" t="s">
        <v>136</v>
      </c>
      <c r="E4470" s="711">
        <v>0.43609999999999999</v>
      </c>
    </row>
    <row r="4471" spans="1:5" x14ac:dyDescent="0.3">
      <c r="A4471" s="397"/>
      <c r="B4471" s="709">
        <v>96760</v>
      </c>
      <c r="C4471" s="710" t="s">
        <v>4778</v>
      </c>
      <c r="D4471" s="709" t="s">
        <v>136</v>
      </c>
      <c r="E4471" s="711">
        <v>0.33600000000000002</v>
      </c>
    </row>
    <row r="4472" spans="1:5" x14ac:dyDescent="0.3">
      <c r="A4472" s="397"/>
      <c r="B4472" s="709">
        <v>96761</v>
      </c>
      <c r="C4472" s="710" t="s">
        <v>4779</v>
      </c>
      <c r="D4472" s="709" t="s">
        <v>136</v>
      </c>
      <c r="E4472" s="711">
        <v>0.30080000000000001</v>
      </c>
    </row>
    <row r="4473" spans="1:5" x14ac:dyDescent="0.3">
      <c r="A4473" s="397"/>
      <c r="B4473" s="709">
        <v>96762</v>
      </c>
      <c r="C4473" s="710" t="s">
        <v>4780</v>
      </c>
      <c r="D4473" s="709" t="s">
        <v>136</v>
      </c>
      <c r="E4473" s="711">
        <v>0.20469999999999999</v>
      </c>
    </row>
    <row r="4474" spans="1:5" x14ac:dyDescent="0.3">
      <c r="A4474" s="397"/>
      <c r="B4474" s="709">
        <v>96763</v>
      </c>
      <c r="C4474" s="710" t="s">
        <v>4781</v>
      </c>
      <c r="D4474" s="709" t="s">
        <v>136</v>
      </c>
      <c r="E4474" s="711">
        <v>0.2031</v>
      </c>
    </row>
    <row r="4475" spans="1:5" x14ac:dyDescent="0.3">
      <c r="A4475" s="397"/>
      <c r="B4475" s="709">
        <v>94701</v>
      </c>
      <c r="C4475" s="710" t="s">
        <v>4782</v>
      </c>
      <c r="D4475" s="709" t="s">
        <v>136</v>
      </c>
      <c r="E4475" s="711">
        <v>0.1608</v>
      </c>
    </row>
    <row r="4476" spans="1:5" x14ac:dyDescent="0.3">
      <c r="A4476" s="397"/>
      <c r="B4476" s="709">
        <v>94688</v>
      </c>
      <c r="C4476" s="710" t="s">
        <v>4783</v>
      </c>
      <c r="D4476" s="709" t="s">
        <v>136</v>
      </c>
      <c r="E4476" s="711">
        <v>0.54930000000000001</v>
      </c>
    </row>
    <row r="4477" spans="1:5" x14ac:dyDescent="0.3">
      <c r="A4477" s="397"/>
      <c r="B4477" s="709">
        <v>94690</v>
      </c>
      <c r="C4477" s="710" t="s">
        <v>4784</v>
      </c>
      <c r="D4477" s="709" t="s">
        <v>136</v>
      </c>
      <c r="E4477" s="711">
        <v>0.433</v>
      </c>
    </row>
    <row r="4478" spans="1:5" x14ac:dyDescent="0.3">
      <c r="A4478" s="397"/>
      <c r="B4478" s="709">
        <v>94692</v>
      </c>
      <c r="C4478" s="710" t="s">
        <v>4785</v>
      </c>
      <c r="D4478" s="709" t="s">
        <v>136</v>
      </c>
      <c r="E4478" s="711">
        <v>0.33860000000000001</v>
      </c>
    </row>
    <row r="4479" spans="1:5" x14ac:dyDescent="0.3">
      <c r="A4479" s="397"/>
      <c r="B4479" s="709">
        <v>94694</v>
      </c>
      <c r="C4479" s="710" t="s">
        <v>4786</v>
      </c>
      <c r="D4479" s="709" t="s">
        <v>136</v>
      </c>
      <c r="E4479" s="711">
        <v>0.38159999999999999</v>
      </c>
    </row>
    <row r="4480" spans="1:5" x14ac:dyDescent="0.3">
      <c r="A4480" s="397"/>
      <c r="B4480" s="709">
        <v>94696</v>
      </c>
      <c r="C4480" s="710" t="s">
        <v>4787</v>
      </c>
      <c r="D4480" s="709" t="s">
        <v>136</v>
      </c>
      <c r="E4480" s="711">
        <v>0.24099999999999999</v>
      </c>
    </row>
    <row r="4481" spans="1:5" x14ac:dyDescent="0.3">
      <c r="A4481" s="397"/>
      <c r="B4481" s="709">
        <v>94697</v>
      </c>
      <c r="C4481" s="710" t="s">
        <v>4788</v>
      </c>
      <c r="D4481" s="709" t="s">
        <v>136</v>
      </c>
      <c r="E4481" s="711">
        <v>0.20649999999999999</v>
      </c>
    </row>
    <row r="4482" spans="1:5" x14ac:dyDescent="0.3">
      <c r="A4482" s="397"/>
      <c r="B4482" s="709">
        <v>94699</v>
      </c>
      <c r="C4482" s="710" t="s">
        <v>4789</v>
      </c>
      <c r="D4482" s="709" t="s">
        <v>136</v>
      </c>
      <c r="E4482" s="711">
        <v>0.19520000000000001</v>
      </c>
    </row>
    <row r="4483" spans="1:5" x14ac:dyDescent="0.3">
      <c r="A4483" s="397"/>
      <c r="B4483" s="709">
        <v>105167</v>
      </c>
      <c r="C4483" s="710" t="s">
        <v>4790</v>
      </c>
      <c r="D4483" s="709" t="s">
        <v>136</v>
      </c>
      <c r="E4483" s="711">
        <v>0.33539999999999998</v>
      </c>
    </row>
    <row r="4484" spans="1:5" x14ac:dyDescent="0.3">
      <c r="A4484" s="397"/>
      <c r="B4484" s="709">
        <v>96809</v>
      </c>
      <c r="C4484" s="710" t="s">
        <v>4795</v>
      </c>
      <c r="D4484" s="709" t="s">
        <v>136</v>
      </c>
      <c r="E4484" s="711">
        <v>0.38390000000000002</v>
      </c>
    </row>
    <row r="4485" spans="1:5" x14ac:dyDescent="0.3">
      <c r="A4485" s="397"/>
      <c r="B4485" s="709">
        <v>96812</v>
      </c>
      <c r="C4485" s="710" t="s">
        <v>4796</v>
      </c>
      <c r="D4485" s="709" t="s">
        <v>136</v>
      </c>
      <c r="E4485" s="711">
        <v>0.39560000000000001</v>
      </c>
    </row>
    <row r="4486" spans="1:5" x14ac:dyDescent="0.3">
      <c r="A4486" s="397"/>
      <c r="B4486" s="709">
        <v>96813</v>
      </c>
      <c r="C4486" s="710" t="s">
        <v>4797</v>
      </c>
      <c r="D4486" s="709" t="s">
        <v>136</v>
      </c>
      <c r="E4486" s="711">
        <v>0.38250000000000001</v>
      </c>
    </row>
    <row r="4487" spans="1:5" x14ac:dyDescent="0.3">
      <c r="A4487" s="397"/>
      <c r="B4487" s="709">
        <v>96817</v>
      </c>
      <c r="C4487" s="710" t="s">
        <v>4798</v>
      </c>
      <c r="D4487" s="709" t="s">
        <v>136</v>
      </c>
      <c r="E4487" s="711">
        <v>0.29110000000000003</v>
      </c>
    </row>
    <row r="4488" spans="1:5" x14ac:dyDescent="0.3">
      <c r="A4488" s="397"/>
      <c r="B4488" s="709">
        <v>96816</v>
      </c>
      <c r="C4488" s="710" t="s">
        <v>4799</v>
      </c>
      <c r="D4488" s="709" t="s">
        <v>136</v>
      </c>
      <c r="E4488" s="711">
        <v>0.35970000000000002</v>
      </c>
    </row>
    <row r="4489" spans="1:5" x14ac:dyDescent="0.3">
      <c r="A4489" s="397"/>
      <c r="B4489" s="709">
        <v>96821</v>
      </c>
      <c r="C4489" s="710" t="s">
        <v>4800</v>
      </c>
      <c r="D4489" s="709" t="s">
        <v>136</v>
      </c>
      <c r="E4489" s="711">
        <v>0.2828</v>
      </c>
    </row>
    <row r="4490" spans="1:5" x14ac:dyDescent="0.3">
      <c r="A4490" s="397"/>
      <c r="B4490" s="709">
        <v>96824</v>
      </c>
      <c r="C4490" s="710" t="s">
        <v>4801</v>
      </c>
      <c r="D4490" s="709" t="s">
        <v>136</v>
      </c>
      <c r="E4490" s="711">
        <v>0.35909999999999997</v>
      </c>
    </row>
    <row r="4491" spans="1:5" x14ac:dyDescent="0.3">
      <c r="A4491" s="397"/>
      <c r="B4491" s="709">
        <v>96827</v>
      </c>
      <c r="C4491" s="710" t="s">
        <v>4802</v>
      </c>
      <c r="D4491" s="709" t="s">
        <v>136</v>
      </c>
      <c r="E4491" s="711">
        <v>0.34539999999999998</v>
      </c>
    </row>
    <row r="4492" spans="1:5" x14ac:dyDescent="0.3">
      <c r="A4492" s="397"/>
      <c r="B4492" s="709">
        <v>96828</v>
      </c>
      <c r="C4492" s="710" t="s">
        <v>4803</v>
      </c>
      <c r="D4492" s="709" t="s">
        <v>136</v>
      </c>
      <c r="E4492" s="711">
        <v>0.30980000000000002</v>
      </c>
    </row>
    <row r="4493" spans="1:5" x14ac:dyDescent="0.3">
      <c r="A4493" s="397"/>
      <c r="B4493" s="709">
        <v>96832</v>
      </c>
      <c r="C4493" s="710" t="s">
        <v>4804</v>
      </c>
      <c r="D4493" s="709" t="s">
        <v>136</v>
      </c>
      <c r="E4493" s="711">
        <v>0.25390000000000001</v>
      </c>
    </row>
    <row r="4494" spans="1:5" x14ac:dyDescent="0.3">
      <c r="A4494" s="397"/>
      <c r="B4494" s="709">
        <v>96810</v>
      </c>
      <c r="C4494" s="710" t="s">
        <v>4813</v>
      </c>
      <c r="D4494" s="709" t="s">
        <v>136</v>
      </c>
      <c r="E4494" s="711">
        <v>0.39650000000000002</v>
      </c>
    </row>
    <row r="4495" spans="1:5" x14ac:dyDescent="0.3">
      <c r="A4495" s="397"/>
      <c r="B4495" s="709">
        <v>96873</v>
      </c>
      <c r="C4495" s="710" t="s">
        <v>4820</v>
      </c>
      <c r="D4495" s="709" t="s">
        <v>136</v>
      </c>
      <c r="E4495" s="711">
        <v>0.24979999999999999</v>
      </c>
    </row>
    <row r="4496" spans="1:5" x14ac:dyDescent="0.3">
      <c r="A4496" s="397"/>
      <c r="B4496" s="709">
        <v>96872</v>
      </c>
      <c r="C4496" s="710" t="s">
        <v>4821</v>
      </c>
      <c r="D4496" s="709" t="s">
        <v>136</v>
      </c>
      <c r="E4496" s="711">
        <v>0.3034</v>
      </c>
    </row>
    <row r="4497" spans="1:5" x14ac:dyDescent="0.3">
      <c r="A4497" s="397"/>
      <c r="B4497" s="709">
        <v>96876</v>
      </c>
      <c r="C4497" s="710" t="s">
        <v>4822</v>
      </c>
      <c r="D4497" s="709" t="s">
        <v>136</v>
      </c>
      <c r="E4497" s="711">
        <v>9.2600000000000002E-2</v>
      </c>
    </row>
    <row r="4498" spans="1:5" x14ac:dyDescent="0.3">
      <c r="A4498" s="397"/>
      <c r="B4498" s="709">
        <v>96878</v>
      </c>
      <c r="C4498" s="710" t="s">
        <v>4823</v>
      </c>
      <c r="D4498" s="709" t="s">
        <v>136</v>
      </c>
      <c r="E4498" s="711">
        <v>8.8999999999999996E-2</v>
      </c>
    </row>
    <row r="4499" spans="1:5" x14ac:dyDescent="0.3">
      <c r="A4499" s="397"/>
      <c r="B4499" s="709">
        <v>96875</v>
      </c>
      <c r="C4499" s="710" t="s">
        <v>4824</v>
      </c>
      <c r="D4499" s="709" t="s">
        <v>136</v>
      </c>
      <c r="E4499" s="711">
        <v>0.24079999999999999</v>
      </c>
    </row>
    <row r="4500" spans="1:5" x14ac:dyDescent="0.3">
      <c r="A4500" s="397"/>
      <c r="B4500" s="709">
        <v>96874</v>
      </c>
      <c r="C4500" s="710" t="s">
        <v>4825</v>
      </c>
      <c r="D4500" s="709" t="s">
        <v>136</v>
      </c>
      <c r="E4500" s="711">
        <v>0.29289999999999999</v>
      </c>
    </row>
    <row r="4501" spans="1:5" x14ac:dyDescent="0.3">
      <c r="A4501" s="397"/>
      <c r="B4501" s="709">
        <v>96879</v>
      </c>
      <c r="C4501" s="710" t="s">
        <v>4826</v>
      </c>
      <c r="D4501" s="709" t="s">
        <v>136</v>
      </c>
      <c r="E4501" s="711">
        <v>9.3700000000000006E-2</v>
      </c>
    </row>
    <row r="4502" spans="1:5" x14ac:dyDescent="0.3">
      <c r="A4502" s="397"/>
      <c r="B4502" s="709">
        <v>96881</v>
      </c>
      <c r="C4502" s="710" t="s">
        <v>4827</v>
      </c>
      <c r="D4502" s="709" t="s">
        <v>136</v>
      </c>
      <c r="E4502" s="711">
        <v>8.7499999999999994E-2</v>
      </c>
    </row>
    <row r="4503" spans="1:5" x14ac:dyDescent="0.3">
      <c r="A4503" s="397"/>
      <c r="B4503" s="709">
        <v>96837</v>
      </c>
      <c r="C4503" s="710" t="s">
        <v>4828</v>
      </c>
      <c r="D4503" s="709" t="s">
        <v>136</v>
      </c>
      <c r="E4503" s="711">
        <v>0.3861</v>
      </c>
    </row>
    <row r="4504" spans="1:5" x14ac:dyDescent="0.3">
      <c r="A4504" s="397"/>
      <c r="B4504" s="709">
        <v>96840</v>
      </c>
      <c r="C4504" s="710" t="s">
        <v>4829</v>
      </c>
      <c r="D4504" s="709" t="s">
        <v>136</v>
      </c>
      <c r="E4504" s="711">
        <v>0.37769999999999998</v>
      </c>
    </row>
    <row r="4505" spans="1:5" x14ac:dyDescent="0.3">
      <c r="A4505" s="397"/>
      <c r="B4505" s="709">
        <v>96845</v>
      </c>
      <c r="C4505" s="710" t="s">
        <v>4830</v>
      </c>
      <c r="D4505" s="709" t="s">
        <v>136</v>
      </c>
      <c r="E4505" s="711">
        <v>0.27339999999999998</v>
      </c>
    </row>
    <row r="4506" spans="1:5" x14ac:dyDescent="0.3">
      <c r="A4506" s="397"/>
      <c r="B4506" s="709">
        <v>96848</v>
      </c>
      <c r="C4506" s="710" t="s">
        <v>4831</v>
      </c>
      <c r="D4506" s="709" t="s">
        <v>136</v>
      </c>
      <c r="E4506" s="711">
        <v>0.25059999999999999</v>
      </c>
    </row>
    <row r="4507" spans="1:5" x14ac:dyDescent="0.3">
      <c r="A4507" s="397"/>
      <c r="B4507" s="709">
        <v>96849</v>
      </c>
      <c r="C4507" s="710" t="s">
        <v>4832</v>
      </c>
      <c r="D4507" s="709" t="s">
        <v>136</v>
      </c>
      <c r="E4507" s="711">
        <v>0.32950000000000002</v>
      </c>
    </row>
    <row r="4508" spans="1:5" x14ac:dyDescent="0.3">
      <c r="A4508" s="397"/>
      <c r="B4508" s="709">
        <v>96852</v>
      </c>
      <c r="C4508" s="710" t="s">
        <v>4833</v>
      </c>
      <c r="D4508" s="709" t="s">
        <v>136</v>
      </c>
      <c r="E4508" s="711">
        <v>0.30299999999999999</v>
      </c>
    </row>
    <row r="4509" spans="1:5" x14ac:dyDescent="0.3">
      <c r="A4509" s="397"/>
      <c r="B4509" s="709">
        <v>96855</v>
      </c>
      <c r="C4509" s="710" t="s">
        <v>4834</v>
      </c>
      <c r="D4509" s="709" t="s">
        <v>136</v>
      </c>
      <c r="E4509" s="711">
        <v>0.22239999999999999</v>
      </c>
    </row>
    <row r="4510" spans="1:5" x14ac:dyDescent="0.3">
      <c r="A4510" s="397"/>
      <c r="B4510" s="709">
        <v>96838</v>
      </c>
      <c r="C4510" s="710" t="s">
        <v>4835</v>
      </c>
      <c r="D4510" s="709" t="s">
        <v>136</v>
      </c>
      <c r="E4510" s="711">
        <v>0.44</v>
      </c>
    </row>
    <row r="4511" spans="1:5" x14ac:dyDescent="0.3">
      <c r="A4511" s="397"/>
      <c r="B4511" s="709">
        <v>96841</v>
      </c>
      <c r="C4511" s="710" t="s">
        <v>4836</v>
      </c>
      <c r="D4511" s="709" t="s">
        <v>136</v>
      </c>
      <c r="E4511" s="711">
        <v>0.42009999999999997</v>
      </c>
    </row>
    <row r="4512" spans="1:5" x14ac:dyDescent="0.3">
      <c r="A4512" s="397"/>
      <c r="B4512" s="709">
        <v>96842</v>
      </c>
      <c r="C4512" s="710" t="s">
        <v>4837</v>
      </c>
      <c r="D4512" s="709" t="s">
        <v>136</v>
      </c>
      <c r="E4512" s="711">
        <v>0.40360000000000001</v>
      </c>
    </row>
    <row r="4513" spans="1:5" x14ac:dyDescent="0.3">
      <c r="A4513" s="397"/>
      <c r="B4513" s="709">
        <v>96846</v>
      </c>
      <c r="C4513" s="710" t="s">
        <v>4838</v>
      </c>
      <c r="D4513" s="709" t="s">
        <v>136</v>
      </c>
      <c r="E4513" s="711">
        <v>0.36509999999999998</v>
      </c>
    </row>
    <row r="4514" spans="1:5" x14ac:dyDescent="0.3">
      <c r="A4514" s="397"/>
      <c r="B4514" s="709">
        <v>96850</v>
      </c>
      <c r="C4514" s="710" t="s">
        <v>4839</v>
      </c>
      <c r="D4514" s="709" t="s">
        <v>136</v>
      </c>
      <c r="E4514" s="711">
        <v>0.41370000000000001</v>
      </c>
    </row>
    <row r="4515" spans="1:5" x14ac:dyDescent="0.3">
      <c r="A4515" s="397"/>
      <c r="B4515" s="709">
        <v>96853</v>
      </c>
      <c r="C4515" s="710" t="s">
        <v>4840</v>
      </c>
      <c r="D4515" s="709" t="s">
        <v>136</v>
      </c>
      <c r="E4515" s="711">
        <v>0.40429999999999999</v>
      </c>
    </row>
    <row r="4516" spans="1:5" x14ac:dyDescent="0.3">
      <c r="A4516" s="397"/>
      <c r="B4516" s="709">
        <v>96854</v>
      </c>
      <c r="C4516" s="710" t="s">
        <v>4841</v>
      </c>
      <c r="D4516" s="709" t="s">
        <v>136</v>
      </c>
      <c r="E4516" s="711">
        <v>0.36209999999999998</v>
      </c>
    </row>
    <row r="4517" spans="1:5" x14ac:dyDescent="0.3">
      <c r="A4517" s="397"/>
      <c r="B4517" s="709">
        <v>96856</v>
      </c>
      <c r="C4517" s="710" t="s">
        <v>4843</v>
      </c>
      <c r="D4517" s="709" t="s">
        <v>136</v>
      </c>
      <c r="E4517" s="711">
        <v>0.28920000000000001</v>
      </c>
    </row>
    <row r="4518" spans="1:5" x14ac:dyDescent="0.3">
      <c r="A4518" s="397"/>
      <c r="B4518" s="709">
        <v>96843</v>
      </c>
      <c r="C4518" s="710" t="s">
        <v>4854</v>
      </c>
      <c r="D4518" s="709" t="s">
        <v>136</v>
      </c>
      <c r="E4518" s="711">
        <v>0.3997</v>
      </c>
    </row>
    <row r="4519" spans="1:5" x14ac:dyDescent="0.3">
      <c r="A4519" s="397"/>
      <c r="B4519" s="709">
        <v>96847</v>
      </c>
      <c r="C4519" s="710" t="s">
        <v>4855</v>
      </c>
      <c r="D4519" s="709" t="s">
        <v>136</v>
      </c>
      <c r="E4519" s="711">
        <v>0.37119999999999997</v>
      </c>
    </row>
    <row r="4520" spans="1:5" x14ac:dyDescent="0.3">
      <c r="A4520" s="397"/>
      <c r="B4520" s="709">
        <v>96844</v>
      </c>
      <c r="C4520" s="710" t="s">
        <v>4856</v>
      </c>
      <c r="D4520" s="709" t="s">
        <v>136</v>
      </c>
      <c r="E4520" s="711">
        <v>0.38190000000000002</v>
      </c>
    </row>
    <row r="4521" spans="1:5" x14ac:dyDescent="0.3">
      <c r="A4521" s="397"/>
      <c r="B4521" s="709">
        <v>96839</v>
      </c>
      <c r="C4521" s="710" t="s">
        <v>4857</v>
      </c>
      <c r="D4521" s="709" t="s">
        <v>136</v>
      </c>
      <c r="E4521" s="711">
        <v>0.42230000000000001</v>
      </c>
    </row>
    <row r="4522" spans="1:5" x14ac:dyDescent="0.3">
      <c r="A4522" s="397"/>
      <c r="B4522" s="709">
        <v>96805</v>
      </c>
      <c r="C4522" s="710" t="s">
        <v>4861</v>
      </c>
      <c r="D4522" s="709" t="s">
        <v>136</v>
      </c>
      <c r="E4522" s="711">
        <v>8.7300000000000003E-2</v>
      </c>
    </row>
    <row r="4523" spans="1:5" x14ac:dyDescent="0.3">
      <c r="A4523" s="397"/>
      <c r="B4523" s="709">
        <v>96802</v>
      </c>
      <c r="C4523" s="710" t="s">
        <v>4862</v>
      </c>
      <c r="D4523" s="709" t="s">
        <v>136</v>
      </c>
      <c r="E4523" s="711">
        <v>3.2800000000000003E-2</v>
      </c>
    </row>
    <row r="4524" spans="1:5" x14ac:dyDescent="0.3">
      <c r="A4524" s="397"/>
      <c r="B4524" s="709">
        <v>96806</v>
      </c>
      <c r="C4524" s="710" t="s">
        <v>4863</v>
      </c>
      <c r="D4524" s="709" t="s">
        <v>136</v>
      </c>
      <c r="E4524" s="711">
        <v>0.2102</v>
      </c>
    </row>
    <row r="4525" spans="1:5" x14ac:dyDescent="0.3">
      <c r="A4525" s="397"/>
      <c r="B4525" s="709">
        <v>96803</v>
      </c>
      <c r="C4525" s="710" t="s">
        <v>4864</v>
      </c>
      <c r="D4525" s="709" t="s">
        <v>136</v>
      </c>
      <c r="E4525" s="711">
        <v>0.1588</v>
      </c>
    </row>
    <row r="4526" spans="1:5" x14ac:dyDescent="0.3">
      <c r="A4526" s="397"/>
      <c r="B4526" s="709">
        <v>96807</v>
      </c>
      <c r="C4526" s="710" t="s">
        <v>4865</v>
      </c>
      <c r="D4526" s="709" t="s">
        <v>136</v>
      </c>
      <c r="E4526" s="711">
        <v>0.26440000000000002</v>
      </c>
    </row>
    <row r="4527" spans="1:5" x14ac:dyDescent="0.3">
      <c r="A4527" s="397"/>
      <c r="B4527" s="709">
        <v>96804</v>
      </c>
      <c r="C4527" s="710" t="s">
        <v>4866</v>
      </c>
      <c r="D4527" s="709" t="s">
        <v>136</v>
      </c>
      <c r="E4527" s="711">
        <v>0.24299999999999999</v>
      </c>
    </row>
    <row r="4528" spans="1:5" x14ac:dyDescent="0.3">
      <c r="A4528" s="397"/>
      <c r="B4528" s="709">
        <v>96829</v>
      </c>
      <c r="C4528" s="710" t="s">
        <v>4867</v>
      </c>
      <c r="D4528" s="709" t="s">
        <v>136</v>
      </c>
      <c r="E4528" s="711">
        <v>0.20569999999999999</v>
      </c>
    </row>
    <row r="4529" spans="1:5" x14ac:dyDescent="0.3">
      <c r="A4529" s="397"/>
      <c r="B4529" s="709">
        <v>96833</v>
      </c>
      <c r="C4529" s="710" t="s">
        <v>4868</v>
      </c>
      <c r="D4529" s="709" t="s">
        <v>136</v>
      </c>
      <c r="E4529" s="711">
        <v>0.17580000000000001</v>
      </c>
    </row>
    <row r="4530" spans="1:5" x14ac:dyDescent="0.3">
      <c r="A4530" s="397"/>
      <c r="B4530" s="709">
        <v>96836</v>
      </c>
      <c r="C4530" s="710" t="s">
        <v>4869</v>
      </c>
      <c r="D4530" s="709" t="s">
        <v>136</v>
      </c>
      <c r="E4530" s="711">
        <v>0.1593</v>
      </c>
    </row>
    <row r="4531" spans="1:5" x14ac:dyDescent="0.3">
      <c r="A4531" s="397"/>
      <c r="B4531" s="709">
        <v>104576</v>
      </c>
      <c r="C4531" s="710" t="s">
        <v>4870</v>
      </c>
      <c r="D4531" s="709" t="s">
        <v>136</v>
      </c>
      <c r="E4531" s="711">
        <v>0.36270000000000002</v>
      </c>
    </row>
    <row r="4532" spans="1:5" x14ac:dyDescent="0.3">
      <c r="A4532" s="397"/>
      <c r="B4532" s="709">
        <v>104577</v>
      </c>
      <c r="C4532" s="710" t="s">
        <v>4871</v>
      </c>
      <c r="D4532" s="709" t="s">
        <v>136</v>
      </c>
      <c r="E4532" s="711">
        <v>0.28839999999999999</v>
      </c>
    </row>
    <row r="4533" spans="1:5" x14ac:dyDescent="0.3">
      <c r="A4533" s="397"/>
      <c r="B4533" s="709">
        <v>104578</v>
      </c>
      <c r="C4533" s="710" t="s">
        <v>4872</v>
      </c>
      <c r="D4533" s="709" t="s">
        <v>136</v>
      </c>
      <c r="E4533" s="711">
        <v>0.2898</v>
      </c>
    </row>
    <row r="4534" spans="1:5" x14ac:dyDescent="0.3">
      <c r="A4534" s="397"/>
      <c r="B4534" s="709">
        <v>104580</v>
      </c>
      <c r="C4534" s="710" t="s">
        <v>4873</v>
      </c>
      <c r="D4534" s="709" t="s">
        <v>136</v>
      </c>
      <c r="E4534" s="711">
        <v>0.25750000000000001</v>
      </c>
    </row>
    <row r="4535" spans="1:5" x14ac:dyDescent="0.3">
      <c r="A4535" s="397"/>
      <c r="B4535" s="709">
        <v>104579</v>
      </c>
      <c r="C4535" s="710" t="s">
        <v>4874</v>
      </c>
      <c r="D4535" s="709" t="s">
        <v>136</v>
      </c>
      <c r="E4535" s="711">
        <v>0.26469999999999999</v>
      </c>
    </row>
    <row r="4536" spans="1:5" x14ac:dyDescent="0.3">
      <c r="A4536" s="397"/>
      <c r="B4536" s="709">
        <v>96823</v>
      </c>
      <c r="C4536" s="710" t="s">
        <v>4875</v>
      </c>
      <c r="D4536" s="709" t="s">
        <v>136</v>
      </c>
      <c r="E4536" s="711">
        <v>0.32329999999999998</v>
      </c>
    </row>
    <row r="4537" spans="1:5" x14ac:dyDescent="0.3">
      <c r="A4537" s="397"/>
      <c r="B4537" s="709">
        <v>96826</v>
      </c>
      <c r="C4537" s="710" t="s">
        <v>4876</v>
      </c>
      <c r="D4537" s="709" t="s">
        <v>136</v>
      </c>
      <c r="E4537" s="711">
        <v>0.33150000000000002</v>
      </c>
    </row>
    <row r="4538" spans="1:5" x14ac:dyDescent="0.3">
      <c r="A4538" s="397"/>
      <c r="B4538" s="709">
        <v>96830</v>
      </c>
      <c r="C4538" s="710" t="s">
        <v>4877</v>
      </c>
      <c r="D4538" s="709" t="s">
        <v>136</v>
      </c>
      <c r="E4538" s="711">
        <v>0.24129999999999999</v>
      </c>
    </row>
    <row r="4539" spans="1:5" x14ac:dyDescent="0.3">
      <c r="A4539" s="397"/>
      <c r="B4539" s="709">
        <v>96834</v>
      </c>
      <c r="C4539" s="710" t="s">
        <v>4878</v>
      </c>
      <c r="D4539" s="709" t="s">
        <v>136</v>
      </c>
      <c r="E4539" s="711">
        <v>0.21640000000000001</v>
      </c>
    </row>
    <row r="4540" spans="1:5" x14ac:dyDescent="0.3">
      <c r="A4540" s="397"/>
      <c r="B4540" s="709">
        <v>104581</v>
      </c>
      <c r="C4540" s="710" t="s">
        <v>4879</v>
      </c>
      <c r="D4540" s="709" t="s">
        <v>136</v>
      </c>
      <c r="E4540" s="711">
        <v>0.3634</v>
      </c>
    </row>
    <row r="4541" spans="1:5" x14ac:dyDescent="0.3">
      <c r="A4541" s="397"/>
      <c r="B4541" s="709">
        <v>104582</v>
      </c>
      <c r="C4541" s="710" t="s">
        <v>4880</v>
      </c>
      <c r="D4541" s="709" t="s">
        <v>136</v>
      </c>
      <c r="E4541" s="711">
        <v>0.33300000000000002</v>
      </c>
    </row>
    <row r="4542" spans="1:5" x14ac:dyDescent="0.3">
      <c r="A4542" s="397"/>
      <c r="B4542" s="709">
        <v>104583</v>
      </c>
      <c r="C4542" s="710" t="s">
        <v>4881</v>
      </c>
      <c r="D4542" s="709" t="s">
        <v>136</v>
      </c>
      <c r="E4542" s="711">
        <v>0.23710000000000001</v>
      </c>
    </row>
    <row r="4543" spans="1:5" x14ac:dyDescent="0.3">
      <c r="A4543" s="397"/>
      <c r="B4543" s="709">
        <v>104584</v>
      </c>
      <c r="C4543" s="710" t="s">
        <v>4882</v>
      </c>
      <c r="D4543" s="709" t="s">
        <v>136</v>
      </c>
      <c r="E4543" s="711">
        <v>0.24379999999999999</v>
      </c>
    </row>
    <row r="4544" spans="1:5" x14ac:dyDescent="0.3">
      <c r="A4544" s="397"/>
      <c r="B4544" s="709">
        <v>96798</v>
      </c>
      <c r="C4544" s="710" t="s">
        <v>4886</v>
      </c>
      <c r="D4544" s="709" t="s">
        <v>159</v>
      </c>
      <c r="E4544" s="711">
        <v>0.30080000000000001</v>
      </c>
    </row>
    <row r="4545" spans="1:5" x14ac:dyDescent="0.3">
      <c r="A4545" s="397"/>
      <c r="B4545" s="709">
        <v>96799</v>
      </c>
      <c r="C4545" s="710" t="s">
        <v>4887</v>
      </c>
      <c r="D4545" s="709" t="s">
        <v>159</v>
      </c>
      <c r="E4545" s="711">
        <v>0.29620000000000002</v>
      </c>
    </row>
    <row r="4546" spans="1:5" x14ac:dyDescent="0.3">
      <c r="A4546" s="397"/>
      <c r="B4546" s="709">
        <v>96800</v>
      </c>
      <c r="C4546" s="710" t="s">
        <v>4888</v>
      </c>
      <c r="D4546" s="709" t="s">
        <v>159</v>
      </c>
      <c r="E4546" s="711">
        <v>0.27089999999999997</v>
      </c>
    </row>
    <row r="4547" spans="1:5" x14ac:dyDescent="0.3">
      <c r="A4547" s="397"/>
      <c r="B4547" s="709">
        <v>96801</v>
      </c>
      <c r="C4547" s="710" t="s">
        <v>4889</v>
      </c>
      <c r="D4547" s="709" t="s">
        <v>159</v>
      </c>
      <c r="E4547" s="711">
        <v>0.2266</v>
      </c>
    </row>
    <row r="4548" spans="1:5" x14ac:dyDescent="0.3">
      <c r="A4548" s="397"/>
      <c r="B4548" s="709">
        <v>96860</v>
      </c>
      <c r="C4548" s="710" t="s">
        <v>4914</v>
      </c>
      <c r="D4548" s="709" t="s">
        <v>136</v>
      </c>
      <c r="E4548" s="711">
        <v>0.35499999999999998</v>
      </c>
    </row>
    <row r="4549" spans="1:5" x14ac:dyDescent="0.3">
      <c r="A4549" s="397"/>
      <c r="B4549" s="709">
        <v>96862</v>
      </c>
      <c r="C4549" s="710" t="s">
        <v>4915</v>
      </c>
      <c r="D4549" s="709" t="s">
        <v>136</v>
      </c>
      <c r="E4549" s="711">
        <v>0.34010000000000001</v>
      </c>
    </row>
    <row r="4550" spans="1:5" x14ac:dyDescent="0.3">
      <c r="A4550" s="397"/>
      <c r="B4550" s="709">
        <v>96864</v>
      </c>
      <c r="C4550" s="710" t="s">
        <v>4916</v>
      </c>
      <c r="D4550" s="709" t="s">
        <v>136</v>
      </c>
      <c r="E4550" s="711">
        <v>0.27989999999999998</v>
      </c>
    </row>
    <row r="4551" spans="1:5" x14ac:dyDescent="0.3">
      <c r="A4551" s="397"/>
      <c r="B4551" s="709">
        <v>96866</v>
      </c>
      <c r="C4551" s="710" t="s">
        <v>4917</v>
      </c>
      <c r="D4551" s="709" t="s">
        <v>136</v>
      </c>
      <c r="E4551" s="711">
        <v>0.26229999999999998</v>
      </c>
    </row>
    <row r="4552" spans="1:5" x14ac:dyDescent="0.3">
      <c r="A4552" s="397"/>
      <c r="B4552" s="709">
        <v>96868</v>
      </c>
      <c r="C4552" s="710" t="s">
        <v>4918</v>
      </c>
      <c r="D4552" s="709" t="s">
        <v>136</v>
      </c>
      <c r="E4552" s="711">
        <v>0.38450000000000001</v>
      </c>
    </row>
    <row r="4553" spans="1:5" x14ac:dyDescent="0.3">
      <c r="A4553" s="397"/>
      <c r="B4553" s="709">
        <v>96869</v>
      </c>
      <c r="C4553" s="710" t="s">
        <v>4919</v>
      </c>
      <c r="D4553" s="709" t="s">
        <v>136</v>
      </c>
      <c r="E4553" s="711">
        <v>0.2843</v>
      </c>
    </row>
    <row r="4554" spans="1:5" x14ac:dyDescent="0.3">
      <c r="A4554" s="397"/>
      <c r="B4554" s="709">
        <v>96870</v>
      </c>
      <c r="C4554" s="710" t="s">
        <v>4920</v>
      </c>
      <c r="D4554" s="709" t="s">
        <v>136</v>
      </c>
      <c r="E4554" s="711">
        <v>0.21940000000000001</v>
      </c>
    </row>
    <row r="4555" spans="1:5" x14ac:dyDescent="0.3">
      <c r="A4555" s="397"/>
      <c r="B4555" s="709">
        <v>96871</v>
      </c>
      <c r="C4555" s="710" t="s">
        <v>4921</v>
      </c>
      <c r="D4555" s="709" t="s">
        <v>136</v>
      </c>
      <c r="E4555" s="711">
        <v>0.23810000000000001</v>
      </c>
    </row>
    <row r="4556" spans="1:5" x14ac:dyDescent="0.3">
      <c r="A4556" s="397"/>
      <c r="B4556" s="709">
        <v>96861</v>
      </c>
      <c r="C4556" s="710" t="s">
        <v>4922</v>
      </c>
      <c r="D4556" s="709" t="s">
        <v>136</v>
      </c>
      <c r="E4556" s="711">
        <v>0.34250000000000003</v>
      </c>
    </row>
    <row r="4557" spans="1:5" x14ac:dyDescent="0.3">
      <c r="A4557" s="397"/>
      <c r="B4557" s="709">
        <v>96863</v>
      </c>
      <c r="C4557" s="710" t="s">
        <v>4923</v>
      </c>
      <c r="D4557" s="709" t="s">
        <v>136</v>
      </c>
      <c r="E4557" s="711">
        <v>0.37309999999999999</v>
      </c>
    </row>
    <row r="4558" spans="1:5" x14ac:dyDescent="0.3">
      <c r="A4558" s="397"/>
      <c r="B4558" s="709">
        <v>96865</v>
      </c>
      <c r="C4558" s="710" t="s">
        <v>4924</v>
      </c>
      <c r="D4558" s="709" t="s">
        <v>136</v>
      </c>
      <c r="E4558" s="711">
        <v>0.37730000000000002</v>
      </c>
    </row>
    <row r="4559" spans="1:5" x14ac:dyDescent="0.3">
      <c r="A4559" s="397"/>
      <c r="B4559" s="709">
        <v>96814</v>
      </c>
      <c r="C4559" s="710" t="s">
        <v>4925</v>
      </c>
      <c r="D4559" s="709" t="s">
        <v>136</v>
      </c>
      <c r="E4559" s="711">
        <v>0.36270000000000002</v>
      </c>
    </row>
    <row r="4560" spans="1:5" x14ac:dyDescent="0.3">
      <c r="A4560" s="397"/>
      <c r="B4560" s="709">
        <v>96818</v>
      </c>
      <c r="C4560" s="710" t="s">
        <v>4926</v>
      </c>
      <c r="D4560" s="709" t="s">
        <v>136</v>
      </c>
      <c r="E4560" s="711">
        <v>0.28839999999999999</v>
      </c>
    </row>
    <row r="4561" spans="1:5" x14ac:dyDescent="0.3">
      <c r="A4561" s="397"/>
      <c r="B4561" s="709">
        <v>96819</v>
      </c>
      <c r="C4561" s="710" t="s">
        <v>4927</v>
      </c>
      <c r="D4561" s="709" t="s">
        <v>136</v>
      </c>
      <c r="E4561" s="711">
        <v>0.2898</v>
      </c>
    </row>
    <row r="4562" spans="1:5" x14ac:dyDescent="0.3">
      <c r="A4562" s="397"/>
      <c r="B4562" s="709">
        <v>96822</v>
      </c>
      <c r="C4562" s="710" t="s">
        <v>4928</v>
      </c>
      <c r="D4562" s="709" t="s">
        <v>136</v>
      </c>
      <c r="E4562" s="711">
        <v>0.26469999999999999</v>
      </c>
    </row>
    <row r="4563" spans="1:5" x14ac:dyDescent="0.3">
      <c r="A4563" s="397"/>
      <c r="B4563" s="709">
        <v>96808</v>
      </c>
      <c r="C4563" s="710" t="s">
        <v>4929</v>
      </c>
      <c r="D4563" s="709" t="s">
        <v>136</v>
      </c>
      <c r="E4563" s="711">
        <v>0.43280000000000002</v>
      </c>
    </row>
    <row r="4564" spans="1:5" x14ac:dyDescent="0.3">
      <c r="A4564" s="397"/>
      <c r="B4564" s="709">
        <v>96811</v>
      </c>
      <c r="C4564" s="710" t="s">
        <v>4930</v>
      </c>
      <c r="D4564" s="709" t="s">
        <v>136</v>
      </c>
      <c r="E4564" s="711">
        <v>0.40010000000000001</v>
      </c>
    </row>
    <row r="4565" spans="1:5" x14ac:dyDescent="0.3">
      <c r="A4565" s="397"/>
      <c r="B4565" s="709">
        <v>96815</v>
      </c>
      <c r="C4565" s="710" t="s">
        <v>4931</v>
      </c>
      <c r="D4565" s="709" t="s">
        <v>136</v>
      </c>
      <c r="E4565" s="711">
        <v>0.29380000000000001</v>
      </c>
    </row>
    <row r="4566" spans="1:5" x14ac:dyDescent="0.3">
      <c r="A4566" s="397"/>
      <c r="B4566" s="709">
        <v>96820</v>
      </c>
      <c r="C4566" s="710" t="s">
        <v>4932</v>
      </c>
      <c r="D4566" s="709" t="s">
        <v>136</v>
      </c>
      <c r="E4566" s="711">
        <v>0.30130000000000001</v>
      </c>
    </row>
    <row r="4567" spans="1:5" x14ac:dyDescent="0.3">
      <c r="A4567" s="397"/>
      <c r="B4567" s="709">
        <v>96702</v>
      </c>
      <c r="C4567" s="710" t="s">
        <v>4933</v>
      </c>
      <c r="D4567" s="709" t="s">
        <v>136</v>
      </c>
      <c r="E4567" s="711">
        <v>0.57820000000000005</v>
      </c>
    </row>
    <row r="4568" spans="1:5" x14ac:dyDescent="0.3">
      <c r="A4568" s="397"/>
      <c r="B4568" s="709">
        <v>96662</v>
      </c>
      <c r="C4568" s="710" t="s">
        <v>4934</v>
      </c>
      <c r="D4568" s="709" t="s">
        <v>136</v>
      </c>
      <c r="E4568" s="711">
        <v>0.47699999999999998</v>
      </c>
    </row>
    <row r="4569" spans="1:5" x14ac:dyDescent="0.3">
      <c r="A4569" s="397"/>
      <c r="B4569" s="709">
        <v>96704</v>
      </c>
      <c r="C4569" s="710" t="s">
        <v>4935</v>
      </c>
      <c r="D4569" s="709" t="s">
        <v>136</v>
      </c>
      <c r="E4569" s="711">
        <v>0.37140000000000001</v>
      </c>
    </row>
    <row r="4570" spans="1:5" x14ac:dyDescent="0.3">
      <c r="A4570" s="397"/>
      <c r="B4570" s="709">
        <v>96664</v>
      </c>
      <c r="C4570" s="710" t="s">
        <v>4936</v>
      </c>
      <c r="D4570" s="709" t="s">
        <v>136</v>
      </c>
      <c r="E4570" s="711">
        <v>0.26590000000000003</v>
      </c>
    </row>
    <row r="4571" spans="1:5" x14ac:dyDescent="0.3">
      <c r="A4571" s="397"/>
      <c r="B4571" s="709">
        <v>104191</v>
      </c>
      <c r="C4571" s="710" t="s">
        <v>4937</v>
      </c>
      <c r="D4571" s="709" t="s">
        <v>136</v>
      </c>
      <c r="E4571" s="711">
        <v>0.61529999999999996</v>
      </c>
    </row>
    <row r="4572" spans="1:5" x14ac:dyDescent="0.3">
      <c r="A4572" s="397"/>
      <c r="B4572" s="709">
        <v>96700</v>
      </c>
      <c r="C4572" s="710" t="s">
        <v>4938</v>
      </c>
      <c r="D4572" s="709" t="s">
        <v>136</v>
      </c>
      <c r="E4572" s="711">
        <v>0.36249999999999999</v>
      </c>
    </row>
    <row r="4573" spans="1:5" x14ac:dyDescent="0.3">
      <c r="A4573" s="397"/>
      <c r="B4573" s="709">
        <v>96658</v>
      </c>
      <c r="C4573" s="710" t="s">
        <v>4939</v>
      </c>
      <c r="D4573" s="709" t="s">
        <v>136</v>
      </c>
      <c r="E4573" s="711">
        <v>0.2898</v>
      </c>
    </row>
    <row r="4574" spans="1:5" x14ac:dyDescent="0.3">
      <c r="A4574" s="397"/>
      <c r="B4574" s="709">
        <v>96641</v>
      </c>
      <c r="C4574" s="710" t="s">
        <v>4940</v>
      </c>
      <c r="D4574" s="709" t="s">
        <v>136</v>
      </c>
      <c r="E4574" s="711">
        <v>0.3775</v>
      </c>
    </row>
    <row r="4575" spans="1:5" x14ac:dyDescent="0.3">
      <c r="A4575" s="397"/>
      <c r="B4575" s="709">
        <v>96661</v>
      </c>
      <c r="C4575" s="710" t="s">
        <v>4941</v>
      </c>
      <c r="D4575" s="709" t="s">
        <v>136</v>
      </c>
      <c r="E4575" s="711">
        <v>0.14230000000000001</v>
      </c>
    </row>
    <row r="4576" spans="1:5" x14ac:dyDescent="0.3">
      <c r="A4576" s="397"/>
      <c r="B4576" s="709">
        <v>96699</v>
      </c>
      <c r="C4576" s="710" t="s">
        <v>4942</v>
      </c>
      <c r="D4576" s="709" t="s">
        <v>136</v>
      </c>
      <c r="E4576" s="711">
        <v>0.2419</v>
      </c>
    </row>
    <row r="4577" spans="1:5" x14ac:dyDescent="0.3">
      <c r="A4577" s="397"/>
      <c r="B4577" s="709">
        <v>96657</v>
      </c>
      <c r="C4577" s="710" t="s">
        <v>4943</v>
      </c>
      <c r="D4577" s="709" t="s">
        <v>136</v>
      </c>
      <c r="E4577" s="711">
        <v>0.1862</v>
      </c>
    </row>
    <row r="4578" spans="1:5" x14ac:dyDescent="0.3">
      <c r="A4578" s="397"/>
      <c r="B4578" s="709">
        <v>96640</v>
      </c>
      <c r="C4578" s="710" t="s">
        <v>4944</v>
      </c>
      <c r="D4578" s="709" t="s">
        <v>136</v>
      </c>
      <c r="E4578" s="711">
        <v>0.25390000000000001</v>
      </c>
    </row>
    <row r="4579" spans="1:5" x14ac:dyDescent="0.3">
      <c r="A4579" s="397"/>
      <c r="B4579" s="709">
        <v>96660</v>
      </c>
      <c r="C4579" s="710" t="s">
        <v>4945</v>
      </c>
      <c r="D4579" s="709" t="s">
        <v>136</v>
      </c>
      <c r="E4579" s="711">
        <v>0.1409</v>
      </c>
    </row>
    <row r="4580" spans="1:5" x14ac:dyDescent="0.3">
      <c r="A4580" s="397"/>
      <c r="B4580" s="709">
        <v>104196</v>
      </c>
      <c r="C4580" s="710" t="s">
        <v>4946</v>
      </c>
      <c r="D4580" s="709" t="s">
        <v>136</v>
      </c>
      <c r="E4580" s="711">
        <v>0.36180000000000001</v>
      </c>
    </row>
    <row r="4581" spans="1:5" x14ac:dyDescent="0.3">
      <c r="A4581" s="397"/>
      <c r="B4581" s="709">
        <v>104197</v>
      </c>
      <c r="C4581" s="710" t="s">
        <v>4947</v>
      </c>
      <c r="D4581" s="709" t="s">
        <v>136</v>
      </c>
      <c r="E4581" s="711">
        <v>0.45590000000000003</v>
      </c>
    </row>
    <row r="4582" spans="1:5" x14ac:dyDescent="0.3">
      <c r="A4582" s="397"/>
      <c r="B4582" s="709">
        <v>104198</v>
      </c>
      <c r="C4582" s="710" t="s">
        <v>4948</v>
      </c>
      <c r="D4582" s="709" t="s">
        <v>136</v>
      </c>
      <c r="E4582" s="711">
        <v>0.72909999999999997</v>
      </c>
    </row>
    <row r="4583" spans="1:5" x14ac:dyDescent="0.3">
      <c r="A4583" s="397"/>
      <c r="B4583" s="709">
        <v>96685</v>
      </c>
      <c r="C4583" s="710" t="s">
        <v>4949</v>
      </c>
      <c r="D4583" s="709" t="s">
        <v>136</v>
      </c>
      <c r="E4583" s="711">
        <v>0.75490000000000002</v>
      </c>
    </row>
    <row r="4584" spans="1:5" x14ac:dyDescent="0.3">
      <c r="A4584" s="397"/>
      <c r="B4584" s="709">
        <v>96651</v>
      </c>
      <c r="C4584" s="710" t="s">
        <v>4950</v>
      </c>
      <c r="D4584" s="709" t="s">
        <v>136</v>
      </c>
      <c r="E4584" s="711">
        <v>0.69020000000000004</v>
      </c>
    </row>
    <row r="4585" spans="1:5" x14ac:dyDescent="0.3">
      <c r="A4585" s="397"/>
      <c r="B4585" s="709">
        <v>96638</v>
      </c>
      <c r="C4585" s="710" t="s">
        <v>4951</v>
      </c>
      <c r="D4585" s="709" t="s">
        <v>136</v>
      </c>
      <c r="E4585" s="711">
        <v>0.82010000000000005</v>
      </c>
    </row>
    <row r="4586" spans="1:5" x14ac:dyDescent="0.3">
      <c r="A4586" s="397"/>
      <c r="B4586" s="709">
        <v>96687</v>
      </c>
      <c r="C4586" s="710" t="s">
        <v>4952</v>
      </c>
      <c r="D4586" s="709" t="s">
        <v>136</v>
      </c>
      <c r="E4586" s="711">
        <v>0.60850000000000004</v>
      </c>
    </row>
    <row r="4587" spans="1:5" x14ac:dyDescent="0.3">
      <c r="A4587" s="397"/>
      <c r="B4587" s="709">
        <v>96653</v>
      </c>
      <c r="C4587" s="710" t="s">
        <v>4953</v>
      </c>
      <c r="D4587" s="709" t="s">
        <v>136</v>
      </c>
      <c r="E4587" s="711">
        <v>0.49120000000000003</v>
      </c>
    </row>
    <row r="4588" spans="1:5" x14ac:dyDescent="0.3">
      <c r="A4588" s="397"/>
      <c r="B4588" s="709">
        <v>96689</v>
      </c>
      <c r="C4588" s="710" t="s">
        <v>4954</v>
      </c>
      <c r="D4588" s="709" t="s">
        <v>136</v>
      </c>
      <c r="E4588" s="711">
        <v>0.49</v>
      </c>
    </row>
    <row r="4589" spans="1:5" x14ac:dyDescent="0.3">
      <c r="A4589" s="397"/>
      <c r="B4589" s="709">
        <v>96655</v>
      </c>
      <c r="C4589" s="710" t="s">
        <v>4955</v>
      </c>
      <c r="D4589" s="709" t="s">
        <v>136</v>
      </c>
      <c r="E4589" s="711">
        <v>0.34300000000000003</v>
      </c>
    </row>
    <row r="4590" spans="1:5" x14ac:dyDescent="0.3">
      <c r="A4590" s="397"/>
      <c r="B4590" s="709">
        <v>96691</v>
      </c>
      <c r="C4590" s="710" t="s">
        <v>4956</v>
      </c>
      <c r="D4590" s="709" t="s">
        <v>136</v>
      </c>
      <c r="E4590" s="711">
        <v>0.41749999999999998</v>
      </c>
    </row>
    <row r="4591" spans="1:5" x14ac:dyDescent="0.3">
      <c r="A4591" s="397"/>
      <c r="B4591" s="709">
        <v>96693</v>
      </c>
      <c r="C4591" s="710" t="s">
        <v>4957</v>
      </c>
      <c r="D4591" s="709" t="s">
        <v>136</v>
      </c>
      <c r="E4591" s="711">
        <v>0.34379999999999999</v>
      </c>
    </row>
    <row r="4592" spans="1:5" x14ac:dyDescent="0.3">
      <c r="A4592" s="397"/>
      <c r="B4592" s="709">
        <v>96695</v>
      </c>
      <c r="C4592" s="710" t="s">
        <v>4958</v>
      </c>
      <c r="D4592" s="709" t="s">
        <v>136</v>
      </c>
      <c r="E4592" s="711">
        <v>0.23519999999999999</v>
      </c>
    </row>
    <row r="4593" spans="1:5" x14ac:dyDescent="0.3">
      <c r="A4593" s="397"/>
      <c r="B4593" s="709">
        <v>104193</v>
      </c>
      <c r="C4593" s="710" t="s">
        <v>4959</v>
      </c>
      <c r="D4593" s="709" t="s">
        <v>136</v>
      </c>
      <c r="E4593" s="711">
        <v>0.16839999999999999</v>
      </c>
    </row>
    <row r="4594" spans="1:5" x14ac:dyDescent="0.3">
      <c r="A4594" s="397"/>
      <c r="B4594" s="709">
        <v>96697</v>
      </c>
      <c r="C4594" s="710" t="s">
        <v>4960</v>
      </c>
      <c r="D4594" s="709" t="s">
        <v>136</v>
      </c>
      <c r="E4594" s="711">
        <v>0.1009</v>
      </c>
    </row>
    <row r="4595" spans="1:5" x14ac:dyDescent="0.3">
      <c r="A4595" s="397"/>
      <c r="B4595" s="709">
        <v>104199</v>
      </c>
      <c r="C4595" s="710" t="s">
        <v>4961</v>
      </c>
      <c r="D4595" s="709" t="s">
        <v>136</v>
      </c>
      <c r="E4595" s="711">
        <v>0.75180000000000002</v>
      </c>
    </row>
    <row r="4596" spans="1:5" x14ac:dyDescent="0.3">
      <c r="A4596" s="397"/>
      <c r="B4596" s="709">
        <v>96684</v>
      </c>
      <c r="C4596" s="710" t="s">
        <v>4962</v>
      </c>
      <c r="D4596" s="709" t="s">
        <v>136</v>
      </c>
      <c r="E4596" s="711">
        <v>0.77980000000000005</v>
      </c>
    </row>
    <row r="4597" spans="1:5" x14ac:dyDescent="0.3">
      <c r="A4597" s="397"/>
      <c r="B4597" s="709">
        <v>96650</v>
      </c>
      <c r="C4597" s="710" t="s">
        <v>4963</v>
      </c>
      <c r="D4597" s="709" t="s">
        <v>136</v>
      </c>
      <c r="E4597" s="711">
        <v>0.71950000000000003</v>
      </c>
    </row>
    <row r="4598" spans="1:5" x14ac:dyDescent="0.3">
      <c r="A4598" s="397"/>
      <c r="B4598" s="709">
        <v>96637</v>
      </c>
      <c r="C4598" s="710" t="s">
        <v>4964</v>
      </c>
      <c r="D4598" s="709" t="s">
        <v>136</v>
      </c>
      <c r="E4598" s="711">
        <v>0.83940000000000003</v>
      </c>
    </row>
    <row r="4599" spans="1:5" x14ac:dyDescent="0.3">
      <c r="A4599" s="397"/>
      <c r="B4599" s="709">
        <v>96686</v>
      </c>
      <c r="C4599" s="710" t="s">
        <v>4965</v>
      </c>
      <c r="D4599" s="709" t="s">
        <v>136</v>
      </c>
      <c r="E4599" s="711">
        <v>0.74019999999999997</v>
      </c>
    </row>
    <row r="4600" spans="1:5" x14ac:dyDescent="0.3">
      <c r="A4600" s="397"/>
      <c r="B4600" s="709">
        <v>96652</v>
      </c>
      <c r="C4600" s="710" t="s">
        <v>4966</v>
      </c>
      <c r="D4600" s="709" t="s">
        <v>136</v>
      </c>
      <c r="E4600" s="711">
        <v>0.63990000000000002</v>
      </c>
    </row>
    <row r="4601" spans="1:5" x14ac:dyDescent="0.3">
      <c r="A4601" s="397"/>
      <c r="B4601" s="709">
        <v>96688</v>
      </c>
      <c r="C4601" s="710" t="s">
        <v>4967</v>
      </c>
      <c r="D4601" s="709" t="s">
        <v>136</v>
      </c>
      <c r="E4601" s="711">
        <v>0.60729999999999995</v>
      </c>
    </row>
    <row r="4602" spans="1:5" x14ac:dyDescent="0.3">
      <c r="A4602" s="397"/>
      <c r="B4602" s="709">
        <v>96654</v>
      </c>
      <c r="C4602" s="710" t="s">
        <v>4968</v>
      </c>
      <c r="D4602" s="709" t="s">
        <v>136</v>
      </c>
      <c r="E4602" s="711">
        <v>0.45729999999999998</v>
      </c>
    </row>
    <row r="4603" spans="1:5" x14ac:dyDescent="0.3">
      <c r="A4603" s="397"/>
      <c r="B4603" s="709">
        <v>96690</v>
      </c>
      <c r="C4603" s="710" t="s">
        <v>4969</v>
      </c>
      <c r="D4603" s="709" t="s">
        <v>136</v>
      </c>
      <c r="E4603" s="711">
        <v>0.53180000000000005</v>
      </c>
    </row>
    <row r="4604" spans="1:5" x14ac:dyDescent="0.3">
      <c r="A4604" s="397"/>
      <c r="B4604" s="709">
        <v>96692</v>
      </c>
      <c r="C4604" s="710" t="s">
        <v>4970</v>
      </c>
      <c r="D4604" s="709" t="s">
        <v>136</v>
      </c>
      <c r="E4604" s="711">
        <v>0.46289999999999998</v>
      </c>
    </row>
    <row r="4605" spans="1:5" x14ac:dyDescent="0.3">
      <c r="A4605" s="397"/>
      <c r="B4605" s="709">
        <v>96694</v>
      </c>
      <c r="C4605" s="710" t="s">
        <v>4971</v>
      </c>
      <c r="D4605" s="709" t="s">
        <v>136</v>
      </c>
      <c r="E4605" s="711">
        <v>0.25890000000000002</v>
      </c>
    </row>
    <row r="4606" spans="1:5" x14ac:dyDescent="0.3">
      <c r="A4606" s="397"/>
      <c r="B4606" s="709">
        <v>96696</v>
      </c>
      <c r="C4606" s="710" t="s">
        <v>4972</v>
      </c>
      <c r="D4606" s="709" t="s">
        <v>136</v>
      </c>
      <c r="E4606" s="711">
        <v>0.24560000000000001</v>
      </c>
    </row>
    <row r="4607" spans="1:5" x14ac:dyDescent="0.3">
      <c r="A4607" s="397"/>
      <c r="B4607" s="709">
        <v>96709</v>
      </c>
      <c r="C4607" s="710" t="s">
        <v>4973</v>
      </c>
      <c r="D4607" s="709" t="s">
        <v>136</v>
      </c>
      <c r="E4607" s="711">
        <v>0.20319999999999999</v>
      </c>
    </row>
    <row r="4608" spans="1:5" x14ac:dyDescent="0.3">
      <c r="A4608" s="397"/>
      <c r="B4608" s="709">
        <v>104200</v>
      </c>
      <c r="C4608" s="710" t="s">
        <v>4974</v>
      </c>
      <c r="D4608" s="709" t="s">
        <v>136</v>
      </c>
      <c r="E4608" s="711">
        <v>0.61890000000000001</v>
      </c>
    </row>
    <row r="4609" spans="1:5" x14ac:dyDescent="0.3">
      <c r="A4609" s="397"/>
      <c r="B4609" s="709">
        <v>96698</v>
      </c>
      <c r="C4609" s="710" t="s">
        <v>4975</v>
      </c>
      <c r="D4609" s="709" t="s">
        <v>136</v>
      </c>
      <c r="E4609" s="711">
        <v>0.73499999999999999</v>
      </c>
    </row>
    <row r="4610" spans="1:5" x14ac:dyDescent="0.3">
      <c r="A4610" s="397"/>
      <c r="B4610" s="709">
        <v>96656</v>
      </c>
      <c r="C4610" s="710" t="s">
        <v>4976</v>
      </c>
      <c r="D4610" s="709" t="s">
        <v>136</v>
      </c>
      <c r="E4610" s="711">
        <v>0.66710000000000003</v>
      </c>
    </row>
    <row r="4611" spans="1:5" x14ac:dyDescent="0.3">
      <c r="A4611" s="397"/>
      <c r="B4611" s="709">
        <v>96639</v>
      </c>
      <c r="C4611" s="710" t="s">
        <v>4977</v>
      </c>
      <c r="D4611" s="709" t="s">
        <v>136</v>
      </c>
      <c r="E4611" s="711">
        <v>0.80469999999999997</v>
      </c>
    </row>
    <row r="4612" spans="1:5" x14ac:dyDescent="0.3">
      <c r="A4612" s="397"/>
      <c r="B4612" s="709">
        <v>96701</v>
      </c>
      <c r="C4612" s="710" t="s">
        <v>4978</v>
      </c>
      <c r="D4612" s="709" t="s">
        <v>136</v>
      </c>
      <c r="E4612" s="711">
        <v>0.65580000000000005</v>
      </c>
    </row>
    <row r="4613" spans="1:5" x14ac:dyDescent="0.3">
      <c r="A4613" s="397"/>
      <c r="B4613" s="709">
        <v>96659</v>
      </c>
      <c r="C4613" s="710" t="s">
        <v>4979</v>
      </c>
      <c r="D4613" s="709" t="s">
        <v>136</v>
      </c>
      <c r="E4613" s="711">
        <v>0.54239999999999999</v>
      </c>
    </row>
    <row r="4614" spans="1:5" x14ac:dyDescent="0.3">
      <c r="A4614" s="397"/>
      <c r="B4614" s="709">
        <v>96703</v>
      </c>
      <c r="C4614" s="710" t="s">
        <v>4980</v>
      </c>
      <c r="D4614" s="709" t="s">
        <v>136</v>
      </c>
      <c r="E4614" s="711">
        <v>0.4491</v>
      </c>
    </row>
    <row r="4615" spans="1:5" x14ac:dyDescent="0.3">
      <c r="A4615" s="397"/>
      <c r="B4615" s="709">
        <v>96663</v>
      </c>
      <c r="C4615" s="710" t="s">
        <v>4981</v>
      </c>
      <c r="D4615" s="709" t="s">
        <v>136</v>
      </c>
      <c r="E4615" s="711">
        <v>0.30659999999999998</v>
      </c>
    </row>
    <row r="4616" spans="1:5" x14ac:dyDescent="0.3">
      <c r="A4616" s="397"/>
      <c r="B4616" s="709">
        <v>96705</v>
      </c>
      <c r="C4616" s="710" t="s">
        <v>4982</v>
      </c>
      <c r="D4616" s="709" t="s">
        <v>136</v>
      </c>
      <c r="E4616" s="711">
        <v>0.44890000000000002</v>
      </c>
    </row>
    <row r="4617" spans="1:5" x14ac:dyDescent="0.3">
      <c r="A4617" s="397"/>
      <c r="B4617" s="709">
        <v>96706</v>
      </c>
      <c r="C4617" s="710" t="s">
        <v>4983</v>
      </c>
      <c r="D4617" s="709" t="s">
        <v>136</v>
      </c>
      <c r="E4617" s="711">
        <v>0.37409999999999999</v>
      </c>
    </row>
    <row r="4618" spans="1:5" x14ac:dyDescent="0.3">
      <c r="A4618" s="397"/>
      <c r="B4618" s="709">
        <v>96707</v>
      </c>
      <c r="C4618" s="710" t="s">
        <v>4984</v>
      </c>
      <c r="D4618" s="709" t="s">
        <v>136</v>
      </c>
      <c r="E4618" s="711">
        <v>0.2742</v>
      </c>
    </row>
    <row r="4619" spans="1:5" x14ac:dyDescent="0.3">
      <c r="A4619" s="397"/>
      <c r="B4619" s="709">
        <v>96708</v>
      </c>
      <c r="C4619" s="710" t="s">
        <v>4985</v>
      </c>
      <c r="D4619" s="709" t="s">
        <v>136</v>
      </c>
      <c r="E4619" s="711">
        <v>0.21479999999999999</v>
      </c>
    </row>
    <row r="4620" spans="1:5" x14ac:dyDescent="0.3">
      <c r="A4620" s="397"/>
      <c r="B4620" s="709">
        <v>96675</v>
      </c>
      <c r="C4620" s="710" t="s">
        <v>4986</v>
      </c>
      <c r="D4620" s="709" t="s">
        <v>159</v>
      </c>
      <c r="E4620" s="711">
        <v>0.1208</v>
      </c>
    </row>
    <row r="4621" spans="1:5" x14ac:dyDescent="0.3">
      <c r="A4621" s="397"/>
      <c r="B4621" s="709">
        <v>96683</v>
      </c>
      <c r="C4621" s="710" t="s">
        <v>4987</v>
      </c>
      <c r="D4621" s="709" t="s">
        <v>159</v>
      </c>
      <c r="E4621" s="711">
        <v>8.4900000000000003E-2</v>
      </c>
    </row>
    <row r="4622" spans="1:5" x14ac:dyDescent="0.3">
      <c r="A4622" s="397"/>
      <c r="B4622" s="709">
        <v>104194</v>
      </c>
      <c r="C4622" s="710" t="s">
        <v>4988</v>
      </c>
      <c r="D4622" s="709" t="s">
        <v>159</v>
      </c>
      <c r="E4622" s="711">
        <v>0.53659999999999997</v>
      </c>
    </row>
    <row r="4623" spans="1:5" x14ac:dyDescent="0.3">
      <c r="A4623" s="397"/>
      <c r="B4623" s="709">
        <v>104195</v>
      </c>
      <c r="C4623" s="710" t="s">
        <v>4989</v>
      </c>
      <c r="D4623" s="709" t="s">
        <v>159</v>
      </c>
      <c r="E4623" s="711">
        <v>0.52049999999999996</v>
      </c>
    </row>
    <row r="4624" spans="1:5" x14ac:dyDescent="0.3">
      <c r="A4624" s="397"/>
      <c r="B4624" s="709">
        <v>96668</v>
      </c>
      <c r="C4624" s="710" t="s">
        <v>4990</v>
      </c>
      <c r="D4624" s="709" t="s">
        <v>159</v>
      </c>
      <c r="E4624" s="711">
        <v>0.21820000000000001</v>
      </c>
    </row>
    <row r="4625" spans="1:5" x14ac:dyDescent="0.3">
      <c r="A4625" s="397"/>
      <c r="B4625" s="709">
        <v>96644</v>
      </c>
      <c r="C4625" s="710" t="s">
        <v>4991</v>
      </c>
      <c r="D4625" s="709" t="s">
        <v>159</v>
      </c>
      <c r="E4625" s="711">
        <v>0.39360000000000001</v>
      </c>
    </row>
    <row r="4626" spans="1:5" x14ac:dyDescent="0.3">
      <c r="A4626" s="397"/>
      <c r="B4626" s="709">
        <v>96635</v>
      </c>
      <c r="C4626" s="710" t="s">
        <v>4992</v>
      </c>
      <c r="D4626" s="709" t="s">
        <v>159</v>
      </c>
      <c r="E4626" s="711">
        <v>0.66849999999999998</v>
      </c>
    </row>
    <row r="4627" spans="1:5" x14ac:dyDescent="0.3">
      <c r="A4627" s="397"/>
      <c r="B4627" s="709">
        <v>96636</v>
      </c>
      <c r="C4627" s="710" t="s">
        <v>4993</v>
      </c>
      <c r="D4627" s="709" t="s">
        <v>159</v>
      </c>
      <c r="E4627" s="711">
        <v>0.64980000000000004</v>
      </c>
    </row>
    <row r="4628" spans="1:5" x14ac:dyDescent="0.3">
      <c r="A4628" s="397"/>
      <c r="B4628" s="709">
        <v>96676</v>
      </c>
      <c r="C4628" s="710" t="s">
        <v>4994</v>
      </c>
      <c r="D4628" s="709" t="s">
        <v>159</v>
      </c>
      <c r="E4628" s="711">
        <v>0.30809999999999998</v>
      </c>
    </row>
    <row r="4629" spans="1:5" x14ac:dyDescent="0.3">
      <c r="A4629" s="397"/>
      <c r="B4629" s="709">
        <v>96647</v>
      </c>
      <c r="C4629" s="710" t="s">
        <v>4995</v>
      </c>
      <c r="D4629" s="709" t="s">
        <v>159</v>
      </c>
      <c r="E4629" s="711">
        <v>0.37380000000000002</v>
      </c>
    </row>
    <row r="4630" spans="1:5" x14ac:dyDescent="0.3">
      <c r="A4630" s="397"/>
      <c r="B4630" s="709">
        <v>96669</v>
      </c>
      <c r="C4630" s="710" t="s">
        <v>4996</v>
      </c>
      <c r="D4630" s="709" t="s">
        <v>159</v>
      </c>
      <c r="E4630" s="711">
        <v>0.35160000000000002</v>
      </c>
    </row>
    <row r="4631" spans="1:5" x14ac:dyDescent="0.3">
      <c r="A4631" s="397"/>
      <c r="B4631" s="709">
        <v>96645</v>
      </c>
      <c r="C4631" s="710" t="s">
        <v>4997</v>
      </c>
      <c r="D4631" s="709" t="s">
        <v>159</v>
      </c>
      <c r="E4631" s="711">
        <v>0.43890000000000001</v>
      </c>
    </row>
    <row r="4632" spans="1:5" x14ac:dyDescent="0.3">
      <c r="A4632" s="397"/>
      <c r="B4632" s="709">
        <v>96677</v>
      </c>
      <c r="C4632" s="710" t="s">
        <v>4998</v>
      </c>
      <c r="D4632" s="709" t="s">
        <v>159</v>
      </c>
      <c r="E4632" s="711">
        <v>0.28860000000000002</v>
      </c>
    </row>
    <row r="4633" spans="1:5" x14ac:dyDescent="0.3">
      <c r="A4633" s="397"/>
      <c r="B4633" s="709">
        <v>96648</v>
      </c>
      <c r="C4633" s="710" t="s">
        <v>4999</v>
      </c>
      <c r="D4633" s="709" t="s">
        <v>159</v>
      </c>
      <c r="E4633" s="711">
        <v>0.31940000000000002</v>
      </c>
    </row>
    <row r="4634" spans="1:5" x14ac:dyDescent="0.3">
      <c r="A4634" s="397"/>
      <c r="B4634" s="709">
        <v>96670</v>
      </c>
      <c r="C4634" s="710" t="s">
        <v>5000</v>
      </c>
      <c r="D4634" s="709" t="s">
        <v>159</v>
      </c>
      <c r="E4634" s="711">
        <v>0.32690000000000002</v>
      </c>
    </row>
    <row r="4635" spans="1:5" x14ac:dyDescent="0.3">
      <c r="A4635" s="397"/>
      <c r="B4635" s="709">
        <v>96646</v>
      </c>
      <c r="C4635" s="710" t="s">
        <v>5001</v>
      </c>
      <c r="D4635" s="709" t="s">
        <v>159</v>
      </c>
      <c r="E4635" s="711">
        <v>0.38019999999999998</v>
      </c>
    </row>
    <row r="4636" spans="1:5" x14ac:dyDescent="0.3">
      <c r="A4636" s="397"/>
      <c r="B4636" s="709">
        <v>96678</v>
      </c>
      <c r="C4636" s="710" t="s">
        <v>5002</v>
      </c>
      <c r="D4636" s="709" t="s">
        <v>159</v>
      </c>
      <c r="E4636" s="711">
        <v>0.2535</v>
      </c>
    </row>
    <row r="4637" spans="1:5" x14ac:dyDescent="0.3">
      <c r="A4637" s="397"/>
      <c r="B4637" s="709">
        <v>96649</v>
      </c>
      <c r="C4637" s="710" t="s">
        <v>5003</v>
      </c>
      <c r="D4637" s="709" t="s">
        <v>159</v>
      </c>
      <c r="E4637" s="711">
        <v>0.25600000000000001</v>
      </c>
    </row>
    <row r="4638" spans="1:5" x14ac:dyDescent="0.3">
      <c r="A4638" s="397"/>
      <c r="B4638" s="709">
        <v>96671</v>
      </c>
      <c r="C4638" s="710" t="s">
        <v>5004</v>
      </c>
      <c r="D4638" s="709" t="s">
        <v>159</v>
      </c>
      <c r="E4638" s="711">
        <v>0.2631</v>
      </c>
    </row>
    <row r="4639" spans="1:5" x14ac:dyDescent="0.3">
      <c r="A4639" s="397"/>
      <c r="B4639" s="709">
        <v>96679</v>
      </c>
      <c r="C4639" s="710" t="s">
        <v>5005</v>
      </c>
      <c r="D4639" s="709" t="s">
        <v>159</v>
      </c>
      <c r="E4639" s="711">
        <v>0.2069</v>
      </c>
    </row>
    <row r="4640" spans="1:5" x14ac:dyDescent="0.3">
      <c r="A4640" s="397"/>
      <c r="B4640" s="709">
        <v>96672</v>
      </c>
      <c r="C4640" s="710" t="s">
        <v>5006</v>
      </c>
      <c r="D4640" s="709" t="s">
        <v>159</v>
      </c>
      <c r="E4640" s="711">
        <v>0.2127</v>
      </c>
    </row>
    <row r="4641" spans="1:5" x14ac:dyDescent="0.3">
      <c r="A4641" s="397"/>
      <c r="B4641" s="709">
        <v>96680</v>
      </c>
      <c r="C4641" s="710" t="s">
        <v>5007</v>
      </c>
      <c r="D4641" s="709" t="s">
        <v>159</v>
      </c>
      <c r="E4641" s="711">
        <v>0.15409999999999999</v>
      </c>
    </row>
    <row r="4642" spans="1:5" x14ac:dyDescent="0.3">
      <c r="A4642" s="397"/>
      <c r="B4642" s="709">
        <v>96673</v>
      </c>
      <c r="C4642" s="710" t="s">
        <v>5008</v>
      </c>
      <c r="D4642" s="709" t="s">
        <v>159</v>
      </c>
      <c r="E4642" s="711">
        <v>0.19789999999999999</v>
      </c>
    </row>
    <row r="4643" spans="1:5" x14ac:dyDescent="0.3">
      <c r="A4643" s="397"/>
      <c r="B4643" s="709">
        <v>96681</v>
      </c>
      <c r="C4643" s="710" t="s">
        <v>5009</v>
      </c>
      <c r="D4643" s="709" t="s">
        <v>159</v>
      </c>
      <c r="E4643" s="711">
        <v>0.13439999999999999</v>
      </c>
    </row>
    <row r="4644" spans="1:5" x14ac:dyDescent="0.3">
      <c r="A4644" s="397"/>
      <c r="B4644" s="709">
        <v>96674</v>
      </c>
      <c r="C4644" s="710" t="s">
        <v>5010</v>
      </c>
      <c r="D4644" s="709" t="s">
        <v>159</v>
      </c>
      <c r="E4644" s="711">
        <v>0.14530000000000001</v>
      </c>
    </row>
    <row r="4645" spans="1:5" x14ac:dyDescent="0.3">
      <c r="A4645" s="397"/>
      <c r="B4645" s="709">
        <v>96682</v>
      </c>
      <c r="C4645" s="710" t="s">
        <v>5011</v>
      </c>
      <c r="D4645" s="709" t="s">
        <v>159</v>
      </c>
      <c r="E4645" s="711">
        <v>9.6600000000000005E-2</v>
      </c>
    </row>
    <row r="4646" spans="1:5" x14ac:dyDescent="0.3">
      <c r="A4646" s="397"/>
      <c r="B4646" s="709">
        <v>96643</v>
      </c>
      <c r="C4646" s="710" t="s">
        <v>5012</v>
      </c>
      <c r="D4646" s="709" t="s">
        <v>136</v>
      </c>
      <c r="E4646" s="711">
        <v>0.2893</v>
      </c>
    </row>
    <row r="4647" spans="1:5" x14ac:dyDescent="0.3">
      <c r="A4647" s="397"/>
      <c r="B4647" s="709">
        <v>104201</v>
      </c>
      <c r="C4647" s="710" t="s">
        <v>5013</v>
      </c>
      <c r="D4647" s="709" t="s">
        <v>136</v>
      </c>
      <c r="E4647" s="711">
        <v>0.39090000000000003</v>
      </c>
    </row>
    <row r="4648" spans="1:5" x14ac:dyDescent="0.3">
      <c r="A4648" s="397"/>
      <c r="B4648" s="709">
        <v>104192</v>
      </c>
      <c r="C4648" s="710" t="s">
        <v>5014</v>
      </c>
      <c r="D4648" s="709" t="s">
        <v>136</v>
      </c>
      <c r="E4648" s="711">
        <v>0.44700000000000001</v>
      </c>
    </row>
    <row r="4649" spans="1:5" x14ac:dyDescent="0.3">
      <c r="A4649" s="397"/>
      <c r="B4649" s="709">
        <v>104202</v>
      </c>
      <c r="C4649" s="710" t="s">
        <v>5015</v>
      </c>
      <c r="D4649" s="709" t="s">
        <v>136</v>
      </c>
      <c r="E4649" s="711">
        <v>0.68020000000000003</v>
      </c>
    </row>
    <row r="4650" spans="1:5" x14ac:dyDescent="0.3">
      <c r="A4650" s="397"/>
      <c r="B4650" s="709">
        <v>96717</v>
      </c>
      <c r="C4650" s="710" t="s">
        <v>5016</v>
      </c>
      <c r="D4650" s="709" t="s">
        <v>136</v>
      </c>
      <c r="E4650" s="711">
        <v>0.14749999999999999</v>
      </c>
    </row>
    <row r="4651" spans="1:5" x14ac:dyDescent="0.3">
      <c r="A4651" s="397"/>
      <c r="B4651" s="709">
        <v>96710</v>
      </c>
      <c r="C4651" s="710" t="s">
        <v>5017</v>
      </c>
      <c r="D4651" s="709" t="s">
        <v>136</v>
      </c>
      <c r="E4651" s="711">
        <v>0.79349999999999998</v>
      </c>
    </row>
    <row r="4652" spans="1:5" x14ac:dyDescent="0.3">
      <c r="A4652" s="397"/>
      <c r="B4652" s="709">
        <v>96665</v>
      </c>
      <c r="C4652" s="710" t="s">
        <v>5018</v>
      </c>
      <c r="D4652" s="709" t="s">
        <v>136</v>
      </c>
      <c r="E4652" s="711">
        <v>0.73529999999999995</v>
      </c>
    </row>
    <row r="4653" spans="1:5" x14ac:dyDescent="0.3">
      <c r="A4653" s="397"/>
      <c r="B4653" s="709">
        <v>96642</v>
      </c>
      <c r="C4653" s="710" t="s">
        <v>5019</v>
      </c>
      <c r="D4653" s="709" t="s">
        <v>136</v>
      </c>
      <c r="E4653" s="711">
        <v>0.85</v>
      </c>
    </row>
    <row r="4654" spans="1:5" x14ac:dyDescent="0.3">
      <c r="A4654" s="397"/>
      <c r="B4654" s="709">
        <v>96711</v>
      </c>
      <c r="C4654" s="710" t="s">
        <v>5020</v>
      </c>
      <c r="D4654" s="709" t="s">
        <v>136</v>
      </c>
      <c r="E4654" s="711">
        <v>0.65720000000000001</v>
      </c>
    </row>
    <row r="4655" spans="1:5" x14ac:dyDescent="0.3">
      <c r="A4655" s="397"/>
      <c r="B4655" s="709">
        <v>96666</v>
      </c>
      <c r="C4655" s="710" t="s">
        <v>5021</v>
      </c>
      <c r="D4655" s="709" t="s">
        <v>136</v>
      </c>
      <c r="E4655" s="711">
        <v>0.54379999999999995</v>
      </c>
    </row>
    <row r="4656" spans="1:5" x14ac:dyDescent="0.3">
      <c r="A4656" s="397"/>
      <c r="B4656" s="709">
        <v>96712</v>
      </c>
      <c r="C4656" s="710" t="s">
        <v>5022</v>
      </c>
      <c r="D4656" s="709" t="s">
        <v>136</v>
      </c>
      <c r="E4656" s="711">
        <v>0.5605</v>
      </c>
    </row>
    <row r="4657" spans="1:5" x14ac:dyDescent="0.3">
      <c r="A4657" s="397"/>
      <c r="B4657" s="709">
        <v>96667</v>
      </c>
      <c r="C4657" s="710" t="s">
        <v>5023</v>
      </c>
      <c r="D4657" s="709" t="s">
        <v>136</v>
      </c>
      <c r="E4657" s="711">
        <v>0.41</v>
      </c>
    </row>
    <row r="4658" spans="1:5" x14ac:dyDescent="0.3">
      <c r="A4658" s="397"/>
      <c r="B4658" s="709">
        <v>96713</v>
      </c>
      <c r="C4658" s="710" t="s">
        <v>5024</v>
      </c>
      <c r="D4658" s="709" t="s">
        <v>136</v>
      </c>
      <c r="E4658" s="711">
        <v>0.44650000000000001</v>
      </c>
    </row>
    <row r="4659" spans="1:5" x14ac:dyDescent="0.3">
      <c r="A4659" s="397"/>
      <c r="B4659" s="709">
        <v>96714</v>
      </c>
      <c r="C4659" s="710" t="s">
        <v>5025</v>
      </c>
      <c r="D4659" s="709" t="s">
        <v>136</v>
      </c>
      <c r="E4659" s="711">
        <v>0.3871</v>
      </c>
    </row>
    <row r="4660" spans="1:5" x14ac:dyDescent="0.3">
      <c r="A4660" s="397"/>
      <c r="B4660" s="709">
        <v>96715</v>
      </c>
      <c r="C4660" s="710" t="s">
        <v>5026</v>
      </c>
      <c r="D4660" s="709" t="s">
        <v>136</v>
      </c>
      <c r="E4660" s="711">
        <v>0.25679999999999997</v>
      </c>
    </row>
    <row r="4661" spans="1:5" x14ac:dyDescent="0.3">
      <c r="A4661" s="397"/>
      <c r="B4661" s="709">
        <v>96716</v>
      </c>
      <c r="C4661" s="710" t="s">
        <v>5027</v>
      </c>
      <c r="D4661" s="709" t="s">
        <v>136</v>
      </c>
      <c r="E4661" s="711">
        <v>0.23350000000000001</v>
      </c>
    </row>
    <row r="4662" spans="1:5" x14ac:dyDescent="0.3">
      <c r="A4662" s="397"/>
      <c r="B4662" s="709">
        <v>104328</v>
      </c>
      <c r="C4662" s="710" t="s">
        <v>5028</v>
      </c>
      <c r="D4662" s="709" t="s">
        <v>136</v>
      </c>
      <c r="E4662" s="711">
        <v>0.25290000000000001</v>
      </c>
    </row>
    <row r="4663" spans="1:5" x14ac:dyDescent="0.3">
      <c r="A4663" s="397"/>
      <c r="B4663" s="709">
        <v>104329</v>
      </c>
      <c r="C4663" s="710" t="s">
        <v>5029</v>
      </c>
      <c r="D4663" s="709" t="s">
        <v>136</v>
      </c>
      <c r="E4663" s="711">
        <v>0.22209999999999999</v>
      </c>
    </row>
    <row r="4664" spans="1:5" x14ac:dyDescent="0.3">
      <c r="A4664" s="397"/>
      <c r="B4664" s="709">
        <v>89707</v>
      </c>
      <c r="C4664" s="710" t="s">
        <v>5030</v>
      </c>
      <c r="D4664" s="709" t="s">
        <v>136</v>
      </c>
      <c r="E4664" s="711">
        <v>0.35499999999999998</v>
      </c>
    </row>
    <row r="4665" spans="1:5" x14ac:dyDescent="0.3">
      <c r="A4665" s="397"/>
      <c r="B4665" s="709">
        <v>89708</v>
      </c>
      <c r="C4665" s="710" t="s">
        <v>5031</v>
      </c>
      <c r="D4665" s="709" t="s">
        <v>136</v>
      </c>
      <c r="E4665" s="711">
        <v>0.19189999999999999</v>
      </c>
    </row>
    <row r="4666" spans="1:5" x14ac:dyDescent="0.3">
      <c r="A4666" s="397"/>
      <c r="B4666" s="709">
        <v>104326</v>
      </c>
      <c r="C4666" s="710" t="s">
        <v>5033</v>
      </c>
      <c r="D4666" s="709" t="s">
        <v>136</v>
      </c>
      <c r="E4666" s="711">
        <v>0.3553</v>
      </c>
    </row>
    <row r="4667" spans="1:5" x14ac:dyDescent="0.3">
      <c r="A4667" s="397"/>
      <c r="B4667" s="709">
        <v>89710</v>
      </c>
      <c r="C4667" s="710" t="s">
        <v>5034</v>
      </c>
      <c r="D4667" s="709" t="s">
        <v>136</v>
      </c>
      <c r="E4667" s="711">
        <v>0.38890000000000002</v>
      </c>
    </row>
    <row r="4668" spans="1:5" x14ac:dyDescent="0.3">
      <c r="A4668" s="397"/>
      <c r="B4668" s="709">
        <v>104327</v>
      </c>
      <c r="C4668" s="710" t="s">
        <v>5035</v>
      </c>
      <c r="D4668" s="709" t="s">
        <v>136</v>
      </c>
      <c r="E4668" s="711">
        <v>0.3745</v>
      </c>
    </row>
    <row r="4669" spans="1:5" x14ac:dyDescent="0.3">
      <c r="A4669" s="397"/>
      <c r="B4669" s="709">
        <v>89709</v>
      </c>
      <c r="C4669" s="710" t="s">
        <v>5036</v>
      </c>
      <c r="D4669" s="709" t="s">
        <v>136</v>
      </c>
      <c r="E4669" s="711">
        <v>0.33739999999999998</v>
      </c>
    </row>
    <row r="4670" spans="1:5" x14ac:dyDescent="0.3">
      <c r="A4670" s="397"/>
      <c r="B4670" s="709">
        <v>104341</v>
      </c>
      <c r="C4670" s="710" t="s">
        <v>5037</v>
      </c>
      <c r="D4670" s="709" t="s">
        <v>136</v>
      </c>
      <c r="E4670" s="711">
        <v>0.3967</v>
      </c>
    </row>
    <row r="4671" spans="1:5" x14ac:dyDescent="0.3">
      <c r="A4671" s="397"/>
      <c r="B4671" s="709">
        <v>104357</v>
      </c>
      <c r="C4671" s="710" t="s">
        <v>5038</v>
      </c>
      <c r="D4671" s="709" t="s">
        <v>136</v>
      </c>
      <c r="E4671" s="711">
        <v>0.2319</v>
      </c>
    </row>
    <row r="4672" spans="1:5" x14ac:dyDescent="0.3">
      <c r="A4672" s="397"/>
      <c r="B4672" s="709">
        <v>89811</v>
      </c>
      <c r="C4672" s="710" t="s">
        <v>5039</v>
      </c>
      <c r="D4672" s="709" t="s">
        <v>136</v>
      </c>
      <c r="E4672" s="711">
        <v>0.23569999999999999</v>
      </c>
    </row>
    <row r="4673" spans="1:5" x14ac:dyDescent="0.3">
      <c r="A4673" s="397"/>
      <c r="B4673" s="709">
        <v>89748</v>
      </c>
      <c r="C4673" s="710" t="s">
        <v>5040</v>
      </c>
      <c r="D4673" s="709" t="s">
        <v>136</v>
      </c>
      <c r="E4673" s="711">
        <v>0.2147</v>
      </c>
    </row>
    <row r="4674" spans="1:5" x14ac:dyDescent="0.3">
      <c r="A4674" s="397"/>
      <c r="B4674" s="709">
        <v>89852</v>
      </c>
      <c r="C4674" s="710" t="s">
        <v>5041</v>
      </c>
      <c r="D4674" s="709" t="s">
        <v>136</v>
      </c>
      <c r="E4674" s="711">
        <v>0.28260000000000002</v>
      </c>
    </row>
    <row r="4675" spans="1:5" x14ac:dyDescent="0.3">
      <c r="A4675" s="397"/>
      <c r="B4675" s="709">
        <v>89728</v>
      </c>
      <c r="C4675" s="710" t="s">
        <v>5042</v>
      </c>
      <c r="D4675" s="709" t="s">
        <v>136</v>
      </c>
      <c r="E4675" s="711">
        <v>0.44829999999999998</v>
      </c>
    </row>
    <row r="4676" spans="1:5" x14ac:dyDescent="0.3">
      <c r="A4676" s="397"/>
      <c r="B4676" s="709">
        <v>89803</v>
      </c>
      <c r="C4676" s="710" t="s">
        <v>5043</v>
      </c>
      <c r="D4676" s="709" t="s">
        <v>136</v>
      </c>
      <c r="E4676" s="711">
        <v>8.8800000000000004E-2</v>
      </c>
    </row>
    <row r="4677" spans="1:5" x14ac:dyDescent="0.3">
      <c r="A4677" s="397"/>
      <c r="B4677" s="709">
        <v>89733</v>
      </c>
      <c r="C4677" s="710" t="s">
        <v>5044</v>
      </c>
      <c r="D4677" s="709" t="s">
        <v>136</v>
      </c>
      <c r="E4677" s="711">
        <v>0.28260000000000002</v>
      </c>
    </row>
    <row r="4678" spans="1:5" x14ac:dyDescent="0.3">
      <c r="A4678" s="397"/>
      <c r="B4678" s="709">
        <v>89807</v>
      </c>
      <c r="C4678" s="710" t="s">
        <v>5045</v>
      </c>
      <c r="D4678" s="709" t="s">
        <v>136</v>
      </c>
      <c r="E4678" s="711">
        <v>0.15640000000000001</v>
      </c>
    </row>
    <row r="4679" spans="1:5" x14ac:dyDescent="0.3">
      <c r="A4679" s="397"/>
      <c r="B4679" s="709">
        <v>89742</v>
      </c>
      <c r="C4679" s="710" t="s">
        <v>5046</v>
      </c>
      <c r="D4679" s="709" t="s">
        <v>136</v>
      </c>
      <c r="E4679" s="711">
        <v>0.19589999999999999</v>
      </c>
    </row>
    <row r="4680" spans="1:5" x14ac:dyDescent="0.3">
      <c r="A4680" s="397"/>
      <c r="B4680" s="709">
        <v>89812</v>
      </c>
      <c r="C4680" s="710" t="s">
        <v>5047</v>
      </c>
      <c r="D4680" s="709" t="s">
        <v>136</v>
      </c>
      <c r="E4680" s="711">
        <v>0.126</v>
      </c>
    </row>
    <row r="4681" spans="1:5" x14ac:dyDescent="0.3">
      <c r="A4681" s="397"/>
      <c r="B4681" s="709">
        <v>89750</v>
      </c>
      <c r="C4681" s="710" t="s">
        <v>5048</v>
      </c>
      <c r="D4681" s="709" t="s">
        <v>136</v>
      </c>
      <c r="E4681" s="711">
        <v>0.1133</v>
      </c>
    </row>
    <row r="4682" spans="1:5" x14ac:dyDescent="0.3">
      <c r="A4682" s="397"/>
      <c r="B4682" s="709">
        <v>89853</v>
      </c>
      <c r="C4682" s="710" t="s">
        <v>5049</v>
      </c>
      <c r="D4682" s="709" t="s">
        <v>136</v>
      </c>
      <c r="E4682" s="711">
        <v>0.15559999999999999</v>
      </c>
    </row>
    <row r="4683" spans="1:5" x14ac:dyDescent="0.3">
      <c r="A4683" s="397"/>
      <c r="B4683" s="709">
        <v>89730</v>
      </c>
      <c r="C4683" s="710" t="s">
        <v>5050</v>
      </c>
      <c r="D4683" s="709" t="s">
        <v>136</v>
      </c>
      <c r="E4683" s="711">
        <v>0.3886</v>
      </c>
    </row>
    <row r="4684" spans="1:5" x14ac:dyDescent="0.3">
      <c r="A4684" s="397"/>
      <c r="B4684" s="709">
        <v>89804</v>
      </c>
      <c r="C4684" s="710" t="s">
        <v>5051</v>
      </c>
      <c r="D4684" s="709" t="s">
        <v>136</v>
      </c>
      <c r="E4684" s="711">
        <v>7.8600000000000003E-2</v>
      </c>
    </row>
    <row r="4685" spans="1:5" x14ac:dyDescent="0.3">
      <c r="A4685" s="397"/>
      <c r="B4685" s="709">
        <v>89735</v>
      </c>
      <c r="C4685" s="710" t="s">
        <v>5052</v>
      </c>
      <c r="D4685" s="709" t="s">
        <v>136</v>
      </c>
      <c r="E4685" s="711">
        <v>0.25629999999999997</v>
      </c>
    </row>
    <row r="4686" spans="1:5" x14ac:dyDescent="0.3">
      <c r="A4686" s="397"/>
      <c r="B4686" s="709">
        <v>89808</v>
      </c>
      <c r="C4686" s="710" t="s">
        <v>5053</v>
      </c>
      <c r="D4686" s="709" t="s">
        <v>136</v>
      </c>
      <c r="E4686" s="711">
        <v>9.8599999999999993E-2</v>
      </c>
    </row>
    <row r="4687" spans="1:5" x14ac:dyDescent="0.3">
      <c r="A4687" s="397"/>
      <c r="B4687" s="709">
        <v>89743</v>
      </c>
      <c r="C4687" s="710" t="s">
        <v>5054</v>
      </c>
      <c r="D4687" s="709" t="s">
        <v>136</v>
      </c>
      <c r="E4687" s="711">
        <v>0.12570000000000001</v>
      </c>
    </row>
    <row r="4688" spans="1:5" x14ac:dyDescent="0.3">
      <c r="A4688" s="397"/>
      <c r="B4688" s="709">
        <v>89810</v>
      </c>
      <c r="C4688" s="710" t="s">
        <v>5055</v>
      </c>
      <c r="D4688" s="709" t="s">
        <v>136</v>
      </c>
      <c r="E4688" s="711">
        <v>0.36420000000000002</v>
      </c>
    </row>
    <row r="4689" spans="1:5" x14ac:dyDescent="0.3">
      <c r="A4689" s="397"/>
      <c r="B4689" s="709">
        <v>89746</v>
      </c>
      <c r="C4689" s="710" t="s">
        <v>5056</v>
      </c>
      <c r="D4689" s="709" t="s">
        <v>136</v>
      </c>
      <c r="E4689" s="711">
        <v>0.3367</v>
      </c>
    </row>
    <row r="4690" spans="1:5" x14ac:dyDescent="0.3">
      <c r="A4690" s="397"/>
      <c r="B4690" s="709">
        <v>89851</v>
      </c>
      <c r="C4690" s="710" t="s">
        <v>5057</v>
      </c>
      <c r="D4690" s="709" t="s">
        <v>136</v>
      </c>
      <c r="E4690" s="711">
        <v>0.42249999999999999</v>
      </c>
    </row>
    <row r="4691" spans="1:5" x14ac:dyDescent="0.3">
      <c r="A4691" s="397"/>
      <c r="B4691" s="709">
        <v>89855</v>
      </c>
      <c r="C4691" s="710" t="s">
        <v>5058</v>
      </c>
      <c r="D4691" s="709" t="s">
        <v>136</v>
      </c>
      <c r="E4691" s="711">
        <v>0.15590000000000001</v>
      </c>
    </row>
    <row r="4692" spans="1:5" x14ac:dyDescent="0.3">
      <c r="A4692" s="397"/>
      <c r="B4692" s="709">
        <v>89726</v>
      </c>
      <c r="C4692" s="710" t="s">
        <v>5059</v>
      </c>
      <c r="D4692" s="709" t="s">
        <v>136</v>
      </c>
      <c r="E4692" s="711">
        <v>0.57310000000000005</v>
      </c>
    </row>
    <row r="4693" spans="1:5" x14ac:dyDescent="0.3">
      <c r="A4693" s="397"/>
      <c r="B4693" s="709">
        <v>89802</v>
      </c>
      <c r="C4693" s="710" t="s">
        <v>5060</v>
      </c>
      <c r="D4693" s="709" t="s">
        <v>136</v>
      </c>
      <c r="E4693" s="711">
        <v>0.1646</v>
      </c>
    </row>
    <row r="4694" spans="1:5" x14ac:dyDescent="0.3">
      <c r="A4694" s="397"/>
      <c r="B4694" s="709">
        <v>89732</v>
      </c>
      <c r="C4694" s="710" t="s">
        <v>5061</v>
      </c>
      <c r="D4694" s="709" t="s">
        <v>136</v>
      </c>
      <c r="E4694" s="711">
        <v>0.44319999999999998</v>
      </c>
    </row>
    <row r="4695" spans="1:5" x14ac:dyDescent="0.3">
      <c r="A4695" s="397"/>
      <c r="B4695" s="709">
        <v>89806</v>
      </c>
      <c r="C4695" s="710" t="s">
        <v>5062</v>
      </c>
      <c r="D4695" s="709" t="s">
        <v>136</v>
      </c>
      <c r="E4695" s="711">
        <v>0.28870000000000001</v>
      </c>
    </row>
    <row r="4696" spans="1:5" x14ac:dyDescent="0.3">
      <c r="A4696" s="397"/>
      <c r="B4696" s="709">
        <v>89739</v>
      </c>
      <c r="C4696" s="710" t="s">
        <v>5063</v>
      </c>
      <c r="D4696" s="709" t="s">
        <v>136</v>
      </c>
      <c r="E4696" s="711">
        <v>0.34789999999999999</v>
      </c>
    </row>
    <row r="4697" spans="1:5" x14ac:dyDescent="0.3">
      <c r="A4697" s="397"/>
      <c r="B4697" s="709">
        <v>89809</v>
      </c>
      <c r="C4697" s="710" t="s">
        <v>5064</v>
      </c>
      <c r="D4697" s="709" t="s">
        <v>136</v>
      </c>
      <c r="E4697" s="711">
        <v>0.37619999999999998</v>
      </c>
    </row>
    <row r="4698" spans="1:5" x14ac:dyDescent="0.3">
      <c r="A4698" s="397"/>
      <c r="B4698" s="709">
        <v>89744</v>
      </c>
      <c r="C4698" s="710" t="s">
        <v>5065</v>
      </c>
      <c r="D4698" s="709" t="s">
        <v>136</v>
      </c>
      <c r="E4698" s="711">
        <v>0.3483</v>
      </c>
    </row>
    <row r="4699" spans="1:5" x14ac:dyDescent="0.3">
      <c r="A4699" s="397"/>
      <c r="B4699" s="709">
        <v>89850</v>
      </c>
      <c r="C4699" s="710" t="s">
        <v>5066</v>
      </c>
      <c r="D4699" s="709" t="s">
        <v>136</v>
      </c>
      <c r="E4699" s="711">
        <v>0.43519999999999998</v>
      </c>
    </row>
    <row r="4700" spans="1:5" x14ac:dyDescent="0.3">
      <c r="A4700" s="397"/>
      <c r="B4700" s="709">
        <v>89854</v>
      </c>
      <c r="C4700" s="710" t="s">
        <v>5067</v>
      </c>
      <c r="D4700" s="709" t="s">
        <v>136</v>
      </c>
      <c r="E4700" s="711">
        <v>0.16439999999999999</v>
      </c>
    </row>
    <row r="4701" spans="1:5" x14ac:dyDescent="0.3">
      <c r="A4701" s="397"/>
      <c r="B4701" s="709">
        <v>89724</v>
      </c>
      <c r="C4701" s="710" t="s">
        <v>5068</v>
      </c>
      <c r="D4701" s="709" t="s">
        <v>136</v>
      </c>
      <c r="E4701" s="711">
        <v>0.58699999999999997</v>
      </c>
    </row>
    <row r="4702" spans="1:5" x14ac:dyDescent="0.3">
      <c r="A4702" s="397"/>
      <c r="B4702" s="709">
        <v>89801</v>
      </c>
      <c r="C4702" s="710" t="s">
        <v>5069</v>
      </c>
      <c r="D4702" s="709" t="s">
        <v>136</v>
      </c>
      <c r="E4702" s="711">
        <v>0.17899999999999999</v>
      </c>
    </row>
    <row r="4703" spans="1:5" x14ac:dyDescent="0.3">
      <c r="A4703" s="397"/>
      <c r="B4703" s="709">
        <v>89731</v>
      </c>
      <c r="C4703" s="710" t="s">
        <v>5070</v>
      </c>
      <c r="D4703" s="709" t="s">
        <v>136</v>
      </c>
      <c r="E4703" s="711">
        <v>0.46839999999999998</v>
      </c>
    </row>
    <row r="4704" spans="1:5" x14ac:dyDescent="0.3">
      <c r="A4704" s="397"/>
      <c r="B4704" s="709">
        <v>89805</v>
      </c>
      <c r="C4704" s="710" t="s">
        <v>5071</v>
      </c>
      <c r="D4704" s="709" t="s">
        <v>136</v>
      </c>
      <c r="E4704" s="711">
        <v>0.30430000000000001</v>
      </c>
    </row>
    <row r="4705" spans="1:5" x14ac:dyDescent="0.3">
      <c r="A4705" s="397"/>
      <c r="B4705" s="709">
        <v>89737</v>
      </c>
      <c r="C4705" s="710" t="s">
        <v>5072</v>
      </c>
      <c r="D4705" s="709" t="s">
        <v>136</v>
      </c>
      <c r="E4705" s="711">
        <v>0.36499999999999999</v>
      </c>
    </row>
    <row r="4706" spans="1:5" x14ac:dyDescent="0.3">
      <c r="A4706" s="397"/>
      <c r="B4706" s="709">
        <v>104355</v>
      </c>
      <c r="C4706" s="710" t="s">
        <v>5073</v>
      </c>
      <c r="D4706" s="709" t="s">
        <v>136</v>
      </c>
      <c r="E4706" s="711">
        <v>0.25109999999999999</v>
      </c>
    </row>
    <row r="4707" spans="1:5" x14ac:dyDescent="0.3">
      <c r="A4707" s="397"/>
      <c r="B4707" s="709">
        <v>104347</v>
      </c>
      <c r="C4707" s="710" t="s">
        <v>5074</v>
      </c>
      <c r="D4707" s="709" t="s">
        <v>136</v>
      </c>
      <c r="E4707" s="711">
        <v>0.24779999999999999</v>
      </c>
    </row>
    <row r="4708" spans="1:5" x14ac:dyDescent="0.3">
      <c r="A4708" s="397"/>
      <c r="B4708" s="709">
        <v>104353</v>
      </c>
      <c r="C4708" s="710" t="s">
        <v>5075</v>
      </c>
      <c r="D4708" s="709" t="s">
        <v>136</v>
      </c>
      <c r="E4708" s="711">
        <v>0.2427</v>
      </c>
    </row>
    <row r="4709" spans="1:5" x14ac:dyDescent="0.3">
      <c r="A4709" s="397"/>
      <c r="B4709" s="709">
        <v>104345</v>
      </c>
      <c r="C4709" s="710" t="s">
        <v>5076</v>
      </c>
      <c r="D4709" s="709" t="s">
        <v>136</v>
      </c>
      <c r="E4709" s="711">
        <v>0.26340000000000002</v>
      </c>
    </row>
    <row r="4710" spans="1:5" x14ac:dyDescent="0.3">
      <c r="A4710" s="397"/>
      <c r="B4710" s="709">
        <v>104350</v>
      </c>
      <c r="C4710" s="710" t="s">
        <v>5077</v>
      </c>
      <c r="D4710" s="709" t="s">
        <v>136</v>
      </c>
      <c r="E4710" s="711">
        <v>0.20780000000000001</v>
      </c>
    </row>
    <row r="4711" spans="1:5" x14ac:dyDescent="0.3">
      <c r="A4711" s="397"/>
      <c r="B4711" s="709">
        <v>104343</v>
      </c>
      <c r="C4711" s="710" t="s">
        <v>5078</v>
      </c>
      <c r="D4711" s="709" t="s">
        <v>136</v>
      </c>
      <c r="E4711" s="711">
        <v>0.3009</v>
      </c>
    </row>
    <row r="4712" spans="1:5" x14ac:dyDescent="0.3">
      <c r="A4712" s="397"/>
      <c r="B4712" s="709">
        <v>89834</v>
      </c>
      <c r="C4712" s="710" t="s">
        <v>5079</v>
      </c>
      <c r="D4712" s="709" t="s">
        <v>136</v>
      </c>
      <c r="E4712" s="711">
        <v>0.26440000000000002</v>
      </c>
    </row>
    <row r="4713" spans="1:5" x14ac:dyDescent="0.3">
      <c r="A4713" s="397"/>
      <c r="B4713" s="709">
        <v>89797</v>
      </c>
      <c r="C4713" s="710" t="s">
        <v>5080</v>
      </c>
      <c r="D4713" s="709" t="s">
        <v>136</v>
      </c>
      <c r="E4713" s="711">
        <v>0.24179999999999999</v>
      </c>
    </row>
    <row r="4714" spans="1:5" x14ac:dyDescent="0.3">
      <c r="A4714" s="397"/>
      <c r="B4714" s="709">
        <v>89861</v>
      </c>
      <c r="C4714" s="710" t="s">
        <v>5081</v>
      </c>
      <c r="D4714" s="709" t="s">
        <v>136</v>
      </c>
      <c r="E4714" s="711">
        <v>0.31469999999999998</v>
      </c>
    </row>
    <row r="4715" spans="1:5" x14ac:dyDescent="0.3">
      <c r="A4715" s="397"/>
      <c r="B4715" s="709">
        <v>89783</v>
      </c>
      <c r="C4715" s="710" t="s">
        <v>5082</v>
      </c>
      <c r="D4715" s="709" t="s">
        <v>136</v>
      </c>
      <c r="E4715" s="711">
        <v>0.53320000000000001</v>
      </c>
    </row>
    <row r="4716" spans="1:5" x14ac:dyDescent="0.3">
      <c r="A4716" s="397"/>
      <c r="B4716" s="709">
        <v>89827</v>
      </c>
      <c r="C4716" s="710" t="s">
        <v>5083</v>
      </c>
      <c r="D4716" s="709" t="s">
        <v>136</v>
      </c>
      <c r="E4716" s="711">
        <v>0.11360000000000001</v>
      </c>
    </row>
    <row r="4717" spans="1:5" x14ac:dyDescent="0.3">
      <c r="A4717" s="397"/>
      <c r="B4717" s="709">
        <v>89785</v>
      </c>
      <c r="C4717" s="710" t="s">
        <v>5084</v>
      </c>
      <c r="D4717" s="709" t="s">
        <v>136</v>
      </c>
      <c r="E4717" s="711">
        <v>0.34089999999999998</v>
      </c>
    </row>
    <row r="4718" spans="1:5" x14ac:dyDescent="0.3">
      <c r="A4718" s="397"/>
      <c r="B4718" s="709">
        <v>89830</v>
      </c>
      <c r="C4718" s="710" t="s">
        <v>5085</v>
      </c>
      <c r="D4718" s="709" t="s">
        <v>136</v>
      </c>
      <c r="E4718" s="711">
        <v>0.21279999999999999</v>
      </c>
    </row>
    <row r="4719" spans="1:5" x14ac:dyDescent="0.3">
      <c r="A4719" s="397"/>
      <c r="B4719" s="709">
        <v>89795</v>
      </c>
      <c r="C4719" s="710" t="s">
        <v>5086</v>
      </c>
      <c r="D4719" s="709" t="s">
        <v>136</v>
      </c>
      <c r="E4719" s="711">
        <v>0.2621</v>
      </c>
    </row>
    <row r="4720" spans="1:5" x14ac:dyDescent="0.3">
      <c r="A4720" s="397"/>
      <c r="B4720" s="709">
        <v>89823</v>
      </c>
      <c r="C4720" s="710" t="s">
        <v>5087</v>
      </c>
      <c r="D4720" s="709" t="s">
        <v>136</v>
      </c>
      <c r="E4720" s="711">
        <v>0.19620000000000001</v>
      </c>
    </row>
    <row r="4721" spans="1:5" x14ac:dyDescent="0.3">
      <c r="A4721" s="397"/>
      <c r="B4721" s="709">
        <v>89779</v>
      </c>
      <c r="C4721" s="710" t="s">
        <v>5088</v>
      </c>
      <c r="D4721" s="709" t="s">
        <v>136</v>
      </c>
      <c r="E4721" s="711">
        <v>0.1779</v>
      </c>
    </row>
    <row r="4722" spans="1:5" x14ac:dyDescent="0.3">
      <c r="A4722" s="397"/>
      <c r="B4722" s="709">
        <v>89857</v>
      </c>
      <c r="C4722" s="710" t="s">
        <v>5089</v>
      </c>
      <c r="D4722" s="709" t="s">
        <v>136</v>
      </c>
      <c r="E4722" s="711">
        <v>0.23769999999999999</v>
      </c>
    </row>
    <row r="4723" spans="1:5" x14ac:dyDescent="0.3">
      <c r="A4723" s="397"/>
      <c r="B4723" s="709">
        <v>89814</v>
      </c>
      <c r="C4723" s="710" t="s">
        <v>5090</v>
      </c>
      <c r="D4723" s="709" t="s">
        <v>136</v>
      </c>
      <c r="E4723" s="711">
        <v>6.2100000000000002E-2</v>
      </c>
    </row>
    <row r="4724" spans="1:5" x14ac:dyDescent="0.3">
      <c r="A4724" s="397"/>
      <c r="B4724" s="709">
        <v>89754</v>
      </c>
      <c r="C4724" s="710" t="s">
        <v>5091</v>
      </c>
      <c r="D4724" s="709" t="s">
        <v>136</v>
      </c>
      <c r="E4724" s="711">
        <v>0.2104</v>
      </c>
    </row>
    <row r="4725" spans="1:5" x14ac:dyDescent="0.3">
      <c r="A4725" s="397"/>
      <c r="B4725" s="709">
        <v>89819</v>
      </c>
      <c r="C4725" s="710" t="s">
        <v>5092</v>
      </c>
      <c r="D4725" s="709" t="s">
        <v>136</v>
      </c>
      <c r="E4725" s="711">
        <v>0.1681</v>
      </c>
    </row>
    <row r="4726" spans="1:5" x14ac:dyDescent="0.3">
      <c r="A4726" s="397"/>
      <c r="B4726" s="709">
        <v>89776</v>
      </c>
      <c r="C4726" s="710" t="s">
        <v>5093</v>
      </c>
      <c r="D4726" s="709" t="s">
        <v>136</v>
      </c>
      <c r="E4726" s="711">
        <v>0.20979999999999999</v>
      </c>
    </row>
    <row r="4727" spans="1:5" x14ac:dyDescent="0.3">
      <c r="A4727" s="397"/>
      <c r="B4727" s="709">
        <v>89821</v>
      </c>
      <c r="C4727" s="710" t="s">
        <v>5094</v>
      </c>
      <c r="D4727" s="709" t="s">
        <v>136</v>
      </c>
      <c r="E4727" s="711">
        <v>0.3604</v>
      </c>
    </row>
    <row r="4728" spans="1:5" x14ac:dyDescent="0.3">
      <c r="A4728" s="397"/>
      <c r="B4728" s="709">
        <v>89778</v>
      </c>
      <c r="C4728" s="710" t="s">
        <v>5095</v>
      </c>
      <c r="D4728" s="709" t="s">
        <v>136</v>
      </c>
      <c r="E4728" s="711">
        <v>0.3332</v>
      </c>
    </row>
    <row r="4729" spans="1:5" x14ac:dyDescent="0.3">
      <c r="A4729" s="397"/>
      <c r="B4729" s="709">
        <v>89856</v>
      </c>
      <c r="C4729" s="710" t="s">
        <v>5096</v>
      </c>
      <c r="D4729" s="709" t="s">
        <v>136</v>
      </c>
      <c r="E4729" s="711">
        <v>0.41860000000000003</v>
      </c>
    </row>
    <row r="4730" spans="1:5" x14ac:dyDescent="0.3">
      <c r="A4730" s="397"/>
      <c r="B4730" s="709">
        <v>89752</v>
      </c>
      <c r="C4730" s="710" t="s">
        <v>5097</v>
      </c>
      <c r="D4730" s="709" t="s">
        <v>136</v>
      </c>
      <c r="E4730" s="711">
        <v>0.52090000000000003</v>
      </c>
    </row>
    <row r="4731" spans="1:5" x14ac:dyDescent="0.3">
      <c r="A4731" s="397"/>
      <c r="B4731" s="709">
        <v>89813</v>
      </c>
      <c r="C4731" s="710" t="s">
        <v>5098</v>
      </c>
      <c r="D4731" s="709" t="s">
        <v>136</v>
      </c>
      <c r="E4731" s="711">
        <v>0.17730000000000001</v>
      </c>
    </row>
    <row r="4732" spans="1:5" x14ac:dyDescent="0.3">
      <c r="A4732" s="397"/>
      <c r="B4732" s="709">
        <v>89753</v>
      </c>
      <c r="C4732" s="710" t="s">
        <v>5099</v>
      </c>
      <c r="D4732" s="709" t="s">
        <v>136</v>
      </c>
      <c r="E4732" s="711">
        <v>0.46110000000000001</v>
      </c>
    </row>
    <row r="4733" spans="1:5" x14ac:dyDescent="0.3">
      <c r="A4733" s="397"/>
      <c r="B4733" s="709">
        <v>89817</v>
      </c>
      <c r="C4733" s="710" t="s">
        <v>5100</v>
      </c>
      <c r="D4733" s="709" t="s">
        <v>136</v>
      </c>
      <c r="E4733" s="711">
        <v>0.27100000000000002</v>
      </c>
    </row>
    <row r="4734" spans="1:5" x14ac:dyDescent="0.3">
      <c r="A4734" s="397"/>
      <c r="B4734" s="709">
        <v>89774</v>
      </c>
      <c r="C4734" s="710" t="s">
        <v>5101</v>
      </c>
      <c r="D4734" s="709" t="s">
        <v>136</v>
      </c>
      <c r="E4734" s="711">
        <v>0.3276</v>
      </c>
    </row>
    <row r="4735" spans="1:5" x14ac:dyDescent="0.3">
      <c r="A4735" s="397"/>
      <c r="B4735" s="709">
        <v>95693</v>
      </c>
      <c r="C4735" s="710" t="s">
        <v>5102</v>
      </c>
      <c r="D4735" s="709" t="s">
        <v>136</v>
      </c>
      <c r="E4735" s="711">
        <v>0.21360000000000001</v>
      </c>
    </row>
    <row r="4736" spans="1:5" x14ac:dyDescent="0.3">
      <c r="A4736" s="397"/>
      <c r="B4736" s="709">
        <v>89833</v>
      </c>
      <c r="C4736" s="710" t="s">
        <v>5103</v>
      </c>
      <c r="D4736" s="709" t="s">
        <v>136</v>
      </c>
      <c r="E4736" s="711">
        <v>0.31780000000000003</v>
      </c>
    </row>
    <row r="4737" spans="1:5" x14ac:dyDescent="0.3">
      <c r="A4737" s="397"/>
      <c r="B4737" s="709">
        <v>89796</v>
      </c>
      <c r="C4737" s="710" t="s">
        <v>5104</v>
      </c>
      <c r="D4737" s="709" t="s">
        <v>136</v>
      </c>
      <c r="E4737" s="711">
        <v>0.29249999999999998</v>
      </c>
    </row>
    <row r="4738" spans="1:5" x14ac:dyDescent="0.3">
      <c r="A4738" s="397"/>
      <c r="B4738" s="709">
        <v>89860</v>
      </c>
      <c r="C4738" s="710" t="s">
        <v>5105</v>
      </c>
      <c r="D4738" s="709" t="s">
        <v>136</v>
      </c>
      <c r="E4738" s="711">
        <v>0.37309999999999999</v>
      </c>
    </row>
    <row r="4739" spans="1:5" x14ac:dyDescent="0.3">
      <c r="A4739" s="397"/>
      <c r="B4739" s="709">
        <v>89782</v>
      </c>
      <c r="C4739" s="710" t="s">
        <v>5106</v>
      </c>
      <c r="D4739" s="709" t="s">
        <v>136</v>
      </c>
      <c r="E4739" s="711">
        <v>0.53700000000000003</v>
      </c>
    </row>
    <row r="4740" spans="1:5" x14ac:dyDescent="0.3">
      <c r="A4740" s="397"/>
      <c r="B4740" s="709">
        <v>89825</v>
      </c>
      <c r="C4740" s="710" t="s">
        <v>5107</v>
      </c>
      <c r="D4740" s="709" t="s">
        <v>136</v>
      </c>
      <c r="E4740" s="711">
        <v>0.13120000000000001</v>
      </c>
    </row>
    <row r="4741" spans="1:5" x14ac:dyDescent="0.3">
      <c r="A4741" s="397"/>
      <c r="B4741" s="709">
        <v>89784</v>
      </c>
      <c r="C4741" s="710" t="s">
        <v>5108</v>
      </c>
      <c r="D4741" s="709" t="s">
        <v>136</v>
      </c>
      <c r="E4741" s="711">
        <v>0.37859999999999999</v>
      </c>
    </row>
    <row r="4742" spans="1:5" x14ac:dyDescent="0.3">
      <c r="A4742" s="397"/>
      <c r="B4742" s="709">
        <v>89829</v>
      </c>
      <c r="C4742" s="710" t="s">
        <v>5109</v>
      </c>
      <c r="D4742" s="709" t="s">
        <v>136</v>
      </c>
      <c r="E4742" s="711">
        <v>0.22650000000000001</v>
      </c>
    </row>
    <row r="4743" spans="1:5" x14ac:dyDescent="0.3">
      <c r="A4743" s="397"/>
      <c r="B4743" s="709">
        <v>89786</v>
      </c>
      <c r="C4743" s="710" t="s">
        <v>5110</v>
      </c>
      <c r="D4743" s="709" t="s">
        <v>136</v>
      </c>
      <c r="E4743" s="711">
        <v>0.27779999999999999</v>
      </c>
    </row>
    <row r="4744" spans="1:5" x14ac:dyDescent="0.3">
      <c r="A4744" s="397"/>
      <c r="B4744" s="709">
        <v>104352</v>
      </c>
      <c r="C4744" s="710" t="s">
        <v>5111</v>
      </c>
      <c r="D4744" s="709" t="s">
        <v>136</v>
      </c>
      <c r="E4744" s="711">
        <v>0.25690000000000002</v>
      </c>
    </row>
    <row r="4745" spans="1:5" x14ac:dyDescent="0.3">
      <c r="A4745" s="397"/>
      <c r="B4745" s="709">
        <v>104344</v>
      </c>
      <c r="C4745" s="710" t="s">
        <v>5112</v>
      </c>
      <c r="D4745" s="709" t="s">
        <v>136</v>
      </c>
      <c r="E4745" s="711">
        <v>0.27839999999999998</v>
      </c>
    </row>
    <row r="4746" spans="1:5" x14ac:dyDescent="0.3">
      <c r="A4746" s="397"/>
      <c r="B4746" s="709">
        <v>104354</v>
      </c>
      <c r="C4746" s="710" t="s">
        <v>5113</v>
      </c>
      <c r="D4746" s="709" t="s">
        <v>136</v>
      </c>
      <c r="E4746" s="711">
        <v>0.26750000000000002</v>
      </c>
    </row>
    <row r="4747" spans="1:5" x14ac:dyDescent="0.3">
      <c r="A4747" s="397"/>
      <c r="B4747" s="709">
        <v>104346</v>
      </c>
      <c r="C4747" s="710" t="s">
        <v>5114</v>
      </c>
      <c r="D4747" s="709" t="s">
        <v>136</v>
      </c>
      <c r="E4747" s="711">
        <v>0.2641</v>
      </c>
    </row>
    <row r="4748" spans="1:5" x14ac:dyDescent="0.3">
      <c r="A4748" s="397"/>
      <c r="B4748" s="709">
        <v>104356</v>
      </c>
      <c r="C4748" s="710" t="s">
        <v>5115</v>
      </c>
      <c r="D4748" s="709" t="s">
        <v>136</v>
      </c>
      <c r="E4748" s="711">
        <v>0.106</v>
      </c>
    </row>
    <row r="4749" spans="1:5" x14ac:dyDescent="0.3">
      <c r="A4749" s="397"/>
      <c r="B4749" s="709">
        <v>104348</v>
      </c>
      <c r="C4749" s="710" t="s">
        <v>5116</v>
      </c>
      <c r="D4749" s="709" t="s">
        <v>136</v>
      </c>
      <c r="E4749" s="711">
        <v>4.5100000000000001E-2</v>
      </c>
    </row>
    <row r="4750" spans="1:5" x14ac:dyDescent="0.3">
      <c r="A4750" s="397"/>
      <c r="B4750" s="709">
        <v>104351</v>
      </c>
      <c r="C4750" s="710" t="s">
        <v>5117</v>
      </c>
      <c r="D4750" s="709" t="s">
        <v>136</v>
      </c>
      <c r="E4750" s="711">
        <v>8.1100000000000005E-2</v>
      </c>
    </row>
    <row r="4751" spans="1:5" x14ac:dyDescent="0.3">
      <c r="A4751" s="397"/>
      <c r="B4751" s="709">
        <v>89800</v>
      </c>
      <c r="C4751" s="710" t="s">
        <v>5118</v>
      </c>
      <c r="D4751" s="709" t="s">
        <v>159</v>
      </c>
      <c r="E4751" s="711">
        <v>0.42180000000000001</v>
      </c>
    </row>
    <row r="4752" spans="1:5" x14ac:dyDescent="0.3">
      <c r="A4752" s="397"/>
      <c r="B4752" s="709">
        <v>89714</v>
      </c>
      <c r="C4752" s="710" t="s">
        <v>5119</v>
      </c>
      <c r="D4752" s="709" t="s">
        <v>159</v>
      </c>
      <c r="E4752" s="711">
        <v>0.55169999999999997</v>
      </c>
    </row>
    <row r="4753" spans="1:5" x14ac:dyDescent="0.3">
      <c r="A4753" s="397"/>
      <c r="B4753" s="709">
        <v>89848</v>
      </c>
      <c r="C4753" s="710" t="s">
        <v>5120</v>
      </c>
      <c r="D4753" s="709" t="s">
        <v>159</v>
      </c>
      <c r="E4753" s="711">
        <v>0.39910000000000001</v>
      </c>
    </row>
    <row r="4754" spans="1:5" x14ac:dyDescent="0.3">
      <c r="A4754" s="397"/>
      <c r="B4754" s="709">
        <v>89849</v>
      </c>
      <c r="C4754" s="710" t="s">
        <v>5121</v>
      </c>
      <c r="D4754" s="709" t="s">
        <v>159</v>
      </c>
      <c r="E4754" s="711">
        <v>0.24829999999999999</v>
      </c>
    </row>
    <row r="4755" spans="1:5" x14ac:dyDescent="0.3">
      <c r="A4755" s="397"/>
      <c r="B4755" s="709">
        <v>89711</v>
      </c>
      <c r="C4755" s="710" t="s">
        <v>5122</v>
      </c>
      <c r="D4755" s="709" t="s">
        <v>159</v>
      </c>
      <c r="E4755" s="711">
        <v>0.64970000000000006</v>
      </c>
    </row>
    <row r="4756" spans="1:5" x14ac:dyDescent="0.3">
      <c r="A4756" s="397"/>
      <c r="B4756" s="709">
        <v>89798</v>
      </c>
      <c r="C4756" s="710" t="s">
        <v>5123</v>
      </c>
      <c r="D4756" s="709" t="s">
        <v>159</v>
      </c>
      <c r="E4756" s="711">
        <v>0.1371</v>
      </c>
    </row>
    <row r="4757" spans="1:5" x14ac:dyDescent="0.3">
      <c r="A4757" s="397"/>
      <c r="B4757" s="709">
        <v>89712</v>
      </c>
      <c r="C4757" s="710" t="s">
        <v>5124</v>
      </c>
      <c r="D4757" s="709" t="s">
        <v>159</v>
      </c>
      <c r="E4757" s="711">
        <v>0.54979999999999996</v>
      </c>
    </row>
    <row r="4758" spans="1:5" x14ac:dyDescent="0.3">
      <c r="A4758" s="397"/>
      <c r="B4758" s="709">
        <v>89799</v>
      </c>
      <c r="C4758" s="710" t="s">
        <v>5125</v>
      </c>
      <c r="D4758" s="709" t="s">
        <v>159</v>
      </c>
      <c r="E4758" s="711">
        <v>0.3085</v>
      </c>
    </row>
    <row r="4759" spans="1:5" x14ac:dyDescent="0.3">
      <c r="A4759" s="397"/>
      <c r="B4759" s="709">
        <v>89713</v>
      </c>
      <c r="C4759" s="710" t="s">
        <v>5126</v>
      </c>
      <c r="D4759" s="709" t="s">
        <v>159</v>
      </c>
      <c r="E4759" s="711">
        <v>0.52729999999999999</v>
      </c>
    </row>
    <row r="4760" spans="1:5" x14ac:dyDescent="0.3">
      <c r="A4760" s="397"/>
      <c r="B4760" s="709">
        <v>89376</v>
      </c>
      <c r="C4760" s="710" t="s">
        <v>5127</v>
      </c>
      <c r="D4760" s="709" t="s">
        <v>136</v>
      </c>
      <c r="E4760" s="711">
        <v>0.69159999999999999</v>
      </c>
    </row>
    <row r="4761" spans="1:5" x14ac:dyDescent="0.3">
      <c r="A4761" s="397"/>
      <c r="B4761" s="709">
        <v>89429</v>
      </c>
      <c r="C4761" s="710" t="s">
        <v>5128</v>
      </c>
      <c r="D4761" s="709" t="s">
        <v>136</v>
      </c>
      <c r="E4761" s="711">
        <v>0.67220000000000002</v>
      </c>
    </row>
    <row r="4762" spans="1:5" x14ac:dyDescent="0.3">
      <c r="A4762" s="397"/>
      <c r="B4762" s="709">
        <v>89383</v>
      </c>
      <c r="C4762" s="710" t="s">
        <v>5129</v>
      </c>
      <c r="D4762" s="709" t="s">
        <v>136</v>
      </c>
      <c r="E4762" s="711">
        <v>0.69579999999999997</v>
      </c>
    </row>
    <row r="4763" spans="1:5" x14ac:dyDescent="0.3">
      <c r="A4763" s="397"/>
      <c r="B4763" s="709">
        <v>89553</v>
      </c>
      <c r="C4763" s="710" t="s">
        <v>5130</v>
      </c>
      <c r="D4763" s="709" t="s">
        <v>136</v>
      </c>
      <c r="E4763" s="711">
        <v>0.43690000000000001</v>
      </c>
    </row>
    <row r="4764" spans="1:5" x14ac:dyDescent="0.3">
      <c r="A4764" s="397"/>
      <c r="B4764" s="709">
        <v>89436</v>
      </c>
      <c r="C4764" s="710" t="s">
        <v>5131</v>
      </c>
      <c r="D4764" s="709" t="s">
        <v>136</v>
      </c>
      <c r="E4764" s="711">
        <v>0.59189999999999998</v>
      </c>
    </row>
    <row r="4765" spans="1:5" x14ac:dyDescent="0.3">
      <c r="A4765" s="397"/>
      <c r="B4765" s="709">
        <v>89391</v>
      </c>
      <c r="C4765" s="710" t="s">
        <v>5132</v>
      </c>
      <c r="D4765" s="709" t="s">
        <v>136</v>
      </c>
      <c r="E4765" s="711">
        <v>0.61819999999999997</v>
      </c>
    </row>
    <row r="4766" spans="1:5" x14ac:dyDescent="0.3">
      <c r="A4766" s="397"/>
      <c r="B4766" s="709">
        <v>103994</v>
      </c>
      <c r="C4766" s="710" t="s">
        <v>5133</v>
      </c>
      <c r="D4766" s="709" t="s">
        <v>136</v>
      </c>
      <c r="E4766" s="711">
        <v>0.39460000000000001</v>
      </c>
    </row>
    <row r="4767" spans="1:5" x14ac:dyDescent="0.3">
      <c r="A4767" s="397"/>
      <c r="B4767" s="709">
        <v>89570</v>
      </c>
      <c r="C4767" s="710" t="s">
        <v>5134</v>
      </c>
      <c r="D4767" s="709" t="s">
        <v>136</v>
      </c>
      <c r="E4767" s="711">
        <v>0.27710000000000001</v>
      </c>
    </row>
    <row r="4768" spans="1:5" x14ac:dyDescent="0.3">
      <c r="A4768" s="397"/>
      <c r="B4768" s="709">
        <v>103992</v>
      </c>
      <c r="C4768" s="710" t="s">
        <v>5135</v>
      </c>
      <c r="D4768" s="709" t="s">
        <v>136</v>
      </c>
      <c r="E4768" s="711">
        <v>0.4985</v>
      </c>
    </row>
    <row r="4769" spans="1:5" x14ac:dyDescent="0.3">
      <c r="A4769" s="397"/>
      <c r="B4769" s="709">
        <v>89572</v>
      </c>
      <c r="C4769" s="710" t="s">
        <v>5136</v>
      </c>
      <c r="D4769" s="709" t="s">
        <v>136</v>
      </c>
      <c r="E4769" s="711">
        <v>0.35</v>
      </c>
    </row>
    <row r="4770" spans="1:5" x14ac:dyDescent="0.3">
      <c r="A4770" s="397"/>
      <c r="B4770" s="709">
        <v>104001</v>
      </c>
      <c r="C4770" s="710" t="s">
        <v>5137</v>
      </c>
      <c r="D4770" s="709" t="s">
        <v>136</v>
      </c>
      <c r="E4770" s="711">
        <v>0.47239999999999999</v>
      </c>
    </row>
    <row r="4771" spans="1:5" x14ac:dyDescent="0.3">
      <c r="A4771" s="397"/>
      <c r="B4771" s="709">
        <v>89596</v>
      </c>
      <c r="C4771" s="710" t="s">
        <v>5138</v>
      </c>
      <c r="D4771" s="709" t="s">
        <v>136</v>
      </c>
      <c r="E4771" s="711">
        <v>0.33710000000000001</v>
      </c>
    </row>
    <row r="4772" spans="1:5" x14ac:dyDescent="0.3">
      <c r="A4772" s="397"/>
      <c r="B4772" s="709">
        <v>104002</v>
      </c>
      <c r="C4772" s="710" t="s">
        <v>5139</v>
      </c>
      <c r="D4772" s="709" t="s">
        <v>136</v>
      </c>
      <c r="E4772" s="711">
        <v>0.36180000000000001</v>
      </c>
    </row>
    <row r="4773" spans="1:5" x14ac:dyDescent="0.3">
      <c r="A4773" s="397"/>
      <c r="B4773" s="709">
        <v>89595</v>
      </c>
      <c r="C4773" s="710" t="s">
        <v>5140</v>
      </c>
      <c r="D4773" s="709" t="s">
        <v>136</v>
      </c>
      <c r="E4773" s="711">
        <v>0.23669999999999999</v>
      </c>
    </row>
    <row r="4774" spans="1:5" x14ac:dyDescent="0.3">
      <c r="A4774" s="397"/>
      <c r="B4774" s="709">
        <v>89610</v>
      </c>
      <c r="C4774" s="710" t="s">
        <v>5141</v>
      </c>
      <c r="D4774" s="709" t="s">
        <v>136</v>
      </c>
      <c r="E4774" s="711">
        <v>0.2273</v>
      </c>
    </row>
    <row r="4775" spans="1:5" x14ac:dyDescent="0.3">
      <c r="A4775" s="397"/>
      <c r="B4775" s="709">
        <v>89613</v>
      </c>
      <c r="C4775" s="710" t="s">
        <v>5142</v>
      </c>
      <c r="D4775" s="709" t="s">
        <v>136</v>
      </c>
      <c r="E4775" s="711">
        <v>0.17519999999999999</v>
      </c>
    </row>
    <row r="4776" spans="1:5" x14ac:dyDescent="0.3">
      <c r="A4776" s="397"/>
      <c r="B4776" s="709">
        <v>89616</v>
      </c>
      <c r="C4776" s="710" t="s">
        <v>5143</v>
      </c>
      <c r="D4776" s="709" t="s">
        <v>136</v>
      </c>
      <c r="E4776" s="711">
        <v>0.1532</v>
      </c>
    </row>
    <row r="4777" spans="1:5" x14ac:dyDescent="0.3">
      <c r="A4777" s="397"/>
      <c r="B4777" s="709">
        <v>103952</v>
      </c>
      <c r="C4777" s="710" t="s">
        <v>5144</v>
      </c>
      <c r="D4777" s="709" t="s">
        <v>136</v>
      </c>
      <c r="E4777" s="711">
        <v>0.70860000000000001</v>
      </c>
    </row>
    <row r="4778" spans="1:5" x14ac:dyDescent="0.3">
      <c r="A4778" s="397"/>
      <c r="B4778" s="709">
        <v>103947</v>
      </c>
      <c r="C4778" s="710" t="s">
        <v>5145</v>
      </c>
      <c r="D4778" s="709" t="s">
        <v>136</v>
      </c>
      <c r="E4778" s="711">
        <v>0.73050000000000004</v>
      </c>
    </row>
    <row r="4779" spans="1:5" x14ac:dyDescent="0.3">
      <c r="A4779" s="397"/>
      <c r="B4779" s="709">
        <v>103957</v>
      </c>
      <c r="C4779" s="710" t="s">
        <v>5146</v>
      </c>
      <c r="D4779" s="709" t="s">
        <v>136</v>
      </c>
      <c r="E4779" s="711">
        <v>0.51370000000000005</v>
      </c>
    </row>
    <row r="4780" spans="1:5" x14ac:dyDescent="0.3">
      <c r="A4780" s="397"/>
      <c r="B4780" s="709">
        <v>103953</v>
      </c>
      <c r="C4780" s="710" t="s">
        <v>5147</v>
      </c>
      <c r="D4780" s="709" t="s">
        <v>136</v>
      </c>
      <c r="E4780" s="711">
        <v>0.66279999999999994</v>
      </c>
    </row>
    <row r="4781" spans="1:5" x14ac:dyDescent="0.3">
      <c r="A4781" s="397"/>
      <c r="B4781" s="709">
        <v>103948</v>
      </c>
      <c r="C4781" s="710" t="s">
        <v>5148</v>
      </c>
      <c r="D4781" s="709" t="s">
        <v>136</v>
      </c>
      <c r="E4781" s="711">
        <v>0.68679999999999997</v>
      </c>
    </row>
    <row r="4782" spans="1:5" x14ac:dyDescent="0.3">
      <c r="A4782" s="397"/>
      <c r="B4782" s="709">
        <v>103958</v>
      </c>
      <c r="C4782" s="710" t="s">
        <v>5149</v>
      </c>
      <c r="D4782" s="709" t="s">
        <v>136</v>
      </c>
      <c r="E4782" s="711">
        <v>0.36930000000000002</v>
      </c>
    </row>
    <row r="4783" spans="1:5" x14ac:dyDescent="0.3">
      <c r="A4783" s="397"/>
      <c r="B4783" s="709">
        <v>104009</v>
      </c>
      <c r="C4783" s="710" t="s">
        <v>5150</v>
      </c>
      <c r="D4783" s="709" t="s">
        <v>136</v>
      </c>
      <c r="E4783" s="711">
        <v>0.51439999999999997</v>
      </c>
    </row>
    <row r="4784" spans="1:5" x14ac:dyDescent="0.3">
      <c r="A4784" s="397"/>
      <c r="B4784" s="709">
        <v>103959</v>
      </c>
      <c r="C4784" s="710" t="s">
        <v>5151</v>
      </c>
      <c r="D4784" s="709" t="s">
        <v>136</v>
      </c>
      <c r="E4784" s="711">
        <v>0.29509999999999997</v>
      </c>
    </row>
    <row r="4785" spans="1:5" x14ac:dyDescent="0.3">
      <c r="A4785" s="397"/>
      <c r="B4785" s="709">
        <v>103962</v>
      </c>
      <c r="C4785" s="710" t="s">
        <v>5152</v>
      </c>
      <c r="D4785" s="709" t="s">
        <v>136</v>
      </c>
      <c r="E4785" s="711">
        <v>0.35420000000000001</v>
      </c>
    </row>
    <row r="4786" spans="1:5" x14ac:dyDescent="0.3">
      <c r="A4786" s="397"/>
      <c r="B4786" s="709">
        <v>103954</v>
      </c>
      <c r="C4786" s="710" t="s">
        <v>5153</v>
      </c>
      <c r="D4786" s="709" t="s">
        <v>136</v>
      </c>
      <c r="E4786" s="711">
        <v>0.51739999999999997</v>
      </c>
    </row>
    <row r="4787" spans="1:5" x14ac:dyDescent="0.3">
      <c r="A4787" s="397"/>
      <c r="B4787" s="709">
        <v>103949</v>
      </c>
      <c r="C4787" s="710" t="s">
        <v>5154</v>
      </c>
      <c r="D4787" s="709" t="s">
        <v>136</v>
      </c>
      <c r="E4787" s="711">
        <v>0.54369999999999996</v>
      </c>
    </row>
    <row r="4788" spans="1:5" x14ac:dyDescent="0.3">
      <c r="A4788" s="397"/>
      <c r="B4788" s="709">
        <v>103964</v>
      </c>
      <c r="C4788" s="710" t="s">
        <v>5155</v>
      </c>
      <c r="D4788" s="709" t="s">
        <v>136</v>
      </c>
      <c r="E4788" s="711">
        <v>0.3412</v>
      </c>
    </row>
    <row r="4789" spans="1:5" x14ac:dyDescent="0.3">
      <c r="A4789" s="397"/>
      <c r="B4789" s="709">
        <v>104014</v>
      </c>
      <c r="C4789" s="710" t="s">
        <v>5156</v>
      </c>
      <c r="D4789" s="709" t="s">
        <v>136</v>
      </c>
      <c r="E4789" s="711">
        <v>0.49180000000000001</v>
      </c>
    </row>
    <row r="4790" spans="1:5" x14ac:dyDescent="0.3">
      <c r="A4790" s="397"/>
      <c r="B4790" s="709">
        <v>103966</v>
      </c>
      <c r="C4790" s="710" t="s">
        <v>5157</v>
      </c>
      <c r="D4790" s="709" t="s">
        <v>136</v>
      </c>
      <c r="E4790" s="711">
        <v>0.32729999999999998</v>
      </c>
    </row>
    <row r="4791" spans="1:5" x14ac:dyDescent="0.3">
      <c r="A4791" s="397"/>
      <c r="B4791" s="709">
        <v>103999</v>
      </c>
      <c r="C4791" s="710" t="s">
        <v>5158</v>
      </c>
      <c r="D4791" s="709" t="s">
        <v>136</v>
      </c>
      <c r="E4791" s="711">
        <v>0.47170000000000001</v>
      </c>
    </row>
    <row r="4792" spans="1:5" x14ac:dyDescent="0.3">
      <c r="A4792" s="397"/>
      <c r="B4792" s="709">
        <v>103967</v>
      </c>
      <c r="C4792" s="710" t="s">
        <v>5159</v>
      </c>
      <c r="D4792" s="709" t="s">
        <v>136</v>
      </c>
      <c r="E4792" s="711">
        <v>0.29349999999999998</v>
      </c>
    </row>
    <row r="4793" spans="1:5" x14ac:dyDescent="0.3">
      <c r="A4793" s="397"/>
      <c r="B4793" s="709">
        <v>104003</v>
      </c>
      <c r="C4793" s="710" t="s">
        <v>5160</v>
      </c>
      <c r="D4793" s="709" t="s">
        <v>136</v>
      </c>
      <c r="E4793" s="711">
        <v>0.43130000000000002</v>
      </c>
    </row>
    <row r="4794" spans="1:5" x14ac:dyDescent="0.3">
      <c r="A4794" s="397"/>
      <c r="B4794" s="709">
        <v>103968</v>
      </c>
      <c r="C4794" s="710" t="s">
        <v>5161</v>
      </c>
      <c r="D4794" s="709" t="s">
        <v>136</v>
      </c>
      <c r="E4794" s="711">
        <v>0.21160000000000001</v>
      </c>
    </row>
    <row r="4795" spans="1:5" x14ac:dyDescent="0.3">
      <c r="A4795" s="397"/>
      <c r="B4795" s="709">
        <v>103969</v>
      </c>
      <c r="C4795" s="710" t="s">
        <v>5162</v>
      </c>
      <c r="D4795" s="709" t="s">
        <v>136</v>
      </c>
      <c r="E4795" s="711">
        <v>0.1923</v>
      </c>
    </row>
    <row r="4796" spans="1:5" x14ac:dyDescent="0.3">
      <c r="A4796" s="397"/>
      <c r="B4796" s="709">
        <v>103971</v>
      </c>
      <c r="C4796" s="710" t="s">
        <v>5163</v>
      </c>
      <c r="D4796" s="709" t="s">
        <v>136</v>
      </c>
      <c r="E4796" s="711">
        <v>0.17730000000000001</v>
      </c>
    </row>
    <row r="4797" spans="1:5" x14ac:dyDescent="0.3">
      <c r="A4797" s="397"/>
      <c r="B4797" s="709">
        <v>103972</v>
      </c>
      <c r="C4797" s="710" t="s">
        <v>5164</v>
      </c>
      <c r="D4797" s="709" t="s">
        <v>136</v>
      </c>
      <c r="E4797" s="711">
        <v>0.17130000000000001</v>
      </c>
    </row>
    <row r="4798" spans="1:5" x14ac:dyDescent="0.3">
      <c r="A4798" s="397"/>
      <c r="B4798" s="709">
        <v>103993</v>
      </c>
      <c r="C4798" s="710" t="s">
        <v>5165</v>
      </c>
      <c r="D4798" s="709" t="s">
        <v>136</v>
      </c>
      <c r="E4798" s="711">
        <v>0.58350000000000002</v>
      </c>
    </row>
    <row r="4799" spans="1:5" x14ac:dyDescent="0.3">
      <c r="A4799" s="397"/>
      <c r="B4799" s="709">
        <v>89407</v>
      </c>
      <c r="C4799" s="710" t="s">
        <v>5166</v>
      </c>
      <c r="D4799" s="709" t="s">
        <v>136</v>
      </c>
      <c r="E4799" s="711">
        <v>0.64159999999999995</v>
      </c>
    </row>
    <row r="4800" spans="1:5" x14ac:dyDescent="0.3">
      <c r="A4800" s="397"/>
      <c r="B4800" s="709">
        <v>89361</v>
      </c>
      <c r="C4800" s="710" t="s">
        <v>5167</v>
      </c>
      <c r="D4800" s="709" t="s">
        <v>136</v>
      </c>
      <c r="E4800" s="711">
        <v>0.66669999999999996</v>
      </c>
    </row>
    <row r="4801" spans="1:5" x14ac:dyDescent="0.3">
      <c r="A4801" s="397"/>
      <c r="B4801" s="709">
        <v>89490</v>
      </c>
      <c r="C4801" s="710" t="s">
        <v>5168</v>
      </c>
      <c r="D4801" s="709" t="s">
        <v>136</v>
      </c>
      <c r="E4801" s="711">
        <v>0.47589999999999999</v>
      </c>
    </row>
    <row r="4802" spans="1:5" x14ac:dyDescent="0.3">
      <c r="A4802" s="397"/>
      <c r="B4802" s="709">
        <v>89411</v>
      </c>
      <c r="C4802" s="710" t="s">
        <v>5169</v>
      </c>
      <c r="D4802" s="709" t="s">
        <v>136</v>
      </c>
      <c r="E4802" s="711">
        <v>0.6341</v>
      </c>
    </row>
    <row r="4803" spans="1:5" x14ac:dyDescent="0.3">
      <c r="A4803" s="397"/>
      <c r="B4803" s="709">
        <v>89365</v>
      </c>
      <c r="C4803" s="710" t="s">
        <v>5170</v>
      </c>
      <c r="D4803" s="709" t="s">
        <v>136</v>
      </c>
      <c r="E4803" s="711">
        <v>0.65990000000000004</v>
      </c>
    </row>
    <row r="4804" spans="1:5" x14ac:dyDescent="0.3">
      <c r="A4804" s="397"/>
      <c r="B4804" s="709">
        <v>89496</v>
      </c>
      <c r="C4804" s="710" t="s">
        <v>5171</v>
      </c>
      <c r="D4804" s="709" t="s">
        <v>136</v>
      </c>
      <c r="E4804" s="711">
        <v>0.3977</v>
      </c>
    </row>
    <row r="4805" spans="1:5" x14ac:dyDescent="0.3">
      <c r="A4805" s="397"/>
      <c r="B4805" s="709">
        <v>89416</v>
      </c>
      <c r="C4805" s="710" t="s">
        <v>5172</v>
      </c>
      <c r="D4805" s="709" t="s">
        <v>136</v>
      </c>
      <c r="E4805" s="711">
        <v>0.55379999999999996</v>
      </c>
    </row>
    <row r="4806" spans="1:5" x14ac:dyDescent="0.3">
      <c r="A4806" s="397"/>
      <c r="B4806" s="709">
        <v>89370</v>
      </c>
      <c r="C4806" s="710" t="s">
        <v>5173</v>
      </c>
      <c r="D4806" s="709" t="s">
        <v>136</v>
      </c>
      <c r="E4806" s="711">
        <v>0.58069999999999999</v>
      </c>
    </row>
    <row r="4807" spans="1:5" x14ac:dyDescent="0.3">
      <c r="A4807" s="397"/>
      <c r="B4807" s="709">
        <v>89500</v>
      </c>
      <c r="C4807" s="710" t="s">
        <v>5174</v>
      </c>
      <c r="D4807" s="709" t="s">
        <v>136</v>
      </c>
      <c r="E4807" s="711">
        <v>0.3972</v>
      </c>
    </row>
    <row r="4808" spans="1:5" x14ac:dyDescent="0.3">
      <c r="A4808" s="397"/>
      <c r="B4808" s="709">
        <v>103983</v>
      </c>
      <c r="C4808" s="710" t="s">
        <v>5175</v>
      </c>
      <c r="D4808" s="709" t="s">
        <v>136</v>
      </c>
      <c r="E4808" s="711">
        <v>0.54579999999999995</v>
      </c>
    </row>
    <row r="4809" spans="1:5" x14ac:dyDescent="0.3">
      <c r="A4809" s="397"/>
      <c r="B4809" s="709">
        <v>89504</v>
      </c>
      <c r="C4809" s="710" t="s">
        <v>5176</v>
      </c>
      <c r="D4809" s="709" t="s">
        <v>136</v>
      </c>
      <c r="E4809" s="711">
        <v>0.32600000000000001</v>
      </c>
    </row>
    <row r="4810" spans="1:5" x14ac:dyDescent="0.3">
      <c r="A4810" s="397"/>
      <c r="B4810" s="709">
        <v>103987</v>
      </c>
      <c r="C4810" s="710" t="s">
        <v>5177</v>
      </c>
      <c r="D4810" s="709" t="s">
        <v>136</v>
      </c>
      <c r="E4810" s="711">
        <v>0.46489999999999998</v>
      </c>
    </row>
    <row r="4811" spans="1:5" x14ac:dyDescent="0.3">
      <c r="A4811" s="397"/>
      <c r="B4811" s="709">
        <v>89510</v>
      </c>
      <c r="C4811" s="710" t="s">
        <v>5178</v>
      </c>
      <c r="D4811" s="709" t="s">
        <v>136</v>
      </c>
      <c r="E4811" s="711">
        <v>0.27060000000000001</v>
      </c>
    </row>
    <row r="4812" spans="1:5" x14ac:dyDescent="0.3">
      <c r="A4812" s="397"/>
      <c r="B4812" s="709">
        <v>89519</v>
      </c>
      <c r="C4812" s="710" t="s">
        <v>5179</v>
      </c>
      <c r="D4812" s="709" t="s">
        <v>136</v>
      </c>
      <c r="E4812" s="711">
        <v>0.1893</v>
      </c>
    </row>
    <row r="4813" spans="1:5" x14ac:dyDescent="0.3">
      <c r="A4813" s="397"/>
      <c r="B4813" s="709">
        <v>89527</v>
      </c>
      <c r="C4813" s="710" t="s">
        <v>5180</v>
      </c>
      <c r="D4813" s="709" t="s">
        <v>136</v>
      </c>
      <c r="E4813" s="711">
        <v>0.17599999999999999</v>
      </c>
    </row>
    <row r="4814" spans="1:5" x14ac:dyDescent="0.3">
      <c r="A4814" s="397"/>
      <c r="B4814" s="709">
        <v>89406</v>
      </c>
      <c r="C4814" s="710" t="s">
        <v>5181</v>
      </c>
      <c r="D4814" s="709" t="s">
        <v>136</v>
      </c>
      <c r="E4814" s="711">
        <v>0.64770000000000005</v>
      </c>
    </row>
    <row r="4815" spans="1:5" x14ac:dyDescent="0.3">
      <c r="A4815" s="397"/>
      <c r="B4815" s="709">
        <v>89360</v>
      </c>
      <c r="C4815" s="710" t="s">
        <v>5182</v>
      </c>
      <c r="D4815" s="709" t="s">
        <v>136</v>
      </c>
      <c r="E4815" s="711">
        <v>0.67259999999999998</v>
      </c>
    </row>
    <row r="4816" spans="1:5" x14ac:dyDescent="0.3">
      <c r="A4816" s="397"/>
      <c r="B4816" s="709">
        <v>89489</v>
      </c>
      <c r="C4816" s="710" t="s">
        <v>5183</v>
      </c>
      <c r="D4816" s="709" t="s">
        <v>136</v>
      </c>
      <c r="E4816" s="711">
        <v>0.4415</v>
      </c>
    </row>
    <row r="4817" spans="1:5" x14ac:dyDescent="0.3">
      <c r="A4817" s="397"/>
      <c r="B4817" s="709">
        <v>89410</v>
      </c>
      <c r="C4817" s="710" t="s">
        <v>5184</v>
      </c>
      <c r="D4817" s="709" t="s">
        <v>136</v>
      </c>
      <c r="E4817" s="711">
        <v>0.60189999999999999</v>
      </c>
    </row>
    <row r="4818" spans="1:5" x14ac:dyDescent="0.3">
      <c r="A4818" s="397"/>
      <c r="B4818" s="709">
        <v>89364</v>
      </c>
      <c r="C4818" s="710" t="s">
        <v>5185</v>
      </c>
      <c r="D4818" s="709" t="s">
        <v>136</v>
      </c>
      <c r="E4818" s="711">
        <v>0.62849999999999995</v>
      </c>
    </row>
    <row r="4819" spans="1:5" x14ac:dyDescent="0.3">
      <c r="A4819" s="397"/>
      <c r="B4819" s="709">
        <v>89494</v>
      </c>
      <c r="C4819" s="710" t="s">
        <v>5186</v>
      </c>
      <c r="D4819" s="709" t="s">
        <v>136</v>
      </c>
      <c r="E4819" s="711">
        <v>0.33200000000000002</v>
      </c>
    </row>
    <row r="4820" spans="1:5" x14ac:dyDescent="0.3">
      <c r="A4820" s="397"/>
      <c r="B4820" s="709">
        <v>89415</v>
      </c>
      <c r="C4820" s="710" t="s">
        <v>5187</v>
      </c>
      <c r="D4820" s="709" t="s">
        <v>136</v>
      </c>
      <c r="E4820" s="711">
        <v>0.4834</v>
      </c>
    </row>
    <row r="4821" spans="1:5" x14ac:dyDescent="0.3">
      <c r="A4821" s="397"/>
      <c r="B4821" s="709">
        <v>89369</v>
      </c>
      <c r="C4821" s="710" t="s">
        <v>5188</v>
      </c>
      <c r="D4821" s="709" t="s">
        <v>136</v>
      </c>
      <c r="E4821" s="711">
        <v>0.51080000000000003</v>
      </c>
    </row>
    <row r="4822" spans="1:5" x14ac:dyDescent="0.3">
      <c r="A4822" s="397"/>
      <c r="B4822" s="709">
        <v>89499</v>
      </c>
      <c r="C4822" s="710" t="s">
        <v>5189</v>
      </c>
      <c r="D4822" s="709" t="s">
        <v>136</v>
      </c>
      <c r="E4822" s="711">
        <v>0.25829999999999997</v>
      </c>
    </row>
    <row r="4823" spans="1:5" x14ac:dyDescent="0.3">
      <c r="A4823" s="397"/>
      <c r="B4823" s="709">
        <v>103982</v>
      </c>
      <c r="C4823" s="710" t="s">
        <v>5190</v>
      </c>
      <c r="D4823" s="709" t="s">
        <v>136</v>
      </c>
      <c r="E4823" s="711">
        <v>0.3891</v>
      </c>
    </row>
    <row r="4824" spans="1:5" x14ac:dyDescent="0.3">
      <c r="A4824" s="397"/>
      <c r="B4824" s="709">
        <v>89503</v>
      </c>
      <c r="C4824" s="710" t="s">
        <v>5191</v>
      </c>
      <c r="D4824" s="709" t="s">
        <v>136</v>
      </c>
      <c r="E4824" s="711">
        <v>0.27</v>
      </c>
    </row>
    <row r="4825" spans="1:5" x14ac:dyDescent="0.3">
      <c r="A4825" s="397"/>
      <c r="B4825" s="709">
        <v>103986</v>
      </c>
      <c r="C4825" s="710" t="s">
        <v>5192</v>
      </c>
      <c r="D4825" s="709" t="s">
        <v>136</v>
      </c>
      <c r="E4825" s="711">
        <v>0.39929999999999999</v>
      </c>
    </row>
    <row r="4826" spans="1:5" x14ac:dyDescent="0.3">
      <c r="A4826" s="397"/>
      <c r="B4826" s="709">
        <v>89507</v>
      </c>
      <c r="C4826" s="710" t="s">
        <v>5193</v>
      </c>
      <c r="D4826" s="709" t="s">
        <v>136</v>
      </c>
      <c r="E4826" s="711">
        <v>0.15570000000000001</v>
      </c>
    </row>
    <row r="4827" spans="1:5" x14ac:dyDescent="0.3">
      <c r="A4827" s="397"/>
      <c r="B4827" s="709">
        <v>89517</v>
      </c>
      <c r="C4827" s="710" t="s">
        <v>5194</v>
      </c>
      <c r="D4827" s="709" t="s">
        <v>136</v>
      </c>
      <c r="E4827" s="711">
        <v>0.12870000000000001</v>
      </c>
    </row>
    <row r="4828" spans="1:5" x14ac:dyDescent="0.3">
      <c r="A4828" s="397"/>
      <c r="B4828" s="709">
        <v>89525</v>
      </c>
      <c r="C4828" s="710" t="s">
        <v>5195</v>
      </c>
      <c r="D4828" s="709" t="s">
        <v>136</v>
      </c>
      <c r="E4828" s="711">
        <v>0.1148</v>
      </c>
    </row>
    <row r="4829" spans="1:5" x14ac:dyDescent="0.3">
      <c r="A4829" s="397"/>
      <c r="B4829" s="709">
        <v>89423</v>
      </c>
      <c r="C4829" s="710" t="s">
        <v>5196</v>
      </c>
      <c r="D4829" s="709" t="s">
        <v>136</v>
      </c>
      <c r="E4829" s="711">
        <v>0.38590000000000002</v>
      </c>
    </row>
    <row r="4830" spans="1:5" x14ac:dyDescent="0.3">
      <c r="A4830" s="397"/>
      <c r="B4830" s="709">
        <v>89377</v>
      </c>
      <c r="C4830" s="710" t="s">
        <v>5197</v>
      </c>
      <c r="D4830" s="709" t="s">
        <v>136</v>
      </c>
      <c r="E4830" s="711">
        <v>0.41270000000000001</v>
      </c>
    </row>
    <row r="4831" spans="1:5" x14ac:dyDescent="0.3">
      <c r="A4831" s="397"/>
      <c r="B4831" s="709">
        <v>89540</v>
      </c>
      <c r="C4831" s="710" t="s">
        <v>5198</v>
      </c>
      <c r="D4831" s="709" t="s">
        <v>136</v>
      </c>
      <c r="E4831" s="711">
        <v>0.21829999999999999</v>
      </c>
    </row>
    <row r="4832" spans="1:5" x14ac:dyDescent="0.3">
      <c r="A4832" s="397"/>
      <c r="B4832" s="709">
        <v>89430</v>
      </c>
      <c r="C4832" s="710" t="s">
        <v>5199</v>
      </c>
      <c r="D4832" s="709" t="s">
        <v>136</v>
      </c>
      <c r="E4832" s="711">
        <v>0.34849999999999998</v>
      </c>
    </row>
    <row r="4833" spans="1:5" x14ac:dyDescent="0.3">
      <c r="A4833" s="397"/>
      <c r="B4833" s="709">
        <v>89384</v>
      </c>
      <c r="C4833" s="710" t="s">
        <v>5200</v>
      </c>
      <c r="D4833" s="709" t="s">
        <v>136</v>
      </c>
      <c r="E4833" s="711">
        <v>0.3745</v>
      </c>
    </row>
    <row r="4834" spans="1:5" x14ac:dyDescent="0.3">
      <c r="A4834" s="397"/>
      <c r="B4834" s="709">
        <v>89555</v>
      </c>
      <c r="C4834" s="710" t="s">
        <v>5201</v>
      </c>
      <c r="D4834" s="709" t="s">
        <v>136</v>
      </c>
      <c r="E4834" s="711">
        <v>0.1293</v>
      </c>
    </row>
    <row r="4835" spans="1:5" x14ac:dyDescent="0.3">
      <c r="A4835" s="397"/>
      <c r="B4835" s="709">
        <v>89437</v>
      </c>
      <c r="C4835" s="710" t="s">
        <v>5202</v>
      </c>
      <c r="D4835" s="709" t="s">
        <v>136</v>
      </c>
      <c r="E4835" s="711">
        <v>0.21759999999999999</v>
      </c>
    </row>
    <row r="4836" spans="1:5" x14ac:dyDescent="0.3">
      <c r="A4836" s="397"/>
      <c r="B4836" s="709">
        <v>89392</v>
      </c>
      <c r="C4836" s="710" t="s">
        <v>5203</v>
      </c>
      <c r="D4836" s="709" t="s">
        <v>136</v>
      </c>
      <c r="E4836" s="711">
        <v>0.23699999999999999</v>
      </c>
    </row>
    <row r="4837" spans="1:5" x14ac:dyDescent="0.3">
      <c r="A4837" s="397"/>
      <c r="B4837" s="709">
        <v>89405</v>
      </c>
      <c r="C4837" s="710" t="s">
        <v>5204</v>
      </c>
      <c r="D4837" s="709" t="s">
        <v>136</v>
      </c>
      <c r="E4837" s="711">
        <v>0.73229999999999995</v>
      </c>
    </row>
    <row r="4838" spans="1:5" x14ac:dyDescent="0.3">
      <c r="A4838" s="397"/>
      <c r="B4838" s="709">
        <v>89359</v>
      </c>
      <c r="C4838" s="710" t="s">
        <v>5205</v>
      </c>
      <c r="D4838" s="709" t="s">
        <v>136</v>
      </c>
      <c r="E4838" s="711">
        <v>0.75349999999999995</v>
      </c>
    </row>
    <row r="4839" spans="1:5" x14ac:dyDescent="0.3">
      <c r="A4839" s="397"/>
      <c r="B4839" s="709">
        <v>89485</v>
      </c>
      <c r="C4839" s="710" t="s">
        <v>5206</v>
      </c>
      <c r="D4839" s="709" t="s">
        <v>136</v>
      </c>
      <c r="E4839" s="711">
        <v>0.55189999999999995</v>
      </c>
    </row>
    <row r="4840" spans="1:5" x14ac:dyDescent="0.3">
      <c r="A4840" s="397"/>
      <c r="B4840" s="709">
        <v>89409</v>
      </c>
      <c r="C4840" s="710" t="s">
        <v>5207</v>
      </c>
      <c r="D4840" s="709" t="s">
        <v>136</v>
      </c>
      <c r="E4840" s="711">
        <v>0.70079999999999998</v>
      </c>
    </row>
    <row r="4841" spans="1:5" x14ac:dyDescent="0.3">
      <c r="A4841" s="397"/>
      <c r="B4841" s="709">
        <v>89363</v>
      </c>
      <c r="C4841" s="710" t="s">
        <v>5208</v>
      </c>
      <c r="D4841" s="709" t="s">
        <v>136</v>
      </c>
      <c r="E4841" s="711">
        <v>0.72389999999999999</v>
      </c>
    </row>
    <row r="4842" spans="1:5" x14ac:dyDescent="0.3">
      <c r="A4842" s="397"/>
      <c r="B4842" s="709">
        <v>89493</v>
      </c>
      <c r="C4842" s="710" t="s">
        <v>5209</v>
      </c>
      <c r="D4842" s="709" t="s">
        <v>136</v>
      </c>
      <c r="E4842" s="711">
        <v>0.41099999999999998</v>
      </c>
    </row>
    <row r="4843" spans="1:5" x14ac:dyDescent="0.3">
      <c r="A4843" s="397"/>
      <c r="B4843" s="709">
        <v>89414</v>
      </c>
      <c r="C4843" s="710" t="s">
        <v>5210</v>
      </c>
      <c r="D4843" s="709" t="s">
        <v>136</v>
      </c>
      <c r="E4843" s="711">
        <v>0.56730000000000003</v>
      </c>
    </row>
    <row r="4844" spans="1:5" x14ac:dyDescent="0.3">
      <c r="A4844" s="397"/>
      <c r="B4844" s="709">
        <v>89368</v>
      </c>
      <c r="C4844" s="710" t="s">
        <v>5211</v>
      </c>
      <c r="D4844" s="709" t="s">
        <v>136</v>
      </c>
      <c r="E4844" s="711">
        <v>0.59389999999999998</v>
      </c>
    </row>
    <row r="4845" spans="1:5" x14ac:dyDescent="0.3">
      <c r="A4845" s="397"/>
      <c r="B4845" s="709">
        <v>89498</v>
      </c>
      <c r="C4845" s="710" t="s">
        <v>5212</v>
      </c>
      <c r="D4845" s="709" t="s">
        <v>136</v>
      </c>
      <c r="E4845" s="711">
        <v>0.38040000000000002</v>
      </c>
    </row>
    <row r="4846" spans="1:5" x14ac:dyDescent="0.3">
      <c r="A4846" s="397"/>
      <c r="B4846" s="709">
        <v>103981</v>
      </c>
      <c r="C4846" s="710" t="s">
        <v>5213</v>
      </c>
      <c r="D4846" s="709" t="s">
        <v>136</v>
      </c>
      <c r="E4846" s="711">
        <v>0.52829999999999999</v>
      </c>
    </row>
    <row r="4847" spans="1:5" x14ac:dyDescent="0.3">
      <c r="A4847" s="397"/>
      <c r="B4847" s="709">
        <v>89502</v>
      </c>
      <c r="C4847" s="710" t="s">
        <v>5214</v>
      </c>
      <c r="D4847" s="709" t="s">
        <v>136</v>
      </c>
      <c r="E4847" s="711">
        <v>0.36159999999999998</v>
      </c>
    </row>
    <row r="4848" spans="1:5" x14ac:dyDescent="0.3">
      <c r="A4848" s="397"/>
      <c r="B4848" s="709">
        <v>103985</v>
      </c>
      <c r="C4848" s="710" t="s">
        <v>5215</v>
      </c>
      <c r="D4848" s="709" t="s">
        <v>136</v>
      </c>
      <c r="E4848" s="711">
        <v>0.504</v>
      </c>
    </row>
    <row r="4849" spans="1:5" x14ac:dyDescent="0.3">
      <c r="A4849" s="397"/>
      <c r="B4849" s="709">
        <v>89506</v>
      </c>
      <c r="C4849" s="710" t="s">
        <v>5216</v>
      </c>
      <c r="D4849" s="709" t="s">
        <v>136</v>
      </c>
      <c r="E4849" s="711">
        <v>0.18379999999999999</v>
      </c>
    </row>
    <row r="4850" spans="1:5" x14ac:dyDescent="0.3">
      <c r="A4850" s="397"/>
      <c r="B4850" s="709">
        <v>89515</v>
      </c>
      <c r="C4850" s="710" t="s">
        <v>5217</v>
      </c>
      <c r="D4850" s="709" t="s">
        <v>136</v>
      </c>
      <c r="E4850" s="711">
        <v>0.1079</v>
      </c>
    </row>
    <row r="4851" spans="1:5" x14ac:dyDescent="0.3">
      <c r="A4851" s="397"/>
      <c r="B4851" s="709">
        <v>89523</v>
      </c>
      <c r="C4851" s="710" t="s">
        <v>5218</v>
      </c>
      <c r="D4851" s="709" t="s">
        <v>136</v>
      </c>
      <c r="E4851" s="711">
        <v>9.9000000000000005E-2</v>
      </c>
    </row>
    <row r="4852" spans="1:5" x14ac:dyDescent="0.3">
      <c r="A4852" s="397"/>
      <c r="B4852" s="709">
        <v>90373</v>
      </c>
      <c r="C4852" s="710" t="s">
        <v>5219</v>
      </c>
      <c r="D4852" s="709" t="s">
        <v>136</v>
      </c>
      <c r="E4852" s="711">
        <v>0.48930000000000001</v>
      </c>
    </row>
    <row r="4853" spans="1:5" x14ac:dyDescent="0.3">
      <c r="A4853" s="397"/>
      <c r="B4853" s="709">
        <v>89366</v>
      </c>
      <c r="C4853" s="710" t="s">
        <v>5220</v>
      </c>
      <c r="D4853" s="709" t="s">
        <v>136</v>
      </c>
      <c r="E4853" s="711">
        <v>0.4204</v>
      </c>
    </row>
    <row r="4854" spans="1:5" x14ac:dyDescent="0.3">
      <c r="A4854" s="397"/>
      <c r="B4854" s="709">
        <v>89404</v>
      </c>
      <c r="C4854" s="710" t="s">
        <v>5221</v>
      </c>
      <c r="D4854" s="709" t="s">
        <v>136</v>
      </c>
      <c r="E4854" s="711">
        <v>0.78990000000000005</v>
      </c>
    </row>
    <row r="4855" spans="1:5" x14ac:dyDescent="0.3">
      <c r="A4855" s="397"/>
      <c r="B4855" s="709">
        <v>89358</v>
      </c>
      <c r="C4855" s="710" t="s">
        <v>5222</v>
      </c>
      <c r="D4855" s="709" t="s">
        <v>136</v>
      </c>
      <c r="E4855" s="711">
        <v>0.80769999999999997</v>
      </c>
    </row>
    <row r="4856" spans="1:5" x14ac:dyDescent="0.3">
      <c r="A4856" s="397"/>
      <c r="B4856" s="709">
        <v>89481</v>
      </c>
      <c r="C4856" s="710" t="s">
        <v>5223</v>
      </c>
      <c r="D4856" s="709" t="s">
        <v>136</v>
      </c>
      <c r="E4856" s="711">
        <v>0.63419999999999999</v>
      </c>
    </row>
    <row r="4857" spans="1:5" x14ac:dyDescent="0.3">
      <c r="A4857" s="397"/>
      <c r="B4857" s="709">
        <v>89408</v>
      </c>
      <c r="C4857" s="710" t="s">
        <v>5224</v>
      </c>
      <c r="D4857" s="709" t="s">
        <v>136</v>
      </c>
      <c r="E4857" s="711">
        <v>0.76619999999999999</v>
      </c>
    </row>
    <row r="4858" spans="1:5" x14ac:dyDescent="0.3">
      <c r="A4858" s="397"/>
      <c r="B4858" s="709">
        <v>89362</v>
      </c>
      <c r="C4858" s="710" t="s">
        <v>5225</v>
      </c>
      <c r="D4858" s="709" t="s">
        <v>136</v>
      </c>
      <c r="E4858" s="711">
        <v>0.78580000000000005</v>
      </c>
    </row>
    <row r="4859" spans="1:5" x14ac:dyDescent="0.3">
      <c r="A4859" s="397"/>
      <c r="B4859" s="709">
        <v>89412</v>
      </c>
      <c r="C4859" s="710" t="s">
        <v>5226</v>
      </c>
      <c r="D4859" s="709" t="s">
        <v>136</v>
      </c>
      <c r="E4859" s="711">
        <v>0.63109999999999999</v>
      </c>
    </row>
    <row r="4860" spans="1:5" x14ac:dyDescent="0.3">
      <c r="A4860" s="397"/>
      <c r="B4860" s="709">
        <v>89492</v>
      </c>
      <c r="C4860" s="710" t="s">
        <v>5227</v>
      </c>
      <c r="D4860" s="709" t="s">
        <v>136</v>
      </c>
      <c r="E4860" s="711">
        <v>0.4995</v>
      </c>
    </row>
    <row r="4861" spans="1:5" x14ac:dyDescent="0.3">
      <c r="A4861" s="397"/>
      <c r="B4861" s="709">
        <v>89413</v>
      </c>
      <c r="C4861" s="710" t="s">
        <v>5228</v>
      </c>
      <c r="D4861" s="709" t="s">
        <v>136</v>
      </c>
      <c r="E4861" s="711">
        <v>0.65149999999999997</v>
      </c>
    </row>
    <row r="4862" spans="1:5" x14ac:dyDescent="0.3">
      <c r="A4862" s="397"/>
      <c r="B4862" s="709">
        <v>89367</v>
      </c>
      <c r="C4862" s="710" t="s">
        <v>5229</v>
      </c>
      <c r="D4862" s="709" t="s">
        <v>136</v>
      </c>
      <c r="E4862" s="711">
        <v>0.67579999999999996</v>
      </c>
    </row>
    <row r="4863" spans="1:5" x14ac:dyDescent="0.3">
      <c r="A4863" s="397"/>
      <c r="B4863" s="709">
        <v>89497</v>
      </c>
      <c r="C4863" s="710" t="s">
        <v>5230</v>
      </c>
      <c r="D4863" s="709" t="s">
        <v>136</v>
      </c>
      <c r="E4863" s="711">
        <v>0.3821</v>
      </c>
    </row>
    <row r="4864" spans="1:5" x14ac:dyDescent="0.3">
      <c r="A4864" s="397"/>
      <c r="B4864" s="709">
        <v>103980</v>
      </c>
      <c r="C4864" s="710" t="s">
        <v>5231</v>
      </c>
      <c r="D4864" s="709" t="s">
        <v>136</v>
      </c>
      <c r="E4864" s="711">
        <v>0.53</v>
      </c>
    </row>
    <row r="4865" spans="1:5" x14ac:dyDescent="0.3">
      <c r="A4865" s="397"/>
      <c r="B4865" s="709">
        <v>89501</v>
      </c>
      <c r="C4865" s="710" t="s">
        <v>5232</v>
      </c>
      <c r="D4865" s="709" t="s">
        <v>136</v>
      </c>
      <c r="E4865" s="711">
        <v>0.4264</v>
      </c>
    </row>
    <row r="4866" spans="1:5" x14ac:dyDescent="0.3">
      <c r="A4866" s="397"/>
      <c r="B4866" s="709">
        <v>103984</v>
      </c>
      <c r="C4866" s="710" t="s">
        <v>5233</v>
      </c>
      <c r="D4866" s="709" t="s">
        <v>136</v>
      </c>
      <c r="E4866" s="711">
        <v>0.57110000000000005</v>
      </c>
    </row>
    <row r="4867" spans="1:5" x14ac:dyDescent="0.3">
      <c r="A4867" s="397"/>
      <c r="B4867" s="709">
        <v>89505</v>
      </c>
      <c r="C4867" s="710" t="s">
        <v>5234</v>
      </c>
      <c r="D4867" s="709" t="s">
        <v>136</v>
      </c>
      <c r="E4867" s="711">
        <v>0.17580000000000001</v>
      </c>
    </row>
    <row r="4868" spans="1:5" x14ac:dyDescent="0.3">
      <c r="A4868" s="397"/>
      <c r="B4868" s="709">
        <v>89513</v>
      </c>
      <c r="C4868" s="710" t="s">
        <v>5235</v>
      </c>
      <c r="D4868" s="709" t="s">
        <v>136</v>
      </c>
      <c r="E4868" s="711">
        <v>8.6199999999999999E-2</v>
      </c>
    </row>
    <row r="4869" spans="1:5" x14ac:dyDescent="0.3">
      <c r="A4869" s="397"/>
      <c r="B4869" s="709">
        <v>89521</v>
      </c>
      <c r="C4869" s="710" t="s">
        <v>5236</v>
      </c>
      <c r="D4869" s="709" t="s">
        <v>136</v>
      </c>
      <c r="E4869" s="711">
        <v>8.1000000000000003E-2</v>
      </c>
    </row>
    <row r="4870" spans="1:5" x14ac:dyDescent="0.3">
      <c r="A4870" s="397"/>
      <c r="B4870" s="709">
        <v>103955</v>
      </c>
      <c r="C4870" s="710" t="s">
        <v>5237</v>
      </c>
      <c r="D4870" s="709" t="s">
        <v>136</v>
      </c>
      <c r="E4870" s="711">
        <v>0.6109</v>
      </c>
    </row>
    <row r="4871" spans="1:5" x14ac:dyDescent="0.3">
      <c r="A4871" s="397"/>
      <c r="B4871" s="709">
        <v>103950</v>
      </c>
      <c r="C4871" s="710" t="s">
        <v>5238</v>
      </c>
      <c r="D4871" s="709" t="s">
        <v>136</v>
      </c>
      <c r="E4871" s="711">
        <v>0.63660000000000005</v>
      </c>
    </row>
    <row r="4872" spans="1:5" x14ac:dyDescent="0.3">
      <c r="A4872" s="397"/>
      <c r="B4872" s="709">
        <v>103974</v>
      </c>
      <c r="C4872" s="710" t="s">
        <v>5239</v>
      </c>
      <c r="D4872" s="709" t="s">
        <v>136</v>
      </c>
      <c r="E4872" s="711">
        <v>0.35809999999999997</v>
      </c>
    </row>
    <row r="4873" spans="1:5" x14ac:dyDescent="0.3">
      <c r="A4873" s="397"/>
      <c r="B4873" s="709">
        <v>103956</v>
      </c>
      <c r="C4873" s="710" t="s">
        <v>5240</v>
      </c>
      <c r="D4873" s="709" t="s">
        <v>136</v>
      </c>
      <c r="E4873" s="711">
        <v>0.51349999999999996</v>
      </c>
    </row>
    <row r="4874" spans="1:5" x14ac:dyDescent="0.3">
      <c r="A4874" s="397"/>
      <c r="B4874" s="709">
        <v>103951</v>
      </c>
      <c r="C4874" s="710" t="s">
        <v>5241</v>
      </c>
      <c r="D4874" s="709" t="s">
        <v>136</v>
      </c>
      <c r="E4874" s="711">
        <v>0.54100000000000004</v>
      </c>
    </row>
    <row r="4875" spans="1:5" x14ac:dyDescent="0.3">
      <c r="A4875" s="397"/>
      <c r="B4875" s="709">
        <v>89374</v>
      </c>
      <c r="C4875" s="710" t="s">
        <v>5242</v>
      </c>
      <c r="D4875" s="709" t="s">
        <v>136</v>
      </c>
      <c r="E4875" s="711">
        <v>0.38340000000000002</v>
      </c>
    </row>
    <row r="4876" spans="1:5" x14ac:dyDescent="0.3">
      <c r="A4876" s="397"/>
      <c r="B4876" s="709">
        <v>89427</v>
      </c>
      <c r="C4876" s="710" t="s">
        <v>5243</v>
      </c>
      <c r="D4876" s="709" t="s">
        <v>136</v>
      </c>
      <c r="E4876" s="711">
        <v>0.34079999999999999</v>
      </c>
    </row>
    <row r="4877" spans="1:5" x14ac:dyDescent="0.3">
      <c r="A4877" s="397"/>
      <c r="B4877" s="709">
        <v>89381</v>
      </c>
      <c r="C4877" s="710" t="s">
        <v>5244</v>
      </c>
      <c r="D4877" s="709" t="s">
        <v>136</v>
      </c>
      <c r="E4877" s="711">
        <v>0.36649999999999999</v>
      </c>
    </row>
    <row r="4878" spans="1:5" x14ac:dyDescent="0.3">
      <c r="A4878" s="397"/>
      <c r="B4878" s="709">
        <v>95237</v>
      </c>
      <c r="C4878" s="710" t="s">
        <v>5245</v>
      </c>
      <c r="D4878" s="709" t="s">
        <v>136</v>
      </c>
      <c r="E4878" s="711">
        <v>0.1976</v>
      </c>
    </row>
    <row r="4879" spans="1:5" x14ac:dyDescent="0.3">
      <c r="A4879" s="397"/>
      <c r="B4879" s="709">
        <v>89979</v>
      </c>
      <c r="C4879" s="710" t="s">
        <v>5246</v>
      </c>
      <c r="D4879" s="709" t="s">
        <v>136</v>
      </c>
      <c r="E4879" s="711">
        <v>0.21609999999999999</v>
      </c>
    </row>
    <row r="4880" spans="1:5" x14ac:dyDescent="0.3">
      <c r="A4880" s="397"/>
      <c r="B4880" s="709">
        <v>103991</v>
      </c>
      <c r="C4880" s="710" t="s">
        <v>5247</v>
      </c>
      <c r="D4880" s="709" t="s">
        <v>136</v>
      </c>
      <c r="E4880" s="711">
        <v>0.31159999999999999</v>
      </c>
    </row>
    <row r="4881" spans="1:5" x14ac:dyDescent="0.3">
      <c r="A4881" s="397"/>
      <c r="B4881" s="709">
        <v>89564</v>
      </c>
      <c r="C4881" s="710" t="s">
        <v>5248</v>
      </c>
      <c r="D4881" s="709" t="s">
        <v>136</v>
      </c>
      <c r="E4881" s="711">
        <v>0.1961</v>
      </c>
    </row>
    <row r="4882" spans="1:5" x14ac:dyDescent="0.3">
      <c r="A4882" s="397"/>
      <c r="B4882" s="709">
        <v>104000</v>
      </c>
      <c r="C4882" s="710" t="s">
        <v>5249</v>
      </c>
      <c r="D4882" s="709" t="s">
        <v>136</v>
      </c>
      <c r="E4882" s="711">
        <v>0.23130000000000001</v>
      </c>
    </row>
    <row r="4883" spans="1:5" x14ac:dyDescent="0.3">
      <c r="A4883" s="397"/>
      <c r="B4883" s="709">
        <v>89593</v>
      </c>
      <c r="C4883" s="710" t="s">
        <v>5250</v>
      </c>
      <c r="D4883" s="709" t="s">
        <v>136</v>
      </c>
      <c r="E4883" s="711">
        <v>0.14269999999999999</v>
      </c>
    </row>
    <row r="4884" spans="1:5" x14ac:dyDescent="0.3">
      <c r="A4884" s="397"/>
      <c r="B4884" s="709">
        <v>89418</v>
      </c>
      <c r="C4884" s="710" t="s">
        <v>5251</v>
      </c>
      <c r="D4884" s="709" t="s">
        <v>136</v>
      </c>
      <c r="E4884" s="711">
        <v>0.2407</v>
      </c>
    </row>
    <row r="4885" spans="1:5" x14ac:dyDescent="0.3">
      <c r="A4885" s="397"/>
      <c r="B4885" s="709">
        <v>89372</v>
      </c>
      <c r="C4885" s="710" t="s">
        <v>5252</v>
      </c>
      <c r="D4885" s="709" t="s">
        <v>136</v>
      </c>
      <c r="E4885" s="711">
        <v>0.26179999999999998</v>
      </c>
    </row>
    <row r="4886" spans="1:5" x14ac:dyDescent="0.3">
      <c r="A4886" s="397"/>
      <c r="B4886" s="709">
        <v>89530</v>
      </c>
      <c r="C4886" s="710" t="s">
        <v>5253</v>
      </c>
      <c r="D4886" s="709" t="s">
        <v>136</v>
      </c>
      <c r="E4886" s="711">
        <v>0.1396</v>
      </c>
    </row>
    <row r="4887" spans="1:5" x14ac:dyDescent="0.3">
      <c r="A4887" s="397"/>
      <c r="B4887" s="709">
        <v>89425</v>
      </c>
      <c r="C4887" s="710" t="s">
        <v>5254</v>
      </c>
      <c r="D4887" s="709" t="s">
        <v>136</v>
      </c>
      <c r="E4887" s="711">
        <v>0.23760000000000001</v>
      </c>
    </row>
    <row r="4888" spans="1:5" x14ac:dyDescent="0.3">
      <c r="A4888" s="397"/>
      <c r="B4888" s="709">
        <v>89379</v>
      </c>
      <c r="C4888" s="710" t="s">
        <v>5255</v>
      </c>
      <c r="D4888" s="709" t="s">
        <v>136</v>
      </c>
      <c r="E4888" s="711">
        <v>0.2586</v>
      </c>
    </row>
    <row r="4889" spans="1:5" x14ac:dyDescent="0.3">
      <c r="A4889" s="397"/>
      <c r="B4889" s="709">
        <v>89542</v>
      </c>
      <c r="C4889" s="710" t="s">
        <v>5256</v>
      </c>
      <c r="D4889" s="709" t="s">
        <v>136</v>
      </c>
      <c r="E4889" s="711">
        <v>0.1026</v>
      </c>
    </row>
    <row r="4890" spans="1:5" x14ac:dyDescent="0.3">
      <c r="A4890" s="397"/>
      <c r="B4890" s="709">
        <v>89432</v>
      </c>
      <c r="C4890" s="710" t="s">
        <v>5257</v>
      </c>
      <c r="D4890" s="709" t="s">
        <v>136</v>
      </c>
      <c r="E4890" s="711">
        <v>0.1764</v>
      </c>
    </row>
    <row r="4891" spans="1:5" x14ac:dyDescent="0.3">
      <c r="A4891" s="397"/>
      <c r="B4891" s="709">
        <v>89387</v>
      </c>
      <c r="C4891" s="710" t="s">
        <v>5258</v>
      </c>
      <c r="D4891" s="709" t="s">
        <v>136</v>
      </c>
      <c r="E4891" s="711">
        <v>0.193</v>
      </c>
    </row>
    <row r="4892" spans="1:5" x14ac:dyDescent="0.3">
      <c r="A4892" s="397"/>
      <c r="B4892" s="709">
        <v>89560</v>
      </c>
      <c r="C4892" s="710" t="s">
        <v>5259</v>
      </c>
      <c r="D4892" s="709" t="s">
        <v>136</v>
      </c>
      <c r="E4892" s="711">
        <v>9.6299999999999997E-2</v>
      </c>
    </row>
    <row r="4893" spans="1:5" x14ac:dyDescent="0.3">
      <c r="A4893" s="397"/>
      <c r="B4893" s="709">
        <v>104159</v>
      </c>
      <c r="C4893" s="710" t="s">
        <v>5260</v>
      </c>
      <c r="D4893" s="709" t="s">
        <v>136</v>
      </c>
      <c r="E4893" s="711">
        <v>0.16420000000000001</v>
      </c>
    </row>
    <row r="4894" spans="1:5" x14ac:dyDescent="0.3">
      <c r="A4894" s="397"/>
      <c r="B4894" s="709">
        <v>89577</v>
      </c>
      <c r="C4894" s="710" t="s">
        <v>5261</v>
      </c>
      <c r="D4894" s="709" t="s">
        <v>136</v>
      </c>
      <c r="E4894" s="711">
        <v>0.1111</v>
      </c>
    </row>
    <row r="4895" spans="1:5" x14ac:dyDescent="0.3">
      <c r="A4895" s="397"/>
      <c r="B4895" s="709">
        <v>103996</v>
      </c>
      <c r="C4895" s="710" t="s">
        <v>5262</v>
      </c>
      <c r="D4895" s="709" t="s">
        <v>136</v>
      </c>
      <c r="E4895" s="711">
        <v>0.1842</v>
      </c>
    </row>
    <row r="4896" spans="1:5" x14ac:dyDescent="0.3">
      <c r="A4896" s="397"/>
      <c r="B4896" s="709">
        <v>89598</v>
      </c>
      <c r="C4896" s="710" t="s">
        <v>5263</v>
      </c>
      <c r="D4896" s="709" t="s">
        <v>136</v>
      </c>
      <c r="E4896" s="711">
        <v>9.7299999999999998E-2</v>
      </c>
    </row>
    <row r="4897" spans="1:5" x14ac:dyDescent="0.3">
      <c r="A4897" s="397"/>
      <c r="B4897" s="709">
        <v>89419</v>
      </c>
      <c r="C4897" s="710" t="s">
        <v>5264</v>
      </c>
      <c r="D4897" s="709" t="s">
        <v>136</v>
      </c>
      <c r="E4897" s="711">
        <v>0.61809999999999998</v>
      </c>
    </row>
    <row r="4898" spans="1:5" x14ac:dyDescent="0.3">
      <c r="A4898" s="397"/>
      <c r="B4898" s="709">
        <v>89373</v>
      </c>
      <c r="C4898" s="710" t="s">
        <v>5265</v>
      </c>
      <c r="D4898" s="709" t="s">
        <v>136</v>
      </c>
      <c r="E4898" s="711">
        <v>0.64370000000000005</v>
      </c>
    </row>
    <row r="4899" spans="1:5" x14ac:dyDescent="0.3">
      <c r="A4899" s="397"/>
      <c r="B4899" s="709">
        <v>89532</v>
      </c>
      <c r="C4899" s="710" t="s">
        <v>5266</v>
      </c>
      <c r="D4899" s="709" t="s">
        <v>136</v>
      </c>
      <c r="E4899" s="711">
        <v>0.35370000000000001</v>
      </c>
    </row>
    <row r="4900" spans="1:5" x14ac:dyDescent="0.3">
      <c r="A4900" s="397"/>
      <c r="B4900" s="709">
        <v>89426</v>
      </c>
      <c r="C4900" s="710" t="s">
        <v>5267</v>
      </c>
      <c r="D4900" s="709" t="s">
        <v>136</v>
      </c>
      <c r="E4900" s="711">
        <v>0.50670000000000004</v>
      </c>
    </row>
    <row r="4901" spans="1:5" x14ac:dyDescent="0.3">
      <c r="A4901" s="397"/>
      <c r="B4901" s="709">
        <v>89380</v>
      </c>
      <c r="C4901" s="710" t="s">
        <v>5268</v>
      </c>
      <c r="D4901" s="709" t="s">
        <v>136</v>
      </c>
      <c r="E4901" s="711">
        <v>0.5343</v>
      </c>
    </row>
    <row r="4902" spans="1:5" x14ac:dyDescent="0.3">
      <c r="A4902" s="397"/>
      <c r="B4902" s="709">
        <v>89562</v>
      </c>
      <c r="C4902" s="710" t="s">
        <v>5269</v>
      </c>
      <c r="D4902" s="709" t="s">
        <v>136</v>
      </c>
      <c r="E4902" s="711">
        <v>0.29449999999999998</v>
      </c>
    </row>
    <row r="4903" spans="1:5" x14ac:dyDescent="0.3">
      <c r="A4903" s="397"/>
      <c r="B4903" s="709">
        <v>89433</v>
      </c>
      <c r="C4903" s="710" t="s">
        <v>5270</v>
      </c>
      <c r="D4903" s="709" t="s">
        <v>136</v>
      </c>
      <c r="E4903" s="711">
        <v>0.43569999999999998</v>
      </c>
    </row>
    <row r="4904" spans="1:5" x14ac:dyDescent="0.3">
      <c r="A4904" s="397"/>
      <c r="B4904" s="709">
        <v>89579</v>
      </c>
      <c r="C4904" s="710" t="s">
        <v>5271</v>
      </c>
      <c r="D4904" s="709" t="s">
        <v>136</v>
      </c>
      <c r="E4904" s="711">
        <v>0.2702</v>
      </c>
    </row>
    <row r="4905" spans="1:5" x14ac:dyDescent="0.3">
      <c r="A4905" s="397"/>
      <c r="B4905" s="709">
        <v>103998</v>
      </c>
      <c r="C4905" s="710" t="s">
        <v>5272</v>
      </c>
      <c r="D4905" s="709" t="s">
        <v>136</v>
      </c>
      <c r="E4905" s="711">
        <v>0.40500000000000003</v>
      </c>
    </row>
    <row r="4906" spans="1:5" x14ac:dyDescent="0.3">
      <c r="A4906" s="397"/>
      <c r="B4906" s="709">
        <v>89605</v>
      </c>
      <c r="C4906" s="710" t="s">
        <v>5273</v>
      </c>
      <c r="D4906" s="709" t="s">
        <v>136</v>
      </c>
      <c r="E4906" s="711">
        <v>0.21529999999999999</v>
      </c>
    </row>
    <row r="4907" spans="1:5" x14ac:dyDescent="0.3">
      <c r="A4907" s="397"/>
      <c r="B4907" s="709">
        <v>89981</v>
      </c>
      <c r="C4907" s="710" t="s">
        <v>5274</v>
      </c>
      <c r="D4907" s="709" t="s">
        <v>136</v>
      </c>
      <c r="E4907" s="711">
        <v>0.1153</v>
      </c>
    </row>
    <row r="4908" spans="1:5" x14ac:dyDescent="0.3">
      <c r="A4908" s="397"/>
      <c r="B4908" s="709">
        <v>89385</v>
      </c>
      <c r="C4908" s="710" t="s">
        <v>5275</v>
      </c>
      <c r="D4908" s="709" t="s">
        <v>136</v>
      </c>
      <c r="E4908" s="711">
        <v>0.63319999999999999</v>
      </c>
    </row>
    <row r="4909" spans="1:5" x14ac:dyDescent="0.3">
      <c r="A4909" s="397"/>
      <c r="B4909" s="709">
        <v>89551</v>
      </c>
      <c r="C4909" s="710" t="s">
        <v>5276</v>
      </c>
      <c r="D4909" s="709" t="s">
        <v>136</v>
      </c>
      <c r="E4909" s="711">
        <v>0.29420000000000002</v>
      </c>
    </row>
    <row r="4910" spans="1:5" x14ac:dyDescent="0.3">
      <c r="A4910" s="397"/>
      <c r="B4910" s="709">
        <v>89434</v>
      </c>
      <c r="C4910" s="710" t="s">
        <v>5277</v>
      </c>
      <c r="D4910" s="709" t="s">
        <v>136</v>
      </c>
      <c r="E4910" s="711">
        <v>0.4395</v>
      </c>
    </row>
    <row r="4911" spans="1:5" x14ac:dyDescent="0.3">
      <c r="A4911" s="397"/>
      <c r="B4911" s="709">
        <v>89389</v>
      </c>
      <c r="C4911" s="710" t="s">
        <v>5278</v>
      </c>
      <c r="D4911" s="709" t="s">
        <v>136</v>
      </c>
      <c r="E4911" s="711">
        <v>0.46710000000000002</v>
      </c>
    </row>
    <row r="4912" spans="1:5" x14ac:dyDescent="0.3">
      <c r="A4912" s="397"/>
      <c r="B4912" s="709">
        <v>89417</v>
      </c>
      <c r="C4912" s="710" t="s">
        <v>5279</v>
      </c>
      <c r="D4912" s="709" t="s">
        <v>136</v>
      </c>
      <c r="E4912" s="711">
        <v>0.69030000000000002</v>
      </c>
    </row>
    <row r="4913" spans="1:5" x14ac:dyDescent="0.3">
      <c r="A4913" s="397"/>
      <c r="B4913" s="709">
        <v>89371</v>
      </c>
      <c r="C4913" s="710" t="s">
        <v>5280</v>
      </c>
      <c r="D4913" s="709" t="s">
        <v>136</v>
      </c>
      <c r="E4913" s="711">
        <v>0.7137</v>
      </c>
    </row>
    <row r="4914" spans="1:5" x14ac:dyDescent="0.3">
      <c r="A4914" s="397"/>
      <c r="B4914" s="709">
        <v>89528</v>
      </c>
      <c r="C4914" s="710" t="s">
        <v>5281</v>
      </c>
      <c r="D4914" s="709" t="s">
        <v>136</v>
      </c>
      <c r="E4914" s="711">
        <v>0.52529999999999999</v>
      </c>
    </row>
    <row r="4915" spans="1:5" x14ac:dyDescent="0.3">
      <c r="A4915" s="397"/>
      <c r="B4915" s="709">
        <v>89424</v>
      </c>
      <c r="C4915" s="710" t="s">
        <v>5282</v>
      </c>
      <c r="D4915" s="709" t="s">
        <v>136</v>
      </c>
      <c r="E4915" s="711">
        <v>0.67620000000000002</v>
      </c>
    </row>
    <row r="4916" spans="1:5" x14ac:dyDescent="0.3">
      <c r="A4916" s="397"/>
      <c r="B4916" s="709">
        <v>89378</v>
      </c>
      <c r="C4916" s="710" t="s">
        <v>5283</v>
      </c>
      <c r="D4916" s="709" t="s">
        <v>136</v>
      </c>
      <c r="E4916" s="711">
        <v>0.70040000000000002</v>
      </c>
    </row>
    <row r="4917" spans="1:5" x14ac:dyDescent="0.3">
      <c r="A4917" s="397"/>
      <c r="B4917" s="709">
        <v>89541</v>
      </c>
      <c r="C4917" s="710" t="s">
        <v>5284</v>
      </c>
      <c r="D4917" s="709" t="s">
        <v>136</v>
      </c>
      <c r="E4917" s="711">
        <v>0.42930000000000001</v>
      </c>
    </row>
    <row r="4918" spans="1:5" x14ac:dyDescent="0.3">
      <c r="A4918" s="397"/>
      <c r="B4918" s="709">
        <v>89431</v>
      </c>
      <c r="C4918" s="710" t="s">
        <v>5285</v>
      </c>
      <c r="D4918" s="709" t="s">
        <v>136</v>
      </c>
      <c r="E4918" s="711">
        <v>0.58260000000000001</v>
      </c>
    </row>
    <row r="4919" spans="1:5" x14ac:dyDescent="0.3">
      <c r="A4919" s="397"/>
      <c r="B4919" s="709">
        <v>89386</v>
      </c>
      <c r="C4919" s="710" t="s">
        <v>5286</v>
      </c>
      <c r="D4919" s="709" t="s">
        <v>136</v>
      </c>
      <c r="E4919" s="711">
        <v>0.60880000000000001</v>
      </c>
    </row>
    <row r="4920" spans="1:5" x14ac:dyDescent="0.3">
      <c r="A4920" s="397"/>
      <c r="B4920" s="709">
        <v>89558</v>
      </c>
      <c r="C4920" s="710" t="s">
        <v>5287</v>
      </c>
      <c r="D4920" s="709" t="s">
        <v>136</v>
      </c>
      <c r="E4920" s="711">
        <v>0.34100000000000003</v>
      </c>
    </row>
    <row r="4921" spans="1:5" x14ac:dyDescent="0.3">
      <c r="A4921" s="397"/>
      <c r="B4921" s="709">
        <v>103988</v>
      </c>
      <c r="C4921" s="710" t="s">
        <v>5288</v>
      </c>
      <c r="D4921" s="709" t="s">
        <v>136</v>
      </c>
      <c r="E4921" s="711">
        <v>0.48680000000000001</v>
      </c>
    </row>
    <row r="4922" spans="1:5" x14ac:dyDescent="0.3">
      <c r="A4922" s="397"/>
      <c r="B4922" s="709">
        <v>89575</v>
      </c>
      <c r="C4922" s="710" t="s">
        <v>5289</v>
      </c>
      <c r="D4922" s="709" t="s">
        <v>136</v>
      </c>
      <c r="E4922" s="711">
        <v>0.34960000000000002</v>
      </c>
    </row>
    <row r="4923" spans="1:5" x14ac:dyDescent="0.3">
      <c r="A4923" s="397"/>
      <c r="B4923" s="709">
        <v>103995</v>
      </c>
      <c r="C4923" s="710" t="s">
        <v>5290</v>
      </c>
      <c r="D4923" s="709" t="s">
        <v>136</v>
      </c>
      <c r="E4923" s="711">
        <v>0.49109999999999998</v>
      </c>
    </row>
    <row r="4924" spans="1:5" x14ac:dyDescent="0.3">
      <c r="A4924" s="397"/>
      <c r="B4924" s="709">
        <v>89597</v>
      </c>
      <c r="C4924" s="710" t="s">
        <v>5291</v>
      </c>
      <c r="D4924" s="709" t="s">
        <v>136</v>
      </c>
      <c r="E4924" s="711">
        <v>0.21199999999999999</v>
      </c>
    </row>
    <row r="4925" spans="1:5" x14ac:dyDescent="0.3">
      <c r="A4925" s="397"/>
      <c r="B4925" s="709">
        <v>89611</v>
      </c>
      <c r="C4925" s="710" t="s">
        <v>5292</v>
      </c>
      <c r="D4925" s="709" t="s">
        <v>136</v>
      </c>
      <c r="E4925" s="711">
        <v>0.18310000000000001</v>
      </c>
    </row>
    <row r="4926" spans="1:5" x14ac:dyDescent="0.3">
      <c r="A4926" s="397"/>
      <c r="B4926" s="709">
        <v>89614</v>
      </c>
      <c r="C4926" s="710" t="s">
        <v>5293</v>
      </c>
      <c r="D4926" s="709" t="s">
        <v>136</v>
      </c>
      <c r="E4926" s="711">
        <v>0.1113</v>
      </c>
    </row>
    <row r="4927" spans="1:5" x14ac:dyDescent="0.3">
      <c r="A4927" s="397"/>
      <c r="B4927" s="709">
        <v>103975</v>
      </c>
      <c r="C4927" s="710" t="s">
        <v>5294</v>
      </c>
      <c r="D4927" s="709" t="s">
        <v>136</v>
      </c>
      <c r="E4927" s="711">
        <v>0.33050000000000002</v>
      </c>
    </row>
    <row r="4928" spans="1:5" x14ac:dyDescent="0.3">
      <c r="A4928" s="397"/>
      <c r="B4928" s="709">
        <v>104007</v>
      </c>
      <c r="C4928" s="710" t="s">
        <v>5295</v>
      </c>
      <c r="D4928" s="709" t="s">
        <v>136</v>
      </c>
      <c r="E4928" s="711">
        <v>0.4516</v>
      </c>
    </row>
    <row r="4929" spans="1:5" x14ac:dyDescent="0.3">
      <c r="A4929" s="397"/>
      <c r="B4929" s="709">
        <v>103976</v>
      </c>
      <c r="C4929" s="710" t="s">
        <v>5296</v>
      </c>
      <c r="D4929" s="709" t="s">
        <v>136</v>
      </c>
      <c r="E4929" s="711">
        <v>0.26719999999999999</v>
      </c>
    </row>
    <row r="4930" spans="1:5" x14ac:dyDescent="0.3">
      <c r="A4930" s="397"/>
      <c r="B4930" s="709">
        <v>104008</v>
      </c>
      <c r="C4930" s="710" t="s">
        <v>5297</v>
      </c>
      <c r="D4930" s="709" t="s">
        <v>136</v>
      </c>
      <c r="E4930" s="711">
        <v>0.39960000000000001</v>
      </c>
    </row>
    <row r="4931" spans="1:5" x14ac:dyDescent="0.3">
      <c r="A4931" s="397"/>
      <c r="B4931" s="709">
        <v>89630</v>
      </c>
      <c r="C4931" s="710" t="s">
        <v>5298</v>
      </c>
      <c r="D4931" s="709" t="s">
        <v>136</v>
      </c>
      <c r="E4931" s="711">
        <v>0.16420000000000001</v>
      </c>
    </row>
    <row r="4932" spans="1:5" x14ac:dyDescent="0.3">
      <c r="A4932" s="397"/>
      <c r="B4932" s="709">
        <v>89632</v>
      </c>
      <c r="C4932" s="710" t="s">
        <v>5299</v>
      </c>
      <c r="D4932" s="709" t="s">
        <v>136</v>
      </c>
      <c r="E4932" s="711">
        <v>9.4100000000000003E-2</v>
      </c>
    </row>
    <row r="4933" spans="1:5" x14ac:dyDescent="0.3">
      <c r="A4933" s="397"/>
      <c r="B4933" s="709">
        <v>89438</v>
      </c>
      <c r="C4933" s="710" t="s">
        <v>5300</v>
      </c>
      <c r="D4933" s="709" t="s">
        <v>136</v>
      </c>
      <c r="E4933" s="711">
        <v>0.75529999999999997</v>
      </c>
    </row>
    <row r="4934" spans="1:5" x14ac:dyDescent="0.3">
      <c r="A4934" s="397"/>
      <c r="B4934" s="709">
        <v>89393</v>
      </c>
      <c r="C4934" s="710" t="s">
        <v>5301</v>
      </c>
      <c r="D4934" s="709" t="s">
        <v>136</v>
      </c>
      <c r="E4934" s="711">
        <v>0.77470000000000006</v>
      </c>
    </row>
    <row r="4935" spans="1:5" x14ac:dyDescent="0.3">
      <c r="A4935" s="397"/>
      <c r="B4935" s="709">
        <v>89617</v>
      </c>
      <c r="C4935" s="710" t="s">
        <v>5302</v>
      </c>
      <c r="D4935" s="709" t="s">
        <v>136</v>
      </c>
      <c r="E4935" s="711">
        <v>0.59870000000000001</v>
      </c>
    </row>
    <row r="4936" spans="1:5" x14ac:dyDescent="0.3">
      <c r="A4936" s="397"/>
      <c r="B4936" s="709">
        <v>89440</v>
      </c>
      <c r="C4936" s="710" t="s">
        <v>5303</v>
      </c>
      <c r="D4936" s="709" t="s">
        <v>136</v>
      </c>
      <c r="E4936" s="711">
        <v>0.73809999999999998</v>
      </c>
    </row>
    <row r="4937" spans="1:5" x14ac:dyDescent="0.3">
      <c r="A4937" s="397"/>
      <c r="B4937" s="709">
        <v>89395</v>
      </c>
      <c r="C4937" s="710" t="s">
        <v>5304</v>
      </c>
      <c r="D4937" s="709" t="s">
        <v>136</v>
      </c>
      <c r="E4937" s="711">
        <v>0.75880000000000003</v>
      </c>
    </row>
    <row r="4938" spans="1:5" x14ac:dyDescent="0.3">
      <c r="A4938" s="397"/>
      <c r="B4938" s="709">
        <v>89620</v>
      </c>
      <c r="C4938" s="710" t="s">
        <v>5305</v>
      </c>
      <c r="D4938" s="709" t="s">
        <v>136</v>
      </c>
      <c r="E4938" s="711">
        <v>0.4672</v>
      </c>
    </row>
    <row r="4939" spans="1:5" x14ac:dyDescent="0.3">
      <c r="A4939" s="397"/>
      <c r="B4939" s="709">
        <v>89443</v>
      </c>
      <c r="C4939" s="710" t="s">
        <v>5306</v>
      </c>
      <c r="D4939" s="709" t="s">
        <v>136</v>
      </c>
      <c r="E4939" s="711">
        <v>0.61950000000000005</v>
      </c>
    </row>
    <row r="4940" spans="1:5" x14ac:dyDescent="0.3">
      <c r="A4940" s="397"/>
      <c r="B4940" s="709">
        <v>89398</v>
      </c>
      <c r="C4940" s="710" t="s">
        <v>5307</v>
      </c>
      <c r="D4940" s="709" t="s">
        <v>136</v>
      </c>
      <c r="E4940" s="711">
        <v>0.64470000000000005</v>
      </c>
    </row>
    <row r="4941" spans="1:5" x14ac:dyDescent="0.3">
      <c r="A4941" s="397"/>
      <c r="B4941" s="709">
        <v>89623</v>
      </c>
      <c r="C4941" s="710" t="s">
        <v>5308</v>
      </c>
      <c r="D4941" s="709" t="s">
        <v>136</v>
      </c>
      <c r="E4941" s="711">
        <v>0.34839999999999999</v>
      </c>
    </row>
    <row r="4942" spans="1:5" x14ac:dyDescent="0.3">
      <c r="A4942" s="397"/>
      <c r="B4942" s="709">
        <v>104011</v>
      </c>
      <c r="C4942" s="710" t="s">
        <v>5309</v>
      </c>
      <c r="D4942" s="709" t="s">
        <v>136</v>
      </c>
      <c r="E4942" s="711">
        <v>0.49299999999999999</v>
      </c>
    </row>
    <row r="4943" spans="1:5" x14ac:dyDescent="0.3">
      <c r="A4943" s="397"/>
      <c r="B4943" s="709">
        <v>89625</v>
      </c>
      <c r="C4943" s="710" t="s">
        <v>5310</v>
      </c>
      <c r="D4943" s="709" t="s">
        <v>136</v>
      </c>
      <c r="E4943" s="711">
        <v>0.3589</v>
      </c>
    </row>
    <row r="4944" spans="1:5" x14ac:dyDescent="0.3">
      <c r="A4944" s="397"/>
      <c r="B4944" s="709">
        <v>104004</v>
      </c>
      <c r="C4944" s="710" t="s">
        <v>5311</v>
      </c>
      <c r="D4944" s="709" t="s">
        <v>136</v>
      </c>
      <c r="E4944" s="711">
        <v>0.50129999999999997</v>
      </c>
    </row>
    <row r="4945" spans="1:5" x14ac:dyDescent="0.3">
      <c r="A4945" s="397"/>
      <c r="B4945" s="709">
        <v>89628</v>
      </c>
      <c r="C4945" s="710" t="s">
        <v>5312</v>
      </c>
      <c r="D4945" s="709" t="s">
        <v>136</v>
      </c>
      <c r="E4945" s="711">
        <v>0.20169999999999999</v>
      </c>
    </row>
    <row r="4946" spans="1:5" x14ac:dyDescent="0.3">
      <c r="A4946" s="397"/>
      <c r="B4946" s="709">
        <v>89629</v>
      </c>
      <c r="C4946" s="710" t="s">
        <v>5313</v>
      </c>
      <c r="D4946" s="709" t="s">
        <v>136</v>
      </c>
      <c r="E4946" s="711">
        <v>0.1474</v>
      </c>
    </row>
    <row r="4947" spans="1:5" x14ac:dyDescent="0.3">
      <c r="A4947" s="397"/>
      <c r="B4947" s="709">
        <v>89631</v>
      </c>
      <c r="C4947" s="710" t="s">
        <v>5314</v>
      </c>
      <c r="D4947" s="709" t="s">
        <v>136</v>
      </c>
      <c r="E4947" s="711">
        <v>0.12620000000000001</v>
      </c>
    </row>
    <row r="4948" spans="1:5" x14ac:dyDescent="0.3">
      <c r="A4948" s="397"/>
      <c r="B4948" s="709">
        <v>89401</v>
      </c>
      <c r="C4948" s="710" t="s">
        <v>5315</v>
      </c>
      <c r="D4948" s="709" t="s">
        <v>159</v>
      </c>
      <c r="E4948" s="711">
        <v>0.61909999999999998</v>
      </c>
    </row>
    <row r="4949" spans="1:5" x14ac:dyDescent="0.3">
      <c r="A4949" s="397"/>
      <c r="B4949" s="709">
        <v>89355</v>
      </c>
      <c r="C4949" s="710" t="s">
        <v>5316</v>
      </c>
      <c r="D4949" s="709" t="s">
        <v>159</v>
      </c>
      <c r="E4949" s="711">
        <v>0.79259999999999997</v>
      </c>
    </row>
    <row r="4950" spans="1:5" x14ac:dyDescent="0.3">
      <c r="A4950" s="397"/>
      <c r="B4950" s="709">
        <v>89446</v>
      </c>
      <c r="C4950" s="710" t="s">
        <v>5317</v>
      </c>
      <c r="D4950" s="709" t="s">
        <v>159</v>
      </c>
      <c r="E4950" s="711">
        <v>0.17100000000000001</v>
      </c>
    </row>
    <row r="4951" spans="1:5" x14ac:dyDescent="0.3">
      <c r="A4951" s="397"/>
      <c r="B4951" s="709">
        <v>89402</v>
      </c>
      <c r="C4951" s="710" t="s">
        <v>5318</v>
      </c>
      <c r="D4951" s="709" t="s">
        <v>159</v>
      </c>
      <c r="E4951" s="711">
        <v>0.62570000000000003</v>
      </c>
    </row>
    <row r="4952" spans="1:5" x14ac:dyDescent="0.3">
      <c r="A4952" s="397"/>
      <c r="B4952" s="709">
        <v>89356</v>
      </c>
      <c r="C4952" s="710" t="s">
        <v>5319</v>
      </c>
      <c r="D4952" s="709" t="s">
        <v>159</v>
      </c>
      <c r="E4952" s="711">
        <v>0.79669999999999996</v>
      </c>
    </row>
    <row r="4953" spans="1:5" x14ac:dyDescent="0.3">
      <c r="A4953" s="397"/>
      <c r="B4953" s="709">
        <v>89447</v>
      </c>
      <c r="C4953" s="710" t="s">
        <v>5320</v>
      </c>
      <c r="D4953" s="709" t="s">
        <v>159</v>
      </c>
      <c r="E4953" s="711">
        <v>0.1036</v>
      </c>
    </row>
    <row r="4954" spans="1:5" x14ac:dyDescent="0.3">
      <c r="A4954" s="397"/>
      <c r="B4954" s="709">
        <v>89403</v>
      </c>
      <c r="C4954" s="710" t="s">
        <v>5321</v>
      </c>
      <c r="D4954" s="709" t="s">
        <v>159</v>
      </c>
      <c r="E4954" s="711">
        <v>0.48180000000000001</v>
      </c>
    </row>
    <row r="4955" spans="1:5" x14ac:dyDescent="0.3">
      <c r="A4955" s="397"/>
      <c r="B4955" s="709">
        <v>89357</v>
      </c>
      <c r="C4955" s="710" t="s">
        <v>5322</v>
      </c>
      <c r="D4955" s="709" t="s">
        <v>159</v>
      </c>
      <c r="E4955" s="711">
        <v>0.68759999999999999</v>
      </c>
    </row>
    <row r="4956" spans="1:5" x14ac:dyDescent="0.3">
      <c r="A4956" s="397"/>
      <c r="B4956" s="709">
        <v>89448</v>
      </c>
      <c r="C4956" s="710" t="s">
        <v>5323</v>
      </c>
      <c r="D4956" s="709" t="s">
        <v>159</v>
      </c>
      <c r="E4956" s="711">
        <v>8.1199999999999994E-2</v>
      </c>
    </row>
    <row r="4957" spans="1:5" x14ac:dyDescent="0.3">
      <c r="A4957" s="397"/>
      <c r="B4957" s="709">
        <v>103978</v>
      </c>
      <c r="C4957" s="710" t="s">
        <v>5324</v>
      </c>
      <c r="D4957" s="709" t="s">
        <v>159</v>
      </c>
      <c r="E4957" s="711">
        <v>0.41339999999999999</v>
      </c>
    </row>
    <row r="4958" spans="1:5" x14ac:dyDescent="0.3">
      <c r="A4958" s="397"/>
      <c r="B4958" s="709">
        <v>89449</v>
      </c>
      <c r="C4958" s="710" t="s">
        <v>5325</v>
      </c>
      <c r="D4958" s="709" t="s">
        <v>159</v>
      </c>
      <c r="E4958" s="711">
        <v>8.8999999999999996E-2</v>
      </c>
    </row>
    <row r="4959" spans="1:5" x14ac:dyDescent="0.3">
      <c r="A4959" s="397"/>
      <c r="B4959" s="709">
        <v>103979</v>
      </c>
      <c r="C4959" s="710" t="s">
        <v>5326</v>
      </c>
      <c r="D4959" s="709" t="s">
        <v>159</v>
      </c>
      <c r="E4959" s="711">
        <v>0.43430000000000002</v>
      </c>
    </row>
    <row r="4960" spans="1:5" x14ac:dyDescent="0.3">
      <c r="A4960" s="397"/>
      <c r="B4960" s="709">
        <v>89450</v>
      </c>
      <c r="C4960" s="710" t="s">
        <v>5327</v>
      </c>
      <c r="D4960" s="709" t="s">
        <v>159</v>
      </c>
      <c r="E4960" s="711">
        <v>6.5100000000000005E-2</v>
      </c>
    </row>
    <row r="4961" spans="1:5" x14ac:dyDescent="0.3">
      <c r="A4961" s="397"/>
      <c r="B4961" s="709">
        <v>89451</v>
      </c>
      <c r="C4961" s="710" t="s">
        <v>5328</v>
      </c>
      <c r="D4961" s="709" t="s">
        <v>159</v>
      </c>
      <c r="E4961" s="711">
        <v>4.9399999999999999E-2</v>
      </c>
    </row>
    <row r="4962" spans="1:5" x14ac:dyDescent="0.3">
      <c r="A4962" s="397"/>
      <c r="B4962" s="709">
        <v>89452</v>
      </c>
      <c r="C4962" s="710" t="s">
        <v>5329</v>
      </c>
      <c r="D4962" s="709" t="s">
        <v>159</v>
      </c>
      <c r="E4962" s="711">
        <v>0.04</v>
      </c>
    </row>
    <row r="4963" spans="1:5" x14ac:dyDescent="0.3">
      <c r="A4963" s="397"/>
      <c r="B4963" s="709">
        <v>89394</v>
      </c>
      <c r="C4963" s="710" t="s">
        <v>5330</v>
      </c>
      <c r="D4963" s="709" t="s">
        <v>136</v>
      </c>
      <c r="E4963" s="711">
        <v>0.4173</v>
      </c>
    </row>
    <row r="4964" spans="1:5" x14ac:dyDescent="0.3">
      <c r="A4964" s="397"/>
      <c r="B4964" s="709">
        <v>89396</v>
      </c>
      <c r="C4964" s="710" t="s">
        <v>5331</v>
      </c>
      <c r="D4964" s="709" t="s">
        <v>136</v>
      </c>
      <c r="E4964" s="711">
        <v>0.41320000000000001</v>
      </c>
    </row>
    <row r="4965" spans="1:5" x14ac:dyDescent="0.3">
      <c r="A4965" s="397"/>
      <c r="B4965" s="709">
        <v>90374</v>
      </c>
      <c r="C4965" s="710" t="s">
        <v>5332</v>
      </c>
      <c r="D4965" s="709" t="s">
        <v>136</v>
      </c>
      <c r="E4965" s="711">
        <v>0.4113</v>
      </c>
    </row>
    <row r="4966" spans="1:5" x14ac:dyDescent="0.3">
      <c r="A4966" s="397"/>
      <c r="B4966" s="709">
        <v>89444</v>
      </c>
      <c r="C4966" s="710" t="s">
        <v>5333</v>
      </c>
      <c r="D4966" s="709" t="s">
        <v>136</v>
      </c>
      <c r="E4966" s="711">
        <v>0.37180000000000002</v>
      </c>
    </row>
    <row r="4967" spans="1:5" x14ac:dyDescent="0.3">
      <c r="A4967" s="397"/>
      <c r="B4967" s="709">
        <v>89399</v>
      </c>
      <c r="C4967" s="710" t="s">
        <v>5334</v>
      </c>
      <c r="D4967" s="709" t="s">
        <v>136</v>
      </c>
      <c r="E4967" s="711">
        <v>0.3866</v>
      </c>
    </row>
    <row r="4968" spans="1:5" x14ac:dyDescent="0.3">
      <c r="A4968" s="397"/>
      <c r="B4968" s="709">
        <v>89442</v>
      </c>
      <c r="C4968" s="710" t="s">
        <v>5335</v>
      </c>
      <c r="D4968" s="709" t="s">
        <v>136</v>
      </c>
      <c r="E4968" s="711">
        <v>0.59340000000000004</v>
      </c>
    </row>
    <row r="4969" spans="1:5" x14ac:dyDescent="0.3">
      <c r="A4969" s="397"/>
      <c r="B4969" s="709">
        <v>89397</v>
      </c>
      <c r="C4969" s="710" t="s">
        <v>5336</v>
      </c>
      <c r="D4969" s="709" t="s">
        <v>136</v>
      </c>
      <c r="E4969" s="711">
        <v>0.61960000000000004</v>
      </c>
    </row>
    <row r="4970" spans="1:5" x14ac:dyDescent="0.3">
      <c r="A4970" s="397"/>
      <c r="B4970" s="709">
        <v>89622</v>
      </c>
      <c r="C4970" s="710" t="s">
        <v>5337</v>
      </c>
      <c r="D4970" s="709" t="s">
        <v>136</v>
      </c>
      <c r="E4970" s="711">
        <v>0.35820000000000002</v>
      </c>
    </row>
    <row r="4971" spans="1:5" x14ac:dyDescent="0.3">
      <c r="A4971" s="397"/>
      <c r="B4971" s="709">
        <v>89445</v>
      </c>
      <c r="C4971" s="710" t="s">
        <v>5338</v>
      </c>
      <c r="D4971" s="709" t="s">
        <v>136</v>
      </c>
      <c r="E4971" s="711">
        <v>0.51280000000000003</v>
      </c>
    </row>
    <row r="4972" spans="1:5" x14ac:dyDescent="0.3">
      <c r="A4972" s="397"/>
      <c r="B4972" s="709">
        <v>89400</v>
      </c>
      <c r="C4972" s="710" t="s">
        <v>5339</v>
      </c>
      <c r="D4972" s="709" t="s">
        <v>136</v>
      </c>
      <c r="E4972" s="711">
        <v>0.54020000000000001</v>
      </c>
    </row>
    <row r="4973" spans="1:5" x14ac:dyDescent="0.3">
      <c r="A4973" s="397"/>
      <c r="B4973" s="709">
        <v>89624</v>
      </c>
      <c r="C4973" s="710" t="s">
        <v>5340</v>
      </c>
      <c r="D4973" s="709" t="s">
        <v>136</v>
      </c>
      <c r="E4973" s="711">
        <v>0.34379999999999999</v>
      </c>
    </row>
    <row r="4974" spans="1:5" x14ac:dyDescent="0.3">
      <c r="A4974" s="397"/>
      <c r="B4974" s="709">
        <v>104012</v>
      </c>
      <c r="C4974" s="710" t="s">
        <v>5341</v>
      </c>
      <c r="D4974" s="709" t="s">
        <v>136</v>
      </c>
      <c r="E4974" s="711">
        <v>0.49059999999999998</v>
      </c>
    </row>
    <row r="4975" spans="1:5" x14ac:dyDescent="0.3">
      <c r="A4975" s="397"/>
      <c r="B4975" s="709">
        <v>89627</v>
      </c>
      <c r="C4975" s="710" t="s">
        <v>5342</v>
      </c>
      <c r="D4975" s="709" t="s">
        <v>136</v>
      </c>
      <c r="E4975" s="711">
        <v>0.31619999999999998</v>
      </c>
    </row>
    <row r="4976" spans="1:5" x14ac:dyDescent="0.3">
      <c r="A4976" s="397"/>
      <c r="B4976" s="709">
        <v>104006</v>
      </c>
      <c r="C4976" s="710" t="s">
        <v>5343</v>
      </c>
      <c r="D4976" s="709" t="s">
        <v>136</v>
      </c>
      <c r="E4976" s="711">
        <v>0.44640000000000002</v>
      </c>
    </row>
    <row r="4977" spans="1:5" x14ac:dyDescent="0.3">
      <c r="A4977" s="397"/>
      <c r="B4977" s="709">
        <v>89626</v>
      </c>
      <c r="C4977" s="710" t="s">
        <v>5344</v>
      </c>
      <c r="D4977" s="709" t="s">
        <v>136</v>
      </c>
      <c r="E4977" s="711">
        <v>0.24829999999999999</v>
      </c>
    </row>
    <row r="4978" spans="1:5" x14ac:dyDescent="0.3">
      <c r="A4978" s="397"/>
      <c r="B4978" s="709">
        <v>104005</v>
      </c>
      <c r="C4978" s="710" t="s">
        <v>5345</v>
      </c>
      <c r="D4978" s="709" t="s">
        <v>136</v>
      </c>
      <c r="E4978" s="711">
        <v>0.37430000000000002</v>
      </c>
    </row>
    <row r="4979" spans="1:5" x14ac:dyDescent="0.3">
      <c r="A4979" s="397"/>
      <c r="B4979" s="709">
        <v>89439</v>
      </c>
      <c r="C4979" s="710" t="s">
        <v>5346</v>
      </c>
      <c r="D4979" s="709" t="s">
        <v>136</v>
      </c>
      <c r="E4979" s="711">
        <v>0.65500000000000003</v>
      </c>
    </row>
    <row r="4980" spans="1:5" x14ac:dyDescent="0.3">
      <c r="A4980" s="397"/>
      <c r="B4980" s="709">
        <v>89421</v>
      </c>
      <c r="C4980" s="710" t="s">
        <v>5347</v>
      </c>
      <c r="D4980" s="709" t="s">
        <v>136</v>
      </c>
      <c r="E4980" s="711">
        <v>0.32679999999999998</v>
      </c>
    </row>
    <row r="4981" spans="1:5" x14ac:dyDescent="0.3">
      <c r="A4981" s="397"/>
      <c r="B4981" s="709">
        <v>89375</v>
      </c>
      <c r="C4981" s="710" t="s">
        <v>5348</v>
      </c>
      <c r="D4981" s="709" t="s">
        <v>136</v>
      </c>
      <c r="E4981" s="711">
        <v>0.3518</v>
      </c>
    </row>
    <row r="4982" spans="1:5" x14ac:dyDescent="0.3">
      <c r="A4982" s="397"/>
      <c r="B4982" s="709">
        <v>89536</v>
      </c>
      <c r="C4982" s="710" t="s">
        <v>5349</v>
      </c>
      <c r="D4982" s="709" t="s">
        <v>136</v>
      </c>
      <c r="E4982" s="711">
        <v>0.19309999999999999</v>
      </c>
    </row>
    <row r="4983" spans="1:5" x14ac:dyDescent="0.3">
      <c r="A4983" s="397"/>
      <c r="B4983" s="709">
        <v>89428</v>
      </c>
      <c r="C4983" s="710" t="s">
        <v>5350</v>
      </c>
      <c r="D4983" s="709" t="s">
        <v>136</v>
      </c>
      <c r="E4983" s="711">
        <v>0.31459999999999999</v>
      </c>
    </row>
    <row r="4984" spans="1:5" x14ac:dyDescent="0.3">
      <c r="A4984" s="397"/>
      <c r="B4984" s="709">
        <v>89382</v>
      </c>
      <c r="C4984" s="710" t="s">
        <v>5351</v>
      </c>
      <c r="D4984" s="709" t="s">
        <v>136</v>
      </c>
      <c r="E4984" s="711">
        <v>0.33939999999999998</v>
      </c>
    </row>
    <row r="4985" spans="1:5" x14ac:dyDescent="0.3">
      <c r="A4985" s="397"/>
      <c r="B4985" s="709">
        <v>89552</v>
      </c>
      <c r="C4985" s="710" t="s">
        <v>5352</v>
      </c>
      <c r="D4985" s="709" t="s">
        <v>136</v>
      </c>
      <c r="E4985" s="711">
        <v>0.15160000000000001</v>
      </c>
    </row>
    <row r="4986" spans="1:5" x14ac:dyDescent="0.3">
      <c r="A4986" s="397"/>
      <c r="B4986" s="709">
        <v>89435</v>
      </c>
      <c r="C4986" s="710" t="s">
        <v>5353</v>
      </c>
      <c r="D4986" s="709" t="s">
        <v>136</v>
      </c>
      <c r="E4986" s="711">
        <v>0.2505</v>
      </c>
    </row>
    <row r="4987" spans="1:5" x14ac:dyDescent="0.3">
      <c r="A4987" s="397"/>
      <c r="B4987" s="709">
        <v>89390</v>
      </c>
      <c r="C4987" s="710" t="s">
        <v>5354</v>
      </c>
      <c r="D4987" s="709" t="s">
        <v>136</v>
      </c>
      <c r="E4987" s="711">
        <v>0.27179999999999999</v>
      </c>
    </row>
    <row r="4988" spans="1:5" x14ac:dyDescent="0.3">
      <c r="A4988" s="397"/>
      <c r="B4988" s="709">
        <v>89568</v>
      </c>
      <c r="C4988" s="710" t="s">
        <v>5355</v>
      </c>
      <c r="D4988" s="709" t="s">
        <v>136</v>
      </c>
      <c r="E4988" s="711">
        <v>0.1038</v>
      </c>
    </row>
    <row r="4989" spans="1:5" x14ac:dyDescent="0.3">
      <c r="A4989" s="397"/>
      <c r="B4989" s="709">
        <v>103990</v>
      </c>
      <c r="C4989" s="710" t="s">
        <v>5356</v>
      </c>
      <c r="D4989" s="709" t="s">
        <v>136</v>
      </c>
      <c r="E4989" s="711">
        <v>0.17599999999999999</v>
      </c>
    </row>
    <row r="4990" spans="1:5" x14ac:dyDescent="0.3">
      <c r="A4990" s="397"/>
      <c r="B4990" s="709">
        <v>89594</v>
      </c>
      <c r="C4990" s="710" t="s">
        <v>5357</v>
      </c>
      <c r="D4990" s="709" t="s">
        <v>136</v>
      </c>
      <c r="E4990" s="711">
        <v>0.11409999999999999</v>
      </c>
    </row>
    <row r="4991" spans="1:5" x14ac:dyDescent="0.3">
      <c r="A4991" s="397"/>
      <c r="B4991" s="709">
        <v>103997</v>
      </c>
      <c r="C4991" s="710" t="s">
        <v>5358</v>
      </c>
      <c r="D4991" s="709" t="s">
        <v>136</v>
      </c>
      <c r="E4991" s="711">
        <v>0.18870000000000001</v>
      </c>
    </row>
    <row r="4992" spans="1:5" x14ac:dyDescent="0.3">
      <c r="A4992" s="397"/>
      <c r="B4992" s="709">
        <v>89609</v>
      </c>
      <c r="C4992" s="710" t="s">
        <v>5359</v>
      </c>
      <c r="D4992" s="709" t="s">
        <v>136</v>
      </c>
      <c r="E4992" s="711">
        <v>5.7799999999999997E-2</v>
      </c>
    </row>
    <row r="4993" spans="1:5" x14ac:dyDescent="0.3">
      <c r="A4993" s="397"/>
      <c r="B4993" s="709">
        <v>89612</v>
      </c>
      <c r="C4993" s="710" t="s">
        <v>5360</v>
      </c>
      <c r="D4993" s="709" t="s">
        <v>136</v>
      </c>
      <c r="E4993" s="711">
        <v>3.61E-2</v>
      </c>
    </row>
    <row r="4994" spans="1:5" x14ac:dyDescent="0.3">
      <c r="A4994" s="397"/>
      <c r="B4994" s="709">
        <v>89615</v>
      </c>
      <c r="C4994" s="710" t="s">
        <v>5361</v>
      </c>
      <c r="D4994" s="709" t="s">
        <v>136</v>
      </c>
      <c r="E4994" s="711">
        <v>3.44E-2</v>
      </c>
    </row>
    <row r="4995" spans="1:5" x14ac:dyDescent="0.3">
      <c r="A4995" s="397"/>
      <c r="B4995" s="709">
        <v>89747</v>
      </c>
      <c r="C4995" s="710" t="s">
        <v>5362</v>
      </c>
      <c r="D4995" s="709" t="s">
        <v>136</v>
      </c>
      <c r="E4995" s="711">
        <v>0.11609999999999999</v>
      </c>
    </row>
    <row r="4996" spans="1:5" x14ac:dyDescent="0.3">
      <c r="A4996" s="397"/>
      <c r="B4996" s="709">
        <v>89656</v>
      </c>
      <c r="C4996" s="710" t="s">
        <v>5363</v>
      </c>
      <c r="D4996" s="709" t="s">
        <v>136</v>
      </c>
      <c r="E4996" s="711">
        <v>0.1356</v>
      </c>
    </row>
    <row r="4997" spans="1:5" x14ac:dyDescent="0.3">
      <c r="A4997" s="397"/>
      <c r="B4997" s="709">
        <v>89663</v>
      </c>
      <c r="C4997" s="710" t="s">
        <v>5364</v>
      </c>
      <c r="D4997" s="709" t="s">
        <v>136</v>
      </c>
      <c r="E4997" s="711">
        <v>0.128</v>
      </c>
    </row>
    <row r="4998" spans="1:5" x14ac:dyDescent="0.3">
      <c r="A4998" s="397"/>
      <c r="B4998" s="709">
        <v>89759</v>
      </c>
      <c r="C4998" s="710" t="s">
        <v>5365</v>
      </c>
      <c r="D4998" s="709" t="s">
        <v>136</v>
      </c>
      <c r="E4998" s="711">
        <v>0.34139999999999998</v>
      </c>
    </row>
    <row r="4999" spans="1:5" x14ac:dyDescent="0.3">
      <c r="A4999" s="397"/>
      <c r="B4999" s="709">
        <v>89832</v>
      </c>
      <c r="C4999" s="710" t="s">
        <v>5366</v>
      </c>
      <c r="D4999" s="709" t="s">
        <v>136</v>
      </c>
      <c r="E4999" s="711">
        <v>0.108</v>
      </c>
    </row>
    <row r="5000" spans="1:5" x14ac:dyDescent="0.3">
      <c r="A5000" s="397"/>
      <c r="B5000" s="709">
        <v>89666</v>
      </c>
      <c r="C5000" s="710" t="s">
        <v>5367</v>
      </c>
      <c r="D5000" s="709" t="s">
        <v>136</v>
      </c>
      <c r="E5000" s="711">
        <v>0.50529999999999997</v>
      </c>
    </row>
    <row r="5001" spans="1:5" x14ac:dyDescent="0.3">
      <c r="A5001" s="397"/>
      <c r="B5001" s="709">
        <v>89678</v>
      </c>
      <c r="C5001" s="710" t="s">
        <v>5368</v>
      </c>
      <c r="D5001" s="709" t="s">
        <v>136</v>
      </c>
      <c r="E5001" s="711">
        <v>0.36720000000000003</v>
      </c>
    </row>
    <row r="5002" spans="1:5" x14ac:dyDescent="0.3">
      <c r="A5002" s="397"/>
      <c r="B5002" s="709">
        <v>89764</v>
      </c>
      <c r="C5002" s="710" t="s">
        <v>5369</v>
      </c>
      <c r="D5002" s="709" t="s">
        <v>136</v>
      </c>
      <c r="E5002" s="711">
        <v>0.1192</v>
      </c>
    </row>
    <row r="5003" spans="1:5" x14ac:dyDescent="0.3">
      <c r="A5003" s="397"/>
      <c r="B5003" s="709">
        <v>89689</v>
      </c>
      <c r="C5003" s="710" t="s">
        <v>5370</v>
      </c>
      <c r="D5003" s="709" t="s">
        <v>136</v>
      </c>
      <c r="E5003" s="711">
        <v>0.1313</v>
      </c>
    </row>
    <row r="5004" spans="1:5" x14ac:dyDescent="0.3">
      <c r="A5004" s="397"/>
      <c r="B5004" s="709">
        <v>89655</v>
      </c>
      <c r="C5004" s="710" t="s">
        <v>5371</v>
      </c>
      <c r="D5004" s="709" t="s">
        <v>136</v>
      </c>
      <c r="E5004" s="711">
        <v>0.12609999999999999</v>
      </c>
    </row>
    <row r="5005" spans="1:5" x14ac:dyDescent="0.3">
      <c r="A5005" s="397"/>
      <c r="B5005" s="709">
        <v>89662</v>
      </c>
      <c r="C5005" s="710" t="s">
        <v>5372</v>
      </c>
      <c r="D5005" s="709" t="s">
        <v>136</v>
      </c>
      <c r="E5005" s="711">
        <v>0.11</v>
      </c>
    </row>
    <row r="5006" spans="1:5" x14ac:dyDescent="0.3">
      <c r="A5006" s="397"/>
      <c r="B5006" s="709">
        <v>89758</v>
      </c>
      <c r="C5006" s="710" t="s">
        <v>5373</v>
      </c>
      <c r="D5006" s="709" t="s">
        <v>136</v>
      </c>
      <c r="E5006" s="711">
        <v>0.1057</v>
      </c>
    </row>
    <row r="5007" spans="1:5" x14ac:dyDescent="0.3">
      <c r="A5007" s="397"/>
      <c r="B5007" s="709">
        <v>89676</v>
      </c>
      <c r="C5007" s="710" t="s">
        <v>5374</v>
      </c>
      <c r="D5007" s="709" t="s">
        <v>136</v>
      </c>
      <c r="E5007" s="711">
        <v>0.1181</v>
      </c>
    </row>
    <row r="5008" spans="1:5" x14ac:dyDescent="0.3">
      <c r="A5008" s="397"/>
      <c r="B5008" s="709">
        <v>89818</v>
      </c>
      <c r="C5008" s="710" t="s">
        <v>5375</v>
      </c>
      <c r="D5008" s="709" t="s">
        <v>136</v>
      </c>
      <c r="E5008" s="711">
        <v>4.58E-2</v>
      </c>
    </row>
    <row r="5009" spans="1:5" x14ac:dyDescent="0.3">
      <c r="A5009" s="397"/>
      <c r="B5009" s="709">
        <v>89763</v>
      </c>
      <c r="C5009" s="710" t="s">
        <v>5376</v>
      </c>
      <c r="D5009" s="709" t="s">
        <v>136</v>
      </c>
      <c r="E5009" s="711">
        <v>8.2199999999999995E-2</v>
      </c>
    </row>
    <row r="5010" spans="1:5" x14ac:dyDescent="0.3">
      <c r="A5010" s="397"/>
      <c r="B5010" s="709">
        <v>89686</v>
      </c>
      <c r="C5010" s="710" t="s">
        <v>5377</v>
      </c>
      <c r="D5010" s="709" t="s">
        <v>136</v>
      </c>
      <c r="E5010" s="711">
        <v>9.0999999999999998E-2</v>
      </c>
    </row>
    <row r="5011" spans="1:5" x14ac:dyDescent="0.3">
      <c r="A5011" s="397"/>
      <c r="B5011" s="709">
        <v>104029</v>
      </c>
      <c r="C5011" s="710" t="s">
        <v>5378</v>
      </c>
      <c r="D5011" s="709" t="s">
        <v>136</v>
      </c>
      <c r="E5011" s="711">
        <v>7.5700000000000003E-2</v>
      </c>
    </row>
    <row r="5012" spans="1:5" x14ac:dyDescent="0.3">
      <c r="A5012" s="397"/>
      <c r="B5012" s="709">
        <v>89831</v>
      </c>
      <c r="C5012" s="710" t="s">
        <v>5379</v>
      </c>
      <c r="D5012" s="709" t="s">
        <v>136</v>
      </c>
      <c r="E5012" s="711">
        <v>4.2799999999999998E-2</v>
      </c>
    </row>
    <row r="5013" spans="1:5" x14ac:dyDescent="0.3">
      <c r="A5013" s="397"/>
      <c r="B5013" s="709">
        <v>89668</v>
      </c>
      <c r="C5013" s="710" t="s">
        <v>5380</v>
      </c>
      <c r="D5013" s="709" t="s">
        <v>136</v>
      </c>
      <c r="E5013" s="711">
        <v>0.1275</v>
      </c>
    </row>
    <row r="5014" spans="1:5" x14ac:dyDescent="0.3">
      <c r="A5014" s="397"/>
      <c r="B5014" s="709">
        <v>89639</v>
      </c>
      <c r="C5014" s="710" t="s">
        <v>5381</v>
      </c>
      <c r="D5014" s="709" t="s">
        <v>136</v>
      </c>
      <c r="E5014" s="711">
        <v>0.39560000000000001</v>
      </c>
    </row>
    <row r="5015" spans="1:5" x14ac:dyDescent="0.3">
      <c r="A5015" s="397"/>
      <c r="B5015" s="709">
        <v>89721</v>
      </c>
      <c r="C5015" s="710" t="s">
        <v>5382</v>
      </c>
      <c r="D5015" s="709" t="s">
        <v>136</v>
      </c>
      <c r="E5015" s="711">
        <v>0.33979999999999999</v>
      </c>
    </row>
    <row r="5016" spans="1:5" x14ac:dyDescent="0.3">
      <c r="A5016" s="397"/>
      <c r="B5016" s="709">
        <v>89643</v>
      </c>
      <c r="C5016" s="710" t="s">
        <v>5383</v>
      </c>
      <c r="D5016" s="709" t="s">
        <v>136</v>
      </c>
      <c r="E5016" s="711">
        <v>0.3654</v>
      </c>
    </row>
    <row r="5017" spans="1:5" x14ac:dyDescent="0.3">
      <c r="A5017" s="397"/>
      <c r="B5017" s="709">
        <v>89727</v>
      </c>
      <c r="C5017" s="710" t="s">
        <v>5384</v>
      </c>
      <c r="D5017" s="709" t="s">
        <v>136</v>
      </c>
      <c r="E5017" s="711">
        <v>0.25890000000000002</v>
      </c>
    </row>
    <row r="5018" spans="1:5" x14ac:dyDescent="0.3">
      <c r="A5018" s="397"/>
      <c r="B5018" s="709">
        <v>89648</v>
      </c>
      <c r="C5018" s="710" t="s">
        <v>5385</v>
      </c>
      <c r="D5018" s="709" t="s">
        <v>136</v>
      </c>
      <c r="E5018" s="711">
        <v>0.28089999999999998</v>
      </c>
    </row>
    <row r="5019" spans="1:5" x14ac:dyDescent="0.3">
      <c r="A5019" s="397"/>
      <c r="B5019" s="709">
        <v>89749</v>
      </c>
      <c r="C5019" s="710" t="s">
        <v>5386</v>
      </c>
      <c r="D5019" s="709" t="s">
        <v>136</v>
      </c>
      <c r="E5019" s="711">
        <v>0.2102</v>
      </c>
    </row>
    <row r="5020" spans="1:5" x14ac:dyDescent="0.3">
      <c r="A5020" s="397"/>
      <c r="B5020" s="709">
        <v>89657</v>
      </c>
      <c r="C5020" s="710" t="s">
        <v>5387</v>
      </c>
      <c r="D5020" s="709" t="s">
        <v>136</v>
      </c>
      <c r="E5020" s="711">
        <v>0.22309999999999999</v>
      </c>
    </row>
    <row r="5021" spans="1:5" x14ac:dyDescent="0.3">
      <c r="A5021" s="397"/>
      <c r="B5021" s="709">
        <v>89664</v>
      </c>
      <c r="C5021" s="710" t="s">
        <v>5388</v>
      </c>
      <c r="D5021" s="709" t="s">
        <v>136</v>
      </c>
      <c r="E5021" s="711">
        <v>0.22919999999999999</v>
      </c>
    </row>
    <row r="5022" spans="1:5" x14ac:dyDescent="0.3">
      <c r="A5022" s="397"/>
      <c r="B5022" s="709">
        <v>89638</v>
      </c>
      <c r="C5022" s="710" t="s">
        <v>5389</v>
      </c>
      <c r="D5022" s="709" t="s">
        <v>136</v>
      </c>
      <c r="E5022" s="711">
        <v>0.41980000000000001</v>
      </c>
    </row>
    <row r="5023" spans="1:5" x14ac:dyDescent="0.3">
      <c r="A5023" s="397"/>
      <c r="B5023" s="709">
        <v>89720</v>
      </c>
      <c r="C5023" s="710" t="s">
        <v>5390</v>
      </c>
      <c r="D5023" s="709" t="s">
        <v>136</v>
      </c>
      <c r="E5023" s="711">
        <v>0.37190000000000001</v>
      </c>
    </row>
    <row r="5024" spans="1:5" x14ac:dyDescent="0.3">
      <c r="A5024" s="397"/>
      <c r="B5024" s="709">
        <v>89642</v>
      </c>
      <c r="C5024" s="710" t="s">
        <v>5391</v>
      </c>
      <c r="D5024" s="709" t="s">
        <v>136</v>
      </c>
      <c r="E5024" s="711">
        <v>0.39850000000000002</v>
      </c>
    </row>
    <row r="5025" spans="1:5" x14ac:dyDescent="0.3">
      <c r="A5025" s="397"/>
      <c r="B5025" s="709">
        <v>89725</v>
      </c>
      <c r="C5025" s="710" t="s">
        <v>5392</v>
      </c>
      <c r="D5025" s="709" t="s">
        <v>136</v>
      </c>
      <c r="E5025" s="711">
        <v>0.33139999999999997</v>
      </c>
    </row>
    <row r="5026" spans="1:5" x14ac:dyDescent="0.3">
      <c r="A5026" s="397"/>
      <c r="B5026" s="709">
        <v>89647</v>
      </c>
      <c r="C5026" s="710" t="s">
        <v>5393</v>
      </c>
      <c r="D5026" s="709" t="s">
        <v>136</v>
      </c>
      <c r="E5026" s="711">
        <v>0.35659999999999997</v>
      </c>
    </row>
    <row r="5027" spans="1:5" x14ac:dyDescent="0.3">
      <c r="A5027" s="397"/>
      <c r="B5027" s="709">
        <v>89780</v>
      </c>
      <c r="C5027" s="710" t="s">
        <v>5394</v>
      </c>
      <c r="D5027" s="709" t="s">
        <v>136</v>
      </c>
      <c r="E5027" s="711">
        <v>0.16239999999999999</v>
      </c>
    </row>
    <row r="5028" spans="1:5" x14ac:dyDescent="0.3">
      <c r="A5028" s="397"/>
      <c r="B5028" s="709">
        <v>89734</v>
      </c>
      <c r="C5028" s="710" t="s">
        <v>5395</v>
      </c>
      <c r="D5028" s="709" t="s">
        <v>136</v>
      </c>
      <c r="E5028" s="711">
        <v>0.26569999999999999</v>
      </c>
    </row>
    <row r="5029" spans="1:5" x14ac:dyDescent="0.3">
      <c r="A5029" s="397"/>
      <c r="B5029" s="709">
        <v>89650</v>
      </c>
      <c r="C5029" s="710" t="s">
        <v>5396</v>
      </c>
      <c r="D5029" s="709" t="s">
        <v>136</v>
      </c>
      <c r="E5029" s="711">
        <v>0.28810000000000002</v>
      </c>
    </row>
    <row r="5030" spans="1:5" x14ac:dyDescent="0.3">
      <c r="A5030" s="397"/>
      <c r="B5030" s="709">
        <v>89787</v>
      </c>
      <c r="C5030" s="710" t="s">
        <v>5397</v>
      </c>
      <c r="D5030" s="709" t="s">
        <v>136</v>
      </c>
      <c r="E5030" s="711">
        <v>0.12659999999999999</v>
      </c>
    </row>
    <row r="5031" spans="1:5" x14ac:dyDescent="0.3">
      <c r="A5031" s="397"/>
      <c r="B5031" s="709">
        <v>104024</v>
      </c>
      <c r="C5031" s="710" t="s">
        <v>5398</v>
      </c>
      <c r="D5031" s="709" t="s">
        <v>136</v>
      </c>
      <c r="E5031" s="711">
        <v>0.20910000000000001</v>
      </c>
    </row>
    <row r="5032" spans="1:5" x14ac:dyDescent="0.3">
      <c r="A5032" s="397"/>
      <c r="B5032" s="709">
        <v>89789</v>
      </c>
      <c r="C5032" s="710" t="s">
        <v>5399</v>
      </c>
      <c r="D5032" s="709" t="s">
        <v>136</v>
      </c>
      <c r="E5032" s="711">
        <v>8.3799999999999999E-2</v>
      </c>
    </row>
    <row r="5033" spans="1:5" x14ac:dyDescent="0.3">
      <c r="A5033" s="397"/>
      <c r="B5033" s="709">
        <v>89791</v>
      </c>
      <c r="C5033" s="710" t="s">
        <v>5400</v>
      </c>
      <c r="D5033" s="709" t="s">
        <v>136</v>
      </c>
      <c r="E5033" s="711">
        <v>4.8099999999999997E-2</v>
      </c>
    </row>
    <row r="5034" spans="1:5" x14ac:dyDescent="0.3">
      <c r="A5034" s="397"/>
      <c r="B5034" s="709">
        <v>89793</v>
      </c>
      <c r="C5034" s="710" t="s">
        <v>5401</v>
      </c>
      <c r="D5034" s="709" t="s">
        <v>136</v>
      </c>
      <c r="E5034" s="711">
        <v>0.04</v>
      </c>
    </row>
    <row r="5035" spans="1:5" x14ac:dyDescent="0.3">
      <c r="A5035" s="397"/>
      <c r="B5035" s="709">
        <v>89637</v>
      </c>
      <c r="C5035" s="710" t="s">
        <v>5402</v>
      </c>
      <c r="D5035" s="709" t="s">
        <v>136</v>
      </c>
      <c r="E5035" s="711">
        <v>0.4597</v>
      </c>
    </row>
    <row r="5036" spans="1:5" x14ac:dyDescent="0.3">
      <c r="A5036" s="397"/>
      <c r="B5036" s="709">
        <v>89719</v>
      </c>
      <c r="C5036" s="710" t="s">
        <v>5403</v>
      </c>
      <c r="D5036" s="709" t="s">
        <v>136</v>
      </c>
      <c r="E5036" s="711">
        <v>0.42220000000000002</v>
      </c>
    </row>
    <row r="5037" spans="1:5" x14ac:dyDescent="0.3">
      <c r="A5037" s="397"/>
      <c r="B5037" s="709">
        <v>89641</v>
      </c>
      <c r="C5037" s="710" t="s">
        <v>5404</v>
      </c>
      <c r="D5037" s="709" t="s">
        <v>136</v>
      </c>
      <c r="E5037" s="711">
        <v>0.44969999999999999</v>
      </c>
    </row>
    <row r="5038" spans="1:5" x14ac:dyDescent="0.3">
      <c r="A5038" s="397"/>
      <c r="B5038" s="709">
        <v>89723</v>
      </c>
      <c r="C5038" s="710" t="s">
        <v>5405</v>
      </c>
      <c r="D5038" s="709" t="s">
        <v>136</v>
      </c>
      <c r="E5038" s="711">
        <v>0.3196</v>
      </c>
    </row>
    <row r="5039" spans="1:5" x14ac:dyDescent="0.3">
      <c r="A5039" s="397"/>
      <c r="B5039" s="709">
        <v>89646</v>
      </c>
      <c r="C5039" s="710" t="s">
        <v>5406</v>
      </c>
      <c r="D5039" s="709" t="s">
        <v>136</v>
      </c>
      <c r="E5039" s="711">
        <v>0.34439999999999998</v>
      </c>
    </row>
    <row r="5040" spans="1:5" x14ac:dyDescent="0.3">
      <c r="A5040" s="397"/>
      <c r="B5040" s="709">
        <v>89777</v>
      </c>
      <c r="C5040" s="710" t="s">
        <v>5407</v>
      </c>
      <c r="D5040" s="709" t="s">
        <v>136</v>
      </c>
      <c r="E5040" s="711">
        <v>0.1515</v>
      </c>
    </row>
    <row r="5041" spans="1:5" x14ac:dyDescent="0.3">
      <c r="A5041" s="397"/>
      <c r="B5041" s="709">
        <v>89729</v>
      </c>
      <c r="C5041" s="710" t="s">
        <v>5408</v>
      </c>
      <c r="D5041" s="709" t="s">
        <v>136</v>
      </c>
      <c r="E5041" s="711">
        <v>0.25</v>
      </c>
    </row>
    <row r="5042" spans="1:5" x14ac:dyDescent="0.3">
      <c r="A5042" s="397"/>
      <c r="B5042" s="709">
        <v>89649</v>
      </c>
      <c r="C5042" s="710" t="s">
        <v>5409</v>
      </c>
      <c r="D5042" s="709" t="s">
        <v>136</v>
      </c>
      <c r="E5042" s="711">
        <v>0.27160000000000001</v>
      </c>
    </row>
    <row r="5043" spans="1:5" x14ac:dyDescent="0.3">
      <c r="A5043" s="397"/>
      <c r="B5043" s="709">
        <v>89781</v>
      </c>
      <c r="C5043" s="710" t="s">
        <v>5410</v>
      </c>
      <c r="D5043" s="709" t="s">
        <v>136</v>
      </c>
      <c r="E5043" s="711">
        <v>0.12509999999999999</v>
      </c>
    </row>
    <row r="5044" spans="1:5" x14ac:dyDescent="0.3">
      <c r="A5044" s="397"/>
      <c r="B5044" s="709">
        <v>104023</v>
      </c>
      <c r="C5044" s="710" t="s">
        <v>5411</v>
      </c>
      <c r="D5044" s="709" t="s">
        <v>136</v>
      </c>
      <c r="E5044" s="711">
        <v>0.2069</v>
      </c>
    </row>
    <row r="5045" spans="1:5" x14ac:dyDescent="0.3">
      <c r="A5045" s="397"/>
      <c r="B5045" s="709">
        <v>89788</v>
      </c>
      <c r="C5045" s="710" t="s">
        <v>5412</v>
      </c>
      <c r="D5045" s="709" t="s">
        <v>136</v>
      </c>
      <c r="E5045" s="711">
        <v>7.0800000000000002E-2</v>
      </c>
    </row>
    <row r="5046" spans="1:5" x14ac:dyDescent="0.3">
      <c r="A5046" s="397"/>
      <c r="B5046" s="709">
        <v>89790</v>
      </c>
      <c r="C5046" s="710" t="s">
        <v>5413</v>
      </c>
      <c r="D5046" s="709" t="s">
        <v>136</v>
      </c>
      <c r="E5046" s="711">
        <v>4.6399999999999997E-2</v>
      </c>
    </row>
    <row r="5047" spans="1:5" x14ac:dyDescent="0.3">
      <c r="A5047" s="397"/>
      <c r="B5047" s="709">
        <v>89792</v>
      </c>
      <c r="C5047" s="710" t="s">
        <v>5414</v>
      </c>
      <c r="D5047" s="709" t="s">
        <v>136</v>
      </c>
      <c r="E5047" s="711">
        <v>4.7300000000000002E-2</v>
      </c>
    </row>
    <row r="5048" spans="1:5" x14ac:dyDescent="0.3">
      <c r="A5048" s="397"/>
      <c r="B5048" s="709">
        <v>89640</v>
      </c>
      <c r="C5048" s="710" t="s">
        <v>5415</v>
      </c>
      <c r="D5048" s="709" t="s">
        <v>136</v>
      </c>
      <c r="E5048" s="711">
        <v>0.24440000000000001</v>
      </c>
    </row>
    <row r="5049" spans="1:5" x14ac:dyDescent="0.3">
      <c r="A5049" s="397"/>
      <c r="B5049" s="709">
        <v>89644</v>
      </c>
      <c r="C5049" s="710" t="s">
        <v>5416</v>
      </c>
      <c r="D5049" s="709" t="s">
        <v>136</v>
      </c>
      <c r="E5049" s="711">
        <v>0.2261</v>
      </c>
    </row>
    <row r="5050" spans="1:5" x14ac:dyDescent="0.3">
      <c r="A5050" s="397"/>
      <c r="B5050" s="709">
        <v>89645</v>
      </c>
      <c r="C5050" s="710" t="s">
        <v>5417</v>
      </c>
      <c r="D5050" s="709" t="s">
        <v>136</v>
      </c>
      <c r="E5050" s="711">
        <v>0.1736</v>
      </c>
    </row>
    <row r="5051" spans="1:5" x14ac:dyDescent="0.3">
      <c r="A5051" s="397"/>
      <c r="B5051" s="709">
        <v>89652</v>
      </c>
      <c r="C5051" s="710" t="s">
        <v>5418</v>
      </c>
      <c r="D5051" s="709" t="s">
        <v>136</v>
      </c>
      <c r="E5051" s="711">
        <v>0.2545</v>
      </c>
    </row>
    <row r="5052" spans="1:5" x14ac:dyDescent="0.3">
      <c r="A5052" s="397"/>
      <c r="B5052" s="709">
        <v>89738</v>
      </c>
      <c r="C5052" s="710" t="s">
        <v>5419</v>
      </c>
      <c r="D5052" s="709" t="s">
        <v>136</v>
      </c>
      <c r="E5052" s="711">
        <v>0.20930000000000001</v>
      </c>
    </row>
    <row r="5053" spans="1:5" x14ac:dyDescent="0.3">
      <c r="A5053" s="397"/>
      <c r="B5053" s="709">
        <v>89659</v>
      </c>
      <c r="C5053" s="710" t="s">
        <v>5420</v>
      </c>
      <c r="D5053" s="709" t="s">
        <v>136</v>
      </c>
      <c r="E5053" s="711">
        <v>0.2283</v>
      </c>
    </row>
    <row r="5054" spans="1:5" x14ac:dyDescent="0.3">
      <c r="A5054" s="397"/>
      <c r="B5054" s="709">
        <v>89756</v>
      </c>
      <c r="C5054" s="710" t="s">
        <v>5421</v>
      </c>
      <c r="D5054" s="709" t="s">
        <v>136</v>
      </c>
      <c r="E5054" s="711">
        <v>0.1774</v>
      </c>
    </row>
    <row r="5055" spans="1:5" x14ac:dyDescent="0.3">
      <c r="A5055" s="397"/>
      <c r="B5055" s="709">
        <v>89672</v>
      </c>
      <c r="C5055" s="710" t="s">
        <v>5422</v>
      </c>
      <c r="D5055" s="709" t="s">
        <v>136</v>
      </c>
      <c r="E5055" s="711">
        <v>0.19439999999999999</v>
      </c>
    </row>
    <row r="5056" spans="1:5" x14ac:dyDescent="0.3">
      <c r="A5056" s="397"/>
      <c r="B5056" s="709">
        <v>89815</v>
      </c>
      <c r="C5056" s="710" t="s">
        <v>5423</v>
      </c>
      <c r="D5056" s="709" t="s">
        <v>136</v>
      </c>
      <c r="E5056" s="711">
        <v>9.0399999999999994E-2</v>
      </c>
    </row>
    <row r="5057" spans="1:5" x14ac:dyDescent="0.3">
      <c r="A5057" s="397"/>
      <c r="B5057" s="709">
        <v>89761</v>
      </c>
      <c r="C5057" s="710" t="s">
        <v>5424</v>
      </c>
      <c r="D5057" s="709" t="s">
        <v>136</v>
      </c>
      <c r="E5057" s="711">
        <v>0.15579999999999999</v>
      </c>
    </row>
    <row r="5058" spans="1:5" x14ac:dyDescent="0.3">
      <c r="A5058" s="397"/>
      <c r="B5058" s="709">
        <v>89682</v>
      </c>
      <c r="C5058" s="710" t="s">
        <v>5425</v>
      </c>
      <c r="D5058" s="709" t="s">
        <v>136</v>
      </c>
      <c r="E5058" s="711">
        <v>0.17100000000000001</v>
      </c>
    </row>
    <row r="5059" spans="1:5" x14ac:dyDescent="0.3">
      <c r="A5059" s="397"/>
      <c r="B5059" s="709">
        <v>89824</v>
      </c>
      <c r="C5059" s="710" t="s">
        <v>5426</v>
      </c>
      <c r="D5059" s="709" t="s">
        <v>136</v>
      </c>
      <c r="E5059" s="711">
        <v>7.7700000000000005E-2</v>
      </c>
    </row>
    <row r="5060" spans="1:5" x14ac:dyDescent="0.3">
      <c r="A5060" s="397"/>
      <c r="B5060" s="709">
        <v>104026</v>
      </c>
      <c r="C5060" s="710" t="s">
        <v>5427</v>
      </c>
      <c r="D5060" s="709" t="s">
        <v>136</v>
      </c>
      <c r="E5060" s="711">
        <v>0.13300000000000001</v>
      </c>
    </row>
    <row r="5061" spans="1:5" x14ac:dyDescent="0.3">
      <c r="A5061" s="397"/>
      <c r="B5061" s="709">
        <v>89740</v>
      </c>
      <c r="C5061" s="710" t="s">
        <v>5428</v>
      </c>
      <c r="D5061" s="709" t="s">
        <v>136</v>
      </c>
      <c r="E5061" s="711">
        <v>0.41689999999999999</v>
      </c>
    </row>
    <row r="5062" spans="1:5" x14ac:dyDescent="0.3">
      <c r="A5062" s="397"/>
      <c r="B5062" s="709">
        <v>89836</v>
      </c>
      <c r="C5062" s="710" t="s">
        <v>5429</v>
      </c>
      <c r="D5062" s="709" t="s">
        <v>136</v>
      </c>
      <c r="E5062" s="711">
        <v>1.78E-2</v>
      </c>
    </row>
    <row r="5063" spans="1:5" x14ac:dyDescent="0.3">
      <c r="A5063" s="397"/>
      <c r="B5063" s="709">
        <v>89653</v>
      </c>
      <c r="C5063" s="710" t="s">
        <v>5430</v>
      </c>
      <c r="D5063" s="709" t="s">
        <v>136</v>
      </c>
      <c r="E5063" s="711">
        <v>0.17610000000000001</v>
      </c>
    </row>
    <row r="5064" spans="1:5" x14ac:dyDescent="0.3">
      <c r="A5064" s="397"/>
      <c r="B5064" s="709">
        <v>89660</v>
      </c>
      <c r="C5064" s="710" t="s">
        <v>5431</v>
      </c>
      <c r="D5064" s="709" t="s">
        <v>136</v>
      </c>
      <c r="E5064" s="711">
        <v>0.44429999999999997</v>
      </c>
    </row>
    <row r="5065" spans="1:5" x14ac:dyDescent="0.3">
      <c r="A5065" s="397"/>
      <c r="B5065" s="709">
        <v>104028</v>
      </c>
      <c r="C5065" s="710" t="s">
        <v>5432</v>
      </c>
      <c r="D5065" s="709" t="s">
        <v>136</v>
      </c>
      <c r="E5065" s="711">
        <v>3.9E-2</v>
      </c>
    </row>
    <row r="5066" spans="1:5" x14ac:dyDescent="0.3">
      <c r="A5066" s="397"/>
      <c r="B5066" s="709">
        <v>89826</v>
      </c>
      <c r="C5066" s="710" t="s">
        <v>5433</v>
      </c>
      <c r="D5066" s="709" t="s">
        <v>136</v>
      </c>
      <c r="E5066" s="711">
        <v>2.1600000000000001E-2</v>
      </c>
    </row>
    <row r="5067" spans="1:5" x14ac:dyDescent="0.3">
      <c r="A5067" s="397"/>
      <c r="B5067" s="709">
        <v>89651</v>
      </c>
      <c r="C5067" s="710" t="s">
        <v>5434</v>
      </c>
      <c r="D5067" s="709" t="s">
        <v>136</v>
      </c>
      <c r="E5067" s="711">
        <v>0.45419999999999999</v>
      </c>
    </row>
    <row r="5068" spans="1:5" x14ac:dyDescent="0.3">
      <c r="A5068" s="397"/>
      <c r="B5068" s="709">
        <v>89736</v>
      </c>
      <c r="C5068" s="710" t="s">
        <v>5435</v>
      </c>
      <c r="D5068" s="709" t="s">
        <v>136</v>
      </c>
      <c r="E5068" s="711">
        <v>0.4042</v>
      </c>
    </row>
    <row r="5069" spans="1:5" x14ac:dyDescent="0.3">
      <c r="A5069" s="397"/>
      <c r="B5069" s="709">
        <v>89658</v>
      </c>
      <c r="C5069" s="710" t="s">
        <v>5436</v>
      </c>
      <c r="D5069" s="709" t="s">
        <v>136</v>
      </c>
      <c r="E5069" s="711">
        <v>0.43120000000000003</v>
      </c>
    </row>
    <row r="5070" spans="1:5" x14ac:dyDescent="0.3">
      <c r="A5070" s="397"/>
      <c r="B5070" s="709">
        <v>89755</v>
      </c>
      <c r="C5070" s="710" t="s">
        <v>5437</v>
      </c>
      <c r="D5070" s="709" t="s">
        <v>136</v>
      </c>
      <c r="E5070" s="711">
        <v>0.31140000000000001</v>
      </c>
    </row>
    <row r="5071" spans="1:5" x14ac:dyDescent="0.3">
      <c r="A5071" s="397"/>
      <c r="B5071" s="709">
        <v>89670</v>
      </c>
      <c r="C5071" s="710" t="s">
        <v>5438</v>
      </c>
      <c r="D5071" s="709" t="s">
        <v>136</v>
      </c>
      <c r="E5071" s="711">
        <v>0.33600000000000002</v>
      </c>
    </row>
    <row r="5072" spans="1:5" x14ac:dyDescent="0.3">
      <c r="A5072" s="397"/>
      <c r="B5072" s="709">
        <v>89794</v>
      </c>
      <c r="C5072" s="710" t="s">
        <v>5439</v>
      </c>
      <c r="D5072" s="709" t="s">
        <v>136</v>
      </c>
      <c r="E5072" s="711">
        <v>0.13420000000000001</v>
      </c>
    </row>
    <row r="5073" spans="1:5" x14ac:dyDescent="0.3">
      <c r="A5073" s="397"/>
      <c r="B5073" s="709">
        <v>89760</v>
      </c>
      <c r="C5073" s="710" t="s">
        <v>5440</v>
      </c>
      <c r="D5073" s="709" t="s">
        <v>136</v>
      </c>
      <c r="E5073" s="711">
        <v>0.2235</v>
      </c>
    </row>
    <row r="5074" spans="1:5" x14ac:dyDescent="0.3">
      <c r="A5074" s="397"/>
      <c r="B5074" s="709">
        <v>89680</v>
      </c>
      <c r="C5074" s="710" t="s">
        <v>5441</v>
      </c>
      <c r="D5074" s="709" t="s">
        <v>136</v>
      </c>
      <c r="E5074" s="711">
        <v>0.24329999999999999</v>
      </c>
    </row>
    <row r="5075" spans="1:5" x14ac:dyDescent="0.3">
      <c r="A5075" s="397"/>
      <c r="B5075" s="709">
        <v>89822</v>
      </c>
      <c r="C5075" s="710" t="s">
        <v>5442</v>
      </c>
      <c r="D5075" s="709" t="s">
        <v>136</v>
      </c>
      <c r="E5075" s="711">
        <v>0.1198</v>
      </c>
    </row>
    <row r="5076" spans="1:5" x14ac:dyDescent="0.3">
      <c r="A5076" s="397"/>
      <c r="B5076" s="709">
        <v>104025</v>
      </c>
      <c r="C5076" s="710" t="s">
        <v>5443</v>
      </c>
      <c r="D5076" s="709" t="s">
        <v>136</v>
      </c>
      <c r="E5076" s="711">
        <v>0.1986</v>
      </c>
    </row>
    <row r="5077" spans="1:5" x14ac:dyDescent="0.3">
      <c r="A5077" s="397"/>
      <c r="B5077" s="709">
        <v>89835</v>
      </c>
      <c r="C5077" s="710" t="s">
        <v>5444</v>
      </c>
      <c r="D5077" s="709" t="s">
        <v>136</v>
      </c>
      <c r="E5077" s="711">
        <v>8.5300000000000001E-2</v>
      </c>
    </row>
    <row r="5078" spans="1:5" x14ac:dyDescent="0.3">
      <c r="A5078" s="397"/>
      <c r="B5078" s="709">
        <v>89838</v>
      </c>
      <c r="C5078" s="710" t="s">
        <v>5445</v>
      </c>
      <c r="D5078" s="709" t="s">
        <v>136</v>
      </c>
      <c r="E5078" s="711">
        <v>3.1899999999999998E-2</v>
      </c>
    </row>
    <row r="5079" spans="1:5" x14ac:dyDescent="0.3">
      <c r="A5079" s="397"/>
      <c r="B5079" s="709">
        <v>89840</v>
      </c>
      <c r="C5079" s="710" t="s">
        <v>5446</v>
      </c>
      <c r="D5079" s="709" t="s">
        <v>136</v>
      </c>
      <c r="E5079" s="711">
        <v>3.27E-2</v>
      </c>
    </row>
    <row r="5080" spans="1:5" x14ac:dyDescent="0.3">
      <c r="A5080" s="397"/>
      <c r="B5080" s="709">
        <v>104015</v>
      </c>
      <c r="C5080" s="710" t="s">
        <v>5447</v>
      </c>
      <c r="D5080" s="709" t="s">
        <v>136</v>
      </c>
      <c r="E5080" s="711">
        <v>0.44740000000000002</v>
      </c>
    </row>
    <row r="5081" spans="1:5" x14ac:dyDescent="0.3">
      <c r="A5081" s="397"/>
      <c r="B5081" s="709">
        <v>104018</v>
      </c>
      <c r="C5081" s="710" t="s">
        <v>5448</v>
      </c>
      <c r="D5081" s="709" t="s">
        <v>136</v>
      </c>
      <c r="E5081" s="711">
        <v>0.37530000000000002</v>
      </c>
    </row>
    <row r="5082" spans="1:5" x14ac:dyDescent="0.3">
      <c r="A5082" s="397"/>
      <c r="B5082" s="709">
        <v>104016</v>
      </c>
      <c r="C5082" s="710" t="s">
        <v>5449</v>
      </c>
      <c r="D5082" s="709" t="s">
        <v>136</v>
      </c>
      <c r="E5082" s="711">
        <v>0.40210000000000001</v>
      </c>
    </row>
    <row r="5083" spans="1:5" x14ac:dyDescent="0.3">
      <c r="A5083" s="397"/>
      <c r="B5083" s="709">
        <v>104019</v>
      </c>
      <c r="C5083" s="710" t="s">
        <v>5450</v>
      </c>
      <c r="D5083" s="709" t="s">
        <v>136</v>
      </c>
      <c r="E5083" s="711">
        <v>0.20480000000000001</v>
      </c>
    </row>
    <row r="5084" spans="1:5" x14ac:dyDescent="0.3">
      <c r="A5084" s="397"/>
      <c r="B5084" s="709">
        <v>104017</v>
      </c>
      <c r="C5084" s="710" t="s">
        <v>5451</v>
      </c>
      <c r="D5084" s="709" t="s">
        <v>136</v>
      </c>
      <c r="E5084" s="711">
        <v>0.22359999999999999</v>
      </c>
    </row>
    <row r="5085" spans="1:5" x14ac:dyDescent="0.3">
      <c r="A5085" s="397"/>
      <c r="B5085" s="709">
        <v>104020</v>
      </c>
      <c r="C5085" s="710" t="s">
        <v>5452</v>
      </c>
      <c r="D5085" s="709" t="s">
        <v>136</v>
      </c>
      <c r="E5085" s="711">
        <v>0.10050000000000001</v>
      </c>
    </row>
    <row r="5086" spans="1:5" x14ac:dyDescent="0.3">
      <c r="A5086" s="397"/>
      <c r="B5086" s="709">
        <v>104030</v>
      </c>
      <c r="C5086" s="710" t="s">
        <v>5453</v>
      </c>
      <c r="D5086" s="709" t="s">
        <v>136</v>
      </c>
      <c r="E5086" s="711">
        <v>0.17030000000000001</v>
      </c>
    </row>
    <row r="5087" spans="1:5" x14ac:dyDescent="0.3">
      <c r="A5087" s="397"/>
      <c r="B5087" s="709">
        <v>89694</v>
      </c>
      <c r="C5087" s="710" t="s">
        <v>5454</v>
      </c>
      <c r="D5087" s="709" t="s">
        <v>136</v>
      </c>
      <c r="E5087" s="711">
        <v>0.31269999999999998</v>
      </c>
    </row>
    <row r="5088" spans="1:5" x14ac:dyDescent="0.3">
      <c r="A5088" s="397"/>
      <c r="B5088" s="709">
        <v>89700</v>
      </c>
      <c r="C5088" s="710" t="s">
        <v>5455</v>
      </c>
      <c r="D5088" s="709" t="s">
        <v>136</v>
      </c>
      <c r="E5088" s="711">
        <v>0.30969999999999998</v>
      </c>
    </row>
    <row r="5089" spans="1:5" x14ac:dyDescent="0.3">
      <c r="A5089" s="397"/>
      <c r="B5089" s="709">
        <v>89703</v>
      </c>
      <c r="C5089" s="710" t="s">
        <v>5456</v>
      </c>
      <c r="D5089" s="709" t="s">
        <v>136</v>
      </c>
      <c r="E5089" s="711">
        <v>0.15679999999999999</v>
      </c>
    </row>
    <row r="5090" spans="1:5" x14ac:dyDescent="0.3">
      <c r="A5090" s="397"/>
      <c r="B5090" s="709">
        <v>89691</v>
      </c>
      <c r="C5090" s="710" t="s">
        <v>5457</v>
      </c>
      <c r="D5090" s="709" t="s">
        <v>136</v>
      </c>
      <c r="E5090" s="711">
        <v>0.47820000000000001</v>
      </c>
    </row>
    <row r="5091" spans="1:5" x14ac:dyDescent="0.3">
      <c r="A5091" s="397"/>
      <c r="B5091" s="709">
        <v>89765</v>
      </c>
      <c r="C5091" s="710" t="s">
        <v>5458</v>
      </c>
      <c r="D5091" s="709" t="s">
        <v>136</v>
      </c>
      <c r="E5091" s="711">
        <v>0.43519999999999998</v>
      </c>
    </row>
    <row r="5092" spans="1:5" x14ac:dyDescent="0.3">
      <c r="A5092" s="397"/>
      <c r="B5092" s="709">
        <v>89697</v>
      </c>
      <c r="C5092" s="710" t="s">
        <v>5459</v>
      </c>
      <c r="D5092" s="709" t="s">
        <v>136</v>
      </c>
      <c r="E5092" s="711">
        <v>0.46310000000000001</v>
      </c>
    </row>
    <row r="5093" spans="1:5" x14ac:dyDescent="0.3">
      <c r="A5093" s="397"/>
      <c r="B5093" s="709">
        <v>89844</v>
      </c>
      <c r="C5093" s="710" t="s">
        <v>5460</v>
      </c>
      <c r="D5093" s="709" t="s">
        <v>136</v>
      </c>
      <c r="E5093" s="711">
        <v>9.5299999999999996E-2</v>
      </c>
    </row>
    <row r="5094" spans="1:5" x14ac:dyDescent="0.3">
      <c r="A5094" s="397"/>
      <c r="B5094" s="709">
        <v>104022</v>
      </c>
      <c r="C5094" s="710" t="s">
        <v>5461</v>
      </c>
      <c r="D5094" s="709" t="s">
        <v>136</v>
      </c>
      <c r="E5094" s="711">
        <v>0.16120000000000001</v>
      </c>
    </row>
    <row r="5095" spans="1:5" x14ac:dyDescent="0.3">
      <c r="A5095" s="397"/>
      <c r="B5095" s="709">
        <v>89633</v>
      </c>
      <c r="C5095" s="710" t="s">
        <v>5462</v>
      </c>
      <c r="D5095" s="709" t="s">
        <v>159</v>
      </c>
      <c r="E5095" s="711">
        <v>0.47089999999999999</v>
      </c>
    </row>
    <row r="5096" spans="1:5" x14ac:dyDescent="0.3">
      <c r="A5096" s="397"/>
      <c r="B5096" s="709">
        <v>89716</v>
      </c>
      <c r="C5096" s="710" t="s">
        <v>5463</v>
      </c>
      <c r="D5096" s="709" t="s">
        <v>159</v>
      </c>
      <c r="E5096" s="711">
        <v>0.22720000000000001</v>
      </c>
    </row>
    <row r="5097" spans="1:5" x14ac:dyDescent="0.3">
      <c r="A5097" s="397"/>
      <c r="B5097" s="709">
        <v>89634</v>
      </c>
      <c r="C5097" s="710" t="s">
        <v>5464</v>
      </c>
      <c r="D5097" s="709" t="s">
        <v>159</v>
      </c>
      <c r="E5097" s="711">
        <v>0.41339999999999999</v>
      </c>
    </row>
    <row r="5098" spans="1:5" x14ac:dyDescent="0.3">
      <c r="A5098" s="397"/>
      <c r="B5098" s="709">
        <v>89717</v>
      </c>
      <c r="C5098" s="710" t="s">
        <v>5465</v>
      </c>
      <c r="D5098" s="709" t="s">
        <v>159</v>
      </c>
      <c r="E5098" s="711">
        <v>0.16750000000000001</v>
      </c>
    </row>
    <row r="5099" spans="1:5" x14ac:dyDescent="0.3">
      <c r="A5099" s="397"/>
      <c r="B5099" s="709">
        <v>89635</v>
      </c>
      <c r="C5099" s="710" t="s">
        <v>5466</v>
      </c>
      <c r="D5099" s="709" t="s">
        <v>159</v>
      </c>
      <c r="E5099" s="711">
        <v>0.32540000000000002</v>
      </c>
    </row>
    <row r="5100" spans="1:5" x14ac:dyDescent="0.3">
      <c r="A5100" s="397"/>
      <c r="B5100" s="709">
        <v>89770</v>
      </c>
      <c r="C5100" s="710" t="s">
        <v>5467</v>
      </c>
      <c r="D5100" s="709" t="s">
        <v>159</v>
      </c>
      <c r="E5100" s="711">
        <v>2.1600000000000001E-2</v>
      </c>
    </row>
    <row r="5101" spans="1:5" x14ac:dyDescent="0.3">
      <c r="A5101" s="397"/>
      <c r="B5101" s="709">
        <v>89718</v>
      </c>
      <c r="C5101" s="710" t="s">
        <v>5468</v>
      </c>
      <c r="D5101" s="709" t="s">
        <v>159</v>
      </c>
      <c r="E5101" s="711">
        <v>0.1537</v>
      </c>
    </row>
    <row r="5102" spans="1:5" x14ac:dyDescent="0.3">
      <c r="A5102" s="397"/>
      <c r="B5102" s="709">
        <v>89636</v>
      </c>
      <c r="C5102" s="710" t="s">
        <v>5469</v>
      </c>
      <c r="D5102" s="709" t="s">
        <v>159</v>
      </c>
      <c r="E5102" s="711">
        <v>0.30309999999999998</v>
      </c>
    </row>
    <row r="5103" spans="1:5" x14ac:dyDescent="0.3">
      <c r="A5103" s="397"/>
      <c r="B5103" s="709">
        <v>89771</v>
      </c>
      <c r="C5103" s="710" t="s">
        <v>5470</v>
      </c>
      <c r="D5103" s="709" t="s">
        <v>159</v>
      </c>
      <c r="E5103" s="711">
        <v>1.9199999999999998E-2</v>
      </c>
    </row>
    <row r="5104" spans="1:5" x14ac:dyDescent="0.3">
      <c r="A5104" s="397"/>
      <c r="B5104" s="709">
        <v>104021</v>
      </c>
      <c r="C5104" s="710" t="s">
        <v>5471</v>
      </c>
      <c r="D5104" s="709" t="s">
        <v>159</v>
      </c>
      <c r="E5104" s="711">
        <v>0.13500000000000001</v>
      </c>
    </row>
    <row r="5105" spans="1:5" x14ac:dyDescent="0.3">
      <c r="A5105" s="397"/>
      <c r="B5105" s="709">
        <v>89772</v>
      </c>
      <c r="C5105" s="710" t="s">
        <v>5472</v>
      </c>
      <c r="D5105" s="709" t="s">
        <v>159</v>
      </c>
      <c r="E5105" s="711">
        <v>1.6400000000000001E-2</v>
      </c>
    </row>
    <row r="5106" spans="1:5" x14ac:dyDescent="0.3">
      <c r="A5106" s="397"/>
      <c r="B5106" s="709">
        <v>89773</v>
      </c>
      <c r="C5106" s="710" t="s">
        <v>5473</v>
      </c>
      <c r="D5106" s="709" t="s">
        <v>159</v>
      </c>
      <c r="E5106" s="711">
        <v>1.34E-2</v>
      </c>
    </row>
    <row r="5107" spans="1:5" x14ac:dyDescent="0.3">
      <c r="A5107" s="397"/>
      <c r="B5107" s="709">
        <v>89775</v>
      </c>
      <c r="C5107" s="710" t="s">
        <v>5474</v>
      </c>
      <c r="D5107" s="709" t="s">
        <v>159</v>
      </c>
      <c r="E5107" s="711">
        <v>1.03E-2</v>
      </c>
    </row>
    <row r="5108" spans="1:5" x14ac:dyDescent="0.3">
      <c r="A5108" s="397"/>
      <c r="B5108" s="709">
        <v>89767</v>
      </c>
      <c r="C5108" s="710" t="s">
        <v>5475</v>
      </c>
      <c r="D5108" s="709" t="s">
        <v>136</v>
      </c>
      <c r="E5108" s="711">
        <v>0.3402</v>
      </c>
    </row>
    <row r="5109" spans="1:5" x14ac:dyDescent="0.3">
      <c r="A5109" s="397"/>
      <c r="B5109" s="709">
        <v>89695</v>
      </c>
      <c r="C5109" s="710" t="s">
        <v>5476</v>
      </c>
      <c r="D5109" s="709" t="s">
        <v>136</v>
      </c>
      <c r="E5109" s="711">
        <v>0.37209999999999999</v>
      </c>
    </row>
    <row r="5110" spans="1:5" x14ac:dyDescent="0.3">
      <c r="A5110" s="397"/>
      <c r="B5110" s="709">
        <v>89702</v>
      </c>
      <c r="C5110" s="710" t="s">
        <v>5477</v>
      </c>
      <c r="D5110" s="709" t="s">
        <v>136</v>
      </c>
      <c r="E5110" s="711">
        <v>0.36599999999999999</v>
      </c>
    </row>
    <row r="5111" spans="1:5" x14ac:dyDescent="0.3">
      <c r="A5111" s="397"/>
      <c r="B5111" s="709">
        <v>89768</v>
      </c>
      <c r="C5111" s="710" t="s">
        <v>5478</v>
      </c>
      <c r="D5111" s="709" t="s">
        <v>136</v>
      </c>
      <c r="E5111" s="711">
        <v>0.34699999999999998</v>
      </c>
    </row>
    <row r="5112" spans="1:5" x14ac:dyDescent="0.3">
      <c r="A5112" s="397"/>
      <c r="B5112" s="709">
        <v>89842</v>
      </c>
      <c r="C5112" s="710" t="s">
        <v>5479</v>
      </c>
      <c r="D5112" s="709" t="s">
        <v>136</v>
      </c>
      <c r="E5112" s="711">
        <v>0.1028</v>
      </c>
    </row>
    <row r="5113" spans="1:5" x14ac:dyDescent="0.3">
      <c r="A5113" s="397"/>
      <c r="B5113" s="709">
        <v>89845</v>
      </c>
      <c r="C5113" s="710" t="s">
        <v>5480</v>
      </c>
      <c r="D5113" s="709" t="s">
        <v>136</v>
      </c>
      <c r="E5113" s="711">
        <v>7.5499999999999998E-2</v>
      </c>
    </row>
    <row r="5114" spans="1:5" x14ac:dyDescent="0.3">
      <c r="A5114" s="397"/>
      <c r="B5114" s="709">
        <v>89846</v>
      </c>
      <c r="C5114" s="710" t="s">
        <v>5481</v>
      </c>
      <c r="D5114" s="709" t="s">
        <v>136</v>
      </c>
      <c r="E5114" s="711">
        <v>4.5999999999999999E-2</v>
      </c>
    </row>
    <row r="5115" spans="1:5" x14ac:dyDescent="0.3">
      <c r="A5115" s="397"/>
      <c r="B5115" s="709">
        <v>89847</v>
      </c>
      <c r="C5115" s="710" t="s">
        <v>5482</v>
      </c>
      <c r="D5115" s="709" t="s">
        <v>136</v>
      </c>
      <c r="E5115" s="711">
        <v>4.6300000000000001E-2</v>
      </c>
    </row>
    <row r="5116" spans="1:5" x14ac:dyDescent="0.3">
      <c r="A5116" s="397"/>
      <c r="B5116" s="709">
        <v>89705</v>
      </c>
      <c r="C5116" s="710" t="s">
        <v>5483</v>
      </c>
      <c r="D5116" s="709" t="s">
        <v>136</v>
      </c>
      <c r="E5116" s="711">
        <v>0.3725</v>
      </c>
    </row>
    <row r="5117" spans="1:5" x14ac:dyDescent="0.3">
      <c r="A5117" s="397"/>
      <c r="B5117" s="709">
        <v>89769</v>
      </c>
      <c r="C5117" s="710" t="s">
        <v>5484</v>
      </c>
      <c r="D5117" s="709" t="s">
        <v>136</v>
      </c>
      <c r="E5117" s="711">
        <v>0.17530000000000001</v>
      </c>
    </row>
    <row r="5118" spans="1:5" x14ac:dyDescent="0.3">
      <c r="A5118" s="397"/>
      <c r="B5118" s="709">
        <v>89706</v>
      </c>
      <c r="C5118" s="710" t="s">
        <v>5485</v>
      </c>
      <c r="D5118" s="709" t="s">
        <v>136</v>
      </c>
      <c r="E5118" s="711">
        <v>0.19189999999999999</v>
      </c>
    </row>
    <row r="5119" spans="1:5" x14ac:dyDescent="0.3">
      <c r="A5119" s="397"/>
      <c r="B5119" s="709">
        <v>89741</v>
      </c>
      <c r="C5119" s="710" t="s">
        <v>5486</v>
      </c>
      <c r="D5119" s="709" t="s">
        <v>136</v>
      </c>
      <c r="E5119" s="711">
        <v>0.15</v>
      </c>
    </row>
    <row r="5120" spans="1:5" x14ac:dyDescent="0.3">
      <c r="A5120" s="397"/>
      <c r="B5120" s="709">
        <v>89757</v>
      </c>
      <c r="C5120" s="710" t="s">
        <v>5487</v>
      </c>
      <c r="D5120" s="709" t="s">
        <v>136</v>
      </c>
      <c r="E5120" s="711">
        <v>0.1353</v>
      </c>
    </row>
    <row r="5121" spans="1:5" x14ac:dyDescent="0.3">
      <c r="A5121" s="397"/>
      <c r="B5121" s="709">
        <v>104027</v>
      </c>
      <c r="C5121" s="710" t="s">
        <v>5488</v>
      </c>
      <c r="D5121" s="709" t="s">
        <v>136</v>
      </c>
      <c r="E5121" s="711">
        <v>8.6400000000000005E-2</v>
      </c>
    </row>
    <row r="5122" spans="1:5" x14ac:dyDescent="0.3">
      <c r="A5122" s="397"/>
      <c r="B5122" s="709">
        <v>89837</v>
      </c>
      <c r="C5122" s="710" t="s">
        <v>5489</v>
      </c>
      <c r="D5122" s="709" t="s">
        <v>136</v>
      </c>
      <c r="E5122" s="711">
        <v>2.75E-2</v>
      </c>
    </row>
    <row r="5123" spans="1:5" x14ac:dyDescent="0.3">
      <c r="A5123" s="397"/>
      <c r="B5123" s="709">
        <v>89839</v>
      </c>
      <c r="C5123" s="710" t="s">
        <v>5490</v>
      </c>
      <c r="D5123" s="709" t="s">
        <v>136</v>
      </c>
      <c r="E5123" s="711">
        <v>2.8000000000000001E-2</v>
      </c>
    </row>
    <row r="5124" spans="1:5" x14ac:dyDescent="0.3">
      <c r="A5124" s="397"/>
      <c r="B5124" s="709">
        <v>89841</v>
      </c>
      <c r="C5124" s="710" t="s">
        <v>5491</v>
      </c>
      <c r="D5124" s="709" t="s">
        <v>136</v>
      </c>
      <c r="E5124" s="711">
        <v>2.23E-2</v>
      </c>
    </row>
    <row r="5125" spans="1:5" x14ac:dyDescent="0.3">
      <c r="A5125" s="397"/>
      <c r="B5125" s="709">
        <v>89654</v>
      </c>
      <c r="C5125" s="710" t="s">
        <v>5492</v>
      </c>
      <c r="D5125" s="709" t="s">
        <v>136</v>
      </c>
      <c r="E5125" s="711">
        <v>0.15110000000000001</v>
      </c>
    </row>
    <row r="5126" spans="1:5" x14ac:dyDescent="0.3">
      <c r="A5126" s="397"/>
      <c r="B5126" s="709">
        <v>89661</v>
      </c>
      <c r="C5126" s="710" t="s">
        <v>5493</v>
      </c>
      <c r="D5126" s="709" t="s">
        <v>136</v>
      </c>
      <c r="E5126" s="711">
        <v>0.16470000000000001</v>
      </c>
    </row>
    <row r="5127" spans="1:5" x14ac:dyDescent="0.3">
      <c r="A5127" s="397"/>
      <c r="B5127" s="709">
        <v>89674</v>
      </c>
      <c r="C5127" s="710" t="s">
        <v>5494</v>
      </c>
      <c r="D5127" s="709" t="s">
        <v>136</v>
      </c>
      <c r="E5127" s="711">
        <v>0.14899999999999999</v>
      </c>
    </row>
    <row r="5128" spans="1:5" x14ac:dyDescent="0.3">
      <c r="A5128" s="397"/>
      <c r="B5128" s="709">
        <v>89816</v>
      </c>
      <c r="C5128" s="710" t="s">
        <v>5495</v>
      </c>
      <c r="D5128" s="709" t="s">
        <v>136</v>
      </c>
      <c r="E5128" s="711">
        <v>6.1600000000000002E-2</v>
      </c>
    </row>
    <row r="5129" spans="1:5" x14ac:dyDescent="0.3">
      <c r="A5129" s="397"/>
      <c r="B5129" s="709">
        <v>89762</v>
      </c>
      <c r="C5129" s="710" t="s">
        <v>5496</v>
      </c>
      <c r="D5129" s="709" t="s">
        <v>136</v>
      </c>
      <c r="E5129" s="711">
        <v>0.1087</v>
      </c>
    </row>
    <row r="5130" spans="1:5" x14ac:dyDescent="0.3">
      <c r="A5130" s="397"/>
      <c r="B5130" s="709">
        <v>89684</v>
      </c>
      <c r="C5130" s="710" t="s">
        <v>5497</v>
      </c>
      <c r="D5130" s="709" t="s">
        <v>136</v>
      </c>
      <c r="E5130" s="711">
        <v>0.11990000000000001</v>
      </c>
    </row>
    <row r="5131" spans="1:5" x14ac:dyDescent="0.3">
      <c r="A5131" s="397"/>
      <c r="B5131" s="709">
        <v>89828</v>
      </c>
      <c r="C5131" s="710" t="s">
        <v>5498</v>
      </c>
      <c r="D5131" s="709" t="s">
        <v>136</v>
      </c>
      <c r="E5131" s="711">
        <v>4.9399999999999999E-2</v>
      </c>
    </row>
    <row r="5132" spans="1:5" x14ac:dyDescent="0.3">
      <c r="A5132" s="397"/>
      <c r="B5132" s="709">
        <v>89546</v>
      </c>
      <c r="C5132" s="710" t="s">
        <v>5499</v>
      </c>
      <c r="D5132" s="709" t="s">
        <v>136</v>
      </c>
      <c r="E5132" s="711">
        <v>0.15590000000000001</v>
      </c>
    </row>
    <row r="5133" spans="1:5" x14ac:dyDescent="0.3">
      <c r="A5133" s="397"/>
      <c r="B5133" s="709">
        <v>89482</v>
      </c>
      <c r="C5133" s="710" t="s">
        <v>5500</v>
      </c>
      <c r="D5133" s="709" t="s">
        <v>136</v>
      </c>
      <c r="E5133" s="711">
        <v>0.23100000000000001</v>
      </c>
    </row>
    <row r="5134" spans="1:5" x14ac:dyDescent="0.3">
      <c r="A5134" s="397"/>
      <c r="B5134" s="709">
        <v>89491</v>
      </c>
      <c r="C5134" s="710" t="s">
        <v>5501</v>
      </c>
      <c r="D5134" s="709" t="s">
        <v>136</v>
      </c>
      <c r="E5134" s="711">
        <v>0.13980000000000001</v>
      </c>
    </row>
    <row r="5135" spans="1:5" x14ac:dyDescent="0.3">
      <c r="A5135" s="397"/>
      <c r="B5135" s="709">
        <v>104178</v>
      </c>
      <c r="C5135" s="710" t="s">
        <v>5502</v>
      </c>
      <c r="D5135" s="709" t="s">
        <v>136</v>
      </c>
      <c r="E5135" s="711">
        <v>0.1431</v>
      </c>
    </row>
    <row r="5136" spans="1:5" x14ac:dyDescent="0.3">
      <c r="A5136" s="397"/>
      <c r="B5136" s="709">
        <v>104179</v>
      </c>
      <c r="C5136" s="710" t="s">
        <v>5503</v>
      </c>
      <c r="D5136" s="709" t="s">
        <v>136</v>
      </c>
      <c r="E5136" s="711">
        <v>4.9099999999999998E-2</v>
      </c>
    </row>
    <row r="5137" spans="1:5" x14ac:dyDescent="0.3">
      <c r="A5137" s="397"/>
      <c r="B5137" s="709">
        <v>89587</v>
      </c>
      <c r="C5137" s="710" t="s">
        <v>5504</v>
      </c>
      <c r="D5137" s="709" t="s">
        <v>136</v>
      </c>
      <c r="E5137" s="711">
        <v>0.26529999999999998</v>
      </c>
    </row>
    <row r="5138" spans="1:5" x14ac:dyDescent="0.3">
      <c r="A5138" s="397"/>
      <c r="B5138" s="709">
        <v>89535</v>
      </c>
      <c r="C5138" s="710" t="s">
        <v>5505</v>
      </c>
      <c r="D5138" s="709" t="s">
        <v>136</v>
      </c>
      <c r="E5138" s="711">
        <v>0.1454</v>
      </c>
    </row>
    <row r="5139" spans="1:5" x14ac:dyDescent="0.3">
      <c r="A5139" s="397"/>
      <c r="B5139" s="709">
        <v>89592</v>
      </c>
      <c r="C5139" s="710" t="s">
        <v>5506</v>
      </c>
      <c r="D5139" s="709" t="s">
        <v>136</v>
      </c>
      <c r="E5139" s="711">
        <v>0.14269999999999999</v>
      </c>
    </row>
    <row r="5140" spans="1:5" x14ac:dyDescent="0.3">
      <c r="A5140" s="397"/>
      <c r="B5140" s="709">
        <v>104169</v>
      </c>
      <c r="C5140" s="710" t="s">
        <v>5507</v>
      </c>
      <c r="D5140" s="709" t="s">
        <v>136</v>
      </c>
      <c r="E5140" s="711">
        <v>8.4099999999999994E-2</v>
      </c>
    </row>
    <row r="5141" spans="1:5" x14ac:dyDescent="0.3">
      <c r="A5141" s="397"/>
      <c r="B5141" s="709">
        <v>89583</v>
      </c>
      <c r="C5141" s="710" t="s">
        <v>5508</v>
      </c>
      <c r="D5141" s="709" t="s">
        <v>136</v>
      </c>
      <c r="E5141" s="711">
        <v>0.1933</v>
      </c>
    </row>
    <row r="5142" spans="1:5" x14ac:dyDescent="0.3">
      <c r="A5142" s="397"/>
      <c r="B5142" s="709">
        <v>89526</v>
      </c>
      <c r="C5142" s="710" t="s">
        <v>5509</v>
      </c>
      <c r="D5142" s="709" t="s">
        <v>136</v>
      </c>
      <c r="E5142" s="711">
        <v>0.1149</v>
      </c>
    </row>
    <row r="5143" spans="1:5" x14ac:dyDescent="0.3">
      <c r="A5143" s="397"/>
      <c r="B5143" s="709">
        <v>95695</v>
      </c>
      <c r="C5143" s="710" t="s">
        <v>5510</v>
      </c>
      <c r="D5143" s="709" t="s">
        <v>136</v>
      </c>
      <c r="E5143" s="711">
        <v>0.2145</v>
      </c>
    </row>
    <row r="5144" spans="1:5" x14ac:dyDescent="0.3">
      <c r="A5144" s="397"/>
      <c r="B5144" s="709">
        <v>95694</v>
      </c>
      <c r="C5144" s="710" t="s">
        <v>5511</v>
      </c>
      <c r="D5144" s="709" t="s">
        <v>136</v>
      </c>
      <c r="E5144" s="711">
        <v>0.114</v>
      </c>
    </row>
    <row r="5145" spans="1:5" x14ac:dyDescent="0.3">
      <c r="A5145" s="397"/>
      <c r="B5145" s="709">
        <v>89585</v>
      </c>
      <c r="C5145" s="710" t="s">
        <v>5512</v>
      </c>
      <c r="D5145" s="709" t="s">
        <v>136</v>
      </c>
      <c r="E5145" s="711">
        <v>0.29420000000000002</v>
      </c>
    </row>
    <row r="5146" spans="1:5" x14ac:dyDescent="0.3">
      <c r="A5146" s="397"/>
      <c r="B5146" s="709">
        <v>89531</v>
      </c>
      <c r="C5146" s="710" t="s">
        <v>5513</v>
      </c>
      <c r="D5146" s="709" t="s">
        <v>136</v>
      </c>
      <c r="E5146" s="711">
        <v>0.16420000000000001</v>
      </c>
    </row>
    <row r="5147" spans="1:5" x14ac:dyDescent="0.3">
      <c r="A5147" s="397"/>
      <c r="B5147" s="709">
        <v>89591</v>
      </c>
      <c r="C5147" s="710" t="s">
        <v>5514</v>
      </c>
      <c r="D5147" s="709" t="s">
        <v>136</v>
      </c>
      <c r="E5147" s="711">
        <v>0.17649999999999999</v>
      </c>
    </row>
    <row r="5148" spans="1:5" x14ac:dyDescent="0.3">
      <c r="A5148" s="397"/>
      <c r="B5148" s="709">
        <v>104168</v>
      </c>
      <c r="C5148" s="710" t="s">
        <v>5515</v>
      </c>
      <c r="D5148" s="709" t="s">
        <v>136</v>
      </c>
      <c r="E5148" s="711">
        <v>0.10580000000000001</v>
      </c>
    </row>
    <row r="5149" spans="1:5" x14ac:dyDescent="0.3">
      <c r="A5149" s="397"/>
      <c r="B5149" s="709">
        <v>89516</v>
      </c>
      <c r="C5149" s="710" t="s">
        <v>5516</v>
      </c>
      <c r="D5149" s="709" t="s">
        <v>136</v>
      </c>
      <c r="E5149" s="711">
        <v>0.26129999999999998</v>
      </c>
    </row>
    <row r="5150" spans="1:5" x14ac:dyDescent="0.3">
      <c r="A5150" s="397"/>
      <c r="B5150" s="709">
        <v>89520</v>
      </c>
      <c r="C5150" s="710" t="s">
        <v>5517</v>
      </c>
      <c r="D5150" s="709" t="s">
        <v>136</v>
      </c>
      <c r="E5150" s="711">
        <v>0.19059999999999999</v>
      </c>
    </row>
    <row r="5151" spans="1:5" x14ac:dyDescent="0.3">
      <c r="A5151" s="397"/>
      <c r="B5151" s="709">
        <v>89582</v>
      </c>
      <c r="C5151" s="710" t="s">
        <v>5518</v>
      </c>
      <c r="D5151" s="709" t="s">
        <v>136</v>
      </c>
      <c r="E5151" s="711">
        <v>0.2462</v>
      </c>
    </row>
    <row r="5152" spans="1:5" x14ac:dyDescent="0.3">
      <c r="A5152" s="397"/>
      <c r="B5152" s="709">
        <v>89524</v>
      </c>
      <c r="C5152" s="710" t="s">
        <v>5519</v>
      </c>
      <c r="D5152" s="709" t="s">
        <v>136</v>
      </c>
      <c r="E5152" s="711">
        <v>0.15029999999999999</v>
      </c>
    </row>
    <row r="5153" spans="1:5" x14ac:dyDescent="0.3">
      <c r="A5153" s="397"/>
      <c r="B5153" s="709">
        <v>89584</v>
      </c>
      <c r="C5153" s="710" t="s">
        <v>5520</v>
      </c>
      <c r="D5153" s="709" t="s">
        <v>136</v>
      </c>
      <c r="E5153" s="711">
        <v>0.30180000000000001</v>
      </c>
    </row>
    <row r="5154" spans="1:5" x14ac:dyDescent="0.3">
      <c r="A5154" s="397"/>
      <c r="B5154" s="709">
        <v>89529</v>
      </c>
      <c r="C5154" s="710" t="s">
        <v>5521</v>
      </c>
      <c r="D5154" s="709" t="s">
        <v>136</v>
      </c>
      <c r="E5154" s="711">
        <v>0.16930000000000001</v>
      </c>
    </row>
    <row r="5155" spans="1:5" x14ac:dyDescent="0.3">
      <c r="A5155" s="397"/>
      <c r="B5155" s="709">
        <v>89590</v>
      </c>
      <c r="C5155" s="710" t="s">
        <v>5522</v>
      </c>
      <c r="D5155" s="709" t="s">
        <v>136</v>
      </c>
      <c r="E5155" s="711">
        <v>0.17180000000000001</v>
      </c>
    </row>
    <row r="5156" spans="1:5" x14ac:dyDescent="0.3">
      <c r="A5156" s="397"/>
      <c r="B5156" s="709">
        <v>104167</v>
      </c>
      <c r="C5156" s="710" t="s">
        <v>5523</v>
      </c>
      <c r="D5156" s="709" t="s">
        <v>136</v>
      </c>
      <c r="E5156" s="711">
        <v>0.1027</v>
      </c>
    </row>
    <row r="5157" spans="1:5" x14ac:dyDescent="0.3">
      <c r="A5157" s="397"/>
      <c r="B5157" s="709">
        <v>89514</v>
      </c>
      <c r="C5157" s="710" t="s">
        <v>5524</v>
      </c>
      <c r="D5157" s="709" t="s">
        <v>136</v>
      </c>
      <c r="E5157" s="711">
        <v>0.2641</v>
      </c>
    </row>
    <row r="5158" spans="1:5" x14ac:dyDescent="0.3">
      <c r="A5158" s="397"/>
      <c r="B5158" s="709">
        <v>89518</v>
      </c>
      <c r="C5158" s="710" t="s">
        <v>5525</v>
      </c>
      <c r="D5158" s="709" t="s">
        <v>136</v>
      </c>
      <c r="E5158" s="711">
        <v>0.20100000000000001</v>
      </c>
    </row>
    <row r="5159" spans="1:5" x14ac:dyDescent="0.3">
      <c r="A5159" s="397"/>
      <c r="B5159" s="709">
        <v>89581</v>
      </c>
      <c r="C5159" s="710" t="s">
        <v>5526</v>
      </c>
      <c r="D5159" s="709" t="s">
        <v>136</v>
      </c>
      <c r="E5159" s="711">
        <v>0.24990000000000001</v>
      </c>
    </row>
    <row r="5160" spans="1:5" x14ac:dyDescent="0.3">
      <c r="A5160" s="397"/>
      <c r="B5160" s="709">
        <v>89522</v>
      </c>
      <c r="C5160" s="710" t="s">
        <v>5527</v>
      </c>
      <c r="D5160" s="709" t="s">
        <v>136</v>
      </c>
      <c r="E5160" s="711">
        <v>0.15290000000000001</v>
      </c>
    </row>
    <row r="5161" spans="1:5" x14ac:dyDescent="0.3">
      <c r="A5161" s="397"/>
      <c r="B5161" s="709">
        <v>89574</v>
      </c>
      <c r="C5161" s="710" t="s">
        <v>5528</v>
      </c>
      <c r="D5161" s="709" t="s">
        <v>136</v>
      </c>
      <c r="E5161" s="711">
        <v>7.7600000000000002E-2</v>
      </c>
    </row>
    <row r="5162" spans="1:5" x14ac:dyDescent="0.3">
      <c r="A5162" s="397"/>
      <c r="B5162" s="709">
        <v>89690</v>
      </c>
      <c r="C5162" s="710" t="s">
        <v>5529</v>
      </c>
      <c r="D5162" s="709" t="s">
        <v>136</v>
      </c>
      <c r="E5162" s="711">
        <v>0.19289999999999999</v>
      </c>
    </row>
    <row r="5163" spans="1:5" x14ac:dyDescent="0.3">
      <c r="A5163" s="397"/>
      <c r="B5163" s="709">
        <v>89567</v>
      </c>
      <c r="C5163" s="710" t="s">
        <v>5530</v>
      </c>
      <c r="D5163" s="709" t="s">
        <v>136</v>
      </c>
      <c r="E5163" s="711">
        <v>0.1013</v>
      </c>
    </row>
    <row r="5164" spans="1:5" x14ac:dyDescent="0.3">
      <c r="A5164" s="397"/>
      <c r="B5164" s="709">
        <v>89692</v>
      </c>
      <c r="C5164" s="710" t="s">
        <v>5531</v>
      </c>
      <c r="D5164" s="709" t="s">
        <v>136</v>
      </c>
      <c r="E5164" s="711">
        <v>0.14779999999999999</v>
      </c>
    </row>
    <row r="5165" spans="1:5" x14ac:dyDescent="0.3">
      <c r="A5165" s="397"/>
      <c r="B5165" s="709">
        <v>89569</v>
      </c>
      <c r="C5165" s="710" t="s">
        <v>5532</v>
      </c>
      <c r="D5165" s="709" t="s">
        <v>136</v>
      </c>
      <c r="E5165" s="711">
        <v>7.8200000000000006E-2</v>
      </c>
    </row>
    <row r="5166" spans="1:5" x14ac:dyDescent="0.3">
      <c r="A5166" s="397"/>
      <c r="B5166" s="709">
        <v>89699</v>
      </c>
      <c r="C5166" s="710" t="s">
        <v>5533</v>
      </c>
      <c r="D5166" s="709" t="s">
        <v>136</v>
      </c>
      <c r="E5166" s="711">
        <v>0.1285</v>
      </c>
    </row>
    <row r="5167" spans="1:5" x14ac:dyDescent="0.3">
      <c r="A5167" s="397"/>
      <c r="B5167" s="709">
        <v>104174</v>
      </c>
      <c r="C5167" s="710" t="s">
        <v>5534</v>
      </c>
      <c r="D5167" s="709" t="s">
        <v>136</v>
      </c>
      <c r="E5167" s="711">
        <v>7.9799999999999996E-2</v>
      </c>
    </row>
    <row r="5168" spans="1:5" x14ac:dyDescent="0.3">
      <c r="A5168" s="397"/>
      <c r="B5168" s="709">
        <v>89698</v>
      </c>
      <c r="C5168" s="710" t="s">
        <v>5535</v>
      </c>
      <c r="D5168" s="709" t="s">
        <v>136</v>
      </c>
      <c r="E5168" s="711">
        <v>0.11269999999999999</v>
      </c>
    </row>
    <row r="5169" spans="1:5" x14ac:dyDescent="0.3">
      <c r="A5169" s="397"/>
      <c r="B5169" s="709">
        <v>104176</v>
      </c>
      <c r="C5169" s="710" t="s">
        <v>5536</v>
      </c>
      <c r="D5169" s="709" t="s">
        <v>136</v>
      </c>
      <c r="E5169" s="711">
        <v>6.5500000000000003E-2</v>
      </c>
    </row>
    <row r="5170" spans="1:5" x14ac:dyDescent="0.3">
      <c r="A5170" s="397"/>
      <c r="B5170" s="709">
        <v>89561</v>
      </c>
      <c r="C5170" s="710" t="s">
        <v>5537</v>
      </c>
      <c r="D5170" s="709" t="s">
        <v>136</v>
      </c>
      <c r="E5170" s="711">
        <v>0.19589999999999999</v>
      </c>
    </row>
    <row r="5171" spans="1:5" x14ac:dyDescent="0.3">
      <c r="A5171" s="397"/>
      <c r="B5171" s="709">
        <v>89563</v>
      </c>
      <c r="C5171" s="710" t="s">
        <v>5538</v>
      </c>
      <c r="D5171" s="709" t="s">
        <v>136</v>
      </c>
      <c r="E5171" s="711">
        <v>0.11260000000000001</v>
      </c>
    </row>
    <row r="5172" spans="1:5" x14ac:dyDescent="0.3">
      <c r="A5172" s="397"/>
      <c r="B5172" s="709">
        <v>89685</v>
      </c>
      <c r="C5172" s="710" t="s">
        <v>5539</v>
      </c>
      <c r="D5172" s="709" t="s">
        <v>136</v>
      </c>
      <c r="E5172" s="711">
        <v>0.18079999999999999</v>
      </c>
    </row>
    <row r="5173" spans="1:5" x14ac:dyDescent="0.3">
      <c r="A5173" s="397"/>
      <c r="B5173" s="709">
        <v>89565</v>
      </c>
      <c r="C5173" s="710" t="s">
        <v>5540</v>
      </c>
      <c r="D5173" s="709" t="s">
        <v>136</v>
      </c>
      <c r="E5173" s="711">
        <v>0.1067</v>
      </c>
    </row>
    <row r="5174" spans="1:5" x14ac:dyDescent="0.3">
      <c r="A5174" s="397"/>
      <c r="B5174" s="709">
        <v>89671</v>
      </c>
      <c r="C5174" s="710" t="s">
        <v>5541</v>
      </c>
      <c r="D5174" s="709" t="s">
        <v>136</v>
      </c>
      <c r="E5174" s="711">
        <v>0.19539999999999999</v>
      </c>
    </row>
    <row r="5175" spans="1:5" x14ac:dyDescent="0.3">
      <c r="A5175" s="397"/>
      <c r="B5175" s="709">
        <v>89556</v>
      </c>
      <c r="C5175" s="710" t="s">
        <v>5542</v>
      </c>
      <c r="D5175" s="709" t="s">
        <v>136</v>
      </c>
      <c r="E5175" s="711">
        <v>0.1027</v>
      </c>
    </row>
    <row r="5176" spans="1:5" x14ac:dyDescent="0.3">
      <c r="A5176" s="397"/>
      <c r="B5176" s="709">
        <v>89679</v>
      </c>
      <c r="C5176" s="710" t="s">
        <v>5543</v>
      </c>
      <c r="D5176" s="709" t="s">
        <v>136</v>
      </c>
      <c r="E5176" s="711">
        <v>0.1239</v>
      </c>
    </row>
    <row r="5177" spans="1:5" x14ac:dyDescent="0.3">
      <c r="A5177" s="397"/>
      <c r="B5177" s="709">
        <v>104171</v>
      </c>
      <c r="C5177" s="710" t="s">
        <v>5544</v>
      </c>
      <c r="D5177" s="709" t="s">
        <v>136</v>
      </c>
      <c r="E5177" s="711">
        <v>8.3500000000000005E-2</v>
      </c>
    </row>
    <row r="5178" spans="1:5" x14ac:dyDescent="0.3">
      <c r="A5178" s="397"/>
      <c r="B5178" s="709">
        <v>89600</v>
      </c>
      <c r="C5178" s="710" t="s">
        <v>5545</v>
      </c>
      <c r="D5178" s="709" t="s">
        <v>136</v>
      </c>
      <c r="E5178" s="711">
        <v>0.22209999999999999</v>
      </c>
    </row>
    <row r="5179" spans="1:5" x14ac:dyDescent="0.3">
      <c r="A5179" s="397"/>
      <c r="B5179" s="709">
        <v>89548</v>
      </c>
      <c r="C5179" s="710" t="s">
        <v>5546</v>
      </c>
      <c r="D5179" s="709" t="s">
        <v>136</v>
      </c>
      <c r="E5179" s="711">
        <v>0.1338</v>
      </c>
    </row>
    <row r="5180" spans="1:5" x14ac:dyDescent="0.3">
      <c r="A5180" s="397"/>
      <c r="B5180" s="709">
        <v>89669</v>
      </c>
      <c r="C5180" s="710" t="s">
        <v>5547</v>
      </c>
      <c r="D5180" s="709" t="s">
        <v>136</v>
      </c>
      <c r="E5180" s="711">
        <v>0.26179999999999998</v>
      </c>
    </row>
    <row r="5181" spans="1:5" x14ac:dyDescent="0.3">
      <c r="A5181" s="397"/>
      <c r="B5181" s="709">
        <v>89554</v>
      </c>
      <c r="C5181" s="710" t="s">
        <v>5548</v>
      </c>
      <c r="D5181" s="709" t="s">
        <v>136</v>
      </c>
      <c r="E5181" s="711">
        <v>0.14330000000000001</v>
      </c>
    </row>
    <row r="5182" spans="1:5" x14ac:dyDescent="0.3">
      <c r="A5182" s="397"/>
      <c r="B5182" s="709">
        <v>89677</v>
      </c>
      <c r="C5182" s="710" t="s">
        <v>5549</v>
      </c>
      <c r="D5182" s="709" t="s">
        <v>136</v>
      </c>
      <c r="E5182" s="711">
        <v>0.1963</v>
      </c>
    </row>
    <row r="5183" spans="1:5" x14ac:dyDescent="0.3">
      <c r="A5183" s="397"/>
      <c r="B5183" s="709">
        <v>104170</v>
      </c>
      <c r="C5183" s="710" t="s">
        <v>5550</v>
      </c>
      <c r="D5183" s="709" t="s">
        <v>136</v>
      </c>
      <c r="E5183" s="711">
        <v>0.1191</v>
      </c>
    </row>
    <row r="5184" spans="1:5" x14ac:dyDescent="0.3">
      <c r="A5184" s="397"/>
      <c r="B5184" s="709">
        <v>89544</v>
      </c>
      <c r="C5184" s="710" t="s">
        <v>5551</v>
      </c>
      <c r="D5184" s="709" t="s">
        <v>136</v>
      </c>
      <c r="E5184" s="711">
        <v>0.16930000000000001</v>
      </c>
    </row>
    <row r="5185" spans="1:5" x14ac:dyDescent="0.3">
      <c r="A5185" s="397"/>
      <c r="B5185" s="709">
        <v>89545</v>
      </c>
      <c r="C5185" s="710" t="s">
        <v>5552</v>
      </c>
      <c r="D5185" s="709" t="s">
        <v>136</v>
      </c>
      <c r="E5185" s="711">
        <v>0.1138</v>
      </c>
    </row>
    <row r="5186" spans="1:5" x14ac:dyDescent="0.3">
      <c r="A5186" s="397"/>
      <c r="B5186" s="709">
        <v>89599</v>
      </c>
      <c r="C5186" s="710" t="s">
        <v>5553</v>
      </c>
      <c r="D5186" s="709" t="s">
        <v>136</v>
      </c>
      <c r="E5186" s="711">
        <v>0.22</v>
      </c>
    </row>
    <row r="5187" spans="1:5" x14ac:dyDescent="0.3">
      <c r="A5187" s="397"/>
      <c r="B5187" s="709">
        <v>89547</v>
      </c>
      <c r="C5187" s="710" t="s">
        <v>5554</v>
      </c>
      <c r="D5187" s="709" t="s">
        <v>136</v>
      </c>
      <c r="E5187" s="711">
        <v>0.13239999999999999</v>
      </c>
    </row>
    <row r="5188" spans="1:5" x14ac:dyDescent="0.3">
      <c r="A5188" s="397"/>
      <c r="B5188" s="709">
        <v>89495</v>
      </c>
      <c r="C5188" s="710" t="s">
        <v>5555</v>
      </c>
      <c r="D5188" s="709" t="s">
        <v>136</v>
      </c>
      <c r="E5188" s="711">
        <v>0.25669999999999998</v>
      </c>
    </row>
    <row r="5189" spans="1:5" x14ac:dyDescent="0.3">
      <c r="A5189" s="397"/>
      <c r="B5189" s="709">
        <v>89673</v>
      </c>
      <c r="C5189" s="710" t="s">
        <v>5556</v>
      </c>
      <c r="D5189" s="709" t="s">
        <v>136</v>
      </c>
      <c r="E5189" s="711">
        <v>0.20330000000000001</v>
      </c>
    </row>
    <row r="5190" spans="1:5" x14ac:dyDescent="0.3">
      <c r="A5190" s="397"/>
      <c r="B5190" s="709">
        <v>89557</v>
      </c>
      <c r="C5190" s="710" t="s">
        <v>5557</v>
      </c>
      <c r="D5190" s="709" t="s">
        <v>136</v>
      </c>
      <c r="E5190" s="711">
        <v>0.1128</v>
      </c>
    </row>
    <row r="5191" spans="1:5" x14ac:dyDescent="0.3">
      <c r="A5191" s="397"/>
      <c r="B5191" s="709">
        <v>89681</v>
      </c>
      <c r="C5191" s="710" t="s">
        <v>5558</v>
      </c>
      <c r="D5191" s="709" t="s">
        <v>136</v>
      </c>
      <c r="E5191" s="711">
        <v>0.1333</v>
      </c>
    </row>
    <row r="5192" spans="1:5" x14ac:dyDescent="0.3">
      <c r="A5192" s="397"/>
      <c r="B5192" s="709">
        <v>104173</v>
      </c>
      <c r="C5192" s="710" t="s">
        <v>5559</v>
      </c>
      <c r="D5192" s="709" t="s">
        <v>136</v>
      </c>
      <c r="E5192" s="711">
        <v>8.5999999999999993E-2</v>
      </c>
    </row>
    <row r="5193" spans="1:5" x14ac:dyDescent="0.3">
      <c r="A5193" s="397"/>
      <c r="B5193" s="709">
        <v>89549</v>
      </c>
      <c r="C5193" s="710" t="s">
        <v>5560</v>
      </c>
      <c r="D5193" s="709" t="s">
        <v>136</v>
      </c>
      <c r="E5193" s="711">
        <v>0.1341</v>
      </c>
    </row>
    <row r="5194" spans="1:5" x14ac:dyDescent="0.3">
      <c r="A5194" s="397"/>
      <c r="B5194" s="709">
        <v>89578</v>
      </c>
      <c r="C5194" s="710" t="s">
        <v>5561</v>
      </c>
      <c r="D5194" s="709" t="s">
        <v>159</v>
      </c>
      <c r="E5194" s="711">
        <v>0.1016</v>
      </c>
    </row>
    <row r="5195" spans="1:5" x14ac:dyDescent="0.3">
      <c r="A5195" s="397"/>
      <c r="B5195" s="709">
        <v>89512</v>
      </c>
      <c r="C5195" s="710" t="s">
        <v>5562</v>
      </c>
      <c r="D5195" s="709" t="s">
        <v>159</v>
      </c>
      <c r="E5195" s="711">
        <v>0.37630000000000002</v>
      </c>
    </row>
    <row r="5196" spans="1:5" x14ac:dyDescent="0.3">
      <c r="A5196" s="397"/>
      <c r="B5196" s="709">
        <v>89580</v>
      </c>
      <c r="C5196" s="710" t="s">
        <v>5563</v>
      </c>
      <c r="D5196" s="709" t="s">
        <v>159</v>
      </c>
      <c r="E5196" s="711">
        <v>8.4900000000000003E-2</v>
      </c>
    </row>
    <row r="5197" spans="1:5" x14ac:dyDescent="0.3">
      <c r="A5197" s="397"/>
      <c r="B5197" s="709">
        <v>104166</v>
      </c>
      <c r="C5197" s="710" t="s">
        <v>5564</v>
      </c>
      <c r="D5197" s="709" t="s">
        <v>159</v>
      </c>
      <c r="E5197" s="711">
        <v>0.1525</v>
      </c>
    </row>
    <row r="5198" spans="1:5" x14ac:dyDescent="0.3">
      <c r="A5198" s="397"/>
      <c r="B5198" s="709">
        <v>89508</v>
      </c>
      <c r="C5198" s="710" t="s">
        <v>5565</v>
      </c>
      <c r="D5198" s="709" t="s">
        <v>159</v>
      </c>
      <c r="E5198" s="711">
        <v>0.40660000000000002</v>
      </c>
    </row>
    <row r="5199" spans="1:5" x14ac:dyDescent="0.3">
      <c r="A5199" s="397"/>
      <c r="B5199" s="709">
        <v>89509</v>
      </c>
      <c r="C5199" s="710" t="s">
        <v>5566</v>
      </c>
      <c r="D5199" s="709" t="s">
        <v>159</v>
      </c>
      <c r="E5199" s="711">
        <v>0.38369999999999999</v>
      </c>
    </row>
    <row r="5200" spans="1:5" x14ac:dyDescent="0.3">
      <c r="A5200" s="397"/>
      <c r="B5200" s="709">
        <v>89576</v>
      </c>
      <c r="C5200" s="710" t="s">
        <v>5567</v>
      </c>
      <c r="D5200" s="709" t="s">
        <v>159</v>
      </c>
      <c r="E5200" s="711">
        <v>0.08</v>
      </c>
    </row>
    <row r="5201" spans="1:5" x14ac:dyDescent="0.3">
      <c r="A5201" s="397"/>
      <c r="B5201" s="709">
        <v>89511</v>
      </c>
      <c r="C5201" s="710" t="s">
        <v>5568</v>
      </c>
      <c r="D5201" s="709" t="s">
        <v>159</v>
      </c>
      <c r="E5201" s="711">
        <v>0.34739999999999999</v>
      </c>
    </row>
    <row r="5202" spans="1:5" x14ac:dyDescent="0.3">
      <c r="A5202" s="397"/>
      <c r="B5202" s="709">
        <v>89675</v>
      </c>
      <c r="C5202" s="710" t="s">
        <v>5569</v>
      </c>
      <c r="D5202" s="709" t="s">
        <v>136</v>
      </c>
      <c r="E5202" s="711">
        <v>0.11899999999999999</v>
      </c>
    </row>
    <row r="5203" spans="1:5" x14ac:dyDescent="0.3">
      <c r="A5203" s="397"/>
      <c r="B5203" s="709">
        <v>89559</v>
      </c>
      <c r="C5203" s="710" t="s">
        <v>5570</v>
      </c>
      <c r="D5203" s="709" t="s">
        <v>136</v>
      </c>
      <c r="E5203" s="711">
        <v>5.9799999999999999E-2</v>
      </c>
    </row>
    <row r="5204" spans="1:5" x14ac:dyDescent="0.3">
      <c r="A5204" s="397"/>
      <c r="B5204" s="709">
        <v>104172</v>
      </c>
      <c r="C5204" s="710" t="s">
        <v>5571</v>
      </c>
      <c r="D5204" s="709" t="s">
        <v>136</v>
      </c>
      <c r="E5204" s="711">
        <v>2.92E-2</v>
      </c>
    </row>
    <row r="5205" spans="1:5" x14ac:dyDescent="0.3">
      <c r="A5205" s="397"/>
      <c r="B5205" s="709">
        <v>89683</v>
      </c>
      <c r="C5205" s="710" t="s">
        <v>5572</v>
      </c>
      <c r="D5205" s="709" t="s">
        <v>136</v>
      </c>
      <c r="E5205" s="711">
        <v>5.1700000000000003E-2</v>
      </c>
    </row>
    <row r="5206" spans="1:5" x14ac:dyDescent="0.3">
      <c r="A5206" s="397"/>
      <c r="B5206" s="709">
        <v>89667</v>
      </c>
      <c r="C5206" s="710" t="s">
        <v>5573</v>
      </c>
      <c r="D5206" s="709" t="s">
        <v>136</v>
      </c>
      <c r="E5206" s="711">
        <v>0.125</v>
      </c>
    </row>
    <row r="5207" spans="1:5" x14ac:dyDescent="0.3">
      <c r="A5207" s="397"/>
      <c r="B5207" s="709">
        <v>89550</v>
      </c>
      <c r="C5207" s="710" t="s">
        <v>5574</v>
      </c>
      <c r="D5207" s="709" t="s">
        <v>136</v>
      </c>
      <c r="E5207" s="711">
        <v>7.17E-2</v>
      </c>
    </row>
    <row r="5208" spans="1:5" x14ac:dyDescent="0.3">
      <c r="A5208" s="397"/>
      <c r="B5208" s="709">
        <v>89693</v>
      </c>
      <c r="C5208" s="710" t="s">
        <v>5575</v>
      </c>
      <c r="D5208" s="709" t="s">
        <v>136</v>
      </c>
      <c r="E5208" s="711">
        <v>0.22090000000000001</v>
      </c>
    </row>
    <row r="5209" spans="1:5" x14ac:dyDescent="0.3">
      <c r="A5209" s="397"/>
      <c r="B5209" s="709">
        <v>89571</v>
      </c>
      <c r="C5209" s="710" t="s">
        <v>5576</v>
      </c>
      <c r="D5209" s="709" t="s">
        <v>136</v>
      </c>
      <c r="E5209" s="711">
        <v>0.11799999999999999</v>
      </c>
    </row>
    <row r="5210" spans="1:5" x14ac:dyDescent="0.3">
      <c r="A5210" s="397"/>
      <c r="B5210" s="709">
        <v>89696</v>
      </c>
      <c r="C5210" s="710" t="s">
        <v>5577</v>
      </c>
      <c r="D5210" s="709" t="s">
        <v>136</v>
      </c>
      <c r="E5210" s="711">
        <v>0.18</v>
      </c>
    </row>
    <row r="5211" spans="1:5" x14ac:dyDescent="0.3">
      <c r="A5211" s="397"/>
      <c r="B5211" s="709">
        <v>89573</v>
      </c>
      <c r="C5211" s="710" t="s">
        <v>5578</v>
      </c>
      <c r="D5211" s="709" t="s">
        <v>136</v>
      </c>
      <c r="E5211" s="711">
        <v>9.69E-2</v>
      </c>
    </row>
    <row r="5212" spans="1:5" x14ac:dyDescent="0.3">
      <c r="A5212" s="397"/>
      <c r="B5212" s="709">
        <v>89704</v>
      </c>
      <c r="C5212" s="710" t="s">
        <v>5579</v>
      </c>
      <c r="D5212" s="709" t="s">
        <v>136</v>
      </c>
      <c r="E5212" s="711">
        <v>0.17299999999999999</v>
      </c>
    </row>
    <row r="5213" spans="1:5" x14ac:dyDescent="0.3">
      <c r="A5213" s="397"/>
      <c r="B5213" s="709">
        <v>104175</v>
      </c>
      <c r="C5213" s="710" t="s">
        <v>5580</v>
      </c>
      <c r="D5213" s="709" t="s">
        <v>136</v>
      </c>
      <c r="E5213" s="711">
        <v>0.1095</v>
      </c>
    </row>
    <row r="5214" spans="1:5" x14ac:dyDescent="0.3">
      <c r="A5214" s="397"/>
      <c r="B5214" s="709">
        <v>89701</v>
      </c>
      <c r="C5214" s="710" t="s">
        <v>5581</v>
      </c>
      <c r="D5214" s="709" t="s">
        <v>136</v>
      </c>
      <c r="E5214" s="711">
        <v>0.15540000000000001</v>
      </c>
    </row>
    <row r="5215" spans="1:5" x14ac:dyDescent="0.3">
      <c r="A5215" s="397"/>
      <c r="B5215" s="709">
        <v>104177</v>
      </c>
      <c r="C5215" s="710" t="s">
        <v>5582</v>
      </c>
      <c r="D5215" s="709" t="s">
        <v>136</v>
      </c>
      <c r="E5215" s="711">
        <v>9.2200000000000004E-2</v>
      </c>
    </row>
    <row r="5216" spans="1:5" x14ac:dyDescent="0.3">
      <c r="A5216" s="397"/>
      <c r="B5216" s="709">
        <v>89566</v>
      </c>
      <c r="C5216" s="710" t="s">
        <v>5583</v>
      </c>
      <c r="D5216" s="709" t="s">
        <v>136</v>
      </c>
      <c r="E5216" s="711">
        <v>0.12720000000000001</v>
      </c>
    </row>
    <row r="5217" spans="1:5" x14ac:dyDescent="0.3">
      <c r="A5217" s="397"/>
      <c r="B5217" s="709">
        <v>89687</v>
      </c>
      <c r="C5217" s="710" t="s">
        <v>5584</v>
      </c>
      <c r="D5217" s="709" t="s">
        <v>136</v>
      </c>
      <c r="E5217" s="711">
        <v>0.2122</v>
      </c>
    </row>
    <row r="5218" spans="1:5" x14ac:dyDescent="0.3">
      <c r="A5218" s="397"/>
      <c r="B5218" s="709">
        <v>102253</v>
      </c>
      <c r="C5218" s="710" t="s">
        <v>13897</v>
      </c>
      <c r="D5218" s="709" t="s">
        <v>168</v>
      </c>
      <c r="E5218" s="711">
        <v>0.14330000000000001</v>
      </c>
    </row>
    <row r="5219" spans="1:5" x14ac:dyDescent="0.3">
      <c r="A5219" s="397"/>
      <c r="B5219" s="709">
        <v>102254</v>
      </c>
      <c r="C5219" s="710" t="s">
        <v>13898</v>
      </c>
      <c r="D5219" s="709" t="s">
        <v>168</v>
      </c>
      <c r="E5219" s="711">
        <v>0.1263</v>
      </c>
    </row>
    <row r="5220" spans="1:5" x14ac:dyDescent="0.3">
      <c r="A5220" s="397"/>
      <c r="B5220" s="709">
        <v>102257</v>
      </c>
      <c r="C5220" s="710" t="s">
        <v>13899</v>
      </c>
      <c r="D5220" s="709" t="s">
        <v>168</v>
      </c>
      <c r="E5220" s="711">
        <v>0.30130000000000001</v>
      </c>
    </row>
    <row r="5221" spans="1:5" x14ac:dyDescent="0.3">
      <c r="A5221" s="397"/>
      <c r="B5221" s="709">
        <v>102235</v>
      </c>
      <c r="C5221" s="710" t="s">
        <v>13900</v>
      </c>
      <c r="D5221" s="709" t="s">
        <v>168</v>
      </c>
      <c r="E5221" s="711">
        <v>0.13370000000000001</v>
      </c>
    </row>
    <row r="5222" spans="1:5" x14ac:dyDescent="0.3">
      <c r="A5222" s="397"/>
      <c r="B5222" s="709">
        <v>101912</v>
      </c>
      <c r="C5222" s="710" t="s">
        <v>13901</v>
      </c>
      <c r="D5222" s="709" t="s">
        <v>136</v>
      </c>
      <c r="E5222" s="711">
        <v>9.8000000000000004E-2</v>
      </c>
    </row>
    <row r="5223" spans="1:5" x14ac:dyDescent="0.3">
      <c r="A5223" s="397"/>
      <c r="B5223" s="709">
        <v>96765</v>
      </c>
      <c r="C5223" s="710" t="s">
        <v>13902</v>
      </c>
      <c r="D5223" s="709" t="s">
        <v>136</v>
      </c>
      <c r="E5223" s="711">
        <v>0.1008</v>
      </c>
    </row>
    <row r="5224" spans="1:5" x14ac:dyDescent="0.3">
      <c r="A5224" s="397"/>
      <c r="B5224" s="709">
        <v>97430</v>
      </c>
      <c r="C5224" s="710" t="s">
        <v>13903</v>
      </c>
      <c r="D5224" s="709" t="s">
        <v>136</v>
      </c>
      <c r="E5224" s="711">
        <v>0.4919</v>
      </c>
    </row>
    <row r="5225" spans="1:5" x14ac:dyDescent="0.3">
      <c r="A5225" s="397"/>
      <c r="B5225" s="709">
        <v>97431</v>
      </c>
      <c r="C5225" s="710" t="s">
        <v>13904</v>
      </c>
      <c r="D5225" s="709" t="s">
        <v>136</v>
      </c>
      <c r="E5225" s="711">
        <v>0.47970000000000002</v>
      </c>
    </row>
    <row r="5226" spans="1:5" x14ac:dyDescent="0.3">
      <c r="A5226" s="397"/>
      <c r="B5226" s="709">
        <v>97432</v>
      </c>
      <c r="C5226" s="710" t="s">
        <v>13905</v>
      </c>
      <c r="D5226" s="709" t="s">
        <v>136</v>
      </c>
      <c r="E5226" s="711">
        <v>0.45889999999999997</v>
      </c>
    </row>
    <row r="5227" spans="1:5" x14ac:dyDescent="0.3">
      <c r="A5227" s="397"/>
      <c r="B5227" s="709">
        <v>101913</v>
      </c>
      <c r="C5227" s="710" t="s">
        <v>13906</v>
      </c>
      <c r="D5227" s="709" t="s">
        <v>136</v>
      </c>
      <c r="E5227" s="711">
        <v>0.19159999999999999</v>
      </c>
    </row>
    <row r="5228" spans="1:5" x14ac:dyDescent="0.3">
      <c r="A5228" s="397"/>
      <c r="B5228" s="709">
        <v>101914</v>
      </c>
      <c r="C5228" s="710" t="s">
        <v>13907</v>
      </c>
      <c r="D5228" s="709" t="s">
        <v>136</v>
      </c>
      <c r="E5228" s="711">
        <v>0.158</v>
      </c>
    </row>
    <row r="5229" spans="1:5" x14ac:dyDescent="0.3">
      <c r="A5229" s="397"/>
      <c r="B5229" s="709">
        <v>101915</v>
      </c>
      <c r="C5229" s="710" t="s">
        <v>13908</v>
      </c>
      <c r="D5229" s="709" t="s">
        <v>136</v>
      </c>
      <c r="E5229" s="711">
        <v>1.8700000000000001E-2</v>
      </c>
    </row>
    <row r="5230" spans="1:5" x14ac:dyDescent="0.3">
      <c r="A5230" s="397"/>
      <c r="B5230" s="709">
        <v>97433</v>
      </c>
      <c r="C5230" s="710" t="s">
        <v>13909</v>
      </c>
      <c r="D5230" s="709" t="s">
        <v>136</v>
      </c>
      <c r="E5230" s="711">
        <v>0.33579999999999999</v>
      </c>
    </row>
    <row r="5231" spans="1:5" x14ac:dyDescent="0.3">
      <c r="A5231" s="397"/>
      <c r="B5231" s="709">
        <v>97435</v>
      </c>
      <c r="C5231" s="710" t="s">
        <v>13910</v>
      </c>
      <c r="D5231" s="709" t="s">
        <v>136</v>
      </c>
      <c r="E5231" s="711">
        <v>0.30769999999999997</v>
      </c>
    </row>
    <row r="5232" spans="1:5" x14ac:dyDescent="0.3">
      <c r="A5232" s="397"/>
      <c r="B5232" s="709">
        <v>97437</v>
      </c>
      <c r="C5232" s="710" t="s">
        <v>13911</v>
      </c>
      <c r="D5232" s="709" t="s">
        <v>136</v>
      </c>
      <c r="E5232" s="711">
        <v>0.28570000000000001</v>
      </c>
    </row>
    <row r="5233" spans="1:5" x14ac:dyDescent="0.3">
      <c r="A5233" s="397"/>
      <c r="B5233" s="709">
        <v>97546</v>
      </c>
      <c r="C5233" s="710" t="s">
        <v>13912</v>
      </c>
      <c r="D5233" s="709" t="s">
        <v>136</v>
      </c>
      <c r="E5233" s="711">
        <v>0.33329999999999999</v>
      </c>
    </row>
    <row r="5234" spans="1:5" x14ac:dyDescent="0.3">
      <c r="A5234" s="397"/>
      <c r="B5234" s="709">
        <v>97548</v>
      </c>
      <c r="C5234" s="710" t="s">
        <v>13913</v>
      </c>
      <c r="D5234" s="709" t="s">
        <v>136</v>
      </c>
      <c r="E5234" s="711">
        <v>0.39169999999999999</v>
      </c>
    </row>
    <row r="5235" spans="1:5" x14ac:dyDescent="0.3">
      <c r="A5235" s="397"/>
      <c r="B5235" s="709">
        <v>97550</v>
      </c>
      <c r="C5235" s="710" t="s">
        <v>13914</v>
      </c>
      <c r="D5235" s="709" t="s">
        <v>136</v>
      </c>
      <c r="E5235" s="711">
        <v>0.46850000000000003</v>
      </c>
    </row>
    <row r="5236" spans="1:5" x14ac:dyDescent="0.3">
      <c r="A5236" s="397"/>
      <c r="B5236" s="709">
        <v>97479</v>
      </c>
      <c r="C5236" s="710" t="s">
        <v>13915</v>
      </c>
      <c r="D5236" s="709" t="s">
        <v>136</v>
      </c>
      <c r="E5236" s="711">
        <v>0.25080000000000002</v>
      </c>
    </row>
    <row r="5237" spans="1:5" x14ac:dyDescent="0.3">
      <c r="A5237" s="397"/>
      <c r="B5237" s="709">
        <v>97517</v>
      </c>
      <c r="C5237" s="710" t="s">
        <v>13916</v>
      </c>
      <c r="D5237" s="709" t="s">
        <v>136</v>
      </c>
      <c r="E5237" s="711">
        <v>0.21079999999999999</v>
      </c>
    </row>
    <row r="5238" spans="1:5" x14ac:dyDescent="0.3">
      <c r="A5238" s="397"/>
      <c r="B5238" s="709">
        <v>97481</v>
      </c>
      <c r="C5238" s="710" t="s">
        <v>13917</v>
      </c>
      <c r="D5238" s="709" t="s">
        <v>136</v>
      </c>
      <c r="E5238" s="711">
        <v>0.21729999999999999</v>
      </c>
    </row>
    <row r="5239" spans="1:5" x14ac:dyDescent="0.3">
      <c r="A5239" s="397"/>
      <c r="B5239" s="709">
        <v>97519</v>
      </c>
      <c r="C5239" s="710" t="s">
        <v>13918</v>
      </c>
      <c r="D5239" s="709" t="s">
        <v>136</v>
      </c>
      <c r="E5239" s="711">
        <v>0.1666</v>
      </c>
    </row>
    <row r="5240" spans="1:5" x14ac:dyDescent="0.3">
      <c r="A5240" s="397"/>
      <c r="B5240" s="709">
        <v>97483</v>
      </c>
      <c r="C5240" s="710" t="s">
        <v>13919</v>
      </c>
      <c r="D5240" s="709" t="s">
        <v>136</v>
      </c>
      <c r="E5240" s="711">
        <v>0.1913</v>
      </c>
    </row>
    <row r="5241" spans="1:5" x14ac:dyDescent="0.3">
      <c r="A5241" s="397"/>
      <c r="B5241" s="709">
        <v>97521</v>
      </c>
      <c r="C5241" s="710" t="s">
        <v>13920</v>
      </c>
      <c r="D5241" s="709" t="s">
        <v>136</v>
      </c>
      <c r="E5241" s="711">
        <v>0.13539999999999999</v>
      </c>
    </row>
    <row r="5242" spans="1:5" x14ac:dyDescent="0.3">
      <c r="A5242" s="397"/>
      <c r="B5242" s="709">
        <v>97452</v>
      </c>
      <c r="C5242" s="710" t="s">
        <v>13921</v>
      </c>
      <c r="D5242" s="709" t="s">
        <v>136</v>
      </c>
      <c r="E5242" s="711">
        <v>0.2742</v>
      </c>
    </row>
    <row r="5243" spans="1:5" x14ac:dyDescent="0.3">
      <c r="A5243" s="397"/>
      <c r="B5243" s="709">
        <v>97485</v>
      </c>
      <c r="C5243" s="710" t="s">
        <v>13922</v>
      </c>
      <c r="D5243" s="709" t="s">
        <v>136</v>
      </c>
      <c r="E5243" s="711">
        <v>0.17130000000000001</v>
      </c>
    </row>
    <row r="5244" spans="1:5" x14ac:dyDescent="0.3">
      <c r="A5244" s="397"/>
      <c r="B5244" s="709">
        <v>97523</v>
      </c>
      <c r="C5244" s="710" t="s">
        <v>13923</v>
      </c>
      <c r="D5244" s="709" t="s">
        <v>136</v>
      </c>
      <c r="E5244" s="711">
        <v>0.1128</v>
      </c>
    </row>
    <row r="5245" spans="1:5" x14ac:dyDescent="0.3">
      <c r="A5245" s="397"/>
      <c r="B5245" s="709">
        <v>97454</v>
      </c>
      <c r="C5245" s="710" t="s">
        <v>13924</v>
      </c>
      <c r="D5245" s="709" t="s">
        <v>136</v>
      </c>
      <c r="E5245" s="711">
        <v>0.1628</v>
      </c>
    </row>
    <row r="5246" spans="1:5" x14ac:dyDescent="0.3">
      <c r="A5246" s="397"/>
      <c r="B5246" s="709">
        <v>97487</v>
      </c>
      <c r="C5246" s="710" t="s">
        <v>13925</v>
      </c>
      <c r="D5246" s="709" t="s">
        <v>136</v>
      </c>
      <c r="E5246" s="711">
        <v>0.1181</v>
      </c>
    </row>
    <row r="5247" spans="1:5" x14ac:dyDescent="0.3">
      <c r="A5247" s="397"/>
      <c r="B5247" s="709">
        <v>97525</v>
      </c>
      <c r="C5247" s="710" t="s">
        <v>13926</v>
      </c>
      <c r="D5247" s="709" t="s">
        <v>136</v>
      </c>
      <c r="E5247" s="711">
        <v>7.1099999999999997E-2</v>
      </c>
    </row>
    <row r="5248" spans="1:5" x14ac:dyDescent="0.3">
      <c r="A5248" s="397"/>
      <c r="B5248" s="709">
        <v>97456</v>
      </c>
      <c r="C5248" s="710" t="s">
        <v>13927</v>
      </c>
      <c r="D5248" s="709" t="s">
        <v>136</v>
      </c>
      <c r="E5248" s="711">
        <v>7.1800000000000003E-2</v>
      </c>
    </row>
    <row r="5249" spans="1:5" x14ac:dyDescent="0.3">
      <c r="A5249" s="397"/>
      <c r="B5249" s="709">
        <v>97489</v>
      </c>
      <c r="C5249" s="710" t="s">
        <v>13928</v>
      </c>
      <c r="D5249" s="709" t="s">
        <v>136</v>
      </c>
      <c r="E5249" s="711">
        <v>5.9799999999999999E-2</v>
      </c>
    </row>
    <row r="5250" spans="1:5" x14ac:dyDescent="0.3">
      <c r="A5250" s="397"/>
      <c r="B5250" s="709">
        <v>97527</v>
      </c>
      <c r="C5250" s="710" t="s">
        <v>13929</v>
      </c>
      <c r="D5250" s="709" t="s">
        <v>136</v>
      </c>
      <c r="E5250" s="711">
        <v>3.3500000000000002E-2</v>
      </c>
    </row>
    <row r="5251" spans="1:5" x14ac:dyDescent="0.3">
      <c r="A5251" s="397"/>
      <c r="B5251" s="709">
        <v>97434</v>
      </c>
      <c r="C5251" s="710" t="s">
        <v>13930</v>
      </c>
      <c r="D5251" s="709" t="s">
        <v>136</v>
      </c>
      <c r="E5251" s="711">
        <v>0.33</v>
      </c>
    </row>
    <row r="5252" spans="1:5" x14ac:dyDescent="0.3">
      <c r="A5252" s="397"/>
      <c r="B5252" s="709">
        <v>97436</v>
      </c>
      <c r="C5252" s="710" t="s">
        <v>13931</v>
      </c>
      <c r="D5252" s="709" t="s">
        <v>136</v>
      </c>
      <c r="E5252" s="711">
        <v>0.29880000000000001</v>
      </c>
    </row>
    <row r="5253" spans="1:5" x14ac:dyDescent="0.3">
      <c r="A5253" s="397"/>
      <c r="B5253" s="709">
        <v>97438</v>
      </c>
      <c r="C5253" s="710" t="s">
        <v>13932</v>
      </c>
      <c r="D5253" s="709" t="s">
        <v>136</v>
      </c>
      <c r="E5253" s="711">
        <v>0.27779999999999999</v>
      </c>
    </row>
    <row r="5254" spans="1:5" x14ac:dyDescent="0.3">
      <c r="A5254" s="397"/>
      <c r="B5254" s="709">
        <v>97547</v>
      </c>
      <c r="C5254" s="710" t="s">
        <v>13933</v>
      </c>
      <c r="D5254" s="709" t="s">
        <v>136</v>
      </c>
      <c r="E5254" s="711">
        <v>0.33329999999999999</v>
      </c>
    </row>
    <row r="5255" spans="1:5" x14ac:dyDescent="0.3">
      <c r="A5255" s="397"/>
      <c r="B5255" s="709">
        <v>97549</v>
      </c>
      <c r="C5255" s="710" t="s">
        <v>13934</v>
      </c>
      <c r="D5255" s="709" t="s">
        <v>136</v>
      </c>
      <c r="E5255" s="711">
        <v>0.39169999999999999</v>
      </c>
    </row>
    <row r="5256" spans="1:5" x14ac:dyDescent="0.3">
      <c r="A5256" s="397"/>
      <c r="B5256" s="709">
        <v>97551</v>
      </c>
      <c r="C5256" s="710" t="s">
        <v>13935</v>
      </c>
      <c r="D5256" s="709" t="s">
        <v>136</v>
      </c>
      <c r="E5256" s="711">
        <v>0.46850000000000003</v>
      </c>
    </row>
    <row r="5257" spans="1:5" x14ac:dyDescent="0.3">
      <c r="A5257" s="397"/>
      <c r="B5257" s="709">
        <v>97480</v>
      </c>
      <c r="C5257" s="710" t="s">
        <v>13936</v>
      </c>
      <c r="D5257" s="709" t="s">
        <v>136</v>
      </c>
      <c r="E5257" s="711">
        <v>0.25080000000000002</v>
      </c>
    </row>
    <row r="5258" spans="1:5" x14ac:dyDescent="0.3">
      <c r="A5258" s="397"/>
      <c r="B5258" s="709">
        <v>97518</v>
      </c>
      <c r="C5258" s="710" t="s">
        <v>13937</v>
      </c>
      <c r="D5258" s="709" t="s">
        <v>136</v>
      </c>
      <c r="E5258" s="711">
        <v>0.21079999999999999</v>
      </c>
    </row>
    <row r="5259" spans="1:5" x14ac:dyDescent="0.3">
      <c r="A5259" s="397"/>
      <c r="B5259" s="709">
        <v>97482</v>
      </c>
      <c r="C5259" s="710" t="s">
        <v>13938</v>
      </c>
      <c r="D5259" s="709" t="s">
        <v>136</v>
      </c>
      <c r="E5259" s="711">
        <v>0.21729999999999999</v>
      </c>
    </row>
    <row r="5260" spans="1:5" x14ac:dyDescent="0.3">
      <c r="A5260" s="397"/>
      <c r="B5260" s="709">
        <v>97520</v>
      </c>
      <c r="C5260" s="710" t="s">
        <v>13939</v>
      </c>
      <c r="D5260" s="709" t="s">
        <v>136</v>
      </c>
      <c r="E5260" s="711">
        <v>0.1666</v>
      </c>
    </row>
    <row r="5261" spans="1:5" x14ac:dyDescent="0.3">
      <c r="A5261" s="397"/>
      <c r="B5261" s="709">
        <v>97484</v>
      </c>
      <c r="C5261" s="710" t="s">
        <v>13940</v>
      </c>
      <c r="D5261" s="709" t="s">
        <v>136</v>
      </c>
      <c r="E5261" s="711">
        <v>0.1913</v>
      </c>
    </row>
    <row r="5262" spans="1:5" x14ac:dyDescent="0.3">
      <c r="A5262" s="397"/>
      <c r="B5262" s="709">
        <v>97522</v>
      </c>
      <c r="C5262" s="710" t="s">
        <v>13941</v>
      </c>
      <c r="D5262" s="709" t="s">
        <v>136</v>
      </c>
      <c r="E5262" s="711">
        <v>0.13539999999999999</v>
      </c>
    </row>
    <row r="5263" spans="1:5" x14ac:dyDescent="0.3">
      <c r="A5263" s="397"/>
      <c r="B5263" s="709">
        <v>97453</v>
      </c>
      <c r="C5263" s="710" t="s">
        <v>13942</v>
      </c>
      <c r="D5263" s="709" t="s">
        <v>136</v>
      </c>
      <c r="E5263" s="711">
        <v>0.2571</v>
      </c>
    </row>
    <row r="5264" spans="1:5" x14ac:dyDescent="0.3">
      <c r="A5264" s="397"/>
      <c r="B5264" s="709">
        <v>97486</v>
      </c>
      <c r="C5264" s="710" t="s">
        <v>13943</v>
      </c>
      <c r="D5264" s="709" t="s">
        <v>136</v>
      </c>
      <c r="E5264" s="711">
        <v>0.15920000000000001</v>
      </c>
    </row>
    <row r="5265" spans="1:5" x14ac:dyDescent="0.3">
      <c r="A5265" s="397"/>
      <c r="B5265" s="709">
        <v>97524</v>
      </c>
      <c r="C5265" s="710" t="s">
        <v>13944</v>
      </c>
      <c r="D5265" s="709" t="s">
        <v>136</v>
      </c>
      <c r="E5265" s="711">
        <v>0.1043</v>
      </c>
    </row>
    <row r="5266" spans="1:5" x14ac:dyDescent="0.3">
      <c r="A5266" s="397"/>
      <c r="B5266" s="709">
        <v>97455</v>
      </c>
      <c r="C5266" s="710" t="s">
        <v>13945</v>
      </c>
      <c r="D5266" s="709" t="s">
        <v>136</v>
      </c>
      <c r="E5266" s="711">
        <v>0.15340000000000001</v>
      </c>
    </row>
    <row r="5267" spans="1:5" x14ac:dyDescent="0.3">
      <c r="A5267" s="397"/>
      <c r="B5267" s="709">
        <v>97488</v>
      </c>
      <c r="C5267" s="710" t="s">
        <v>13946</v>
      </c>
      <c r="D5267" s="709" t="s">
        <v>136</v>
      </c>
      <c r="E5267" s="711">
        <v>0.1109</v>
      </c>
    </row>
    <row r="5268" spans="1:5" x14ac:dyDescent="0.3">
      <c r="A5268" s="397"/>
      <c r="B5268" s="709">
        <v>97526</v>
      </c>
      <c r="C5268" s="710" t="s">
        <v>13947</v>
      </c>
      <c r="D5268" s="709" t="s">
        <v>136</v>
      </c>
      <c r="E5268" s="711">
        <v>6.6600000000000006E-2</v>
      </c>
    </row>
    <row r="5269" spans="1:5" x14ac:dyDescent="0.3">
      <c r="A5269" s="397"/>
      <c r="B5269" s="709">
        <v>97457</v>
      </c>
      <c r="C5269" s="710" t="s">
        <v>13948</v>
      </c>
      <c r="D5269" s="709" t="s">
        <v>136</v>
      </c>
      <c r="E5269" s="711">
        <v>8.14E-2</v>
      </c>
    </row>
    <row r="5270" spans="1:5" x14ac:dyDescent="0.3">
      <c r="A5270" s="397"/>
      <c r="B5270" s="709">
        <v>97490</v>
      </c>
      <c r="C5270" s="710" t="s">
        <v>13949</v>
      </c>
      <c r="D5270" s="709" t="s">
        <v>136</v>
      </c>
      <c r="E5270" s="711">
        <v>6.7900000000000002E-2</v>
      </c>
    </row>
    <row r="5271" spans="1:5" x14ac:dyDescent="0.3">
      <c r="A5271" s="397"/>
      <c r="B5271" s="709">
        <v>97528</v>
      </c>
      <c r="C5271" s="710" t="s">
        <v>13950</v>
      </c>
      <c r="D5271" s="709" t="s">
        <v>136</v>
      </c>
      <c r="E5271" s="711">
        <v>3.8199999999999998E-2</v>
      </c>
    </row>
    <row r="5272" spans="1:5" x14ac:dyDescent="0.3">
      <c r="A5272" s="397"/>
      <c r="B5272" s="709">
        <v>101906</v>
      </c>
      <c r="C5272" s="710" t="s">
        <v>13951</v>
      </c>
      <c r="D5272" s="709" t="s">
        <v>136</v>
      </c>
      <c r="E5272" s="711">
        <v>3.7699999999999997E-2</v>
      </c>
    </row>
    <row r="5273" spans="1:5" x14ac:dyDescent="0.3">
      <c r="A5273" s="397"/>
      <c r="B5273" s="709">
        <v>101907</v>
      </c>
      <c r="C5273" s="710" t="s">
        <v>13952</v>
      </c>
      <c r="D5273" s="709" t="s">
        <v>136</v>
      </c>
      <c r="E5273" s="711">
        <v>3.5000000000000003E-2</v>
      </c>
    </row>
    <row r="5274" spans="1:5" x14ac:dyDescent="0.3">
      <c r="A5274" s="397"/>
      <c r="B5274" s="709">
        <v>101911</v>
      </c>
      <c r="C5274" s="710" t="s">
        <v>13953</v>
      </c>
      <c r="D5274" s="709" t="s">
        <v>136</v>
      </c>
      <c r="E5274" s="711">
        <v>7.2599999999999998E-2</v>
      </c>
    </row>
    <row r="5275" spans="1:5" x14ac:dyDescent="0.3">
      <c r="A5275" s="397"/>
      <c r="B5275" s="709">
        <v>101908</v>
      </c>
      <c r="C5275" s="710" t="s">
        <v>13954</v>
      </c>
      <c r="D5275" s="709" t="s">
        <v>136</v>
      </c>
      <c r="E5275" s="711">
        <v>0.1134</v>
      </c>
    </row>
    <row r="5276" spans="1:5" x14ac:dyDescent="0.3">
      <c r="A5276" s="397"/>
      <c r="B5276" s="709">
        <v>101909</v>
      </c>
      <c r="C5276" s="710" t="s">
        <v>13955</v>
      </c>
      <c r="D5276" s="709" t="s">
        <v>136</v>
      </c>
      <c r="E5276" s="711">
        <v>9.7699999999999995E-2</v>
      </c>
    </row>
    <row r="5277" spans="1:5" x14ac:dyDescent="0.3">
      <c r="A5277" s="397"/>
      <c r="B5277" s="709">
        <v>101910</v>
      </c>
      <c r="C5277" s="710" t="s">
        <v>13956</v>
      </c>
      <c r="D5277" s="709" t="s">
        <v>136</v>
      </c>
      <c r="E5277" s="711">
        <v>8.3299999999999999E-2</v>
      </c>
    </row>
    <row r="5278" spans="1:5" x14ac:dyDescent="0.3">
      <c r="A5278" s="397"/>
      <c r="B5278" s="709">
        <v>101905</v>
      </c>
      <c r="C5278" s="710" t="s">
        <v>13957</v>
      </c>
      <c r="D5278" s="709" t="s">
        <v>136</v>
      </c>
      <c r="E5278" s="711">
        <v>0.11</v>
      </c>
    </row>
    <row r="5279" spans="1:5" x14ac:dyDescent="0.3">
      <c r="A5279" s="397"/>
      <c r="B5279" s="709">
        <v>92698</v>
      </c>
      <c r="C5279" s="710" t="s">
        <v>13958</v>
      </c>
      <c r="D5279" s="709" t="s">
        <v>136</v>
      </c>
      <c r="E5279" s="711">
        <v>0.67420000000000002</v>
      </c>
    </row>
    <row r="5280" spans="1:5" x14ac:dyDescent="0.3">
      <c r="A5280" s="397"/>
      <c r="B5280" s="709">
        <v>92700</v>
      </c>
      <c r="C5280" s="710" t="s">
        <v>13959</v>
      </c>
      <c r="D5280" s="709" t="s">
        <v>136</v>
      </c>
      <c r="E5280" s="711">
        <v>0.70469999999999999</v>
      </c>
    </row>
    <row r="5281" spans="1:5" x14ac:dyDescent="0.3">
      <c r="A5281" s="397"/>
      <c r="B5281" s="709">
        <v>92702</v>
      </c>
      <c r="C5281" s="710" t="s">
        <v>13960</v>
      </c>
      <c r="D5281" s="709" t="s">
        <v>136</v>
      </c>
      <c r="E5281" s="711">
        <v>0.72770000000000001</v>
      </c>
    </row>
    <row r="5282" spans="1:5" x14ac:dyDescent="0.3">
      <c r="A5282" s="397"/>
      <c r="B5282" s="709">
        <v>92669</v>
      </c>
      <c r="C5282" s="710" t="s">
        <v>13961</v>
      </c>
      <c r="D5282" s="709" t="s">
        <v>136</v>
      </c>
      <c r="E5282" s="711">
        <v>0.62339999999999995</v>
      </c>
    </row>
    <row r="5283" spans="1:5" x14ac:dyDescent="0.3">
      <c r="A5283" s="397"/>
      <c r="B5283" s="709">
        <v>92671</v>
      </c>
      <c r="C5283" s="710" t="s">
        <v>13962</v>
      </c>
      <c r="D5283" s="709" t="s">
        <v>136</v>
      </c>
      <c r="E5283" s="711">
        <v>0.52980000000000005</v>
      </c>
    </row>
    <row r="5284" spans="1:5" x14ac:dyDescent="0.3">
      <c r="A5284" s="397"/>
      <c r="B5284" s="709">
        <v>92673</v>
      </c>
      <c r="C5284" s="710" t="s">
        <v>13963</v>
      </c>
      <c r="D5284" s="709" t="s">
        <v>136</v>
      </c>
      <c r="E5284" s="711">
        <v>0.50419999999999998</v>
      </c>
    </row>
    <row r="5285" spans="1:5" x14ac:dyDescent="0.3">
      <c r="A5285" s="397"/>
      <c r="B5285" s="709">
        <v>92675</v>
      </c>
      <c r="C5285" s="710" t="s">
        <v>13964</v>
      </c>
      <c r="D5285" s="709" t="s">
        <v>136</v>
      </c>
      <c r="E5285" s="711">
        <v>0.43930000000000002</v>
      </c>
    </row>
    <row r="5286" spans="1:5" x14ac:dyDescent="0.3">
      <c r="A5286" s="397"/>
      <c r="B5286" s="709">
        <v>92677</v>
      </c>
      <c r="C5286" s="710" t="s">
        <v>13965</v>
      </c>
      <c r="D5286" s="709" t="s">
        <v>136</v>
      </c>
      <c r="E5286" s="711">
        <v>0.3206</v>
      </c>
    </row>
    <row r="5287" spans="1:5" x14ac:dyDescent="0.3">
      <c r="A5287" s="397"/>
      <c r="B5287" s="709">
        <v>92635</v>
      </c>
      <c r="C5287" s="710" t="s">
        <v>13966</v>
      </c>
      <c r="D5287" s="709" t="s">
        <v>136</v>
      </c>
      <c r="E5287" s="711">
        <v>0.37490000000000001</v>
      </c>
    </row>
    <row r="5288" spans="1:5" x14ac:dyDescent="0.3">
      <c r="A5288" s="397"/>
      <c r="B5288" s="709">
        <v>92679</v>
      </c>
      <c r="C5288" s="710" t="s">
        <v>13967</v>
      </c>
      <c r="D5288" s="709" t="s">
        <v>136</v>
      </c>
      <c r="E5288" s="711">
        <v>0.26879999999999998</v>
      </c>
    </row>
    <row r="5289" spans="1:5" x14ac:dyDescent="0.3">
      <c r="A5289" s="397"/>
      <c r="B5289" s="709">
        <v>92381</v>
      </c>
      <c r="C5289" s="710" t="s">
        <v>13968</v>
      </c>
      <c r="D5289" s="709" t="s">
        <v>136</v>
      </c>
      <c r="E5289" s="711">
        <v>0.71879999999999999</v>
      </c>
    </row>
    <row r="5290" spans="1:5" x14ac:dyDescent="0.3">
      <c r="A5290" s="397"/>
      <c r="B5290" s="709">
        <v>92383</v>
      </c>
      <c r="C5290" s="710" t="s">
        <v>13969</v>
      </c>
      <c r="D5290" s="709" t="s">
        <v>136</v>
      </c>
      <c r="E5290" s="711">
        <v>0.63770000000000004</v>
      </c>
    </row>
    <row r="5291" spans="1:5" x14ac:dyDescent="0.3">
      <c r="A5291" s="397"/>
      <c r="B5291" s="709">
        <v>92385</v>
      </c>
      <c r="C5291" s="710" t="s">
        <v>13970</v>
      </c>
      <c r="D5291" s="709" t="s">
        <v>136</v>
      </c>
      <c r="E5291" s="711">
        <v>0.61619999999999997</v>
      </c>
    </row>
    <row r="5292" spans="1:5" x14ac:dyDescent="0.3">
      <c r="A5292" s="397"/>
      <c r="B5292" s="709">
        <v>92350</v>
      </c>
      <c r="C5292" s="710" t="s">
        <v>13971</v>
      </c>
      <c r="D5292" s="709" t="s">
        <v>136</v>
      </c>
      <c r="E5292" s="711">
        <v>0.5796</v>
      </c>
    </row>
    <row r="5293" spans="1:5" x14ac:dyDescent="0.3">
      <c r="A5293" s="397"/>
      <c r="B5293" s="709">
        <v>92387</v>
      </c>
      <c r="C5293" s="710" t="s">
        <v>13972</v>
      </c>
      <c r="D5293" s="709" t="s">
        <v>136</v>
      </c>
      <c r="E5293" s="711">
        <v>0.55569999999999997</v>
      </c>
    </row>
    <row r="5294" spans="1:5" x14ac:dyDescent="0.3">
      <c r="A5294" s="397"/>
      <c r="B5294" s="709">
        <v>92352</v>
      </c>
      <c r="C5294" s="710" t="s">
        <v>13973</v>
      </c>
      <c r="D5294" s="709" t="s">
        <v>136</v>
      </c>
      <c r="E5294" s="711">
        <v>0.43319999999999997</v>
      </c>
    </row>
    <row r="5295" spans="1:5" x14ac:dyDescent="0.3">
      <c r="A5295" s="397"/>
      <c r="B5295" s="709">
        <v>92389</v>
      </c>
      <c r="C5295" s="710" t="s">
        <v>13974</v>
      </c>
      <c r="D5295" s="709" t="s">
        <v>136</v>
      </c>
      <c r="E5295" s="711">
        <v>0.43269999999999997</v>
      </c>
    </row>
    <row r="5296" spans="1:5" x14ac:dyDescent="0.3">
      <c r="A5296" s="397"/>
      <c r="B5296" s="709">
        <v>92354</v>
      </c>
      <c r="C5296" s="710" t="s">
        <v>13975</v>
      </c>
      <c r="D5296" s="709" t="s">
        <v>136</v>
      </c>
      <c r="E5296" s="711">
        <v>0.35720000000000002</v>
      </c>
    </row>
    <row r="5297" spans="1:5" x14ac:dyDescent="0.3">
      <c r="A5297" s="397"/>
      <c r="B5297" s="709">
        <v>92699</v>
      </c>
      <c r="C5297" s="710" t="s">
        <v>13976</v>
      </c>
      <c r="D5297" s="709" t="s">
        <v>136</v>
      </c>
      <c r="E5297" s="711">
        <v>0.71030000000000004</v>
      </c>
    </row>
    <row r="5298" spans="1:5" x14ac:dyDescent="0.3">
      <c r="A5298" s="397"/>
      <c r="B5298" s="709">
        <v>92701</v>
      </c>
      <c r="C5298" s="710" t="s">
        <v>13977</v>
      </c>
      <c r="D5298" s="709" t="s">
        <v>136</v>
      </c>
      <c r="E5298" s="711">
        <v>0.73880000000000001</v>
      </c>
    </row>
    <row r="5299" spans="1:5" x14ac:dyDescent="0.3">
      <c r="A5299" s="397"/>
      <c r="B5299" s="709">
        <v>92703</v>
      </c>
      <c r="C5299" s="710" t="s">
        <v>13978</v>
      </c>
      <c r="D5299" s="709" t="s">
        <v>136</v>
      </c>
      <c r="E5299" s="711">
        <v>0.75509999999999999</v>
      </c>
    </row>
    <row r="5300" spans="1:5" x14ac:dyDescent="0.3">
      <c r="A5300" s="397"/>
      <c r="B5300" s="709">
        <v>92670</v>
      </c>
      <c r="C5300" s="710" t="s">
        <v>13979</v>
      </c>
      <c r="D5300" s="709" t="s">
        <v>136</v>
      </c>
      <c r="E5300" s="711">
        <v>0.65620000000000001</v>
      </c>
    </row>
    <row r="5301" spans="1:5" x14ac:dyDescent="0.3">
      <c r="A5301" s="397"/>
      <c r="B5301" s="709">
        <v>92672</v>
      </c>
      <c r="C5301" s="710" t="s">
        <v>13980</v>
      </c>
      <c r="D5301" s="709" t="s">
        <v>136</v>
      </c>
      <c r="E5301" s="711">
        <v>0.57389999999999997</v>
      </c>
    </row>
    <row r="5302" spans="1:5" x14ac:dyDescent="0.3">
      <c r="A5302" s="397"/>
      <c r="B5302" s="709">
        <v>92674</v>
      </c>
      <c r="C5302" s="710" t="s">
        <v>13981</v>
      </c>
      <c r="D5302" s="709" t="s">
        <v>136</v>
      </c>
      <c r="E5302" s="711">
        <v>0.52829999999999999</v>
      </c>
    </row>
    <row r="5303" spans="1:5" x14ac:dyDescent="0.3">
      <c r="A5303" s="397"/>
      <c r="B5303" s="709">
        <v>92676</v>
      </c>
      <c r="C5303" s="710" t="s">
        <v>13982</v>
      </c>
      <c r="D5303" s="709" t="s">
        <v>136</v>
      </c>
      <c r="E5303" s="711">
        <v>0.45019999999999999</v>
      </c>
    </row>
    <row r="5304" spans="1:5" x14ac:dyDescent="0.3">
      <c r="A5304" s="397"/>
      <c r="B5304" s="709">
        <v>92678</v>
      </c>
      <c r="C5304" s="710" t="s">
        <v>13983</v>
      </c>
      <c r="D5304" s="709" t="s">
        <v>136</v>
      </c>
      <c r="E5304" s="711">
        <v>0.34370000000000001</v>
      </c>
    </row>
    <row r="5305" spans="1:5" x14ac:dyDescent="0.3">
      <c r="A5305" s="397"/>
      <c r="B5305" s="709">
        <v>92636</v>
      </c>
      <c r="C5305" s="710" t="s">
        <v>13984</v>
      </c>
      <c r="D5305" s="709" t="s">
        <v>136</v>
      </c>
      <c r="E5305" s="711">
        <v>0.40820000000000001</v>
      </c>
    </row>
    <row r="5306" spans="1:5" x14ac:dyDescent="0.3">
      <c r="A5306" s="397"/>
      <c r="B5306" s="709">
        <v>92680</v>
      </c>
      <c r="C5306" s="710" t="s">
        <v>13985</v>
      </c>
      <c r="D5306" s="709" t="s">
        <v>136</v>
      </c>
      <c r="E5306" s="711">
        <v>0.29720000000000002</v>
      </c>
    </row>
    <row r="5307" spans="1:5" x14ac:dyDescent="0.3">
      <c r="A5307" s="397"/>
      <c r="B5307" s="709">
        <v>92382</v>
      </c>
      <c r="C5307" s="710" t="s">
        <v>13986</v>
      </c>
      <c r="D5307" s="709" t="s">
        <v>136</v>
      </c>
      <c r="E5307" s="711">
        <v>0.74670000000000003</v>
      </c>
    </row>
    <row r="5308" spans="1:5" x14ac:dyDescent="0.3">
      <c r="A5308" s="397"/>
      <c r="B5308" s="709">
        <v>92384</v>
      </c>
      <c r="C5308" s="710" t="s">
        <v>13987</v>
      </c>
      <c r="D5308" s="709" t="s">
        <v>136</v>
      </c>
      <c r="E5308" s="711">
        <v>0.67779999999999996</v>
      </c>
    </row>
    <row r="5309" spans="1:5" x14ac:dyDescent="0.3">
      <c r="A5309" s="397"/>
      <c r="B5309" s="709">
        <v>92386</v>
      </c>
      <c r="C5309" s="710" t="s">
        <v>13988</v>
      </c>
      <c r="D5309" s="709" t="s">
        <v>136</v>
      </c>
      <c r="E5309" s="711">
        <v>0.63880000000000003</v>
      </c>
    </row>
    <row r="5310" spans="1:5" x14ac:dyDescent="0.3">
      <c r="A5310" s="397"/>
      <c r="B5310" s="709">
        <v>92351</v>
      </c>
      <c r="C5310" s="710" t="s">
        <v>13989</v>
      </c>
      <c r="D5310" s="709" t="s">
        <v>136</v>
      </c>
      <c r="E5310" s="711">
        <v>0.59040000000000004</v>
      </c>
    </row>
    <row r="5311" spans="1:5" x14ac:dyDescent="0.3">
      <c r="A5311" s="397"/>
      <c r="B5311" s="709">
        <v>92388</v>
      </c>
      <c r="C5311" s="710" t="s">
        <v>13990</v>
      </c>
      <c r="D5311" s="709" t="s">
        <v>136</v>
      </c>
      <c r="E5311" s="711">
        <v>0.56659999999999999</v>
      </c>
    </row>
    <row r="5312" spans="1:5" x14ac:dyDescent="0.3">
      <c r="A5312" s="397"/>
      <c r="B5312" s="709">
        <v>92353</v>
      </c>
      <c r="C5312" s="710" t="s">
        <v>13991</v>
      </c>
      <c r="D5312" s="709" t="s">
        <v>136</v>
      </c>
      <c r="E5312" s="711">
        <v>0.45879999999999999</v>
      </c>
    </row>
    <row r="5313" spans="1:5" x14ac:dyDescent="0.3">
      <c r="A5313" s="397"/>
      <c r="B5313" s="709">
        <v>92390</v>
      </c>
      <c r="C5313" s="710" t="s">
        <v>13992</v>
      </c>
      <c r="D5313" s="709" t="s">
        <v>136</v>
      </c>
      <c r="E5313" s="711">
        <v>0.45839999999999997</v>
      </c>
    </row>
    <row r="5314" spans="1:5" x14ac:dyDescent="0.3">
      <c r="A5314" s="397"/>
      <c r="B5314" s="709">
        <v>92355</v>
      </c>
      <c r="C5314" s="710" t="s">
        <v>13993</v>
      </c>
      <c r="D5314" s="709" t="s">
        <v>136</v>
      </c>
      <c r="E5314" s="711">
        <v>0.38990000000000002</v>
      </c>
    </row>
    <row r="5315" spans="1:5" x14ac:dyDescent="0.3">
      <c r="A5315" s="397"/>
      <c r="B5315" s="709">
        <v>101925</v>
      </c>
      <c r="C5315" s="710" t="s">
        <v>13994</v>
      </c>
      <c r="D5315" s="709" t="s">
        <v>136</v>
      </c>
      <c r="E5315" s="711">
        <v>0.26640000000000003</v>
      </c>
    </row>
    <row r="5316" spans="1:5" x14ac:dyDescent="0.3">
      <c r="A5316" s="397"/>
      <c r="B5316" s="709">
        <v>101934</v>
      </c>
      <c r="C5316" s="710" t="s">
        <v>13995</v>
      </c>
      <c r="D5316" s="709" t="s">
        <v>136</v>
      </c>
      <c r="E5316" s="711">
        <v>0.29880000000000001</v>
      </c>
    </row>
    <row r="5317" spans="1:5" x14ac:dyDescent="0.3">
      <c r="A5317" s="397"/>
      <c r="B5317" s="709">
        <v>97541</v>
      </c>
      <c r="C5317" s="710" t="s">
        <v>13996</v>
      </c>
      <c r="D5317" s="709" t="s">
        <v>136</v>
      </c>
      <c r="E5317" s="711">
        <v>0.42620000000000002</v>
      </c>
    </row>
    <row r="5318" spans="1:5" x14ac:dyDescent="0.3">
      <c r="A5318" s="397"/>
      <c r="B5318" s="709">
        <v>97462</v>
      </c>
      <c r="C5318" s="710" t="s">
        <v>13997</v>
      </c>
      <c r="D5318" s="709" t="s">
        <v>136</v>
      </c>
      <c r="E5318" s="711">
        <v>0.30980000000000002</v>
      </c>
    </row>
    <row r="5319" spans="1:5" x14ac:dyDescent="0.3">
      <c r="A5319" s="397"/>
      <c r="B5319" s="709">
        <v>97544</v>
      </c>
      <c r="C5319" s="710" t="s">
        <v>13998</v>
      </c>
      <c r="D5319" s="709" t="s">
        <v>136</v>
      </c>
      <c r="E5319" s="711">
        <v>0.49740000000000001</v>
      </c>
    </row>
    <row r="5320" spans="1:5" x14ac:dyDescent="0.3">
      <c r="A5320" s="397"/>
      <c r="B5320" s="709">
        <v>97500</v>
      </c>
      <c r="C5320" s="710" t="s">
        <v>13999</v>
      </c>
      <c r="D5320" s="709" t="s">
        <v>136</v>
      </c>
      <c r="E5320" s="711">
        <v>0.27350000000000002</v>
      </c>
    </row>
    <row r="5321" spans="1:5" x14ac:dyDescent="0.3">
      <c r="A5321" s="397"/>
      <c r="B5321" s="709">
        <v>97465</v>
      </c>
      <c r="C5321" s="710" t="s">
        <v>14000</v>
      </c>
      <c r="D5321" s="709" t="s">
        <v>136</v>
      </c>
      <c r="E5321" s="711">
        <v>0.17879999999999999</v>
      </c>
    </row>
    <row r="5322" spans="1:5" x14ac:dyDescent="0.3">
      <c r="A5322" s="397"/>
      <c r="B5322" s="709">
        <v>97503</v>
      </c>
      <c r="C5322" s="710" t="s">
        <v>14001</v>
      </c>
      <c r="D5322" s="709" t="s">
        <v>136</v>
      </c>
      <c r="E5322" s="711">
        <v>0.1411</v>
      </c>
    </row>
    <row r="5323" spans="1:5" x14ac:dyDescent="0.3">
      <c r="A5323" s="397"/>
      <c r="B5323" s="709">
        <v>97468</v>
      </c>
      <c r="C5323" s="710" t="s">
        <v>14002</v>
      </c>
      <c r="D5323" s="709" t="s">
        <v>136</v>
      </c>
      <c r="E5323" s="711">
        <v>0.17560000000000001</v>
      </c>
    </row>
    <row r="5324" spans="1:5" x14ac:dyDescent="0.3">
      <c r="A5324" s="397"/>
      <c r="B5324" s="709">
        <v>97506</v>
      </c>
      <c r="C5324" s="710" t="s">
        <v>14003</v>
      </c>
      <c r="D5324" s="709" t="s">
        <v>136</v>
      </c>
      <c r="E5324" s="711">
        <v>0.12790000000000001</v>
      </c>
    </row>
    <row r="5325" spans="1:5" x14ac:dyDescent="0.3">
      <c r="A5325" s="397"/>
      <c r="B5325" s="709">
        <v>97444</v>
      </c>
      <c r="C5325" s="710" t="s">
        <v>14004</v>
      </c>
      <c r="D5325" s="709" t="s">
        <v>136</v>
      </c>
      <c r="E5325" s="711">
        <v>0.25259999999999999</v>
      </c>
    </row>
    <row r="5326" spans="1:5" x14ac:dyDescent="0.3">
      <c r="A5326" s="397"/>
      <c r="B5326" s="709">
        <v>97471</v>
      </c>
      <c r="C5326" s="710" t="s">
        <v>14005</v>
      </c>
      <c r="D5326" s="709" t="s">
        <v>136</v>
      </c>
      <c r="E5326" s="711">
        <v>0.14410000000000001</v>
      </c>
    </row>
    <row r="5327" spans="1:5" x14ac:dyDescent="0.3">
      <c r="A5327" s="397"/>
      <c r="B5327" s="709">
        <v>97509</v>
      </c>
      <c r="C5327" s="710" t="s">
        <v>14006</v>
      </c>
      <c r="D5327" s="709" t="s">
        <v>136</v>
      </c>
      <c r="E5327" s="711">
        <v>9.6699999999999994E-2</v>
      </c>
    </row>
    <row r="5328" spans="1:5" x14ac:dyDescent="0.3">
      <c r="A5328" s="397"/>
      <c r="B5328" s="709">
        <v>97447</v>
      </c>
      <c r="C5328" s="710" t="s">
        <v>14007</v>
      </c>
      <c r="D5328" s="709" t="s">
        <v>136</v>
      </c>
      <c r="E5328" s="711">
        <v>0.14699999999999999</v>
      </c>
    </row>
    <row r="5329" spans="1:5" x14ac:dyDescent="0.3">
      <c r="A5329" s="397"/>
      <c r="B5329" s="709">
        <v>97475</v>
      </c>
      <c r="C5329" s="710" t="s">
        <v>14008</v>
      </c>
      <c r="D5329" s="709" t="s">
        <v>136</v>
      </c>
      <c r="E5329" s="711">
        <v>9.6299999999999997E-2</v>
      </c>
    </row>
    <row r="5330" spans="1:5" x14ac:dyDescent="0.3">
      <c r="A5330" s="397"/>
      <c r="B5330" s="709">
        <v>97512</v>
      </c>
      <c r="C5330" s="710" t="s">
        <v>14009</v>
      </c>
      <c r="D5330" s="709" t="s">
        <v>136</v>
      </c>
      <c r="E5330" s="711">
        <v>5.9299999999999999E-2</v>
      </c>
    </row>
    <row r="5331" spans="1:5" x14ac:dyDescent="0.3">
      <c r="A5331" s="397"/>
      <c r="B5331" s="709">
        <v>97450</v>
      </c>
      <c r="C5331" s="710" t="s">
        <v>14010</v>
      </c>
      <c r="D5331" s="709" t="s">
        <v>136</v>
      </c>
      <c r="E5331" s="711">
        <v>0.11559999999999999</v>
      </c>
    </row>
    <row r="5332" spans="1:5" x14ac:dyDescent="0.3">
      <c r="A5332" s="397"/>
      <c r="B5332" s="709">
        <v>97478</v>
      </c>
      <c r="C5332" s="710" t="s">
        <v>14011</v>
      </c>
      <c r="D5332" s="709" t="s">
        <v>136</v>
      </c>
      <c r="E5332" s="711">
        <v>0.09</v>
      </c>
    </row>
    <row r="5333" spans="1:5" x14ac:dyDescent="0.3">
      <c r="A5333" s="397"/>
      <c r="B5333" s="709">
        <v>97515</v>
      </c>
      <c r="C5333" s="710" t="s">
        <v>14012</v>
      </c>
      <c r="D5333" s="709" t="s">
        <v>136</v>
      </c>
      <c r="E5333" s="711">
        <v>5.21E-2</v>
      </c>
    </row>
    <row r="5334" spans="1:5" x14ac:dyDescent="0.3">
      <c r="A5334" s="397"/>
      <c r="B5334" s="709">
        <v>92928</v>
      </c>
      <c r="C5334" s="710" t="s">
        <v>14013</v>
      </c>
      <c r="D5334" s="709" t="s">
        <v>136</v>
      </c>
      <c r="E5334" s="711">
        <v>0.59760000000000002</v>
      </c>
    </row>
    <row r="5335" spans="1:5" x14ac:dyDescent="0.3">
      <c r="A5335" s="397"/>
      <c r="B5335" s="709">
        <v>92943</v>
      </c>
      <c r="C5335" s="710" t="s">
        <v>14014</v>
      </c>
      <c r="D5335" s="709" t="s">
        <v>136</v>
      </c>
      <c r="E5335" s="711">
        <v>0.48599999999999999</v>
      </c>
    </row>
    <row r="5336" spans="1:5" x14ac:dyDescent="0.3">
      <c r="A5336" s="397"/>
      <c r="B5336" s="709">
        <v>92929</v>
      </c>
      <c r="C5336" s="710" t="s">
        <v>14015</v>
      </c>
      <c r="D5336" s="709" t="s">
        <v>136</v>
      </c>
      <c r="E5336" s="711">
        <v>0.58620000000000005</v>
      </c>
    </row>
    <row r="5337" spans="1:5" x14ac:dyDescent="0.3">
      <c r="A5337" s="397"/>
      <c r="B5337" s="709">
        <v>92944</v>
      </c>
      <c r="C5337" s="710" t="s">
        <v>14016</v>
      </c>
      <c r="D5337" s="709" t="s">
        <v>136</v>
      </c>
      <c r="E5337" s="711">
        <v>0.4753</v>
      </c>
    </row>
    <row r="5338" spans="1:5" x14ac:dyDescent="0.3">
      <c r="A5338" s="397"/>
      <c r="B5338" s="709">
        <v>92930</v>
      </c>
      <c r="C5338" s="710" t="s">
        <v>14017</v>
      </c>
      <c r="D5338" s="709" t="s">
        <v>136</v>
      </c>
      <c r="E5338" s="711">
        <v>0.57779999999999998</v>
      </c>
    </row>
    <row r="5339" spans="1:5" x14ac:dyDescent="0.3">
      <c r="A5339" s="397"/>
      <c r="B5339" s="709">
        <v>92945</v>
      </c>
      <c r="C5339" s="710" t="s">
        <v>14018</v>
      </c>
      <c r="D5339" s="709" t="s">
        <v>136</v>
      </c>
      <c r="E5339" s="711">
        <v>0.46760000000000002</v>
      </c>
    </row>
    <row r="5340" spans="1:5" x14ac:dyDescent="0.3">
      <c r="A5340" s="397"/>
      <c r="B5340" s="709">
        <v>92925</v>
      </c>
      <c r="C5340" s="710" t="s">
        <v>14019</v>
      </c>
      <c r="D5340" s="709" t="s">
        <v>136</v>
      </c>
      <c r="E5340" s="711">
        <v>0.61719999999999997</v>
      </c>
    </row>
    <row r="5341" spans="1:5" x14ac:dyDescent="0.3">
      <c r="A5341" s="397"/>
      <c r="B5341" s="709">
        <v>92940</v>
      </c>
      <c r="C5341" s="710" t="s">
        <v>14020</v>
      </c>
      <c r="D5341" s="709" t="s">
        <v>136</v>
      </c>
      <c r="E5341" s="711">
        <v>0.50929999999999997</v>
      </c>
    </row>
    <row r="5342" spans="1:5" x14ac:dyDescent="0.3">
      <c r="A5342" s="397"/>
      <c r="B5342" s="709">
        <v>92926</v>
      </c>
      <c r="C5342" s="710" t="s">
        <v>14021</v>
      </c>
      <c r="D5342" s="709" t="s">
        <v>136</v>
      </c>
      <c r="E5342" s="711">
        <v>0.59940000000000004</v>
      </c>
    </row>
    <row r="5343" spans="1:5" x14ac:dyDescent="0.3">
      <c r="A5343" s="397"/>
      <c r="B5343" s="709">
        <v>92941</v>
      </c>
      <c r="C5343" s="710" t="s">
        <v>14022</v>
      </c>
      <c r="D5343" s="709" t="s">
        <v>136</v>
      </c>
      <c r="E5343" s="711">
        <v>0.49280000000000002</v>
      </c>
    </row>
    <row r="5344" spans="1:5" x14ac:dyDescent="0.3">
      <c r="A5344" s="397"/>
      <c r="B5344" s="709">
        <v>92927</v>
      </c>
      <c r="C5344" s="710" t="s">
        <v>14023</v>
      </c>
      <c r="D5344" s="709" t="s">
        <v>136</v>
      </c>
      <c r="E5344" s="711">
        <v>0.60870000000000002</v>
      </c>
    </row>
    <row r="5345" spans="1:5" x14ac:dyDescent="0.3">
      <c r="A5345" s="397"/>
      <c r="B5345" s="709">
        <v>92942</v>
      </c>
      <c r="C5345" s="710" t="s">
        <v>14024</v>
      </c>
      <c r="D5345" s="709" t="s">
        <v>136</v>
      </c>
      <c r="E5345" s="711">
        <v>0.50139999999999996</v>
      </c>
    </row>
    <row r="5346" spans="1:5" x14ac:dyDescent="0.3">
      <c r="A5346" s="397"/>
      <c r="B5346" s="709">
        <v>92918</v>
      </c>
      <c r="C5346" s="710" t="s">
        <v>14025</v>
      </c>
      <c r="D5346" s="709" t="s">
        <v>136</v>
      </c>
      <c r="E5346" s="711">
        <v>0.68</v>
      </c>
    </row>
    <row r="5347" spans="1:5" x14ac:dyDescent="0.3">
      <c r="A5347" s="397"/>
      <c r="B5347" s="709">
        <v>92938</v>
      </c>
      <c r="C5347" s="710" t="s">
        <v>14026</v>
      </c>
      <c r="D5347" s="709" t="s">
        <v>136</v>
      </c>
      <c r="E5347" s="711">
        <v>0.58150000000000002</v>
      </c>
    </row>
    <row r="5348" spans="1:5" x14ac:dyDescent="0.3">
      <c r="A5348" s="397"/>
      <c r="B5348" s="709">
        <v>92920</v>
      </c>
      <c r="C5348" s="710" t="s">
        <v>14027</v>
      </c>
      <c r="D5348" s="709" t="s">
        <v>136</v>
      </c>
      <c r="E5348" s="711">
        <v>0.68459999999999999</v>
      </c>
    </row>
    <row r="5349" spans="1:5" x14ac:dyDescent="0.3">
      <c r="A5349" s="397"/>
      <c r="B5349" s="709">
        <v>92939</v>
      </c>
      <c r="C5349" s="710" t="s">
        <v>14028</v>
      </c>
      <c r="D5349" s="709" t="s">
        <v>136</v>
      </c>
      <c r="E5349" s="711">
        <v>0.58540000000000003</v>
      </c>
    </row>
    <row r="5350" spans="1:5" x14ac:dyDescent="0.3">
      <c r="A5350" s="397"/>
      <c r="B5350" s="709">
        <v>92910</v>
      </c>
      <c r="C5350" s="710" t="s">
        <v>14029</v>
      </c>
      <c r="D5350" s="709" t="s">
        <v>136</v>
      </c>
      <c r="E5350" s="711">
        <v>0.41560000000000002</v>
      </c>
    </row>
    <row r="5351" spans="1:5" x14ac:dyDescent="0.3">
      <c r="A5351" s="397"/>
      <c r="B5351" s="709">
        <v>92934</v>
      </c>
      <c r="C5351" s="710" t="s">
        <v>14030</v>
      </c>
      <c r="D5351" s="709" t="s">
        <v>136</v>
      </c>
      <c r="E5351" s="711">
        <v>0.39629999999999999</v>
      </c>
    </row>
    <row r="5352" spans="1:5" x14ac:dyDescent="0.3">
      <c r="A5352" s="397"/>
      <c r="B5352" s="709">
        <v>92949</v>
      </c>
      <c r="C5352" s="710" t="s">
        <v>14031</v>
      </c>
      <c r="D5352" s="709" t="s">
        <v>136</v>
      </c>
      <c r="E5352" s="711">
        <v>0.2908</v>
      </c>
    </row>
    <row r="5353" spans="1:5" x14ac:dyDescent="0.3">
      <c r="A5353" s="397"/>
      <c r="B5353" s="709">
        <v>92911</v>
      </c>
      <c r="C5353" s="710" t="s">
        <v>14032</v>
      </c>
      <c r="D5353" s="709" t="s">
        <v>136</v>
      </c>
      <c r="E5353" s="711">
        <v>0.42049999999999998</v>
      </c>
    </row>
    <row r="5354" spans="1:5" x14ac:dyDescent="0.3">
      <c r="A5354" s="397"/>
      <c r="B5354" s="709">
        <v>92935</v>
      </c>
      <c r="C5354" s="710" t="s">
        <v>14033</v>
      </c>
      <c r="D5354" s="709" t="s">
        <v>136</v>
      </c>
      <c r="E5354" s="711">
        <v>0.40910000000000002</v>
      </c>
    </row>
    <row r="5355" spans="1:5" x14ac:dyDescent="0.3">
      <c r="A5355" s="397"/>
      <c r="B5355" s="709">
        <v>92950</v>
      </c>
      <c r="C5355" s="710" t="s">
        <v>14034</v>
      </c>
      <c r="D5355" s="709" t="s">
        <v>136</v>
      </c>
      <c r="E5355" s="711">
        <v>0.30099999999999999</v>
      </c>
    </row>
    <row r="5356" spans="1:5" x14ac:dyDescent="0.3">
      <c r="A5356" s="397"/>
      <c r="B5356" s="709">
        <v>92907</v>
      </c>
      <c r="C5356" s="710" t="s">
        <v>14035</v>
      </c>
      <c r="D5356" s="709" t="s">
        <v>136</v>
      </c>
      <c r="E5356" s="711">
        <v>0.5454</v>
      </c>
    </row>
    <row r="5357" spans="1:5" x14ac:dyDescent="0.3">
      <c r="A5357" s="397"/>
      <c r="B5357" s="709">
        <v>92931</v>
      </c>
      <c r="C5357" s="710" t="s">
        <v>14036</v>
      </c>
      <c r="D5357" s="709" t="s">
        <v>136</v>
      </c>
      <c r="E5357" s="711">
        <v>0.51180000000000003</v>
      </c>
    </row>
    <row r="5358" spans="1:5" x14ac:dyDescent="0.3">
      <c r="A5358" s="397"/>
      <c r="B5358" s="709">
        <v>92946</v>
      </c>
      <c r="C5358" s="710" t="s">
        <v>14037</v>
      </c>
      <c r="D5358" s="709" t="s">
        <v>136</v>
      </c>
      <c r="E5358" s="711">
        <v>0.39750000000000002</v>
      </c>
    </row>
    <row r="5359" spans="1:5" x14ac:dyDescent="0.3">
      <c r="A5359" s="397"/>
      <c r="B5359" s="709">
        <v>92908</v>
      </c>
      <c r="C5359" s="710" t="s">
        <v>14038</v>
      </c>
      <c r="D5359" s="709" t="s">
        <v>136</v>
      </c>
      <c r="E5359" s="711">
        <v>0.54120000000000001</v>
      </c>
    </row>
    <row r="5360" spans="1:5" x14ac:dyDescent="0.3">
      <c r="A5360" s="397"/>
      <c r="B5360" s="709">
        <v>92932</v>
      </c>
      <c r="C5360" s="710" t="s">
        <v>14039</v>
      </c>
      <c r="D5360" s="709" t="s">
        <v>136</v>
      </c>
      <c r="E5360" s="711">
        <v>0.49940000000000001</v>
      </c>
    </row>
    <row r="5361" spans="1:5" x14ac:dyDescent="0.3">
      <c r="A5361" s="397"/>
      <c r="B5361" s="709">
        <v>92947</v>
      </c>
      <c r="C5361" s="710" t="s">
        <v>14040</v>
      </c>
      <c r="D5361" s="709" t="s">
        <v>136</v>
      </c>
      <c r="E5361" s="711">
        <v>0.38690000000000002</v>
      </c>
    </row>
    <row r="5362" spans="1:5" x14ac:dyDescent="0.3">
      <c r="A5362" s="397"/>
      <c r="B5362" s="709">
        <v>92909</v>
      </c>
      <c r="C5362" s="710" t="s">
        <v>14041</v>
      </c>
      <c r="D5362" s="709" t="s">
        <v>136</v>
      </c>
      <c r="E5362" s="711">
        <v>0.53749999999999998</v>
      </c>
    </row>
    <row r="5363" spans="1:5" x14ac:dyDescent="0.3">
      <c r="A5363" s="397"/>
      <c r="B5363" s="709">
        <v>92933</v>
      </c>
      <c r="C5363" s="710" t="s">
        <v>14042</v>
      </c>
      <c r="D5363" s="709" t="s">
        <v>136</v>
      </c>
      <c r="E5363" s="711">
        <v>0.48830000000000001</v>
      </c>
    </row>
    <row r="5364" spans="1:5" x14ac:dyDescent="0.3">
      <c r="A5364" s="397"/>
      <c r="B5364" s="709">
        <v>92948</v>
      </c>
      <c r="C5364" s="710" t="s">
        <v>14043</v>
      </c>
      <c r="D5364" s="709" t="s">
        <v>136</v>
      </c>
      <c r="E5364" s="711">
        <v>0.37740000000000001</v>
      </c>
    </row>
    <row r="5365" spans="1:5" x14ac:dyDescent="0.3">
      <c r="A5365" s="397"/>
      <c r="B5365" s="709">
        <v>92912</v>
      </c>
      <c r="C5365" s="710" t="s">
        <v>14044</v>
      </c>
      <c r="D5365" s="709" t="s">
        <v>136</v>
      </c>
      <c r="E5365" s="711">
        <v>0.32590000000000002</v>
      </c>
    </row>
    <row r="5366" spans="1:5" x14ac:dyDescent="0.3">
      <c r="A5366" s="397"/>
      <c r="B5366" s="709">
        <v>92913</v>
      </c>
      <c r="C5366" s="710" t="s">
        <v>14045</v>
      </c>
      <c r="D5366" s="709" t="s">
        <v>136</v>
      </c>
      <c r="E5366" s="711">
        <v>0.3367</v>
      </c>
    </row>
    <row r="5367" spans="1:5" x14ac:dyDescent="0.3">
      <c r="A5367" s="397"/>
      <c r="B5367" s="709">
        <v>92936</v>
      </c>
      <c r="C5367" s="710" t="s">
        <v>14046</v>
      </c>
      <c r="D5367" s="709" t="s">
        <v>136</v>
      </c>
      <c r="E5367" s="711">
        <v>0.34560000000000002</v>
      </c>
    </row>
    <row r="5368" spans="1:5" x14ac:dyDescent="0.3">
      <c r="A5368" s="397"/>
      <c r="B5368" s="709">
        <v>92951</v>
      </c>
      <c r="C5368" s="710" t="s">
        <v>14047</v>
      </c>
      <c r="D5368" s="709" t="s">
        <v>136</v>
      </c>
      <c r="E5368" s="711">
        <v>0.24529999999999999</v>
      </c>
    </row>
    <row r="5369" spans="1:5" x14ac:dyDescent="0.3">
      <c r="A5369" s="397"/>
      <c r="B5369" s="709">
        <v>92914</v>
      </c>
      <c r="C5369" s="710" t="s">
        <v>14048</v>
      </c>
      <c r="D5369" s="709" t="s">
        <v>136</v>
      </c>
      <c r="E5369" s="711">
        <v>0.33029999999999998</v>
      </c>
    </row>
    <row r="5370" spans="1:5" x14ac:dyDescent="0.3">
      <c r="A5370" s="397"/>
      <c r="B5370" s="709">
        <v>92937</v>
      </c>
      <c r="C5370" s="710" t="s">
        <v>14049</v>
      </c>
      <c r="D5370" s="709" t="s">
        <v>136</v>
      </c>
      <c r="E5370" s="711">
        <v>0.32990000000000003</v>
      </c>
    </row>
    <row r="5371" spans="1:5" x14ac:dyDescent="0.3">
      <c r="A5371" s="397"/>
      <c r="B5371" s="709">
        <v>92952</v>
      </c>
      <c r="C5371" s="710" t="s">
        <v>14050</v>
      </c>
      <c r="D5371" s="709" t="s">
        <v>136</v>
      </c>
      <c r="E5371" s="711">
        <v>0.2334</v>
      </c>
    </row>
    <row r="5372" spans="1:5" x14ac:dyDescent="0.3">
      <c r="A5372" s="397"/>
      <c r="B5372" s="709">
        <v>92953</v>
      </c>
      <c r="C5372" s="710" t="s">
        <v>14051</v>
      </c>
      <c r="D5372" s="709" t="s">
        <v>136</v>
      </c>
      <c r="E5372" s="711">
        <v>0.61809999999999998</v>
      </c>
    </row>
    <row r="5373" spans="1:5" x14ac:dyDescent="0.3">
      <c r="A5373" s="397"/>
      <c r="B5373" s="709">
        <v>101921</v>
      </c>
      <c r="C5373" s="710" t="s">
        <v>14052</v>
      </c>
      <c r="D5373" s="709" t="s">
        <v>136</v>
      </c>
      <c r="E5373" s="711">
        <v>0.23469999999999999</v>
      </c>
    </row>
    <row r="5374" spans="1:5" x14ac:dyDescent="0.3">
      <c r="A5374" s="397"/>
      <c r="B5374" s="709">
        <v>101930</v>
      </c>
      <c r="C5374" s="710" t="s">
        <v>14053</v>
      </c>
      <c r="D5374" s="709" t="s">
        <v>136</v>
      </c>
      <c r="E5374" s="711">
        <v>0.25090000000000001</v>
      </c>
    </row>
    <row r="5375" spans="1:5" x14ac:dyDescent="0.3">
      <c r="A5375" s="397"/>
      <c r="B5375" s="709">
        <v>101922</v>
      </c>
      <c r="C5375" s="710" t="s">
        <v>14054</v>
      </c>
      <c r="D5375" s="709" t="s">
        <v>136</v>
      </c>
      <c r="E5375" s="711">
        <v>0.22969999999999999</v>
      </c>
    </row>
    <row r="5376" spans="1:5" x14ac:dyDescent="0.3">
      <c r="A5376" s="397"/>
      <c r="B5376" s="709">
        <v>101931</v>
      </c>
      <c r="C5376" s="710" t="s">
        <v>14055</v>
      </c>
      <c r="D5376" s="709" t="s">
        <v>136</v>
      </c>
      <c r="E5376" s="711">
        <v>0.23899999999999999</v>
      </c>
    </row>
    <row r="5377" spans="1:5" x14ac:dyDescent="0.3">
      <c r="A5377" s="397"/>
      <c r="B5377" s="709">
        <v>101923</v>
      </c>
      <c r="C5377" s="710" t="s">
        <v>14056</v>
      </c>
      <c r="D5377" s="709" t="s">
        <v>136</v>
      </c>
      <c r="E5377" s="711">
        <v>0.23980000000000001</v>
      </c>
    </row>
    <row r="5378" spans="1:5" x14ac:dyDescent="0.3">
      <c r="A5378" s="397"/>
      <c r="B5378" s="709">
        <v>101932</v>
      </c>
      <c r="C5378" s="710" t="s">
        <v>14057</v>
      </c>
      <c r="D5378" s="709" t="s">
        <v>136</v>
      </c>
      <c r="E5378" s="711">
        <v>0.26240000000000002</v>
      </c>
    </row>
    <row r="5379" spans="1:5" x14ac:dyDescent="0.3">
      <c r="A5379" s="397"/>
      <c r="B5379" s="709">
        <v>97537</v>
      </c>
      <c r="C5379" s="710" t="s">
        <v>14058</v>
      </c>
      <c r="D5379" s="709" t="s">
        <v>136</v>
      </c>
      <c r="E5379" s="711">
        <v>0.30769999999999997</v>
      </c>
    </row>
    <row r="5380" spans="1:5" x14ac:dyDescent="0.3">
      <c r="A5380" s="397"/>
      <c r="B5380" s="709">
        <v>97540</v>
      </c>
      <c r="C5380" s="710" t="s">
        <v>14059</v>
      </c>
      <c r="D5380" s="709" t="s">
        <v>136</v>
      </c>
      <c r="E5380" s="711">
        <v>0.40360000000000001</v>
      </c>
    </row>
    <row r="5381" spans="1:5" x14ac:dyDescent="0.3">
      <c r="A5381" s="397"/>
      <c r="B5381" s="709">
        <v>97543</v>
      </c>
      <c r="C5381" s="710" t="s">
        <v>14060</v>
      </c>
      <c r="D5381" s="709" t="s">
        <v>136</v>
      </c>
      <c r="E5381" s="711">
        <v>0.4945</v>
      </c>
    </row>
    <row r="5382" spans="1:5" x14ac:dyDescent="0.3">
      <c r="A5382" s="397"/>
      <c r="B5382" s="709">
        <v>97461</v>
      </c>
      <c r="C5382" s="710" t="s">
        <v>14061</v>
      </c>
      <c r="D5382" s="709" t="s">
        <v>136</v>
      </c>
      <c r="E5382" s="711">
        <v>0.27079999999999999</v>
      </c>
    </row>
    <row r="5383" spans="1:5" x14ac:dyDescent="0.3">
      <c r="A5383" s="397"/>
      <c r="B5383" s="709">
        <v>97499</v>
      </c>
      <c r="C5383" s="710" t="s">
        <v>14062</v>
      </c>
      <c r="D5383" s="709" t="s">
        <v>136</v>
      </c>
      <c r="E5383" s="711">
        <v>0.2286</v>
      </c>
    </row>
    <row r="5384" spans="1:5" x14ac:dyDescent="0.3">
      <c r="A5384" s="397"/>
      <c r="B5384" s="709">
        <v>97464</v>
      </c>
      <c r="C5384" s="710" t="s">
        <v>14063</v>
      </c>
      <c r="D5384" s="709" t="s">
        <v>136</v>
      </c>
      <c r="E5384" s="711">
        <v>0.23619999999999999</v>
      </c>
    </row>
    <row r="5385" spans="1:5" x14ac:dyDescent="0.3">
      <c r="A5385" s="397"/>
      <c r="B5385" s="709">
        <v>97502</v>
      </c>
      <c r="C5385" s="710" t="s">
        <v>14064</v>
      </c>
      <c r="D5385" s="709" t="s">
        <v>136</v>
      </c>
      <c r="E5385" s="711">
        <v>0.182</v>
      </c>
    </row>
    <row r="5386" spans="1:5" x14ac:dyDescent="0.3">
      <c r="A5386" s="397"/>
      <c r="B5386" s="709">
        <v>97467</v>
      </c>
      <c r="C5386" s="710" t="s">
        <v>14065</v>
      </c>
      <c r="D5386" s="709" t="s">
        <v>136</v>
      </c>
      <c r="E5386" s="711">
        <v>0.2311</v>
      </c>
    </row>
    <row r="5387" spans="1:5" x14ac:dyDescent="0.3">
      <c r="A5387" s="397"/>
      <c r="B5387" s="709">
        <v>97505</v>
      </c>
      <c r="C5387" s="710" t="s">
        <v>14066</v>
      </c>
      <c r="D5387" s="709" t="s">
        <v>136</v>
      </c>
      <c r="E5387" s="711">
        <v>0.16600000000000001</v>
      </c>
    </row>
    <row r="5388" spans="1:5" x14ac:dyDescent="0.3">
      <c r="A5388" s="397"/>
      <c r="B5388" s="709">
        <v>97443</v>
      </c>
      <c r="C5388" s="710" t="s">
        <v>14067</v>
      </c>
      <c r="D5388" s="709" t="s">
        <v>136</v>
      </c>
      <c r="E5388" s="711">
        <v>0.30280000000000001</v>
      </c>
    </row>
    <row r="5389" spans="1:5" x14ac:dyDescent="0.3">
      <c r="A5389" s="397"/>
      <c r="B5389" s="709">
        <v>97470</v>
      </c>
      <c r="C5389" s="710" t="s">
        <v>14068</v>
      </c>
      <c r="D5389" s="709" t="s">
        <v>136</v>
      </c>
      <c r="E5389" s="711">
        <v>0.19209999999999999</v>
      </c>
    </row>
    <row r="5390" spans="1:5" x14ac:dyDescent="0.3">
      <c r="A5390" s="397"/>
      <c r="B5390" s="709">
        <v>97508</v>
      </c>
      <c r="C5390" s="710" t="s">
        <v>14069</v>
      </c>
      <c r="D5390" s="709" t="s">
        <v>136</v>
      </c>
      <c r="E5390" s="711">
        <v>0.12759999999999999</v>
      </c>
    </row>
    <row r="5391" spans="1:5" x14ac:dyDescent="0.3">
      <c r="A5391" s="397"/>
      <c r="B5391" s="709">
        <v>97446</v>
      </c>
      <c r="C5391" s="710" t="s">
        <v>14070</v>
      </c>
      <c r="D5391" s="709" t="s">
        <v>136</v>
      </c>
      <c r="E5391" s="711">
        <v>0.1822</v>
      </c>
    </row>
    <row r="5392" spans="1:5" x14ac:dyDescent="0.3">
      <c r="A5392" s="397"/>
      <c r="B5392" s="709">
        <v>97474</v>
      </c>
      <c r="C5392" s="710" t="s">
        <v>14071</v>
      </c>
      <c r="D5392" s="709" t="s">
        <v>136</v>
      </c>
      <c r="E5392" s="711">
        <v>0.13300000000000001</v>
      </c>
    </row>
    <row r="5393" spans="1:5" x14ac:dyDescent="0.3">
      <c r="A5393" s="397"/>
      <c r="B5393" s="709">
        <v>97511</v>
      </c>
      <c r="C5393" s="710" t="s">
        <v>14072</v>
      </c>
      <c r="D5393" s="709" t="s">
        <v>136</v>
      </c>
      <c r="E5393" s="711">
        <v>8.0600000000000005E-2</v>
      </c>
    </row>
    <row r="5394" spans="1:5" x14ac:dyDescent="0.3">
      <c r="A5394" s="397"/>
      <c r="B5394" s="709">
        <v>97449</v>
      </c>
      <c r="C5394" s="710" t="s">
        <v>14073</v>
      </c>
      <c r="D5394" s="709" t="s">
        <v>136</v>
      </c>
      <c r="E5394" s="711">
        <v>0.14449999999999999</v>
      </c>
    </row>
    <row r="5395" spans="1:5" x14ac:dyDescent="0.3">
      <c r="A5395" s="397"/>
      <c r="B5395" s="709">
        <v>97477</v>
      </c>
      <c r="C5395" s="710" t="s">
        <v>14074</v>
      </c>
      <c r="D5395" s="709" t="s">
        <v>136</v>
      </c>
      <c r="E5395" s="711">
        <v>0.122</v>
      </c>
    </row>
    <row r="5396" spans="1:5" x14ac:dyDescent="0.3">
      <c r="A5396" s="397"/>
      <c r="B5396" s="709">
        <v>97514</v>
      </c>
      <c r="C5396" s="710" t="s">
        <v>14075</v>
      </c>
      <c r="D5396" s="709" t="s">
        <v>136</v>
      </c>
      <c r="E5396" s="711">
        <v>7.0199999999999999E-2</v>
      </c>
    </row>
    <row r="5397" spans="1:5" x14ac:dyDescent="0.3">
      <c r="A5397" s="397"/>
      <c r="B5397" s="709">
        <v>101920</v>
      </c>
      <c r="C5397" s="710" t="s">
        <v>14076</v>
      </c>
      <c r="D5397" s="709" t="s">
        <v>136</v>
      </c>
      <c r="E5397" s="711">
        <v>0.2782</v>
      </c>
    </row>
    <row r="5398" spans="1:5" x14ac:dyDescent="0.3">
      <c r="A5398" s="397"/>
      <c r="B5398" s="709">
        <v>101929</v>
      </c>
      <c r="C5398" s="710" t="s">
        <v>14077</v>
      </c>
      <c r="D5398" s="709" t="s">
        <v>136</v>
      </c>
      <c r="E5398" s="711">
        <v>0.31140000000000001</v>
      </c>
    </row>
    <row r="5399" spans="1:5" x14ac:dyDescent="0.3">
      <c r="A5399" s="397"/>
      <c r="B5399" s="709">
        <v>92693</v>
      </c>
      <c r="C5399" s="710" t="s">
        <v>14078</v>
      </c>
      <c r="D5399" s="709" t="s">
        <v>136</v>
      </c>
      <c r="E5399" s="711">
        <v>0.65049999999999997</v>
      </c>
    </row>
    <row r="5400" spans="1:5" x14ac:dyDescent="0.3">
      <c r="A5400" s="397"/>
      <c r="B5400" s="709">
        <v>92695</v>
      </c>
      <c r="C5400" s="710" t="s">
        <v>14079</v>
      </c>
      <c r="D5400" s="709" t="s">
        <v>136</v>
      </c>
      <c r="E5400" s="711">
        <v>0.70169999999999999</v>
      </c>
    </row>
    <row r="5401" spans="1:5" x14ac:dyDescent="0.3">
      <c r="A5401" s="397"/>
      <c r="B5401" s="709">
        <v>92697</v>
      </c>
      <c r="C5401" s="710" t="s">
        <v>14080</v>
      </c>
      <c r="D5401" s="709" t="s">
        <v>136</v>
      </c>
      <c r="E5401" s="711">
        <v>0.70379999999999998</v>
      </c>
    </row>
    <row r="5402" spans="1:5" x14ac:dyDescent="0.3">
      <c r="A5402" s="397"/>
      <c r="B5402" s="709">
        <v>92658</v>
      </c>
      <c r="C5402" s="710" t="s">
        <v>14081</v>
      </c>
      <c r="D5402" s="709" t="s">
        <v>136</v>
      </c>
      <c r="E5402" s="711">
        <v>0.59530000000000005</v>
      </c>
    </row>
    <row r="5403" spans="1:5" x14ac:dyDescent="0.3">
      <c r="A5403" s="397"/>
      <c r="B5403" s="709">
        <v>92660</v>
      </c>
      <c r="C5403" s="710" t="s">
        <v>14082</v>
      </c>
      <c r="D5403" s="709" t="s">
        <v>136</v>
      </c>
      <c r="E5403" s="711">
        <v>0.53759999999999997</v>
      </c>
    </row>
    <row r="5404" spans="1:5" x14ac:dyDescent="0.3">
      <c r="A5404" s="397"/>
      <c r="B5404" s="709">
        <v>92662</v>
      </c>
      <c r="C5404" s="710" t="s">
        <v>14083</v>
      </c>
      <c r="D5404" s="709" t="s">
        <v>136</v>
      </c>
      <c r="E5404" s="711">
        <v>0.51219999999999999</v>
      </c>
    </row>
    <row r="5405" spans="1:5" x14ac:dyDescent="0.3">
      <c r="A5405" s="397"/>
      <c r="B5405" s="709">
        <v>92664</v>
      </c>
      <c r="C5405" s="710" t="s">
        <v>14084</v>
      </c>
      <c r="D5405" s="709" t="s">
        <v>136</v>
      </c>
      <c r="E5405" s="711">
        <v>0.435</v>
      </c>
    </row>
    <row r="5406" spans="1:5" x14ac:dyDescent="0.3">
      <c r="A5406" s="397"/>
      <c r="B5406" s="709">
        <v>92666</v>
      </c>
      <c r="C5406" s="710" t="s">
        <v>14085</v>
      </c>
      <c r="D5406" s="709" t="s">
        <v>136</v>
      </c>
      <c r="E5406" s="711">
        <v>0.32990000000000003</v>
      </c>
    </row>
    <row r="5407" spans="1:5" x14ac:dyDescent="0.3">
      <c r="A5407" s="397"/>
      <c r="B5407" s="709">
        <v>92668</v>
      </c>
      <c r="C5407" s="710" t="s">
        <v>14086</v>
      </c>
      <c r="D5407" s="709" t="s">
        <v>136</v>
      </c>
      <c r="E5407" s="711">
        <v>0.27129999999999999</v>
      </c>
    </row>
    <row r="5408" spans="1:5" x14ac:dyDescent="0.3">
      <c r="A5408" s="397"/>
      <c r="B5408" s="709">
        <v>92370</v>
      </c>
      <c r="C5408" s="710" t="s">
        <v>14087</v>
      </c>
      <c r="D5408" s="709" t="s">
        <v>136</v>
      </c>
      <c r="E5408" s="711">
        <v>0.69440000000000002</v>
      </c>
    </row>
    <row r="5409" spans="1:5" x14ac:dyDescent="0.3">
      <c r="A5409" s="397"/>
      <c r="B5409" s="709">
        <v>92372</v>
      </c>
      <c r="C5409" s="710" t="s">
        <v>14088</v>
      </c>
      <c r="D5409" s="709" t="s">
        <v>136</v>
      </c>
      <c r="E5409" s="711">
        <v>0.64490000000000003</v>
      </c>
    </row>
    <row r="5410" spans="1:5" x14ac:dyDescent="0.3">
      <c r="A5410" s="397"/>
      <c r="B5410" s="709">
        <v>92374</v>
      </c>
      <c r="C5410" s="710" t="s">
        <v>14089</v>
      </c>
      <c r="D5410" s="709" t="s">
        <v>136</v>
      </c>
      <c r="E5410" s="711">
        <v>0.62390000000000001</v>
      </c>
    </row>
    <row r="5411" spans="1:5" x14ac:dyDescent="0.3">
      <c r="A5411" s="397"/>
      <c r="B5411" s="709">
        <v>92345</v>
      </c>
      <c r="C5411" s="710" t="s">
        <v>14090</v>
      </c>
      <c r="D5411" s="709" t="s">
        <v>136</v>
      </c>
      <c r="E5411" s="711">
        <v>0.57550000000000001</v>
      </c>
    </row>
    <row r="5412" spans="1:5" x14ac:dyDescent="0.3">
      <c r="A5412" s="397"/>
      <c r="B5412" s="709">
        <v>92376</v>
      </c>
      <c r="C5412" s="710" t="s">
        <v>14091</v>
      </c>
      <c r="D5412" s="709" t="s">
        <v>136</v>
      </c>
      <c r="E5412" s="711">
        <v>0.55149999999999999</v>
      </c>
    </row>
    <row r="5413" spans="1:5" x14ac:dyDescent="0.3">
      <c r="A5413" s="397"/>
      <c r="B5413" s="709">
        <v>92347</v>
      </c>
      <c r="C5413" s="710" t="s">
        <v>14092</v>
      </c>
      <c r="D5413" s="709" t="s">
        <v>136</v>
      </c>
      <c r="E5413" s="711">
        <v>0.44359999999999999</v>
      </c>
    </row>
    <row r="5414" spans="1:5" x14ac:dyDescent="0.3">
      <c r="A5414" s="397"/>
      <c r="B5414" s="709">
        <v>92378</v>
      </c>
      <c r="C5414" s="710" t="s">
        <v>14093</v>
      </c>
      <c r="D5414" s="709" t="s">
        <v>136</v>
      </c>
      <c r="E5414" s="711">
        <v>0.44319999999999998</v>
      </c>
    </row>
    <row r="5415" spans="1:5" x14ac:dyDescent="0.3">
      <c r="A5415" s="397"/>
      <c r="B5415" s="709">
        <v>92349</v>
      </c>
      <c r="C5415" s="710" t="s">
        <v>14094</v>
      </c>
      <c r="D5415" s="709" t="s">
        <v>136</v>
      </c>
      <c r="E5415" s="711">
        <v>0.36020000000000002</v>
      </c>
    </row>
    <row r="5416" spans="1:5" x14ac:dyDescent="0.3">
      <c r="A5416" s="397"/>
      <c r="B5416" s="709">
        <v>92380</v>
      </c>
      <c r="C5416" s="710" t="s">
        <v>14095</v>
      </c>
      <c r="D5416" s="709" t="s">
        <v>136</v>
      </c>
      <c r="E5416" s="711">
        <v>0.37790000000000001</v>
      </c>
    </row>
    <row r="5417" spans="1:5" x14ac:dyDescent="0.3">
      <c r="A5417" s="397"/>
      <c r="B5417" s="709">
        <v>101917</v>
      </c>
      <c r="C5417" s="710" t="s">
        <v>14096</v>
      </c>
      <c r="D5417" s="709" t="s">
        <v>136</v>
      </c>
      <c r="E5417" s="711">
        <v>0.248</v>
      </c>
    </row>
    <row r="5418" spans="1:5" x14ac:dyDescent="0.3">
      <c r="A5418" s="397"/>
      <c r="B5418" s="709">
        <v>101924</v>
      </c>
      <c r="C5418" s="710" t="s">
        <v>14097</v>
      </c>
      <c r="D5418" s="709" t="s">
        <v>136</v>
      </c>
      <c r="E5418" s="711">
        <v>0.29399999999999998</v>
      </c>
    </row>
    <row r="5419" spans="1:5" x14ac:dyDescent="0.3">
      <c r="A5419" s="397"/>
      <c r="B5419" s="709">
        <v>101933</v>
      </c>
      <c r="C5419" s="710" t="s">
        <v>14098</v>
      </c>
      <c r="D5419" s="709" t="s">
        <v>136</v>
      </c>
      <c r="E5419" s="711">
        <v>0.32829999999999998</v>
      </c>
    </row>
    <row r="5420" spans="1:5" x14ac:dyDescent="0.3">
      <c r="A5420" s="397"/>
      <c r="B5420" s="709">
        <v>92692</v>
      </c>
      <c r="C5420" s="710" t="s">
        <v>14099</v>
      </c>
      <c r="D5420" s="709" t="s">
        <v>136</v>
      </c>
      <c r="E5420" s="711">
        <v>0.66520000000000001</v>
      </c>
    </row>
    <row r="5421" spans="1:5" x14ac:dyDescent="0.3">
      <c r="A5421" s="397"/>
      <c r="B5421" s="709">
        <v>92694</v>
      </c>
      <c r="C5421" s="710" t="s">
        <v>14100</v>
      </c>
      <c r="D5421" s="709" t="s">
        <v>136</v>
      </c>
      <c r="E5421" s="711">
        <v>0.71199999999999997</v>
      </c>
    </row>
    <row r="5422" spans="1:5" x14ac:dyDescent="0.3">
      <c r="A5422" s="397"/>
      <c r="B5422" s="709">
        <v>92696</v>
      </c>
      <c r="C5422" s="710" t="s">
        <v>14101</v>
      </c>
      <c r="D5422" s="709" t="s">
        <v>136</v>
      </c>
      <c r="E5422" s="711">
        <v>0.73280000000000001</v>
      </c>
    </row>
    <row r="5423" spans="1:5" x14ac:dyDescent="0.3">
      <c r="A5423" s="397"/>
      <c r="B5423" s="709">
        <v>92657</v>
      </c>
      <c r="C5423" s="710" t="s">
        <v>14102</v>
      </c>
      <c r="D5423" s="709" t="s">
        <v>136</v>
      </c>
      <c r="E5423" s="711">
        <v>0.62929999999999997</v>
      </c>
    </row>
    <row r="5424" spans="1:5" x14ac:dyDescent="0.3">
      <c r="A5424" s="397"/>
      <c r="B5424" s="709">
        <v>92659</v>
      </c>
      <c r="C5424" s="710" t="s">
        <v>14103</v>
      </c>
      <c r="D5424" s="709" t="s">
        <v>136</v>
      </c>
      <c r="E5424" s="711">
        <v>0.56059999999999999</v>
      </c>
    </row>
    <row r="5425" spans="1:5" x14ac:dyDescent="0.3">
      <c r="A5425" s="397"/>
      <c r="B5425" s="709">
        <v>92661</v>
      </c>
      <c r="C5425" s="710" t="s">
        <v>14104</v>
      </c>
      <c r="D5425" s="709" t="s">
        <v>136</v>
      </c>
      <c r="E5425" s="711">
        <v>0.51570000000000005</v>
      </c>
    </row>
    <row r="5426" spans="1:5" x14ac:dyDescent="0.3">
      <c r="A5426" s="397"/>
      <c r="B5426" s="709">
        <v>92663</v>
      </c>
      <c r="C5426" s="710" t="s">
        <v>14105</v>
      </c>
      <c r="D5426" s="709" t="s">
        <v>136</v>
      </c>
      <c r="E5426" s="711">
        <v>0.43480000000000002</v>
      </c>
    </row>
    <row r="5427" spans="1:5" x14ac:dyDescent="0.3">
      <c r="A5427" s="397"/>
      <c r="B5427" s="709">
        <v>92665</v>
      </c>
      <c r="C5427" s="710" t="s">
        <v>14106</v>
      </c>
      <c r="D5427" s="709" t="s">
        <v>136</v>
      </c>
      <c r="E5427" s="711">
        <v>0.36890000000000001</v>
      </c>
    </row>
    <row r="5428" spans="1:5" x14ac:dyDescent="0.3">
      <c r="A5428" s="397"/>
      <c r="B5428" s="709">
        <v>92667</v>
      </c>
      <c r="C5428" s="710" t="s">
        <v>14107</v>
      </c>
      <c r="D5428" s="709" t="s">
        <v>136</v>
      </c>
      <c r="E5428" s="711">
        <v>0.29110000000000003</v>
      </c>
    </row>
    <row r="5429" spans="1:5" x14ac:dyDescent="0.3">
      <c r="A5429" s="397"/>
      <c r="B5429" s="709">
        <v>92369</v>
      </c>
      <c r="C5429" s="710" t="s">
        <v>14108</v>
      </c>
      <c r="D5429" s="709" t="s">
        <v>136</v>
      </c>
      <c r="E5429" s="711">
        <v>0.72389999999999999</v>
      </c>
    </row>
    <row r="5430" spans="1:5" x14ac:dyDescent="0.3">
      <c r="A5430" s="397"/>
      <c r="B5430" s="709">
        <v>92371</v>
      </c>
      <c r="C5430" s="710" t="s">
        <v>14109</v>
      </c>
      <c r="D5430" s="709" t="s">
        <v>136</v>
      </c>
      <c r="E5430" s="711">
        <v>0.66590000000000005</v>
      </c>
    </row>
    <row r="5431" spans="1:5" x14ac:dyDescent="0.3">
      <c r="A5431" s="397"/>
      <c r="B5431" s="709">
        <v>92373</v>
      </c>
      <c r="C5431" s="710" t="s">
        <v>14110</v>
      </c>
      <c r="D5431" s="709" t="s">
        <v>136</v>
      </c>
      <c r="E5431" s="711">
        <v>0.62709999999999999</v>
      </c>
    </row>
    <row r="5432" spans="1:5" x14ac:dyDescent="0.3">
      <c r="A5432" s="397"/>
      <c r="B5432" s="709">
        <v>92344</v>
      </c>
      <c r="C5432" s="710" t="s">
        <v>14111</v>
      </c>
      <c r="D5432" s="709" t="s">
        <v>136</v>
      </c>
      <c r="E5432" s="711">
        <v>0.57530000000000003</v>
      </c>
    </row>
    <row r="5433" spans="1:5" x14ac:dyDescent="0.3">
      <c r="A5433" s="397"/>
      <c r="B5433" s="709">
        <v>92375</v>
      </c>
      <c r="C5433" s="710" t="s">
        <v>14112</v>
      </c>
      <c r="D5433" s="709" t="s">
        <v>136</v>
      </c>
      <c r="E5433" s="711">
        <v>0.55130000000000001</v>
      </c>
    </row>
    <row r="5434" spans="1:5" x14ac:dyDescent="0.3">
      <c r="A5434" s="397"/>
      <c r="B5434" s="709">
        <v>92346</v>
      </c>
      <c r="C5434" s="710" t="s">
        <v>14113</v>
      </c>
      <c r="D5434" s="709" t="s">
        <v>136</v>
      </c>
      <c r="E5434" s="711">
        <v>0.48630000000000001</v>
      </c>
    </row>
    <row r="5435" spans="1:5" x14ac:dyDescent="0.3">
      <c r="A5435" s="397"/>
      <c r="B5435" s="709">
        <v>92377</v>
      </c>
      <c r="C5435" s="710" t="s">
        <v>14114</v>
      </c>
      <c r="D5435" s="709" t="s">
        <v>136</v>
      </c>
      <c r="E5435" s="711">
        <v>0.4859</v>
      </c>
    </row>
    <row r="5436" spans="1:5" x14ac:dyDescent="0.3">
      <c r="A5436" s="397"/>
      <c r="B5436" s="709">
        <v>92348</v>
      </c>
      <c r="C5436" s="710" t="s">
        <v>14115</v>
      </c>
      <c r="D5436" s="709" t="s">
        <v>136</v>
      </c>
      <c r="E5436" s="711">
        <v>0.3831</v>
      </c>
    </row>
    <row r="5437" spans="1:5" x14ac:dyDescent="0.3">
      <c r="A5437" s="397"/>
      <c r="B5437" s="709">
        <v>92379</v>
      </c>
      <c r="C5437" s="710" t="s">
        <v>14116</v>
      </c>
      <c r="D5437" s="709" t="s">
        <v>136</v>
      </c>
      <c r="E5437" s="711">
        <v>0.4012</v>
      </c>
    </row>
    <row r="5438" spans="1:5" x14ac:dyDescent="0.3">
      <c r="A5438" s="397"/>
      <c r="B5438" s="709">
        <v>106677</v>
      </c>
      <c r="C5438" s="710" t="s">
        <v>14117</v>
      </c>
      <c r="D5438" s="709" t="s">
        <v>136</v>
      </c>
      <c r="E5438" s="711">
        <v>0.25269999999999998</v>
      </c>
    </row>
    <row r="5439" spans="1:5" x14ac:dyDescent="0.3">
      <c r="A5439" s="397"/>
      <c r="B5439" s="709">
        <v>95696</v>
      </c>
      <c r="C5439" s="710" t="s">
        <v>14118</v>
      </c>
      <c r="D5439" s="709" t="s">
        <v>136</v>
      </c>
      <c r="E5439" s="711">
        <v>8.2100000000000006E-2</v>
      </c>
    </row>
    <row r="5440" spans="1:5" x14ac:dyDescent="0.3">
      <c r="A5440" s="397"/>
      <c r="B5440" s="709">
        <v>92335</v>
      </c>
      <c r="C5440" s="710" t="s">
        <v>14119</v>
      </c>
      <c r="D5440" s="709" t="s">
        <v>159</v>
      </c>
      <c r="E5440" s="711">
        <v>0.17810000000000001</v>
      </c>
    </row>
    <row r="5441" spans="1:5" x14ac:dyDescent="0.3">
      <c r="A5441" s="397"/>
      <c r="B5441" s="709">
        <v>92336</v>
      </c>
      <c r="C5441" s="710" t="s">
        <v>14120</v>
      </c>
      <c r="D5441" s="709" t="s">
        <v>159</v>
      </c>
      <c r="E5441" s="711">
        <v>0.153</v>
      </c>
    </row>
    <row r="5442" spans="1:5" x14ac:dyDescent="0.3">
      <c r="A5442" s="397"/>
      <c r="B5442" s="709">
        <v>92337</v>
      </c>
      <c r="C5442" s="710" t="s">
        <v>14121</v>
      </c>
      <c r="D5442" s="709" t="s">
        <v>159</v>
      </c>
      <c r="E5442" s="711">
        <v>0.12180000000000001</v>
      </c>
    </row>
    <row r="5443" spans="1:5" x14ac:dyDescent="0.3">
      <c r="A5443" s="397"/>
      <c r="B5443" s="709">
        <v>92687</v>
      </c>
      <c r="C5443" s="710" t="s">
        <v>14122</v>
      </c>
      <c r="D5443" s="709" t="s">
        <v>159</v>
      </c>
      <c r="E5443" s="711">
        <v>0.32879999999999998</v>
      </c>
    </row>
    <row r="5444" spans="1:5" x14ac:dyDescent="0.3">
      <c r="A5444" s="397"/>
      <c r="B5444" s="709">
        <v>92688</v>
      </c>
      <c r="C5444" s="710" t="s">
        <v>14123</v>
      </c>
      <c r="D5444" s="709" t="s">
        <v>159</v>
      </c>
      <c r="E5444" s="711">
        <v>0.39939999999999998</v>
      </c>
    </row>
    <row r="5445" spans="1:5" x14ac:dyDescent="0.3">
      <c r="A5445" s="397"/>
      <c r="B5445" s="709">
        <v>97536</v>
      </c>
      <c r="C5445" s="710" t="s">
        <v>14124</v>
      </c>
      <c r="D5445" s="709" t="s">
        <v>159</v>
      </c>
      <c r="E5445" s="711">
        <v>0.42159999999999997</v>
      </c>
    </row>
    <row r="5446" spans="1:5" x14ac:dyDescent="0.3">
      <c r="A5446" s="397"/>
      <c r="B5446" s="709">
        <v>97535</v>
      </c>
      <c r="C5446" s="710" t="s">
        <v>14125</v>
      </c>
      <c r="D5446" s="709" t="s">
        <v>159</v>
      </c>
      <c r="E5446" s="711">
        <v>0.28060000000000002</v>
      </c>
    </row>
    <row r="5447" spans="1:5" x14ac:dyDescent="0.3">
      <c r="A5447" s="397"/>
      <c r="B5447" s="709">
        <v>92652</v>
      </c>
      <c r="C5447" s="710" t="s">
        <v>14126</v>
      </c>
      <c r="D5447" s="709" t="s">
        <v>159</v>
      </c>
      <c r="E5447" s="711">
        <v>0.254</v>
      </c>
    </row>
    <row r="5448" spans="1:5" x14ac:dyDescent="0.3">
      <c r="A5448" s="397"/>
      <c r="B5448" s="709">
        <v>92653</v>
      </c>
      <c r="C5448" s="710" t="s">
        <v>14127</v>
      </c>
      <c r="D5448" s="709" t="s">
        <v>159</v>
      </c>
      <c r="E5448" s="711">
        <v>0.2445</v>
      </c>
    </row>
    <row r="5449" spans="1:5" x14ac:dyDescent="0.3">
      <c r="A5449" s="397"/>
      <c r="B5449" s="709">
        <v>92654</v>
      </c>
      <c r="C5449" s="710" t="s">
        <v>14128</v>
      </c>
      <c r="D5449" s="709" t="s">
        <v>159</v>
      </c>
      <c r="E5449" s="711">
        <v>0.2006</v>
      </c>
    </row>
    <row r="5450" spans="1:5" x14ac:dyDescent="0.3">
      <c r="A5450" s="397"/>
      <c r="B5450" s="709">
        <v>92655</v>
      </c>
      <c r="C5450" s="710" t="s">
        <v>14129</v>
      </c>
      <c r="D5450" s="709" t="s">
        <v>159</v>
      </c>
      <c r="E5450" s="711">
        <v>0.18970000000000001</v>
      </c>
    </row>
    <row r="5451" spans="1:5" x14ac:dyDescent="0.3">
      <c r="A5451" s="397"/>
      <c r="B5451" s="709">
        <v>92656</v>
      </c>
      <c r="C5451" s="710" t="s">
        <v>14130</v>
      </c>
      <c r="D5451" s="709" t="s">
        <v>159</v>
      </c>
      <c r="E5451" s="711">
        <v>0.1651</v>
      </c>
    </row>
    <row r="5452" spans="1:5" x14ac:dyDescent="0.3">
      <c r="A5452" s="397"/>
      <c r="B5452" s="709">
        <v>101918</v>
      </c>
      <c r="C5452" s="710" t="s">
        <v>14131</v>
      </c>
      <c r="D5452" s="709" t="s">
        <v>159</v>
      </c>
      <c r="E5452" s="711">
        <v>0.16689999999999999</v>
      </c>
    </row>
    <row r="5453" spans="1:5" x14ac:dyDescent="0.3">
      <c r="A5453" s="397"/>
      <c r="B5453" s="709">
        <v>101927</v>
      </c>
      <c r="C5453" s="710" t="s">
        <v>14132</v>
      </c>
      <c r="D5453" s="709" t="s">
        <v>159</v>
      </c>
      <c r="E5453" s="711">
        <v>0.1038</v>
      </c>
    </row>
    <row r="5454" spans="1:5" x14ac:dyDescent="0.3">
      <c r="A5454" s="397"/>
      <c r="B5454" s="709">
        <v>97498</v>
      </c>
      <c r="C5454" s="710" t="s">
        <v>14133</v>
      </c>
      <c r="D5454" s="709" t="s">
        <v>159</v>
      </c>
      <c r="E5454" s="711">
        <v>0.2026</v>
      </c>
    </row>
    <row r="5455" spans="1:5" x14ac:dyDescent="0.3">
      <c r="A5455" s="397"/>
      <c r="B5455" s="709">
        <v>92364</v>
      </c>
      <c r="C5455" s="710" t="s">
        <v>14134</v>
      </c>
      <c r="D5455" s="709" t="s">
        <v>159</v>
      </c>
      <c r="E5455" s="711">
        <v>0.18310000000000001</v>
      </c>
    </row>
    <row r="5456" spans="1:5" x14ac:dyDescent="0.3">
      <c r="A5456" s="397"/>
      <c r="B5456" s="709">
        <v>92365</v>
      </c>
      <c r="C5456" s="710" t="s">
        <v>14135</v>
      </c>
      <c r="D5456" s="709" t="s">
        <v>159</v>
      </c>
      <c r="E5456" s="711">
        <v>0.1774</v>
      </c>
    </row>
    <row r="5457" spans="1:5" x14ac:dyDescent="0.3">
      <c r="A5457" s="397"/>
      <c r="B5457" s="709">
        <v>92341</v>
      </c>
      <c r="C5457" s="710" t="s">
        <v>14136</v>
      </c>
      <c r="D5457" s="709" t="s">
        <v>159</v>
      </c>
      <c r="E5457" s="711">
        <v>0.27439999999999998</v>
      </c>
    </row>
    <row r="5458" spans="1:5" x14ac:dyDescent="0.3">
      <c r="A5458" s="397"/>
      <c r="B5458" s="709">
        <v>92366</v>
      </c>
      <c r="C5458" s="710" t="s">
        <v>14137</v>
      </c>
      <c r="D5458" s="709" t="s">
        <v>159</v>
      </c>
      <c r="E5458" s="711">
        <v>0.14449999999999999</v>
      </c>
    </row>
    <row r="5459" spans="1:5" x14ac:dyDescent="0.3">
      <c r="A5459" s="397"/>
      <c r="B5459" s="709">
        <v>92342</v>
      </c>
      <c r="C5459" s="710" t="s">
        <v>14138</v>
      </c>
      <c r="D5459" s="709" t="s">
        <v>159</v>
      </c>
      <c r="E5459" s="711">
        <v>0.24510000000000001</v>
      </c>
    </row>
    <row r="5460" spans="1:5" x14ac:dyDescent="0.3">
      <c r="A5460" s="397"/>
      <c r="B5460" s="709">
        <v>92367</v>
      </c>
      <c r="C5460" s="710" t="s">
        <v>14139</v>
      </c>
      <c r="D5460" s="709" t="s">
        <v>159</v>
      </c>
      <c r="E5460" s="711">
        <v>0.13769999999999999</v>
      </c>
    </row>
    <row r="5461" spans="1:5" x14ac:dyDescent="0.3">
      <c r="A5461" s="397"/>
      <c r="B5461" s="709">
        <v>92343</v>
      </c>
      <c r="C5461" s="710" t="s">
        <v>14140</v>
      </c>
      <c r="D5461" s="709" t="s">
        <v>159</v>
      </c>
      <c r="E5461" s="711">
        <v>0.2039</v>
      </c>
    </row>
    <row r="5462" spans="1:5" x14ac:dyDescent="0.3">
      <c r="A5462" s="397"/>
      <c r="B5462" s="709">
        <v>92368</v>
      </c>
      <c r="C5462" s="710" t="s">
        <v>14141</v>
      </c>
      <c r="D5462" s="709" t="s">
        <v>159</v>
      </c>
      <c r="E5462" s="711">
        <v>0.1198</v>
      </c>
    </row>
    <row r="5463" spans="1:5" x14ac:dyDescent="0.3">
      <c r="A5463" s="397"/>
      <c r="B5463" s="709">
        <v>92689</v>
      </c>
      <c r="C5463" s="710" t="s">
        <v>14142</v>
      </c>
      <c r="D5463" s="709" t="s">
        <v>159</v>
      </c>
      <c r="E5463" s="711">
        <v>0.2276</v>
      </c>
    </row>
    <row r="5464" spans="1:5" x14ac:dyDescent="0.3">
      <c r="A5464" s="397"/>
      <c r="B5464" s="709">
        <v>92690</v>
      </c>
      <c r="C5464" s="710" t="s">
        <v>14143</v>
      </c>
      <c r="D5464" s="709" t="s">
        <v>159</v>
      </c>
      <c r="E5464" s="711">
        <v>0.27039999999999997</v>
      </c>
    </row>
    <row r="5465" spans="1:5" x14ac:dyDescent="0.3">
      <c r="A5465" s="397"/>
      <c r="B5465" s="709">
        <v>92691</v>
      </c>
      <c r="C5465" s="710" t="s">
        <v>14144</v>
      </c>
      <c r="D5465" s="709" t="s">
        <v>159</v>
      </c>
      <c r="E5465" s="711">
        <v>0.39050000000000001</v>
      </c>
    </row>
    <row r="5466" spans="1:5" x14ac:dyDescent="0.3">
      <c r="A5466" s="397"/>
      <c r="B5466" s="709">
        <v>92359</v>
      </c>
      <c r="C5466" s="710" t="s">
        <v>14145</v>
      </c>
      <c r="D5466" s="709" t="s">
        <v>159</v>
      </c>
      <c r="E5466" s="711">
        <v>8.14E-2</v>
      </c>
    </row>
    <row r="5467" spans="1:5" x14ac:dyDescent="0.3">
      <c r="A5467" s="397"/>
      <c r="B5467" s="709">
        <v>92645</v>
      </c>
      <c r="C5467" s="710" t="s">
        <v>14146</v>
      </c>
      <c r="D5467" s="709" t="s">
        <v>159</v>
      </c>
      <c r="E5467" s="711">
        <v>0.14369999999999999</v>
      </c>
    </row>
    <row r="5468" spans="1:5" x14ac:dyDescent="0.3">
      <c r="A5468" s="397"/>
      <c r="B5468" s="709">
        <v>92360</v>
      </c>
      <c r="C5468" s="710" t="s">
        <v>14147</v>
      </c>
      <c r="D5468" s="709" t="s">
        <v>159</v>
      </c>
      <c r="E5468" s="711">
        <v>7.7100000000000002E-2</v>
      </c>
    </row>
    <row r="5469" spans="1:5" x14ac:dyDescent="0.3">
      <c r="A5469" s="397"/>
      <c r="B5469" s="709">
        <v>92646</v>
      </c>
      <c r="C5469" s="710" t="s">
        <v>14148</v>
      </c>
      <c r="D5469" s="709" t="s">
        <v>159</v>
      </c>
      <c r="E5469" s="711">
        <v>0.125</v>
      </c>
    </row>
    <row r="5470" spans="1:5" x14ac:dyDescent="0.3">
      <c r="A5470" s="397"/>
      <c r="B5470" s="709">
        <v>95697</v>
      </c>
      <c r="C5470" s="710" t="s">
        <v>14149</v>
      </c>
      <c r="D5470" s="709" t="s">
        <v>159</v>
      </c>
      <c r="E5470" s="711">
        <v>8.6999999999999994E-2</v>
      </c>
    </row>
    <row r="5471" spans="1:5" x14ac:dyDescent="0.3">
      <c r="A5471" s="397"/>
      <c r="B5471" s="709">
        <v>92648</v>
      </c>
      <c r="C5471" s="710" t="s">
        <v>14150</v>
      </c>
      <c r="D5471" s="709" t="s">
        <v>159</v>
      </c>
      <c r="E5471" s="711">
        <v>0.13020000000000001</v>
      </c>
    </row>
    <row r="5472" spans="1:5" x14ac:dyDescent="0.3">
      <c r="A5472" s="397"/>
      <c r="B5472" s="709">
        <v>92338</v>
      </c>
      <c r="C5472" s="710" t="s">
        <v>14151</v>
      </c>
      <c r="D5472" s="709" t="s">
        <v>159</v>
      </c>
      <c r="E5472" s="711">
        <v>0.2636</v>
      </c>
    </row>
    <row r="5473" spans="1:5" x14ac:dyDescent="0.3">
      <c r="A5473" s="397"/>
      <c r="B5473" s="709">
        <v>92361</v>
      </c>
      <c r="C5473" s="710" t="s">
        <v>14152</v>
      </c>
      <c r="D5473" s="709" t="s">
        <v>159</v>
      </c>
      <c r="E5473" s="711">
        <v>8.7999999999999995E-2</v>
      </c>
    </row>
    <row r="5474" spans="1:5" x14ac:dyDescent="0.3">
      <c r="A5474" s="397"/>
      <c r="B5474" s="709">
        <v>92649</v>
      </c>
      <c r="C5474" s="710" t="s">
        <v>14153</v>
      </c>
      <c r="D5474" s="709" t="s">
        <v>159</v>
      </c>
      <c r="E5474" s="711">
        <v>0.1234</v>
      </c>
    </row>
    <row r="5475" spans="1:5" x14ac:dyDescent="0.3">
      <c r="A5475" s="397"/>
      <c r="B5475" s="709">
        <v>92339</v>
      </c>
      <c r="C5475" s="710" t="s">
        <v>14154</v>
      </c>
      <c r="D5475" s="709" t="s">
        <v>159</v>
      </c>
      <c r="E5475" s="711">
        <v>0.185</v>
      </c>
    </row>
    <row r="5476" spans="1:5" x14ac:dyDescent="0.3">
      <c r="A5476" s="397"/>
      <c r="B5476" s="709">
        <v>92362</v>
      </c>
      <c r="C5476" s="710" t="s">
        <v>14155</v>
      </c>
      <c r="D5476" s="709" t="s">
        <v>159</v>
      </c>
      <c r="E5476" s="711">
        <v>7.1400000000000005E-2</v>
      </c>
    </row>
    <row r="5477" spans="1:5" x14ac:dyDescent="0.3">
      <c r="A5477" s="397"/>
      <c r="B5477" s="709">
        <v>92650</v>
      </c>
      <c r="C5477" s="710" t="s">
        <v>14156</v>
      </c>
      <c r="D5477" s="709" t="s">
        <v>159</v>
      </c>
      <c r="E5477" s="711">
        <v>9.4399999999999998E-2</v>
      </c>
    </row>
    <row r="5478" spans="1:5" x14ac:dyDescent="0.3">
      <c r="A5478" s="397"/>
      <c r="B5478" s="709">
        <v>106674</v>
      </c>
      <c r="C5478" s="710" t="s">
        <v>14157</v>
      </c>
      <c r="D5478" s="709" t="s">
        <v>159</v>
      </c>
      <c r="E5478" s="711">
        <v>0.15609999999999999</v>
      </c>
    </row>
    <row r="5479" spans="1:5" x14ac:dyDescent="0.3">
      <c r="A5479" s="397"/>
      <c r="B5479" s="709">
        <v>106675</v>
      </c>
      <c r="C5479" s="710" t="s">
        <v>14158</v>
      </c>
      <c r="D5479" s="709" t="s">
        <v>159</v>
      </c>
      <c r="E5479" s="711">
        <v>6.9699999999999998E-2</v>
      </c>
    </row>
    <row r="5480" spans="1:5" x14ac:dyDescent="0.3">
      <c r="A5480" s="397"/>
      <c r="B5480" s="709">
        <v>106676</v>
      </c>
      <c r="C5480" s="710" t="s">
        <v>14159</v>
      </c>
      <c r="D5480" s="709" t="s">
        <v>159</v>
      </c>
      <c r="E5480" s="711">
        <v>8.8099999999999998E-2</v>
      </c>
    </row>
    <row r="5481" spans="1:5" x14ac:dyDescent="0.3">
      <c r="A5481" s="397"/>
      <c r="B5481" s="709">
        <v>97439</v>
      </c>
      <c r="C5481" s="710" t="s">
        <v>14160</v>
      </c>
      <c r="D5481" s="709" t="s">
        <v>136</v>
      </c>
      <c r="E5481" s="711">
        <v>0.2984</v>
      </c>
    </row>
    <row r="5482" spans="1:5" x14ac:dyDescent="0.3">
      <c r="A5482" s="397"/>
      <c r="B5482" s="709">
        <v>97440</v>
      </c>
      <c r="C5482" s="710" t="s">
        <v>14161</v>
      </c>
      <c r="D5482" s="709" t="s">
        <v>136</v>
      </c>
      <c r="E5482" s="711">
        <v>0.26600000000000001</v>
      </c>
    </row>
    <row r="5483" spans="1:5" x14ac:dyDescent="0.3">
      <c r="A5483" s="397"/>
      <c r="B5483" s="709">
        <v>97442</v>
      </c>
      <c r="C5483" s="710" t="s">
        <v>14162</v>
      </c>
      <c r="D5483" s="709" t="s">
        <v>136</v>
      </c>
      <c r="E5483" s="711">
        <v>0.25409999999999999</v>
      </c>
    </row>
    <row r="5484" spans="1:5" x14ac:dyDescent="0.3">
      <c r="A5484" s="397"/>
      <c r="B5484" s="709">
        <v>97552</v>
      </c>
      <c r="C5484" s="710" t="s">
        <v>14163</v>
      </c>
      <c r="D5484" s="709" t="s">
        <v>136</v>
      </c>
      <c r="E5484" s="711">
        <v>0.3024</v>
      </c>
    </row>
    <row r="5485" spans="1:5" x14ac:dyDescent="0.3">
      <c r="A5485" s="397"/>
      <c r="B5485" s="709">
        <v>97553</v>
      </c>
      <c r="C5485" s="710" t="s">
        <v>14164</v>
      </c>
      <c r="D5485" s="709" t="s">
        <v>136</v>
      </c>
      <c r="E5485" s="711">
        <v>0.36620000000000003</v>
      </c>
    </row>
    <row r="5486" spans="1:5" x14ac:dyDescent="0.3">
      <c r="A5486" s="397"/>
      <c r="B5486" s="709">
        <v>97554</v>
      </c>
      <c r="C5486" s="710" t="s">
        <v>14165</v>
      </c>
      <c r="D5486" s="709" t="s">
        <v>136</v>
      </c>
      <c r="E5486" s="711">
        <v>0.41710000000000003</v>
      </c>
    </row>
    <row r="5487" spans="1:5" x14ac:dyDescent="0.3">
      <c r="A5487" s="397"/>
      <c r="B5487" s="709">
        <v>97491</v>
      </c>
      <c r="C5487" s="710" t="s">
        <v>14166</v>
      </c>
      <c r="D5487" s="709" t="s">
        <v>136</v>
      </c>
      <c r="E5487" s="711">
        <v>0.21360000000000001</v>
      </c>
    </row>
    <row r="5488" spans="1:5" x14ac:dyDescent="0.3">
      <c r="A5488" s="397"/>
      <c r="B5488" s="709">
        <v>97529</v>
      </c>
      <c r="C5488" s="710" t="s">
        <v>14167</v>
      </c>
      <c r="D5488" s="709" t="s">
        <v>136</v>
      </c>
      <c r="E5488" s="711">
        <v>0.17829999999999999</v>
      </c>
    </row>
    <row r="5489" spans="1:5" x14ac:dyDescent="0.3">
      <c r="A5489" s="397"/>
      <c r="B5489" s="709">
        <v>97492</v>
      </c>
      <c r="C5489" s="710" t="s">
        <v>14168</v>
      </c>
      <c r="D5489" s="709" t="s">
        <v>136</v>
      </c>
      <c r="E5489" s="711">
        <v>0.18329999999999999</v>
      </c>
    </row>
    <row r="5490" spans="1:5" x14ac:dyDescent="0.3">
      <c r="A5490" s="397"/>
      <c r="B5490" s="709">
        <v>97530</v>
      </c>
      <c r="C5490" s="710" t="s">
        <v>14169</v>
      </c>
      <c r="D5490" s="709" t="s">
        <v>136</v>
      </c>
      <c r="E5490" s="711">
        <v>0.13900000000000001</v>
      </c>
    </row>
    <row r="5491" spans="1:5" x14ac:dyDescent="0.3">
      <c r="A5491" s="397"/>
      <c r="B5491" s="709">
        <v>97493</v>
      </c>
      <c r="C5491" s="710" t="s">
        <v>14170</v>
      </c>
      <c r="D5491" s="709" t="s">
        <v>136</v>
      </c>
      <c r="E5491" s="711">
        <v>0.17610000000000001</v>
      </c>
    </row>
    <row r="5492" spans="1:5" x14ac:dyDescent="0.3">
      <c r="A5492" s="397"/>
      <c r="B5492" s="709">
        <v>97531</v>
      </c>
      <c r="C5492" s="710" t="s">
        <v>14171</v>
      </c>
      <c r="D5492" s="709" t="s">
        <v>136</v>
      </c>
      <c r="E5492" s="711">
        <v>0.1241</v>
      </c>
    </row>
    <row r="5493" spans="1:5" x14ac:dyDescent="0.3">
      <c r="A5493" s="397"/>
      <c r="B5493" s="709">
        <v>97458</v>
      </c>
      <c r="C5493" s="710" t="s">
        <v>14172</v>
      </c>
      <c r="D5493" s="709" t="s">
        <v>136</v>
      </c>
      <c r="E5493" s="711">
        <v>0.22839999999999999</v>
      </c>
    </row>
    <row r="5494" spans="1:5" x14ac:dyDescent="0.3">
      <c r="A5494" s="397"/>
      <c r="B5494" s="709">
        <v>97494</v>
      </c>
      <c r="C5494" s="710" t="s">
        <v>14173</v>
      </c>
      <c r="D5494" s="709" t="s">
        <v>136</v>
      </c>
      <c r="E5494" s="711">
        <v>0.1394</v>
      </c>
    </row>
    <row r="5495" spans="1:5" x14ac:dyDescent="0.3">
      <c r="A5495" s="397"/>
      <c r="B5495" s="709">
        <v>97532</v>
      </c>
      <c r="C5495" s="710" t="s">
        <v>14174</v>
      </c>
      <c r="D5495" s="709" t="s">
        <v>136</v>
      </c>
      <c r="E5495" s="711">
        <v>9.0700000000000003E-2</v>
      </c>
    </row>
    <row r="5496" spans="1:5" x14ac:dyDescent="0.3">
      <c r="A5496" s="397"/>
      <c r="B5496" s="709">
        <v>97459</v>
      </c>
      <c r="C5496" s="710" t="s">
        <v>14175</v>
      </c>
      <c r="D5496" s="709" t="s">
        <v>136</v>
      </c>
      <c r="E5496" s="711">
        <v>0.13489999999999999</v>
      </c>
    </row>
    <row r="5497" spans="1:5" x14ac:dyDescent="0.3">
      <c r="A5497" s="397"/>
      <c r="B5497" s="709">
        <v>97495</v>
      </c>
      <c r="C5497" s="710" t="s">
        <v>14176</v>
      </c>
      <c r="D5497" s="709" t="s">
        <v>136</v>
      </c>
      <c r="E5497" s="711">
        <v>9.69E-2</v>
      </c>
    </row>
    <row r="5498" spans="1:5" x14ac:dyDescent="0.3">
      <c r="A5498" s="397"/>
      <c r="B5498" s="709">
        <v>97533</v>
      </c>
      <c r="C5498" s="710" t="s">
        <v>14177</v>
      </c>
      <c r="D5498" s="709" t="s">
        <v>136</v>
      </c>
      <c r="E5498" s="711">
        <v>5.7799999999999997E-2</v>
      </c>
    </row>
    <row r="5499" spans="1:5" x14ac:dyDescent="0.3">
      <c r="A5499" s="397"/>
      <c r="B5499" s="709">
        <v>97460</v>
      </c>
      <c r="C5499" s="710" t="s">
        <v>14178</v>
      </c>
      <c r="D5499" s="709" t="s">
        <v>136</v>
      </c>
      <c r="E5499" s="711">
        <v>8.9300000000000004E-2</v>
      </c>
    </row>
    <row r="5500" spans="1:5" x14ac:dyDescent="0.3">
      <c r="A5500" s="397"/>
      <c r="B5500" s="709">
        <v>97496</v>
      </c>
      <c r="C5500" s="710" t="s">
        <v>14179</v>
      </c>
      <c r="D5500" s="709" t="s">
        <v>136</v>
      </c>
      <c r="E5500" s="711">
        <v>7.46E-2</v>
      </c>
    </row>
    <row r="5501" spans="1:5" x14ac:dyDescent="0.3">
      <c r="A5501" s="397"/>
      <c r="B5501" s="709">
        <v>97534</v>
      </c>
      <c r="C5501" s="710" t="s">
        <v>14180</v>
      </c>
      <c r="D5501" s="709" t="s">
        <v>136</v>
      </c>
      <c r="E5501" s="711">
        <v>4.2000000000000003E-2</v>
      </c>
    </row>
    <row r="5502" spans="1:5" x14ac:dyDescent="0.3">
      <c r="A5502" s="397"/>
      <c r="B5502" s="709">
        <v>101926</v>
      </c>
      <c r="C5502" s="710" t="s">
        <v>14181</v>
      </c>
      <c r="D5502" s="709" t="s">
        <v>136</v>
      </c>
      <c r="E5502" s="711">
        <v>0.2747</v>
      </c>
    </row>
    <row r="5503" spans="1:5" x14ac:dyDescent="0.3">
      <c r="A5503" s="397"/>
      <c r="B5503" s="709">
        <v>101935</v>
      </c>
      <c r="C5503" s="710" t="s">
        <v>14182</v>
      </c>
      <c r="D5503" s="709" t="s">
        <v>136</v>
      </c>
      <c r="E5503" s="711">
        <v>0.30769999999999997</v>
      </c>
    </row>
    <row r="5504" spans="1:5" x14ac:dyDescent="0.3">
      <c r="A5504" s="397"/>
      <c r="B5504" s="709">
        <v>92704</v>
      </c>
      <c r="C5504" s="710" t="s">
        <v>14183</v>
      </c>
      <c r="D5504" s="709" t="s">
        <v>136</v>
      </c>
      <c r="E5504" s="711">
        <v>0.70550000000000002</v>
      </c>
    </row>
    <row r="5505" spans="1:5" x14ac:dyDescent="0.3">
      <c r="A5505" s="397"/>
      <c r="B5505" s="709">
        <v>92705</v>
      </c>
      <c r="C5505" s="710" t="s">
        <v>14184</v>
      </c>
      <c r="D5505" s="709" t="s">
        <v>136</v>
      </c>
      <c r="E5505" s="711">
        <v>0.74360000000000004</v>
      </c>
    </row>
    <row r="5506" spans="1:5" x14ac:dyDescent="0.3">
      <c r="A5506" s="397"/>
      <c r="B5506" s="709">
        <v>92706</v>
      </c>
      <c r="C5506" s="710" t="s">
        <v>14185</v>
      </c>
      <c r="D5506" s="709" t="s">
        <v>136</v>
      </c>
      <c r="E5506" s="711">
        <v>0.74719999999999998</v>
      </c>
    </row>
    <row r="5507" spans="1:5" x14ac:dyDescent="0.3">
      <c r="A5507" s="397"/>
      <c r="B5507" s="709">
        <v>92637</v>
      </c>
      <c r="C5507" s="710" t="s">
        <v>14186</v>
      </c>
      <c r="D5507" s="709" t="s">
        <v>136</v>
      </c>
      <c r="E5507" s="711">
        <v>0.35289999999999999</v>
      </c>
    </row>
    <row r="5508" spans="1:5" x14ac:dyDescent="0.3">
      <c r="A5508" s="397"/>
      <c r="B5508" s="709">
        <v>92681</v>
      </c>
      <c r="C5508" s="710" t="s">
        <v>14187</v>
      </c>
      <c r="D5508" s="709" t="s">
        <v>136</v>
      </c>
      <c r="E5508" s="711">
        <v>0.64670000000000005</v>
      </c>
    </row>
    <row r="5509" spans="1:5" x14ac:dyDescent="0.3">
      <c r="A5509" s="397"/>
      <c r="B5509" s="709">
        <v>92638</v>
      </c>
      <c r="C5509" s="710" t="s">
        <v>14188</v>
      </c>
      <c r="D5509" s="709" t="s">
        <v>136</v>
      </c>
      <c r="E5509" s="711">
        <v>0.28349999999999997</v>
      </c>
    </row>
    <row r="5510" spans="1:5" x14ac:dyDescent="0.3">
      <c r="A5510" s="397"/>
      <c r="B5510" s="709">
        <v>92682</v>
      </c>
      <c r="C5510" s="710" t="s">
        <v>14189</v>
      </c>
      <c r="D5510" s="709" t="s">
        <v>136</v>
      </c>
      <c r="E5510" s="711">
        <v>0.56950000000000001</v>
      </c>
    </row>
    <row r="5511" spans="1:5" x14ac:dyDescent="0.3">
      <c r="A5511" s="397"/>
      <c r="B5511" s="709">
        <v>92639</v>
      </c>
      <c r="C5511" s="710" t="s">
        <v>14190</v>
      </c>
      <c r="D5511" s="709" t="s">
        <v>136</v>
      </c>
      <c r="E5511" s="711">
        <v>0.25319999999999998</v>
      </c>
    </row>
    <row r="5512" spans="1:5" x14ac:dyDescent="0.3">
      <c r="A5512" s="397"/>
      <c r="B5512" s="709">
        <v>92683</v>
      </c>
      <c r="C5512" s="710" t="s">
        <v>14191</v>
      </c>
      <c r="D5512" s="709" t="s">
        <v>136</v>
      </c>
      <c r="E5512" s="711">
        <v>0.53610000000000002</v>
      </c>
    </row>
    <row r="5513" spans="1:5" x14ac:dyDescent="0.3">
      <c r="A5513" s="397"/>
      <c r="B5513" s="709">
        <v>92640</v>
      </c>
      <c r="C5513" s="710" t="s">
        <v>14192</v>
      </c>
      <c r="D5513" s="709" t="s">
        <v>136</v>
      </c>
      <c r="E5513" s="711">
        <v>0.56679999999999997</v>
      </c>
    </row>
    <row r="5514" spans="1:5" x14ac:dyDescent="0.3">
      <c r="A5514" s="397"/>
      <c r="B5514" s="709">
        <v>92684</v>
      </c>
      <c r="C5514" s="710" t="s">
        <v>14193</v>
      </c>
      <c r="D5514" s="709" t="s">
        <v>136</v>
      </c>
      <c r="E5514" s="711">
        <v>0.45040000000000002</v>
      </c>
    </row>
    <row r="5515" spans="1:5" x14ac:dyDescent="0.3">
      <c r="A5515" s="397"/>
      <c r="B5515" s="709">
        <v>92642</v>
      </c>
      <c r="C5515" s="710" t="s">
        <v>14194</v>
      </c>
      <c r="D5515" s="709" t="s">
        <v>136</v>
      </c>
      <c r="E5515" s="711">
        <v>0.44840000000000002</v>
      </c>
    </row>
    <row r="5516" spans="1:5" x14ac:dyDescent="0.3">
      <c r="A5516" s="397"/>
      <c r="B5516" s="709">
        <v>92685</v>
      </c>
      <c r="C5516" s="710" t="s">
        <v>14195</v>
      </c>
      <c r="D5516" s="709" t="s">
        <v>136</v>
      </c>
      <c r="E5516" s="711">
        <v>0.33460000000000001</v>
      </c>
    </row>
    <row r="5517" spans="1:5" x14ac:dyDescent="0.3">
      <c r="A5517" s="397"/>
      <c r="B5517" s="709">
        <v>92644</v>
      </c>
      <c r="C5517" s="710" t="s">
        <v>14196</v>
      </c>
      <c r="D5517" s="709" t="s">
        <v>136</v>
      </c>
      <c r="E5517" s="711">
        <v>0.4108</v>
      </c>
    </row>
    <row r="5518" spans="1:5" x14ac:dyDescent="0.3">
      <c r="A5518" s="397"/>
      <c r="B5518" s="709">
        <v>92686</v>
      </c>
      <c r="C5518" s="710" t="s">
        <v>14197</v>
      </c>
      <c r="D5518" s="709" t="s">
        <v>136</v>
      </c>
      <c r="E5518" s="711">
        <v>0.2994</v>
      </c>
    </row>
    <row r="5519" spans="1:5" x14ac:dyDescent="0.3">
      <c r="A5519" s="397"/>
      <c r="B5519" s="709">
        <v>92356</v>
      </c>
      <c r="C5519" s="710" t="s">
        <v>14198</v>
      </c>
      <c r="D5519" s="709" t="s">
        <v>136</v>
      </c>
      <c r="E5519" s="711">
        <v>0.59060000000000001</v>
      </c>
    </row>
    <row r="5520" spans="1:5" x14ac:dyDescent="0.3">
      <c r="A5520" s="397"/>
      <c r="B5520" s="709">
        <v>92357</v>
      </c>
      <c r="C5520" s="710" t="s">
        <v>14199</v>
      </c>
      <c r="D5520" s="709" t="s">
        <v>136</v>
      </c>
      <c r="E5520" s="711">
        <v>0.44879999999999998</v>
      </c>
    </row>
    <row r="5521" spans="1:5" x14ac:dyDescent="0.3">
      <c r="A5521" s="397"/>
      <c r="B5521" s="709">
        <v>92358</v>
      </c>
      <c r="C5521" s="710" t="s">
        <v>14200</v>
      </c>
      <c r="D5521" s="709" t="s">
        <v>136</v>
      </c>
      <c r="E5521" s="711">
        <v>0.39250000000000002</v>
      </c>
    </row>
    <row r="5522" spans="1:5" x14ac:dyDescent="0.3">
      <c r="A5522" s="397"/>
      <c r="B5522" s="709">
        <v>101919</v>
      </c>
      <c r="C5522" s="710" t="s">
        <v>14201</v>
      </c>
      <c r="D5522" s="709" t="s">
        <v>136</v>
      </c>
      <c r="E5522" s="711">
        <v>0.13880000000000001</v>
      </c>
    </row>
    <row r="5523" spans="1:5" x14ac:dyDescent="0.3">
      <c r="A5523" s="397"/>
      <c r="B5523" s="709">
        <v>101928</v>
      </c>
      <c r="C5523" s="710" t="s">
        <v>14202</v>
      </c>
      <c r="D5523" s="709" t="s">
        <v>136</v>
      </c>
      <c r="E5523" s="711">
        <v>0.159</v>
      </c>
    </row>
    <row r="5524" spans="1:5" x14ac:dyDescent="0.3">
      <c r="A5524" s="397"/>
      <c r="B5524" s="709">
        <v>92904</v>
      </c>
      <c r="C5524" s="710" t="s">
        <v>14203</v>
      </c>
      <c r="D5524" s="709" t="s">
        <v>136</v>
      </c>
      <c r="E5524" s="711">
        <v>0.32419999999999999</v>
      </c>
    </row>
    <row r="5525" spans="1:5" x14ac:dyDescent="0.3">
      <c r="A5525" s="397"/>
      <c r="B5525" s="709">
        <v>92905</v>
      </c>
      <c r="C5525" s="710" t="s">
        <v>14204</v>
      </c>
      <c r="D5525" s="709" t="s">
        <v>136</v>
      </c>
      <c r="E5525" s="711">
        <v>0.38350000000000001</v>
      </c>
    </row>
    <row r="5526" spans="1:5" x14ac:dyDescent="0.3">
      <c r="A5526" s="397"/>
      <c r="B5526" s="709">
        <v>92906</v>
      </c>
      <c r="C5526" s="710" t="s">
        <v>14205</v>
      </c>
      <c r="D5526" s="709" t="s">
        <v>136</v>
      </c>
      <c r="E5526" s="711">
        <v>0.49399999999999999</v>
      </c>
    </row>
    <row r="5527" spans="1:5" x14ac:dyDescent="0.3">
      <c r="A5527" s="397"/>
      <c r="B5527" s="709">
        <v>92898</v>
      </c>
      <c r="C5527" s="710" t="s">
        <v>14206</v>
      </c>
      <c r="D5527" s="709" t="s">
        <v>136</v>
      </c>
      <c r="E5527" s="711">
        <v>0.37659999999999999</v>
      </c>
    </row>
    <row r="5528" spans="1:5" x14ac:dyDescent="0.3">
      <c r="A5528" s="397"/>
      <c r="B5528" s="709">
        <v>92899</v>
      </c>
      <c r="C5528" s="710" t="s">
        <v>14207</v>
      </c>
      <c r="D5528" s="709" t="s">
        <v>136</v>
      </c>
      <c r="E5528" s="711">
        <v>0.28510000000000002</v>
      </c>
    </row>
    <row r="5529" spans="1:5" x14ac:dyDescent="0.3">
      <c r="A5529" s="397"/>
      <c r="B5529" s="709">
        <v>92900</v>
      </c>
      <c r="C5529" s="710" t="s">
        <v>14208</v>
      </c>
      <c r="D5529" s="709" t="s">
        <v>136</v>
      </c>
      <c r="E5529" s="711">
        <v>0.26150000000000001</v>
      </c>
    </row>
    <row r="5530" spans="1:5" x14ac:dyDescent="0.3">
      <c r="A5530" s="397"/>
      <c r="B5530" s="709">
        <v>92901</v>
      </c>
      <c r="C5530" s="710" t="s">
        <v>14209</v>
      </c>
      <c r="D5530" s="709" t="s">
        <v>136</v>
      </c>
      <c r="E5530" s="711">
        <v>0.21229999999999999</v>
      </c>
    </row>
    <row r="5531" spans="1:5" x14ac:dyDescent="0.3">
      <c r="A5531" s="397"/>
      <c r="B5531" s="709">
        <v>92902</v>
      </c>
      <c r="C5531" s="710" t="s">
        <v>14210</v>
      </c>
      <c r="D5531" s="709" t="s">
        <v>136</v>
      </c>
      <c r="E5531" s="711">
        <v>0.159</v>
      </c>
    </row>
    <row r="5532" spans="1:5" x14ac:dyDescent="0.3">
      <c r="A5532" s="397"/>
      <c r="B5532" s="709">
        <v>92903</v>
      </c>
      <c r="C5532" s="710" t="s">
        <v>14211</v>
      </c>
      <c r="D5532" s="709" t="s">
        <v>136</v>
      </c>
      <c r="E5532" s="711">
        <v>0.122</v>
      </c>
    </row>
    <row r="5533" spans="1:5" x14ac:dyDescent="0.3">
      <c r="A5533" s="397"/>
      <c r="B5533" s="709">
        <v>92892</v>
      </c>
      <c r="C5533" s="710" t="s">
        <v>14212</v>
      </c>
      <c r="D5533" s="709" t="s">
        <v>136</v>
      </c>
      <c r="E5533" s="711">
        <v>0.48270000000000002</v>
      </c>
    </row>
    <row r="5534" spans="1:5" x14ac:dyDescent="0.3">
      <c r="A5534" s="397"/>
      <c r="B5534" s="709">
        <v>92893</v>
      </c>
      <c r="C5534" s="710" t="s">
        <v>14213</v>
      </c>
      <c r="D5534" s="709" t="s">
        <v>136</v>
      </c>
      <c r="E5534" s="711">
        <v>0.38390000000000002</v>
      </c>
    </row>
    <row r="5535" spans="1:5" x14ac:dyDescent="0.3">
      <c r="A5535" s="397"/>
      <c r="B5535" s="709">
        <v>92894</v>
      </c>
      <c r="C5535" s="710" t="s">
        <v>14214</v>
      </c>
      <c r="D5535" s="709" t="s">
        <v>136</v>
      </c>
      <c r="E5535" s="711">
        <v>0.35859999999999997</v>
      </c>
    </row>
    <row r="5536" spans="1:5" x14ac:dyDescent="0.3">
      <c r="A5536" s="397"/>
      <c r="B5536" s="709">
        <v>92889</v>
      </c>
      <c r="C5536" s="710" t="s">
        <v>14215</v>
      </c>
      <c r="D5536" s="709" t="s">
        <v>136</v>
      </c>
      <c r="E5536" s="711">
        <v>0.32179999999999997</v>
      </c>
    </row>
    <row r="5537" spans="1:5" x14ac:dyDescent="0.3">
      <c r="A5537" s="397"/>
      <c r="B5537" s="709">
        <v>92895</v>
      </c>
      <c r="C5537" s="710" t="s">
        <v>14216</v>
      </c>
      <c r="D5537" s="709" t="s">
        <v>136</v>
      </c>
      <c r="E5537" s="711">
        <v>0.3009</v>
      </c>
    </row>
    <row r="5538" spans="1:5" x14ac:dyDescent="0.3">
      <c r="A5538" s="397"/>
      <c r="B5538" s="709">
        <v>92890</v>
      </c>
      <c r="C5538" s="710" t="s">
        <v>14217</v>
      </c>
      <c r="D5538" s="709" t="s">
        <v>136</v>
      </c>
      <c r="E5538" s="711">
        <v>0.2344</v>
      </c>
    </row>
    <row r="5539" spans="1:5" x14ac:dyDescent="0.3">
      <c r="A5539" s="397"/>
      <c r="B5539" s="709">
        <v>92896</v>
      </c>
      <c r="C5539" s="710" t="s">
        <v>14218</v>
      </c>
      <c r="D5539" s="709" t="s">
        <v>136</v>
      </c>
      <c r="E5539" s="711">
        <v>0.2341</v>
      </c>
    </row>
    <row r="5540" spans="1:5" x14ac:dyDescent="0.3">
      <c r="A5540" s="397"/>
      <c r="B5540" s="709">
        <v>92891</v>
      </c>
      <c r="C5540" s="710" t="s">
        <v>14219</v>
      </c>
      <c r="D5540" s="709" t="s">
        <v>136</v>
      </c>
      <c r="E5540" s="711">
        <v>0.1736</v>
      </c>
    </row>
    <row r="5541" spans="1:5" x14ac:dyDescent="0.3">
      <c r="A5541" s="397"/>
      <c r="B5541" s="709">
        <v>92897</v>
      </c>
      <c r="C5541" s="710" t="s">
        <v>14220</v>
      </c>
      <c r="D5541" s="709" t="s">
        <v>136</v>
      </c>
      <c r="E5541" s="711">
        <v>0.1847</v>
      </c>
    </row>
    <row r="5542" spans="1:5" x14ac:dyDescent="0.3">
      <c r="A5542" s="397"/>
      <c r="B5542" s="709">
        <v>100799</v>
      </c>
      <c r="C5542" s="710" t="s">
        <v>5621</v>
      </c>
      <c r="D5542" s="709" t="s">
        <v>159</v>
      </c>
      <c r="E5542" s="711">
        <v>0.3891</v>
      </c>
    </row>
    <row r="5543" spans="1:5" x14ac:dyDescent="0.3">
      <c r="A5543" s="397"/>
      <c r="B5543" s="709">
        <v>100807</v>
      </c>
      <c r="C5543" s="710" t="s">
        <v>5622</v>
      </c>
      <c r="D5543" s="709" t="s">
        <v>159</v>
      </c>
      <c r="E5543" s="711">
        <v>0.51939999999999997</v>
      </c>
    </row>
    <row r="5544" spans="1:5" x14ac:dyDescent="0.3">
      <c r="A5544" s="397"/>
      <c r="B5544" s="709">
        <v>100800</v>
      </c>
      <c r="C5544" s="710" t="s">
        <v>5623</v>
      </c>
      <c r="D5544" s="709" t="s">
        <v>159</v>
      </c>
      <c r="E5544" s="711">
        <v>0.31359999999999999</v>
      </c>
    </row>
    <row r="5545" spans="1:5" x14ac:dyDescent="0.3">
      <c r="A5545" s="397"/>
      <c r="B5545" s="709">
        <v>100808</v>
      </c>
      <c r="C5545" s="710" t="s">
        <v>5624</v>
      </c>
      <c r="D5545" s="709" t="s">
        <v>159</v>
      </c>
      <c r="E5545" s="711">
        <v>0.43769999999999998</v>
      </c>
    </row>
    <row r="5546" spans="1:5" x14ac:dyDescent="0.3">
      <c r="A5546" s="397"/>
      <c r="B5546" s="709">
        <v>100801</v>
      </c>
      <c r="C5546" s="710" t="s">
        <v>5625</v>
      </c>
      <c r="D5546" s="709" t="s">
        <v>159</v>
      </c>
      <c r="E5546" s="711">
        <v>0.28139999999999998</v>
      </c>
    </row>
    <row r="5547" spans="1:5" x14ac:dyDescent="0.3">
      <c r="A5547" s="397"/>
      <c r="B5547" s="709">
        <v>100809</v>
      </c>
      <c r="C5547" s="710" t="s">
        <v>5626</v>
      </c>
      <c r="D5547" s="709" t="s">
        <v>159</v>
      </c>
      <c r="E5547" s="711">
        <v>0.40110000000000001</v>
      </c>
    </row>
    <row r="5548" spans="1:5" x14ac:dyDescent="0.3">
      <c r="A5548" s="397"/>
      <c r="B5548" s="709">
        <v>100802</v>
      </c>
      <c r="C5548" s="710" t="s">
        <v>5627</v>
      </c>
      <c r="D5548" s="709" t="s">
        <v>159</v>
      </c>
      <c r="E5548" s="711">
        <v>0.25519999999999998</v>
      </c>
    </row>
    <row r="5549" spans="1:5" x14ac:dyDescent="0.3">
      <c r="A5549" s="397"/>
      <c r="B5549" s="709">
        <v>100810</v>
      </c>
      <c r="C5549" s="710" t="s">
        <v>5628</v>
      </c>
      <c r="D5549" s="709" t="s">
        <v>159</v>
      </c>
      <c r="E5549" s="711">
        <v>0.37009999999999998</v>
      </c>
    </row>
    <row r="5550" spans="1:5" x14ac:dyDescent="0.3">
      <c r="A5550" s="397"/>
      <c r="B5550" s="709">
        <v>100791</v>
      </c>
      <c r="C5550" s="710" t="s">
        <v>5629</v>
      </c>
      <c r="D5550" s="709" t="s">
        <v>159</v>
      </c>
      <c r="E5550" s="711">
        <v>0.37459999999999999</v>
      </c>
    </row>
    <row r="5551" spans="1:5" x14ac:dyDescent="0.3">
      <c r="A5551" s="397"/>
      <c r="B5551" s="709">
        <v>100803</v>
      </c>
      <c r="C5551" s="710" t="s">
        <v>5630</v>
      </c>
      <c r="D5551" s="709" t="s">
        <v>159</v>
      </c>
      <c r="E5551" s="711">
        <v>0.34260000000000002</v>
      </c>
    </row>
    <row r="5552" spans="1:5" x14ac:dyDescent="0.3">
      <c r="A5552" s="397"/>
      <c r="B5552" s="709">
        <v>100792</v>
      </c>
      <c r="C5552" s="710" t="s">
        <v>5631</v>
      </c>
      <c r="D5552" s="709" t="s">
        <v>159</v>
      </c>
      <c r="E5552" s="711">
        <v>0.30249999999999999</v>
      </c>
    </row>
    <row r="5553" spans="1:5" x14ac:dyDescent="0.3">
      <c r="A5553" s="397"/>
      <c r="B5553" s="709">
        <v>100804</v>
      </c>
      <c r="C5553" s="710" t="s">
        <v>5632</v>
      </c>
      <c r="D5553" s="709" t="s">
        <v>159</v>
      </c>
      <c r="E5553" s="711">
        <v>0.27400000000000002</v>
      </c>
    </row>
    <row r="5554" spans="1:5" x14ac:dyDescent="0.3">
      <c r="A5554" s="397"/>
      <c r="B5554" s="709">
        <v>100793</v>
      </c>
      <c r="C5554" s="710" t="s">
        <v>5633</v>
      </c>
      <c r="D5554" s="709" t="s">
        <v>159</v>
      </c>
      <c r="E5554" s="711">
        <v>0.2727</v>
      </c>
    </row>
    <row r="5555" spans="1:5" x14ac:dyDescent="0.3">
      <c r="A5555" s="397"/>
      <c r="B5555" s="709">
        <v>100805</v>
      </c>
      <c r="C5555" s="710" t="s">
        <v>5634</v>
      </c>
      <c r="D5555" s="709" t="s">
        <v>159</v>
      </c>
      <c r="E5555" s="711">
        <v>0.24590000000000001</v>
      </c>
    </row>
    <row r="5556" spans="1:5" x14ac:dyDescent="0.3">
      <c r="A5556" s="397"/>
      <c r="B5556" s="709">
        <v>100794</v>
      </c>
      <c r="C5556" s="710" t="s">
        <v>5635</v>
      </c>
      <c r="D5556" s="709" t="s">
        <v>159</v>
      </c>
      <c r="E5556" s="711">
        <v>0.2485</v>
      </c>
    </row>
    <row r="5557" spans="1:5" x14ac:dyDescent="0.3">
      <c r="A5557" s="397"/>
      <c r="B5557" s="709">
        <v>100806</v>
      </c>
      <c r="C5557" s="710" t="s">
        <v>5636</v>
      </c>
      <c r="D5557" s="709" t="s">
        <v>159</v>
      </c>
      <c r="E5557" s="711">
        <v>0.22339999999999999</v>
      </c>
    </row>
    <row r="5558" spans="1:5" x14ac:dyDescent="0.3">
      <c r="A5558" s="397"/>
      <c r="B5558" s="709">
        <v>103247</v>
      </c>
      <c r="C5558" s="710" t="s">
        <v>15891</v>
      </c>
      <c r="D5558" s="709" t="s">
        <v>136</v>
      </c>
      <c r="E5558" s="711">
        <v>5.4100000000000002E-2</v>
      </c>
    </row>
    <row r="5559" spans="1:5" x14ac:dyDescent="0.3">
      <c r="A5559" s="397"/>
      <c r="B5559" s="709">
        <v>103250</v>
      </c>
      <c r="C5559" s="710" t="s">
        <v>15892</v>
      </c>
      <c r="D5559" s="709" t="s">
        <v>136</v>
      </c>
      <c r="E5559" s="711">
        <v>3.9300000000000002E-2</v>
      </c>
    </row>
    <row r="5560" spans="1:5" x14ac:dyDescent="0.3">
      <c r="A5560" s="397"/>
      <c r="B5560" s="709">
        <v>103253</v>
      </c>
      <c r="C5560" s="710" t="s">
        <v>15893</v>
      </c>
      <c r="D5560" s="709" t="s">
        <v>136</v>
      </c>
      <c r="E5560" s="711">
        <v>2.9399999999999999E-2</v>
      </c>
    </row>
    <row r="5561" spans="1:5" x14ac:dyDescent="0.3">
      <c r="A5561" s="397"/>
      <c r="B5561" s="709">
        <v>103244</v>
      </c>
      <c r="C5561" s="710" t="s">
        <v>15894</v>
      </c>
      <c r="D5561" s="709" t="s">
        <v>136</v>
      </c>
      <c r="E5561" s="711">
        <v>0.06</v>
      </c>
    </row>
    <row r="5562" spans="1:5" x14ac:dyDescent="0.3">
      <c r="A5562" s="397"/>
      <c r="B5562" s="709">
        <v>103256</v>
      </c>
      <c r="C5562" s="710" t="s">
        <v>15895</v>
      </c>
      <c r="D5562" s="709" t="s">
        <v>136</v>
      </c>
      <c r="E5562" s="711">
        <v>2.2800000000000001E-2</v>
      </c>
    </row>
    <row r="5563" spans="1:5" x14ac:dyDescent="0.3">
      <c r="A5563" s="397"/>
      <c r="B5563" s="709">
        <v>103258</v>
      </c>
      <c r="C5563" s="710" t="s">
        <v>15896</v>
      </c>
      <c r="D5563" s="709" t="s">
        <v>136</v>
      </c>
      <c r="E5563" s="711">
        <v>2.06E-2</v>
      </c>
    </row>
    <row r="5564" spans="1:5" x14ac:dyDescent="0.3">
      <c r="A5564" s="397"/>
      <c r="B5564" s="709">
        <v>103260</v>
      </c>
      <c r="C5564" s="710" t="s">
        <v>15897</v>
      </c>
      <c r="D5564" s="709" t="s">
        <v>136</v>
      </c>
      <c r="E5564" s="711">
        <v>3.7499999999999999E-2</v>
      </c>
    </row>
    <row r="5565" spans="1:5" x14ac:dyDescent="0.3">
      <c r="A5565" s="397"/>
      <c r="B5565" s="709">
        <v>103261</v>
      </c>
      <c r="C5565" s="710" t="s">
        <v>15898</v>
      </c>
      <c r="D5565" s="709" t="s">
        <v>136</v>
      </c>
      <c r="E5565" s="711">
        <v>1.9800000000000002E-2</v>
      </c>
    </row>
    <row r="5566" spans="1:5" x14ac:dyDescent="0.3">
      <c r="A5566" s="397"/>
      <c r="B5566" s="709">
        <v>107244</v>
      </c>
      <c r="C5566" s="710" t="s">
        <v>15899</v>
      </c>
      <c r="D5566" s="709" t="s">
        <v>136</v>
      </c>
      <c r="E5566" s="711">
        <v>2.5700000000000001E-2</v>
      </c>
    </row>
    <row r="5567" spans="1:5" x14ac:dyDescent="0.3">
      <c r="A5567" s="397"/>
      <c r="B5567" s="709">
        <v>103263</v>
      </c>
      <c r="C5567" s="710" t="s">
        <v>15900</v>
      </c>
      <c r="D5567" s="709" t="s">
        <v>136</v>
      </c>
      <c r="E5567" s="711">
        <v>1.9099999999999999E-2</v>
      </c>
    </row>
    <row r="5568" spans="1:5" x14ac:dyDescent="0.3">
      <c r="A5568" s="397"/>
      <c r="B5568" s="709">
        <v>103265</v>
      </c>
      <c r="C5568" s="710" t="s">
        <v>15901</v>
      </c>
      <c r="D5568" s="709" t="s">
        <v>136</v>
      </c>
      <c r="E5568" s="711">
        <v>1.5800000000000002E-2</v>
      </c>
    </row>
    <row r="5569" spans="1:5" x14ac:dyDescent="0.3">
      <c r="A5569" s="397"/>
      <c r="B5569" s="709">
        <v>103268</v>
      </c>
      <c r="C5569" s="710" t="s">
        <v>15902</v>
      </c>
      <c r="D5569" s="709" t="s">
        <v>136</v>
      </c>
      <c r="E5569" s="711">
        <v>3.0599999999999999E-2</v>
      </c>
    </row>
    <row r="5570" spans="1:5" x14ac:dyDescent="0.3">
      <c r="A5570" s="397"/>
      <c r="B5570" s="709">
        <v>103270</v>
      </c>
      <c r="C5570" s="710" t="s">
        <v>15903</v>
      </c>
      <c r="D5570" s="709" t="s">
        <v>136</v>
      </c>
      <c r="E5570" s="711">
        <v>2.93E-2</v>
      </c>
    </row>
    <row r="5571" spans="1:5" x14ac:dyDescent="0.3">
      <c r="A5571" s="397"/>
      <c r="B5571" s="709">
        <v>103272</v>
      </c>
      <c r="C5571" s="710" t="s">
        <v>15904</v>
      </c>
      <c r="D5571" s="709" t="s">
        <v>136</v>
      </c>
      <c r="E5571" s="711">
        <v>2.35E-2</v>
      </c>
    </row>
    <row r="5572" spans="1:5" x14ac:dyDescent="0.3">
      <c r="A5572" s="397"/>
      <c r="B5572" s="709">
        <v>107247</v>
      </c>
      <c r="C5572" s="710" t="s">
        <v>15905</v>
      </c>
      <c r="D5572" s="709" t="s">
        <v>136</v>
      </c>
      <c r="E5572" s="711">
        <v>2.9899999999999999E-2</v>
      </c>
    </row>
    <row r="5573" spans="1:5" x14ac:dyDescent="0.3">
      <c r="A5573" s="397"/>
      <c r="B5573" s="709">
        <v>103274</v>
      </c>
      <c r="C5573" s="710" t="s">
        <v>15906</v>
      </c>
      <c r="D5573" s="709" t="s">
        <v>136</v>
      </c>
      <c r="E5573" s="711">
        <v>2.5999999999999999E-2</v>
      </c>
    </row>
    <row r="5574" spans="1:5" x14ac:dyDescent="0.3">
      <c r="A5574" s="397"/>
      <c r="B5574" s="709">
        <v>103276</v>
      </c>
      <c r="C5574" s="710" t="s">
        <v>15907</v>
      </c>
      <c r="D5574" s="709" t="s">
        <v>136</v>
      </c>
      <c r="E5574" s="711">
        <v>2.4899999999999999E-2</v>
      </c>
    </row>
    <row r="5575" spans="1:5" x14ac:dyDescent="0.3">
      <c r="A5575" s="397"/>
      <c r="B5575" s="709">
        <v>103267</v>
      </c>
      <c r="C5575" s="710" t="s">
        <v>15908</v>
      </c>
      <c r="D5575" s="709" t="s">
        <v>136</v>
      </c>
      <c r="E5575" s="711">
        <v>3.6400000000000002E-2</v>
      </c>
    </row>
    <row r="5576" spans="1:5" x14ac:dyDescent="0.3">
      <c r="A5576" s="397"/>
      <c r="B5576" s="709">
        <v>103269</v>
      </c>
      <c r="C5576" s="710" t="s">
        <v>15909</v>
      </c>
      <c r="D5576" s="709" t="s">
        <v>136</v>
      </c>
      <c r="E5576" s="711">
        <v>3.04E-2</v>
      </c>
    </row>
    <row r="5577" spans="1:5" x14ac:dyDescent="0.3">
      <c r="A5577" s="397"/>
      <c r="B5577" s="709">
        <v>103271</v>
      </c>
      <c r="C5577" s="710" t="s">
        <v>15910</v>
      </c>
      <c r="D5577" s="709" t="s">
        <v>136</v>
      </c>
      <c r="E5577" s="711">
        <v>2.4299999999999999E-2</v>
      </c>
    </row>
    <row r="5578" spans="1:5" x14ac:dyDescent="0.3">
      <c r="A5578" s="397"/>
      <c r="B5578" s="709">
        <v>107246</v>
      </c>
      <c r="C5578" s="710" t="s">
        <v>15911</v>
      </c>
      <c r="D5578" s="709" t="s">
        <v>136</v>
      </c>
      <c r="E5578" s="711">
        <v>3.09E-2</v>
      </c>
    </row>
    <row r="5579" spans="1:5" x14ac:dyDescent="0.3">
      <c r="A5579" s="397"/>
      <c r="B5579" s="709">
        <v>103273</v>
      </c>
      <c r="C5579" s="710" t="s">
        <v>15912</v>
      </c>
      <c r="D5579" s="709" t="s">
        <v>136</v>
      </c>
      <c r="E5579" s="711">
        <v>2.98E-2</v>
      </c>
    </row>
    <row r="5580" spans="1:5" x14ac:dyDescent="0.3">
      <c r="A5580" s="397"/>
      <c r="B5580" s="709">
        <v>103275</v>
      </c>
      <c r="C5580" s="710" t="s">
        <v>15913</v>
      </c>
      <c r="D5580" s="709" t="s">
        <v>136</v>
      </c>
      <c r="E5580" s="711">
        <v>2.6200000000000001E-2</v>
      </c>
    </row>
    <row r="5581" spans="1:5" x14ac:dyDescent="0.3">
      <c r="A5581" s="397"/>
      <c r="B5581" s="709">
        <v>103248</v>
      </c>
      <c r="C5581" s="710" t="s">
        <v>15914</v>
      </c>
      <c r="D5581" s="709" t="s">
        <v>136</v>
      </c>
      <c r="E5581" s="711">
        <v>6.6100000000000006E-2</v>
      </c>
    </row>
    <row r="5582" spans="1:5" x14ac:dyDescent="0.3">
      <c r="A5582" s="397"/>
      <c r="B5582" s="709">
        <v>103249</v>
      </c>
      <c r="C5582" s="710" t="s">
        <v>15915</v>
      </c>
      <c r="D5582" s="709" t="s">
        <v>136</v>
      </c>
      <c r="E5582" s="711">
        <v>6.1499999999999999E-2</v>
      </c>
    </row>
    <row r="5583" spans="1:5" x14ac:dyDescent="0.3">
      <c r="A5583" s="397"/>
      <c r="B5583" s="709">
        <v>103251</v>
      </c>
      <c r="C5583" s="710" t="s">
        <v>15916</v>
      </c>
      <c r="D5583" s="709" t="s">
        <v>136</v>
      </c>
      <c r="E5583" s="711">
        <v>4.9700000000000001E-2</v>
      </c>
    </row>
    <row r="5584" spans="1:5" x14ac:dyDescent="0.3">
      <c r="A5584" s="397"/>
      <c r="B5584" s="709">
        <v>103252</v>
      </c>
      <c r="C5584" s="710" t="s">
        <v>15917</v>
      </c>
      <c r="D5584" s="709" t="s">
        <v>136</v>
      </c>
      <c r="E5584" s="711">
        <v>4.4900000000000002E-2</v>
      </c>
    </row>
    <row r="5585" spans="1:5" x14ac:dyDescent="0.3">
      <c r="A5585" s="397"/>
      <c r="B5585" s="709">
        <v>103254</v>
      </c>
      <c r="C5585" s="710" t="s">
        <v>15918</v>
      </c>
      <c r="D5585" s="709" t="s">
        <v>136</v>
      </c>
      <c r="E5585" s="711">
        <v>3.9300000000000002E-2</v>
      </c>
    </row>
    <row r="5586" spans="1:5" x14ac:dyDescent="0.3">
      <c r="A5586" s="397"/>
      <c r="B5586" s="709">
        <v>103255</v>
      </c>
      <c r="C5586" s="710" t="s">
        <v>15919</v>
      </c>
      <c r="D5586" s="709" t="s">
        <v>136</v>
      </c>
      <c r="E5586" s="711">
        <v>3.5099999999999999E-2</v>
      </c>
    </row>
    <row r="5587" spans="1:5" x14ac:dyDescent="0.3">
      <c r="A5587" s="397"/>
      <c r="B5587" s="709">
        <v>103245</v>
      </c>
      <c r="C5587" s="710" t="s">
        <v>15920</v>
      </c>
      <c r="D5587" s="709" t="s">
        <v>136</v>
      </c>
      <c r="E5587" s="711">
        <v>7.5899999999999995E-2</v>
      </c>
    </row>
    <row r="5588" spans="1:5" x14ac:dyDescent="0.3">
      <c r="A5588" s="397"/>
      <c r="B5588" s="709">
        <v>103246</v>
      </c>
      <c r="C5588" s="710" t="s">
        <v>15921</v>
      </c>
      <c r="D5588" s="709" t="s">
        <v>136</v>
      </c>
      <c r="E5588" s="711">
        <v>6.9599999999999995E-2</v>
      </c>
    </row>
    <row r="5589" spans="1:5" x14ac:dyDescent="0.3">
      <c r="A5589" s="397"/>
      <c r="B5589" s="709">
        <v>103257</v>
      </c>
      <c r="C5589" s="710" t="s">
        <v>15922</v>
      </c>
      <c r="D5589" s="709" t="s">
        <v>136</v>
      </c>
      <c r="E5589" s="711">
        <v>3.9899999999999998E-2</v>
      </c>
    </row>
    <row r="5590" spans="1:5" x14ac:dyDescent="0.3">
      <c r="A5590" s="397"/>
      <c r="B5590" s="709">
        <v>103259</v>
      </c>
      <c r="C5590" s="710" t="s">
        <v>15923</v>
      </c>
      <c r="D5590" s="709" t="s">
        <v>136</v>
      </c>
      <c r="E5590" s="711">
        <v>3.8300000000000001E-2</v>
      </c>
    </row>
    <row r="5591" spans="1:5" x14ac:dyDescent="0.3">
      <c r="A5591" s="397"/>
      <c r="B5591" s="709">
        <v>103262</v>
      </c>
      <c r="C5591" s="710" t="s">
        <v>15924</v>
      </c>
      <c r="D5591" s="709" t="s">
        <v>136</v>
      </c>
      <c r="E5591" s="711">
        <v>3.15E-2</v>
      </c>
    </row>
    <row r="5592" spans="1:5" x14ac:dyDescent="0.3">
      <c r="A5592" s="397"/>
      <c r="B5592" s="709">
        <v>107245</v>
      </c>
      <c r="C5592" s="710" t="s">
        <v>15925</v>
      </c>
      <c r="D5592" s="709" t="s">
        <v>136</v>
      </c>
      <c r="E5592" s="711">
        <v>4.0300000000000002E-2</v>
      </c>
    </row>
    <row r="5593" spans="1:5" x14ac:dyDescent="0.3">
      <c r="A5593" s="397"/>
      <c r="B5593" s="709">
        <v>103264</v>
      </c>
      <c r="C5593" s="710" t="s">
        <v>15926</v>
      </c>
      <c r="D5593" s="709" t="s">
        <v>136</v>
      </c>
      <c r="E5593" s="711">
        <v>3.39E-2</v>
      </c>
    </row>
    <row r="5594" spans="1:5" x14ac:dyDescent="0.3">
      <c r="A5594" s="397"/>
      <c r="B5594" s="709">
        <v>103266</v>
      </c>
      <c r="C5594" s="710" t="s">
        <v>15927</v>
      </c>
      <c r="D5594" s="709" t="s">
        <v>136</v>
      </c>
      <c r="E5594" s="711">
        <v>3.04E-2</v>
      </c>
    </row>
    <row r="5595" spans="1:5" x14ac:dyDescent="0.3">
      <c r="A5595" s="397"/>
      <c r="B5595" s="709">
        <v>103277</v>
      </c>
      <c r="C5595" s="710" t="s">
        <v>15928</v>
      </c>
      <c r="D5595" s="709" t="s">
        <v>136</v>
      </c>
      <c r="E5595" s="711">
        <v>1.4500000000000001E-2</v>
      </c>
    </row>
    <row r="5596" spans="1:5" x14ac:dyDescent="0.3">
      <c r="A5596" s="397"/>
      <c r="B5596" s="709">
        <v>103278</v>
      </c>
      <c r="C5596" s="710" t="s">
        <v>15929</v>
      </c>
      <c r="D5596" s="709" t="s">
        <v>136</v>
      </c>
      <c r="E5596" s="711">
        <v>1.14E-2</v>
      </c>
    </row>
    <row r="5597" spans="1:5" x14ac:dyDescent="0.3">
      <c r="A5597" s="397"/>
      <c r="B5597" s="709">
        <v>107237</v>
      </c>
      <c r="C5597" s="710" t="s">
        <v>15930</v>
      </c>
      <c r="D5597" s="709" t="s">
        <v>136</v>
      </c>
      <c r="E5597" s="711">
        <v>8.2000000000000007E-3</v>
      </c>
    </row>
    <row r="5598" spans="1:5" x14ac:dyDescent="0.3">
      <c r="A5598" s="397"/>
      <c r="B5598" s="709">
        <v>107243</v>
      </c>
      <c r="C5598" s="710" t="s">
        <v>15931</v>
      </c>
      <c r="D5598" s="709" t="s">
        <v>159</v>
      </c>
      <c r="E5598" s="711">
        <v>1</v>
      </c>
    </row>
    <row r="5599" spans="1:5" x14ac:dyDescent="0.3">
      <c r="A5599" s="397"/>
      <c r="B5599" s="709">
        <v>107241</v>
      </c>
      <c r="C5599" s="710" t="s">
        <v>15932</v>
      </c>
      <c r="D5599" s="709" t="s">
        <v>159</v>
      </c>
      <c r="E5599" s="711">
        <v>1</v>
      </c>
    </row>
    <row r="5600" spans="1:5" x14ac:dyDescent="0.3">
      <c r="A5600" s="397"/>
      <c r="B5600" s="709">
        <v>107242</v>
      </c>
      <c r="C5600" s="710" t="s">
        <v>15933</v>
      </c>
      <c r="D5600" s="709" t="s">
        <v>159</v>
      </c>
      <c r="E5600" s="711">
        <v>1</v>
      </c>
    </row>
    <row r="5601" spans="1:5" x14ac:dyDescent="0.3">
      <c r="A5601" s="397"/>
      <c r="B5601" s="709">
        <v>107239</v>
      </c>
      <c r="C5601" s="710" t="s">
        <v>15934</v>
      </c>
      <c r="D5601" s="709" t="s">
        <v>136</v>
      </c>
      <c r="E5601" s="711">
        <v>1</v>
      </c>
    </row>
    <row r="5602" spans="1:5" x14ac:dyDescent="0.3">
      <c r="A5602" s="397"/>
      <c r="B5602" s="709">
        <v>106044</v>
      </c>
      <c r="C5602" s="710" t="s">
        <v>5641</v>
      </c>
      <c r="D5602" s="709" t="s">
        <v>136</v>
      </c>
      <c r="E5602" s="711">
        <v>0.5948</v>
      </c>
    </row>
    <row r="5603" spans="1:5" x14ac:dyDescent="0.3">
      <c r="A5603" s="397"/>
      <c r="B5603" s="709">
        <v>106045</v>
      </c>
      <c r="C5603" s="710" t="s">
        <v>5642</v>
      </c>
      <c r="D5603" s="709" t="s">
        <v>136</v>
      </c>
      <c r="E5603" s="711">
        <v>0.313</v>
      </c>
    </row>
    <row r="5604" spans="1:5" x14ac:dyDescent="0.3">
      <c r="A5604" s="397"/>
      <c r="B5604" s="709">
        <v>106042</v>
      </c>
      <c r="C5604" s="710" t="s">
        <v>5643</v>
      </c>
      <c r="D5604" s="709" t="s">
        <v>136</v>
      </c>
      <c r="E5604" s="711">
        <v>0.5746</v>
      </c>
    </row>
    <row r="5605" spans="1:5" x14ac:dyDescent="0.3">
      <c r="A5605" s="397"/>
      <c r="B5605" s="709">
        <v>106043</v>
      </c>
      <c r="C5605" s="710" t="s">
        <v>5644</v>
      </c>
      <c r="D5605" s="709" t="s">
        <v>136</v>
      </c>
      <c r="E5605" s="711">
        <v>0.3624</v>
      </c>
    </row>
    <row r="5606" spans="1:5" x14ac:dyDescent="0.3">
      <c r="A5606" s="397"/>
      <c r="B5606" s="709">
        <v>106046</v>
      </c>
      <c r="C5606" s="710" t="s">
        <v>5645</v>
      </c>
      <c r="D5606" s="709" t="s">
        <v>136</v>
      </c>
      <c r="E5606" s="711">
        <v>0.60109999999999997</v>
      </c>
    </row>
    <row r="5607" spans="1:5" x14ac:dyDescent="0.3">
      <c r="A5607" s="397"/>
      <c r="B5607" s="709">
        <v>106047</v>
      </c>
      <c r="C5607" s="710" t="s">
        <v>5646</v>
      </c>
      <c r="D5607" s="709" t="s">
        <v>136</v>
      </c>
      <c r="E5607" s="711">
        <v>0.40560000000000002</v>
      </c>
    </row>
    <row r="5608" spans="1:5" x14ac:dyDescent="0.3">
      <c r="A5608" s="397"/>
      <c r="B5608" s="709">
        <v>106038</v>
      </c>
      <c r="C5608" s="710" t="s">
        <v>5647</v>
      </c>
      <c r="D5608" s="709" t="s">
        <v>136</v>
      </c>
      <c r="E5608" s="711">
        <v>0.9234</v>
      </c>
    </row>
    <row r="5609" spans="1:5" x14ac:dyDescent="0.3">
      <c r="A5609" s="397"/>
      <c r="B5609" s="709">
        <v>106039</v>
      </c>
      <c r="C5609" s="710" t="s">
        <v>5648</v>
      </c>
      <c r="D5609" s="709" t="s">
        <v>136</v>
      </c>
      <c r="E5609" s="711">
        <v>0.85719999999999996</v>
      </c>
    </row>
    <row r="5610" spans="1:5" x14ac:dyDescent="0.3">
      <c r="A5610" s="397"/>
      <c r="B5610" s="709">
        <v>106040</v>
      </c>
      <c r="C5610" s="710" t="s">
        <v>5649</v>
      </c>
      <c r="D5610" s="709" t="s">
        <v>136</v>
      </c>
      <c r="E5610" s="711">
        <v>0.58899999999999997</v>
      </c>
    </row>
    <row r="5611" spans="1:5" x14ac:dyDescent="0.3">
      <c r="A5611" s="397"/>
      <c r="B5611" s="709">
        <v>106041</v>
      </c>
      <c r="C5611" s="710" t="s">
        <v>5650</v>
      </c>
      <c r="D5611" s="709" t="s">
        <v>136</v>
      </c>
      <c r="E5611" s="711">
        <v>0.38240000000000002</v>
      </c>
    </row>
    <row r="5612" spans="1:5" x14ac:dyDescent="0.3">
      <c r="A5612" s="397"/>
      <c r="B5612" s="709">
        <v>97329</v>
      </c>
      <c r="C5612" s="710" t="s">
        <v>5651</v>
      </c>
      <c r="D5612" s="709" t="s">
        <v>159</v>
      </c>
      <c r="E5612" s="711">
        <v>5.04E-2</v>
      </c>
    </row>
    <row r="5613" spans="1:5" x14ac:dyDescent="0.3">
      <c r="A5613" s="397"/>
      <c r="B5613" s="709">
        <v>97327</v>
      </c>
      <c r="C5613" s="710" t="s">
        <v>5652</v>
      </c>
      <c r="D5613" s="709" t="s">
        <v>159</v>
      </c>
      <c r="E5613" s="711">
        <v>7.6200000000000004E-2</v>
      </c>
    </row>
    <row r="5614" spans="1:5" x14ac:dyDescent="0.3">
      <c r="A5614" s="397"/>
      <c r="B5614" s="709">
        <v>106034</v>
      </c>
      <c r="C5614" s="710" t="s">
        <v>5653</v>
      </c>
      <c r="D5614" s="709" t="s">
        <v>159</v>
      </c>
      <c r="E5614" s="711">
        <v>3.0599999999999999E-2</v>
      </c>
    </row>
    <row r="5615" spans="1:5" x14ac:dyDescent="0.3">
      <c r="A5615" s="397"/>
      <c r="B5615" s="709">
        <v>97328</v>
      </c>
      <c r="C5615" s="710" t="s">
        <v>5654</v>
      </c>
      <c r="D5615" s="709" t="s">
        <v>159</v>
      </c>
      <c r="E5615" s="711">
        <v>5.5500000000000001E-2</v>
      </c>
    </row>
    <row r="5616" spans="1:5" x14ac:dyDescent="0.3">
      <c r="A5616" s="397"/>
      <c r="B5616" s="709">
        <v>97330</v>
      </c>
      <c r="C5616" s="710" t="s">
        <v>5655</v>
      </c>
      <c r="D5616" s="709" t="s">
        <v>159</v>
      </c>
      <c r="E5616" s="711">
        <v>4.6899999999999997E-2</v>
      </c>
    </row>
    <row r="5617" spans="1:5" x14ac:dyDescent="0.3">
      <c r="A5617" s="397"/>
      <c r="B5617" s="709">
        <v>93085</v>
      </c>
      <c r="C5617" s="710" t="s">
        <v>5659</v>
      </c>
      <c r="D5617" s="709" t="s">
        <v>136</v>
      </c>
      <c r="E5617" s="711">
        <v>0.48330000000000001</v>
      </c>
    </row>
    <row r="5618" spans="1:5" x14ac:dyDescent="0.3">
      <c r="A5618" s="397"/>
      <c r="B5618" s="709">
        <v>103892</v>
      </c>
      <c r="C5618" s="710" t="s">
        <v>5660</v>
      </c>
      <c r="D5618" s="709" t="s">
        <v>136</v>
      </c>
      <c r="E5618" s="711">
        <v>0.50339999999999996</v>
      </c>
    </row>
    <row r="5619" spans="1:5" x14ac:dyDescent="0.3">
      <c r="A5619" s="397"/>
      <c r="B5619" s="709">
        <v>103823</v>
      </c>
      <c r="C5619" s="710" t="s">
        <v>5661</v>
      </c>
      <c r="D5619" s="709" t="s">
        <v>136</v>
      </c>
      <c r="E5619" s="711">
        <v>0.55769999999999997</v>
      </c>
    </row>
    <row r="5620" spans="1:5" x14ac:dyDescent="0.3">
      <c r="A5620" s="397"/>
      <c r="B5620" s="709">
        <v>103856</v>
      </c>
      <c r="C5620" s="710" t="s">
        <v>5662</v>
      </c>
      <c r="D5620" s="709" t="s">
        <v>136</v>
      </c>
      <c r="E5620" s="711">
        <v>0.50349999999999995</v>
      </c>
    </row>
    <row r="5621" spans="1:5" x14ac:dyDescent="0.3">
      <c r="A5621" s="397"/>
      <c r="B5621" s="709">
        <v>93108</v>
      </c>
      <c r="C5621" s="710" t="s">
        <v>5663</v>
      </c>
      <c r="D5621" s="709" t="s">
        <v>136</v>
      </c>
      <c r="E5621" s="711">
        <v>0.42849999999999999</v>
      </c>
    </row>
    <row r="5622" spans="1:5" x14ac:dyDescent="0.3">
      <c r="A5622" s="397"/>
      <c r="B5622" s="709">
        <v>93091</v>
      </c>
      <c r="C5622" s="710" t="s">
        <v>5664</v>
      </c>
      <c r="D5622" s="709" t="s">
        <v>136</v>
      </c>
      <c r="E5622" s="711">
        <v>0.32119999999999999</v>
      </c>
    </row>
    <row r="5623" spans="1:5" x14ac:dyDescent="0.3">
      <c r="A5623" s="397"/>
      <c r="B5623" s="709">
        <v>103900</v>
      </c>
      <c r="C5623" s="710" t="s">
        <v>5665</v>
      </c>
      <c r="D5623" s="709" t="s">
        <v>136</v>
      </c>
      <c r="E5623" s="711">
        <v>0.44450000000000001</v>
      </c>
    </row>
    <row r="5624" spans="1:5" x14ac:dyDescent="0.3">
      <c r="A5624" s="397"/>
      <c r="B5624" s="709">
        <v>103831</v>
      </c>
      <c r="C5624" s="710" t="s">
        <v>5666</v>
      </c>
      <c r="D5624" s="709" t="s">
        <v>136</v>
      </c>
      <c r="E5624" s="711">
        <v>0.55640000000000001</v>
      </c>
    </row>
    <row r="5625" spans="1:5" x14ac:dyDescent="0.3">
      <c r="A5625" s="397"/>
      <c r="B5625" s="709">
        <v>103864</v>
      </c>
      <c r="C5625" s="710" t="s">
        <v>5667</v>
      </c>
      <c r="D5625" s="709" t="s">
        <v>136</v>
      </c>
      <c r="E5625" s="711">
        <v>0.46260000000000001</v>
      </c>
    </row>
    <row r="5626" spans="1:5" x14ac:dyDescent="0.3">
      <c r="A5626" s="397"/>
      <c r="B5626" s="709">
        <v>93133</v>
      </c>
      <c r="C5626" s="710" t="s">
        <v>5668</v>
      </c>
      <c r="D5626" s="709" t="s">
        <v>136</v>
      </c>
      <c r="E5626" s="711">
        <v>0.40899999999999997</v>
      </c>
    </row>
    <row r="5627" spans="1:5" x14ac:dyDescent="0.3">
      <c r="A5627" s="397"/>
      <c r="B5627" s="709">
        <v>93057</v>
      </c>
      <c r="C5627" s="710" t="s">
        <v>5669</v>
      </c>
      <c r="D5627" s="709" t="s">
        <v>136</v>
      </c>
      <c r="E5627" s="711">
        <v>0.20910000000000001</v>
      </c>
    </row>
    <row r="5628" spans="1:5" x14ac:dyDescent="0.3">
      <c r="A5628" s="397"/>
      <c r="B5628" s="709">
        <v>93062</v>
      </c>
      <c r="C5628" s="710" t="s">
        <v>5670</v>
      </c>
      <c r="D5628" s="709" t="s">
        <v>136</v>
      </c>
      <c r="E5628" s="711">
        <v>0.13689999999999999</v>
      </c>
    </row>
    <row r="5629" spans="1:5" x14ac:dyDescent="0.3">
      <c r="A5629" s="397"/>
      <c r="B5629" s="709">
        <v>93065</v>
      </c>
      <c r="C5629" s="710" t="s">
        <v>5671</v>
      </c>
      <c r="D5629" s="709" t="s">
        <v>136</v>
      </c>
      <c r="E5629" s="711">
        <v>0.1027</v>
      </c>
    </row>
    <row r="5630" spans="1:5" x14ac:dyDescent="0.3">
      <c r="A5630" s="397"/>
      <c r="B5630" s="709">
        <v>93068</v>
      </c>
      <c r="C5630" s="710" t="s">
        <v>5672</v>
      </c>
      <c r="D5630" s="709" t="s">
        <v>136</v>
      </c>
      <c r="E5630" s="711">
        <v>9.1399999999999995E-2</v>
      </c>
    </row>
    <row r="5631" spans="1:5" x14ac:dyDescent="0.3">
      <c r="A5631" s="397"/>
      <c r="B5631" s="709">
        <v>93071</v>
      </c>
      <c r="C5631" s="710" t="s">
        <v>5673</v>
      </c>
      <c r="D5631" s="709" t="s">
        <v>136</v>
      </c>
      <c r="E5631" s="711">
        <v>4.1700000000000001E-2</v>
      </c>
    </row>
    <row r="5632" spans="1:5" x14ac:dyDescent="0.3">
      <c r="A5632" s="397"/>
      <c r="B5632" s="709">
        <v>93081</v>
      </c>
      <c r="C5632" s="710" t="s">
        <v>5674</v>
      </c>
      <c r="D5632" s="709" t="s">
        <v>136</v>
      </c>
      <c r="E5632" s="711">
        <v>0.19900000000000001</v>
      </c>
    </row>
    <row r="5633" spans="1:5" x14ac:dyDescent="0.3">
      <c r="A5633" s="397"/>
      <c r="B5633" s="709">
        <v>103887</v>
      </c>
      <c r="C5633" s="710" t="s">
        <v>5675</v>
      </c>
      <c r="D5633" s="709" t="s">
        <v>136</v>
      </c>
      <c r="E5633" s="711">
        <v>0.25409999999999999</v>
      </c>
    </row>
    <row r="5634" spans="1:5" x14ac:dyDescent="0.3">
      <c r="A5634" s="397"/>
      <c r="B5634" s="709">
        <v>103818</v>
      </c>
      <c r="C5634" s="710" t="s">
        <v>5676</v>
      </c>
      <c r="D5634" s="709" t="s">
        <v>136</v>
      </c>
      <c r="E5634" s="711">
        <v>0.25269999999999998</v>
      </c>
    </row>
    <row r="5635" spans="1:5" x14ac:dyDescent="0.3">
      <c r="A5635" s="397"/>
      <c r="B5635" s="709">
        <v>103851</v>
      </c>
      <c r="C5635" s="710" t="s">
        <v>5677</v>
      </c>
      <c r="D5635" s="709" t="s">
        <v>136</v>
      </c>
      <c r="E5635" s="711">
        <v>0.24510000000000001</v>
      </c>
    </row>
    <row r="5636" spans="1:5" x14ac:dyDescent="0.3">
      <c r="A5636" s="397"/>
      <c r="B5636" s="709">
        <v>93104</v>
      </c>
      <c r="C5636" s="710" t="s">
        <v>5678</v>
      </c>
      <c r="D5636" s="709" t="s">
        <v>136</v>
      </c>
      <c r="E5636" s="711">
        <v>0.20219999999999999</v>
      </c>
    </row>
    <row r="5637" spans="1:5" x14ac:dyDescent="0.3">
      <c r="A5637" s="397"/>
      <c r="B5637" s="709">
        <v>98602</v>
      </c>
      <c r="C5637" s="710" t="s">
        <v>5679</v>
      </c>
      <c r="D5637" s="709" t="s">
        <v>136</v>
      </c>
      <c r="E5637" s="711">
        <v>0.15509999999999999</v>
      </c>
    </row>
    <row r="5638" spans="1:5" x14ac:dyDescent="0.3">
      <c r="A5638" s="397"/>
      <c r="B5638" s="709">
        <v>93087</v>
      </c>
      <c r="C5638" s="710" t="s">
        <v>5680</v>
      </c>
      <c r="D5638" s="709" t="s">
        <v>136</v>
      </c>
      <c r="E5638" s="711">
        <v>0.20730000000000001</v>
      </c>
    </row>
    <row r="5639" spans="1:5" x14ac:dyDescent="0.3">
      <c r="A5639" s="397"/>
      <c r="B5639" s="709">
        <v>103893</v>
      </c>
      <c r="C5639" s="710" t="s">
        <v>5681</v>
      </c>
      <c r="D5639" s="709" t="s">
        <v>136</v>
      </c>
      <c r="E5639" s="711">
        <v>0.27060000000000001</v>
      </c>
    </row>
    <row r="5640" spans="1:5" x14ac:dyDescent="0.3">
      <c r="A5640" s="397"/>
      <c r="B5640" s="709">
        <v>103824</v>
      </c>
      <c r="C5640" s="710" t="s">
        <v>5682</v>
      </c>
      <c r="D5640" s="709" t="s">
        <v>136</v>
      </c>
      <c r="E5640" s="711">
        <v>0.32750000000000001</v>
      </c>
    </row>
    <row r="5641" spans="1:5" x14ac:dyDescent="0.3">
      <c r="A5641" s="397"/>
      <c r="B5641" s="709">
        <v>103857</v>
      </c>
      <c r="C5641" s="710" t="s">
        <v>5683</v>
      </c>
      <c r="D5641" s="709" t="s">
        <v>136</v>
      </c>
      <c r="E5641" s="711">
        <v>0.27739999999999998</v>
      </c>
    </row>
    <row r="5642" spans="1:5" x14ac:dyDescent="0.3">
      <c r="A5642" s="397"/>
      <c r="B5642" s="709">
        <v>93110</v>
      </c>
      <c r="C5642" s="710" t="s">
        <v>5684</v>
      </c>
      <c r="D5642" s="709" t="s">
        <v>136</v>
      </c>
      <c r="E5642" s="711">
        <v>0.24160000000000001</v>
      </c>
    </row>
    <row r="5643" spans="1:5" x14ac:dyDescent="0.3">
      <c r="A5643" s="397"/>
      <c r="B5643" s="709">
        <v>93054</v>
      </c>
      <c r="C5643" s="710" t="s">
        <v>5685</v>
      </c>
      <c r="D5643" s="709" t="s">
        <v>136</v>
      </c>
      <c r="E5643" s="711">
        <v>0.1618</v>
      </c>
    </row>
    <row r="5644" spans="1:5" x14ac:dyDescent="0.3">
      <c r="A5644" s="397"/>
      <c r="B5644" s="709">
        <v>93088</v>
      </c>
      <c r="C5644" s="710" t="s">
        <v>5686</v>
      </c>
      <c r="D5644" s="709" t="s">
        <v>136</v>
      </c>
      <c r="E5644" s="711">
        <v>0.2016</v>
      </c>
    </row>
    <row r="5645" spans="1:5" x14ac:dyDescent="0.3">
      <c r="A5645" s="397"/>
      <c r="B5645" s="709">
        <v>103894</v>
      </c>
      <c r="C5645" s="710" t="s">
        <v>5687</v>
      </c>
      <c r="D5645" s="709" t="s">
        <v>136</v>
      </c>
      <c r="E5645" s="711">
        <v>0.25690000000000002</v>
      </c>
    </row>
    <row r="5646" spans="1:5" x14ac:dyDescent="0.3">
      <c r="A5646" s="397"/>
      <c r="B5646" s="709">
        <v>103825</v>
      </c>
      <c r="C5646" s="710" t="s">
        <v>5688</v>
      </c>
      <c r="D5646" s="709" t="s">
        <v>136</v>
      </c>
      <c r="E5646" s="711">
        <v>0.30559999999999998</v>
      </c>
    </row>
    <row r="5647" spans="1:5" x14ac:dyDescent="0.3">
      <c r="A5647" s="397"/>
      <c r="B5647" s="709">
        <v>103858</v>
      </c>
      <c r="C5647" s="710" t="s">
        <v>5689</v>
      </c>
      <c r="D5647" s="709" t="s">
        <v>136</v>
      </c>
      <c r="E5647" s="711">
        <v>0.26290000000000002</v>
      </c>
    </row>
    <row r="5648" spans="1:5" x14ac:dyDescent="0.3">
      <c r="A5648" s="397"/>
      <c r="B5648" s="709">
        <v>93111</v>
      </c>
      <c r="C5648" s="710" t="s">
        <v>5690</v>
      </c>
      <c r="D5648" s="709" t="s">
        <v>136</v>
      </c>
      <c r="E5648" s="711">
        <v>0.23269999999999999</v>
      </c>
    </row>
    <row r="5649" spans="1:5" x14ac:dyDescent="0.3">
      <c r="A5649" s="397"/>
      <c r="B5649" s="709">
        <v>93059</v>
      </c>
      <c r="C5649" s="710" t="s">
        <v>5691</v>
      </c>
      <c r="D5649" s="709" t="s">
        <v>136</v>
      </c>
      <c r="E5649" s="711">
        <v>0.1076</v>
      </c>
    </row>
    <row r="5650" spans="1:5" x14ac:dyDescent="0.3">
      <c r="A5650" s="397"/>
      <c r="B5650" s="709">
        <v>93093</v>
      </c>
      <c r="C5650" s="710" t="s">
        <v>5692</v>
      </c>
      <c r="D5650" s="709" t="s">
        <v>136</v>
      </c>
      <c r="E5650" s="711">
        <v>0.13969999999999999</v>
      </c>
    </row>
    <row r="5651" spans="1:5" x14ac:dyDescent="0.3">
      <c r="A5651" s="397"/>
      <c r="B5651" s="709">
        <v>103899</v>
      </c>
      <c r="C5651" s="710" t="s">
        <v>5693</v>
      </c>
      <c r="D5651" s="709" t="s">
        <v>136</v>
      </c>
      <c r="E5651" s="711">
        <v>0.1908</v>
      </c>
    </row>
    <row r="5652" spans="1:5" x14ac:dyDescent="0.3">
      <c r="A5652" s="397"/>
      <c r="B5652" s="709">
        <v>103830</v>
      </c>
      <c r="C5652" s="710" t="s">
        <v>5694</v>
      </c>
      <c r="D5652" s="709" t="s">
        <v>136</v>
      </c>
      <c r="E5652" s="711">
        <v>0.26819999999999999</v>
      </c>
    </row>
    <row r="5653" spans="1:5" x14ac:dyDescent="0.3">
      <c r="A5653" s="397"/>
      <c r="B5653" s="709">
        <v>103863</v>
      </c>
      <c r="C5653" s="710" t="s">
        <v>5695</v>
      </c>
      <c r="D5653" s="709" t="s">
        <v>136</v>
      </c>
      <c r="E5653" s="711">
        <v>0.20530000000000001</v>
      </c>
    </row>
    <row r="5654" spans="1:5" x14ac:dyDescent="0.3">
      <c r="A5654" s="397"/>
      <c r="B5654" s="709">
        <v>93114</v>
      </c>
      <c r="C5654" s="710" t="s">
        <v>5696</v>
      </c>
      <c r="D5654" s="709" t="s">
        <v>136</v>
      </c>
      <c r="E5654" s="711">
        <v>0.18140000000000001</v>
      </c>
    </row>
    <row r="5655" spans="1:5" x14ac:dyDescent="0.3">
      <c r="A5655" s="397"/>
      <c r="B5655" s="709">
        <v>93075</v>
      </c>
      <c r="C5655" s="710" t="s">
        <v>5697</v>
      </c>
      <c r="D5655" s="709" t="s">
        <v>136</v>
      </c>
      <c r="E5655" s="711">
        <v>0.24429999999999999</v>
      </c>
    </row>
    <row r="5656" spans="1:5" x14ac:dyDescent="0.3">
      <c r="A5656" s="397"/>
      <c r="B5656" s="709">
        <v>103876</v>
      </c>
      <c r="C5656" s="710" t="s">
        <v>5698</v>
      </c>
      <c r="D5656" s="709" t="s">
        <v>136</v>
      </c>
      <c r="E5656" s="711">
        <v>0.31640000000000001</v>
      </c>
    </row>
    <row r="5657" spans="1:5" x14ac:dyDescent="0.3">
      <c r="A5657" s="397"/>
      <c r="B5657" s="709">
        <v>103807</v>
      </c>
      <c r="C5657" s="710" t="s">
        <v>5699</v>
      </c>
      <c r="D5657" s="709" t="s">
        <v>136</v>
      </c>
      <c r="E5657" s="711">
        <v>0.31440000000000001</v>
      </c>
    </row>
    <row r="5658" spans="1:5" x14ac:dyDescent="0.3">
      <c r="A5658" s="397"/>
      <c r="B5658" s="709">
        <v>103840</v>
      </c>
      <c r="C5658" s="710" t="s">
        <v>5700</v>
      </c>
      <c r="D5658" s="709" t="s">
        <v>136</v>
      </c>
      <c r="E5658" s="711">
        <v>0.30459999999999998</v>
      </c>
    </row>
    <row r="5659" spans="1:5" x14ac:dyDescent="0.3">
      <c r="A5659" s="397"/>
      <c r="B5659" s="709">
        <v>93098</v>
      </c>
      <c r="C5659" s="710" t="s">
        <v>5701</v>
      </c>
      <c r="D5659" s="709" t="s">
        <v>136</v>
      </c>
      <c r="E5659" s="711">
        <v>0.24859999999999999</v>
      </c>
    </row>
    <row r="5660" spans="1:5" x14ac:dyDescent="0.3">
      <c r="A5660" s="397"/>
      <c r="B5660" s="709">
        <v>93120</v>
      </c>
      <c r="C5660" s="710" t="s">
        <v>5702</v>
      </c>
      <c r="D5660" s="709" t="s">
        <v>136</v>
      </c>
      <c r="E5660" s="711">
        <v>0.13289999999999999</v>
      </c>
    </row>
    <row r="5661" spans="1:5" x14ac:dyDescent="0.3">
      <c r="A5661" s="397"/>
      <c r="B5661" s="709">
        <v>93077</v>
      </c>
      <c r="C5661" s="710" t="s">
        <v>5703</v>
      </c>
      <c r="D5661" s="709" t="s">
        <v>136</v>
      </c>
      <c r="E5661" s="711">
        <v>0.18890000000000001</v>
      </c>
    </row>
    <row r="5662" spans="1:5" x14ac:dyDescent="0.3">
      <c r="A5662" s="397"/>
      <c r="B5662" s="709">
        <v>103879</v>
      </c>
      <c r="C5662" s="710" t="s">
        <v>5704</v>
      </c>
      <c r="D5662" s="709" t="s">
        <v>136</v>
      </c>
      <c r="E5662" s="711">
        <v>0.25600000000000001</v>
      </c>
    </row>
    <row r="5663" spans="1:5" x14ac:dyDescent="0.3">
      <c r="A5663" s="397"/>
      <c r="B5663" s="709">
        <v>103810</v>
      </c>
      <c r="C5663" s="710" t="s">
        <v>5705</v>
      </c>
      <c r="D5663" s="709" t="s">
        <v>136</v>
      </c>
      <c r="E5663" s="711">
        <v>0.31680000000000003</v>
      </c>
    </row>
    <row r="5664" spans="1:5" x14ac:dyDescent="0.3">
      <c r="A5664" s="397"/>
      <c r="B5664" s="709">
        <v>103843</v>
      </c>
      <c r="C5664" s="710" t="s">
        <v>5706</v>
      </c>
      <c r="D5664" s="709" t="s">
        <v>136</v>
      </c>
      <c r="E5664" s="711">
        <v>0.2636</v>
      </c>
    </row>
    <row r="5665" spans="1:5" x14ac:dyDescent="0.3">
      <c r="A5665" s="397"/>
      <c r="B5665" s="709">
        <v>93100</v>
      </c>
      <c r="C5665" s="710" t="s">
        <v>5707</v>
      </c>
      <c r="D5665" s="709" t="s">
        <v>136</v>
      </c>
      <c r="E5665" s="711">
        <v>0.22539999999999999</v>
      </c>
    </row>
    <row r="5666" spans="1:5" x14ac:dyDescent="0.3">
      <c r="A5666" s="397"/>
      <c r="B5666" s="709">
        <v>93121</v>
      </c>
      <c r="C5666" s="710" t="s">
        <v>5708</v>
      </c>
      <c r="D5666" s="709" t="s">
        <v>136</v>
      </c>
      <c r="E5666" s="711">
        <v>0.14530000000000001</v>
      </c>
    </row>
    <row r="5667" spans="1:5" x14ac:dyDescent="0.3">
      <c r="A5667" s="397"/>
      <c r="B5667" s="709">
        <v>93078</v>
      </c>
      <c r="C5667" s="710" t="s">
        <v>5709</v>
      </c>
      <c r="D5667" s="709" t="s">
        <v>136</v>
      </c>
      <c r="E5667" s="711">
        <v>0.1943</v>
      </c>
    </row>
    <row r="5668" spans="1:5" x14ac:dyDescent="0.3">
      <c r="A5668" s="397"/>
      <c r="B5668" s="709">
        <v>103880</v>
      </c>
      <c r="C5668" s="710" t="s">
        <v>5710</v>
      </c>
      <c r="D5668" s="709" t="s">
        <v>136</v>
      </c>
      <c r="E5668" s="711">
        <v>0.25419999999999998</v>
      </c>
    </row>
    <row r="5669" spans="1:5" x14ac:dyDescent="0.3">
      <c r="A5669" s="397"/>
      <c r="B5669" s="709">
        <v>103811</v>
      </c>
      <c r="C5669" s="710" t="s">
        <v>5711</v>
      </c>
      <c r="D5669" s="709" t="s">
        <v>136</v>
      </c>
      <c r="E5669" s="711">
        <v>0.30930000000000002</v>
      </c>
    </row>
    <row r="5670" spans="1:5" x14ac:dyDescent="0.3">
      <c r="A5670" s="397"/>
      <c r="B5670" s="709">
        <v>103844</v>
      </c>
      <c r="C5670" s="710" t="s">
        <v>5712</v>
      </c>
      <c r="D5670" s="709" t="s">
        <v>136</v>
      </c>
      <c r="E5670" s="711">
        <v>0.2611</v>
      </c>
    </row>
    <row r="5671" spans="1:5" x14ac:dyDescent="0.3">
      <c r="A5671" s="397"/>
      <c r="B5671" s="709">
        <v>93101</v>
      </c>
      <c r="C5671" s="710" t="s">
        <v>5713</v>
      </c>
      <c r="D5671" s="709" t="s">
        <v>136</v>
      </c>
      <c r="E5671" s="711">
        <v>0.22670000000000001</v>
      </c>
    </row>
    <row r="5672" spans="1:5" x14ac:dyDescent="0.3">
      <c r="A5672" s="397"/>
      <c r="B5672" s="709">
        <v>92311</v>
      </c>
      <c r="C5672" s="710" t="s">
        <v>5714</v>
      </c>
      <c r="D5672" s="709" t="s">
        <v>136</v>
      </c>
      <c r="E5672" s="711">
        <v>0.4778</v>
      </c>
    </row>
    <row r="5673" spans="1:5" x14ac:dyDescent="0.3">
      <c r="A5673" s="397"/>
      <c r="B5673" s="709">
        <v>103874</v>
      </c>
      <c r="C5673" s="710" t="s">
        <v>5715</v>
      </c>
      <c r="D5673" s="709" t="s">
        <v>136</v>
      </c>
      <c r="E5673" s="711">
        <v>0.62649999999999995</v>
      </c>
    </row>
    <row r="5674" spans="1:5" x14ac:dyDescent="0.3">
      <c r="A5674" s="397"/>
      <c r="B5674" s="709">
        <v>103805</v>
      </c>
      <c r="C5674" s="710" t="s">
        <v>5716</v>
      </c>
      <c r="D5674" s="709" t="s">
        <v>136</v>
      </c>
      <c r="E5674" s="711">
        <v>0.62250000000000005</v>
      </c>
    </row>
    <row r="5675" spans="1:5" x14ac:dyDescent="0.3">
      <c r="A5675" s="397"/>
      <c r="B5675" s="709">
        <v>103838</v>
      </c>
      <c r="C5675" s="710" t="s">
        <v>5717</v>
      </c>
      <c r="D5675" s="709" t="s">
        <v>136</v>
      </c>
      <c r="E5675" s="711">
        <v>0.60840000000000005</v>
      </c>
    </row>
    <row r="5676" spans="1:5" x14ac:dyDescent="0.3">
      <c r="A5676" s="397"/>
      <c r="B5676" s="709">
        <v>92326</v>
      </c>
      <c r="C5676" s="710" t="s">
        <v>5718</v>
      </c>
      <c r="D5676" s="709" t="s">
        <v>136</v>
      </c>
      <c r="E5676" s="711">
        <v>0.51480000000000004</v>
      </c>
    </row>
    <row r="5677" spans="1:5" x14ac:dyDescent="0.3">
      <c r="A5677" s="397"/>
      <c r="B5677" s="709">
        <v>92287</v>
      </c>
      <c r="C5677" s="710" t="s">
        <v>5719</v>
      </c>
      <c r="D5677" s="709" t="s">
        <v>136</v>
      </c>
      <c r="E5677" s="711">
        <v>0.21990000000000001</v>
      </c>
    </row>
    <row r="5678" spans="1:5" x14ac:dyDescent="0.3">
      <c r="A5678" s="397"/>
      <c r="B5678" s="709">
        <v>92312</v>
      </c>
      <c r="C5678" s="710" t="s">
        <v>5720</v>
      </c>
      <c r="D5678" s="709" t="s">
        <v>136</v>
      </c>
      <c r="E5678" s="711">
        <v>0.35270000000000001</v>
      </c>
    </row>
    <row r="5679" spans="1:5" x14ac:dyDescent="0.3">
      <c r="A5679" s="397"/>
      <c r="B5679" s="709">
        <v>103877</v>
      </c>
      <c r="C5679" s="710" t="s">
        <v>5721</v>
      </c>
      <c r="D5679" s="709" t="s">
        <v>136</v>
      </c>
      <c r="E5679" s="711">
        <v>0.47760000000000002</v>
      </c>
    </row>
    <row r="5680" spans="1:5" x14ac:dyDescent="0.3">
      <c r="A5680" s="397"/>
      <c r="B5680" s="709">
        <v>103808</v>
      </c>
      <c r="C5680" s="710" t="s">
        <v>5722</v>
      </c>
      <c r="D5680" s="709" t="s">
        <v>136</v>
      </c>
      <c r="E5680" s="711">
        <v>0.56589999999999996</v>
      </c>
    </row>
    <row r="5681" spans="1:5" x14ac:dyDescent="0.3">
      <c r="A5681" s="397"/>
      <c r="B5681" s="709">
        <v>103841</v>
      </c>
      <c r="C5681" s="710" t="s">
        <v>5723</v>
      </c>
      <c r="D5681" s="709" t="s">
        <v>136</v>
      </c>
      <c r="E5681" s="711">
        <v>0.4894</v>
      </c>
    </row>
    <row r="5682" spans="1:5" x14ac:dyDescent="0.3">
      <c r="A5682" s="397"/>
      <c r="B5682" s="709">
        <v>92327</v>
      </c>
      <c r="C5682" s="710" t="s">
        <v>5724</v>
      </c>
      <c r="D5682" s="709" t="s">
        <v>136</v>
      </c>
      <c r="E5682" s="711">
        <v>0.42430000000000001</v>
      </c>
    </row>
    <row r="5683" spans="1:5" x14ac:dyDescent="0.3">
      <c r="A5683" s="397"/>
      <c r="B5683" s="709">
        <v>92288</v>
      </c>
      <c r="C5683" s="710" t="s">
        <v>5725</v>
      </c>
      <c r="D5683" s="709" t="s">
        <v>136</v>
      </c>
      <c r="E5683" s="711">
        <v>0.1784</v>
      </c>
    </row>
    <row r="5684" spans="1:5" x14ac:dyDescent="0.3">
      <c r="A5684" s="397"/>
      <c r="B5684" s="709">
        <v>92313</v>
      </c>
      <c r="C5684" s="710" t="s">
        <v>5726</v>
      </c>
      <c r="D5684" s="709" t="s">
        <v>136</v>
      </c>
      <c r="E5684" s="711">
        <v>0.2666</v>
      </c>
    </row>
    <row r="5685" spans="1:5" x14ac:dyDescent="0.3">
      <c r="A5685" s="397"/>
      <c r="B5685" s="709">
        <v>103881</v>
      </c>
      <c r="C5685" s="710" t="s">
        <v>5727</v>
      </c>
      <c r="D5685" s="709" t="s">
        <v>136</v>
      </c>
      <c r="E5685" s="711">
        <v>0.38250000000000001</v>
      </c>
    </row>
    <row r="5686" spans="1:5" x14ac:dyDescent="0.3">
      <c r="A5686" s="397"/>
      <c r="B5686" s="709">
        <v>103812</v>
      </c>
      <c r="C5686" s="710" t="s">
        <v>5728</v>
      </c>
      <c r="D5686" s="709" t="s">
        <v>136</v>
      </c>
      <c r="E5686" s="711">
        <v>0.51419999999999999</v>
      </c>
    </row>
    <row r="5687" spans="1:5" x14ac:dyDescent="0.3">
      <c r="A5687" s="397"/>
      <c r="B5687" s="709">
        <v>103845</v>
      </c>
      <c r="C5687" s="710" t="s">
        <v>5729</v>
      </c>
      <c r="D5687" s="709" t="s">
        <v>136</v>
      </c>
      <c r="E5687" s="711">
        <v>0.41049999999999998</v>
      </c>
    </row>
    <row r="5688" spans="1:5" x14ac:dyDescent="0.3">
      <c r="A5688" s="397"/>
      <c r="B5688" s="709">
        <v>92328</v>
      </c>
      <c r="C5688" s="710" t="s">
        <v>5730</v>
      </c>
      <c r="D5688" s="709" t="s">
        <v>136</v>
      </c>
      <c r="E5688" s="711">
        <v>0.36280000000000001</v>
      </c>
    </row>
    <row r="5689" spans="1:5" x14ac:dyDescent="0.3">
      <c r="A5689" s="397"/>
      <c r="B5689" s="709">
        <v>92289</v>
      </c>
      <c r="C5689" s="710" t="s">
        <v>5731</v>
      </c>
      <c r="D5689" s="709" t="s">
        <v>136</v>
      </c>
      <c r="E5689" s="711">
        <v>0.12559999999999999</v>
      </c>
    </row>
    <row r="5690" spans="1:5" x14ac:dyDescent="0.3">
      <c r="A5690" s="397"/>
      <c r="B5690" s="709">
        <v>92290</v>
      </c>
      <c r="C5690" s="710" t="s">
        <v>5732</v>
      </c>
      <c r="D5690" s="709" t="s">
        <v>136</v>
      </c>
      <c r="E5690" s="711">
        <v>9.98E-2</v>
      </c>
    </row>
    <row r="5691" spans="1:5" x14ac:dyDescent="0.3">
      <c r="A5691" s="397"/>
      <c r="B5691" s="709">
        <v>92291</v>
      </c>
      <c r="C5691" s="710" t="s">
        <v>5733</v>
      </c>
      <c r="D5691" s="709" t="s">
        <v>136</v>
      </c>
      <c r="E5691" s="711">
        <v>8.3199999999999996E-2</v>
      </c>
    </row>
    <row r="5692" spans="1:5" x14ac:dyDescent="0.3">
      <c r="A5692" s="397"/>
      <c r="B5692" s="709">
        <v>92292</v>
      </c>
      <c r="C5692" s="710" t="s">
        <v>5734</v>
      </c>
      <c r="D5692" s="709" t="s">
        <v>136</v>
      </c>
      <c r="E5692" s="711">
        <v>3.2599999999999997E-2</v>
      </c>
    </row>
    <row r="5693" spans="1:5" x14ac:dyDescent="0.3">
      <c r="A5693" s="397"/>
      <c r="B5693" s="709">
        <v>93082</v>
      </c>
      <c r="C5693" s="710" t="s">
        <v>5735</v>
      </c>
      <c r="D5693" s="709" t="s">
        <v>136</v>
      </c>
      <c r="E5693" s="711">
        <v>0.17799999999999999</v>
      </c>
    </row>
    <row r="5694" spans="1:5" x14ac:dyDescent="0.3">
      <c r="A5694" s="397"/>
      <c r="B5694" s="709">
        <v>103885</v>
      </c>
      <c r="C5694" s="710" t="s">
        <v>5736</v>
      </c>
      <c r="D5694" s="709" t="s">
        <v>136</v>
      </c>
      <c r="E5694" s="711">
        <v>0.2621</v>
      </c>
    </row>
    <row r="5695" spans="1:5" x14ac:dyDescent="0.3">
      <c r="A5695" s="397"/>
      <c r="B5695" s="709">
        <v>103816</v>
      </c>
      <c r="C5695" s="710" t="s">
        <v>5737</v>
      </c>
      <c r="D5695" s="709" t="s">
        <v>136</v>
      </c>
      <c r="E5695" s="711">
        <v>0.25979999999999998</v>
      </c>
    </row>
    <row r="5696" spans="1:5" x14ac:dyDescent="0.3">
      <c r="A5696" s="397"/>
      <c r="B5696" s="709">
        <v>103849</v>
      </c>
      <c r="C5696" s="710" t="s">
        <v>5738</v>
      </c>
      <c r="D5696" s="709" t="s">
        <v>136</v>
      </c>
      <c r="E5696" s="711">
        <v>0.24840000000000001</v>
      </c>
    </row>
    <row r="5697" spans="1:5" x14ac:dyDescent="0.3">
      <c r="A5697" s="397"/>
      <c r="B5697" s="709">
        <v>93105</v>
      </c>
      <c r="C5697" s="710" t="s">
        <v>5739</v>
      </c>
      <c r="D5697" s="709" t="s">
        <v>136</v>
      </c>
      <c r="E5697" s="711">
        <v>0.1827</v>
      </c>
    </row>
    <row r="5698" spans="1:5" x14ac:dyDescent="0.3">
      <c r="A5698" s="397"/>
      <c r="B5698" s="709">
        <v>93055</v>
      </c>
      <c r="C5698" s="710" t="s">
        <v>5740</v>
      </c>
      <c r="D5698" s="709" t="s">
        <v>136</v>
      </c>
      <c r="E5698" s="711">
        <v>5.5399999999999998E-2</v>
      </c>
    </row>
    <row r="5699" spans="1:5" x14ac:dyDescent="0.3">
      <c r="A5699" s="397"/>
      <c r="B5699" s="709">
        <v>93089</v>
      </c>
      <c r="C5699" s="710" t="s">
        <v>5741</v>
      </c>
      <c r="D5699" s="709" t="s">
        <v>136</v>
      </c>
      <c r="E5699" s="711">
        <v>0.1022</v>
      </c>
    </row>
    <row r="5700" spans="1:5" x14ac:dyDescent="0.3">
      <c r="A5700" s="397"/>
      <c r="B5700" s="709">
        <v>103891</v>
      </c>
      <c r="C5700" s="710" t="s">
        <v>5742</v>
      </c>
      <c r="D5700" s="709" t="s">
        <v>136</v>
      </c>
      <c r="E5700" s="711">
        <v>0.16039999999999999</v>
      </c>
    </row>
    <row r="5701" spans="1:5" x14ac:dyDescent="0.3">
      <c r="A5701" s="397"/>
      <c r="B5701" s="709">
        <v>103822</v>
      </c>
      <c r="C5701" s="710" t="s">
        <v>5743</v>
      </c>
      <c r="D5701" s="709" t="s">
        <v>136</v>
      </c>
      <c r="E5701" s="711">
        <v>0.215</v>
      </c>
    </row>
    <row r="5702" spans="1:5" x14ac:dyDescent="0.3">
      <c r="A5702" s="397"/>
      <c r="B5702" s="709">
        <v>103855</v>
      </c>
      <c r="C5702" s="710" t="s">
        <v>5744</v>
      </c>
      <c r="D5702" s="709" t="s">
        <v>136</v>
      </c>
      <c r="E5702" s="711">
        <v>0.16719999999999999</v>
      </c>
    </row>
    <row r="5703" spans="1:5" x14ac:dyDescent="0.3">
      <c r="A5703" s="397"/>
      <c r="B5703" s="709">
        <v>93112</v>
      </c>
      <c r="C5703" s="710" t="s">
        <v>5745</v>
      </c>
      <c r="D5703" s="709" t="s">
        <v>136</v>
      </c>
      <c r="E5703" s="711">
        <v>0.13370000000000001</v>
      </c>
    </row>
    <row r="5704" spans="1:5" x14ac:dyDescent="0.3">
      <c r="A5704" s="397"/>
      <c r="B5704" s="709">
        <v>93060</v>
      </c>
      <c r="C5704" s="710" t="s">
        <v>5746</v>
      </c>
      <c r="D5704" s="709" t="s">
        <v>136</v>
      </c>
      <c r="E5704" s="711">
        <v>4.07E-2</v>
      </c>
    </row>
    <row r="5705" spans="1:5" x14ac:dyDescent="0.3">
      <c r="A5705" s="397"/>
      <c r="B5705" s="709">
        <v>93094</v>
      </c>
      <c r="C5705" s="710" t="s">
        <v>5747</v>
      </c>
      <c r="D5705" s="709" t="s">
        <v>136</v>
      </c>
      <c r="E5705" s="711">
        <v>6.6299999999999998E-2</v>
      </c>
    </row>
    <row r="5706" spans="1:5" x14ac:dyDescent="0.3">
      <c r="A5706" s="397"/>
      <c r="B5706" s="709">
        <v>103897</v>
      </c>
      <c r="C5706" s="710" t="s">
        <v>5748</v>
      </c>
      <c r="D5706" s="709" t="s">
        <v>136</v>
      </c>
      <c r="E5706" s="711">
        <v>0.1081</v>
      </c>
    </row>
    <row r="5707" spans="1:5" x14ac:dyDescent="0.3">
      <c r="A5707" s="397"/>
      <c r="B5707" s="709">
        <v>103828</v>
      </c>
      <c r="C5707" s="710" t="s">
        <v>5749</v>
      </c>
      <c r="D5707" s="709" t="s">
        <v>136</v>
      </c>
      <c r="E5707" s="711">
        <v>0.17349999999999999</v>
      </c>
    </row>
    <row r="5708" spans="1:5" x14ac:dyDescent="0.3">
      <c r="A5708" s="397"/>
      <c r="B5708" s="709">
        <v>103861</v>
      </c>
      <c r="C5708" s="710" t="s">
        <v>5750</v>
      </c>
      <c r="D5708" s="709" t="s">
        <v>136</v>
      </c>
      <c r="E5708" s="711">
        <v>0.1202</v>
      </c>
    </row>
    <row r="5709" spans="1:5" x14ac:dyDescent="0.3">
      <c r="A5709" s="397"/>
      <c r="B5709" s="709">
        <v>93115</v>
      </c>
      <c r="C5709" s="710" t="s">
        <v>5751</v>
      </c>
      <c r="D5709" s="709" t="s">
        <v>136</v>
      </c>
      <c r="E5709" s="711">
        <v>0.1004</v>
      </c>
    </row>
    <row r="5710" spans="1:5" x14ac:dyDescent="0.3">
      <c r="A5710" s="397"/>
      <c r="B5710" s="709">
        <v>93074</v>
      </c>
      <c r="C5710" s="710" t="s">
        <v>5752</v>
      </c>
      <c r="D5710" s="709" t="s">
        <v>136</v>
      </c>
      <c r="E5710" s="711">
        <v>0.50739999999999996</v>
      </c>
    </row>
    <row r="5711" spans="1:5" x14ac:dyDescent="0.3">
      <c r="A5711" s="397"/>
      <c r="B5711" s="709">
        <v>103875</v>
      </c>
      <c r="C5711" s="710" t="s">
        <v>5753</v>
      </c>
      <c r="D5711" s="709" t="s">
        <v>136</v>
      </c>
      <c r="E5711" s="711">
        <v>0.62790000000000001</v>
      </c>
    </row>
    <row r="5712" spans="1:5" x14ac:dyDescent="0.3">
      <c r="A5712" s="397"/>
      <c r="B5712" s="709">
        <v>103806</v>
      </c>
      <c r="C5712" s="710" t="s">
        <v>5754</v>
      </c>
      <c r="D5712" s="709" t="s">
        <v>136</v>
      </c>
      <c r="E5712" s="711">
        <v>0.62390000000000001</v>
      </c>
    </row>
    <row r="5713" spans="1:5" x14ac:dyDescent="0.3">
      <c r="A5713" s="397"/>
      <c r="B5713" s="709">
        <v>103839</v>
      </c>
      <c r="C5713" s="710" t="s">
        <v>5755</v>
      </c>
      <c r="D5713" s="709" t="s">
        <v>136</v>
      </c>
      <c r="E5713" s="711">
        <v>0.60980000000000001</v>
      </c>
    </row>
    <row r="5714" spans="1:5" x14ac:dyDescent="0.3">
      <c r="A5714" s="397"/>
      <c r="B5714" s="709">
        <v>93097</v>
      </c>
      <c r="C5714" s="710" t="s">
        <v>5756</v>
      </c>
      <c r="D5714" s="709" t="s">
        <v>136</v>
      </c>
      <c r="E5714" s="711">
        <v>0.51539999999999997</v>
      </c>
    </row>
    <row r="5715" spans="1:5" x14ac:dyDescent="0.3">
      <c r="A5715" s="397"/>
      <c r="B5715" s="709">
        <v>93119</v>
      </c>
      <c r="C5715" s="710" t="s">
        <v>5757</v>
      </c>
      <c r="D5715" s="709" t="s">
        <v>136</v>
      </c>
      <c r="E5715" s="711">
        <v>0.22370000000000001</v>
      </c>
    </row>
    <row r="5716" spans="1:5" x14ac:dyDescent="0.3">
      <c r="A5716" s="397"/>
      <c r="B5716" s="709">
        <v>93076</v>
      </c>
      <c r="C5716" s="710" t="s">
        <v>5758</v>
      </c>
      <c r="D5716" s="709" t="s">
        <v>136</v>
      </c>
      <c r="E5716" s="711">
        <v>0.35780000000000001</v>
      </c>
    </row>
    <row r="5717" spans="1:5" x14ac:dyDescent="0.3">
      <c r="A5717" s="397"/>
      <c r="B5717" s="709">
        <v>103878</v>
      </c>
      <c r="C5717" s="710" t="s">
        <v>5759</v>
      </c>
      <c r="D5717" s="709" t="s">
        <v>136</v>
      </c>
      <c r="E5717" s="711">
        <v>0.48309999999999997</v>
      </c>
    </row>
    <row r="5718" spans="1:5" x14ac:dyDescent="0.3">
      <c r="A5718" s="397"/>
      <c r="B5718" s="709">
        <v>103809</v>
      </c>
      <c r="C5718" s="710" t="s">
        <v>5760</v>
      </c>
      <c r="D5718" s="709" t="s">
        <v>136</v>
      </c>
      <c r="E5718" s="711">
        <v>0.57130000000000003</v>
      </c>
    </row>
    <row r="5719" spans="1:5" x14ac:dyDescent="0.3">
      <c r="A5719" s="397"/>
      <c r="B5719" s="709">
        <v>103842</v>
      </c>
      <c r="C5719" s="710" t="s">
        <v>5761</v>
      </c>
      <c r="D5719" s="709" t="s">
        <v>136</v>
      </c>
      <c r="E5719" s="711">
        <v>0.49490000000000001</v>
      </c>
    </row>
    <row r="5720" spans="1:5" x14ac:dyDescent="0.3">
      <c r="A5720" s="397"/>
      <c r="B5720" s="709">
        <v>93099</v>
      </c>
      <c r="C5720" s="710" t="s">
        <v>5762</v>
      </c>
      <c r="D5720" s="709" t="s">
        <v>136</v>
      </c>
      <c r="E5720" s="711">
        <v>0.42980000000000002</v>
      </c>
    </row>
    <row r="5721" spans="1:5" x14ac:dyDescent="0.3">
      <c r="A5721" s="397"/>
      <c r="B5721" s="709">
        <v>93122</v>
      </c>
      <c r="C5721" s="710" t="s">
        <v>5763</v>
      </c>
      <c r="D5721" s="709" t="s">
        <v>136</v>
      </c>
      <c r="E5721" s="711">
        <v>0.19109999999999999</v>
      </c>
    </row>
    <row r="5722" spans="1:5" x14ac:dyDescent="0.3">
      <c r="A5722" s="397"/>
      <c r="B5722" s="709">
        <v>93079</v>
      </c>
      <c r="C5722" s="710" t="s">
        <v>5764</v>
      </c>
      <c r="D5722" s="709" t="s">
        <v>136</v>
      </c>
      <c r="E5722" s="711">
        <v>0.28339999999999999</v>
      </c>
    </row>
    <row r="5723" spans="1:5" x14ac:dyDescent="0.3">
      <c r="A5723" s="397"/>
      <c r="B5723" s="709">
        <v>103882</v>
      </c>
      <c r="C5723" s="710" t="s">
        <v>5765</v>
      </c>
      <c r="D5723" s="709" t="s">
        <v>136</v>
      </c>
      <c r="E5723" s="711">
        <v>0.40250000000000002</v>
      </c>
    </row>
    <row r="5724" spans="1:5" x14ac:dyDescent="0.3">
      <c r="A5724" s="397"/>
      <c r="B5724" s="709">
        <v>103813</v>
      </c>
      <c r="C5724" s="710" t="s">
        <v>5766</v>
      </c>
      <c r="D5724" s="709" t="s">
        <v>136</v>
      </c>
      <c r="E5724" s="711">
        <v>0.53490000000000004</v>
      </c>
    </row>
    <row r="5725" spans="1:5" x14ac:dyDescent="0.3">
      <c r="A5725" s="397"/>
      <c r="B5725" s="709">
        <v>103846</v>
      </c>
      <c r="C5725" s="710" t="s">
        <v>5767</v>
      </c>
      <c r="D5725" s="709" t="s">
        <v>136</v>
      </c>
      <c r="E5725" s="711">
        <v>0.43090000000000001</v>
      </c>
    </row>
    <row r="5726" spans="1:5" x14ac:dyDescent="0.3">
      <c r="A5726" s="397"/>
      <c r="B5726" s="709">
        <v>93102</v>
      </c>
      <c r="C5726" s="710" t="s">
        <v>5768</v>
      </c>
      <c r="D5726" s="709" t="s">
        <v>136</v>
      </c>
      <c r="E5726" s="711">
        <v>0.38240000000000002</v>
      </c>
    </row>
    <row r="5727" spans="1:5" x14ac:dyDescent="0.3">
      <c r="A5727" s="397"/>
      <c r="B5727" s="709">
        <v>93123</v>
      </c>
      <c r="C5727" s="710" t="s">
        <v>5769</v>
      </c>
      <c r="D5727" s="709" t="s">
        <v>136</v>
      </c>
      <c r="E5727" s="711">
        <v>0.10639999999999999</v>
      </c>
    </row>
    <row r="5728" spans="1:5" x14ac:dyDescent="0.3">
      <c r="A5728" s="397"/>
      <c r="B5728" s="709">
        <v>93124</v>
      </c>
      <c r="C5728" s="710" t="s">
        <v>5770</v>
      </c>
      <c r="D5728" s="709" t="s">
        <v>136</v>
      </c>
      <c r="E5728" s="711">
        <v>8.1600000000000006E-2</v>
      </c>
    </row>
    <row r="5729" spans="1:5" x14ac:dyDescent="0.3">
      <c r="A5729" s="397"/>
      <c r="B5729" s="709">
        <v>93125</v>
      </c>
      <c r="C5729" s="710" t="s">
        <v>5771</v>
      </c>
      <c r="D5729" s="709" t="s">
        <v>136</v>
      </c>
      <c r="E5729" s="711">
        <v>7.17E-2</v>
      </c>
    </row>
    <row r="5730" spans="1:5" x14ac:dyDescent="0.3">
      <c r="A5730" s="397"/>
      <c r="B5730" s="709">
        <v>93126</v>
      </c>
      <c r="C5730" s="710" t="s">
        <v>5772</v>
      </c>
      <c r="D5730" s="709" t="s">
        <v>136</v>
      </c>
      <c r="E5730" s="711">
        <v>3.9600000000000003E-2</v>
      </c>
    </row>
    <row r="5731" spans="1:5" x14ac:dyDescent="0.3">
      <c r="A5731" s="397"/>
      <c r="B5731" s="709">
        <v>93063</v>
      </c>
      <c r="C5731" s="710" t="s">
        <v>5773</v>
      </c>
      <c r="D5731" s="709" t="s">
        <v>136</v>
      </c>
      <c r="E5731" s="711">
        <v>6.1000000000000004E-3</v>
      </c>
    </row>
    <row r="5732" spans="1:5" x14ac:dyDescent="0.3">
      <c r="A5732" s="397"/>
      <c r="B5732" s="709">
        <v>93066</v>
      </c>
      <c r="C5732" s="710" t="s">
        <v>5774</v>
      </c>
      <c r="D5732" s="709" t="s">
        <v>136</v>
      </c>
      <c r="E5732" s="711">
        <v>5.8999999999999999E-3</v>
      </c>
    </row>
    <row r="5733" spans="1:5" x14ac:dyDescent="0.3">
      <c r="A5733" s="397"/>
      <c r="B5733" s="709">
        <v>93069</v>
      </c>
      <c r="C5733" s="710" t="s">
        <v>5775</v>
      </c>
      <c r="D5733" s="709" t="s">
        <v>136</v>
      </c>
      <c r="E5733" s="711">
        <v>5.4999999999999997E-3</v>
      </c>
    </row>
    <row r="5734" spans="1:5" x14ac:dyDescent="0.3">
      <c r="A5734" s="397"/>
      <c r="B5734" s="709">
        <v>93072</v>
      </c>
      <c r="C5734" s="710" t="s">
        <v>5776</v>
      </c>
      <c r="D5734" s="709" t="s">
        <v>136</v>
      </c>
      <c r="E5734" s="711">
        <v>5.1000000000000004E-3</v>
      </c>
    </row>
    <row r="5735" spans="1:5" x14ac:dyDescent="0.3">
      <c r="A5735" s="397"/>
      <c r="B5735" s="709">
        <v>93083</v>
      </c>
      <c r="C5735" s="710" t="s">
        <v>5777</v>
      </c>
      <c r="D5735" s="709" t="s">
        <v>136</v>
      </c>
      <c r="E5735" s="711">
        <v>9.1999999999999998E-3</v>
      </c>
    </row>
    <row r="5736" spans="1:5" x14ac:dyDescent="0.3">
      <c r="A5736" s="397"/>
      <c r="B5736" s="709">
        <v>103886</v>
      </c>
      <c r="C5736" s="710" t="s">
        <v>5778</v>
      </c>
      <c r="D5736" s="709" t="s">
        <v>136</v>
      </c>
      <c r="E5736" s="711">
        <v>1.5100000000000001E-2</v>
      </c>
    </row>
    <row r="5737" spans="1:5" x14ac:dyDescent="0.3">
      <c r="A5737" s="397"/>
      <c r="B5737" s="709">
        <v>103817</v>
      </c>
      <c r="C5737" s="710" t="s">
        <v>5779</v>
      </c>
      <c r="D5737" s="709" t="s">
        <v>136</v>
      </c>
      <c r="E5737" s="711">
        <v>1.49E-2</v>
      </c>
    </row>
    <row r="5738" spans="1:5" x14ac:dyDescent="0.3">
      <c r="A5738" s="397"/>
      <c r="B5738" s="709">
        <v>103850</v>
      </c>
      <c r="C5738" s="710" t="s">
        <v>5780</v>
      </c>
      <c r="D5738" s="709" t="s">
        <v>136</v>
      </c>
      <c r="E5738" s="711">
        <v>1.4E-2</v>
      </c>
    </row>
    <row r="5739" spans="1:5" x14ac:dyDescent="0.3">
      <c r="A5739" s="397"/>
      <c r="B5739" s="709">
        <v>93106</v>
      </c>
      <c r="C5739" s="710" t="s">
        <v>5781</v>
      </c>
      <c r="D5739" s="709" t="s">
        <v>136</v>
      </c>
      <c r="E5739" s="711">
        <v>9.4999999999999998E-3</v>
      </c>
    </row>
    <row r="5740" spans="1:5" x14ac:dyDescent="0.3">
      <c r="A5740" s="397"/>
      <c r="B5740" s="709">
        <v>93052</v>
      </c>
      <c r="C5740" s="710" t="s">
        <v>5782</v>
      </c>
      <c r="D5740" s="709" t="s">
        <v>136</v>
      </c>
      <c r="E5740" s="711">
        <v>4.7000000000000002E-3</v>
      </c>
    </row>
    <row r="5741" spans="1:5" x14ac:dyDescent="0.3">
      <c r="A5741" s="397"/>
      <c r="B5741" s="709">
        <v>93086</v>
      </c>
      <c r="C5741" s="710" t="s">
        <v>5783</v>
      </c>
      <c r="D5741" s="709" t="s">
        <v>136</v>
      </c>
      <c r="E5741" s="711">
        <v>9.1999999999999998E-3</v>
      </c>
    </row>
    <row r="5742" spans="1:5" x14ac:dyDescent="0.3">
      <c r="A5742" s="397"/>
      <c r="B5742" s="709">
        <v>103890</v>
      </c>
      <c r="C5742" s="710" t="s">
        <v>5784</v>
      </c>
      <c r="D5742" s="709" t="s">
        <v>136</v>
      </c>
      <c r="E5742" s="711">
        <v>1.5299999999999999E-2</v>
      </c>
    </row>
    <row r="5743" spans="1:5" x14ac:dyDescent="0.3">
      <c r="A5743" s="397"/>
      <c r="B5743" s="709">
        <v>103821</v>
      </c>
      <c r="C5743" s="710" t="s">
        <v>5785</v>
      </c>
      <c r="D5743" s="709" t="s">
        <v>136</v>
      </c>
      <c r="E5743" s="711">
        <v>2.1899999999999999E-2</v>
      </c>
    </row>
    <row r="5744" spans="1:5" x14ac:dyDescent="0.3">
      <c r="A5744" s="397"/>
      <c r="B5744" s="709">
        <v>103854</v>
      </c>
      <c r="C5744" s="710" t="s">
        <v>5786</v>
      </c>
      <c r="D5744" s="709" t="s">
        <v>136</v>
      </c>
      <c r="E5744" s="711">
        <v>1.61E-2</v>
      </c>
    </row>
    <row r="5745" spans="1:5" x14ac:dyDescent="0.3">
      <c r="A5745" s="397"/>
      <c r="B5745" s="709">
        <v>93109</v>
      </c>
      <c r="C5745" s="710" t="s">
        <v>5787</v>
      </c>
      <c r="D5745" s="709" t="s">
        <v>136</v>
      </c>
      <c r="E5745" s="711">
        <v>1.24E-2</v>
      </c>
    </row>
    <row r="5746" spans="1:5" x14ac:dyDescent="0.3">
      <c r="A5746" s="397"/>
      <c r="B5746" s="709">
        <v>93058</v>
      </c>
      <c r="C5746" s="710" t="s">
        <v>5788</v>
      </c>
      <c r="D5746" s="709" t="s">
        <v>136</v>
      </c>
      <c r="E5746" s="711">
        <v>5.5999999999999999E-3</v>
      </c>
    </row>
    <row r="5747" spans="1:5" x14ac:dyDescent="0.3">
      <c r="A5747" s="397"/>
      <c r="B5747" s="709">
        <v>93092</v>
      </c>
      <c r="C5747" s="710" t="s">
        <v>5789</v>
      </c>
      <c r="D5747" s="709" t="s">
        <v>136</v>
      </c>
      <c r="E5747" s="711">
        <v>9.2999999999999992E-3</v>
      </c>
    </row>
    <row r="5748" spans="1:5" x14ac:dyDescent="0.3">
      <c r="A5748" s="397"/>
      <c r="B5748" s="709">
        <v>103898</v>
      </c>
      <c r="C5748" s="710" t="s">
        <v>5790</v>
      </c>
      <c r="D5748" s="709" t="s">
        <v>136</v>
      </c>
      <c r="E5748" s="711">
        <v>1.5800000000000002E-2</v>
      </c>
    </row>
    <row r="5749" spans="1:5" x14ac:dyDescent="0.3">
      <c r="A5749" s="397"/>
      <c r="B5749" s="709">
        <v>103829</v>
      </c>
      <c r="C5749" s="710" t="s">
        <v>5791</v>
      </c>
      <c r="D5749" s="709" t="s">
        <v>136</v>
      </c>
      <c r="E5749" s="711">
        <v>2.69E-2</v>
      </c>
    </row>
    <row r="5750" spans="1:5" x14ac:dyDescent="0.3">
      <c r="A5750" s="397"/>
      <c r="B5750" s="709">
        <v>103862</v>
      </c>
      <c r="C5750" s="710" t="s">
        <v>5792</v>
      </c>
      <c r="D5750" s="709" t="s">
        <v>136</v>
      </c>
      <c r="E5750" s="711">
        <v>1.77E-2</v>
      </c>
    </row>
    <row r="5751" spans="1:5" x14ac:dyDescent="0.3">
      <c r="A5751" s="397"/>
      <c r="B5751" s="709">
        <v>93116</v>
      </c>
      <c r="C5751" s="710" t="s">
        <v>5793</v>
      </c>
      <c r="D5751" s="709" t="s">
        <v>136</v>
      </c>
      <c r="E5751" s="711">
        <v>1.4500000000000001E-2</v>
      </c>
    </row>
    <row r="5752" spans="1:5" x14ac:dyDescent="0.3">
      <c r="A5752" s="397"/>
      <c r="B5752" s="709">
        <v>92314</v>
      </c>
      <c r="C5752" s="710" t="s">
        <v>5794</v>
      </c>
      <c r="D5752" s="709" t="s">
        <v>136</v>
      </c>
      <c r="E5752" s="711">
        <v>0.52239999999999998</v>
      </c>
    </row>
    <row r="5753" spans="1:5" x14ac:dyDescent="0.3">
      <c r="A5753" s="397"/>
      <c r="B5753" s="709">
        <v>103883</v>
      </c>
      <c r="C5753" s="710" t="s">
        <v>5795</v>
      </c>
      <c r="D5753" s="709" t="s">
        <v>136</v>
      </c>
      <c r="E5753" s="711">
        <v>0.64180000000000004</v>
      </c>
    </row>
    <row r="5754" spans="1:5" x14ac:dyDescent="0.3">
      <c r="A5754" s="397"/>
      <c r="B5754" s="709">
        <v>103814</v>
      </c>
      <c r="C5754" s="710" t="s">
        <v>5796</v>
      </c>
      <c r="D5754" s="709" t="s">
        <v>136</v>
      </c>
      <c r="E5754" s="711">
        <v>0.63700000000000001</v>
      </c>
    </row>
    <row r="5755" spans="1:5" x14ac:dyDescent="0.3">
      <c r="A5755" s="397"/>
      <c r="B5755" s="709">
        <v>103847</v>
      </c>
      <c r="C5755" s="710" t="s">
        <v>5797</v>
      </c>
      <c r="D5755" s="709" t="s">
        <v>136</v>
      </c>
      <c r="E5755" s="711">
        <v>0.62319999999999998</v>
      </c>
    </row>
    <row r="5756" spans="1:5" x14ac:dyDescent="0.3">
      <c r="A5756" s="397"/>
      <c r="B5756" s="709">
        <v>92329</v>
      </c>
      <c r="C5756" s="710" t="s">
        <v>5798</v>
      </c>
      <c r="D5756" s="709" t="s">
        <v>136</v>
      </c>
      <c r="E5756" s="711">
        <v>0.53</v>
      </c>
    </row>
    <row r="5757" spans="1:5" x14ac:dyDescent="0.3">
      <c r="A5757" s="397"/>
      <c r="B5757" s="709">
        <v>92293</v>
      </c>
      <c r="C5757" s="710" t="s">
        <v>5799</v>
      </c>
      <c r="D5757" s="709" t="s">
        <v>136</v>
      </c>
      <c r="E5757" s="711">
        <v>0.25969999999999999</v>
      </c>
    </row>
    <row r="5758" spans="1:5" x14ac:dyDescent="0.3">
      <c r="A5758" s="397"/>
      <c r="B5758" s="709">
        <v>92315</v>
      </c>
      <c r="C5758" s="710" t="s">
        <v>5800</v>
      </c>
      <c r="D5758" s="709" t="s">
        <v>136</v>
      </c>
      <c r="E5758" s="711">
        <v>0.4042</v>
      </c>
    </row>
    <row r="5759" spans="1:5" x14ac:dyDescent="0.3">
      <c r="A5759" s="397"/>
      <c r="B5759" s="709">
        <v>103888</v>
      </c>
      <c r="C5759" s="710" t="s">
        <v>5801</v>
      </c>
      <c r="D5759" s="709" t="s">
        <v>136</v>
      </c>
      <c r="E5759" s="711">
        <v>0.53210000000000002</v>
      </c>
    </row>
    <row r="5760" spans="1:5" x14ac:dyDescent="0.3">
      <c r="A5760" s="397"/>
      <c r="B5760" s="709">
        <v>103819</v>
      </c>
      <c r="C5760" s="710" t="s">
        <v>5802</v>
      </c>
      <c r="D5760" s="709" t="s">
        <v>136</v>
      </c>
      <c r="E5760" s="711">
        <v>0.61639999999999995</v>
      </c>
    </row>
    <row r="5761" spans="1:5" x14ac:dyDescent="0.3">
      <c r="A5761" s="397"/>
      <c r="B5761" s="709">
        <v>103852</v>
      </c>
      <c r="C5761" s="710" t="s">
        <v>5803</v>
      </c>
      <c r="D5761" s="709" t="s">
        <v>136</v>
      </c>
      <c r="E5761" s="711">
        <v>0.54279999999999995</v>
      </c>
    </row>
    <row r="5762" spans="1:5" x14ac:dyDescent="0.3">
      <c r="A5762" s="397"/>
      <c r="B5762" s="709">
        <v>92330</v>
      </c>
      <c r="C5762" s="710" t="s">
        <v>5804</v>
      </c>
      <c r="D5762" s="709" t="s">
        <v>136</v>
      </c>
      <c r="E5762" s="711">
        <v>0.47810000000000002</v>
      </c>
    </row>
    <row r="5763" spans="1:5" x14ac:dyDescent="0.3">
      <c r="A5763" s="397"/>
      <c r="B5763" s="709">
        <v>92294</v>
      </c>
      <c r="C5763" s="710" t="s">
        <v>5805</v>
      </c>
      <c r="D5763" s="709" t="s">
        <v>136</v>
      </c>
      <c r="E5763" s="711">
        <v>0.19589999999999999</v>
      </c>
    </row>
    <row r="5764" spans="1:5" x14ac:dyDescent="0.3">
      <c r="A5764" s="397"/>
      <c r="B5764" s="709">
        <v>92316</v>
      </c>
      <c r="C5764" s="710" t="s">
        <v>5806</v>
      </c>
      <c r="D5764" s="709" t="s">
        <v>136</v>
      </c>
      <c r="E5764" s="711">
        <v>0.28939999999999999</v>
      </c>
    </row>
    <row r="5765" spans="1:5" x14ac:dyDescent="0.3">
      <c r="A5765" s="397"/>
      <c r="B5765" s="709">
        <v>103895</v>
      </c>
      <c r="C5765" s="710" t="s">
        <v>5807</v>
      </c>
      <c r="D5765" s="709" t="s">
        <v>136</v>
      </c>
      <c r="E5765" s="711">
        <v>0.40970000000000001</v>
      </c>
    </row>
    <row r="5766" spans="1:5" x14ac:dyDescent="0.3">
      <c r="A5766" s="397"/>
      <c r="B5766" s="709">
        <v>103826</v>
      </c>
      <c r="C5766" s="710" t="s">
        <v>5808</v>
      </c>
      <c r="D5766" s="709" t="s">
        <v>136</v>
      </c>
      <c r="E5766" s="711">
        <v>0.5504</v>
      </c>
    </row>
    <row r="5767" spans="1:5" x14ac:dyDescent="0.3">
      <c r="A5767" s="397"/>
      <c r="B5767" s="709">
        <v>103859</v>
      </c>
      <c r="C5767" s="710" t="s">
        <v>5809</v>
      </c>
      <c r="D5767" s="709" t="s">
        <v>136</v>
      </c>
      <c r="E5767" s="711">
        <v>0.43769999999999998</v>
      </c>
    </row>
    <row r="5768" spans="1:5" x14ac:dyDescent="0.3">
      <c r="A5768" s="397"/>
      <c r="B5768" s="709">
        <v>92331</v>
      </c>
      <c r="C5768" s="710" t="s">
        <v>5810</v>
      </c>
      <c r="D5768" s="709" t="s">
        <v>136</v>
      </c>
      <c r="E5768" s="711">
        <v>0.38919999999999999</v>
      </c>
    </row>
    <row r="5769" spans="1:5" x14ac:dyDescent="0.3">
      <c r="A5769" s="397"/>
      <c r="B5769" s="709">
        <v>92295</v>
      </c>
      <c r="C5769" s="710" t="s">
        <v>5811</v>
      </c>
      <c r="D5769" s="709" t="s">
        <v>136</v>
      </c>
      <c r="E5769" s="711">
        <v>0.1293</v>
      </c>
    </row>
    <row r="5770" spans="1:5" x14ac:dyDescent="0.3">
      <c r="A5770" s="397"/>
      <c r="B5770" s="709">
        <v>92296</v>
      </c>
      <c r="C5770" s="710" t="s">
        <v>5812</v>
      </c>
      <c r="D5770" s="709" t="s">
        <v>136</v>
      </c>
      <c r="E5770" s="711">
        <v>0.1177</v>
      </c>
    </row>
    <row r="5771" spans="1:5" x14ac:dyDescent="0.3">
      <c r="A5771" s="397"/>
      <c r="B5771" s="709">
        <v>92297</v>
      </c>
      <c r="C5771" s="710" t="s">
        <v>5813</v>
      </c>
      <c r="D5771" s="709" t="s">
        <v>136</v>
      </c>
      <c r="E5771" s="711">
        <v>9.7900000000000001E-2</v>
      </c>
    </row>
    <row r="5772" spans="1:5" x14ac:dyDescent="0.3">
      <c r="A5772" s="397"/>
      <c r="B5772" s="709">
        <v>92298</v>
      </c>
      <c r="C5772" s="710" t="s">
        <v>5814</v>
      </c>
      <c r="D5772" s="709" t="s">
        <v>136</v>
      </c>
      <c r="E5772" s="711">
        <v>4.2299999999999997E-2</v>
      </c>
    </row>
    <row r="5773" spans="1:5" x14ac:dyDescent="0.3">
      <c r="A5773" s="397"/>
      <c r="B5773" s="709">
        <v>93080</v>
      </c>
      <c r="C5773" s="710" t="s">
        <v>5815</v>
      </c>
      <c r="D5773" s="709" t="s">
        <v>136</v>
      </c>
      <c r="E5773" s="711">
        <v>0.52</v>
      </c>
    </row>
    <row r="5774" spans="1:5" x14ac:dyDescent="0.3">
      <c r="A5774" s="397"/>
      <c r="B5774" s="709">
        <v>103884</v>
      </c>
      <c r="C5774" s="710" t="s">
        <v>5816</v>
      </c>
      <c r="D5774" s="709" t="s">
        <v>136</v>
      </c>
      <c r="E5774" s="711">
        <v>0.63959999999999995</v>
      </c>
    </row>
    <row r="5775" spans="1:5" x14ac:dyDescent="0.3">
      <c r="A5775" s="397"/>
      <c r="B5775" s="709">
        <v>103815</v>
      </c>
      <c r="C5775" s="710" t="s">
        <v>5817</v>
      </c>
      <c r="D5775" s="709" t="s">
        <v>136</v>
      </c>
      <c r="E5775" s="711">
        <v>0.63480000000000003</v>
      </c>
    </row>
    <row r="5776" spans="1:5" x14ac:dyDescent="0.3">
      <c r="A5776" s="397"/>
      <c r="B5776" s="709">
        <v>103848</v>
      </c>
      <c r="C5776" s="710" t="s">
        <v>5818</v>
      </c>
      <c r="D5776" s="709" t="s">
        <v>136</v>
      </c>
      <c r="E5776" s="711">
        <v>0.621</v>
      </c>
    </row>
    <row r="5777" spans="1:5" x14ac:dyDescent="0.3">
      <c r="A5777" s="397"/>
      <c r="B5777" s="709">
        <v>93103</v>
      </c>
      <c r="C5777" s="710" t="s">
        <v>5819</v>
      </c>
      <c r="D5777" s="709" t="s">
        <v>136</v>
      </c>
      <c r="E5777" s="711">
        <v>0.52769999999999995</v>
      </c>
    </row>
    <row r="5778" spans="1:5" x14ac:dyDescent="0.3">
      <c r="A5778" s="397"/>
      <c r="B5778" s="709">
        <v>93050</v>
      </c>
      <c r="C5778" s="710" t="s">
        <v>5820</v>
      </c>
      <c r="D5778" s="709" t="s">
        <v>136</v>
      </c>
      <c r="E5778" s="711">
        <v>0.22800000000000001</v>
      </c>
    </row>
    <row r="5779" spans="1:5" x14ac:dyDescent="0.3">
      <c r="A5779" s="397"/>
      <c r="B5779" s="709">
        <v>93084</v>
      </c>
      <c r="C5779" s="710" t="s">
        <v>5821</v>
      </c>
      <c r="D5779" s="709" t="s">
        <v>136</v>
      </c>
      <c r="E5779" s="711">
        <v>0.36359999999999998</v>
      </c>
    </row>
    <row r="5780" spans="1:5" x14ac:dyDescent="0.3">
      <c r="A5780" s="397"/>
      <c r="B5780" s="709">
        <v>103889</v>
      </c>
      <c r="C5780" s="710" t="s">
        <v>5822</v>
      </c>
      <c r="D5780" s="709" t="s">
        <v>136</v>
      </c>
      <c r="E5780" s="711">
        <v>0.4894</v>
      </c>
    </row>
    <row r="5781" spans="1:5" x14ac:dyDescent="0.3">
      <c r="A5781" s="397"/>
      <c r="B5781" s="709">
        <v>103820</v>
      </c>
      <c r="C5781" s="710" t="s">
        <v>5823</v>
      </c>
      <c r="D5781" s="709" t="s">
        <v>136</v>
      </c>
      <c r="E5781" s="711">
        <v>0.57589999999999997</v>
      </c>
    </row>
    <row r="5782" spans="1:5" x14ac:dyDescent="0.3">
      <c r="A5782" s="397"/>
      <c r="B5782" s="709">
        <v>103853</v>
      </c>
      <c r="C5782" s="710" t="s">
        <v>5824</v>
      </c>
      <c r="D5782" s="709" t="s">
        <v>136</v>
      </c>
      <c r="E5782" s="711">
        <v>0.50039999999999996</v>
      </c>
    </row>
    <row r="5783" spans="1:5" x14ac:dyDescent="0.3">
      <c r="A5783" s="397"/>
      <c r="B5783" s="709">
        <v>93107</v>
      </c>
      <c r="C5783" s="710" t="s">
        <v>5825</v>
      </c>
      <c r="D5783" s="709" t="s">
        <v>136</v>
      </c>
      <c r="E5783" s="711">
        <v>0.43580000000000002</v>
      </c>
    </row>
    <row r="5784" spans="1:5" x14ac:dyDescent="0.3">
      <c r="A5784" s="397"/>
      <c r="B5784" s="709">
        <v>93056</v>
      </c>
      <c r="C5784" s="710" t="s">
        <v>5826</v>
      </c>
      <c r="D5784" s="709" t="s">
        <v>136</v>
      </c>
      <c r="E5784" s="711">
        <v>0.19589999999999999</v>
      </c>
    </row>
    <row r="5785" spans="1:5" x14ac:dyDescent="0.3">
      <c r="A5785" s="397"/>
      <c r="B5785" s="709">
        <v>93090</v>
      </c>
      <c r="C5785" s="710" t="s">
        <v>5827</v>
      </c>
      <c r="D5785" s="709" t="s">
        <v>136</v>
      </c>
      <c r="E5785" s="711">
        <v>0.28939999999999999</v>
      </c>
    </row>
    <row r="5786" spans="1:5" x14ac:dyDescent="0.3">
      <c r="A5786" s="397"/>
      <c r="B5786" s="709">
        <v>103896</v>
      </c>
      <c r="C5786" s="710" t="s">
        <v>5828</v>
      </c>
      <c r="D5786" s="709" t="s">
        <v>136</v>
      </c>
      <c r="E5786" s="711">
        <v>0.40970000000000001</v>
      </c>
    </row>
    <row r="5787" spans="1:5" x14ac:dyDescent="0.3">
      <c r="A5787" s="397"/>
      <c r="B5787" s="709">
        <v>103827</v>
      </c>
      <c r="C5787" s="710" t="s">
        <v>5829</v>
      </c>
      <c r="D5787" s="709" t="s">
        <v>136</v>
      </c>
      <c r="E5787" s="711">
        <v>0.5504</v>
      </c>
    </row>
    <row r="5788" spans="1:5" x14ac:dyDescent="0.3">
      <c r="A5788" s="397"/>
      <c r="B5788" s="709">
        <v>103860</v>
      </c>
      <c r="C5788" s="710" t="s">
        <v>5830</v>
      </c>
      <c r="D5788" s="709" t="s">
        <v>136</v>
      </c>
      <c r="E5788" s="711">
        <v>0.43769999999999998</v>
      </c>
    </row>
    <row r="5789" spans="1:5" x14ac:dyDescent="0.3">
      <c r="A5789" s="397"/>
      <c r="B5789" s="709">
        <v>93113</v>
      </c>
      <c r="C5789" s="710" t="s">
        <v>5831</v>
      </c>
      <c r="D5789" s="709" t="s">
        <v>136</v>
      </c>
      <c r="E5789" s="711">
        <v>0.38919999999999999</v>
      </c>
    </row>
    <row r="5790" spans="1:5" x14ac:dyDescent="0.3">
      <c r="A5790" s="397"/>
      <c r="B5790" s="709">
        <v>93061</v>
      </c>
      <c r="C5790" s="710" t="s">
        <v>5832</v>
      </c>
      <c r="D5790" s="709" t="s">
        <v>136</v>
      </c>
      <c r="E5790" s="711">
        <v>0.12870000000000001</v>
      </c>
    </row>
    <row r="5791" spans="1:5" x14ac:dyDescent="0.3">
      <c r="A5791" s="397"/>
      <c r="B5791" s="709">
        <v>93064</v>
      </c>
      <c r="C5791" s="710" t="s">
        <v>5833</v>
      </c>
      <c r="D5791" s="709" t="s">
        <v>136</v>
      </c>
      <c r="E5791" s="711">
        <v>0.1009</v>
      </c>
    </row>
    <row r="5792" spans="1:5" x14ac:dyDescent="0.3">
      <c r="A5792" s="397"/>
      <c r="B5792" s="709">
        <v>93067</v>
      </c>
      <c r="C5792" s="710" t="s">
        <v>5834</v>
      </c>
      <c r="D5792" s="709" t="s">
        <v>136</v>
      </c>
      <c r="E5792" s="711">
        <v>8.77E-2</v>
      </c>
    </row>
    <row r="5793" spans="1:5" x14ac:dyDescent="0.3">
      <c r="A5793" s="397"/>
      <c r="B5793" s="709">
        <v>93070</v>
      </c>
      <c r="C5793" s="710" t="s">
        <v>5835</v>
      </c>
      <c r="D5793" s="709" t="s">
        <v>136</v>
      </c>
      <c r="E5793" s="711">
        <v>4.2299999999999997E-2</v>
      </c>
    </row>
    <row r="5794" spans="1:5" x14ac:dyDescent="0.3">
      <c r="A5794" s="397"/>
      <c r="B5794" s="709">
        <v>93117</v>
      </c>
      <c r="C5794" s="710" t="s">
        <v>5836</v>
      </c>
      <c r="D5794" s="709" t="s">
        <v>136</v>
      </c>
      <c r="E5794" s="711">
        <v>0.1027</v>
      </c>
    </row>
    <row r="5795" spans="1:5" x14ac:dyDescent="0.3">
      <c r="A5795" s="397"/>
      <c r="B5795" s="709">
        <v>93118</v>
      </c>
      <c r="C5795" s="710" t="s">
        <v>5837</v>
      </c>
      <c r="D5795" s="709" t="s">
        <v>136</v>
      </c>
      <c r="E5795" s="711">
        <v>0.1061</v>
      </c>
    </row>
    <row r="5796" spans="1:5" x14ac:dyDescent="0.3">
      <c r="A5796" s="397"/>
      <c r="B5796" s="709">
        <v>92317</v>
      </c>
      <c r="C5796" s="710" t="s">
        <v>5838</v>
      </c>
      <c r="D5796" s="709" t="s">
        <v>136</v>
      </c>
      <c r="E5796" s="711">
        <v>0.497</v>
      </c>
    </row>
    <row r="5797" spans="1:5" x14ac:dyDescent="0.3">
      <c r="A5797" s="397"/>
      <c r="B5797" s="709">
        <v>92332</v>
      </c>
      <c r="C5797" s="710" t="s">
        <v>5839</v>
      </c>
      <c r="D5797" s="709" t="s">
        <v>136</v>
      </c>
      <c r="E5797" s="711">
        <v>0.50509999999999999</v>
      </c>
    </row>
    <row r="5798" spans="1:5" x14ac:dyDescent="0.3">
      <c r="A5798" s="397"/>
      <c r="B5798" s="709">
        <v>92299</v>
      </c>
      <c r="C5798" s="710" t="s">
        <v>5840</v>
      </c>
      <c r="D5798" s="709" t="s">
        <v>136</v>
      </c>
      <c r="E5798" s="711">
        <v>0.22289999999999999</v>
      </c>
    </row>
    <row r="5799" spans="1:5" x14ac:dyDescent="0.3">
      <c r="A5799" s="397"/>
      <c r="B5799" s="709">
        <v>92318</v>
      </c>
      <c r="C5799" s="710" t="s">
        <v>5841</v>
      </c>
      <c r="D5799" s="709" t="s">
        <v>136</v>
      </c>
      <c r="E5799" s="711">
        <v>0.35680000000000001</v>
      </c>
    </row>
    <row r="5800" spans="1:5" x14ac:dyDescent="0.3">
      <c r="A5800" s="397"/>
      <c r="B5800" s="709">
        <v>103833</v>
      </c>
      <c r="C5800" s="710" t="s">
        <v>5842</v>
      </c>
      <c r="D5800" s="709" t="s">
        <v>136</v>
      </c>
      <c r="E5800" s="711">
        <v>0.56969999999999998</v>
      </c>
    </row>
    <row r="5801" spans="1:5" x14ac:dyDescent="0.3">
      <c r="A5801" s="397"/>
      <c r="B5801" s="709">
        <v>92333</v>
      </c>
      <c r="C5801" s="710" t="s">
        <v>5843</v>
      </c>
      <c r="D5801" s="709" t="s">
        <v>136</v>
      </c>
      <c r="E5801" s="711">
        <v>0.42870000000000003</v>
      </c>
    </row>
    <row r="5802" spans="1:5" x14ac:dyDescent="0.3">
      <c r="A5802" s="397"/>
      <c r="B5802" s="709">
        <v>92300</v>
      </c>
      <c r="C5802" s="710" t="s">
        <v>5844</v>
      </c>
      <c r="D5802" s="709" t="s">
        <v>136</v>
      </c>
      <c r="E5802" s="711">
        <v>0.18759999999999999</v>
      </c>
    </row>
    <row r="5803" spans="1:5" x14ac:dyDescent="0.3">
      <c r="A5803" s="397"/>
      <c r="B5803" s="709">
        <v>92319</v>
      </c>
      <c r="C5803" s="710" t="s">
        <v>5845</v>
      </c>
      <c r="D5803" s="709" t="s">
        <v>136</v>
      </c>
      <c r="E5803" s="711">
        <v>0.27839999999999998</v>
      </c>
    </row>
    <row r="5804" spans="1:5" x14ac:dyDescent="0.3">
      <c r="A5804" s="397"/>
      <c r="B5804" s="709">
        <v>92334</v>
      </c>
      <c r="C5804" s="710" t="s">
        <v>5846</v>
      </c>
      <c r="D5804" s="709" t="s">
        <v>136</v>
      </c>
      <c r="E5804" s="711">
        <v>0.37669999999999998</v>
      </c>
    </row>
    <row r="5805" spans="1:5" x14ac:dyDescent="0.3">
      <c r="A5805" s="397"/>
      <c r="B5805" s="709">
        <v>92301</v>
      </c>
      <c r="C5805" s="710" t="s">
        <v>5847</v>
      </c>
      <c r="D5805" s="709" t="s">
        <v>136</v>
      </c>
      <c r="E5805" s="711">
        <v>0.1179</v>
      </c>
    </row>
    <row r="5806" spans="1:5" x14ac:dyDescent="0.3">
      <c r="A5806" s="397"/>
      <c r="B5806" s="709">
        <v>92302</v>
      </c>
      <c r="C5806" s="710" t="s">
        <v>5848</v>
      </c>
      <c r="D5806" s="709" t="s">
        <v>136</v>
      </c>
      <c r="E5806" s="711">
        <v>0.1076</v>
      </c>
    </row>
    <row r="5807" spans="1:5" x14ac:dyDescent="0.3">
      <c r="A5807" s="397"/>
      <c r="B5807" s="709">
        <v>92303</v>
      </c>
      <c r="C5807" s="710" t="s">
        <v>5849</v>
      </c>
      <c r="D5807" s="709" t="s">
        <v>136</v>
      </c>
      <c r="E5807" s="711">
        <v>7.5499999999999998E-2</v>
      </c>
    </row>
    <row r="5808" spans="1:5" x14ac:dyDescent="0.3">
      <c r="A5808" s="397"/>
      <c r="B5808" s="709">
        <v>92304</v>
      </c>
      <c r="C5808" s="710" t="s">
        <v>5850</v>
      </c>
      <c r="D5808" s="709" t="s">
        <v>136</v>
      </c>
      <c r="E5808" s="711">
        <v>3.5400000000000001E-2</v>
      </c>
    </row>
    <row r="5809" spans="1:5" x14ac:dyDescent="0.3">
      <c r="A5809" s="397"/>
      <c r="B5809" s="709">
        <v>103835</v>
      </c>
      <c r="C5809" s="710" t="s">
        <v>5851</v>
      </c>
      <c r="D5809" s="709" t="s">
        <v>159</v>
      </c>
      <c r="E5809" s="711">
        <v>0.1996</v>
      </c>
    </row>
    <row r="5810" spans="1:5" x14ac:dyDescent="0.3">
      <c r="A5810" s="397"/>
      <c r="B5810" s="709">
        <v>92308</v>
      </c>
      <c r="C5810" s="710" t="s">
        <v>5852</v>
      </c>
      <c r="D5810" s="709" t="s">
        <v>159</v>
      </c>
      <c r="E5810" s="711">
        <v>0.17680000000000001</v>
      </c>
    </row>
    <row r="5811" spans="1:5" x14ac:dyDescent="0.3">
      <c r="A5811" s="397"/>
      <c r="B5811" s="709">
        <v>103871</v>
      </c>
      <c r="C5811" s="710" t="s">
        <v>5853</v>
      </c>
      <c r="D5811" s="709" t="s">
        <v>159</v>
      </c>
      <c r="E5811" s="711">
        <v>0.2873</v>
      </c>
    </row>
    <row r="5812" spans="1:5" x14ac:dyDescent="0.3">
      <c r="A5812" s="397"/>
      <c r="B5812" s="709">
        <v>92323</v>
      </c>
      <c r="C5812" s="710" t="s">
        <v>5854</v>
      </c>
      <c r="D5812" s="709" t="s">
        <v>159</v>
      </c>
      <c r="E5812" s="711">
        <v>0.28199999999999997</v>
      </c>
    </row>
    <row r="5813" spans="1:5" x14ac:dyDescent="0.3">
      <c r="A5813" s="397"/>
      <c r="B5813" s="709">
        <v>92305</v>
      </c>
      <c r="C5813" s="710" t="s">
        <v>5855</v>
      </c>
      <c r="D5813" s="709" t="s">
        <v>159</v>
      </c>
      <c r="E5813" s="711">
        <v>0.1527</v>
      </c>
    </row>
    <row r="5814" spans="1:5" x14ac:dyDescent="0.3">
      <c r="A5814" s="397"/>
      <c r="B5814" s="709">
        <v>103868</v>
      </c>
      <c r="C5814" s="710" t="s">
        <v>5856</v>
      </c>
      <c r="D5814" s="709" t="s">
        <v>159</v>
      </c>
      <c r="E5814" s="711">
        <v>0.33550000000000002</v>
      </c>
    </row>
    <row r="5815" spans="1:5" x14ac:dyDescent="0.3">
      <c r="A5815" s="397"/>
      <c r="B5815" s="709">
        <v>103802</v>
      </c>
      <c r="C5815" s="710" t="s">
        <v>5857</v>
      </c>
      <c r="D5815" s="709" t="s">
        <v>159</v>
      </c>
      <c r="E5815" s="711">
        <v>0.19320000000000001</v>
      </c>
    </row>
    <row r="5816" spans="1:5" x14ac:dyDescent="0.3">
      <c r="A5816" s="397"/>
      <c r="B5816" s="709">
        <v>92320</v>
      </c>
      <c r="C5816" s="710" t="s">
        <v>5858</v>
      </c>
      <c r="D5816" s="709" t="s">
        <v>159</v>
      </c>
      <c r="E5816" s="711">
        <v>0.32800000000000001</v>
      </c>
    </row>
    <row r="5817" spans="1:5" x14ac:dyDescent="0.3">
      <c r="A5817" s="397"/>
      <c r="B5817" s="709">
        <v>97335</v>
      </c>
      <c r="C5817" s="710" t="s">
        <v>5859</v>
      </c>
      <c r="D5817" s="709" t="s">
        <v>159</v>
      </c>
      <c r="E5817" s="711">
        <v>2.2599999999999999E-2</v>
      </c>
    </row>
    <row r="5818" spans="1:5" x14ac:dyDescent="0.3">
      <c r="A5818" s="397"/>
      <c r="B5818" s="709">
        <v>103836</v>
      </c>
      <c r="C5818" s="710" t="s">
        <v>5860</v>
      </c>
      <c r="D5818" s="709" t="s">
        <v>159</v>
      </c>
      <c r="E5818" s="711">
        <v>0.17050000000000001</v>
      </c>
    </row>
    <row r="5819" spans="1:5" x14ac:dyDescent="0.3">
      <c r="A5819" s="397"/>
      <c r="B5819" s="709">
        <v>92281</v>
      </c>
      <c r="C5819" s="710" t="s">
        <v>5861</v>
      </c>
      <c r="D5819" s="709" t="s">
        <v>159</v>
      </c>
      <c r="E5819" s="711">
        <v>2.5499999999999998E-2</v>
      </c>
    </row>
    <row r="5820" spans="1:5" x14ac:dyDescent="0.3">
      <c r="A5820" s="397"/>
      <c r="B5820" s="709">
        <v>92309</v>
      </c>
      <c r="C5820" s="710" t="s">
        <v>5862</v>
      </c>
      <c r="D5820" s="709" t="s">
        <v>159</v>
      </c>
      <c r="E5820" s="711">
        <v>8.6499999999999994E-2</v>
      </c>
    </row>
    <row r="5821" spans="1:5" x14ac:dyDescent="0.3">
      <c r="A5821" s="397"/>
      <c r="B5821" s="709">
        <v>103872</v>
      </c>
      <c r="C5821" s="710" t="s">
        <v>5863</v>
      </c>
      <c r="D5821" s="709" t="s">
        <v>159</v>
      </c>
      <c r="E5821" s="711">
        <v>0.1595</v>
      </c>
    </row>
    <row r="5822" spans="1:5" x14ac:dyDescent="0.3">
      <c r="A5822" s="397"/>
      <c r="B5822" s="709">
        <v>92324</v>
      </c>
      <c r="C5822" s="710" t="s">
        <v>5864</v>
      </c>
      <c r="D5822" s="709" t="s">
        <v>159</v>
      </c>
      <c r="E5822" s="711">
        <v>0.18959999999999999</v>
      </c>
    </row>
    <row r="5823" spans="1:5" x14ac:dyDescent="0.3">
      <c r="A5823" s="397"/>
      <c r="B5823" s="709">
        <v>92275</v>
      </c>
      <c r="C5823" s="710" t="s">
        <v>5865</v>
      </c>
      <c r="D5823" s="709" t="s">
        <v>159</v>
      </c>
      <c r="E5823" s="711">
        <v>3.2599999999999997E-2</v>
      </c>
    </row>
    <row r="5824" spans="1:5" x14ac:dyDescent="0.3">
      <c r="A5824" s="397"/>
      <c r="B5824" s="709">
        <v>92306</v>
      </c>
      <c r="C5824" s="710" t="s">
        <v>5866</v>
      </c>
      <c r="D5824" s="709" t="s">
        <v>159</v>
      </c>
      <c r="E5824" s="711">
        <v>0.1079</v>
      </c>
    </row>
    <row r="5825" spans="1:5" x14ac:dyDescent="0.3">
      <c r="A5825" s="397"/>
      <c r="B5825" s="709">
        <v>103869</v>
      </c>
      <c r="C5825" s="710" t="s">
        <v>5867</v>
      </c>
      <c r="D5825" s="709" t="s">
        <v>159</v>
      </c>
      <c r="E5825" s="711">
        <v>0.25740000000000002</v>
      </c>
    </row>
    <row r="5826" spans="1:5" x14ac:dyDescent="0.3">
      <c r="A5826" s="397"/>
      <c r="B5826" s="709">
        <v>103803</v>
      </c>
      <c r="C5826" s="710" t="s">
        <v>5868</v>
      </c>
      <c r="D5826" s="709" t="s">
        <v>159</v>
      </c>
      <c r="E5826" s="711">
        <v>0.19259999999999999</v>
      </c>
    </row>
    <row r="5827" spans="1:5" x14ac:dyDescent="0.3">
      <c r="A5827" s="397"/>
      <c r="B5827" s="709">
        <v>92321</v>
      </c>
      <c r="C5827" s="710" t="s">
        <v>5869</v>
      </c>
      <c r="D5827" s="709" t="s">
        <v>159</v>
      </c>
      <c r="E5827" s="711">
        <v>0.30030000000000001</v>
      </c>
    </row>
    <row r="5828" spans="1:5" x14ac:dyDescent="0.3">
      <c r="A5828" s="397"/>
      <c r="B5828" s="709">
        <v>97336</v>
      </c>
      <c r="C5828" s="710" t="s">
        <v>5870</v>
      </c>
      <c r="D5828" s="709" t="s">
        <v>159</v>
      </c>
      <c r="E5828" s="711">
        <v>2.3E-2</v>
      </c>
    </row>
    <row r="5829" spans="1:5" x14ac:dyDescent="0.3">
      <c r="A5829" s="397"/>
      <c r="B5829" s="709">
        <v>103837</v>
      </c>
      <c r="C5829" s="710" t="s">
        <v>5871</v>
      </c>
      <c r="D5829" s="709" t="s">
        <v>159</v>
      </c>
      <c r="E5829" s="711">
        <v>0.16400000000000001</v>
      </c>
    </row>
    <row r="5830" spans="1:5" x14ac:dyDescent="0.3">
      <c r="A5830" s="397"/>
      <c r="B5830" s="709">
        <v>92282</v>
      </c>
      <c r="C5830" s="710" t="s">
        <v>5872</v>
      </c>
      <c r="D5830" s="709" t="s">
        <v>159</v>
      </c>
      <c r="E5830" s="711">
        <v>2.63E-2</v>
      </c>
    </row>
    <row r="5831" spans="1:5" x14ac:dyDescent="0.3">
      <c r="A5831" s="397"/>
      <c r="B5831" s="709">
        <v>92310</v>
      </c>
      <c r="C5831" s="710" t="s">
        <v>5873</v>
      </c>
      <c r="D5831" s="709" t="s">
        <v>159</v>
      </c>
      <c r="E5831" s="711">
        <v>8.0799999999999997E-2</v>
      </c>
    </row>
    <row r="5832" spans="1:5" x14ac:dyDescent="0.3">
      <c r="A5832" s="397"/>
      <c r="B5832" s="709">
        <v>103873</v>
      </c>
      <c r="C5832" s="710" t="s">
        <v>5874</v>
      </c>
      <c r="D5832" s="709" t="s">
        <v>159</v>
      </c>
      <c r="E5832" s="711">
        <v>0.15540000000000001</v>
      </c>
    </row>
    <row r="5833" spans="1:5" x14ac:dyDescent="0.3">
      <c r="A5833" s="397"/>
      <c r="B5833" s="709">
        <v>92325</v>
      </c>
      <c r="C5833" s="710" t="s">
        <v>5875</v>
      </c>
      <c r="D5833" s="709" t="s">
        <v>159</v>
      </c>
      <c r="E5833" s="711">
        <v>0.2051</v>
      </c>
    </row>
    <row r="5834" spans="1:5" x14ac:dyDescent="0.3">
      <c r="A5834" s="397"/>
      <c r="B5834" s="709">
        <v>92276</v>
      </c>
      <c r="C5834" s="710" t="s">
        <v>5876</v>
      </c>
      <c r="D5834" s="709" t="s">
        <v>159</v>
      </c>
      <c r="E5834" s="711">
        <v>3.3300000000000003E-2</v>
      </c>
    </row>
    <row r="5835" spans="1:5" x14ac:dyDescent="0.3">
      <c r="A5835" s="397"/>
      <c r="B5835" s="709">
        <v>92307</v>
      </c>
      <c r="C5835" s="710" t="s">
        <v>5877</v>
      </c>
      <c r="D5835" s="709" t="s">
        <v>159</v>
      </c>
      <c r="E5835" s="711">
        <v>9.6000000000000002E-2</v>
      </c>
    </row>
    <row r="5836" spans="1:5" x14ac:dyDescent="0.3">
      <c r="A5836" s="397"/>
      <c r="B5836" s="709">
        <v>103870</v>
      </c>
      <c r="C5836" s="710" t="s">
        <v>5878</v>
      </c>
      <c r="D5836" s="709" t="s">
        <v>159</v>
      </c>
      <c r="E5836" s="711">
        <v>0.2361</v>
      </c>
    </row>
    <row r="5837" spans="1:5" x14ac:dyDescent="0.3">
      <c r="A5837" s="397"/>
      <c r="B5837" s="709">
        <v>103804</v>
      </c>
      <c r="C5837" s="710" t="s">
        <v>5879</v>
      </c>
      <c r="D5837" s="709" t="s">
        <v>159</v>
      </c>
      <c r="E5837" s="711">
        <v>0.15820000000000001</v>
      </c>
    </row>
    <row r="5838" spans="1:5" x14ac:dyDescent="0.3">
      <c r="A5838" s="397"/>
      <c r="B5838" s="709">
        <v>92322</v>
      </c>
      <c r="C5838" s="710" t="s">
        <v>5880</v>
      </c>
      <c r="D5838" s="709" t="s">
        <v>159</v>
      </c>
      <c r="E5838" s="711">
        <v>0.3039</v>
      </c>
    </row>
    <row r="5839" spans="1:5" x14ac:dyDescent="0.3">
      <c r="A5839" s="397"/>
      <c r="B5839" s="709">
        <v>97337</v>
      </c>
      <c r="C5839" s="710" t="s">
        <v>5881</v>
      </c>
      <c r="D5839" s="709" t="s">
        <v>159</v>
      </c>
      <c r="E5839" s="711">
        <v>1.9300000000000001E-2</v>
      </c>
    </row>
    <row r="5840" spans="1:5" x14ac:dyDescent="0.3">
      <c r="A5840" s="397"/>
      <c r="B5840" s="709">
        <v>92283</v>
      </c>
      <c r="C5840" s="710" t="s">
        <v>5882</v>
      </c>
      <c r="D5840" s="709" t="s">
        <v>159</v>
      </c>
      <c r="E5840" s="711">
        <v>2.29E-2</v>
      </c>
    </row>
    <row r="5841" spans="1:5" x14ac:dyDescent="0.3">
      <c r="A5841" s="397"/>
      <c r="B5841" s="709">
        <v>92277</v>
      </c>
      <c r="C5841" s="710" t="s">
        <v>5883</v>
      </c>
      <c r="D5841" s="709" t="s">
        <v>159</v>
      </c>
      <c r="E5841" s="711">
        <v>2.9000000000000001E-2</v>
      </c>
    </row>
    <row r="5842" spans="1:5" x14ac:dyDescent="0.3">
      <c r="A5842" s="397"/>
      <c r="B5842" s="709">
        <v>97338</v>
      </c>
      <c r="C5842" s="710" t="s">
        <v>5884</v>
      </c>
      <c r="D5842" s="709" t="s">
        <v>159</v>
      </c>
      <c r="E5842" s="711">
        <v>1.9400000000000001E-2</v>
      </c>
    </row>
    <row r="5843" spans="1:5" x14ac:dyDescent="0.3">
      <c r="A5843" s="397"/>
      <c r="B5843" s="709">
        <v>92284</v>
      </c>
      <c r="C5843" s="710" t="s">
        <v>5885</v>
      </c>
      <c r="D5843" s="709" t="s">
        <v>159</v>
      </c>
      <c r="E5843" s="711">
        <v>2.1000000000000001E-2</v>
      </c>
    </row>
    <row r="5844" spans="1:5" x14ac:dyDescent="0.3">
      <c r="A5844" s="397"/>
      <c r="B5844" s="709">
        <v>92278</v>
      </c>
      <c r="C5844" s="710" t="s">
        <v>5886</v>
      </c>
      <c r="D5844" s="709" t="s">
        <v>159</v>
      </c>
      <c r="E5844" s="711">
        <v>2.6100000000000002E-2</v>
      </c>
    </row>
    <row r="5845" spans="1:5" x14ac:dyDescent="0.3">
      <c r="A5845" s="397"/>
      <c r="B5845" s="709">
        <v>97339</v>
      </c>
      <c r="C5845" s="710" t="s">
        <v>5887</v>
      </c>
      <c r="D5845" s="709" t="s">
        <v>159</v>
      </c>
      <c r="E5845" s="711">
        <v>1.77E-2</v>
      </c>
    </row>
    <row r="5846" spans="1:5" x14ac:dyDescent="0.3">
      <c r="A5846" s="397"/>
      <c r="B5846" s="709">
        <v>92285</v>
      </c>
      <c r="C5846" s="710" t="s">
        <v>5888</v>
      </c>
      <c r="D5846" s="709" t="s">
        <v>159</v>
      </c>
      <c r="E5846" s="711">
        <v>1.9099999999999999E-2</v>
      </c>
    </row>
    <row r="5847" spans="1:5" x14ac:dyDescent="0.3">
      <c r="A5847" s="397"/>
      <c r="B5847" s="709">
        <v>92279</v>
      </c>
      <c r="C5847" s="710" t="s">
        <v>5889</v>
      </c>
      <c r="D5847" s="709" t="s">
        <v>159</v>
      </c>
      <c r="E5847" s="711">
        <v>2.3300000000000001E-2</v>
      </c>
    </row>
    <row r="5848" spans="1:5" x14ac:dyDescent="0.3">
      <c r="A5848" s="397"/>
      <c r="B5848" s="709">
        <v>97340</v>
      </c>
      <c r="C5848" s="710" t="s">
        <v>5890</v>
      </c>
      <c r="D5848" s="709" t="s">
        <v>159</v>
      </c>
      <c r="E5848" s="711">
        <v>1.6799999999999999E-2</v>
      </c>
    </row>
    <row r="5849" spans="1:5" x14ac:dyDescent="0.3">
      <c r="A5849" s="397"/>
      <c r="B5849" s="709">
        <v>92286</v>
      </c>
      <c r="C5849" s="710" t="s">
        <v>5891</v>
      </c>
      <c r="D5849" s="709" t="s">
        <v>159</v>
      </c>
      <c r="E5849" s="711">
        <v>1.78E-2</v>
      </c>
    </row>
    <row r="5850" spans="1:5" x14ac:dyDescent="0.3">
      <c r="A5850" s="397"/>
      <c r="B5850" s="709">
        <v>92280</v>
      </c>
      <c r="C5850" s="710" t="s">
        <v>5892</v>
      </c>
      <c r="D5850" s="709" t="s">
        <v>159</v>
      </c>
      <c r="E5850" s="711">
        <v>2.0400000000000001E-2</v>
      </c>
    </row>
    <row r="5851" spans="1:5" x14ac:dyDescent="0.3">
      <c r="A5851" s="397"/>
      <c r="B5851" s="709">
        <v>103901</v>
      </c>
      <c r="C5851" s="710" t="s">
        <v>5893</v>
      </c>
      <c r="D5851" s="709" t="s">
        <v>136</v>
      </c>
      <c r="E5851" s="711">
        <v>0.61799999999999999</v>
      </c>
    </row>
    <row r="5852" spans="1:5" x14ac:dyDescent="0.3">
      <c r="A5852" s="397"/>
      <c r="B5852" s="709">
        <v>103832</v>
      </c>
      <c r="C5852" s="710" t="s">
        <v>5894</v>
      </c>
      <c r="D5852" s="709" t="s">
        <v>136</v>
      </c>
      <c r="E5852" s="711">
        <v>0.61399999999999999</v>
      </c>
    </row>
    <row r="5853" spans="1:5" x14ac:dyDescent="0.3">
      <c r="A5853" s="397"/>
      <c r="B5853" s="709">
        <v>103865</v>
      </c>
      <c r="C5853" s="710" t="s">
        <v>5895</v>
      </c>
      <c r="D5853" s="709" t="s">
        <v>136</v>
      </c>
      <c r="E5853" s="711">
        <v>0.59989999999999999</v>
      </c>
    </row>
    <row r="5854" spans="1:5" x14ac:dyDescent="0.3">
      <c r="A5854" s="397"/>
      <c r="B5854" s="709">
        <v>103902</v>
      </c>
      <c r="C5854" s="710" t="s">
        <v>5896</v>
      </c>
      <c r="D5854" s="709" t="s">
        <v>136</v>
      </c>
      <c r="E5854" s="711">
        <v>0.48220000000000002</v>
      </c>
    </row>
    <row r="5855" spans="1:5" x14ac:dyDescent="0.3">
      <c r="A5855" s="397"/>
      <c r="B5855" s="709">
        <v>103866</v>
      </c>
      <c r="C5855" s="710" t="s">
        <v>5897</v>
      </c>
      <c r="D5855" s="709" t="s">
        <v>136</v>
      </c>
      <c r="E5855" s="711">
        <v>0.49330000000000002</v>
      </c>
    </row>
    <row r="5856" spans="1:5" x14ac:dyDescent="0.3">
      <c r="A5856" s="397"/>
      <c r="B5856" s="709">
        <v>103903</v>
      </c>
      <c r="C5856" s="710" t="s">
        <v>5898</v>
      </c>
      <c r="D5856" s="709" t="s">
        <v>136</v>
      </c>
      <c r="E5856" s="711">
        <v>0.39689999999999998</v>
      </c>
    </row>
    <row r="5857" spans="1:5" x14ac:dyDescent="0.3">
      <c r="A5857" s="397"/>
      <c r="B5857" s="709">
        <v>103834</v>
      </c>
      <c r="C5857" s="710" t="s">
        <v>5899</v>
      </c>
      <c r="D5857" s="709" t="s">
        <v>136</v>
      </c>
      <c r="E5857" s="711">
        <v>0.52890000000000004</v>
      </c>
    </row>
    <row r="5858" spans="1:5" x14ac:dyDescent="0.3">
      <c r="A5858" s="397"/>
      <c r="B5858" s="709">
        <v>103867</v>
      </c>
      <c r="C5858" s="710" t="s">
        <v>5900</v>
      </c>
      <c r="D5858" s="709" t="s">
        <v>136</v>
      </c>
      <c r="E5858" s="711">
        <v>0.42499999999999999</v>
      </c>
    </row>
    <row r="5859" spans="1:5" x14ac:dyDescent="0.3">
      <c r="A5859" s="397"/>
      <c r="B5859" s="709">
        <v>105113</v>
      </c>
      <c r="C5859" s="710" t="s">
        <v>5901</v>
      </c>
      <c r="D5859" s="709" t="s">
        <v>136</v>
      </c>
      <c r="E5859" s="711">
        <v>0.2535</v>
      </c>
    </row>
    <row r="5860" spans="1:5" x14ac:dyDescent="0.3">
      <c r="A5860" s="397"/>
      <c r="B5860" s="709">
        <v>98461</v>
      </c>
      <c r="C5860" s="710" t="s">
        <v>5902</v>
      </c>
      <c r="D5860" s="709" t="s">
        <v>136</v>
      </c>
      <c r="E5860" s="711">
        <v>0.25309999999999999</v>
      </c>
    </row>
    <row r="5861" spans="1:5" x14ac:dyDescent="0.3">
      <c r="A5861" s="397"/>
      <c r="B5861" s="709">
        <v>98462</v>
      </c>
      <c r="C5861" s="710" t="s">
        <v>5903</v>
      </c>
      <c r="D5861" s="709" t="s">
        <v>136</v>
      </c>
      <c r="E5861" s="711">
        <v>0.25409999999999999</v>
      </c>
    </row>
    <row r="5862" spans="1:5" x14ac:dyDescent="0.3">
      <c r="A5862" s="397"/>
      <c r="B5862" s="709">
        <v>105130</v>
      </c>
      <c r="C5862" s="710" t="s">
        <v>5904</v>
      </c>
      <c r="D5862" s="709" t="s">
        <v>159</v>
      </c>
      <c r="E5862" s="711">
        <v>0.69089999999999996</v>
      </c>
    </row>
    <row r="5863" spans="1:5" x14ac:dyDescent="0.3">
      <c r="A5863" s="397"/>
      <c r="B5863" s="709">
        <v>105114</v>
      </c>
      <c r="C5863" s="710" t="s">
        <v>5905</v>
      </c>
      <c r="D5863" s="709" t="s">
        <v>170</v>
      </c>
      <c r="E5863" s="711">
        <v>0.5978</v>
      </c>
    </row>
    <row r="5864" spans="1:5" x14ac:dyDescent="0.3">
      <c r="A5864" s="397"/>
      <c r="B5864" s="709">
        <v>105127</v>
      </c>
      <c r="C5864" s="710" t="s">
        <v>5907</v>
      </c>
      <c r="D5864" s="709" t="s">
        <v>159</v>
      </c>
      <c r="E5864" s="711">
        <v>0.1651</v>
      </c>
    </row>
    <row r="5865" spans="1:5" x14ac:dyDescent="0.3">
      <c r="A5865" s="397"/>
      <c r="B5865" s="709">
        <v>105128</v>
      </c>
      <c r="C5865" s="710" t="s">
        <v>5908</v>
      </c>
      <c r="D5865" s="709" t="s">
        <v>159</v>
      </c>
      <c r="E5865" s="711">
        <v>0.29120000000000001</v>
      </c>
    </row>
    <row r="5866" spans="1:5" x14ac:dyDescent="0.3">
      <c r="A5866" s="397"/>
      <c r="B5866" s="709">
        <v>105126</v>
      </c>
      <c r="C5866" s="710" t="s">
        <v>5909</v>
      </c>
      <c r="D5866" s="709" t="s">
        <v>159</v>
      </c>
      <c r="E5866" s="711">
        <v>0.1885</v>
      </c>
    </row>
    <row r="5867" spans="1:5" x14ac:dyDescent="0.3">
      <c r="A5867" s="397"/>
      <c r="B5867" s="709">
        <v>105116</v>
      </c>
      <c r="C5867" s="710" t="s">
        <v>5910</v>
      </c>
      <c r="D5867" s="709" t="s">
        <v>136</v>
      </c>
      <c r="E5867" s="711">
        <v>1</v>
      </c>
    </row>
    <row r="5868" spans="1:5" x14ac:dyDescent="0.3">
      <c r="A5868" s="397"/>
      <c r="B5868" s="709">
        <v>105115</v>
      </c>
      <c r="C5868" s="710" t="s">
        <v>5911</v>
      </c>
      <c r="D5868" s="709" t="s">
        <v>136</v>
      </c>
      <c r="E5868" s="711">
        <v>0.52949999999999997</v>
      </c>
    </row>
    <row r="5869" spans="1:5" x14ac:dyDescent="0.3">
      <c r="A5869" s="397"/>
      <c r="B5869" s="709">
        <v>98453</v>
      </c>
      <c r="C5869" s="710" t="s">
        <v>5912</v>
      </c>
      <c r="D5869" s="709" t="s">
        <v>168</v>
      </c>
      <c r="E5869" s="711">
        <v>0.37</v>
      </c>
    </row>
    <row r="5870" spans="1:5" x14ac:dyDescent="0.3">
      <c r="A5870" s="397"/>
      <c r="B5870" s="709">
        <v>98454</v>
      </c>
      <c r="C5870" s="710" t="s">
        <v>5913</v>
      </c>
      <c r="D5870" s="709" t="s">
        <v>168</v>
      </c>
      <c r="E5870" s="711">
        <v>0.4516</v>
      </c>
    </row>
    <row r="5871" spans="1:5" x14ac:dyDescent="0.3">
      <c r="A5871" s="397"/>
      <c r="B5871" s="709">
        <v>98449</v>
      </c>
      <c r="C5871" s="710" t="s">
        <v>5914</v>
      </c>
      <c r="D5871" s="709" t="s">
        <v>168</v>
      </c>
      <c r="E5871" s="711">
        <v>0.31879999999999997</v>
      </c>
    </row>
    <row r="5872" spans="1:5" x14ac:dyDescent="0.3">
      <c r="A5872" s="397"/>
      <c r="B5872" s="709">
        <v>98455</v>
      </c>
      <c r="C5872" s="710" t="s">
        <v>5915</v>
      </c>
      <c r="D5872" s="709" t="s">
        <v>168</v>
      </c>
      <c r="E5872" s="711">
        <v>0.25530000000000003</v>
      </c>
    </row>
    <row r="5873" spans="1:5" x14ac:dyDescent="0.3">
      <c r="A5873" s="397"/>
      <c r="B5873" s="709">
        <v>98456</v>
      </c>
      <c r="C5873" s="710" t="s">
        <v>5916</v>
      </c>
      <c r="D5873" s="709" t="s">
        <v>168</v>
      </c>
      <c r="E5873" s="711">
        <v>0.35099999999999998</v>
      </c>
    </row>
    <row r="5874" spans="1:5" x14ac:dyDescent="0.3">
      <c r="A5874" s="397"/>
      <c r="B5874" s="709">
        <v>98451</v>
      </c>
      <c r="C5874" s="710" t="s">
        <v>5917</v>
      </c>
      <c r="D5874" s="709" t="s">
        <v>168</v>
      </c>
      <c r="E5874" s="711">
        <v>0.20019999999999999</v>
      </c>
    </row>
    <row r="5875" spans="1:5" x14ac:dyDescent="0.3">
      <c r="A5875" s="397"/>
      <c r="B5875" s="709">
        <v>98445</v>
      </c>
      <c r="C5875" s="710" t="s">
        <v>5918</v>
      </c>
      <c r="D5875" s="709" t="s">
        <v>168</v>
      </c>
      <c r="E5875" s="711">
        <v>0.45229999999999998</v>
      </c>
    </row>
    <row r="5876" spans="1:5" x14ac:dyDescent="0.3">
      <c r="A5876" s="397"/>
      <c r="B5876" s="709">
        <v>98446</v>
      </c>
      <c r="C5876" s="710" t="s">
        <v>5919</v>
      </c>
      <c r="D5876" s="709" t="s">
        <v>168</v>
      </c>
      <c r="E5876" s="711">
        <v>0.5161</v>
      </c>
    </row>
    <row r="5877" spans="1:5" x14ac:dyDescent="0.3">
      <c r="A5877" s="397"/>
      <c r="B5877" s="709">
        <v>98441</v>
      </c>
      <c r="C5877" s="710" t="s">
        <v>5920</v>
      </c>
      <c r="D5877" s="709" t="s">
        <v>168</v>
      </c>
      <c r="E5877" s="711">
        <v>0.41570000000000001</v>
      </c>
    </row>
    <row r="5878" spans="1:5" x14ac:dyDescent="0.3">
      <c r="A5878" s="397"/>
      <c r="B5878" s="709">
        <v>98447</v>
      </c>
      <c r="C5878" s="710" t="s">
        <v>5921</v>
      </c>
      <c r="D5878" s="709" t="s">
        <v>168</v>
      </c>
      <c r="E5878" s="711">
        <v>0.32929999999999998</v>
      </c>
    </row>
    <row r="5879" spans="1:5" x14ac:dyDescent="0.3">
      <c r="A5879" s="397"/>
      <c r="B5879" s="709">
        <v>98448</v>
      </c>
      <c r="C5879" s="710" t="s">
        <v>5922</v>
      </c>
      <c r="D5879" s="709" t="s">
        <v>168</v>
      </c>
      <c r="E5879" s="711">
        <v>0.40279999999999999</v>
      </c>
    </row>
    <row r="5880" spans="1:5" x14ac:dyDescent="0.3">
      <c r="A5880" s="397"/>
      <c r="B5880" s="709">
        <v>98443</v>
      </c>
      <c r="C5880" s="710" t="s">
        <v>5923</v>
      </c>
      <c r="D5880" s="709" t="s">
        <v>168</v>
      </c>
      <c r="E5880" s="711">
        <v>0.28489999999999999</v>
      </c>
    </row>
    <row r="5881" spans="1:5" x14ac:dyDescent="0.3">
      <c r="A5881" s="397"/>
      <c r="B5881" s="709">
        <v>98460</v>
      </c>
      <c r="C5881" s="710" t="s">
        <v>5936</v>
      </c>
      <c r="D5881" s="709" t="s">
        <v>168</v>
      </c>
      <c r="E5881" s="711">
        <v>0.4199</v>
      </c>
    </row>
    <row r="5882" spans="1:5" x14ac:dyDescent="0.3">
      <c r="A5882" s="397"/>
      <c r="B5882" s="709">
        <v>98458</v>
      </c>
      <c r="C5882" s="710" t="s">
        <v>5938</v>
      </c>
      <c r="D5882" s="709" t="s">
        <v>168</v>
      </c>
      <c r="E5882" s="711">
        <v>0.38750000000000001</v>
      </c>
    </row>
    <row r="5883" spans="1:5" x14ac:dyDescent="0.3">
      <c r="A5883" s="397"/>
      <c r="B5883" s="709">
        <v>98459</v>
      </c>
      <c r="C5883" s="710" t="s">
        <v>5939</v>
      </c>
      <c r="D5883" s="709" t="s">
        <v>168</v>
      </c>
      <c r="E5883" s="711">
        <v>0.43049999999999999</v>
      </c>
    </row>
    <row r="5884" spans="1:5" x14ac:dyDescent="0.3">
      <c r="A5884" s="397"/>
      <c r="B5884" s="709">
        <v>106056</v>
      </c>
      <c r="C5884" s="710" t="s">
        <v>5941</v>
      </c>
      <c r="D5884" s="709" t="s">
        <v>168</v>
      </c>
      <c r="E5884" s="711">
        <v>0.1444</v>
      </c>
    </row>
    <row r="5885" spans="1:5" x14ac:dyDescent="0.3">
      <c r="A5885" s="397"/>
      <c r="B5885" s="709">
        <v>106057</v>
      </c>
      <c r="C5885" s="710" t="s">
        <v>5942</v>
      </c>
      <c r="D5885" s="709" t="s">
        <v>168</v>
      </c>
      <c r="E5885" s="711">
        <v>0.12809999999999999</v>
      </c>
    </row>
    <row r="5886" spans="1:5" x14ac:dyDescent="0.3">
      <c r="A5886" s="397"/>
      <c r="B5886" s="709">
        <v>104690</v>
      </c>
      <c r="C5886" s="710" t="s">
        <v>5943</v>
      </c>
      <c r="D5886" s="709" t="s">
        <v>168</v>
      </c>
      <c r="E5886" s="711">
        <v>0.1145</v>
      </c>
    </row>
    <row r="5887" spans="1:5" x14ac:dyDescent="0.3">
      <c r="A5887" s="397"/>
      <c r="B5887" s="709">
        <v>101958</v>
      </c>
      <c r="C5887" s="710" t="s">
        <v>5944</v>
      </c>
      <c r="D5887" s="709" t="s">
        <v>168</v>
      </c>
      <c r="E5887" s="711">
        <v>0.1077</v>
      </c>
    </row>
    <row r="5888" spans="1:5" x14ac:dyDescent="0.3">
      <c r="A5888" s="397"/>
      <c r="B5888" s="709">
        <v>106065</v>
      </c>
      <c r="C5888" s="710" t="s">
        <v>5945</v>
      </c>
      <c r="D5888" s="709" t="s">
        <v>168</v>
      </c>
      <c r="E5888" s="711">
        <v>0.1031</v>
      </c>
    </row>
    <row r="5889" spans="1:5" x14ac:dyDescent="0.3">
      <c r="A5889" s="397"/>
      <c r="B5889" s="709">
        <v>101959</v>
      </c>
      <c r="C5889" s="710" t="s">
        <v>5946</v>
      </c>
      <c r="D5889" s="709" t="s">
        <v>168</v>
      </c>
      <c r="E5889" s="711">
        <v>0.14130000000000001</v>
      </c>
    </row>
    <row r="5890" spans="1:5" x14ac:dyDescent="0.3">
      <c r="A5890" s="397"/>
      <c r="B5890" s="709">
        <v>101960</v>
      </c>
      <c r="C5890" s="710" t="s">
        <v>5947</v>
      </c>
      <c r="D5890" s="709" t="s">
        <v>168</v>
      </c>
      <c r="E5890" s="711">
        <v>0.11849999999999999</v>
      </c>
    </row>
    <row r="5891" spans="1:5" x14ac:dyDescent="0.3">
      <c r="A5891" s="397"/>
      <c r="B5891" s="709">
        <v>106058</v>
      </c>
      <c r="C5891" s="710" t="s">
        <v>5948</v>
      </c>
      <c r="D5891" s="709" t="s">
        <v>168</v>
      </c>
      <c r="E5891" s="711">
        <v>0.1028</v>
      </c>
    </row>
    <row r="5892" spans="1:5" x14ac:dyDescent="0.3">
      <c r="A5892" s="397"/>
      <c r="B5892" s="709">
        <v>101962</v>
      </c>
      <c r="C5892" s="710" t="s">
        <v>5949</v>
      </c>
      <c r="D5892" s="709" t="s">
        <v>168</v>
      </c>
      <c r="E5892" s="711">
        <v>0.1018</v>
      </c>
    </row>
    <row r="5893" spans="1:5" x14ac:dyDescent="0.3">
      <c r="A5893" s="397"/>
      <c r="B5893" s="709">
        <v>106066</v>
      </c>
      <c r="C5893" s="710" t="s">
        <v>5950</v>
      </c>
      <c r="D5893" s="709" t="s">
        <v>168</v>
      </c>
      <c r="E5893" s="711">
        <v>9.5899999999999999E-2</v>
      </c>
    </row>
    <row r="5894" spans="1:5" x14ac:dyDescent="0.3">
      <c r="A5894" s="397"/>
      <c r="B5894" s="709">
        <v>106048</v>
      </c>
      <c r="C5894" s="710" t="s">
        <v>5951</v>
      </c>
      <c r="D5894" s="709" t="s">
        <v>168</v>
      </c>
      <c r="E5894" s="711">
        <v>0.15670000000000001</v>
      </c>
    </row>
    <row r="5895" spans="1:5" x14ac:dyDescent="0.3">
      <c r="A5895" s="397"/>
      <c r="B5895" s="709">
        <v>106049</v>
      </c>
      <c r="C5895" s="710" t="s">
        <v>5952</v>
      </c>
      <c r="D5895" s="709" t="s">
        <v>168</v>
      </c>
      <c r="E5895" s="711">
        <v>0.13719999999999999</v>
      </c>
    </row>
    <row r="5896" spans="1:5" x14ac:dyDescent="0.3">
      <c r="A5896" s="397"/>
      <c r="B5896" s="709">
        <v>106050</v>
      </c>
      <c r="C5896" s="710" t="s">
        <v>5953</v>
      </c>
      <c r="D5896" s="709" t="s">
        <v>168</v>
      </c>
      <c r="E5896" s="711">
        <v>0.13139999999999999</v>
      </c>
    </row>
    <row r="5897" spans="1:5" x14ac:dyDescent="0.3">
      <c r="A5897" s="397"/>
      <c r="B5897" s="709">
        <v>106051</v>
      </c>
      <c r="C5897" s="710" t="s">
        <v>5954</v>
      </c>
      <c r="D5897" s="709" t="s">
        <v>168</v>
      </c>
      <c r="E5897" s="711">
        <v>0.12089999999999999</v>
      </c>
    </row>
    <row r="5898" spans="1:5" x14ac:dyDescent="0.3">
      <c r="A5898" s="397"/>
      <c r="B5898" s="709">
        <v>106063</v>
      </c>
      <c r="C5898" s="710" t="s">
        <v>5955</v>
      </c>
      <c r="D5898" s="709" t="s">
        <v>168</v>
      </c>
      <c r="E5898" s="711">
        <v>0.1148</v>
      </c>
    </row>
    <row r="5899" spans="1:5" x14ac:dyDescent="0.3">
      <c r="A5899" s="397"/>
      <c r="B5899" s="709">
        <v>106052</v>
      </c>
      <c r="C5899" s="710" t="s">
        <v>5956</v>
      </c>
      <c r="D5899" s="709" t="s">
        <v>168</v>
      </c>
      <c r="E5899" s="711">
        <v>0.14269999999999999</v>
      </c>
    </row>
    <row r="5900" spans="1:5" x14ac:dyDescent="0.3">
      <c r="A5900" s="397"/>
      <c r="B5900" s="709">
        <v>106053</v>
      </c>
      <c r="C5900" s="710" t="s">
        <v>5957</v>
      </c>
      <c r="D5900" s="709" t="s">
        <v>168</v>
      </c>
      <c r="E5900" s="711">
        <v>0.11559999999999999</v>
      </c>
    </row>
    <row r="5901" spans="1:5" x14ac:dyDescent="0.3">
      <c r="A5901" s="397"/>
      <c r="B5901" s="709">
        <v>106054</v>
      </c>
      <c r="C5901" s="710" t="s">
        <v>5958</v>
      </c>
      <c r="D5901" s="709" t="s">
        <v>168</v>
      </c>
      <c r="E5901" s="711">
        <v>0.1067</v>
      </c>
    </row>
    <row r="5902" spans="1:5" x14ac:dyDescent="0.3">
      <c r="A5902" s="397"/>
      <c r="B5902" s="709">
        <v>106055</v>
      </c>
      <c r="C5902" s="710" t="s">
        <v>5959</v>
      </c>
      <c r="D5902" s="709" t="s">
        <v>168</v>
      </c>
      <c r="E5902" s="711">
        <v>0.1051</v>
      </c>
    </row>
    <row r="5903" spans="1:5" x14ac:dyDescent="0.3">
      <c r="A5903" s="397"/>
      <c r="B5903" s="709">
        <v>106064</v>
      </c>
      <c r="C5903" s="710" t="s">
        <v>5960</v>
      </c>
      <c r="D5903" s="709" t="s">
        <v>168</v>
      </c>
      <c r="E5903" s="711">
        <v>9.8199999999999996E-2</v>
      </c>
    </row>
    <row r="5904" spans="1:5" x14ac:dyDescent="0.3">
      <c r="A5904" s="397"/>
      <c r="B5904" s="709">
        <v>106067</v>
      </c>
      <c r="C5904" s="710" t="s">
        <v>5961</v>
      </c>
      <c r="D5904" s="709" t="s">
        <v>168</v>
      </c>
      <c r="E5904" s="711">
        <v>0.17419999999999999</v>
      </c>
    </row>
    <row r="5905" spans="1:5" x14ac:dyDescent="0.3">
      <c r="A5905" s="397"/>
      <c r="B5905" s="709">
        <v>106070</v>
      </c>
      <c r="C5905" s="710" t="s">
        <v>5962</v>
      </c>
      <c r="D5905" s="709" t="s">
        <v>168</v>
      </c>
      <c r="E5905" s="711">
        <v>0.15079999999999999</v>
      </c>
    </row>
    <row r="5906" spans="1:5" x14ac:dyDescent="0.3">
      <c r="A5906" s="397"/>
      <c r="B5906" s="709">
        <v>106071</v>
      </c>
      <c r="C5906" s="710" t="s">
        <v>5963</v>
      </c>
      <c r="D5906" s="709" t="s">
        <v>168</v>
      </c>
      <c r="E5906" s="711">
        <v>0.1356</v>
      </c>
    </row>
    <row r="5907" spans="1:5" x14ac:dyDescent="0.3">
      <c r="A5907" s="397"/>
      <c r="B5907" s="709">
        <v>106072</v>
      </c>
      <c r="C5907" s="710" t="s">
        <v>5964</v>
      </c>
      <c r="D5907" s="709" t="s">
        <v>168</v>
      </c>
      <c r="E5907" s="711">
        <v>0.13650000000000001</v>
      </c>
    </row>
    <row r="5908" spans="1:5" x14ac:dyDescent="0.3">
      <c r="A5908" s="397"/>
      <c r="B5908" s="709">
        <v>106073</v>
      </c>
      <c r="C5908" s="710" t="s">
        <v>5965</v>
      </c>
      <c r="D5908" s="709" t="s">
        <v>168</v>
      </c>
      <c r="E5908" s="711">
        <v>0.11840000000000001</v>
      </c>
    </row>
    <row r="5909" spans="1:5" x14ac:dyDescent="0.3">
      <c r="A5909" s="397"/>
      <c r="B5909" s="709">
        <v>106068</v>
      </c>
      <c r="C5909" s="710" t="s">
        <v>5966</v>
      </c>
      <c r="D5909" s="709" t="s">
        <v>168</v>
      </c>
      <c r="E5909" s="711">
        <v>0.19639999999999999</v>
      </c>
    </row>
    <row r="5910" spans="1:5" x14ac:dyDescent="0.3">
      <c r="A5910" s="397"/>
      <c r="B5910" s="709">
        <v>106069</v>
      </c>
      <c r="C5910" s="710" t="s">
        <v>5967</v>
      </c>
      <c r="D5910" s="709" t="s">
        <v>168</v>
      </c>
      <c r="E5910" s="711">
        <v>0.17230000000000001</v>
      </c>
    </row>
    <row r="5911" spans="1:5" x14ac:dyDescent="0.3">
      <c r="A5911" s="397"/>
      <c r="B5911" s="709">
        <v>106074</v>
      </c>
      <c r="C5911" s="710" t="s">
        <v>5968</v>
      </c>
      <c r="D5911" s="709" t="s">
        <v>168</v>
      </c>
      <c r="E5911" s="711">
        <v>0.1575</v>
      </c>
    </row>
    <row r="5912" spans="1:5" x14ac:dyDescent="0.3">
      <c r="A5912" s="397"/>
      <c r="B5912" s="709">
        <v>106075</v>
      </c>
      <c r="C5912" s="710" t="s">
        <v>5969</v>
      </c>
      <c r="D5912" s="709" t="s">
        <v>168</v>
      </c>
      <c r="E5912" s="711">
        <v>0.14979999999999999</v>
      </c>
    </row>
    <row r="5913" spans="1:5" x14ac:dyDescent="0.3">
      <c r="A5913" s="397"/>
      <c r="B5913" s="709">
        <v>106076</v>
      </c>
      <c r="C5913" s="710" t="s">
        <v>5970</v>
      </c>
      <c r="D5913" s="709" t="s">
        <v>168</v>
      </c>
      <c r="E5913" s="711">
        <v>0.1308</v>
      </c>
    </row>
    <row r="5914" spans="1:5" x14ac:dyDescent="0.3">
      <c r="A5914" s="397"/>
      <c r="B5914" s="709">
        <v>101964</v>
      </c>
      <c r="C5914" s="710" t="s">
        <v>5971</v>
      </c>
      <c r="D5914" s="709" t="s">
        <v>168</v>
      </c>
      <c r="E5914" s="711">
        <v>0.22459999999999999</v>
      </c>
    </row>
    <row r="5915" spans="1:5" x14ac:dyDescent="0.3">
      <c r="A5915" s="397"/>
      <c r="B5915" s="709">
        <v>106059</v>
      </c>
      <c r="C5915" s="710" t="s">
        <v>5972</v>
      </c>
      <c r="D5915" s="709" t="s">
        <v>168</v>
      </c>
      <c r="E5915" s="711">
        <v>0.2029</v>
      </c>
    </row>
    <row r="5916" spans="1:5" x14ac:dyDescent="0.3">
      <c r="A5916" s="397"/>
      <c r="B5916" s="709">
        <v>101963</v>
      </c>
      <c r="C5916" s="710" t="s">
        <v>5973</v>
      </c>
      <c r="D5916" s="709" t="s">
        <v>168</v>
      </c>
      <c r="E5916" s="711">
        <v>0.2099</v>
      </c>
    </row>
    <row r="5917" spans="1:5" x14ac:dyDescent="0.3">
      <c r="A5917" s="397"/>
      <c r="B5917" s="709">
        <v>101947</v>
      </c>
      <c r="C5917" s="710" t="s">
        <v>5974</v>
      </c>
      <c r="D5917" s="709" t="s">
        <v>168</v>
      </c>
      <c r="E5917" s="711">
        <v>0.19939999999999999</v>
      </c>
    </row>
    <row r="5918" spans="1:5" x14ac:dyDescent="0.3">
      <c r="A5918" s="397"/>
      <c r="B5918" s="709">
        <v>101948</v>
      </c>
      <c r="C5918" s="710" t="s">
        <v>5975</v>
      </c>
      <c r="D5918" s="709" t="s">
        <v>168</v>
      </c>
      <c r="E5918" s="711">
        <v>0.16669999999999999</v>
      </c>
    </row>
    <row r="5919" spans="1:5" x14ac:dyDescent="0.3">
      <c r="A5919" s="397"/>
      <c r="B5919" s="709">
        <v>101949</v>
      </c>
      <c r="C5919" s="710" t="s">
        <v>5976</v>
      </c>
      <c r="D5919" s="709" t="s">
        <v>168</v>
      </c>
      <c r="E5919" s="711">
        <v>0.15279999999999999</v>
      </c>
    </row>
    <row r="5920" spans="1:5" x14ac:dyDescent="0.3">
      <c r="A5920" s="397"/>
      <c r="B5920" s="709">
        <v>101950</v>
      </c>
      <c r="C5920" s="710" t="s">
        <v>5977</v>
      </c>
      <c r="D5920" s="709" t="s">
        <v>168</v>
      </c>
      <c r="E5920" s="711">
        <v>0.13700000000000001</v>
      </c>
    </row>
    <row r="5921" spans="1:5" x14ac:dyDescent="0.3">
      <c r="A5921" s="397"/>
      <c r="B5921" s="709">
        <v>106061</v>
      </c>
      <c r="C5921" s="710" t="s">
        <v>5978</v>
      </c>
      <c r="D5921" s="709" t="s">
        <v>168</v>
      </c>
      <c r="E5921" s="711">
        <v>0.11749999999999999</v>
      </c>
    </row>
    <row r="5922" spans="1:5" x14ac:dyDescent="0.3">
      <c r="A5922" s="397"/>
      <c r="B5922" s="709">
        <v>101951</v>
      </c>
      <c r="C5922" s="710" t="s">
        <v>5979</v>
      </c>
      <c r="D5922" s="709" t="s">
        <v>168</v>
      </c>
      <c r="E5922" s="711">
        <v>0.17929999999999999</v>
      </c>
    </row>
    <row r="5923" spans="1:5" x14ac:dyDescent="0.3">
      <c r="A5923" s="397"/>
      <c r="B5923" s="709">
        <v>101952</v>
      </c>
      <c r="C5923" s="710" t="s">
        <v>5980</v>
      </c>
      <c r="D5923" s="709" t="s">
        <v>168</v>
      </c>
      <c r="E5923" s="711">
        <v>0.1421</v>
      </c>
    </row>
    <row r="5924" spans="1:5" x14ac:dyDescent="0.3">
      <c r="A5924" s="397"/>
      <c r="B5924" s="709">
        <v>101953</v>
      </c>
      <c r="C5924" s="710" t="s">
        <v>5981</v>
      </c>
      <c r="D5924" s="709" t="s">
        <v>168</v>
      </c>
      <c r="E5924" s="711">
        <v>0.1275</v>
      </c>
    </row>
    <row r="5925" spans="1:5" x14ac:dyDescent="0.3">
      <c r="A5925" s="397"/>
      <c r="B5925" s="709">
        <v>101954</v>
      </c>
      <c r="C5925" s="710" t="s">
        <v>5982</v>
      </c>
      <c r="D5925" s="709" t="s">
        <v>168</v>
      </c>
      <c r="E5925" s="711">
        <v>0.11700000000000001</v>
      </c>
    </row>
    <row r="5926" spans="1:5" x14ac:dyDescent="0.3">
      <c r="A5926" s="397"/>
      <c r="B5926" s="709">
        <v>106062</v>
      </c>
      <c r="C5926" s="710" t="s">
        <v>5983</v>
      </c>
      <c r="D5926" s="709" t="s">
        <v>168</v>
      </c>
      <c r="E5926" s="711">
        <v>0.1033</v>
      </c>
    </row>
    <row r="5927" spans="1:5" x14ac:dyDescent="0.3">
      <c r="A5927" s="397"/>
      <c r="B5927" s="709">
        <v>100323</v>
      </c>
      <c r="C5927" s="710" t="s">
        <v>5984</v>
      </c>
      <c r="D5927" s="709" t="s">
        <v>170</v>
      </c>
      <c r="E5927" s="711">
        <v>0.3543</v>
      </c>
    </row>
    <row r="5928" spans="1:5" x14ac:dyDescent="0.3">
      <c r="A5928" s="397"/>
      <c r="B5928" s="709">
        <v>100324</v>
      </c>
      <c r="C5928" s="710" t="s">
        <v>5985</v>
      </c>
      <c r="D5928" s="709" t="s">
        <v>170</v>
      </c>
      <c r="E5928" s="711">
        <v>0.3488</v>
      </c>
    </row>
    <row r="5929" spans="1:5" x14ac:dyDescent="0.3">
      <c r="A5929" s="397"/>
      <c r="B5929" s="709">
        <v>96624</v>
      </c>
      <c r="C5929" s="710" t="s">
        <v>271</v>
      </c>
      <c r="D5929" s="709" t="s">
        <v>170</v>
      </c>
      <c r="E5929" s="711">
        <v>0.34820000000000001</v>
      </c>
    </row>
    <row r="5930" spans="1:5" x14ac:dyDescent="0.3">
      <c r="A5930" s="397"/>
      <c r="B5930" s="709">
        <v>100322</v>
      </c>
      <c r="C5930" s="710" t="s">
        <v>275</v>
      </c>
      <c r="D5930" s="709" t="s">
        <v>170</v>
      </c>
      <c r="E5930" s="711">
        <v>0.3624</v>
      </c>
    </row>
    <row r="5931" spans="1:5" x14ac:dyDescent="0.3">
      <c r="A5931" s="397"/>
      <c r="B5931" s="709">
        <v>96623</v>
      </c>
      <c r="C5931" s="710" t="s">
        <v>5986</v>
      </c>
      <c r="D5931" s="709" t="s">
        <v>170</v>
      </c>
      <c r="E5931" s="711">
        <v>0.3987</v>
      </c>
    </row>
    <row r="5932" spans="1:5" x14ac:dyDescent="0.3">
      <c r="A5932" s="397"/>
      <c r="B5932" s="709">
        <v>96622</v>
      </c>
      <c r="C5932" s="710" t="s">
        <v>5987</v>
      </c>
      <c r="D5932" s="709" t="s">
        <v>170</v>
      </c>
      <c r="E5932" s="711">
        <v>0.36070000000000002</v>
      </c>
    </row>
    <row r="5933" spans="1:5" x14ac:dyDescent="0.3">
      <c r="A5933" s="397"/>
      <c r="B5933" s="709">
        <v>96621</v>
      </c>
      <c r="C5933" s="710" t="s">
        <v>5988</v>
      </c>
      <c r="D5933" s="709" t="s">
        <v>170</v>
      </c>
      <c r="E5933" s="711">
        <v>0.40310000000000001</v>
      </c>
    </row>
    <row r="5934" spans="1:5" x14ac:dyDescent="0.3">
      <c r="A5934" s="397"/>
      <c r="B5934" s="709">
        <v>96617</v>
      </c>
      <c r="C5934" s="710" t="s">
        <v>5989</v>
      </c>
      <c r="D5934" s="709" t="s">
        <v>168</v>
      </c>
      <c r="E5934" s="711">
        <v>0.46529999999999999</v>
      </c>
    </row>
    <row r="5935" spans="1:5" x14ac:dyDescent="0.3">
      <c r="A5935" s="397"/>
      <c r="B5935" s="709">
        <v>96619</v>
      </c>
      <c r="C5935" s="710" t="s">
        <v>5990</v>
      </c>
      <c r="D5935" s="709" t="s">
        <v>168</v>
      </c>
      <c r="E5935" s="711">
        <v>0.45660000000000001</v>
      </c>
    </row>
    <row r="5936" spans="1:5" x14ac:dyDescent="0.3">
      <c r="A5936" s="397"/>
      <c r="B5936" s="709">
        <v>96616</v>
      </c>
      <c r="C5936" s="710" t="s">
        <v>5991</v>
      </c>
      <c r="D5936" s="709" t="s">
        <v>170</v>
      </c>
      <c r="E5936" s="711">
        <v>0.45679999999999998</v>
      </c>
    </row>
    <row r="5937" spans="1:5" x14ac:dyDescent="0.3">
      <c r="A5937" s="397"/>
      <c r="B5937" s="709">
        <v>95240</v>
      </c>
      <c r="C5937" s="710" t="s">
        <v>5992</v>
      </c>
      <c r="D5937" s="709" t="s">
        <v>168</v>
      </c>
      <c r="E5937" s="711">
        <v>0.443</v>
      </c>
    </row>
    <row r="5938" spans="1:5" x14ac:dyDescent="0.3">
      <c r="A5938" s="397"/>
      <c r="B5938" s="709">
        <v>95241</v>
      </c>
      <c r="C5938" s="710" t="s">
        <v>5993</v>
      </c>
      <c r="D5938" s="709" t="s">
        <v>168</v>
      </c>
      <c r="E5938" s="711">
        <v>0.41120000000000001</v>
      </c>
    </row>
    <row r="5939" spans="1:5" x14ac:dyDescent="0.3">
      <c r="A5939" s="397"/>
      <c r="B5939" s="709">
        <v>96620</v>
      </c>
      <c r="C5939" s="710" t="s">
        <v>286</v>
      </c>
      <c r="D5939" s="709" t="s">
        <v>170</v>
      </c>
      <c r="E5939" s="711">
        <v>0.4113</v>
      </c>
    </row>
    <row r="5940" spans="1:5" x14ac:dyDescent="0.3">
      <c r="A5940" s="397"/>
      <c r="B5940" s="709">
        <v>104043</v>
      </c>
      <c r="C5940" s="710" t="s">
        <v>5994</v>
      </c>
      <c r="D5940" s="709" t="s">
        <v>136</v>
      </c>
      <c r="E5940" s="711">
        <v>0.34010000000000001</v>
      </c>
    </row>
    <row r="5941" spans="1:5" x14ac:dyDescent="0.3">
      <c r="A5941" s="397"/>
      <c r="B5941" s="709">
        <v>104044</v>
      </c>
      <c r="C5941" s="710" t="s">
        <v>5995</v>
      </c>
      <c r="D5941" s="709" t="s">
        <v>136</v>
      </c>
      <c r="E5941" s="711">
        <v>0.39100000000000001</v>
      </c>
    </row>
    <row r="5942" spans="1:5" x14ac:dyDescent="0.3">
      <c r="A5942" s="397"/>
      <c r="B5942" s="709">
        <v>104045</v>
      </c>
      <c r="C5942" s="710" t="s">
        <v>5996</v>
      </c>
      <c r="D5942" s="709" t="s">
        <v>136</v>
      </c>
      <c r="E5942" s="711">
        <v>0.26369999999999999</v>
      </c>
    </row>
    <row r="5943" spans="1:5" x14ac:dyDescent="0.3">
      <c r="A5943" s="397"/>
      <c r="B5943" s="709">
        <v>104049</v>
      </c>
      <c r="C5943" s="710" t="s">
        <v>5997</v>
      </c>
      <c r="D5943" s="709" t="s">
        <v>136</v>
      </c>
      <c r="E5943" s="711">
        <v>0.75680000000000003</v>
      </c>
    </row>
    <row r="5944" spans="1:5" x14ac:dyDescent="0.3">
      <c r="A5944" s="397"/>
      <c r="B5944" s="709">
        <v>104050</v>
      </c>
      <c r="C5944" s="710" t="s">
        <v>5998</v>
      </c>
      <c r="D5944" s="709" t="s">
        <v>136</v>
      </c>
      <c r="E5944" s="711">
        <v>0.67020000000000002</v>
      </c>
    </row>
    <row r="5945" spans="1:5" x14ac:dyDescent="0.3">
      <c r="A5945" s="397"/>
      <c r="B5945" s="709">
        <v>104084</v>
      </c>
      <c r="C5945" s="710" t="s">
        <v>5999</v>
      </c>
      <c r="D5945" s="709" t="s">
        <v>136</v>
      </c>
      <c r="E5945" s="711">
        <v>3.6299999999999999E-2</v>
      </c>
    </row>
    <row r="5946" spans="1:5" x14ac:dyDescent="0.3">
      <c r="A5946" s="397"/>
      <c r="B5946" s="709">
        <v>104035</v>
      </c>
      <c r="C5946" s="710" t="s">
        <v>6001</v>
      </c>
      <c r="D5946" s="709" t="s">
        <v>136</v>
      </c>
      <c r="E5946" s="711">
        <v>0.4</v>
      </c>
    </row>
    <row r="5947" spans="1:5" x14ac:dyDescent="0.3">
      <c r="A5947" s="397"/>
      <c r="B5947" s="709">
        <v>104036</v>
      </c>
      <c r="C5947" s="710" t="s">
        <v>6002</v>
      </c>
      <c r="D5947" s="709" t="s">
        <v>136</v>
      </c>
      <c r="E5947" s="711">
        <v>0.40200000000000002</v>
      </c>
    </row>
    <row r="5948" spans="1:5" x14ac:dyDescent="0.3">
      <c r="A5948" s="397"/>
      <c r="B5948" s="709">
        <v>104034</v>
      </c>
      <c r="C5948" s="710" t="s">
        <v>6003</v>
      </c>
      <c r="D5948" s="709" t="s">
        <v>136</v>
      </c>
      <c r="E5948" s="711">
        <v>0.3009</v>
      </c>
    </row>
    <row r="5949" spans="1:5" x14ac:dyDescent="0.3">
      <c r="A5949" s="397"/>
      <c r="B5949" s="709">
        <v>104031</v>
      </c>
      <c r="C5949" s="710" t="s">
        <v>6004</v>
      </c>
      <c r="D5949" s="709" t="s">
        <v>136</v>
      </c>
      <c r="E5949" s="711">
        <v>0.43530000000000002</v>
      </c>
    </row>
    <row r="5950" spans="1:5" x14ac:dyDescent="0.3">
      <c r="A5950" s="397"/>
      <c r="B5950" s="709">
        <v>104032</v>
      </c>
      <c r="C5950" s="710" t="s">
        <v>6005</v>
      </c>
      <c r="D5950" s="709" t="s">
        <v>136</v>
      </c>
      <c r="E5950" s="711">
        <v>0.34820000000000001</v>
      </c>
    </row>
    <row r="5951" spans="1:5" x14ac:dyDescent="0.3">
      <c r="A5951" s="397"/>
      <c r="B5951" s="709">
        <v>104033</v>
      </c>
      <c r="C5951" s="710" t="s">
        <v>6006</v>
      </c>
      <c r="D5951" s="709" t="s">
        <v>136</v>
      </c>
      <c r="E5951" s="711">
        <v>0.38940000000000002</v>
      </c>
    </row>
    <row r="5952" spans="1:5" x14ac:dyDescent="0.3">
      <c r="A5952" s="397"/>
      <c r="B5952" s="709">
        <v>104051</v>
      </c>
      <c r="C5952" s="710" t="s">
        <v>6008</v>
      </c>
      <c r="D5952" s="709" t="s">
        <v>136</v>
      </c>
      <c r="E5952" s="711">
        <v>0.3654</v>
      </c>
    </row>
    <row r="5953" spans="1:5" x14ac:dyDescent="0.3">
      <c r="A5953" s="397"/>
      <c r="B5953" s="709">
        <v>104052</v>
      </c>
      <c r="C5953" s="710" t="s">
        <v>6009</v>
      </c>
      <c r="D5953" s="709" t="s">
        <v>136</v>
      </c>
      <c r="E5953" s="711">
        <v>0.35339999999999999</v>
      </c>
    </row>
    <row r="5954" spans="1:5" x14ac:dyDescent="0.3">
      <c r="A5954" s="397"/>
      <c r="B5954" s="709">
        <v>104046</v>
      </c>
      <c r="C5954" s="710" t="s">
        <v>6010</v>
      </c>
      <c r="D5954" s="709" t="s">
        <v>136</v>
      </c>
      <c r="E5954" s="711">
        <v>0.36109999999999998</v>
      </c>
    </row>
    <row r="5955" spans="1:5" x14ac:dyDescent="0.3">
      <c r="A5955" s="397"/>
      <c r="B5955" s="709">
        <v>104047</v>
      </c>
      <c r="C5955" s="710" t="s">
        <v>6011</v>
      </c>
      <c r="D5955" s="709" t="s">
        <v>136</v>
      </c>
      <c r="E5955" s="711">
        <v>0.36980000000000002</v>
      </c>
    </row>
    <row r="5956" spans="1:5" x14ac:dyDescent="0.3">
      <c r="A5956" s="397"/>
      <c r="B5956" s="709">
        <v>104048</v>
      </c>
      <c r="C5956" s="710" t="s">
        <v>6012</v>
      </c>
      <c r="D5956" s="709" t="s">
        <v>136</v>
      </c>
      <c r="E5956" s="711">
        <v>0.27160000000000001</v>
      </c>
    </row>
    <row r="5957" spans="1:5" x14ac:dyDescent="0.3">
      <c r="A5957" s="397"/>
      <c r="B5957" s="709">
        <v>104063</v>
      </c>
      <c r="C5957" s="710" t="s">
        <v>6013</v>
      </c>
      <c r="D5957" s="709" t="s">
        <v>136</v>
      </c>
      <c r="E5957" s="711">
        <v>8.3000000000000004E-2</v>
      </c>
    </row>
    <row r="5958" spans="1:5" x14ac:dyDescent="0.3">
      <c r="A5958" s="397"/>
      <c r="B5958" s="709">
        <v>104065</v>
      </c>
      <c r="C5958" s="710" t="s">
        <v>6014</v>
      </c>
      <c r="D5958" s="709" t="s">
        <v>136</v>
      </c>
      <c r="E5958" s="711">
        <v>3.95E-2</v>
      </c>
    </row>
    <row r="5959" spans="1:5" x14ac:dyDescent="0.3">
      <c r="A5959" s="397"/>
      <c r="B5959" s="709">
        <v>104062</v>
      </c>
      <c r="C5959" s="710" t="s">
        <v>6015</v>
      </c>
      <c r="D5959" s="709" t="s">
        <v>136</v>
      </c>
      <c r="E5959" s="711">
        <v>7.8700000000000006E-2</v>
      </c>
    </row>
    <row r="5960" spans="1:5" x14ac:dyDescent="0.3">
      <c r="A5960" s="397"/>
      <c r="B5960" s="709">
        <v>104064</v>
      </c>
      <c r="C5960" s="710" t="s">
        <v>6016</v>
      </c>
      <c r="D5960" s="709" t="s">
        <v>136</v>
      </c>
      <c r="E5960" s="711">
        <v>3.32E-2</v>
      </c>
    </row>
    <row r="5961" spans="1:5" x14ac:dyDescent="0.3">
      <c r="A5961" s="397"/>
      <c r="B5961" s="709">
        <v>104059</v>
      </c>
      <c r="C5961" s="710" t="s">
        <v>6017</v>
      </c>
      <c r="D5961" s="709" t="s">
        <v>136</v>
      </c>
      <c r="E5961" s="711">
        <v>0.47399999999999998</v>
      </c>
    </row>
    <row r="5962" spans="1:5" x14ac:dyDescent="0.3">
      <c r="A5962" s="397"/>
      <c r="B5962" s="709">
        <v>104058</v>
      </c>
      <c r="C5962" s="710" t="s">
        <v>6018</v>
      </c>
      <c r="D5962" s="709" t="s">
        <v>136</v>
      </c>
      <c r="E5962" s="711">
        <v>0.748</v>
      </c>
    </row>
    <row r="5963" spans="1:5" x14ac:dyDescent="0.3">
      <c r="A5963" s="397"/>
      <c r="B5963" s="709">
        <v>104082</v>
      </c>
      <c r="C5963" s="710" t="s">
        <v>6019</v>
      </c>
      <c r="D5963" s="709" t="s">
        <v>136</v>
      </c>
      <c r="E5963" s="711">
        <v>9.8299999999999998E-2</v>
      </c>
    </row>
    <row r="5964" spans="1:5" x14ac:dyDescent="0.3">
      <c r="A5964" s="397"/>
      <c r="B5964" s="709">
        <v>104083</v>
      </c>
      <c r="C5964" s="710" t="s">
        <v>6020</v>
      </c>
      <c r="D5964" s="709" t="s">
        <v>136</v>
      </c>
      <c r="E5964" s="711">
        <v>4.1700000000000001E-2</v>
      </c>
    </row>
    <row r="5965" spans="1:5" x14ac:dyDescent="0.3">
      <c r="A5965" s="397"/>
      <c r="B5965" s="709">
        <v>104056</v>
      </c>
      <c r="C5965" s="710" t="s">
        <v>6022</v>
      </c>
      <c r="D5965" s="709" t="s">
        <v>136</v>
      </c>
      <c r="E5965" s="711">
        <v>0.1288</v>
      </c>
    </row>
    <row r="5966" spans="1:5" x14ac:dyDescent="0.3">
      <c r="A5966" s="397"/>
      <c r="B5966" s="709">
        <v>104055</v>
      </c>
      <c r="C5966" s="710" t="s">
        <v>6023</v>
      </c>
      <c r="D5966" s="709" t="s">
        <v>136</v>
      </c>
      <c r="E5966" s="711">
        <v>0.17730000000000001</v>
      </c>
    </row>
    <row r="5967" spans="1:5" x14ac:dyDescent="0.3">
      <c r="A5967" s="397"/>
      <c r="B5967" s="709">
        <v>104076</v>
      </c>
      <c r="C5967" s="710" t="s">
        <v>6024</v>
      </c>
      <c r="D5967" s="709" t="s">
        <v>136</v>
      </c>
      <c r="E5967" s="711">
        <v>0.2014</v>
      </c>
    </row>
    <row r="5968" spans="1:5" x14ac:dyDescent="0.3">
      <c r="A5968" s="397"/>
      <c r="B5968" s="709">
        <v>104060</v>
      </c>
      <c r="C5968" s="710" t="s">
        <v>276</v>
      </c>
      <c r="D5968" s="709" t="s">
        <v>159</v>
      </c>
      <c r="E5968" s="711">
        <v>0.3523</v>
      </c>
    </row>
    <row r="5969" spans="1:5" x14ac:dyDescent="0.3">
      <c r="A5969" s="397"/>
      <c r="B5969" s="709">
        <v>104061</v>
      </c>
      <c r="C5969" s="710" t="s">
        <v>6025</v>
      </c>
      <c r="D5969" s="709" t="s">
        <v>159</v>
      </c>
      <c r="E5969" s="711">
        <v>0.29399999999999998</v>
      </c>
    </row>
    <row r="5970" spans="1:5" x14ac:dyDescent="0.3">
      <c r="A5970" s="397"/>
      <c r="B5970" s="709">
        <v>104085</v>
      </c>
      <c r="C5970" s="710" t="s">
        <v>6026</v>
      </c>
      <c r="D5970" s="709" t="s">
        <v>159</v>
      </c>
      <c r="E5970" s="711">
        <v>0.14399999999999999</v>
      </c>
    </row>
    <row r="5971" spans="1:5" x14ac:dyDescent="0.3">
      <c r="A5971" s="397"/>
      <c r="B5971" s="709">
        <v>104086</v>
      </c>
      <c r="C5971" s="710" t="s">
        <v>6027</v>
      </c>
      <c r="D5971" s="709" t="s">
        <v>159</v>
      </c>
      <c r="E5971" s="711">
        <v>8.7900000000000006E-2</v>
      </c>
    </row>
    <row r="5972" spans="1:5" x14ac:dyDescent="0.3">
      <c r="A5972" s="397"/>
      <c r="B5972" s="709">
        <v>104039</v>
      </c>
      <c r="C5972" s="710" t="s">
        <v>6031</v>
      </c>
      <c r="D5972" s="709" t="s">
        <v>136</v>
      </c>
      <c r="E5972" s="711">
        <v>0.17599999999999999</v>
      </c>
    </row>
    <row r="5973" spans="1:5" x14ac:dyDescent="0.3">
      <c r="A5973" s="397"/>
      <c r="B5973" s="709">
        <v>104072</v>
      </c>
      <c r="C5973" s="710" t="s">
        <v>6035</v>
      </c>
      <c r="D5973" s="709" t="s">
        <v>136</v>
      </c>
      <c r="E5973" s="711">
        <v>3.4099999999999998E-2</v>
      </c>
    </row>
    <row r="5974" spans="1:5" x14ac:dyDescent="0.3">
      <c r="A5974" s="397"/>
      <c r="B5974" s="709">
        <v>104053</v>
      </c>
      <c r="C5974" s="710" t="s">
        <v>6036</v>
      </c>
      <c r="D5974" s="709" t="s">
        <v>136</v>
      </c>
      <c r="E5974" s="711">
        <v>0.3009</v>
      </c>
    </row>
    <row r="5975" spans="1:5" x14ac:dyDescent="0.3">
      <c r="A5975" s="397"/>
      <c r="B5975" s="709">
        <v>104054</v>
      </c>
      <c r="C5975" s="710" t="s">
        <v>6037</v>
      </c>
      <c r="D5975" s="709" t="s">
        <v>136</v>
      </c>
      <c r="E5975" s="711">
        <v>0.192</v>
      </c>
    </row>
    <row r="5976" spans="1:5" x14ac:dyDescent="0.3">
      <c r="A5976" s="397"/>
      <c r="B5976" s="709">
        <v>99818</v>
      </c>
      <c r="C5976" s="710" t="s">
        <v>14221</v>
      </c>
      <c r="D5976" s="709" t="s">
        <v>136</v>
      </c>
      <c r="E5976" s="711">
        <v>0.67049999999999998</v>
      </c>
    </row>
    <row r="5977" spans="1:5" x14ac:dyDescent="0.3">
      <c r="A5977" s="397"/>
      <c r="B5977" s="709">
        <v>99819</v>
      </c>
      <c r="C5977" s="710" t="s">
        <v>14222</v>
      </c>
      <c r="D5977" s="709" t="s">
        <v>168</v>
      </c>
      <c r="E5977" s="711">
        <v>0.99139999999999995</v>
      </c>
    </row>
    <row r="5978" spans="1:5" x14ac:dyDescent="0.3">
      <c r="A5978" s="397"/>
      <c r="B5978" s="709">
        <v>99817</v>
      </c>
      <c r="C5978" s="710" t="s">
        <v>14223</v>
      </c>
      <c r="D5978" s="709" t="s">
        <v>136</v>
      </c>
      <c r="E5978" s="711">
        <v>0.71309999999999996</v>
      </c>
    </row>
    <row r="5979" spans="1:5" x14ac:dyDescent="0.3">
      <c r="A5979" s="397"/>
      <c r="B5979" s="709">
        <v>99815</v>
      </c>
      <c r="C5979" s="710" t="s">
        <v>14224</v>
      </c>
      <c r="D5979" s="709" t="s">
        <v>136</v>
      </c>
      <c r="E5979" s="711">
        <v>0.79800000000000004</v>
      </c>
    </row>
    <row r="5980" spans="1:5" x14ac:dyDescent="0.3">
      <c r="A5980" s="397"/>
      <c r="B5980" s="709">
        <v>99811</v>
      </c>
      <c r="C5980" s="710" t="s">
        <v>14225</v>
      </c>
      <c r="D5980" s="709" t="s">
        <v>168</v>
      </c>
      <c r="E5980" s="711">
        <v>1</v>
      </c>
    </row>
    <row r="5981" spans="1:5" x14ac:dyDescent="0.3">
      <c r="A5981" s="397"/>
      <c r="B5981" s="709">
        <v>99826</v>
      </c>
      <c r="C5981" s="710" t="s">
        <v>14226</v>
      </c>
      <c r="D5981" s="709" t="s">
        <v>168</v>
      </c>
      <c r="E5981" s="711">
        <v>0.95630000000000004</v>
      </c>
    </row>
    <row r="5982" spans="1:5" x14ac:dyDescent="0.3">
      <c r="A5982" s="397"/>
      <c r="B5982" s="709">
        <v>106170</v>
      </c>
      <c r="C5982" s="710" t="s">
        <v>14227</v>
      </c>
      <c r="D5982" s="709" t="s">
        <v>168</v>
      </c>
      <c r="E5982" s="711">
        <v>0.98929999999999996</v>
      </c>
    </row>
    <row r="5983" spans="1:5" x14ac:dyDescent="0.3">
      <c r="A5983" s="397"/>
      <c r="B5983" s="709">
        <v>99821</v>
      </c>
      <c r="C5983" s="710" t="s">
        <v>14228</v>
      </c>
      <c r="D5983" s="709" t="s">
        <v>168</v>
      </c>
      <c r="E5983" s="711">
        <v>0.87270000000000003</v>
      </c>
    </row>
    <row r="5984" spans="1:5" x14ac:dyDescent="0.3">
      <c r="A5984" s="397"/>
      <c r="B5984" s="709">
        <v>99820</v>
      </c>
      <c r="C5984" s="710" t="s">
        <v>14229</v>
      </c>
      <c r="D5984" s="709" t="s">
        <v>168</v>
      </c>
      <c r="E5984" s="711">
        <v>0.76470000000000005</v>
      </c>
    </row>
    <row r="5985" spans="1:5" x14ac:dyDescent="0.3">
      <c r="A5985" s="397"/>
      <c r="B5985" s="709">
        <v>99805</v>
      </c>
      <c r="C5985" s="710" t="s">
        <v>14230</v>
      </c>
      <c r="D5985" s="709" t="s">
        <v>168</v>
      </c>
      <c r="E5985" s="711">
        <v>0.9032</v>
      </c>
    </row>
    <row r="5986" spans="1:5" x14ac:dyDescent="0.3">
      <c r="A5986" s="397"/>
      <c r="B5986" s="709">
        <v>99803</v>
      </c>
      <c r="C5986" s="710" t="s">
        <v>14231</v>
      </c>
      <c r="D5986" s="709" t="s">
        <v>168</v>
      </c>
      <c r="E5986" s="711">
        <v>0.86739999999999995</v>
      </c>
    </row>
    <row r="5987" spans="1:5" x14ac:dyDescent="0.3">
      <c r="A5987" s="397"/>
      <c r="B5987" s="709">
        <v>99802</v>
      </c>
      <c r="C5987" s="710" t="s">
        <v>14232</v>
      </c>
      <c r="D5987" s="709" t="s">
        <v>168</v>
      </c>
      <c r="E5987" s="711">
        <v>1</v>
      </c>
    </row>
    <row r="5988" spans="1:5" x14ac:dyDescent="0.3">
      <c r="A5988" s="397"/>
      <c r="B5988" s="709">
        <v>99810</v>
      </c>
      <c r="C5988" s="710" t="s">
        <v>14233</v>
      </c>
      <c r="D5988" s="709" t="s">
        <v>168</v>
      </c>
      <c r="E5988" s="711">
        <v>0.90629999999999999</v>
      </c>
    </row>
    <row r="5989" spans="1:5" x14ac:dyDescent="0.3">
      <c r="A5989" s="397"/>
      <c r="B5989" s="709">
        <v>99809</v>
      </c>
      <c r="C5989" s="710" t="s">
        <v>14234</v>
      </c>
      <c r="D5989" s="709" t="s">
        <v>168</v>
      </c>
      <c r="E5989" s="711">
        <v>0.92290000000000005</v>
      </c>
    </row>
    <row r="5990" spans="1:5" x14ac:dyDescent="0.3">
      <c r="A5990" s="397"/>
      <c r="B5990" s="709">
        <v>106166</v>
      </c>
      <c r="C5990" s="710" t="s">
        <v>14235</v>
      </c>
      <c r="D5990" s="709" t="s">
        <v>168</v>
      </c>
      <c r="E5990" s="711">
        <v>0.94740000000000002</v>
      </c>
    </row>
    <row r="5991" spans="1:5" x14ac:dyDescent="0.3">
      <c r="A5991" s="397"/>
      <c r="B5991" s="709">
        <v>99822</v>
      </c>
      <c r="C5991" s="710" t="s">
        <v>14236</v>
      </c>
      <c r="D5991" s="709" t="s">
        <v>168</v>
      </c>
      <c r="E5991" s="711">
        <v>0.93330000000000002</v>
      </c>
    </row>
    <row r="5992" spans="1:5" x14ac:dyDescent="0.3">
      <c r="A5992" s="397"/>
      <c r="B5992" s="709">
        <v>99825</v>
      </c>
      <c r="C5992" s="710" t="s">
        <v>14237</v>
      </c>
      <c r="D5992" s="709" t="s">
        <v>168</v>
      </c>
      <c r="E5992" s="711">
        <v>0.86719999999999997</v>
      </c>
    </row>
    <row r="5993" spans="1:5" x14ac:dyDescent="0.3">
      <c r="A5993" s="397"/>
      <c r="B5993" s="709">
        <v>99824</v>
      </c>
      <c r="C5993" s="710" t="s">
        <v>14238</v>
      </c>
      <c r="D5993" s="709" t="s">
        <v>168</v>
      </c>
      <c r="E5993" s="711">
        <v>0.77559999999999996</v>
      </c>
    </row>
    <row r="5994" spans="1:5" x14ac:dyDescent="0.3">
      <c r="A5994" s="397"/>
      <c r="B5994" s="709">
        <v>99823</v>
      </c>
      <c r="C5994" s="710" t="s">
        <v>14239</v>
      </c>
      <c r="D5994" s="709" t="s">
        <v>168</v>
      </c>
      <c r="E5994" s="711">
        <v>0.74529999999999996</v>
      </c>
    </row>
    <row r="5995" spans="1:5" x14ac:dyDescent="0.3">
      <c r="A5995" s="397"/>
      <c r="B5995" s="709">
        <v>99806</v>
      </c>
      <c r="C5995" s="710" t="s">
        <v>14240</v>
      </c>
      <c r="D5995" s="709" t="s">
        <v>168</v>
      </c>
      <c r="E5995" s="711">
        <v>0.81559999999999999</v>
      </c>
    </row>
    <row r="5996" spans="1:5" x14ac:dyDescent="0.3">
      <c r="A5996" s="397"/>
      <c r="B5996" s="709">
        <v>99813</v>
      </c>
      <c r="C5996" s="710" t="s">
        <v>14241</v>
      </c>
      <c r="D5996" s="709" t="s">
        <v>168</v>
      </c>
      <c r="E5996" s="711">
        <v>0.79879999999999995</v>
      </c>
    </row>
    <row r="5997" spans="1:5" x14ac:dyDescent="0.3">
      <c r="A5997" s="397"/>
      <c r="B5997" s="709">
        <v>106169</v>
      </c>
      <c r="C5997" s="710" t="s">
        <v>14242</v>
      </c>
      <c r="D5997" s="709" t="s">
        <v>136</v>
      </c>
      <c r="E5997" s="711">
        <v>0.93469999999999998</v>
      </c>
    </row>
    <row r="5998" spans="1:5" x14ac:dyDescent="0.3">
      <c r="A5998" s="397"/>
      <c r="B5998" s="709">
        <v>106167</v>
      </c>
      <c r="C5998" s="710" t="s">
        <v>14243</v>
      </c>
      <c r="D5998" s="709" t="s">
        <v>168</v>
      </c>
      <c r="E5998" s="711">
        <v>0.125</v>
      </c>
    </row>
    <row r="5999" spans="1:5" x14ac:dyDescent="0.3">
      <c r="A5999" s="397"/>
      <c r="B5999" s="709">
        <v>106168</v>
      </c>
      <c r="C5999" s="710" t="s">
        <v>14244</v>
      </c>
      <c r="D5999" s="709" t="s">
        <v>168</v>
      </c>
      <c r="E5999" s="711">
        <v>0.94199999999999995</v>
      </c>
    </row>
    <row r="6000" spans="1:5" x14ac:dyDescent="0.3">
      <c r="A6000" s="397"/>
      <c r="B6000" s="709">
        <v>99814</v>
      </c>
      <c r="C6000" s="710" t="s">
        <v>14245</v>
      </c>
      <c r="D6000" s="709" t="s">
        <v>168</v>
      </c>
      <c r="E6000" s="711">
        <v>0.97240000000000004</v>
      </c>
    </row>
    <row r="6001" spans="1:5" x14ac:dyDescent="0.3">
      <c r="A6001" s="397"/>
      <c r="B6001" s="709">
        <v>99816</v>
      </c>
      <c r="C6001" s="710" t="s">
        <v>14246</v>
      </c>
      <c r="D6001" s="709" t="s">
        <v>136</v>
      </c>
      <c r="E6001" s="711">
        <v>0.78990000000000005</v>
      </c>
    </row>
    <row r="6002" spans="1:5" x14ac:dyDescent="0.3">
      <c r="A6002" s="397"/>
      <c r="B6002" s="709">
        <v>106171</v>
      </c>
      <c r="C6002" s="710" t="s">
        <v>14247</v>
      </c>
      <c r="D6002" s="709" t="s">
        <v>168</v>
      </c>
      <c r="E6002" s="711">
        <v>1</v>
      </c>
    </row>
    <row r="6003" spans="1:5" x14ac:dyDescent="0.3">
      <c r="A6003" s="397"/>
      <c r="B6003" s="709">
        <v>88238</v>
      </c>
      <c r="C6003" s="710" t="s">
        <v>6038</v>
      </c>
      <c r="D6003" s="709" t="s">
        <v>234</v>
      </c>
      <c r="E6003" s="711">
        <v>1</v>
      </c>
    </row>
    <row r="6004" spans="1:5" x14ac:dyDescent="0.3">
      <c r="A6004" s="397"/>
      <c r="B6004" s="709">
        <v>101374</v>
      </c>
      <c r="C6004" s="710" t="s">
        <v>6038</v>
      </c>
      <c r="D6004" s="709" t="s">
        <v>208</v>
      </c>
      <c r="E6004" s="711">
        <v>1</v>
      </c>
    </row>
    <row r="6005" spans="1:5" x14ac:dyDescent="0.3">
      <c r="A6005" s="397"/>
      <c r="B6005" s="709">
        <v>88239</v>
      </c>
      <c r="C6005" s="710" t="s">
        <v>6039</v>
      </c>
      <c r="D6005" s="709" t="s">
        <v>234</v>
      </c>
      <c r="E6005" s="711">
        <v>1</v>
      </c>
    </row>
    <row r="6006" spans="1:5" x14ac:dyDescent="0.3">
      <c r="A6006" s="397"/>
      <c r="B6006" s="709">
        <v>101375</v>
      </c>
      <c r="C6006" s="710" t="s">
        <v>6040</v>
      </c>
      <c r="D6006" s="709" t="s">
        <v>208</v>
      </c>
      <c r="E6006" s="711">
        <v>1</v>
      </c>
    </row>
    <row r="6007" spans="1:5" x14ac:dyDescent="0.3">
      <c r="A6007" s="397"/>
      <c r="B6007" s="709">
        <v>88240</v>
      </c>
      <c r="C6007" s="710" t="s">
        <v>6041</v>
      </c>
      <c r="D6007" s="709" t="s">
        <v>234</v>
      </c>
      <c r="E6007" s="711">
        <v>1</v>
      </c>
    </row>
    <row r="6008" spans="1:5" x14ac:dyDescent="0.3">
      <c r="A6008" s="397"/>
      <c r="B6008" s="709">
        <v>101376</v>
      </c>
      <c r="C6008" s="710" t="s">
        <v>6042</v>
      </c>
      <c r="D6008" s="709" t="s">
        <v>208</v>
      </c>
      <c r="E6008" s="711">
        <v>1</v>
      </c>
    </row>
    <row r="6009" spans="1:5" x14ac:dyDescent="0.3">
      <c r="A6009" s="397"/>
      <c r="B6009" s="709">
        <v>88241</v>
      </c>
      <c r="C6009" s="710" t="s">
        <v>6043</v>
      </c>
      <c r="D6009" s="709" t="s">
        <v>234</v>
      </c>
      <c r="E6009" s="711">
        <v>1</v>
      </c>
    </row>
    <row r="6010" spans="1:5" x14ac:dyDescent="0.3">
      <c r="A6010" s="397"/>
      <c r="B6010" s="709">
        <v>101377</v>
      </c>
      <c r="C6010" s="710" t="s">
        <v>6043</v>
      </c>
      <c r="D6010" s="709" t="s">
        <v>208</v>
      </c>
      <c r="E6010" s="711">
        <v>1</v>
      </c>
    </row>
    <row r="6011" spans="1:5" x14ac:dyDescent="0.3">
      <c r="A6011" s="397"/>
      <c r="B6011" s="709">
        <v>88242</v>
      </c>
      <c r="C6011" s="710" t="s">
        <v>6044</v>
      </c>
      <c r="D6011" s="709" t="s">
        <v>234</v>
      </c>
      <c r="E6011" s="711">
        <v>1</v>
      </c>
    </row>
    <row r="6012" spans="1:5" x14ac:dyDescent="0.3">
      <c r="A6012" s="397"/>
      <c r="B6012" s="709">
        <v>100301</v>
      </c>
      <c r="C6012" s="710" t="s">
        <v>6045</v>
      </c>
      <c r="D6012" s="709" t="s">
        <v>234</v>
      </c>
      <c r="E6012" s="711">
        <v>1</v>
      </c>
    </row>
    <row r="6013" spans="1:5" x14ac:dyDescent="0.3">
      <c r="A6013" s="397"/>
      <c r="B6013" s="709">
        <v>101378</v>
      </c>
      <c r="C6013" s="710" t="s">
        <v>6045</v>
      </c>
      <c r="D6013" s="709" t="s">
        <v>208</v>
      </c>
      <c r="E6013" s="711">
        <v>1</v>
      </c>
    </row>
    <row r="6014" spans="1:5" x14ac:dyDescent="0.3">
      <c r="A6014" s="397"/>
      <c r="B6014" s="709">
        <v>101379</v>
      </c>
      <c r="C6014" s="710" t="s">
        <v>6046</v>
      </c>
      <c r="D6014" s="709" t="s">
        <v>208</v>
      </c>
      <c r="E6014" s="711">
        <v>1</v>
      </c>
    </row>
    <row r="6015" spans="1:5" x14ac:dyDescent="0.3">
      <c r="A6015" s="397"/>
      <c r="B6015" s="709">
        <v>88243</v>
      </c>
      <c r="C6015" s="710" t="s">
        <v>6047</v>
      </c>
      <c r="D6015" s="709" t="s">
        <v>234</v>
      </c>
      <c r="E6015" s="711">
        <v>1</v>
      </c>
    </row>
    <row r="6016" spans="1:5" x14ac:dyDescent="0.3">
      <c r="A6016" s="397"/>
      <c r="B6016" s="709">
        <v>101380</v>
      </c>
      <c r="C6016" s="710" t="s">
        <v>6047</v>
      </c>
      <c r="D6016" s="709" t="s">
        <v>208</v>
      </c>
      <c r="E6016" s="711">
        <v>1</v>
      </c>
    </row>
    <row r="6017" spans="1:5" x14ac:dyDescent="0.3">
      <c r="A6017" s="397"/>
      <c r="B6017" s="709">
        <v>90766</v>
      </c>
      <c r="C6017" s="710" t="s">
        <v>6048</v>
      </c>
      <c r="D6017" s="709" t="s">
        <v>234</v>
      </c>
      <c r="E6017" s="711">
        <v>1</v>
      </c>
    </row>
    <row r="6018" spans="1:5" x14ac:dyDescent="0.3">
      <c r="A6018" s="397"/>
      <c r="B6018" s="709">
        <v>93563</v>
      </c>
      <c r="C6018" s="710" t="s">
        <v>6048</v>
      </c>
      <c r="D6018" s="709" t="s">
        <v>208</v>
      </c>
      <c r="E6018" s="711">
        <v>1</v>
      </c>
    </row>
    <row r="6019" spans="1:5" x14ac:dyDescent="0.3">
      <c r="A6019" s="397"/>
      <c r="B6019" s="709">
        <v>90767</v>
      </c>
      <c r="C6019" s="710" t="s">
        <v>6049</v>
      </c>
      <c r="D6019" s="709" t="s">
        <v>234</v>
      </c>
      <c r="E6019" s="711">
        <v>1</v>
      </c>
    </row>
    <row r="6020" spans="1:5" x14ac:dyDescent="0.3">
      <c r="A6020" s="397"/>
      <c r="B6020" s="709">
        <v>93564</v>
      </c>
      <c r="C6020" s="710" t="s">
        <v>6049</v>
      </c>
      <c r="D6020" s="709" t="s">
        <v>208</v>
      </c>
      <c r="E6020" s="711">
        <v>1</v>
      </c>
    </row>
    <row r="6021" spans="1:5" x14ac:dyDescent="0.3">
      <c r="A6021" s="397"/>
      <c r="B6021" s="709">
        <v>88245</v>
      </c>
      <c r="C6021" s="710" t="s">
        <v>6050</v>
      </c>
      <c r="D6021" s="709" t="s">
        <v>234</v>
      </c>
      <c r="E6021" s="711">
        <v>1</v>
      </c>
    </row>
    <row r="6022" spans="1:5" x14ac:dyDescent="0.3">
      <c r="A6022" s="397"/>
      <c r="B6022" s="709">
        <v>101381</v>
      </c>
      <c r="C6022" s="710" t="s">
        <v>6050</v>
      </c>
      <c r="D6022" s="709" t="s">
        <v>208</v>
      </c>
      <c r="E6022" s="711">
        <v>1</v>
      </c>
    </row>
    <row r="6023" spans="1:5" x14ac:dyDescent="0.3">
      <c r="A6023" s="397"/>
      <c r="B6023" s="709">
        <v>90768</v>
      </c>
      <c r="C6023" s="710" t="s">
        <v>6051</v>
      </c>
      <c r="D6023" s="709" t="s">
        <v>234</v>
      </c>
      <c r="E6023" s="711">
        <v>1</v>
      </c>
    </row>
    <row r="6024" spans="1:5" x14ac:dyDescent="0.3">
      <c r="A6024" s="397"/>
      <c r="B6024" s="709">
        <v>90769</v>
      </c>
      <c r="C6024" s="710" t="s">
        <v>6052</v>
      </c>
      <c r="D6024" s="709" t="s">
        <v>234</v>
      </c>
      <c r="E6024" s="711">
        <v>1</v>
      </c>
    </row>
    <row r="6025" spans="1:5" x14ac:dyDescent="0.3">
      <c r="A6025" s="397"/>
      <c r="B6025" s="709">
        <v>90770</v>
      </c>
      <c r="C6025" s="710" t="s">
        <v>6053</v>
      </c>
      <c r="D6025" s="709" t="s">
        <v>234</v>
      </c>
      <c r="E6025" s="711">
        <v>1</v>
      </c>
    </row>
    <row r="6026" spans="1:5" x14ac:dyDescent="0.3">
      <c r="A6026" s="397"/>
      <c r="B6026" s="709">
        <v>93569</v>
      </c>
      <c r="C6026" s="710" t="s">
        <v>6054</v>
      </c>
      <c r="D6026" s="709" t="s">
        <v>208</v>
      </c>
      <c r="E6026" s="711">
        <v>1</v>
      </c>
    </row>
    <row r="6027" spans="1:5" x14ac:dyDescent="0.3">
      <c r="A6027" s="397"/>
      <c r="B6027" s="709">
        <v>93570</v>
      </c>
      <c r="C6027" s="710" t="s">
        <v>6055</v>
      </c>
      <c r="D6027" s="709" t="s">
        <v>208</v>
      </c>
      <c r="E6027" s="711">
        <v>1</v>
      </c>
    </row>
    <row r="6028" spans="1:5" x14ac:dyDescent="0.3">
      <c r="A6028" s="397"/>
      <c r="B6028" s="709">
        <v>93571</v>
      </c>
      <c r="C6028" s="710" t="s">
        <v>6056</v>
      </c>
      <c r="D6028" s="709" t="s">
        <v>208</v>
      </c>
      <c r="E6028" s="711">
        <v>1</v>
      </c>
    </row>
    <row r="6029" spans="1:5" x14ac:dyDescent="0.3">
      <c r="A6029" s="397"/>
      <c r="B6029" s="709">
        <v>101382</v>
      </c>
      <c r="C6029" s="710" t="s">
        <v>6057</v>
      </c>
      <c r="D6029" s="709" t="s">
        <v>208</v>
      </c>
      <c r="E6029" s="711">
        <v>1</v>
      </c>
    </row>
    <row r="6030" spans="1:5" x14ac:dyDescent="0.3">
      <c r="A6030" s="397"/>
      <c r="B6030" s="709">
        <v>88246</v>
      </c>
      <c r="C6030" s="710" t="s">
        <v>6058</v>
      </c>
      <c r="D6030" s="709" t="s">
        <v>234</v>
      </c>
      <c r="E6030" s="711">
        <v>1</v>
      </c>
    </row>
    <row r="6031" spans="1:5" x14ac:dyDescent="0.3">
      <c r="A6031" s="397"/>
      <c r="B6031" s="709">
        <v>100303</v>
      </c>
      <c r="C6031" s="710" t="s">
        <v>6059</v>
      </c>
      <c r="D6031" s="709" t="s">
        <v>234</v>
      </c>
      <c r="E6031" s="711">
        <v>1</v>
      </c>
    </row>
    <row r="6032" spans="1:5" x14ac:dyDescent="0.3">
      <c r="A6032" s="397"/>
      <c r="B6032" s="709">
        <v>101383</v>
      </c>
      <c r="C6032" s="710" t="s">
        <v>6059</v>
      </c>
      <c r="D6032" s="709" t="s">
        <v>208</v>
      </c>
      <c r="E6032" s="711">
        <v>1</v>
      </c>
    </row>
    <row r="6033" spans="1:5" x14ac:dyDescent="0.3">
      <c r="A6033" s="397"/>
      <c r="B6033" s="709">
        <v>88247</v>
      </c>
      <c r="C6033" s="710" t="s">
        <v>6060</v>
      </c>
      <c r="D6033" s="709" t="s">
        <v>234</v>
      </c>
      <c r="E6033" s="711">
        <v>1</v>
      </c>
    </row>
    <row r="6034" spans="1:5" x14ac:dyDescent="0.3">
      <c r="A6034" s="397"/>
      <c r="B6034" s="709">
        <v>88248</v>
      </c>
      <c r="C6034" s="710" t="s">
        <v>6061</v>
      </c>
      <c r="D6034" s="709" t="s">
        <v>234</v>
      </c>
      <c r="E6034" s="711">
        <v>1</v>
      </c>
    </row>
    <row r="6035" spans="1:5" x14ac:dyDescent="0.3">
      <c r="A6035" s="397"/>
      <c r="B6035" s="709">
        <v>101384</v>
      </c>
      <c r="C6035" s="710" t="s">
        <v>6061</v>
      </c>
      <c r="D6035" s="709" t="s">
        <v>208</v>
      </c>
      <c r="E6035" s="711">
        <v>1</v>
      </c>
    </row>
    <row r="6036" spans="1:5" x14ac:dyDescent="0.3">
      <c r="A6036" s="397"/>
      <c r="B6036" s="709">
        <v>90772</v>
      </c>
      <c r="C6036" s="710" t="s">
        <v>6062</v>
      </c>
      <c r="D6036" s="709" t="s">
        <v>234</v>
      </c>
      <c r="E6036" s="711">
        <v>1</v>
      </c>
    </row>
    <row r="6037" spans="1:5" x14ac:dyDescent="0.3">
      <c r="A6037" s="397"/>
      <c r="B6037" s="709">
        <v>93566</v>
      </c>
      <c r="C6037" s="710" t="s">
        <v>6062</v>
      </c>
      <c r="D6037" s="709" t="s">
        <v>208</v>
      </c>
      <c r="E6037" s="711">
        <v>1</v>
      </c>
    </row>
    <row r="6038" spans="1:5" x14ac:dyDescent="0.3">
      <c r="A6038" s="397"/>
      <c r="B6038" s="709">
        <v>101385</v>
      </c>
      <c r="C6038" s="710" t="s">
        <v>6063</v>
      </c>
      <c r="D6038" s="709" t="s">
        <v>208</v>
      </c>
      <c r="E6038" s="711">
        <v>1</v>
      </c>
    </row>
    <row r="6039" spans="1:5" x14ac:dyDescent="0.3">
      <c r="A6039" s="397"/>
      <c r="B6039" s="709">
        <v>88249</v>
      </c>
      <c r="C6039" s="710" t="s">
        <v>6064</v>
      </c>
      <c r="D6039" s="709" t="s">
        <v>234</v>
      </c>
      <c r="E6039" s="711">
        <v>1</v>
      </c>
    </row>
    <row r="6040" spans="1:5" x14ac:dyDescent="0.3">
      <c r="A6040" s="397"/>
      <c r="B6040" s="709">
        <v>88250</v>
      </c>
      <c r="C6040" s="710" t="s">
        <v>6065</v>
      </c>
      <c r="D6040" s="709" t="s">
        <v>234</v>
      </c>
      <c r="E6040" s="711">
        <v>1</v>
      </c>
    </row>
    <row r="6041" spans="1:5" x14ac:dyDescent="0.3">
      <c r="A6041" s="397"/>
      <c r="B6041" s="709">
        <v>101386</v>
      </c>
      <c r="C6041" s="710" t="s">
        <v>6065</v>
      </c>
      <c r="D6041" s="709" t="s">
        <v>208</v>
      </c>
      <c r="E6041" s="711">
        <v>1</v>
      </c>
    </row>
    <row r="6042" spans="1:5" x14ac:dyDescent="0.3">
      <c r="A6042" s="397"/>
      <c r="B6042" s="709">
        <v>101387</v>
      </c>
      <c r="C6042" s="710" t="s">
        <v>6066</v>
      </c>
      <c r="D6042" s="709" t="s">
        <v>208</v>
      </c>
      <c r="E6042" s="711">
        <v>1</v>
      </c>
    </row>
    <row r="6043" spans="1:5" x14ac:dyDescent="0.3">
      <c r="A6043" s="397"/>
      <c r="B6043" s="709">
        <v>88251</v>
      </c>
      <c r="C6043" s="710" t="s">
        <v>6067</v>
      </c>
      <c r="D6043" s="709" t="s">
        <v>234</v>
      </c>
      <c r="E6043" s="711">
        <v>1</v>
      </c>
    </row>
    <row r="6044" spans="1:5" x14ac:dyDescent="0.3">
      <c r="A6044" s="397"/>
      <c r="B6044" s="709">
        <v>88252</v>
      </c>
      <c r="C6044" s="710" t="s">
        <v>6068</v>
      </c>
      <c r="D6044" s="709" t="s">
        <v>234</v>
      </c>
      <c r="E6044" s="711">
        <v>1</v>
      </c>
    </row>
    <row r="6045" spans="1:5" x14ac:dyDescent="0.3">
      <c r="A6045" s="397"/>
      <c r="B6045" s="709">
        <v>101388</v>
      </c>
      <c r="C6045" s="710" t="s">
        <v>6068</v>
      </c>
      <c r="D6045" s="709" t="s">
        <v>208</v>
      </c>
      <c r="E6045" s="711">
        <v>1</v>
      </c>
    </row>
    <row r="6046" spans="1:5" x14ac:dyDescent="0.3">
      <c r="A6046" s="397"/>
      <c r="B6046" s="709">
        <v>88253</v>
      </c>
      <c r="C6046" s="710" t="s">
        <v>6069</v>
      </c>
      <c r="D6046" s="709" t="s">
        <v>234</v>
      </c>
      <c r="E6046" s="711">
        <v>1</v>
      </c>
    </row>
    <row r="6047" spans="1:5" x14ac:dyDescent="0.3">
      <c r="A6047" s="397"/>
      <c r="B6047" s="709">
        <v>101389</v>
      </c>
      <c r="C6047" s="710" t="s">
        <v>6069</v>
      </c>
      <c r="D6047" s="709" t="s">
        <v>208</v>
      </c>
      <c r="E6047" s="711">
        <v>1</v>
      </c>
    </row>
    <row r="6048" spans="1:5" x14ac:dyDescent="0.3">
      <c r="A6048" s="397"/>
      <c r="B6048" s="709">
        <v>101390</v>
      </c>
      <c r="C6048" s="710" t="s">
        <v>6070</v>
      </c>
      <c r="D6048" s="709" t="s">
        <v>208</v>
      </c>
      <c r="E6048" s="711">
        <v>1</v>
      </c>
    </row>
    <row r="6049" spans="1:5" x14ac:dyDescent="0.3">
      <c r="A6049" s="397"/>
      <c r="B6049" s="709">
        <v>88255</v>
      </c>
      <c r="C6049" s="710" t="s">
        <v>6071</v>
      </c>
      <c r="D6049" s="709" t="s">
        <v>234</v>
      </c>
      <c r="E6049" s="711">
        <v>1</v>
      </c>
    </row>
    <row r="6050" spans="1:5" x14ac:dyDescent="0.3">
      <c r="A6050" s="397"/>
      <c r="B6050" s="709">
        <v>88256</v>
      </c>
      <c r="C6050" s="710" t="s">
        <v>6072</v>
      </c>
      <c r="D6050" s="709" t="s">
        <v>234</v>
      </c>
      <c r="E6050" s="711">
        <v>1</v>
      </c>
    </row>
    <row r="6051" spans="1:5" x14ac:dyDescent="0.3">
      <c r="A6051" s="397"/>
      <c r="B6051" s="709">
        <v>101391</v>
      </c>
      <c r="C6051" s="710" t="s">
        <v>6072</v>
      </c>
      <c r="D6051" s="709" t="s">
        <v>208</v>
      </c>
      <c r="E6051" s="711">
        <v>1</v>
      </c>
    </row>
    <row r="6052" spans="1:5" x14ac:dyDescent="0.3">
      <c r="A6052" s="397"/>
      <c r="B6052" s="709">
        <v>88257</v>
      </c>
      <c r="C6052" s="710" t="s">
        <v>6073</v>
      </c>
      <c r="D6052" s="709" t="s">
        <v>234</v>
      </c>
      <c r="E6052" s="711">
        <v>1</v>
      </c>
    </row>
    <row r="6053" spans="1:5" x14ac:dyDescent="0.3">
      <c r="A6053" s="397"/>
      <c r="B6053" s="709">
        <v>101392</v>
      </c>
      <c r="C6053" s="710" t="s">
        <v>6074</v>
      </c>
      <c r="D6053" s="709" t="s">
        <v>208</v>
      </c>
      <c r="E6053" s="711">
        <v>1</v>
      </c>
    </row>
    <row r="6054" spans="1:5" x14ac:dyDescent="0.3">
      <c r="A6054" s="397"/>
      <c r="B6054" s="709">
        <v>88260</v>
      </c>
      <c r="C6054" s="710" t="s">
        <v>6075</v>
      </c>
      <c r="D6054" s="709" t="s">
        <v>234</v>
      </c>
      <c r="E6054" s="711">
        <v>1</v>
      </c>
    </row>
    <row r="6055" spans="1:5" x14ac:dyDescent="0.3">
      <c r="A6055" s="397"/>
      <c r="B6055" s="709">
        <v>101394</v>
      </c>
      <c r="C6055" s="710" t="s">
        <v>6075</v>
      </c>
      <c r="D6055" s="709" t="s">
        <v>208</v>
      </c>
      <c r="E6055" s="711">
        <v>1</v>
      </c>
    </row>
    <row r="6056" spans="1:5" x14ac:dyDescent="0.3">
      <c r="A6056" s="397"/>
      <c r="B6056" s="709">
        <v>101395</v>
      </c>
      <c r="C6056" s="710" t="s">
        <v>6076</v>
      </c>
      <c r="D6056" s="709" t="s">
        <v>208</v>
      </c>
      <c r="E6056" s="711">
        <v>1</v>
      </c>
    </row>
    <row r="6057" spans="1:5" x14ac:dyDescent="0.3">
      <c r="A6057" s="397"/>
      <c r="B6057" s="709">
        <v>88261</v>
      </c>
      <c r="C6057" s="710" t="s">
        <v>6077</v>
      </c>
      <c r="D6057" s="709" t="s">
        <v>234</v>
      </c>
      <c r="E6057" s="711">
        <v>1</v>
      </c>
    </row>
    <row r="6058" spans="1:5" x14ac:dyDescent="0.3">
      <c r="A6058" s="397"/>
      <c r="B6058" s="709">
        <v>101396</v>
      </c>
      <c r="C6058" s="710" t="s">
        <v>6077</v>
      </c>
      <c r="D6058" s="709" t="s">
        <v>208</v>
      </c>
      <c r="E6058" s="711">
        <v>1</v>
      </c>
    </row>
    <row r="6059" spans="1:5" x14ac:dyDescent="0.3">
      <c r="A6059" s="397"/>
      <c r="B6059" s="709">
        <v>88262</v>
      </c>
      <c r="C6059" s="710" t="s">
        <v>6078</v>
      </c>
      <c r="D6059" s="709" t="s">
        <v>234</v>
      </c>
      <c r="E6059" s="711">
        <v>1</v>
      </c>
    </row>
    <row r="6060" spans="1:5" x14ac:dyDescent="0.3">
      <c r="A6060" s="397"/>
      <c r="B6060" s="709">
        <v>101397</v>
      </c>
      <c r="C6060" s="710" t="s">
        <v>6078</v>
      </c>
      <c r="D6060" s="709" t="s">
        <v>208</v>
      </c>
      <c r="E6060" s="711">
        <v>1</v>
      </c>
    </row>
    <row r="6061" spans="1:5" x14ac:dyDescent="0.3">
      <c r="A6061" s="397"/>
      <c r="B6061" s="709">
        <v>101398</v>
      </c>
      <c r="C6061" s="710" t="s">
        <v>6079</v>
      </c>
      <c r="D6061" s="709" t="s">
        <v>208</v>
      </c>
      <c r="E6061" s="711">
        <v>1</v>
      </c>
    </row>
    <row r="6062" spans="1:5" x14ac:dyDescent="0.3">
      <c r="A6062" s="397"/>
      <c r="B6062" s="709">
        <v>88263</v>
      </c>
      <c r="C6062" s="710" t="s">
        <v>6080</v>
      </c>
      <c r="D6062" s="709" t="s">
        <v>234</v>
      </c>
      <c r="E6062" s="711">
        <v>1</v>
      </c>
    </row>
    <row r="6063" spans="1:5" x14ac:dyDescent="0.3">
      <c r="A6063" s="397"/>
      <c r="B6063" s="709">
        <v>95308</v>
      </c>
      <c r="C6063" s="710" t="s">
        <v>6081</v>
      </c>
      <c r="D6063" s="709" t="s">
        <v>234</v>
      </c>
      <c r="E6063" s="711">
        <v>1</v>
      </c>
    </row>
    <row r="6064" spans="1:5" x14ac:dyDescent="0.3">
      <c r="A6064" s="397"/>
      <c r="B6064" s="709">
        <v>101286</v>
      </c>
      <c r="C6064" s="710" t="s">
        <v>6082</v>
      </c>
      <c r="D6064" s="709" t="s">
        <v>208</v>
      </c>
      <c r="E6064" s="711">
        <v>1</v>
      </c>
    </row>
    <row r="6065" spans="1:5" x14ac:dyDescent="0.3">
      <c r="A6065" s="397"/>
      <c r="B6065" s="709">
        <v>95309</v>
      </c>
      <c r="C6065" s="710" t="s">
        <v>6083</v>
      </c>
      <c r="D6065" s="709" t="s">
        <v>234</v>
      </c>
      <c r="E6065" s="711">
        <v>1</v>
      </c>
    </row>
    <row r="6066" spans="1:5" x14ac:dyDescent="0.3">
      <c r="A6066" s="397"/>
      <c r="B6066" s="709">
        <v>101287</v>
      </c>
      <c r="C6066" s="710" t="s">
        <v>6084</v>
      </c>
      <c r="D6066" s="709" t="s">
        <v>208</v>
      </c>
      <c r="E6066" s="711">
        <v>1</v>
      </c>
    </row>
    <row r="6067" spans="1:5" x14ac:dyDescent="0.3">
      <c r="A6067" s="397"/>
      <c r="B6067" s="709">
        <v>95310</v>
      </c>
      <c r="C6067" s="710" t="s">
        <v>6085</v>
      </c>
      <c r="D6067" s="709" t="s">
        <v>234</v>
      </c>
      <c r="E6067" s="711">
        <v>1</v>
      </c>
    </row>
    <row r="6068" spans="1:5" x14ac:dyDescent="0.3">
      <c r="A6068" s="397"/>
      <c r="B6068" s="709">
        <v>101288</v>
      </c>
      <c r="C6068" s="710" t="s">
        <v>6086</v>
      </c>
      <c r="D6068" s="709" t="s">
        <v>208</v>
      </c>
      <c r="E6068" s="711">
        <v>1</v>
      </c>
    </row>
    <row r="6069" spans="1:5" x14ac:dyDescent="0.3">
      <c r="A6069" s="397"/>
      <c r="B6069" s="709">
        <v>95311</v>
      </c>
      <c r="C6069" s="710" t="s">
        <v>6087</v>
      </c>
      <c r="D6069" s="709" t="s">
        <v>234</v>
      </c>
      <c r="E6069" s="711">
        <v>1</v>
      </c>
    </row>
    <row r="6070" spans="1:5" x14ac:dyDescent="0.3">
      <c r="A6070" s="397"/>
      <c r="B6070" s="709">
        <v>101289</v>
      </c>
      <c r="C6070" s="710" t="s">
        <v>6088</v>
      </c>
      <c r="D6070" s="709" t="s">
        <v>208</v>
      </c>
      <c r="E6070" s="711">
        <v>1</v>
      </c>
    </row>
    <row r="6071" spans="1:5" x14ac:dyDescent="0.3">
      <c r="A6071" s="397"/>
      <c r="B6071" s="709">
        <v>95312</v>
      </c>
      <c r="C6071" s="710" t="s">
        <v>6089</v>
      </c>
      <c r="D6071" s="709" t="s">
        <v>234</v>
      </c>
      <c r="E6071" s="711">
        <v>1</v>
      </c>
    </row>
    <row r="6072" spans="1:5" x14ac:dyDescent="0.3">
      <c r="A6072" s="397"/>
      <c r="B6072" s="709">
        <v>100291</v>
      </c>
      <c r="C6072" s="710" t="s">
        <v>6090</v>
      </c>
      <c r="D6072" s="709" t="s">
        <v>234</v>
      </c>
      <c r="E6072" s="711">
        <v>1</v>
      </c>
    </row>
    <row r="6073" spans="1:5" x14ac:dyDescent="0.3">
      <c r="A6073" s="397"/>
      <c r="B6073" s="709">
        <v>101290</v>
      </c>
      <c r="C6073" s="710" t="s">
        <v>6091</v>
      </c>
      <c r="D6073" s="709" t="s">
        <v>208</v>
      </c>
      <c r="E6073" s="711">
        <v>1</v>
      </c>
    </row>
    <row r="6074" spans="1:5" x14ac:dyDescent="0.3">
      <c r="A6074" s="397"/>
      <c r="B6074" s="709">
        <v>101291</v>
      </c>
      <c r="C6074" s="710" t="s">
        <v>6092</v>
      </c>
      <c r="D6074" s="709" t="s">
        <v>208</v>
      </c>
      <c r="E6074" s="711">
        <v>1</v>
      </c>
    </row>
    <row r="6075" spans="1:5" x14ac:dyDescent="0.3">
      <c r="A6075" s="397"/>
      <c r="B6075" s="709">
        <v>95313</v>
      </c>
      <c r="C6075" s="710" t="s">
        <v>6093</v>
      </c>
      <c r="D6075" s="709" t="s">
        <v>234</v>
      </c>
      <c r="E6075" s="711">
        <v>1</v>
      </c>
    </row>
    <row r="6076" spans="1:5" x14ac:dyDescent="0.3">
      <c r="A6076" s="397"/>
      <c r="B6076" s="709">
        <v>101292</v>
      </c>
      <c r="C6076" s="710" t="s">
        <v>6094</v>
      </c>
      <c r="D6076" s="709" t="s">
        <v>208</v>
      </c>
      <c r="E6076" s="711">
        <v>1</v>
      </c>
    </row>
    <row r="6077" spans="1:5" x14ac:dyDescent="0.3">
      <c r="A6077" s="397"/>
      <c r="B6077" s="709">
        <v>95392</v>
      </c>
      <c r="C6077" s="710" t="s">
        <v>6095</v>
      </c>
      <c r="D6077" s="709" t="s">
        <v>234</v>
      </c>
      <c r="E6077" s="711">
        <v>1</v>
      </c>
    </row>
    <row r="6078" spans="1:5" x14ac:dyDescent="0.3">
      <c r="A6078" s="397"/>
      <c r="B6078" s="709">
        <v>95413</v>
      </c>
      <c r="C6078" s="710" t="s">
        <v>6096</v>
      </c>
      <c r="D6078" s="709" t="s">
        <v>208</v>
      </c>
      <c r="E6078" s="711">
        <v>1</v>
      </c>
    </row>
    <row r="6079" spans="1:5" x14ac:dyDescent="0.3">
      <c r="A6079" s="397"/>
      <c r="B6079" s="709">
        <v>95393</v>
      </c>
      <c r="C6079" s="710" t="s">
        <v>6097</v>
      </c>
      <c r="D6079" s="709" t="s">
        <v>234</v>
      </c>
      <c r="E6079" s="711">
        <v>1</v>
      </c>
    </row>
    <row r="6080" spans="1:5" x14ac:dyDescent="0.3">
      <c r="A6080" s="397"/>
      <c r="B6080" s="709">
        <v>95414</v>
      </c>
      <c r="C6080" s="710" t="s">
        <v>6098</v>
      </c>
      <c r="D6080" s="709" t="s">
        <v>208</v>
      </c>
      <c r="E6080" s="711">
        <v>1</v>
      </c>
    </row>
    <row r="6081" spans="1:5" x14ac:dyDescent="0.3">
      <c r="A6081" s="397"/>
      <c r="B6081" s="709">
        <v>95314</v>
      </c>
      <c r="C6081" s="710" t="s">
        <v>6099</v>
      </c>
      <c r="D6081" s="709" t="s">
        <v>234</v>
      </c>
      <c r="E6081" s="711">
        <v>1</v>
      </c>
    </row>
    <row r="6082" spans="1:5" x14ac:dyDescent="0.3">
      <c r="A6082" s="397"/>
      <c r="B6082" s="709">
        <v>101293</v>
      </c>
      <c r="C6082" s="710" t="s">
        <v>6100</v>
      </c>
      <c r="D6082" s="709" t="s">
        <v>208</v>
      </c>
      <c r="E6082" s="711">
        <v>1</v>
      </c>
    </row>
    <row r="6083" spans="1:5" x14ac:dyDescent="0.3">
      <c r="A6083" s="397"/>
      <c r="B6083" s="709">
        <v>95394</v>
      </c>
      <c r="C6083" s="710" t="s">
        <v>6101</v>
      </c>
      <c r="D6083" s="709" t="s">
        <v>234</v>
      </c>
      <c r="E6083" s="711">
        <v>1</v>
      </c>
    </row>
    <row r="6084" spans="1:5" x14ac:dyDescent="0.3">
      <c r="A6084" s="397"/>
      <c r="B6084" s="709">
        <v>95395</v>
      </c>
      <c r="C6084" s="710" t="s">
        <v>6102</v>
      </c>
      <c r="D6084" s="709" t="s">
        <v>234</v>
      </c>
      <c r="E6084" s="711">
        <v>1</v>
      </c>
    </row>
    <row r="6085" spans="1:5" x14ac:dyDescent="0.3">
      <c r="A6085" s="397"/>
      <c r="B6085" s="709">
        <v>95396</v>
      </c>
      <c r="C6085" s="710" t="s">
        <v>6103</v>
      </c>
      <c r="D6085" s="709" t="s">
        <v>234</v>
      </c>
      <c r="E6085" s="711">
        <v>1</v>
      </c>
    </row>
    <row r="6086" spans="1:5" x14ac:dyDescent="0.3">
      <c r="A6086" s="397"/>
      <c r="B6086" s="709">
        <v>95419</v>
      </c>
      <c r="C6086" s="710" t="s">
        <v>6104</v>
      </c>
      <c r="D6086" s="709" t="s">
        <v>208</v>
      </c>
      <c r="E6086" s="711">
        <v>1</v>
      </c>
    </row>
    <row r="6087" spans="1:5" x14ac:dyDescent="0.3">
      <c r="A6087" s="397"/>
      <c r="B6087" s="709">
        <v>95420</v>
      </c>
      <c r="C6087" s="710" t="s">
        <v>6105</v>
      </c>
      <c r="D6087" s="709" t="s">
        <v>208</v>
      </c>
      <c r="E6087" s="711">
        <v>1</v>
      </c>
    </row>
    <row r="6088" spans="1:5" x14ac:dyDescent="0.3">
      <c r="A6088" s="397"/>
      <c r="B6088" s="709">
        <v>95421</v>
      </c>
      <c r="C6088" s="710" t="s">
        <v>6106</v>
      </c>
      <c r="D6088" s="709" t="s">
        <v>208</v>
      </c>
      <c r="E6088" s="711">
        <v>1</v>
      </c>
    </row>
    <row r="6089" spans="1:5" x14ac:dyDescent="0.3">
      <c r="A6089" s="397"/>
      <c r="B6089" s="709">
        <v>101294</v>
      </c>
      <c r="C6089" s="710" t="s">
        <v>6107</v>
      </c>
      <c r="D6089" s="709" t="s">
        <v>208</v>
      </c>
      <c r="E6089" s="711">
        <v>1</v>
      </c>
    </row>
    <row r="6090" spans="1:5" x14ac:dyDescent="0.3">
      <c r="A6090" s="397"/>
      <c r="B6090" s="709">
        <v>95315</v>
      </c>
      <c r="C6090" s="710" t="s">
        <v>6108</v>
      </c>
      <c r="D6090" s="709" t="s">
        <v>234</v>
      </c>
      <c r="E6090" s="711">
        <v>1</v>
      </c>
    </row>
    <row r="6091" spans="1:5" x14ac:dyDescent="0.3">
      <c r="A6091" s="397"/>
      <c r="B6091" s="709">
        <v>100293</v>
      </c>
      <c r="C6091" s="710" t="s">
        <v>6109</v>
      </c>
      <c r="D6091" s="709" t="s">
        <v>234</v>
      </c>
      <c r="E6091" s="711">
        <v>1</v>
      </c>
    </row>
    <row r="6092" spans="1:5" x14ac:dyDescent="0.3">
      <c r="A6092" s="397"/>
      <c r="B6092" s="709">
        <v>101295</v>
      </c>
      <c r="C6092" s="710" t="s">
        <v>6110</v>
      </c>
      <c r="D6092" s="709" t="s">
        <v>208</v>
      </c>
      <c r="E6092" s="711">
        <v>1</v>
      </c>
    </row>
    <row r="6093" spans="1:5" x14ac:dyDescent="0.3">
      <c r="A6093" s="397"/>
      <c r="B6093" s="709">
        <v>95316</v>
      </c>
      <c r="C6093" s="710" t="s">
        <v>6111</v>
      </c>
      <c r="D6093" s="709" t="s">
        <v>234</v>
      </c>
      <c r="E6093" s="711">
        <v>1</v>
      </c>
    </row>
    <row r="6094" spans="1:5" x14ac:dyDescent="0.3">
      <c r="A6094" s="397"/>
      <c r="B6094" s="709">
        <v>95317</v>
      </c>
      <c r="C6094" s="710" t="s">
        <v>6112</v>
      </c>
      <c r="D6094" s="709" t="s">
        <v>234</v>
      </c>
      <c r="E6094" s="711">
        <v>1</v>
      </c>
    </row>
    <row r="6095" spans="1:5" x14ac:dyDescent="0.3">
      <c r="A6095" s="397"/>
      <c r="B6095" s="709">
        <v>101296</v>
      </c>
      <c r="C6095" s="710" t="s">
        <v>6113</v>
      </c>
      <c r="D6095" s="709" t="s">
        <v>208</v>
      </c>
      <c r="E6095" s="711">
        <v>1</v>
      </c>
    </row>
    <row r="6096" spans="1:5" x14ac:dyDescent="0.3">
      <c r="A6096" s="397"/>
      <c r="B6096" s="709">
        <v>95398</v>
      </c>
      <c r="C6096" s="710" t="s">
        <v>6114</v>
      </c>
      <c r="D6096" s="709" t="s">
        <v>234</v>
      </c>
      <c r="E6096" s="711">
        <v>1</v>
      </c>
    </row>
    <row r="6097" spans="1:5" x14ac:dyDescent="0.3">
      <c r="A6097" s="397"/>
      <c r="B6097" s="709">
        <v>95416</v>
      </c>
      <c r="C6097" s="710" t="s">
        <v>6115</v>
      </c>
      <c r="D6097" s="709" t="s">
        <v>208</v>
      </c>
      <c r="E6097" s="711">
        <v>1</v>
      </c>
    </row>
    <row r="6098" spans="1:5" x14ac:dyDescent="0.3">
      <c r="A6098" s="397"/>
      <c r="B6098" s="709">
        <v>101297</v>
      </c>
      <c r="C6098" s="710" t="s">
        <v>6116</v>
      </c>
      <c r="D6098" s="709" t="s">
        <v>208</v>
      </c>
      <c r="E6098" s="711">
        <v>1</v>
      </c>
    </row>
    <row r="6099" spans="1:5" x14ac:dyDescent="0.3">
      <c r="A6099" s="397"/>
      <c r="B6099" s="709">
        <v>95318</v>
      </c>
      <c r="C6099" s="710" t="s">
        <v>6117</v>
      </c>
      <c r="D6099" s="709" t="s">
        <v>234</v>
      </c>
      <c r="E6099" s="711">
        <v>1</v>
      </c>
    </row>
    <row r="6100" spans="1:5" x14ac:dyDescent="0.3">
      <c r="A6100" s="397"/>
      <c r="B6100" s="709">
        <v>101298</v>
      </c>
      <c r="C6100" s="710" t="s">
        <v>6118</v>
      </c>
      <c r="D6100" s="709" t="s">
        <v>208</v>
      </c>
      <c r="E6100" s="711">
        <v>1</v>
      </c>
    </row>
    <row r="6101" spans="1:5" x14ac:dyDescent="0.3">
      <c r="A6101" s="397"/>
      <c r="B6101" s="709">
        <v>95319</v>
      </c>
      <c r="C6101" s="710" t="s">
        <v>6119</v>
      </c>
      <c r="D6101" s="709" t="s">
        <v>234</v>
      </c>
      <c r="E6101" s="711">
        <v>1</v>
      </c>
    </row>
    <row r="6102" spans="1:5" x14ac:dyDescent="0.3">
      <c r="A6102" s="397"/>
      <c r="B6102" s="709">
        <v>101299</v>
      </c>
      <c r="C6102" s="710" t="s">
        <v>6120</v>
      </c>
      <c r="D6102" s="709" t="s">
        <v>208</v>
      </c>
      <c r="E6102" s="711">
        <v>1</v>
      </c>
    </row>
    <row r="6103" spans="1:5" x14ac:dyDescent="0.3">
      <c r="A6103" s="397"/>
      <c r="B6103" s="709">
        <v>95320</v>
      </c>
      <c r="C6103" s="710" t="s">
        <v>6121</v>
      </c>
      <c r="D6103" s="709" t="s">
        <v>234</v>
      </c>
      <c r="E6103" s="711">
        <v>1</v>
      </c>
    </row>
    <row r="6104" spans="1:5" x14ac:dyDescent="0.3">
      <c r="A6104" s="397"/>
      <c r="B6104" s="709">
        <v>95321</v>
      </c>
      <c r="C6104" s="710" t="s">
        <v>6122</v>
      </c>
      <c r="D6104" s="709" t="s">
        <v>234</v>
      </c>
      <c r="E6104" s="711">
        <v>1</v>
      </c>
    </row>
    <row r="6105" spans="1:5" x14ac:dyDescent="0.3">
      <c r="A6105" s="397"/>
      <c r="B6105" s="709">
        <v>101300</v>
      </c>
      <c r="C6105" s="710" t="s">
        <v>6123</v>
      </c>
      <c r="D6105" s="709" t="s">
        <v>208</v>
      </c>
      <c r="E6105" s="711">
        <v>1</v>
      </c>
    </row>
    <row r="6106" spans="1:5" x14ac:dyDescent="0.3">
      <c r="A6106" s="397"/>
      <c r="B6106" s="709">
        <v>95322</v>
      </c>
      <c r="C6106" s="710" t="s">
        <v>6124</v>
      </c>
      <c r="D6106" s="709" t="s">
        <v>234</v>
      </c>
      <c r="E6106" s="711">
        <v>1</v>
      </c>
    </row>
    <row r="6107" spans="1:5" x14ac:dyDescent="0.3">
      <c r="A6107" s="397"/>
      <c r="B6107" s="709">
        <v>101301</v>
      </c>
      <c r="C6107" s="710" t="s">
        <v>6125</v>
      </c>
      <c r="D6107" s="709" t="s">
        <v>208</v>
      </c>
      <c r="E6107" s="711">
        <v>1</v>
      </c>
    </row>
    <row r="6108" spans="1:5" x14ac:dyDescent="0.3">
      <c r="A6108" s="397"/>
      <c r="B6108" s="709">
        <v>95323</v>
      </c>
      <c r="C6108" s="710" t="s">
        <v>6126</v>
      </c>
      <c r="D6108" s="709" t="s">
        <v>234</v>
      </c>
      <c r="E6108" s="711">
        <v>1</v>
      </c>
    </row>
    <row r="6109" spans="1:5" x14ac:dyDescent="0.3">
      <c r="A6109" s="397"/>
      <c r="B6109" s="709">
        <v>101302</v>
      </c>
      <c r="C6109" s="710" t="s">
        <v>6127</v>
      </c>
      <c r="D6109" s="709" t="s">
        <v>208</v>
      </c>
      <c r="E6109" s="711">
        <v>1</v>
      </c>
    </row>
    <row r="6110" spans="1:5" x14ac:dyDescent="0.3">
      <c r="A6110" s="397"/>
      <c r="B6110" s="709">
        <v>95324</v>
      </c>
      <c r="C6110" s="710" t="s">
        <v>6128</v>
      </c>
      <c r="D6110" s="709" t="s">
        <v>234</v>
      </c>
      <c r="E6110" s="711">
        <v>1</v>
      </c>
    </row>
    <row r="6111" spans="1:5" x14ac:dyDescent="0.3">
      <c r="A6111" s="397"/>
      <c r="B6111" s="709">
        <v>101304</v>
      </c>
      <c r="C6111" s="710" t="s">
        <v>6129</v>
      </c>
      <c r="D6111" s="709" t="s">
        <v>208</v>
      </c>
      <c r="E6111" s="711">
        <v>1</v>
      </c>
    </row>
    <row r="6112" spans="1:5" x14ac:dyDescent="0.3">
      <c r="A6112" s="397"/>
      <c r="B6112" s="709">
        <v>95325</v>
      </c>
      <c r="C6112" s="710" t="s">
        <v>6130</v>
      </c>
      <c r="D6112" s="709" t="s">
        <v>234</v>
      </c>
      <c r="E6112" s="711">
        <v>1</v>
      </c>
    </row>
    <row r="6113" spans="1:5" x14ac:dyDescent="0.3">
      <c r="A6113" s="397"/>
      <c r="B6113" s="709">
        <v>101305</v>
      </c>
      <c r="C6113" s="710" t="s">
        <v>6131</v>
      </c>
      <c r="D6113" s="709" t="s">
        <v>208</v>
      </c>
      <c r="E6113" s="711">
        <v>1</v>
      </c>
    </row>
    <row r="6114" spans="1:5" x14ac:dyDescent="0.3">
      <c r="A6114" s="397"/>
      <c r="B6114" s="709">
        <v>95328</v>
      </c>
      <c r="C6114" s="710" t="s">
        <v>6132</v>
      </c>
      <c r="D6114" s="709" t="s">
        <v>234</v>
      </c>
      <c r="E6114" s="711">
        <v>1</v>
      </c>
    </row>
    <row r="6115" spans="1:5" x14ac:dyDescent="0.3">
      <c r="A6115" s="397"/>
      <c r="B6115" s="709">
        <v>101307</v>
      </c>
      <c r="C6115" s="710" t="s">
        <v>6133</v>
      </c>
      <c r="D6115" s="709" t="s">
        <v>208</v>
      </c>
      <c r="E6115" s="711">
        <v>1</v>
      </c>
    </row>
    <row r="6116" spans="1:5" x14ac:dyDescent="0.3">
      <c r="A6116" s="397"/>
      <c r="B6116" s="709">
        <v>101309</v>
      </c>
      <c r="C6116" s="710" t="s">
        <v>6134</v>
      </c>
      <c r="D6116" s="709" t="s">
        <v>208</v>
      </c>
      <c r="E6116" s="711">
        <v>1</v>
      </c>
    </row>
    <row r="6117" spans="1:5" x14ac:dyDescent="0.3">
      <c r="A6117" s="397"/>
      <c r="B6117" s="709">
        <v>95329</v>
      </c>
      <c r="C6117" s="710" t="s">
        <v>6135</v>
      </c>
      <c r="D6117" s="709" t="s">
        <v>234</v>
      </c>
      <c r="E6117" s="711">
        <v>1</v>
      </c>
    </row>
    <row r="6118" spans="1:5" x14ac:dyDescent="0.3">
      <c r="A6118" s="397"/>
      <c r="B6118" s="709">
        <v>101310</v>
      </c>
      <c r="C6118" s="710" t="s">
        <v>6136</v>
      </c>
      <c r="D6118" s="709" t="s">
        <v>208</v>
      </c>
      <c r="E6118" s="711">
        <v>1</v>
      </c>
    </row>
    <row r="6119" spans="1:5" x14ac:dyDescent="0.3">
      <c r="A6119" s="397"/>
      <c r="B6119" s="709">
        <v>101311</v>
      </c>
      <c r="C6119" s="710" t="s">
        <v>6137</v>
      </c>
      <c r="D6119" s="709" t="s">
        <v>208</v>
      </c>
      <c r="E6119" s="711">
        <v>1</v>
      </c>
    </row>
    <row r="6120" spans="1:5" x14ac:dyDescent="0.3">
      <c r="A6120" s="397"/>
      <c r="B6120" s="709">
        <v>95330</v>
      </c>
      <c r="C6120" s="710" t="s">
        <v>6138</v>
      </c>
      <c r="D6120" s="709" t="s">
        <v>234</v>
      </c>
      <c r="E6120" s="711">
        <v>1</v>
      </c>
    </row>
    <row r="6121" spans="1:5" x14ac:dyDescent="0.3">
      <c r="A6121" s="397"/>
      <c r="B6121" s="709">
        <v>101312</v>
      </c>
      <c r="C6121" s="710" t="s">
        <v>6139</v>
      </c>
      <c r="D6121" s="709" t="s">
        <v>208</v>
      </c>
      <c r="E6121" s="711">
        <v>1</v>
      </c>
    </row>
    <row r="6122" spans="1:5" x14ac:dyDescent="0.3">
      <c r="A6122" s="397"/>
      <c r="B6122" s="709">
        <v>95331</v>
      </c>
      <c r="C6122" s="710" t="s">
        <v>6140</v>
      </c>
      <c r="D6122" s="709" t="s">
        <v>234</v>
      </c>
      <c r="E6122" s="711">
        <v>1</v>
      </c>
    </row>
    <row r="6123" spans="1:5" x14ac:dyDescent="0.3">
      <c r="A6123" s="397"/>
      <c r="B6123" s="709">
        <v>95400</v>
      </c>
      <c r="C6123" s="710" t="s">
        <v>6141</v>
      </c>
      <c r="D6123" s="709" t="s">
        <v>234</v>
      </c>
      <c r="E6123" s="711">
        <v>1</v>
      </c>
    </row>
    <row r="6124" spans="1:5" x14ac:dyDescent="0.3">
      <c r="A6124" s="397"/>
      <c r="B6124" s="709">
        <v>95411</v>
      </c>
      <c r="C6124" s="710" t="s">
        <v>6142</v>
      </c>
      <c r="D6124" s="709" t="s">
        <v>208</v>
      </c>
      <c r="E6124" s="711">
        <v>1</v>
      </c>
    </row>
    <row r="6125" spans="1:5" x14ac:dyDescent="0.3">
      <c r="A6125" s="397"/>
      <c r="B6125" s="709">
        <v>95332</v>
      </c>
      <c r="C6125" s="710" t="s">
        <v>6143</v>
      </c>
      <c r="D6125" s="709" t="s">
        <v>234</v>
      </c>
      <c r="E6125" s="711">
        <v>1</v>
      </c>
    </row>
    <row r="6126" spans="1:5" x14ac:dyDescent="0.3">
      <c r="A6126" s="397"/>
      <c r="B6126" s="709">
        <v>101313</v>
      </c>
      <c r="C6126" s="710" t="s">
        <v>6144</v>
      </c>
      <c r="D6126" s="709" t="s">
        <v>208</v>
      </c>
      <c r="E6126" s="711">
        <v>1</v>
      </c>
    </row>
    <row r="6127" spans="1:5" x14ac:dyDescent="0.3">
      <c r="A6127" s="397"/>
      <c r="B6127" s="709">
        <v>95334</v>
      </c>
      <c r="C6127" s="710" t="s">
        <v>6145</v>
      </c>
      <c r="D6127" s="709" t="s">
        <v>234</v>
      </c>
      <c r="E6127" s="711">
        <v>1</v>
      </c>
    </row>
    <row r="6128" spans="1:5" x14ac:dyDescent="0.3">
      <c r="A6128" s="397"/>
      <c r="B6128" s="709">
        <v>101315</v>
      </c>
      <c r="C6128" s="710" t="s">
        <v>6146</v>
      </c>
      <c r="D6128" s="709" t="s">
        <v>208</v>
      </c>
      <c r="E6128" s="711">
        <v>1</v>
      </c>
    </row>
    <row r="6129" spans="1:5" x14ac:dyDescent="0.3">
      <c r="A6129" s="397"/>
      <c r="B6129" s="709">
        <v>95335</v>
      </c>
      <c r="C6129" s="710" t="s">
        <v>6147</v>
      </c>
      <c r="D6129" s="709" t="s">
        <v>234</v>
      </c>
      <c r="E6129" s="711">
        <v>1</v>
      </c>
    </row>
    <row r="6130" spans="1:5" x14ac:dyDescent="0.3">
      <c r="A6130" s="397"/>
      <c r="B6130" s="709">
        <v>101316</v>
      </c>
      <c r="C6130" s="710" t="s">
        <v>6148</v>
      </c>
      <c r="D6130" s="709" t="s">
        <v>208</v>
      </c>
      <c r="E6130" s="711">
        <v>1</v>
      </c>
    </row>
    <row r="6131" spans="1:5" x14ac:dyDescent="0.3">
      <c r="A6131" s="397"/>
      <c r="B6131" s="709">
        <v>95401</v>
      </c>
      <c r="C6131" s="710" t="s">
        <v>6149</v>
      </c>
      <c r="D6131" s="709" t="s">
        <v>234</v>
      </c>
      <c r="E6131" s="711">
        <v>1</v>
      </c>
    </row>
    <row r="6132" spans="1:5" x14ac:dyDescent="0.3">
      <c r="A6132" s="397"/>
      <c r="B6132" s="709">
        <v>95422</v>
      </c>
      <c r="C6132" s="710" t="s">
        <v>6150</v>
      </c>
      <c r="D6132" s="709" t="s">
        <v>208</v>
      </c>
      <c r="E6132" s="711">
        <v>1</v>
      </c>
    </row>
    <row r="6133" spans="1:5" x14ac:dyDescent="0.3">
      <c r="A6133" s="397"/>
      <c r="B6133" s="709">
        <v>95402</v>
      </c>
      <c r="C6133" s="710" t="s">
        <v>6151</v>
      </c>
      <c r="D6133" s="709" t="s">
        <v>234</v>
      </c>
      <c r="E6133" s="711">
        <v>1</v>
      </c>
    </row>
    <row r="6134" spans="1:5" x14ac:dyDescent="0.3">
      <c r="A6134" s="397"/>
      <c r="B6134" s="709">
        <v>95415</v>
      </c>
      <c r="C6134" s="710" t="s">
        <v>6152</v>
      </c>
      <c r="D6134" s="709" t="s">
        <v>208</v>
      </c>
      <c r="E6134" s="711">
        <v>1</v>
      </c>
    </row>
    <row r="6135" spans="1:5" x14ac:dyDescent="0.3">
      <c r="A6135" s="397"/>
      <c r="B6135" s="709">
        <v>95403</v>
      </c>
      <c r="C6135" s="710" t="s">
        <v>6153</v>
      </c>
      <c r="D6135" s="709" t="s">
        <v>234</v>
      </c>
      <c r="E6135" s="711">
        <v>1</v>
      </c>
    </row>
    <row r="6136" spans="1:5" x14ac:dyDescent="0.3">
      <c r="A6136" s="397"/>
      <c r="B6136" s="709">
        <v>95417</v>
      </c>
      <c r="C6136" s="710" t="s">
        <v>6154</v>
      </c>
      <c r="D6136" s="709" t="s">
        <v>208</v>
      </c>
      <c r="E6136" s="711">
        <v>1</v>
      </c>
    </row>
    <row r="6137" spans="1:5" x14ac:dyDescent="0.3">
      <c r="A6137" s="397"/>
      <c r="B6137" s="709">
        <v>95404</v>
      </c>
      <c r="C6137" s="710" t="s">
        <v>6155</v>
      </c>
      <c r="D6137" s="709" t="s">
        <v>234</v>
      </c>
      <c r="E6137" s="711">
        <v>1</v>
      </c>
    </row>
    <row r="6138" spans="1:5" x14ac:dyDescent="0.3">
      <c r="A6138" s="397"/>
      <c r="B6138" s="709">
        <v>95418</v>
      </c>
      <c r="C6138" s="710" t="s">
        <v>6156</v>
      </c>
      <c r="D6138" s="709" t="s">
        <v>208</v>
      </c>
      <c r="E6138" s="711">
        <v>1</v>
      </c>
    </row>
    <row r="6139" spans="1:5" x14ac:dyDescent="0.3">
      <c r="A6139" s="397"/>
      <c r="B6139" s="709">
        <v>95337</v>
      </c>
      <c r="C6139" s="710" t="s">
        <v>6157</v>
      </c>
      <c r="D6139" s="709" t="s">
        <v>234</v>
      </c>
      <c r="E6139" s="711">
        <v>1</v>
      </c>
    </row>
    <row r="6140" spans="1:5" x14ac:dyDescent="0.3">
      <c r="A6140" s="397"/>
      <c r="B6140" s="709">
        <v>101322</v>
      </c>
      <c r="C6140" s="710" t="s">
        <v>6158</v>
      </c>
      <c r="D6140" s="709" t="s">
        <v>208</v>
      </c>
      <c r="E6140" s="711">
        <v>1</v>
      </c>
    </row>
    <row r="6141" spans="1:5" x14ac:dyDescent="0.3">
      <c r="A6141" s="397"/>
      <c r="B6141" s="709">
        <v>95338</v>
      </c>
      <c r="C6141" s="710" t="s">
        <v>6159</v>
      </c>
      <c r="D6141" s="709" t="s">
        <v>234</v>
      </c>
      <c r="E6141" s="711">
        <v>1</v>
      </c>
    </row>
    <row r="6142" spans="1:5" x14ac:dyDescent="0.3">
      <c r="A6142" s="397"/>
      <c r="B6142" s="709">
        <v>101323</v>
      </c>
      <c r="C6142" s="710" t="s">
        <v>6160</v>
      </c>
      <c r="D6142" s="709" t="s">
        <v>208</v>
      </c>
      <c r="E6142" s="711">
        <v>1</v>
      </c>
    </row>
    <row r="6143" spans="1:5" x14ac:dyDescent="0.3">
      <c r="A6143" s="397"/>
      <c r="B6143" s="709">
        <v>101325</v>
      </c>
      <c r="C6143" s="710" t="s">
        <v>6162</v>
      </c>
      <c r="D6143" s="709" t="s">
        <v>208</v>
      </c>
      <c r="E6143" s="711">
        <v>1</v>
      </c>
    </row>
    <row r="6144" spans="1:5" x14ac:dyDescent="0.3">
      <c r="A6144" s="397"/>
      <c r="B6144" s="709">
        <v>95390</v>
      </c>
      <c r="C6144" s="710" t="s">
        <v>6163</v>
      </c>
      <c r="D6144" s="709" t="s">
        <v>234</v>
      </c>
      <c r="E6144" s="711">
        <v>1</v>
      </c>
    </row>
    <row r="6145" spans="1:5" x14ac:dyDescent="0.3">
      <c r="A6145" s="397"/>
      <c r="B6145" s="709">
        <v>101326</v>
      </c>
      <c r="C6145" s="710" t="s">
        <v>6164</v>
      </c>
      <c r="D6145" s="709" t="s">
        <v>208</v>
      </c>
      <c r="E6145" s="711">
        <v>1</v>
      </c>
    </row>
    <row r="6146" spans="1:5" x14ac:dyDescent="0.3">
      <c r="A6146" s="397"/>
      <c r="B6146" s="709">
        <v>95340</v>
      </c>
      <c r="C6146" s="710" t="s">
        <v>6165</v>
      </c>
      <c r="D6146" s="709" t="s">
        <v>234</v>
      </c>
      <c r="E6146" s="711">
        <v>1</v>
      </c>
    </row>
    <row r="6147" spans="1:5" x14ac:dyDescent="0.3">
      <c r="A6147" s="397"/>
      <c r="B6147" s="709">
        <v>101330</v>
      </c>
      <c r="C6147" s="710" t="s">
        <v>6166</v>
      </c>
      <c r="D6147" s="709" t="s">
        <v>208</v>
      </c>
      <c r="E6147" s="711">
        <v>1</v>
      </c>
    </row>
    <row r="6148" spans="1:5" x14ac:dyDescent="0.3">
      <c r="A6148" s="397"/>
      <c r="B6148" s="709">
        <v>101331</v>
      </c>
      <c r="C6148" s="710" t="s">
        <v>6167</v>
      </c>
      <c r="D6148" s="709" t="s">
        <v>208</v>
      </c>
      <c r="E6148" s="711">
        <v>1</v>
      </c>
    </row>
    <row r="6149" spans="1:5" x14ac:dyDescent="0.3">
      <c r="A6149" s="397"/>
      <c r="B6149" s="709">
        <v>95341</v>
      </c>
      <c r="C6149" s="710" t="s">
        <v>6168</v>
      </c>
      <c r="D6149" s="709" t="s">
        <v>234</v>
      </c>
      <c r="E6149" s="711">
        <v>1</v>
      </c>
    </row>
    <row r="6150" spans="1:5" x14ac:dyDescent="0.3">
      <c r="A6150" s="397"/>
      <c r="B6150" s="709">
        <v>95339</v>
      </c>
      <c r="C6150" s="710" t="s">
        <v>6169</v>
      </c>
      <c r="D6150" s="709" t="s">
        <v>234</v>
      </c>
      <c r="E6150" s="711">
        <v>1</v>
      </c>
    </row>
    <row r="6151" spans="1:5" x14ac:dyDescent="0.3">
      <c r="A6151" s="397"/>
      <c r="B6151" s="709">
        <v>101329</v>
      </c>
      <c r="C6151" s="710" t="s">
        <v>6170</v>
      </c>
      <c r="D6151" s="709" t="s">
        <v>208</v>
      </c>
      <c r="E6151" s="711">
        <v>1</v>
      </c>
    </row>
    <row r="6152" spans="1:5" x14ac:dyDescent="0.3">
      <c r="A6152" s="397"/>
      <c r="B6152" s="709">
        <v>95342</v>
      </c>
      <c r="C6152" s="710" t="s">
        <v>6171</v>
      </c>
      <c r="D6152" s="709" t="s">
        <v>234</v>
      </c>
      <c r="E6152" s="711">
        <v>1</v>
      </c>
    </row>
    <row r="6153" spans="1:5" x14ac:dyDescent="0.3">
      <c r="A6153" s="397"/>
      <c r="B6153" s="709">
        <v>101333</v>
      </c>
      <c r="C6153" s="710" t="s">
        <v>6172</v>
      </c>
      <c r="D6153" s="709" t="s">
        <v>208</v>
      </c>
      <c r="E6153" s="711">
        <v>1</v>
      </c>
    </row>
    <row r="6154" spans="1:5" x14ac:dyDescent="0.3">
      <c r="A6154" s="397"/>
      <c r="B6154" s="709">
        <v>100298</v>
      </c>
      <c r="C6154" s="710" t="s">
        <v>6173</v>
      </c>
      <c r="D6154" s="709" t="s">
        <v>234</v>
      </c>
      <c r="E6154" s="711">
        <v>1</v>
      </c>
    </row>
    <row r="6155" spans="1:5" x14ac:dyDescent="0.3">
      <c r="A6155" s="397"/>
      <c r="B6155" s="709">
        <v>101334</v>
      </c>
      <c r="C6155" s="710" t="s">
        <v>6174</v>
      </c>
      <c r="D6155" s="709" t="s">
        <v>208</v>
      </c>
      <c r="E6155" s="711">
        <v>1</v>
      </c>
    </row>
    <row r="6156" spans="1:5" x14ac:dyDescent="0.3">
      <c r="A6156" s="397"/>
      <c r="B6156" s="709">
        <v>95405</v>
      </c>
      <c r="C6156" s="710" t="s">
        <v>6175</v>
      </c>
      <c r="D6156" s="709" t="s">
        <v>234</v>
      </c>
      <c r="E6156" s="711">
        <v>1</v>
      </c>
    </row>
    <row r="6157" spans="1:5" x14ac:dyDescent="0.3">
      <c r="A6157" s="397"/>
      <c r="B6157" s="709">
        <v>95423</v>
      </c>
      <c r="C6157" s="710" t="s">
        <v>6176</v>
      </c>
      <c r="D6157" s="709" t="s">
        <v>208</v>
      </c>
      <c r="E6157" s="711">
        <v>1</v>
      </c>
    </row>
    <row r="6158" spans="1:5" x14ac:dyDescent="0.3">
      <c r="A6158" s="397"/>
      <c r="B6158" s="709">
        <v>100295</v>
      </c>
      <c r="C6158" s="710" t="s">
        <v>6177</v>
      </c>
      <c r="D6158" s="709" t="s">
        <v>234</v>
      </c>
      <c r="E6158" s="711">
        <v>1</v>
      </c>
    </row>
    <row r="6159" spans="1:5" x14ac:dyDescent="0.3">
      <c r="A6159" s="397"/>
      <c r="B6159" s="709">
        <v>101303</v>
      </c>
      <c r="C6159" s="710" t="s">
        <v>6178</v>
      </c>
      <c r="D6159" s="709" t="s">
        <v>208</v>
      </c>
      <c r="E6159" s="711">
        <v>1</v>
      </c>
    </row>
    <row r="6160" spans="1:5" x14ac:dyDescent="0.3">
      <c r="A6160" s="397"/>
      <c r="B6160" s="709">
        <v>95344</v>
      </c>
      <c r="C6160" s="710" t="s">
        <v>6179</v>
      </c>
      <c r="D6160" s="709" t="s">
        <v>234</v>
      </c>
      <c r="E6160" s="711">
        <v>1</v>
      </c>
    </row>
    <row r="6161" spans="1:5" x14ac:dyDescent="0.3">
      <c r="A6161" s="397"/>
      <c r="B6161" s="709">
        <v>101308</v>
      </c>
      <c r="C6161" s="710" t="s">
        <v>6180</v>
      </c>
      <c r="D6161" s="709" t="s">
        <v>208</v>
      </c>
      <c r="E6161" s="711">
        <v>1</v>
      </c>
    </row>
    <row r="6162" spans="1:5" x14ac:dyDescent="0.3">
      <c r="A6162" s="397"/>
      <c r="B6162" s="709">
        <v>101320</v>
      </c>
      <c r="C6162" s="710" t="s">
        <v>6182</v>
      </c>
      <c r="D6162" s="709" t="s">
        <v>208</v>
      </c>
      <c r="E6162" s="711">
        <v>1</v>
      </c>
    </row>
    <row r="6163" spans="1:5" x14ac:dyDescent="0.3">
      <c r="A6163" s="397"/>
      <c r="B6163" s="709">
        <v>95343</v>
      </c>
      <c r="C6163" s="710" t="s">
        <v>6183</v>
      </c>
      <c r="D6163" s="709" t="s">
        <v>234</v>
      </c>
      <c r="E6163" s="711">
        <v>1</v>
      </c>
    </row>
    <row r="6164" spans="1:5" x14ac:dyDescent="0.3">
      <c r="A6164" s="397"/>
      <c r="B6164" s="709">
        <v>95345</v>
      </c>
      <c r="C6164" s="710" t="s">
        <v>6184</v>
      </c>
      <c r="D6164" s="709" t="s">
        <v>234</v>
      </c>
      <c r="E6164" s="711">
        <v>1</v>
      </c>
    </row>
    <row r="6165" spans="1:5" x14ac:dyDescent="0.3">
      <c r="A6165" s="397"/>
      <c r="B6165" s="709">
        <v>95346</v>
      </c>
      <c r="C6165" s="710" t="s">
        <v>6185</v>
      </c>
      <c r="D6165" s="709" t="s">
        <v>234</v>
      </c>
      <c r="E6165" s="711">
        <v>1</v>
      </c>
    </row>
    <row r="6166" spans="1:5" x14ac:dyDescent="0.3">
      <c r="A6166" s="397"/>
      <c r="B6166" s="709">
        <v>101324</v>
      </c>
      <c r="C6166" s="710" t="s">
        <v>6186</v>
      </c>
      <c r="D6166" s="709" t="s">
        <v>208</v>
      </c>
      <c r="E6166" s="711">
        <v>1</v>
      </c>
    </row>
    <row r="6167" spans="1:5" x14ac:dyDescent="0.3">
      <c r="A6167" s="397"/>
      <c r="B6167" s="709">
        <v>101328</v>
      </c>
      <c r="C6167" s="710" t="s">
        <v>6187</v>
      </c>
      <c r="D6167" s="709" t="s">
        <v>208</v>
      </c>
      <c r="E6167" s="711">
        <v>1</v>
      </c>
    </row>
    <row r="6168" spans="1:5" x14ac:dyDescent="0.3">
      <c r="A6168" s="397"/>
      <c r="B6168" s="709">
        <v>95347</v>
      </c>
      <c r="C6168" s="710" t="s">
        <v>6188</v>
      </c>
      <c r="D6168" s="709" t="s">
        <v>234</v>
      </c>
      <c r="E6168" s="711">
        <v>1</v>
      </c>
    </row>
    <row r="6169" spans="1:5" x14ac:dyDescent="0.3">
      <c r="A6169" s="397"/>
      <c r="B6169" s="709">
        <v>95408</v>
      </c>
      <c r="C6169" s="710" t="s">
        <v>6189</v>
      </c>
      <c r="D6169" s="709" t="s">
        <v>208</v>
      </c>
      <c r="E6169" s="711">
        <v>1</v>
      </c>
    </row>
    <row r="6170" spans="1:5" x14ac:dyDescent="0.3">
      <c r="A6170" s="397"/>
      <c r="B6170" s="709">
        <v>95348</v>
      </c>
      <c r="C6170" s="710" t="s">
        <v>6190</v>
      </c>
      <c r="D6170" s="709" t="s">
        <v>234</v>
      </c>
      <c r="E6170" s="711">
        <v>1</v>
      </c>
    </row>
    <row r="6171" spans="1:5" x14ac:dyDescent="0.3">
      <c r="A6171" s="397"/>
      <c r="B6171" s="709">
        <v>101332</v>
      </c>
      <c r="C6171" s="710" t="s">
        <v>6191</v>
      </c>
      <c r="D6171" s="709" t="s">
        <v>208</v>
      </c>
      <c r="E6171" s="711">
        <v>1</v>
      </c>
    </row>
    <row r="6172" spans="1:5" x14ac:dyDescent="0.3">
      <c r="A6172" s="397"/>
      <c r="B6172" s="709">
        <v>95349</v>
      </c>
      <c r="C6172" s="710" t="s">
        <v>6192</v>
      </c>
      <c r="D6172" s="709" t="s">
        <v>234</v>
      </c>
      <c r="E6172" s="711">
        <v>1</v>
      </c>
    </row>
    <row r="6173" spans="1:5" x14ac:dyDescent="0.3">
      <c r="A6173" s="397"/>
      <c r="B6173" s="709">
        <v>101336</v>
      </c>
      <c r="C6173" s="710" t="s">
        <v>6193</v>
      </c>
      <c r="D6173" s="709" t="s">
        <v>208</v>
      </c>
      <c r="E6173" s="711">
        <v>1</v>
      </c>
    </row>
    <row r="6174" spans="1:5" x14ac:dyDescent="0.3">
      <c r="A6174" s="397"/>
      <c r="B6174" s="709">
        <v>95351</v>
      </c>
      <c r="C6174" s="710" t="s">
        <v>6194</v>
      </c>
      <c r="D6174" s="709" t="s">
        <v>234</v>
      </c>
      <c r="E6174" s="711">
        <v>1</v>
      </c>
    </row>
    <row r="6175" spans="1:5" x14ac:dyDescent="0.3">
      <c r="A6175" s="397"/>
      <c r="B6175" s="709">
        <v>95352</v>
      </c>
      <c r="C6175" s="710" t="s">
        <v>6195</v>
      </c>
      <c r="D6175" s="709" t="s">
        <v>234</v>
      </c>
      <c r="E6175" s="711">
        <v>1</v>
      </c>
    </row>
    <row r="6176" spans="1:5" x14ac:dyDescent="0.3">
      <c r="A6176" s="397"/>
      <c r="B6176" s="709">
        <v>101337</v>
      </c>
      <c r="C6176" s="710" t="s">
        <v>6196</v>
      </c>
      <c r="D6176" s="709" t="s">
        <v>208</v>
      </c>
      <c r="E6176" s="711">
        <v>1</v>
      </c>
    </row>
    <row r="6177" spans="1:5" x14ac:dyDescent="0.3">
      <c r="A6177" s="397"/>
      <c r="B6177" s="709">
        <v>101338</v>
      </c>
      <c r="C6177" s="710" t="s">
        <v>6197</v>
      </c>
      <c r="D6177" s="709" t="s">
        <v>208</v>
      </c>
      <c r="E6177" s="711">
        <v>1</v>
      </c>
    </row>
    <row r="6178" spans="1:5" x14ac:dyDescent="0.3">
      <c r="A6178" s="397"/>
      <c r="B6178" s="709">
        <v>95354</v>
      </c>
      <c r="C6178" s="710" t="s">
        <v>6198</v>
      </c>
      <c r="D6178" s="709" t="s">
        <v>234</v>
      </c>
      <c r="E6178" s="711">
        <v>1</v>
      </c>
    </row>
    <row r="6179" spans="1:5" x14ac:dyDescent="0.3">
      <c r="A6179" s="397"/>
      <c r="B6179" s="709">
        <v>101339</v>
      </c>
      <c r="C6179" s="710" t="s">
        <v>6199</v>
      </c>
      <c r="D6179" s="709" t="s">
        <v>208</v>
      </c>
      <c r="E6179" s="711">
        <v>1</v>
      </c>
    </row>
    <row r="6180" spans="1:5" x14ac:dyDescent="0.3">
      <c r="A6180" s="397"/>
      <c r="B6180" s="709">
        <v>101340</v>
      </c>
      <c r="C6180" s="710" t="s">
        <v>6200</v>
      </c>
      <c r="D6180" s="709" t="s">
        <v>208</v>
      </c>
      <c r="E6180" s="711">
        <v>1</v>
      </c>
    </row>
    <row r="6181" spans="1:5" x14ac:dyDescent="0.3">
      <c r="A6181" s="397"/>
      <c r="B6181" s="709">
        <v>95389</v>
      </c>
      <c r="C6181" s="710" t="s">
        <v>6201</v>
      </c>
      <c r="D6181" s="709" t="s">
        <v>234</v>
      </c>
      <c r="E6181" s="711">
        <v>1</v>
      </c>
    </row>
    <row r="6182" spans="1:5" x14ac:dyDescent="0.3">
      <c r="A6182" s="397"/>
      <c r="B6182" s="709">
        <v>101341</v>
      </c>
      <c r="C6182" s="710" t="s">
        <v>6202</v>
      </c>
      <c r="D6182" s="709" t="s">
        <v>208</v>
      </c>
      <c r="E6182" s="711">
        <v>1</v>
      </c>
    </row>
    <row r="6183" spans="1:5" x14ac:dyDescent="0.3">
      <c r="A6183" s="397"/>
      <c r="B6183" s="709">
        <v>95355</v>
      </c>
      <c r="C6183" s="710" t="s">
        <v>6203</v>
      </c>
      <c r="D6183" s="709" t="s">
        <v>234</v>
      </c>
      <c r="E6183" s="711">
        <v>1</v>
      </c>
    </row>
    <row r="6184" spans="1:5" x14ac:dyDescent="0.3">
      <c r="A6184" s="397"/>
      <c r="B6184" s="709">
        <v>95356</v>
      </c>
      <c r="C6184" s="710" t="s">
        <v>6204</v>
      </c>
      <c r="D6184" s="709" t="s">
        <v>234</v>
      </c>
      <c r="E6184" s="711">
        <v>1</v>
      </c>
    </row>
    <row r="6185" spans="1:5" x14ac:dyDescent="0.3">
      <c r="A6185" s="397"/>
      <c r="B6185" s="709">
        <v>101342</v>
      </c>
      <c r="C6185" s="710" t="s">
        <v>6205</v>
      </c>
      <c r="D6185" s="709" t="s">
        <v>208</v>
      </c>
      <c r="E6185" s="711">
        <v>1</v>
      </c>
    </row>
    <row r="6186" spans="1:5" x14ac:dyDescent="0.3">
      <c r="A6186" s="397"/>
      <c r="B6186" s="709">
        <v>95357</v>
      </c>
      <c r="C6186" s="710" t="s">
        <v>6206</v>
      </c>
      <c r="D6186" s="709" t="s">
        <v>234</v>
      </c>
      <c r="E6186" s="711">
        <v>1</v>
      </c>
    </row>
    <row r="6187" spans="1:5" x14ac:dyDescent="0.3">
      <c r="A6187" s="397"/>
      <c r="B6187" s="709">
        <v>101343</v>
      </c>
      <c r="C6187" s="710" t="s">
        <v>6207</v>
      </c>
      <c r="D6187" s="709" t="s">
        <v>208</v>
      </c>
      <c r="E6187" s="711">
        <v>1</v>
      </c>
    </row>
    <row r="6188" spans="1:5" x14ac:dyDescent="0.3">
      <c r="A6188" s="397"/>
      <c r="B6188" s="709">
        <v>95358</v>
      </c>
      <c r="C6188" s="710" t="s">
        <v>6208</v>
      </c>
      <c r="D6188" s="709" t="s">
        <v>234</v>
      </c>
      <c r="E6188" s="711">
        <v>1</v>
      </c>
    </row>
    <row r="6189" spans="1:5" x14ac:dyDescent="0.3">
      <c r="A6189" s="397"/>
      <c r="B6189" s="709">
        <v>101344</v>
      </c>
      <c r="C6189" s="710" t="s">
        <v>6209</v>
      </c>
      <c r="D6189" s="709" t="s">
        <v>208</v>
      </c>
      <c r="E6189" s="711">
        <v>1</v>
      </c>
    </row>
    <row r="6190" spans="1:5" x14ac:dyDescent="0.3">
      <c r="A6190" s="397"/>
      <c r="B6190" s="709">
        <v>95359</v>
      </c>
      <c r="C6190" s="710" t="s">
        <v>6210</v>
      </c>
      <c r="D6190" s="709" t="s">
        <v>234</v>
      </c>
      <c r="E6190" s="711">
        <v>1</v>
      </c>
    </row>
    <row r="6191" spans="1:5" x14ac:dyDescent="0.3">
      <c r="A6191" s="397"/>
      <c r="B6191" s="709">
        <v>101345</v>
      </c>
      <c r="C6191" s="710" t="s">
        <v>6211</v>
      </c>
      <c r="D6191" s="709" t="s">
        <v>208</v>
      </c>
      <c r="E6191" s="711">
        <v>1</v>
      </c>
    </row>
    <row r="6192" spans="1:5" x14ac:dyDescent="0.3">
      <c r="A6192" s="397"/>
      <c r="B6192" s="709">
        <v>101346</v>
      </c>
      <c r="C6192" s="710" t="s">
        <v>6212</v>
      </c>
      <c r="D6192" s="709" t="s">
        <v>208</v>
      </c>
      <c r="E6192" s="711">
        <v>1</v>
      </c>
    </row>
    <row r="6193" spans="1:5" x14ac:dyDescent="0.3">
      <c r="A6193" s="397"/>
      <c r="B6193" s="709">
        <v>101347</v>
      </c>
      <c r="C6193" s="710" t="s">
        <v>6213</v>
      </c>
      <c r="D6193" s="709" t="s">
        <v>208</v>
      </c>
      <c r="E6193" s="711">
        <v>1</v>
      </c>
    </row>
    <row r="6194" spans="1:5" x14ac:dyDescent="0.3">
      <c r="A6194" s="397"/>
      <c r="B6194" s="709">
        <v>95361</v>
      </c>
      <c r="C6194" s="710" t="s">
        <v>6214</v>
      </c>
      <c r="D6194" s="709" t="s">
        <v>234</v>
      </c>
      <c r="E6194" s="711">
        <v>1</v>
      </c>
    </row>
    <row r="6195" spans="1:5" x14ac:dyDescent="0.3">
      <c r="A6195" s="397"/>
      <c r="B6195" s="709">
        <v>101348</v>
      </c>
      <c r="C6195" s="710" t="s">
        <v>6215</v>
      </c>
      <c r="D6195" s="709" t="s">
        <v>208</v>
      </c>
      <c r="E6195" s="711">
        <v>1</v>
      </c>
    </row>
    <row r="6196" spans="1:5" x14ac:dyDescent="0.3">
      <c r="A6196" s="397"/>
      <c r="B6196" s="709">
        <v>101349</v>
      </c>
      <c r="C6196" s="710" t="s">
        <v>6216</v>
      </c>
      <c r="D6196" s="709" t="s">
        <v>208</v>
      </c>
      <c r="E6196" s="711">
        <v>1</v>
      </c>
    </row>
    <row r="6197" spans="1:5" x14ac:dyDescent="0.3">
      <c r="A6197" s="397"/>
      <c r="B6197" s="709">
        <v>95362</v>
      </c>
      <c r="C6197" s="710" t="s">
        <v>6217</v>
      </c>
      <c r="D6197" s="709" t="s">
        <v>234</v>
      </c>
      <c r="E6197" s="711">
        <v>1</v>
      </c>
    </row>
    <row r="6198" spans="1:5" x14ac:dyDescent="0.3">
      <c r="A6198" s="397"/>
      <c r="B6198" s="709">
        <v>95363</v>
      </c>
      <c r="C6198" s="710" t="s">
        <v>6218</v>
      </c>
      <c r="D6198" s="709" t="s">
        <v>234</v>
      </c>
      <c r="E6198" s="711">
        <v>1</v>
      </c>
    </row>
    <row r="6199" spans="1:5" x14ac:dyDescent="0.3">
      <c r="A6199" s="397"/>
      <c r="B6199" s="709">
        <v>101350</v>
      </c>
      <c r="C6199" s="710" t="s">
        <v>6219</v>
      </c>
      <c r="D6199" s="709" t="s">
        <v>208</v>
      </c>
      <c r="E6199" s="711">
        <v>1</v>
      </c>
    </row>
    <row r="6200" spans="1:5" x14ac:dyDescent="0.3">
      <c r="A6200" s="397"/>
      <c r="B6200" s="709">
        <v>95360</v>
      </c>
      <c r="C6200" s="710" t="s">
        <v>6220</v>
      </c>
      <c r="D6200" s="709" t="s">
        <v>234</v>
      </c>
      <c r="E6200" s="711">
        <v>1</v>
      </c>
    </row>
    <row r="6201" spans="1:5" x14ac:dyDescent="0.3">
      <c r="A6201" s="397"/>
      <c r="B6201" s="709">
        <v>101351</v>
      </c>
      <c r="C6201" s="710" t="s">
        <v>6221</v>
      </c>
      <c r="D6201" s="709" t="s">
        <v>208</v>
      </c>
      <c r="E6201" s="711">
        <v>1</v>
      </c>
    </row>
    <row r="6202" spans="1:5" x14ac:dyDescent="0.3">
      <c r="A6202" s="397"/>
      <c r="B6202" s="709">
        <v>95365</v>
      </c>
      <c r="C6202" s="710" t="s">
        <v>6222</v>
      </c>
      <c r="D6202" s="709" t="s">
        <v>234</v>
      </c>
      <c r="E6202" s="711">
        <v>1</v>
      </c>
    </row>
    <row r="6203" spans="1:5" x14ac:dyDescent="0.3">
      <c r="A6203" s="397"/>
      <c r="B6203" s="709">
        <v>101352</v>
      </c>
      <c r="C6203" s="710" t="s">
        <v>6223</v>
      </c>
      <c r="D6203" s="709" t="s">
        <v>208</v>
      </c>
      <c r="E6203" s="711">
        <v>1</v>
      </c>
    </row>
    <row r="6204" spans="1:5" x14ac:dyDescent="0.3">
      <c r="A6204" s="397"/>
      <c r="B6204" s="709">
        <v>95364</v>
      </c>
      <c r="C6204" s="710" t="s">
        <v>6224</v>
      </c>
      <c r="D6204" s="709" t="s">
        <v>234</v>
      </c>
      <c r="E6204" s="711">
        <v>1</v>
      </c>
    </row>
    <row r="6205" spans="1:5" x14ac:dyDescent="0.3">
      <c r="A6205" s="397"/>
      <c r="B6205" s="709">
        <v>95366</v>
      </c>
      <c r="C6205" s="710" t="s">
        <v>6225</v>
      </c>
      <c r="D6205" s="709" t="s">
        <v>234</v>
      </c>
      <c r="E6205" s="711">
        <v>1</v>
      </c>
    </row>
    <row r="6206" spans="1:5" x14ac:dyDescent="0.3">
      <c r="A6206" s="397"/>
      <c r="B6206" s="709">
        <v>101353</v>
      </c>
      <c r="C6206" s="710" t="s">
        <v>6226</v>
      </c>
      <c r="D6206" s="709" t="s">
        <v>208</v>
      </c>
      <c r="E6206" s="711">
        <v>1</v>
      </c>
    </row>
    <row r="6207" spans="1:5" x14ac:dyDescent="0.3">
      <c r="A6207" s="397"/>
      <c r="B6207" s="709">
        <v>95367</v>
      </c>
      <c r="C6207" s="710" t="s">
        <v>6227</v>
      </c>
      <c r="D6207" s="709" t="s">
        <v>234</v>
      </c>
      <c r="E6207" s="711">
        <v>1</v>
      </c>
    </row>
    <row r="6208" spans="1:5" x14ac:dyDescent="0.3">
      <c r="A6208" s="397"/>
      <c r="B6208" s="709">
        <v>101355</v>
      </c>
      <c r="C6208" s="710" t="s">
        <v>6228</v>
      </c>
      <c r="D6208" s="709" t="s">
        <v>208</v>
      </c>
      <c r="E6208" s="711">
        <v>1</v>
      </c>
    </row>
    <row r="6209" spans="1:5" x14ac:dyDescent="0.3">
      <c r="A6209" s="397"/>
      <c r="B6209" s="709">
        <v>95368</v>
      </c>
      <c r="C6209" s="710" t="s">
        <v>6229</v>
      </c>
      <c r="D6209" s="709" t="s">
        <v>234</v>
      </c>
      <c r="E6209" s="711">
        <v>1</v>
      </c>
    </row>
    <row r="6210" spans="1:5" x14ac:dyDescent="0.3">
      <c r="A6210" s="397"/>
      <c r="B6210" s="709">
        <v>95369</v>
      </c>
      <c r="C6210" s="710" t="s">
        <v>6230</v>
      </c>
      <c r="D6210" s="709" t="s">
        <v>234</v>
      </c>
      <c r="E6210" s="711">
        <v>1</v>
      </c>
    </row>
    <row r="6211" spans="1:5" x14ac:dyDescent="0.3">
      <c r="A6211" s="397"/>
      <c r="B6211" s="709">
        <v>95370</v>
      </c>
      <c r="C6211" s="710" t="s">
        <v>6231</v>
      </c>
      <c r="D6211" s="709" t="s">
        <v>234</v>
      </c>
      <c r="E6211" s="711">
        <v>1</v>
      </c>
    </row>
    <row r="6212" spans="1:5" x14ac:dyDescent="0.3">
      <c r="A6212" s="397"/>
      <c r="B6212" s="709">
        <v>101356</v>
      </c>
      <c r="C6212" s="710" t="s">
        <v>6232</v>
      </c>
      <c r="D6212" s="709" t="s">
        <v>208</v>
      </c>
      <c r="E6212" s="711">
        <v>1</v>
      </c>
    </row>
    <row r="6213" spans="1:5" x14ac:dyDescent="0.3">
      <c r="A6213" s="397"/>
      <c r="B6213" s="709">
        <v>95371</v>
      </c>
      <c r="C6213" s="710" t="s">
        <v>6233</v>
      </c>
      <c r="D6213" s="709" t="s">
        <v>234</v>
      </c>
      <c r="E6213" s="711">
        <v>1</v>
      </c>
    </row>
    <row r="6214" spans="1:5" x14ac:dyDescent="0.3">
      <c r="A6214" s="397"/>
      <c r="B6214" s="709">
        <v>101357</v>
      </c>
      <c r="C6214" s="710" t="s">
        <v>6234</v>
      </c>
      <c r="D6214" s="709" t="s">
        <v>208</v>
      </c>
      <c r="E6214" s="711">
        <v>1</v>
      </c>
    </row>
    <row r="6215" spans="1:5" x14ac:dyDescent="0.3">
      <c r="A6215" s="397"/>
      <c r="B6215" s="709">
        <v>95372</v>
      </c>
      <c r="C6215" s="710" t="s">
        <v>6235</v>
      </c>
      <c r="D6215" s="709" t="s">
        <v>234</v>
      </c>
      <c r="E6215" s="711">
        <v>1</v>
      </c>
    </row>
    <row r="6216" spans="1:5" x14ac:dyDescent="0.3">
      <c r="A6216" s="397"/>
      <c r="B6216" s="709">
        <v>101358</v>
      </c>
      <c r="C6216" s="710" t="s">
        <v>6236</v>
      </c>
      <c r="D6216" s="709" t="s">
        <v>208</v>
      </c>
      <c r="E6216" s="711">
        <v>1</v>
      </c>
    </row>
    <row r="6217" spans="1:5" x14ac:dyDescent="0.3">
      <c r="A6217" s="397"/>
      <c r="B6217" s="709">
        <v>95373</v>
      </c>
      <c r="C6217" s="710" t="s">
        <v>6237</v>
      </c>
      <c r="D6217" s="709" t="s">
        <v>234</v>
      </c>
      <c r="E6217" s="711">
        <v>1</v>
      </c>
    </row>
    <row r="6218" spans="1:5" x14ac:dyDescent="0.3">
      <c r="A6218" s="397"/>
      <c r="B6218" s="709">
        <v>101359</v>
      </c>
      <c r="C6218" s="710" t="s">
        <v>6238</v>
      </c>
      <c r="D6218" s="709" t="s">
        <v>208</v>
      </c>
      <c r="E6218" s="711">
        <v>1</v>
      </c>
    </row>
    <row r="6219" spans="1:5" x14ac:dyDescent="0.3">
      <c r="A6219" s="397"/>
      <c r="B6219" s="709">
        <v>101360</v>
      </c>
      <c r="C6219" s="710" t="s">
        <v>6239</v>
      </c>
      <c r="D6219" s="709" t="s">
        <v>208</v>
      </c>
      <c r="E6219" s="711">
        <v>1</v>
      </c>
    </row>
    <row r="6220" spans="1:5" x14ac:dyDescent="0.3">
      <c r="A6220" s="397"/>
      <c r="B6220" s="709">
        <v>95374</v>
      </c>
      <c r="C6220" s="710" t="s">
        <v>6240</v>
      </c>
      <c r="D6220" s="709" t="s">
        <v>234</v>
      </c>
      <c r="E6220" s="711">
        <v>1</v>
      </c>
    </row>
    <row r="6221" spans="1:5" x14ac:dyDescent="0.3">
      <c r="A6221" s="397"/>
      <c r="B6221" s="709">
        <v>95375</v>
      </c>
      <c r="C6221" s="710" t="s">
        <v>6241</v>
      </c>
      <c r="D6221" s="709" t="s">
        <v>234</v>
      </c>
      <c r="E6221" s="711">
        <v>1</v>
      </c>
    </row>
    <row r="6222" spans="1:5" x14ac:dyDescent="0.3">
      <c r="A6222" s="397"/>
      <c r="B6222" s="709">
        <v>101361</v>
      </c>
      <c r="C6222" s="710" t="s">
        <v>6242</v>
      </c>
      <c r="D6222" s="709" t="s">
        <v>208</v>
      </c>
      <c r="E6222" s="711">
        <v>1</v>
      </c>
    </row>
    <row r="6223" spans="1:5" x14ac:dyDescent="0.3">
      <c r="A6223" s="397"/>
      <c r="B6223" s="709">
        <v>95376</v>
      </c>
      <c r="C6223" s="710" t="s">
        <v>6243</v>
      </c>
      <c r="D6223" s="709" t="s">
        <v>234</v>
      </c>
      <c r="E6223" s="711">
        <v>1</v>
      </c>
    </row>
    <row r="6224" spans="1:5" x14ac:dyDescent="0.3">
      <c r="A6224" s="397"/>
      <c r="B6224" s="709">
        <v>95377</v>
      </c>
      <c r="C6224" s="710" t="s">
        <v>6244</v>
      </c>
      <c r="D6224" s="709" t="s">
        <v>234</v>
      </c>
      <c r="E6224" s="711">
        <v>1</v>
      </c>
    </row>
    <row r="6225" spans="1:5" x14ac:dyDescent="0.3">
      <c r="A6225" s="397"/>
      <c r="B6225" s="709">
        <v>101363</v>
      </c>
      <c r="C6225" s="710" t="s">
        <v>6245</v>
      </c>
      <c r="D6225" s="709" t="s">
        <v>208</v>
      </c>
      <c r="E6225" s="711">
        <v>1</v>
      </c>
    </row>
    <row r="6226" spans="1:5" x14ac:dyDescent="0.3">
      <c r="A6226" s="397"/>
      <c r="B6226" s="709">
        <v>95378</v>
      </c>
      <c r="C6226" s="710" t="s">
        <v>6246</v>
      </c>
      <c r="D6226" s="709" t="s">
        <v>234</v>
      </c>
      <c r="E6226" s="711">
        <v>1</v>
      </c>
    </row>
    <row r="6227" spans="1:5" x14ac:dyDescent="0.3">
      <c r="A6227" s="397"/>
      <c r="B6227" s="709">
        <v>101364</v>
      </c>
      <c r="C6227" s="710" t="s">
        <v>6247</v>
      </c>
      <c r="D6227" s="709" t="s">
        <v>208</v>
      </c>
      <c r="E6227" s="711">
        <v>1</v>
      </c>
    </row>
    <row r="6228" spans="1:5" x14ac:dyDescent="0.3">
      <c r="A6228" s="397"/>
      <c r="B6228" s="709">
        <v>95379</v>
      </c>
      <c r="C6228" s="710" t="s">
        <v>6248</v>
      </c>
      <c r="D6228" s="709" t="s">
        <v>234</v>
      </c>
      <c r="E6228" s="711">
        <v>1</v>
      </c>
    </row>
    <row r="6229" spans="1:5" x14ac:dyDescent="0.3">
      <c r="A6229" s="397"/>
      <c r="B6229" s="709">
        <v>101365</v>
      </c>
      <c r="C6229" s="710" t="s">
        <v>6249</v>
      </c>
      <c r="D6229" s="709" t="s">
        <v>208</v>
      </c>
      <c r="E6229" s="711">
        <v>1</v>
      </c>
    </row>
    <row r="6230" spans="1:5" x14ac:dyDescent="0.3">
      <c r="A6230" s="397"/>
      <c r="B6230" s="709">
        <v>95380</v>
      </c>
      <c r="C6230" s="710" t="s">
        <v>6250</v>
      </c>
      <c r="D6230" s="709" t="s">
        <v>234</v>
      </c>
      <c r="E6230" s="711">
        <v>1</v>
      </c>
    </row>
    <row r="6231" spans="1:5" x14ac:dyDescent="0.3">
      <c r="A6231" s="397"/>
      <c r="B6231" s="709">
        <v>101366</v>
      </c>
      <c r="C6231" s="710" t="s">
        <v>6251</v>
      </c>
      <c r="D6231" s="709" t="s">
        <v>208</v>
      </c>
      <c r="E6231" s="711">
        <v>1</v>
      </c>
    </row>
    <row r="6232" spans="1:5" x14ac:dyDescent="0.3">
      <c r="A6232" s="397"/>
      <c r="B6232" s="709">
        <v>100535</v>
      </c>
      <c r="C6232" s="710" t="s">
        <v>6252</v>
      </c>
      <c r="D6232" s="709" t="s">
        <v>234</v>
      </c>
      <c r="E6232" s="711">
        <v>1</v>
      </c>
    </row>
    <row r="6233" spans="1:5" x14ac:dyDescent="0.3">
      <c r="A6233" s="397"/>
      <c r="B6233" s="709">
        <v>100536</v>
      </c>
      <c r="C6233" s="710" t="s">
        <v>6253</v>
      </c>
      <c r="D6233" s="709" t="s">
        <v>208</v>
      </c>
      <c r="E6233" s="711">
        <v>1</v>
      </c>
    </row>
    <row r="6234" spans="1:5" x14ac:dyDescent="0.3">
      <c r="A6234" s="397"/>
      <c r="B6234" s="709">
        <v>101368</v>
      </c>
      <c r="C6234" s="710" t="s">
        <v>6254</v>
      </c>
      <c r="D6234" s="709" t="s">
        <v>208</v>
      </c>
      <c r="E6234" s="711">
        <v>1</v>
      </c>
    </row>
    <row r="6235" spans="1:5" x14ac:dyDescent="0.3">
      <c r="A6235" s="397"/>
      <c r="B6235" s="709">
        <v>101369</v>
      </c>
      <c r="C6235" s="710" t="s">
        <v>6255</v>
      </c>
      <c r="D6235" s="709" t="s">
        <v>208</v>
      </c>
      <c r="E6235" s="711">
        <v>1</v>
      </c>
    </row>
    <row r="6236" spans="1:5" x14ac:dyDescent="0.3">
      <c r="A6236" s="397"/>
      <c r="B6236" s="709">
        <v>95385</v>
      </c>
      <c r="C6236" s="710" t="s">
        <v>6256</v>
      </c>
      <c r="D6236" s="709" t="s">
        <v>234</v>
      </c>
      <c r="E6236" s="711">
        <v>1</v>
      </c>
    </row>
    <row r="6237" spans="1:5" x14ac:dyDescent="0.3">
      <c r="A6237" s="397"/>
      <c r="B6237" s="709">
        <v>101370</v>
      </c>
      <c r="C6237" s="710" t="s">
        <v>6257</v>
      </c>
      <c r="D6237" s="709" t="s">
        <v>208</v>
      </c>
      <c r="E6237" s="711">
        <v>1</v>
      </c>
    </row>
    <row r="6238" spans="1:5" x14ac:dyDescent="0.3">
      <c r="A6238" s="397"/>
      <c r="B6238" s="709">
        <v>95406</v>
      </c>
      <c r="C6238" s="710" t="s">
        <v>6258</v>
      </c>
      <c r="D6238" s="709" t="s">
        <v>234</v>
      </c>
      <c r="E6238" s="711">
        <v>1</v>
      </c>
    </row>
    <row r="6239" spans="1:5" x14ac:dyDescent="0.3">
      <c r="A6239" s="397"/>
      <c r="B6239" s="709">
        <v>95424</v>
      </c>
      <c r="C6239" s="710" t="s">
        <v>6259</v>
      </c>
      <c r="D6239" s="709" t="s">
        <v>208</v>
      </c>
      <c r="E6239" s="711">
        <v>1</v>
      </c>
    </row>
    <row r="6240" spans="1:5" x14ac:dyDescent="0.3">
      <c r="A6240" s="397"/>
      <c r="B6240" s="709">
        <v>95386</v>
      </c>
      <c r="C6240" s="710" t="s">
        <v>6260</v>
      </c>
      <c r="D6240" s="709" t="s">
        <v>234</v>
      </c>
      <c r="E6240" s="711">
        <v>1</v>
      </c>
    </row>
    <row r="6241" spans="1:5" x14ac:dyDescent="0.3">
      <c r="A6241" s="397"/>
      <c r="B6241" s="709">
        <v>95383</v>
      </c>
      <c r="C6241" s="710" t="s">
        <v>6261</v>
      </c>
      <c r="D6241" s="709" t="s">
        <v>234</v>
      </c>
      <c r="E6241" s="711">
        <v>1</v>
      </c>
    </row>
    <row r="6242" spans="1:5" x14ac:dyDescent="0.3">
      <c r="A6242" s="397"/>
      <c r="B6242" s="709">
        <v>95384</v>
      </c>
      <c r="C6242" s="710" t="s">
        <v>6262</v>
      </c>
      <c r="D6242" s="709" t="s">
        <v>234</v>
      </c>
      <c r="E6242" s="711">
        <v>1</v>
      </c>
    </row>
    <row r="6243" spans="1:5" x14ac:dyDescent="0.3">
      <c r="A6243" s="397"/>
      <c r="B6243" s="709">
        <v>100299</v>
      </c>
      <c r="C6243" s="710" t="s">
        <v>6263</v>
      </c>
      <c r="D6243" s="709" t="s">
        <v>234</v>
      </c>
      <c r="E6243" s="711">
        <v>1</v>
      </c>
    </row>
    <row r="6244" spans="1:5" x14ac:dyDescent="0.3">
      <c r="A6244" s="397"/>
      <c r="B6244" s="709">
        <v>100315</v>
      </c>
      <c r="C6244" s="710" t="s">
        <v>6264</v>
      </c>
      <c r="D6244" s="709" t="s">
        <v>208</v>
      </c>
      <c r="E6244" s="711">
        <v>1</v>
      </c>
    </row>
    <row r="6245" spans="1:5" x14ac:dyDescent="0.3">
      <c r="A6245" s="397"/>
      <c r="B6245" s="709">
        <v>95387</v>
      </c>
      <c r="C6245" s="710" t="s">
        <v>6265</v>
      </c>
      <c r="D6245" s="709" t="s">
        <v>234</v>
      </c>
      <c r="E6245" s="711">
        <v>1</v>
      </c>
    </row>
    <row r="6246" spans="1:5" x14ac:dyDescent="0.3">
      <c r="A6246" s="397"/>
      <c r="B6246" s="709">
        <v>101371</v>
      </c>
      <c r="C6246" s="710" t="s">
        <v>6266</v>
      </c>
      <c r="D6246" s="709" t="s">
        <v>208</v>
      </c>
      <c r="E6246" s="711">
        <v>1</v>
      </c>
    </row>
    <row r="6247" spans="1:5" x14ac:dyDescent="0.3">
      <c r="A6247" s="397"/>
      <c r="B6247" s="709">
        <v>100288</v>
      </c>
      <c r="C6247" s="710" t="s">
        <v>6267</v>
      </c>
      <c r="D6247" s="709" t="s">
        <v>234</v>
      </c>
      <c r="E6247" s="711">
        <v>1</v>
      </c>
    </row>
    <row r="6248" spans="1:5" x14ac:dyDescent="0.3">
      <c r="A6248" s="397"/>
      <c r="B6248" s="709">
        <v>101372</v>
      </c>
      <c r="C6248" s="710" t="s">
        <v>6268</v>
      </c>
      <c r="D6248" s="709" t="s">
        <v>208</v>
      </c>
      <c r="E6248" s="711">
        <v>1</v>
      </c>
    </row>
    <row r="6249" spans="1:5" x14ac:dyDescent="0.3">
      <c r="A6249" s="397"/>
      <c r="B6249" s="709">
        <v>90775</v>
      </c>
      <c r="C6249" s="710" t="s">
        <v>6269</v>
      </c>
      <c r="D6249" s="709" t="s">
        <v>234</v>
      </c>
      <c r="E6249" s="711">
        <v>1</v>
      </c>
    </row>
    <row r="6250" spans="1:5" x14ac:dyDescent="0.3">
      <c r="A6250" s="397"/>
      <c r="B6250" s="709">
        <v>93561</v>
      </c>
      <c r="C6250" s="710" t="s">
        <v>6269</v>
      </c>
      <c r="D6250" s="709" t="s">
        <v>208</v>
      </c>
      <c r="E6250" s="711">
        <v>1</v>
      </c>
    </row>
    <row r="6251" spans="1:5" x14ac:dyDescent="0.3">
      <c r="A6251" s="397"/>
      <c r="B6251" s="709">
        <v>88264</v>
      </c>
      <c r="C6251" s="710" t="s">
        <v>6270</v>
      </c>
      <c r="D6251" s="709" t="s">
        <v>234</v>
      </c>
      <c r="E6251" s="711">
        <v>1</v>
      </c>
    </row>
    <row r="6252" spans="1:5" x14ac:dyDescent="0.3">
      <c r="A6252" s="397"/>
      <c r="B6252" s="709">
        <v>101399</v>
      </c>
      <c r="C6252" s="710" t="s">
        <v>6270</v>
      </c>
      <c r="D6252" s="709" t="s">
        <v>208</v>
      </c>
      <c r="E6252" s="711">
        <v>1</v>
      </c>
    </row>
    <row r="6253" spans="1:5" x14ac:dyDescent="0.3">
      <c r="A6253" s="397"/>
      <c r="B6253" s="709">
        <v>88266</v>
      </c>
      <c r="C6253" s="710" t="s">
        <v>6271</v>
      </c>
      <c r="D6253" s="709" t="s">
        <v>234</v>
      </c>
      <c r="E6253" s="711">
        <v>1</v>
      </c>
    </row>
    <row r="6254" spans="1:5" x14ac:dyDescent="0.3">
      <c r="A6254" s="397"/>
      <c r="B6254" s="709">
        <v>101401</v>
      </c>
      <c r="C6254" s="710" t="s">
        <v>6271</v>
      </c>
      <c r="D6254" s="709" t="s">
        <v>208</v>
      </c>
      <c r="E6254" s="711">
        <v>1</v>
      </c>
    </row>
    <row r="6255" spans="1:5" x14ac:dyDescent="0.3">
      <c r="A6255" s="397"/>
      <c r="B6255" s="709">
        <v>88267</v>
      </c>
      <c r="C6255" s="710" t="s">
        <v>6272</v>
      </c>
      <c r="D6255" s="709" t="s">
        <v>234</v>
      </c>
      <c r="E6255" s="711">
        <v>1</v>
      </c>
    </row>
    <row r="6256" spans="1:5" x14ac:dyDescent="0.3">
      <c r="A6256" s="397"/>
      <c r="B6256" s="709">
        <v>101402</v>
      </c>
      <c r="C6256" s="710" t="s">
        <v>6272</v>
      </c>
      <c r="D6256" s="709" t="s">
        <v>208</v>
      </c>
      <c r="E6256" s="711">
        <v>1</v>
      </c>
    </row>
    <row r="6257" spans="1:5" x14ac:dyDescent="0.3">
      <c r="A6257" s="397"/>
      <c r="B6257" s="709">
        <v>90776</v>
      </c>
      <c r="C6257" s="710" t="s">
        <v>6273</v>
      </c>
      <c r="D6257" s="709" t="s">
        <v>234</v>
      </c>
      <c r="E6257" s="711">
        <v>1</v>
      </c>
    </row>
    <row r="6258" spans="1:5" x14ac:dyDescent="0.3">
      <c r="A6258" s="397"/>
      <c r="B6258" s="709">
        <v>93572</v>
      </c>
      <c r="C6258" s="710" t="s">
        <v>6274</v>
      </c>
      <c r="D6258" s="709" t="s">
        <v>208</v>
      </c>
      <c r="E6258" s="711">
        <v>1</v>
      </c>
    </row>
    <row r="6259" spans="1:5" x14ac:dyDescent="0.3">
      <c r="A6259" s="397"/>
      <c r="B6259" s="709">
        <v>90777</v>
      </c>
      <c r="C6259" s="710" t="s">
        <v>6275</v>
      </c>
      <c r="D6259" s="709" t="s">
        <v>234</v>
      </c>
      <c r="E6259" s="711">
        <v>1</v>
      </c>
    </row>
    <row r="6260" spans="1:5" x14ac:dyDescent="0.3">
      <c r="A6260" s="397"/>
      <c r="B6260" s="709">
        <v>93565</v>
      </c>
      <c r="C6260" s="710" t="s">
        <v>6275</v>
      </c>
      <c r="D6260" s="709" t="s">
        <v>208</v>
      </c>
      <c r="E6260" s="711">
        <v>1</v>
      </c>
    </row>
    <row r="6261" spans="1:5" x14ac:dyDescent="0.3">
      <c r="A6261" s="397"/>
      <c r="B6261" s="709">
        <v>90778</v>
      </c>
      <c r="C6261" s="710" t="s">
        <v>6276</v>
      </c>
      <c r="D6261" s="709" t="s">
        <v>234</v>
      </c>
      <c r="E6261" s="711">
        <v>1</v>
      </c>
    </row>
    <row r="6262" spans="1:5" x14ac:dyDescent="0.3">
      <c r="A6262" s="397"/>
      <c r="B6262" s="709">
        <v>93567</v>
      </c>
      <c r="C6262" s="710" t="s">
        <v>6276</v>
      </c>
      <c r="D6262" s="709" t="s">
        <v>208</v>
      </c>
      <c r="E6262" s="711">
        <v>1</v>
      </c>
    </row>
    <row r="6263" spans="1:5" x14ac:dyDescent="0.3">
      <c r="A6263" s="397"/>
      <c r="B6263" s="709">
        <v>90779</v>
      </c>
      <c r="C6263" s="710" t="s">
        <v>6277</v>
      </c>
      <c r="D6263" s="709" t="s">
        <v>234</v>
      </c>
      <c r="E6263" s="711">
        <v>1</v>
      </c>
    </row>
    <row r="6264" spans="1:5" x14ac:dyDescent="0.3">
      <c r="A6264" s="397"/>
      <c r="B6264" s="709">
        <v>93568</v>
      </c>
      <c r="C6264" s="710" t="s">
        <v>6277</v>
      </c>
      <c r="D6264" s="709" t="s">
        <v>208</v>
      </c>
      <c r="E6264" s="711">
        <v>1</v>
      </c>
    </row>
    <row r="6265" spans="1:5" x14ac:dyDescent="0.3">
      <c r="A6265" s="397"/>
      <c r="B6265" s="709">
        <v>88269</v>
      </c>
      <c r="C6265" s="710" t="s">
        <v>6278</v>
      </c>
      <c r="D6265" s="709" t="s">
        <v>234</v>
      </c>
      <c r="E6265" s="711">
        <v>1</v>
      </c>
    </row>
    <row r="6266" spans="1:5" x14ac:dyDescent="0.3">
      <c r="A6266" s="397"/>
      <c r="B6266" s="709">
        <v>101407</v>
      </c>
      <c r="C6266" s="710" t="s">
        <v>6278</v>
      </c>
      <c r="D6266" s="709" t="s">
        <v>208</v>
      </c>
      <c r="E6266" s="711">
        <v>1</v>
      </c>
    </row>
    <row r="6267" spans="1:5" x14ac:dyDescent="0.3">
      <c r="A6267" s="397"/>
      <c r="B6267" s="709">
        <v>88270</v>
      </c>
      <c r="C6267" s="710" t="s">
        <v>6279</v>
      </c>
      <c r="D6267" s="709" t="s">
        <v>234</v>
      </c>
      <c r="E6267" s="711">
        <v>1</v>
      </c>
    </row>
    <row r="6268" spans="1:5" x14ac:dyDescent="0.3">
      <c r="A6268" s="397"/>
      <c r="B6268" s="709">
        <v>101408</v>
      </c>
      <c r="C6268" s="710" t="s">
        <v>6279</v>
      </c>
      <c r="D6268" s="709" t="s">
        <v>208</v>
      </c>
      <c r="E6268" s="711">
        <v>1</v>
      </c>
    </row>
    <row r="6269" spans="1:5" x14ac:dyDescent="0.3">
      <c r="A6269" s="397"/>
      <c r="B6269" s="709">
        <v>101409</v>
      </c>
      <c r="C6269" s="710" t="s">
        <v>6281</v>
      </c>
      <c r="D6269" s="709" t="s">
        <v>208</v>
      </c>
      <c r="E6269" s="711">
        <v>1</v>
      </c>
    </row>
    <row r="6270" spans="1:5" x14ac:dyDescent="0.3">
      <c r="A6270" s="397"/>
      <c r="B6270" s="709">
        <v>88441</v>
      </c>
      <c r="C6270" s="710" t="s">
        <v>6282</v>
      </c>
      <c r="D6270" s="709" t="s">
        <v>234</v>
      </c>
      <c r="E6270" s="711">
        <v>1</v>
      </c>
    </row>
    <row r="6271" spans="1:5" x14ac:dyDescent="0.3">
      <c r="A6271" s="397"/>
      <c r="B6271" s="709">
        <v>101410</v>
      </c>
      <c r="C6271" s="710" t="s">
        <v>6282</v>
      </c>
      <c r="D6271" s="709" t="s">
        <v>208</v>
      </c>
      <c r="E6271" s="711">
        <v>1</v>
      </c>
    </row>
    <row r="6272" spans="1:5" x14ac:dyDescent="0.3">
      <c r="A6272" s="397"/>
      <c r="B6272" s="709">
        <v>88272</v>
      </c>
      <c r="C6272" s="710" t="s">
        <v>6283</v>
      </c>
      <c r="D6272" s="709" t="s">
        <v>234</v>
      </c>
      <c r="E6272" s="711">
        <v>1</v>
      </c>
    </row>
    <row r="6273" spans="1:5" x14ac:dyDescent="0.3">
      <c r="A6273" s="397"/>
      <c r="B6273" s="709">
        <v>88273</v>
      </c>
      <c r="C6273" s="710" t="s">
        <v>6284</v>
      </c>
      <c r="D6273" s="709" t="s">
        <v>234</v>
      </c>
      <c r="E6273" s="711">
        <v>1</v>
      </c>
    </row>
    <row r="6274" spans="1:5" x14ac:dyDescent="0.3">
      <c r="A6274" s="397"/>
      <c r="B6274" s="709">
        <v>101413</v>
      </c>
      <c r="C6274" s="710" t="s">
        <v>6284</v>
      </c>
      <c r="D6274" s="709" t="s">
        <v>208</v>
      </c>
      <c r="E6274" s="711">
        <v>1</v>
      </c>
    </row>
    <row r="6275" spans="1:5" x14ac:dyDescent="0.3">
      <c r="A6275" s="397"/>
      <c r="B6275" s="709">
        <v>101414</v>
      </c>
      <c r="C6275" s="710" t="s">
        <v>6285</v>
      </c>
      <c r="D6275" s="709" t="s">
        <v>208</v>
      </c>
      <c r="E6275" s="711">
        <v>1</v>
      </c>
    </row>
    <row r="6276" spans="1:5" x14ac:dyDescent="0.3">
      <c r="A6276" s="397"/>
      <c r="B6276" s="709">
        <v>88274</v>
      </c>
      <c r="C6276" s="710" t="s">
        <v>6286</v>
      </c>
      <c r="D6276" s="709" t="s">
        <v>234</v>
      </c>
      <c r="E6276" s="711">
        <v>1</v>
      </c>
    </row>
    <row r="6277" spans="1:5" x14ac:dyDescent="0.3">
      <c r="A6277" s="397"/>
      <c r="B6277" s="709">
        <v>101412</v>
      </c>
      <c r="C6277" s="710" t="s">
        <v>6287</v>
      </c>
      <c r="D6277" s="709" t="s">
        <v>208</v>
      </c>
      <c r="E6277" s="711">
        <v>1</v>
      </c>
    </row>
    <row r="6278" spans="1:5" x14ac:dyDescent="0.3">
      <c r="A6278" s="397"/>
      <c r="B6278" s="709">
        <v>101415</v>
      </c>
      <c r="C6278" s="710" t="s">
        <v>6288</v>
      </c>
      <c r="D6278" s="709" t="s">
        <v>208</v>
      </c>
      <c r="E6278" s="711">
        <v>1</v>
      </c>
    </row>
    <row r="6279" spans="1:5" x14ac:dyDescent="0.3">
      <c r="A6279" s="397"/>
      <c r="B6279" s="709">
        <v>100308</v>
      </c>
      <c r="C6279" s="710" t="s">
        <v>6289</v>
      </c>
      <c r="D6279" s="709" t="s">
        <v>234</v>
      </c>
      <c r="E6279" s="711">
        <v>1</v>
      </c>
    </row>
    <row r="6280" spans="1:5" x14ac:dyDescent="0.3">
      <c r="A6280" s="397"/>
      <c r="B6280" s="709">
        <v>101416</v>
      </c>
      <c r="C6280" s="710" t="s">
        <v>6289</v>
      </c>
      <c r="D6280" s="709" t="s">
        <v>208</v>
      </c>
      <c r="E6280" s="711">
        <v>1</v>
      </c>
    </row>
    <row r="6281" spans="1:5" x14ac:dyDescent="0.3">
      <c r="A6281" s="397"/>
      <c r="B6281" s="709">
        <v>88275</v>
      </c>
      <c r="C6281" s="710" t="s">
        <v>6290</v>
      </c>
      <c r="D6281" s="709" t="s">
        <v>234</v>
      </c>
      <c r="E6281" s="711">
        <v>1</v>
      </c>
    </row>
    <row r="6282" spans="1:5" x14ac:dyDescent="0.3">
      <c r="A6282" s="397"/>
      <c r="B6282" s="709">
        <v>90780</v>
      </c>
      <c r="C6282" s="710" t="s">
        <v>6291</v>
      </c>
      <c r="D6282" s="709" t="s">
        <v>234</v>
      </c>
      <c r="E6282" s="711">
        <v>1</v>
      </c>
    </row>
    <row r="6283" spans="1:5" x14ac:dyDescent="0.3">
      <c r="A6283" s="397"/>
      <c r="B6283" s="709">
        <v>94295</v>
      </c>
      <c r="C6283" s="710" t="s">
        <v>6291</v>
      </c>
      <c r="D6283" s="709" t="s">
        <v>208</v>
      </c>
      <c r="E6283" s="711">
        <v>1</v>
      </c>
    </row>
    <row r="6284" spans="1:5" x14ac:dyDescent="0.3">
      <c r="A6284" s="397"/>
      <c r="B6284" s="709">
        <v>88277</v>
      </c>
      <c r="C6284" s="710" t="s">
        <v>6292</v>
      </c>
      <c r="D6284" s="709" t="s">
        <v>234</v>
      </c>
      <c r="E6284" s="711">
        <v>1</v>
      </c>
    </row>
    <row r="6285" spans="1:5" x14ac:dyDescent="0.3">
      <c r="A6285" s="397"/>
      <c r="B6285" s="709">
        <v>100307</v>
      </c>
      <c r="C6285" s="710" t="s">
        <v>6293</v>
      </c>
      <c r="D6285" s="709" t="s">
        <v>234</v>
      </c>
      <c r="E6285" s="711">
        <v>1</v>
      </c>
    </row>
    <row r="6286" spans="1:5" x14ac:dyDescent="0.3">
      <c r="A6286" s="397"/>
      <c r="B6286" s="709">
        <v>101417</v>
      </c>
      <c r="C6286" s="710" t="s">
        <v>6293</v>
      </c>
      <c r="D6286" s="709" t="s">
        <v>208</v>
      </c>
      <c r="E6286" s="711">
        <v>1</v>
      </c>
    </row>
    <row r="6287" spans="1:5" x14ac:dyDescent="0.3">
      <c r="A6287" s="397"/>
      <c r="B6287" s="709">
        <v>88278</v>
      </c>
      <c r="C6287" s="710" t="s">
        <v>6294</v>
      </c>
      <c r="D6287" s="709" t="s">
        <v>234</v>
      </c>
      <c r="E6287" s="711">
        <v>1</v>
      </c>
    </row>
    <row r="6288" spans="1:5" x14ac:dyDescent="0.3">
      <c r="A6288" s="397"/>
      <c r="B6288" s="709">
        <v>101418</v>
      </c>
      <c r="C6288" s="710" t="s">
        <v>6294</v>
      </c>
      <c r="D6288" s="709" t="s">
        <v>208</v>
      </c>
      <c r="E6288" s="711">
        <v>1</v>
      </c>
    </row>
    <row r="6289" spans="1:5" x14ac:dyDescent="0.3">
      <c r="A6289" s="397"/>
      <c r="B6289" s="709">
        <v>101419</v>
      </c>
      <c r="C6289" s="710" t="s">
        <v>6296</v>
      </c>
      <c r="D6289" s="709" t="s">
        <v>208</v>
      </c>
      <c r="E6289" s="711">
        <v>1</v>
      </c>
    </row>
    <row r="6290" spans="1:5" x14ac:dyDescent="0.3">
      <c r="A6290" s="397"/>
      <c r="B6290" s="709">
        <v>88279</v>
      </c>
      <c r="C6290" s="710" t="s">
        <v>6297</v>
      </c>
      <c r="D6290" s="709" t="s">
        <v>234</v>
      </c>
      <c r="E6290" s="711">
        <v>1</v>
      </c>
    </row>
    <row r="6291" spans="1:5" x14ac:dyDescent="0.3">
      <c r="A6291" s="397"/>
      <c r="B6291" s="709">
        <v>88281</v>
      </c>
      <c r="C6291" s="710" t="s">
        <v>6298</v>
      </c>
      <c r="D6291" s="709" t="s">
        <v>234</v>
      </c>
      <c r="E6291" s="711">
        <v>1</v>
      </c>
    </row>
    <row r="6292" spans="1:5" x14ac:dyDescent="0.3">
      <c r="A6292" s="397"/>
      <c r="B6292" s="709">
        <v>93558</v>
      </c>
      <c r="C6292" s="710" t="s">
        <v>6299</v>
      </c>
      <c r="D6292" s="709" t="s">
        <v>208</v>
      </c>
      <c r="E6292" s="711">
        <v>1</v>
      </c>
    </row>
    <row r="6293" spans="1:5" x14ac:dyDescent="0.3">
      <c r="A6293" s="397"/>
      <c r="B6293" s="709">
        <v>101420</v>
      </c>
      <c r="C6293" s="710" t="s">
        <v>6300</v>
      </c>
      <c r="D6293" s="709" t="s">
        <v>208</v>
      </c>
      <c r="E6293" s="711">
        <v>1</v>
      </c>
    </row>
    <row r="6294" spans="1:5" x14ac:dyDescent="0.3">
      <c r="A6294" s="397"/>
      <c r="B6294" s="709">
        <v>101421</v>
      </c>
      <c r="C6294" s="710" t="s">
        <v>6301</v>
      </c>
      <c r="D6294" s="709" t="s">
        <v>208</v>
      </c>
      <c r="E6294" s="711">
        <v>1</v>
      </c>
    </row>
    <row r="6295" spans="1:5" x14ac:dyDescent="0.3">
      <c r="A6295" s="397"/>
      <c r="B6295" s="709">
        <v>88282</v>
      </c>
      <c r="C6295" s="710" t="s">
        <v>6302</v>
      </c>
      <c r="D6295" s="709" t="s">
        <v>234</v>
      </c>
      <c r="E6295" s="711">
        <v>1</v>
      </c>
    </row>
    <row r="6296" spans="1:5" x14ac:dyDescent="0.3">
      <c r="A6296" s="397"/>
      <c r="B6296" s="709">
        <v>88283</v>
      </c>
      <c r="C6296" s="710" t="s">
        <v>6303</v>
      </c>
      <c r="D6296" s="709" t="s">
        <v>234</v>
      </c>
      <c r="E6296" s="711">
        <v>1</v>
      </c>
    </row>
    <row r="6297" spans="1:5" x14ac:dyDescent="0.3">
      <c r="A6297" s="397"/>
      <c r="B6297" s="709">
        <v>101422</v>
      </c>
      <c r="C6297" s="710" t="s">
        <v>6304</v>
      </c>
      <c r="D6297" s="709" t="s">
        <v>208</v>
      </c>
      <c r="E6297" s="711">
        <v>1</v>
      </c>
    </row>
    <row r="6298" spans="1:5" x14ac:dyDescent="0.3">
      <c r="A6298" s="397"/>
      <c r="B6298" s="709">
        <v>88284</v>
      </c>
      <c r="C6298" s="710" t="s">
        <v>6305</v>
      </c>
      <c r="D6298" s="709" t="s">
        <v>234</v>
      </c>
      <c r="E6298" s="711">
        <v>1</v>
      </c>
    </row>
    <row r="6299" spans="1:5" x14ac:dyDescent="0.3">
      <c r="A6299" s="397"/>
      <c r="B6299" s="709">
        <v>101424</v>
      </c>
      <c r="C6299" s="710" t="s">
        <v>6306</v>
      </c>
      <c r="D6299" s="709" t="s">
        <v>208</v>
      </c>
      <c r="E6299" s="711">
        <v>1</v>
      </c>
    </row>
    <row r="6300" spans="1:5" x14ac:dyDescent="0.3">
      <c r="A6300" s="397"/>
      <c r="B6300" s="709">
        <v>88286</v>
      </c>
      <c r="C6300" s="710" t="s">
        <v>6307</v>
      </c>
      <c r="D6300" s="709" t="s">
        <v>234</v>
      </c>
      <c r="E6300" s="711">
        <v>1</v>
      </c>
    </row>
    <row r="6301" spans="1:5" x14ac:dyDescent="0.3">
      <c r="A6301" s="397"/>
      <c r="B6301" s="709">
        <v>88288</v>
      </c>
      <c r="C6301" s="710" t="s">
        <v>6308</v>
      </c>
      <c r="D6301" s="709" t="s">
        <v>234</v>
      </c>
      <c r="E6301" s="711">
        <v>1</v>
      </c>
    </row>
    <row r="6302" spans="1:5" x14ac:dyDescent="0.3">
      <c r="A6302" s="397"/>
      <c r="B6302" s="709">
        <v>101425</v>
      </c>
      <c r="C6302" s="710" t="s">
        <v>6308</v>
      </c>
      <c r="D6302" s="709" t="s">
        <v>208</v>
      </c>
      <c r="E6302" s="711">
        <v>1</v>
      </c>
    </row>
    <row r="6303" spans="1:5" x14ac:dyDescent="0.3">
      <c r="A6303" s="397"/>
      <c r="B6303" s="709">
        <v>101426</v>
      </c>
      <c r="C6303" s="710" t="s">
        <v>6309</v>
      </c>
      <c r="D6303" s="709" t="s">
        <v>208</v>
      </c>
      <c r="E6303" s="711">
        <v>1</v>
      </c>
    </row>
    <row r="6304" spans="1:5" x14ac:dyDescent="0.3">
      <c r="A6304" s="397"/>
      <c r="B6304" s="709">
        <v>88291</v>
      </c>
      <c r="C6304" s="710" t="s">
        <v>6310</v>
      </c>
      <c r="D6304" s="709" t="s">
        <v>234</v>
      </c>
      <c r="E6304" s="711">
        <v>1</v>
      </c>
    </row>
    <row r="6305" spans="1:5" x14ac:dyDescent="0.3">
      <c r="A6305" s="397"/>
      <c r="B6305" s="709">
        <v>101427</v>
      </c>
      <c r="C6305" s="710" t="s">
        <v>6310</v>
      </c>
      <c r="D6305" s="709" t="s">
        <v>208</v>
      </c>
      <c r="E6305" s="711">
        <v>1</v>
      </c>
    </row>
    <row r="6306" spans="1:5" x14ac:dyDescent="0.3">
      <c r="A6306" s="397"/>
      <c r="B6306" s="709">
        <v>101428</v>
      </c>
      <c r="C6306" s="710" t="s">
        <v>6311</v>
      </c>
      <c r="D6306" s="709" t="s">
        <v>208</v>
      </c>
      <c r="E6306" s="711">
        <v>1</v>
      </c>
    </row>
    <row r="6307" spans="1:5" x14ac:dyDescent="0.3">
      <c r="A6307" s="397"/>
      <c r="B6307" s="709">
        <v>88377</v>
      </c>
      <c r="C6307" s="710" t="s">
        <v>6312</v>
      </c>
      <c r="D6307" s="709" t="s">
        <v>234</v>
      </c>
      <c r="E6307" s="711">
        <v>1</v>
      </c>
    </row>
    <row r="6308" spans="1:5" x14ac:dyDescent="0.3">
      <c r="A6308" s="397"/>
      <c r="B6308" s="709">
        <v>101429</v>
      </c>
      <c r="C6308" s="710" t="s">
        <v>6313</v>
      </c>
      <c r="D6308" s="709" t="s">
        <v>208</v>
      </c>
      <c r="E6308" s="711">
        <v>1</v>
      </c>
    </row>
    <row r="6309" spans="1:5" x14ac:dyDescent="0.3">
      <c r="A6309" s="397"/>
      <c r="B6309" s="709">
        <v>88292</v>
      </c>
      <c r="C6309" s="710" t="s">
        <v>6314</v>
      </c>
      <c r="D6309" s="709" t="s">
        <v>234</v>
      </c>
      <c r="E6309" s="711">
        <v>1</v>
      </c>
    </row>
    <row r="6310" spans="1:5" x14ac:dyDescent="0.3">
      <c r="A6310" s="397"/>
      <c r="B6310" s="709">
        <v>88293</v>
      </c>
      <c r="C6310" s="710" t="s">
        <v>6315</v>
      </c>
      <c r="D6310" s="709" t="s">
        <v>234</v>
      </c>
      <c r="E6310" s="711">
        <v>1</v>
      </c>
    </row>
    <row r="6311" spans="1:5" x14ac:dyDescent="0.3">
      <c r="A6311" s="397"/>
      <c r="B6311" s="709">
        <v>101430</v>
      </c>
      <c r="C6311" s="710" t="s">
        <v>6316</v>
      </c>
      <c r="D6311" s="709" t="s">
        <v>208</v>
      </c>
      <c r="E6311" s="711">
        <v>1</v>
      </c>
    </row>
    <row r="6312" spans="1:5" x14ac:dyDescent="0.3">
      <c r="A6312" s="397"/>
      <c r="B6312" s="709">
        <v>88294</v>
      </c>
      <c r="C6312" s="710" t="s">
        <v>6317</v>
      </c>
      <c r="D6312" s="709" t="s">
        <v>234</v>
      </c>
      <c r="E6312" s="711">
        <v>1</v>
      </c>
    </row>
    <row r="6313" spans="1:5" x14ac:dyDescent="0.3">
      <c r="A6313" s="397"/>
      <c r="B6313" s="709">
        <v>101431</v>
      </c>
      <c r="C6313" s="710" t="s">
        <v>6317</v>
      </c>
      <c r="D6313" s="709" t="s">
        <v>208</v>
      </c>
      <c r="E6313" s="711">
        <v>1</v>
      </c>
    </row>
    <row r="6314" spans="1:5" x14ac:dyDescent="0.3">
      <c r="A6314" s="397"/>
      <c r="B6314" s="709">
        <v>88295</v>
      </c>
      <c r="C6314" s="710" t="s">
        <v>6318</v>
      </c>
      <c r="D6314" s="709" t="s">
        <v>234</v>
      </c>
      <c r="E6314" s="711">
        <v>1</v>
      </c>
    </row>
    <row r="6315" spans="1:5" x14ac:dyDescent="0.3">
      <c r="A6315" s="397"/>
      <c r="B6315" s="709">
        <v>101432</v>
      </c>
      <c r="C6315" s="710" t="s">
        <v>6319</v>
      </c>
      <c r="D6315" s="709" t="s">
        <v>208</v>
      </c>
      <c r="E6315" s="711">
        <v>1</v>
      </c>
    </row>
    <row r="6316" spans="1:5" x14ac:dyDescent="0.3">
      <c r="A6316" s="397"/>
      <c r="B6316" s="709">
        <v>88296</v>
      </c>
      <c r="C6316" s="710" t="s">
        <v>6320</v>
      </c>
      <c r="D6316" s="709" t="s">
        <v>234</v>
      </c>
      <c r="E6316" s="711">
        <v>1</v>
      </c>
    </row>
    <row r="6317" spans="1:5" x14ac:dyDescent="0.3">
      <c r="A6317" s="397"/>
      <c r="B6317" s="709">
        <v>101433</v>
      </c>
      <c r="C6317" s="710" t="s">
        <v>6320</v>
      </c>
      <c r="D6317" s="709" t="s">
        <v>208</v>
      </c>
      <c r="E6317" s="711">
        <v>1</v>
      </c>
    </row>
    <row r="6318" spans="1:5" x14ac:dyDescent="0.3">
      <c r="A6318" s="397"/>
      <c r="B6318" s="709">
        <v>101434</v>
      </c>
      <c r="C6318" s="710" t="s">
        <v>6321</v>
      </c>
      <c r="D6318" s="709" t="s">
        <v>208</v>
      </c>
      <c r="E6318" s="711">
        <v>1</v>
      </c>
    </row>
    <row r="6319" spans="1:5" x14ac:dyDescent="0.3">
      <c r="A6319" s="397"/>
      <c r="B6319" s="709">
        <v>88298</v>
      </c>
      <c r="C6319" s="710" t="s">
        <v>6322</v>
      </c>
      <c r="D6319" s="709" t="s">
        <v>234</v>
      </c>
      <c r="E6319" s="711">
        <v>1</v>
      </c>
    </row>
    <row r="6320" spans="1:5" x14ac:dyDescent="0.3">
      <c r="A6320" s="397"/>
      <c r="B6320" s="709">
        <v>101436</v>
      </c>
      <c r="C6320" s="710" t="s">
        <v>6322</v>
      </c>
      <c r="D6320" s="709" t="s">
        <v>208</v>
      </c>
      <c r="E6320" s="711">
        <v>1</v>
      </c>
    </row>
    <row r="6321" spans="1:5" x14ac:dyDescent="0.3">
      <c r="A6321" s="397"/>
      <c r="B6321" s="709">
        <v>101437</v>
      </c>
      <c r="C6321" s="710" t="s">
        <v>6323</v>
      </c>
      <c r="D6321" s="709" t="s">
        <v>208</v>
      </c>
      <c r="E6321" s="711">
        <v>1</v>
      </c>
    </row>
    <row r="6322" spans="1:5" x14ac:dyDescent="0.3">
      <c r="A6322" s="397"/>
      <c r="B6322" s="709">
        <v>88299</v>
      </c>
      <c r="C6322" s="710" t="s">
        <v>6324</v>
      </c>
      <c r="D6322" s="709" t="s">
        <v>234</v>
      </c>
      <c r="E6322" s="711">
        <v>1</v>
      </c>
    </row>
    <row r="6323" spans="1:5" x14ac:dyDescent="0.3">
      <c r="A6323" s="397"/>
      <c r="B6323" s="709">
        <v>88300</v>
      </c>
      <c r="C6323" s="710" t="s">
        <v>6325</v>
      </c>
      <c r="D6323" s="709" t="s">
        <v>234</v>
      </c>
      <c r="E6323" s="711">
        <v>1</v>
      </c>
    </row>
    <row r="6324" spans="1:5" x14ac:dyDescent="0.3">
      <c r="A6324" s="397"/>
      <c r="B6324" s="709">
        <v>101438</v>
      </c>
      <c r="C6324" s="710" t="s">
        <v>6325</v>
      </c>
      <c r="D6324" s="709" t="s">
        <v>208</v>
      </c>
      <c r="E6324" s="711">
        <v>1</v>
      </c>
    </row>
    <row r="6325" spans="1:5" x14ac:dyDescent="0.3">
      <c r="A6325" s="397"/>
      <c r="B6325" s="709">
        <v>88297</v>
      </c>
      <c r="C6325" s="710" t="s">
        <v>6326</v>
      </c>
      <c r="D6325" s="709" t="s">
        <v>234</v>
      </c>
      <c r="E6325" s="711">
        <v>1</v>
      </c>
    </row>
    <row r="6326" spans="1:5" x14ac:dyDescent="0.3">
      <c r="A6326" s="397"/>
      <c r="B6326" s="709">
        <v>101435</v>
      </c>
      <c r="C6326" s="710" t="s">
        <v>6327</v>
      </c>
      <c r="D6326" s="709" t="s">
        <v>208</v>
      </c>
      <c r="E6326" s="711">
        <v>1</v>
      </c>
    </row>
    <row r="6327" spans="1:5" x14ac:dyDescent="0.3">
      <c r="A6327" s="397"/>
      <c r="B6327" s="709">
        <v>101440</v>
      </c>
      <c r="C6327" s="710" t="s">
        <v>6328</v>
      </c>
      <c r="D6327" s="709" t="s">
        <v>208</v>
      </c>
      <c r="E6327" s="711">
        <v>1</v>
      </c>
    </row>
    <row r="6328" spans="1:5" x14ac:dyDescent="0.3">
      <c r="A6328" s="397"/>
      <c r="B6328" s="709">
        <v>88302</v>
      </c>
      <c r="C6328" s="710" t="s">
        <v>6329</v>
      </c>
      <c r="D6328" s="709" t="s">
        <v>234</v>
      </c>
      <c r="E6328" s="711">
        <v>1</v>
      </c>
    </row>
    <row r="6329" spans="1:5" x14ac:dyDescent="0.3">
      <c r="A6329" s="397"/>
      <c r="B6329" s="709">
        <v>88301</v>
      </c>
      <c r="C6329" s="710" t="s">
        <v>6330</v>
      </c>
      <c r="D6329" s="709" t="s">
        <v>234</v>
      </c>
      <c r="E6329" s="711">
        <v>1</v>
      </c>
    </row>
    <row r="6330" spans="1:5" x14ac:dyDescent="0.3">
      <c r="A6330" s="397"/>
      <c r="B6330" s="709">
        <v>101439</v>
      </c>
      <c r="C6330" s="710" t="s">
        <v>6330</v>
      </c>
      <c r="D6330" s="709" t="s">
        <v>208</v>
      </c>
      <c r="E6330" s="711">
        <v>1</v>
      </c>
    </row>
    <row r="6331" spans="1:5" x14ac:dyDescent="0.3">
      <c r="A6331" s="397"/>
      <c r="B6331" s="709">
        <v>88303</v>
      </c>
      <c r="C6331" s="710" t="s">
        <v>6331</v>
      </c>
      <c r="D6331" s="709" t="s">
        <v>234</v>
      </c>
      <c r="E6331" s="711">
        <v>1</v>
      </c>
    </row>
    <row r="6332" spans="1:5" x14ac:dyDescent="0.3">
      <c r="A6332" s="397"/>
      <c r="B6332" s="709">
        <v>101441</v>
      </c>
      <c r="C6332" s="710" t="s">
        <v>6331</v>
      </c>
      <c r="D6332" s="709" t="s">
        <v>208</v>
      </c>
      <c r="E6332" s="711">
        <v>1</v>
      </c>
    </row>
    <row r="6333" spans="1:5" x14ac:dyDescent="0.3">
      <c r="A6333" s="397"/>
      <c r="B6333" s="709">
        <v>88304</v>
      </c>
      <c r="C6333" s="710" t="s">
        <v>6332</v>
      </c>
      <c r="D6333" s="709" t="s">
        <v>234</v>
      </c>
      <c r="E6333" s="711">
        <v>1</v>
      </c>
    </row>
    <row r="6334" spans="1:5" x14ac:dyDescent="0.3">
      <c r="A6334" s="397"/>
      <c r="B6334" s="709">
        <v>101443</v>
      </c>
      <c r="C6334" s="710" t="s">
        <v>6332</v>
      </c>
      <c r="D6334" s="709" t="s">
        <v>208</v>
      </c>
      <c r="E6334" s="711">
        <v>1</v>
      </c>
    </row>
    <row r="6335" spans="1:5" x14ac:dyDescent="0.3">
      <c r="A6335" s="397"/>
      <c r="B6335" s="709">
        <v>88306</v>
      </c>
      <c r="C6335" s="710" t="s">
        <v>6333</v>
      </c>
      <c r="D6335" s="709" t="s">
        <v>234</v>
      </c>
      <c r="E6335" s="711">
        <v>1</v>
      </c>
    </row>
    <row r="6336" spans="1:5" x14ac:dyDescent="0.3">
      <c r="A6336" s="397"/>
      <c r="B6336" s="709">
        <v>88307</v>
      </c>
      <c r="C6336" s="710" t="s">
        <v>6334</v>
      </c>
      <c r="D6336" s="709" t="s">
        <v>234</v>
      </c>
      <c r="E6336" s="711">
        <v>1</v>
      </c>
    </row>
    <row r="6337" spans="1:5" x14ac:dyDescent="0.3">
      <c r="A6337" s="397"/>
      <c r="B6337" s="709">
        <v>88308</v>
      </c>
      <c r="C6337" s="710" t="s">
        <v>6335</v>
      </c>
      <c r="D6337" s="709" t="s">
        <v>234</v>
      </c>
      <c r="E6337" s="711">
        <v>1</v>
      </c>
    </row>
    <row r="6338" spans="1:5" x14ac:dyDescent="0.3">
      <c r="A6338" s="397"/>
      <c r="B6338" s="709">
        <v>101444</v>
      </c>
      <c r="C6338" s="710" t="s">
        <v>6335</v>
      </c>
      <c r="D6338" s="709" t="s">
        <v>208</v>
      </c>
      <c r="E6338" s="711">
        <v>1</v>
      </c>
    </row>
    <row r="6339" spans="1:5" x14ac:dyDescent="0.3">
      <c r="A6339" s="397"/>
      <c r="B6339" s="709">
        <v>88309</v>
      </c>
      <c r="C6339" s="710" t="s">
        <v>6336</v>
      </c>
      <c r="D6339" s="709" t="s">
        <v>234</v>
      </c>
      <c r="E6339" s="711">
        <v>1</v>
      </c>
    </row>
    <row r="6340" spans="1:5" x14ac:dyDescent="0.3">
      <c r="A6340" s="397"/>
      <c r="B6340" s="709">
        <v>101445</v>
      </c>
      <c r="C6340" s="710" t="s">
        <v>6336</v>
      </c>
      <c r="D6340" s="709" t="s">
        <v>208</v>
      </c>
      <c r="E6340" s="711">
        <v>1</v>
      </c>
    </row>
    <row r="6341" spans="1:5" x14ac:dyDescent="0.3">
      <c r="A6341" s="397"/>
      <c r="B6341" s="709">
        <v>88310</v>
      </c>
      <c r="C6341" s="710" t="s">
        <v>6337</v>
      </c>
      <c r="D6341" s="709" t="s">
        <v>234</v>
      </c>
      <c r="E6341" s="711">
        <v>1</v>
      </c>
    </row>
    <row r="6342" spans="1:5" x14ac:dyDescent="0.3">
      <c r="A6342" s="397"/>
      <c r="B6342" s="709">
        <v>101446</v>
      </c>
      <c r="C6342" s="710" t="s">
        <v>6337</v>
      </c>
      <c r="D6342" s="709" t="s">
        <v>208</v>
      </c>
      <c r="E6342" s="711">
        <v>1</v>
      </c>
    </row>
    <row r="6343" spans="1:5" x14ac:dyDescent="0.3">
      <c r="A6343" s="397"/>
      <c r="B6343" s="709">
        <v>88311</v>
      </c>
      <c r="C6343" s="710" t="s">
        <v>6338</v>
      </c>
      <c r="D6343" s="709" t="s">
        <v>234</v>
      </c>
      <c r="E6343" s="711">
        <v>1</v>
      </c>
    </row>
    <row r="6344" spans="1:5" x14ac:dyDescent="0.3">
      <c r="A6344" s="397"/>
      <c r="B6344" s="709">
        <v>101447</v>
      </c>
      <c r="C6344" s="710" t="s">
        <v>6338</v>
      </c>
      <c r="D6344" s="709" t="s">
        <v>208</v>
      </c>
      <c r="E6344" s="711">
        <v>1</v>
      </c>
    </row>
    <row r="6345" spans="1:5" x14ac:dyDescent="0.3">
      <c r="A6345" s="397"/>
      <c r="B6345" s="709">
        <v>88312</v>
      </c>
      <c r="C6345" s="710" t="s">
        <v>6339</v>
      </c>
      <c r="D6345" s="709" t="s">
        <v>234</v>
      </c>
      <c r="E6345" s="711">
        <v>1</v>
      </c>
    </row>
    <row r="6346" spans="1:5" x14ac:dyDescent="0.3">
      <c r="A6346" s="397"/>
      <c r="B6346" s="709">
        <v>101448</v>
      </c>
      <c r="C6346" s="710" t="s">
        <v>6339</v>
      </c>
      <c r="D6346" s="709" t="s">
        <v>208</v>
      </c>
      <c r="E6346" s="711">
        <v>1</v>
      </c>
    </row>
    <row r="6347" spans="1:5" x14ac:dyDescent="0.3">
      <c r="A6347" s="397"/>
      <c r="B6347" s="709">
        <v>101449</v>
      </c>
      <c r="C6347" s="710" t="s">
        <v>6340</v>
      </c>
      <c r="D6347" s="709" t="s">
        <v>208</v>
      </c>
      <c r="E6347" s="711">
        <v>1</v>
      </c>
    </row>
    <row r="6348" spans="1:5" x14ac:dyDescent="0.3">
      <c r="A6348" s="397"/>
      <c r="B6348" s="709">
        <v>88313</v>
      </c>
      <c r="C6348" s="710" t="s">
        <v>6341</v>
      </c>
      <c r="D6348" s="709" t="s">
        <v>234</v>
      </c>
      <c r="E6348" s="711">
        <v>1</v>
      </c>
    </row>
    <row r="6349" spans="1:5" x14ac:dyDescent="0.3">
      <c r="A6349" s="397"/>
      <c r="B6349" s="709">
        <v>88314</v>
      </c>
      <c r="C6349" s="710" t="s">
        <v>6342</v>
      </c>
      <c r="D6349" s="709" t="s">
        <v>234</v>
      </c>
      <c r="E6349" s="711">
        <v>1</v>
      </c>
    </row>
    <row r="6350" spans="1:5" x14ac:dyDescent="0.3">
      <c r="A6350" s="397"/>
      <c r="B6350" s="709">
        <v>88315</v>
      </c>
      <c r="C6350" s="710" t="s">
        <v>6343</v>
      </c>
      <c r="D6350" s="709" t="s">
        <v>234</v>
      </c>
      <c r="E6350" s="711">
        <v>1</v>
      </c>
    </row>
    <row r="6351" spans="1:5" x14ac:dyDescent="0.3">
      <c r="A6351" s="397"/>
      <c r="B6351" s="709">
        <v>101451</v>
      </c>
      <c r="C6351" s="710" t="s">
        <v>6343</v>
      </c>
      <c r="D6351" s="709" t="s">
        <v>208</v>
      </c>
      <c r="E6351" s="711">
        <v>1</v>
      </c>
    </row>
    <row r="6352" spans="1:5" x14ac:dyDescent="0.3">
      <c r="A6352" s="397"/>
      <c r="B6352" s="709">
        <v>88316</v>
      </c>
      <c r="C6352" s="710" t="s">
        <v>6344</v>
      </c>
      <c r="D6352" s="709" t="s">
        <v>234</v>
      </c>
      <c r="E6352" s="711">
        <v>1</v>
      </c>
    </row>
    <row r="6353" spans="1:5" x14ac:dyDescent="0.3">
      <c r="A6353" s="397"/>
      <c r="B6353" s="709">
        <v>101452</v>
      </c>
      <c r="C6353" s="710" t="s">
        <v>6345</v>
      </c>
      <c r="D6353" s="709" t="s">
        <v>208</v>
      </c>
      <c r="E6353" s="711">
        <v>1</v>
      </c>
    </row>
    <row r="6354" spans="1:5" x14ac:dyDescent="0.3">
      <c r="A6354" s="397"/>
      <c r="B6354" s="709">
        <v>88318</v>
      </c>
      <c r="C6354" s="710" t="s">
        <v>6346</v>
      </c>
      <c r="D6354" s="709" t="s">
        <v>234</v>
      </c>
      <c r="E6354" s="711">
        <v>1</v>
      </c>
    </row>
    <row r="6355" spans="1:5" x14ac:dyDescent="0.3">
      <c r="A6355" s="397"/>
      <c r="B6355" s="709">
        <v>88317</v>
      </c>
      <c r="C6355" s="710" t="s">
        <v>6347</v>
      </c>
      <c r="D6355" s="709" t="s">
        <v>234</v>
      </c>
      <c r="E6355" s="711">
        <v>1</v>
      </c>
    </row>
    <row r="6356" spans="1:5" x14ac:dyDescent="0.3">
      <c r="A6356" s="397"/>
      <c r="B6356" s="709">
        <v>101453</v>
      </c>
      <c r="C6356" s="710" t="s">
        <v>6347</v>
      </c>
      <c r="D6356" s="709" t="s">
        <v>208</v>
      </c>
      <c r="E6356" s="711">
        <v>1</v>
      </c>
    </row>
    <row r="6357" spans="1:5" x14ac:dyDescent="0.3">
      <c r="A6357" s="397"/>
      <c r="B6357" s="709">
        <v>101454</v>
      </c>
      <c r="C6357" s="710" t="s">
        <v>6348</v>
      </c>
      <c r="D6357" s="709" t="s">
        <v>208</v>
      </c>
      <c r="E6357" s="711">
        <v>1</v>
      </c>
    </row>
    <row r="6358" spans="1:5" x14ac:dyDescent="0.3">
      <c r="A6358" s="397"/>
      <c r="B6358" s="709">
        <v>100533</v>
      </c>
      <c r="C6358" s="710" t="s">
        <v>6349</v>
      </c>
      <c r="D6358" s="709" t="s">
        <v>234</v>
      </c>
      <c r="E6358" s="711">
        <v>1</v>
      </c>
    </row>
    <row r="6359" spans="1:5" x14ac:dyDescent="0.3">
      <c r="A6359" s="397"/>
      <c r="B6359" s="709">
        <v>100534</v>
      </c>
      <c r="C6359" s="710" t="s">
        <v>6349</v>
      </c>
      <c r="D6359" s="709" t="s">
        <v>208</v>
      </c>
      <c r="E6359" s="711">
        <v>1</v>
      </c>
    </row>
    <row r="6360" spans="1:5" x14ac:dyDescent="0.3">
      <c r="A6360" s="397"/>
      <c r="B6360" s="709">
        <v>88323</v>
      </c>
      <c r="C6360" s="710" t="s">
        <v>6350</v>
      </c>
      <c r="D6360" s="709" t="s">
        <v>234</v>
      </c>
      <c r="E6360" s="711">
        <v>1</v>
      </c>
    </row>
    <row r="6361" spans="1:5" x14ac:dyDescent="0.3">
      <c r="A6361" s="397"/>
      <c r="B6361" s="709">
        <v>101458</v>
      </c>
      <c r="C6361" s="710" t="s">
        <v>6351</v>
      </c>
      <c r="D6361" s="709" t="s">
        <v>208</v>
      </c>
      <c r="E6361" s="711">
        <v>1</v>
      </c>
    </row>
    <row r="6362" spans="1:5" x14ac:dyDescent="0.3">
      <c r="A6362" s="397"/>
      <c r="B6362" s="709">
        <v>90781</v>
      </c>
      <c r="C6362" s="710" t="s">
        <v>6352</v>
      </c>
      <c r="D6362" s="709" t="s">
        <v>234</v>
      </c>
      <c r="E6362" s="711">
        <v>1</v>
      </c>
    </row>
    <row r="6363" spans="1:5" x14ac:dyDescent="0.3">
      <c r="A6363" s="397"/>
      <c r="B6363" s="709">
        <v>94296</v>
      </c>
      <c r="C6363" s="710" t="s">
        <v>6352</v>
      </c>
      <c r="D6363" s="709" t="s">
        <v>208</v>
      </c>
      <c r="E6363" s="711">
        <v>1</v>
      </c>
    </row>
    <row r="6364" spans="1:5" x14ac:dyDescent="0.3">
      <c r="A6364" s="397"/>
      <c r="B6364" s="709">
        <v>88324</v>
      </c>
      <c r="C6364" s="710" t="s">
        <v>6353</v>
      </c>
      <c r="D6364" s="709" t="s">
        <v>234</v>
      </c>
      <c r="E6364" s="711">
        <v>1</v>
      </c>
    </row>
    <row r="6365" spans="1:5" x14ac:dyDescent="0.3">
      <c r="A6365" s="397"/>
      <c r="B6365" s="709">
        <v>88321</v>
      </c>
      <c r="C6365" s="710" t="s">
        <v>6354</v>
      </c>
      <c r="D6365" s="709" t="s">
        <v>234</v>
      </c>
      <c r="E6365" s="711">
        <v>1</v>
      </c>
    </row>
    <row r="6366" spans="1:5" x14ac:dyDescent="0.3">
      <c r="A6366" s="397"/>
      <c r="B6366" s="709">
        <v>101456</v>
      </c>
      <c r="C6366" s="710" t="s">
        <v>6355</v>
      </c>
      <c r="D6366" s="709" t="s">
        <v>208</v>
      </c>
      <c r="E6366" s="711">
        <v>1</v>
      </c>
    </row>
    <row r="6367" spans="1:5" x14ac:dyDescent="0.3">
      <c r="A6367" s="397"/>
      <c r="B6367" s="709">
        <v>100309</v>
      </c>
      <c r="C6367" s="710" t="s">
        <v>6356</v>
      </c>
      <c r="D6367" s="709" t="s">
        <v>234</v>
      </c>
      <c r="E6367" s="711">
        <v>1</v>
      </c>
    </row>
    <row r="6368" spans="1:5" x14ac:dyDescent="0.3">
      <c r="A6368" s="397"/>
      <c r="B6368" s="709">
        <v>100321</v>
      </c>
      <c r="C6368" s="710" t="s">
        <v>6356</v>
      </c>
      <c r="D6368" s="709" t="s">
        <v>208</v>
      </c>
      <c r="E6368" s="711">
        <v>1</v>
      </c>
    </row>
    <row r="6369" spans="1:5" x14ac:dyDescent="0.3">
      <c r="A6369" s="397"/>
      <c r="B6369" s="709">
        <v>88322</v>
      </c>
      <c r="C6369" s="710" t="s">
        <v>6357</v>
      </c>
      <c r="D6369" s="709" t="s">
        <v>234</v>
      </c>
      <c r="E6369" s="711">
        <v>1</v>
      </c>
    </row>
    <row r="6370" spans="1:5" x14ac:dyDescent="0.3">
      <c r="A6370" s="397"/>
      <c r="B6370" s="709">
        <v>101457</v>
      </c>
      <c r="C6370" s="710" t="s">
        <v>6357</v>
      </c>
      <c r="D6370" s="709" t="s">
        <v>208</v>
      </c>
      <c r="E6370" s="711">
        <v>1</v>
      </c>
    </row>
    <row r="6371" spans="1:5" x14ac:dyDescent="0.3">
      <c r="A6371" s="397"/>
      <c r="B6371" s="709">
        <v>88325</v>
      </c>
      <c r="C6371" s="710" t="s">
        <v>6358</v>
      </c>
      <c r="D6371" s="709" t="s">
        <v>234</v>
      </c>
      <c r="E6371" s="711">
        <v>1</v>
      </c>
    </row>
    <row r="6372" spans="1:5" x14ac:dyDescent="0.3">
      <c r="A6372" s="397"/>
      <c r="B6372" s="709">
        <v>101459</v>
      </c>
      <c r="C6372" s="710" t="s">
        <v>6358</v>
      </c>
      <c r="D6372" s="709" t="s">
        <v>208</v>
      </c>
      <c r="E6372" s="711">
        <v>1</v>
      </c>
    </row>
    <row r="6373" spans="1:5" x14ac:dyDescent="0.3">
      <c r="A6373" s="397"/>
      <c r="B6373" s="709">
        <v>100289</v>
      </c>
      <c r="C6373" s="710" t="s">
        <v>6359</v>
      </c>
      <c r="D6373" s="709" t="s">
        <v>234</v>
      </c>
      <c r="E6373" s="711">
        <v>1</v>
      </c>
    </row>
    <row r="6374" spans="1:5" x14ac:dyDescent="0.3">
      <c r="A6374" s="397"/>
      <c r="B6374" s="709">
        <v>101460</v>
      </c>
      <c r="C6374" s="710" t="s">
        <v>6359</v>
      </c>
      <c r="D6374" s="709" t="s">
        <v>208</v>
      </c>
      <c r="E6374" s="711">
        <v>1</v>
      </c>
    </row>
    <row r="6375" spans="1:5" x14ac:dyDescent="0.3">
      <c r="A6375" s="397"/>
      <c r="B6375" s="709">
        <v>105011</v>
      </c>
      <c r="C6375" s="710" t="s">
        <v>6360</v>
      </c>
      <c r="D6375" s="709" t="s">
        <v>159</v>
      </c>
      <c r="E6375" s="711">
        <v>0.77049999999999996</v>
      </c>
    </row>
    <row r="6376" spans="1:5" x14ac:dyDescent="0.3">
      <c r="A6376" s="397"/>
      <c r="B6376" s="709">
        <v>99061</v>
      </c>
      <c r="C6376" s="710" t="s">
        <v>6361</v>
      </c>
      <c r="D6376" s="709" t="s">
        <v>136</v>
      </c>
      <c r="E6376" s="711">
        <v>0.69799999999999995</v>
      </c>
    </row>
    <row r="6377" spans="1:5" x14ac:dyDescent="0.3">
      <c r="A6377" s="397"/>
      <c r="B6377" s="709">
        <v>99060</v>
      </c>
      <c r="C6377" s="710" t="s">
        <v>6362</v>
      </c>
      <c r="D6377" s="709" t="s">
        <v>136</v>
      </c>
      <c r="E6377" s="711">
        <v>0.6734</v>
      </c>
    </row>
    <row r="6378" spans="1:5" x14ac:dyDescent="0.3">
      <c r="A6378" s="397"/>
      <c r="B6378" s="709">
        <v>105009</v>
      </c>
      <c r="C6378" s="710" t="s">
        <v>6364</v>
      </c>
      <c r="D6378" s="709" t="s">
        <v>159</v>
      </c>
      <c r="E6378" s="711">
        <v>0.65</v>
      </c>
    </row>
    <row r="6379" spans="1:5" x14ac:dyDescent="0.3">
      <c r="A6379" s="397"/>
      <c r="B6379" s="709">
        <v>99059</v>
      </c>
      <c r="C6379" s="710" t="s">
        <v>6365</v>
      </c>
      <c r="D6379" s="709" t="s">
        <v>159</v>
      </c>
      <c r="E6379" s="711">
        <v>0.63529999999999998</v>
      </c>
    </row>
    <row r="6380" spans="1:5" x14ac:dyDescent="0.3">
      <c r="A6380" s="397"/>
      <c r="B6380" s="709">
        <v>105007</v>
      </c>
      <c r="C6380" s="710" t="s">
        <v>6368</v>
      </c>
      <c r="D6380" s="709" t="s">
        <v>136</v>
      </c>
      <c r="E6380" s="711">
        <v>0.97330000000000005</v>
      </c>
    </row>
    <row r="6381" spans="1:5" x14ac:dyDescent="0.3">
      <c r="A6381" s="397"/>
      <c r="B6381" s="709">
        <v>99063</v>
      </c>
      <c r="C6381" s="710" t="s">
        <v>6369</v>
      </c>
      <c r="D6381" s="709" t="s">
        <v>159</v>
      </c>
      <c r="E6381" s="711">
        <v>0.80200000000000005</v>
      </c>
    </row>
    <row r="6382" spans="1:5" x14ac:dyDescent="0.3">
      <c r="A6382" s="397"/>
      <c r="B6382" s="709">
        <v>99062</v>
      </c>
      <c r="C6382" s="710" t="s">
        <v>6371</v>
      </c>
      <c r="D6382" s="709" t="s">
        <v>136</v>
      </c>
      <c r="E6382" s="711">
        <v>0.98250000000000004</v>
      </c>
    </row>
    <row r="6383" spans="1:5" x14ac:dyDescent="0.3">
      <c r="A6383" s="397"/>
      <c r="B6383" s="709">
        <v>100857</v>
      </c>
      <c r="C6383" s="710" t="s">
        <v>14248</v>
      </c>
      <c r="D6383" s="709" t="s">
        <v>136</v>
      </c>
      <c r="E6383" s="711">
        <v>1.49E-2</v>
      </c>
    </row>
    <row r="6384" spans="1:5" x14ac:dyDescent="0.3">
      <c r="A6384" s="397"/>
      <c r="B6384" s="709">
        <v>86905</v>
      </c>
      <c r="C6384" s="710" t="s">
        <v>14249</v>
      </c>
      <c r="D6384" s="709" t="s">
        <v>136</v>
      </c>
      <c r="E6384" s="711">
        <v>2.58E-2</v>
      </c>
    </row>
    <row r="6385" spans="1:5" x14ac:dyDescent="0.3">
      <c r="A6385" s="397"/>
      <c r="B6385" s="709">
        <v>86908</v>
      </c>
      <c r="C6385" s="710" t="s">
        <v>14250</v>
      </c>
      <c r="D6385" s="709" t="s">
        <v>136</v>
      </c>
      <c r="E6385" s="711">
        <v>1.06E-2</v>
      </c>
    </row>
    <row r="6386" spans="1:5" x14ac:dyDescent="0.3">
      <c r="A6386" s="397"/>
      <c r="B6386" s="709">
        <v>100849</v>
      </c>
      <c r="C6386" s="710" t="s">
        <v>14251</v>
      </c>
      <c r="D6386" s="709" t="s">
        <v>136</v>
      </c>
      <c r="E6386" s="711">
        <v>0.1169</v>
      </c>
    </row>
    <row r="6387" spans="1:5" x14ac:dyDescent="0.3">
      <c r="A6387" s="397"/>
      <c r="B6387" s="709">
        <v>100851</v>
      </c>
      <c r="C6387" s="710" t="s">
        <v>14252</v>
      </c>
      <c r="D6387" s="709" t="s">
        <v>136</v>
      </c>
      <c r="E6387" s="711">
        <v>5.8599999999999999E-2</v>
      </c>
    </row>
    <row r="6388" spans="1:5" x14ac:dyDescent="0.3">
      <c r="A6388" s="397"/>
      <c r="B6388" s="709">
        <v>86888</v>
      </c>
      <c r="C6388" s="710" t="s">
        <v>14253</v>
      </c>
      <c r="D6388" s="709" t="s">
        <v>136</v>
      </c>
      <c r="E6388" s="711">
        <v>6.7299999999999999E-2</v>
      </c>
    </row>
    <row r="6389" spans="1:5" x14ac:dyDescent="0.3">
      <c r="A6389" s="397"/>
      <c r="B6389" s="709">
        <v>86932</v>
      </c>
      <c r="C6389" s="710" t="s">
        <v>14254</v>
      </c>
      <c r="D6389" s="709" t="s">
        <v>136</v>
      </c>
      <c r="E6389" s="711">
        <v>6.8199999999999997E-2</v>
      </c>
    </row>
    <row r="6390" spans="1:5" x14ac:dyDescent="0.3">
      <c r="A6390" s="397"/>
      <c r="B6390" s="709">
        <v>86931</v>
      </c>
      <c r="C6390" s="710" t="s">
        <v>14255</v>
      </c>
      <c r="D6390" s="709" t="s">
        <v>136</v>
      </c>
      <c r="E6390" s="711">
        <v>7.5399999999999995E-2</v>
      </c>
    </row>
    <row r="6391" spans="1:5" x14ac:dyDescent="0.3">
      <c r="A6391" s="397"/>
      <c r="B6391" s="709">
        <v>100878</v>
      </c>
      <c r="C6391" s="710" t="s">
        <v>14256</v>
      </c>
      <c r="D6391" s="709" t="s">
        <v>136</v>
      </c>
      <c r="E6391" s="711">
        <v>7.5399999999999995E-2</v>
      </c>
    </row>
    <row r="6392" spans="1:5" x14ac:dyDescent="0.3">
      <c r="A6392" s="397"/>
      <c r="B6392" s="709">
        <v>95471</v>
      </c>
      <c r="C6392" s="710" t="s">
        <v>14257</v>
      </c>
      <c r="D6392" s="709" t="s">
        <v>136</v>
      </c>
      <c r="E6392" s="711">
        <v>6.6100000000000006E-2</v>
      </c>
    </row>
    <row r="6393" spans="1:5" x14ac:dyDescent="0.3">
      <c r="A6393" s="397"/>
      <c r="B6393" s="709">
        <v>95469</v>
      </c>
      <c r="C6393" s="710" t="s">
        <v>14258</v>
      </c>
      <c r="D6393" s="709" t="s">
        <v>136</v>
      </c>
      <c r="E6393" s="711">
        <v>9.7500000000000003E-2</v>
      </c>
    </row>
    <row r="6394" spans="1:5" x14ac:dyDescent="0.3">
      <c r="A6394" s="397"/>
      <c r="B6394" s="709">
        <v>100848</v>
      </c>
      <c r="C6394" s="710" t="s">
        <v>14259</v>
      </c>
      <c r="D6394" s="709" t="s">
        <v>136</v>
      </c>
      <c r="E6394" s="711">
        <v>5.2299999999999999E-2</v>
      </c>
    </row>
    <row r="6395" spans="1:5" x14ac:dyDescent="0.3">
      <c r="A6395" s="397"/>
      <c r="B6395" s="709">
        <v>86895</v>
      </c>
      <c r="C6395" s="710" t="s">
        <v>14260</v>
      </c>
      <c r="D6395" s="709" t="s">
        <v>136</v>
      </c>
      <c r="E6395" s="711">
        <v>0.13569999999999999</v>
      </c>
    </row>
    <row r="6396" spans="1:5" x14ac:dyDescent="0.3">
      <c r="A6396" s="397"/>
      <c r="B6396" s="709">
        <v>86889</v>
      </c>
      <c r="C6396" s="710" t="s">
        <v>14261</v>
      </c>
      <c r="D6396" s="709" t="s">
        <v>136</v>
      </c>
      <c r="E6396" s="711">
        <v>9.0800000000000006E-2</v>
      </c>
    </row>
    <row r="6397" spans="1:5" x14ac:dyDescent="0.3">
      <c r="A6397" s="397"/>
      <c r="B6397" s="709">
        <v>106780</v>
      </c>
      <c r="C6397" s="710" t="s">
        <v>14262</v>
      </c>
      <c r="D6397" s="709" t="s">
        <v>136</v>
      </c>
      <c r="E6397" s="711">
        <v>8.3500000000000005E-2</v>
      </c>
    </row>
    <row r="6398" spans="1:5" x14ac:dyDescent="0.3">
      <c r="A6398" s="397"/>
      <c r="B6398" s="709">
        <v>106781</v>
      </c>
      <c r="C6398" s="710" t="s">
        <v>14263</v>
      </c>
      <c r="D6398" s="709" t="s">
        <v>136</v>
      </c>
      <c r="E6398" s="711">
        <v>7.6499999999999999E-2</v>
      </c>
    </row>
    <row r="6399" spans="1:5" x14ac:dyDescent="0.3">
      <c r="A6399" s="397"/>
      <c r="B6399" s="709">
        <v>86899</v>
      </c>
      <c r="C6399" s="710" t="s">
        <v>14264</v>
      </c>
      <c r="D6399" s="709" t="s">
        <v>136</v>
      </c>
      <c r="E6399" s="711">
        <v>0.13420000000000001</v>
      </c>
    </row>
    <row r="6400" spans="1:5" x14ac:dyDescent="0.3">
      <c r="A6400" s="397"/>
      <c r="B6400" s="709">
        <v>86893</v>
      </c>
      <c r="C6400" s="710" t="s">
        <v>14265</v>
      </c>
      <c r="D6400" s="709" t="s">
        <v>136</v>
      </c>
      <c r="E6400" s="711">
        <v>8.9599999999999999E-2</v>
      </c>
    </row>
    <row r="6401" spans="1:5" x14ac:dyDescent="0.3">
      <c r="A6401" s="397"/>
      <c r="B6401" s="709">
        <v>86934</v>
      </c>
      <c r="C6401" s="710" t="s">
        <v>14266</v>
      </c>
      <c r="D6401" s="709" t="s">
        <v>136</v>
      </c>
      <c r="E6401" s="711">
        <v>9.5299999999999996E-2</v>
      </c>
    </row>
    <row r="6402" spans="1:5" x14ac:dyDescent="0.3">
      <c r="A6402" s="397"/>
      <c r="B6402" s="709">
        <v>86933</v>
      </c>
      <c r="C6402" s="710" t="s">
        <v>14267</v>
      </c>
      <c r="D6402" s="709" t="s">
        <v>136</v>
      </c>
      <c r="E6402" s="711">
        <v>9.74E-2</v>
      </c>
    </row>
    <row r="6403" spans="1:5" x14ac:dyDescent="0.3">
      <c r="A6403" s="397"/>
      <c r="B6403" s="709">
        <v>86894</v>
      </c>
      <c r="C6403" s="710" t="s">
        <v>14268</v>
      </c>
      <c r="D6403" s="709" t="s">
        <v>136</v>
      </c>
      <c r="E6403" s="711">
        <v>0.1145</v>
      </c>
    </row>
    <row r="6404" spans="1:5" x14ac:dyDescent="0.3">
      <c r="A6404" s="397"/>
      <c r="B6404" s="709">
        <v>93441</v>
      </c>
      <c r="C6404" s="710" t="s">
        <v>14269</v>
      </c>
      <c r="D6404" s="709" t="s">
        <v>136</v>
      </c>
      <c r="E6404" s="711">
        <v>7.2499999999999995E-2</v>
      </c>
    </row>
    <row r="6405" spans="1:5" x14ac:dyDescent="0.3">
      <c r="A6405" s="397"/>
      <c r="B6405" s="709">
        <v>93396</v>
      </c>
      <c r="C6405" s="710" t="s">
        <v>14270</v>
      </c>
      <c r="D6405" s="709" t="s">
        <v>136</v>
      </c>
      <c r="E6405" s="711">
        <v>0.10100000000000001</v>
      </c>
    </row>
    <row r="6406" spans="1:5" x14ac:dyDescent="0.3">
      <c r="A6406" s="397"/>
      <c r="B6406" s="709">
        <v>93442</v>
      </c>
      <c r="C6406" s="710" t="s">
        <v>14271</v>
      </c>
      <c r="D6406" s="709" t="s">
        <v>136</v>
      </c>
      <c r="E6406" s="711">
        <v>6.2899999999999998E-2</v>
      </c>
    </row>
    <row r="6407" spans="1:5" x14ac:dyDescent="0.3">
      <c r="A6407" s="397"/>
      <c r="B6407" s="709">
        <v>86947</v>
      </c>
      <c r="C6407" s="710" t="s">
        <v>14272</v>
      </c>
      <c r="D6407" s="709" t="s">
        <v>136</v>
      </c>
      <c r="E6407" s="711">
        <v>6.3100000000000003E-2</v>
      </c>
    </row>
    <row r="6408" spans="1:5" x14ac:dyDescent="0.3">
      <c r="A6408" s="397"/>
      <c r="B6408" s="709">
        <v>100875</v>
      </c>
      <c r="C6408" s="710" t="s">
        <v>14273</v>
      </c>
      <c r="D6408" s="709" t="s">
        <v>136</v>
      </c>
      <c r="E6408" s="711">
        <v>4.0099999999999997E-2</v>
      </c>
    </row>
    <row r="6409" spans="1:5" x14ac:dyDescent="0.3">
      <c r="A6409" s="397"/>
      <c r="B6409" s="709">
        <v>100863</v>
      </c>
      <c r="C6409" s="710" t="s">
        <v>14274</v>
      </c>
      <c r="D6409" s="709" t="s">
        <v>136</v>
      </c>
      <c r="E6409" s="711">
        <v>8.5900000000000004E-2</v>
      </c>
    </row>
    <row r="6410" spans="1:5" x14ac:dyDescent="0.3">
      <c r="A6410" s="397"/>
      <c r="B6410" s="709">
        <v>100864</v>
      </c>
      <c r="C6410" s="710" t="s">
        <v>14275</v>
      </c>
      <c r="D6410" s="709" t="s">
        <v>136</v>
      </c>
      <c r="E6410" s="711">
        <v>7.7399999999999997E-2</v>
      </c>
    </row>
    <row r="6411" spans="1:5" x14ac:dyDescent="0.3">
      <c r="A6411" s="397"/>
      <c r="B6411" s="709">
        <v>100865</v>
      </c>
      <c r="C6411" s="710" t="s">
        <v>14276</v>
      </c>
      <c r="D6411" s="709" t="s">
        <v>136</v>
      </c>
      <c r="E6411" s="711">
        <v>3.6900000000000002E-2</v>
      </c>
    </row>
    <row r="6412" spans="1:5" x14ac:dyDescent="0.3">
      <c r="A6412" s="397"/>
      <c r="B6412" s="709">
        <v>100870</v>
      </c>
      <c r="C6412" s="710" t="s">
        <v>14277</v>
      </c>
      <c r="D6412" s="709" t="s">
        <v>136</v>
      </c>
      <c r="E6412" s="711">
        <v>0.1472</v>
      </c>
    </row>
    <row r="6413" spans="1:5" x14ac:dyDescent="0.3">
      <c r="A6413" s="397"/>
      <c r="B6413" s="709">
        <v>100871</v>
      </c>
      <c r="C6413" s="710" t="s">
        <v>14278</v>
      </c>
      <c r="D6413" s="709" t="s">
        <v>136</v>
      </c>
      <c r="E6413" s="711">
        <v>0.1361</v>
      </c>
    </row>
    <row r="6414" spans="1:5" x14ac:dyDescent="0.3">
      <c r="A6414" s="397"/>
      <c r="B6414" s="709">
        <v>100872</v>
      </c>
      <c r="C6414" s="710" t="s">
        <v>14279</v>
      </c>
      <c r="D6414" s="709" t="s">
        <v>136</v>
      </c>
      <c r="E6414" s="711">
        <v>0.1298</v>
      </c>
    </row>
    <row r="6415" spans="1:5" x14ac:dyDescent="0.3">
      <c r="A6415" s="397"/>
      <c r="B6415" s="709">
        <v>100873</v>
      </c>
      <c r="C6415" s="710" t="s">
        <v>14280</v>
      </c>
      <c r="D6415" s="709" t="s">
        <v>136</v>
      </c>
      <c r="E6415" s="711">
        <v>0.12620000000000001</v>
      </c>
    </row>
    <row r="6416" spans="1:5" x14ac:dyDescent="0.3">
      <c r="A6416" s="397"/>
      <c r="B6416" s="709">
        <v>100866</v>
      </c>
      <c r="C6416" s="710" t="s">
        <v>14281</v>
      </c>
      <c r="D6416" s="709" t="s">
        <v>136</v>
      </c>
      <c r="E6416" s="711">
        <v>0.1147</v>
      </c>
    </row>
    <row r="6417" spans="1:5" x14ac:dyDescent="0.3">
      <c r="A6417" s="397"/>
      <c r="B6417" s="709">
        <v>100867</v>
      </c>
      <c r="C6417" s="710" t="s">
        <v>14282</v>
      </c>
      <c r="D6417" s="709" t="s">
        <v>136</v>
      </c>
      <c r="E6417" s="711">
        <v>0.107</v>
      </c>
    </row>
    <row r="6418" spans="1:5" x14ac:dyDescent="0.3">
      <c r="A6418" s="397"/>
      <c r="B6418" s="709">
        <v>100868</v>
      </c>
      <c r="C6418" s="710" t="s">
        <v>14283</v>
      </c>
      <c r="D6418" s="709" t="s">
        <v>136</v>
      </c>
      <c r="E6418" s="711">
        <v>0.1024</v>
      </c>
    </row>
    <row r="6419" spans="1:5" x14ac:dyDescent="0.3">
      <c r="A6419" s="397"/>
      <c r="B6419" s="709">
        <v>100869</v>
      </c>
      <c r="C6419" s="710" t="s">
        <v>14284</v>
      </c>
      <c r="D6419" s="709" t="s">
        <v>136</v>
      </c>
      <c r="E6419" s="711">
        <v>9.9099999999999994E-2</v>
      </c>
    </row>
    <row r="6420" spans="1:5" x14ac:dyDescent="0.3">
      <c r="A6420" s="397"/>
      <c r="B6420" s="709">
        <v>106764</v>
      </c>
      <c r="C6420" s="710" t="s">
        <v>14285</v>
      </c>
      <c r="D6420" s="709" t="s">
        <v>136</v>
      </c>
      <c r="E6420" s="711">
        <v>0.2185</v>
      </c>
    </row>
    <row r="6421" spans="1:5" x14ac:dyDescent="0.3">
      <c r="A6421" s="397"/>
      <c r="B6421" s="709">
        <v>100860</v>
      </c>
      <c r="C6421" s="710" t="s">
        <v>14286</v>
      </c>
      <c r="D6421" s="709" t="s">
        <v>136</v>
      </c>
      <c r="E6421" s="711">
        <v>0.34050000000000002</v>
      </c>
    </row>
    <row r="6422" spans="1:5" x14ac:dyDescent="0.3">
      <c r="A6422" s="397"/>
      <c r="B6422" s="709">
        <v>86936</v>
      </c>
      <c r="C6422" s="710" t="s">
        <v>14287</v>
      </c>
      <c r="D6422" s="709" t="s">
        <v>136</v>
      </c>
      <c r="E6422" s="711">
        <v>5.5E-2</v>
      </c>
    </row>
    <row r="6423" spans="1:5" x14ac:dyDescent="0.3">
      <c r="A6423" s="397"/>
      <c r="B6423" s="709">
        <v>86935</v>
      </c>
      <c r="C6423" s="710" t="s">
        <v>14288</v>
      </c>
      <c r="D6423" s="709" t="s">
        <v>136</v>
      </c>
      <c r="E6423" s="711">
        <v>7.6799999999999993E-2</v>
      </c>
    </row>
    <row r="6424" spans="1:5" x14ac:dyDescent="0.3">
      <c r="A6424" s="397"/>
      <c r="B6424" s="709">
        <v>86938</v>
      </c>
      <c r="C6424" s="710" t="s">
        <v>14289</v>
      </c>
      <c r="D6424" s="709" t="s">
        <v>136</v>
      </c>
      <c r="E6424" s="711">
        <v>9.4600000000000004E-2</v>
      </c>
    </row>
    <row r="6425" spans="1:5" x14ac:dyDescent="0.3">
      <c r="A6425" s="397"/>
      <c r="B6425" s="709">
        <v>86937</v>
      </c>
      <c r="C6425" s="710" t="s">
        <v>14290</v>
      </c>
      <c r="D6425" s="709" t="s">
        <v>136</v>
      </c>
      <c r="E6425" s="711">
        <v>0.1603</v>
      </c>
    </row>
    <row r="6426" spans="1:5" x14ac:dyDescent="0.3">
      <c r="A6426" s="397"/>
      <c r="B6426" s="709">
        <v>86901</v>
      </c>
      <c r="C6426" s="710" t="s">
        <v>14291</v>
      </c>
      <c r="D6426" s="709" t="s">
        <v>136</v>
      </c>
      <c r="E6426" s="711">
        <v>0.20519999999999999</v>
      </c>
    </row>
    <row r="6427" spans="1:5" x14ac:dyDescent="0.3">
      <c r="A6427" s="397"/>
      <c r="B6427" s="709">
        <v>86900</v>
      </c>
      <c r="C6427" s="710" t="s">
        <v>14292</v>
      </c>
      <c r="D6427" s="709" t="s">
        <v>136</v>
      </c>
      <c r="E6427" s="711">
        <v>7.1800000000000003E-2</v>
      </c>
    </row>
    <row r="6428" spans="1:5" x14ac:dyDescent="0.3">
      <c r="A6428" s="397"/>
      <c r="B6428" s="709">
        <v>100852</v>
      </c>
      <c r="C6428" s="710" t="s">
        <v>14293</v>
      </c>
      <c r="D6428" s="709" t="s">
        <v>136</v>
      </c>
      <c r="E6428" s="711">
        <v>6.5600000000000006E-2</v>
      </c>
    </row>
    <row r="6429" spans="1:5" x14ac:dyDescent="0.3">
      <c r="A6429" s="397"/>
      <c r="B6429" s="709">
        <v>106766</v>
      </c>
      <c r="C6429" s="710" t="s">
        <v>14294</v>
      </c>
      <c r="D6429" s="709" t="s">
        <v>136</v>
      </c>
      <c r="E6429" s="711">
        <v>0.3241</v>
      </c>
    </row>
    <row r="6430" spans="1:5" x14ac:dyDescent="0.3">
      <c r="A6430" s="397"/>
      <c r="B6430" s="709">
        <v>106765</v>
      </c>
      <c r="C6430" s="710" t="s">
        <v>14295</v>
      </c>
      <c r="D6430" s="709" t="s">
        <v>136</v>
      </c>
      <c r="E6430" s="711">
        <v>0.3241</v>
      </c>
    </row>
    <row r="6431" spans="1:5" x14ac:dyDescent="0.3">
      <c r="A6431" s="397"/>
      <c r="B6431" s="709">
        <v>86886</v>
      </c>
      <c r="C6431" s="710" t="s">
        <v>14296</v>
      </c>
      <c r="D6431" s="709" t="s">
        <v>136</v>
      </c>
      <c r="E6431" s="711">
        <v>8.09E-2</v>
      </c>
    </row>
    <row r="6432" spans="1:5" x14ac:dyDescent="0.3">
      <c r="A6432" s="397"/>
      <c r="B6432" s="709">
        <v>86887</v>
      </c>
      <c r="C6432" s="710" t="s">
        <v>14297</v>
      </c>
      <c r="D6432" s="709" t="s">
        <v>136</v>
      </c>
      <c r="E6432" s="711">
        <v>7.4399999999999994E-2</v>
      </c>
    </row>
    <row r="6433" spans="1:5" x14ac:dyDescent="0.3">
      <c r="A6433" s="397"/>
      <c r="B6433" s="709">
        <v>86884</v>
      </c>
      <c r="C6433" s="710" t="s">
        <v>14298</v>
      </c>
      <c r="D6433" s="709" t="s">
        <v>136</v>
      </c>
      <c r="E6433" s="711">
        <v>0.47389999999999999</v>
      </c>
    </row>
    <row r="6434" spans="1:5" x14ac:dyDescent="0.3">
      <c r="A6434" s="397"/>
      <c r="B6434" s="709">
        <v>86885</v>
      </c>
      <c r="C6434" s="710" t="s">
        <v>14299</v>
      </c>
      <c r="D6434" s="709" t="s">
        <v>136</v>
      </c>
      <c r="E6434" s="711">
        <v>0.41739999999999999</v>
      </c>
    </row>
    <row r="6435" spans="1:5" x14ac:dyDescent="0.3">
      <c r="A6435" s="397"/>
      <c r="B6435" s="709">
        <v>95546</v>
      </c>
      <c r="C6435" s="710" t="s">
        <v>14300</v>
      </c>
      <c r="D6435" s="709" t="s">
        <v>136</v>
      </c>
      <c r="E6435" s="711">
        <v>0.30199999999999999</v>
      </c>
    </row>
    <row r="6436" spans="1:5" x14ac:dyDescent="0.3">
      <c r="A6436" s="397"/>
      <c r="B6436" s="709">
        <v>86902</v>
      </c>
      <c r="C6436" s="710" t="s">
        <v>14301</v>
      </c>
      <c r="D6436" s="709" t="s">
        <v>136</v>
      </c>
      <c r="E6436" s="711">
        <v>9.8100000000000007E-2</v>
      </c>
    </row>
    <row r="6437" spans="1:5" x14ac:dyDescent="0.3">
      <c r="A6437" s="397"/>
      <c r="B6437" s="709">
        <v>86939</v>
      </c>
      <c r="C6437" s="710" t="s">
        <v>14302</v>
      </c>
      <c r="D6437" s="709" t="s">
        <v>136</v>
      </c>
      <c r="E6437" s="711">
        <v>9.8199999999999996E-2</v>
      </c>
    </row>
    <row r="6438" spans="1:5" x14ac:dyDescent="0.3">
      <c r="A6438" s="397"/>
      <c r="B6438" s="709">
        <v>86903</v>
      </c>
      <c r="C6438" s="710" t="s">
        <v>14303</v>
      </c>
      <c r="D6438" s="709" t="s">
        <v>136</v>
      </c>
      <c r="E6438" s="711">
        <v>0.17219999999999999</v>
      </c>
    </row>
    <row r="6439" spans="1:5" x14ac:dyDescent="0.3">
      <c r="A6439" s="397"/>
      <c r="B6439" s="709">
        <v>86940</v>
      </c>
      <c r="C6439" s="710" t="s">
        <v>14304</v>
      </c>
      <c r="D6439" s="709" t="s">
        <v>136</v>
      </c>
      <c r="E6439" s="711">
        <v>6.9699999999999998E-2</v>
      </c>
    </row>
    <row r="6440" spans="1:5" x14ac:dyDescent="0.3">
      <c r="A6440" s="397"/>
      <c r="B6440" s="709">
        <v>86941</v>
      </c>
      <c r="C6440" s="710" t="s">
        <v>14305</v>
      </c>
      <c r="D6440" s="709" t="s">
        <v>136</v>
      </c>
      <c r="E6440" s="711">
        <v>8.4900000000000003E-2</v>
      </c>
    </row>
    <row r="6441" spans="1:5" x14ac:dyDescent="0.3">
      <c r="A6441" s="397"/>
      <c r="B6441" s="709">
        <v>86904</v>
      </c>
      <c r="C6441" s="710" t="s">
        <v>14306</v>
      </c>
      <c r="D6441" s="709" t="s">
        <v>136</v>
      </c>
      <c r="E6441" s="711">
        <v>0.1123</v>
      </c>
    </row>
    <row r="6442" spans="1:5" x14ac:dyDescent="0.3">
      <c r="A6442" s="397"/>
      <c r="B6442" s="709">
        <v>86943</v>
      </c>
      <c r="C6442" s="710" t="s">
        <v>14307</v>
      </c>
      <c r="D6442" s="709" t="s">
        <v>136</v>
      </c>
      <c r="E6442" s="711">
        <v>0.1053</v>
      </c>
    </row>
    <row r="6443" spans="1:5" x14ac:dyDescent="0.3">
      <c r="A6443" s="397"/>
      <c r="B6443" s="709">
        <v>86942</v>
      </c>
      <c r="C6443" s="710" t="s">
        <v>14308</v>
      </c>
      <c r="D6443" s="709" t="s">
        <v>136</v>
      </c>
      <c r="E6443" s="711">
        <v>0.10829999999999999</v>
      </c>
    </row>
    <row r="6444" spans="1:5" x14ac:dyDescent="0.3">
      <c r="A6444" s="397"/>
      <c r="B6444" s="709">
        <v>100856</v>
      </c>
      <c r="C6444" s="710" t="s">
        <v>14309</v>
      </c>
      <c r="D6444" s="709" t="s">
        <v>136</v>
      </c>
      <c r="E6444" s="711">
        <v>6.1499999999999999E-2</v>
      </c>
    </row>
    <row r="6445" spans="1:5" x14ac:dyDescent="0.3">
      <c r="A6445" s="397"/>
      <c r="B6445" s="709">
        <v>106776</v>
      </c>
      <c r="C6445" s="710" t="s">
        <v>14310</v>
      </c>
      <c r="D6445" s="709" t="s">
        <v>136</v>
      </c>
      <c r="E6445" s="711">
        <v>0.02</v>
      </c>
    </row>
    <row r="6446" spans="1:5" x14ac:dyDescent="0.3">
      <c r="A6446" s="397"/>
      <c r="B6446" s="709">
        <v>100858</v>
      </c>
      <c r="C6446" s="710" t="s">
        <v>14311</v>
      </c>
      <c r="D6446" s="709" t="s">
        <v>136</v>
      </c>
      <c r="E6446" s="711">
        <v>4.58E-2</v>
      </c>
    </row>
    <row r="6447" spans="1:5" x14ac:dyDescent="0.3">
      <c r="A6447" s="397"/>
      <c r="B6447" s="709">
        <v>100859</v>
      </c>
      <c r="C6447" s="710" t="s">
        <v>14312</v>
      </c>
      <c r="D6447" s="709" t="s">
        <v>136</v>
      </c>
      <c r="E6447" s="711">
        <v>6.9900000000000004E-2</v>
      </c>
    </row>
    <row r="6448" spans="1:5" x14ac:dyDescent="0.3">
      <c r="A6448" s="397"/>
      <c r="B6448" s="709">
        <v>95544</v>
      </c>
      <c r="C6448" s="710" t="s">
        <v>14313</v>
      </c>
      <c r="D6448" s="709" t="s">
        <v>136</v>
      </c>
      <c r="E6448" s="711">
        <v>0.15620000000000001</v>
      </c>
    </row>
    <row r="6449" spans="1:5" x14ac:dyDescent="0.3">
      <c r="A6449" s="397"/>
      <c r="B6449" s="709">
        <v>106772</v>
      </c>
      <c r="C6449" s="710" t="s">
        <v>14314</v>
      </c>
      <c r="D6449" s="709" t="s">
        <v>136</v>
      </c>
      <c r="E6449" s="711">
        <v>0.19670000000000001</v>
      </c>
    </row>
    <row r="6450" spans="1:5" x14ac:dyDescent="0.3">
      <c r="A6450" s="397"/>
      <c r="B6450" s="709">
        <v>95543</v>
      </c>
      <c r="C6450" s="710" t="s">
        <v>14315</v>
      </c>
      <c r="D6450" s="709" t="s">
        <v>136</v>
      </c>
      <c r="E6450" s="711">
        <v>0.23749999999999999</v>
      </c>
    </row>
    <row r="6451" spans="1:5" x14ac:dyDescent="0.3">
      <c r="A6451" s="397"/>
      <c r="B6451" s="709">
        <v>95542</v>
      </c>
      <c r="C6451" s="710" t="s">
        <v>14316</v>
      </c>
      <c r="D6451" s="709" t="s">
        <v>136</v>
      </c>
      <c r="E6451" s="711">
        <v>0.1951</v>
      </c>
    </row>
    <row r="6452" spans="1:5" x14ac:dyDescent="0.3">
      <c r="A6452" s="397"/>
      <c r="B6452" s="709">
        <v>100874</v>
      </c>
      <c r="C6452" s="710" t="s">
        <v>14317</v>
      </c>
      <c r="D6452" s="709" t="s">
        <v>136</v>
      </c>
      <c r="E6452" s="711">
        <v>0.1147</v>
      </c>
    </row>
    <row r="6453" spans="1:5" x14ac:dyDescent="0.3">
      <c r="A6453" s="397"/>
      <c r="B6453" s="709">
        <v>95545</v>
      </c>
      <c r="C6453" s="710" t="s">
        <v>14318</v>
      </c>
      <c r="D6453" s="709" t="s">
        <v>136</v>
      </c>
      <c r="E6453" s="711">
        <v>0.15959999999999999</v>
      </c>
    </row>
    <row r="6454" spans="1:5" x14ac:dyDescent="0.3">
      <c r="A6454" s="397"/>
      <c r="B6454" s="709">
        <v>95547</v>
      </c>
      <c r="C6454" s="710" t="s">
        <v>14319</v>
      </c>
      <c r="D6454" s="709" t="s">
        <v>136</v>
      </c>
      <c r="E6454" s="711">
        <v>0.24959999999999999</v>
      </c>
    </row>
    <row r="6455" spans="1:5" x14ac:dyDescent="0.3">
      <c r="A6455" s="397"/>
      <c r="B6455" s="709">
        <v>86883</v>
      </c>
      <c r="C6455" s="710" t="s">
        <v>14320</v>
      </c>
      <c r="D6455" s="709" t="s">
        <v>136</v>
      </c>
      <c r="E6455" s="711">
        <v>0.23549999999999999</v>
      </c>
    </row>
    <row r="6456" spans="1:5" x14ac:dyDescent="0.3">
      <c r="A6456" s="397"/>
      <c r="B6456" s="709">
        <v>86881</v>
      </c>
      <c r="C6456" s="710" t="s">
        <v>14321</v>
      </c>
      <c r="D6456" s="709" t="s">
        <v>136</v>
      </c>
      <c r="E6456" s="711">
        <v>3.9399999999999998E-2</v>
      </c>
    </row>
    <row r="6457" spans="1:5" x14ac:dyDescent="0.3">
      <c r="A6457" s="397"/>
      <c r="B6457" s="709">
        <v>86882</v>
      </c>
      <c r="C6457" s="710" t="s">
        <v>14322</v>
      </c>
      <c r="D6457" s="709" t="s">
        <v>136</v>
      </c>
      <c r="E6457" s="711">
        <v>0.2155</v>
      </c>
    </row>
    <row r="6458" spans="1:5" x14ac:dyDescent="0.3">
      <c r="A6458" s="397"/>
      <c r="B6458" s="709">
        <v>100861</v>
      </c>
      <c r="C6458" s="710" t="s">
        <v>14323</v>
      </c>
      <c r="D6458" s="709" t="s">
        <v>136</v>
      </c>
      <c r="E6458" s="711">
        <v>0.5071</v>
      </c>
    </row>
    <row r="6459" spans="1:5" x14ac:dyDescent="0.3">
      <c r="A6459" s="397"/>
      <c r="B6459" s="709">
        <v>100862</v>
      </c>
      <c r="C6459" s="710" t="s">
        <v>14324</v>
      </c>
      <c r="D6459" s="709" t="s">
        <v>136</v>
      </c>
      <c r="E6459" s="711">
        <v>0.46860000000000002</v>
      </c>
    </row>
    <row r="6460" spans="1:5" x14ac:dyDescent="0.3">
      <c r="A6460" s="397"/>
      <c r="B6460" s="709">
        <v>86872</v>
      </c>
      <c r="C6460" s="710" t="s">
        <v>14325</v>
      </c>
      <c r="D6460" s="709" t="s">
        <v>136</v>
      </c>
      <c r="E6460" s="711">
        <v>9.11E-2</v>
      </c>
    </row>
    <row r="6461" spans="1:5" x14ac:dyDescent="0.3">
      <c r="A6461" s="397"/>
      <c r="B6461" s="709">
        <v>86919</v>
      </c>
      <c r="C6461" s="710" t="s">
        <v>14326</v>
      </c>
      <c r="D6461" s="709" t="s">
        <v>136</v>
      </c>
      <c r="E6461" s="711">
        <v>8.2500000000000004E-2</v>
      </c>
    </row>
    <row r="6462" spans="1:5" x14ac:dyDescent="0.3">
      <c r="A6462" s="397"/>
      <c r="B6462" s="709">
        <v>86920</v>
      </c>
      <c r="C6462" s="710" t="s">
        <v>14327</v>
      </c>
      <c r="D6462" s="709" t="s">
        <v>136</v>
      </c>
      <c r="E6462" s="711">
        <v>9.3799999999999994E-2</v>
      </c>
    </row>
    <row r="6463" spans="1:5" x14ac:dyDescent="0.3">
      <c r="A6463" s="397"/>
      <c r="B6463" s="709">
        <v>86921</v>
      </c>
      <c r="C6463" s="710" t="s">
        <v>14328</v>
      </c>
      <c r="D6463" s="709" t="s">
        <v>136</v>
      </c>
      <c r="E6463" s="711">
        <v>0.1011</v>
      </c>
    </row>
    <row r="6464" spans="1:5" x14ac:dyDescent="0.3">
      <c r="A6464" s="397"/>
      <c r="B6464" s="709">
        <v>86874</v>
      </c>
      <c r="C6464" s="710" t="s">
        <v>14329</v>
      </c>
      <c r="D6464" s="709" t="s">
        <v>136</v>
      </c>
      <c r="E6464" s="711">
        <v>5.8599999999999999E-2</v>
      </c>
    </row>
    <row r="6465" spans="1:5" x14ac:dyDescent="0.3">
      <c r="A6465" s="397"/>
      <c r="B6465" s="709">
        <v>86922</v>
      </c>
      <c r="C6465" s="710" t="s">
        <v>14330</v>
      </c>
      <c r="D6465" s="709" t="s">
        <v>136</v>
      </c>
      <c r="E6465" s="711">
        <v>5.1299999999999998E-2</v>
      </c>
    </row>
    <row r="6466" spans="1:5" x14ac:dyDescent="0.3">
      <c r="A6466" s="397"/>
      <c r="B6466" s="709">
        <v>86923</v>
      </c>
      <c r="C6466" s="710" t="s">
        <v>14331</v>
      </c>
      <c r="D6466" s="709" t="s">
        <v>136</v>
      </c>
      <c r="E6466" s="711">
        <v>6.9800000000000001E-2</v>
      </c>
    </row>
    <row r="6467" spans="1:5" x14ac:dyDescent="0.3">
      <c r="A6467" s="397"/>
      <c r="B6467" s="709">
        <v>86924</v>
      </c>
      <c r="C6467" s="710" t="s">
        <v>14332</v>
      </c>
      <c r="D6467" s="709" t="s">
        <v>136</v>
      </c>
      <c r="E6467" s="711">
        <v>7.7299999999999994E-2</v>
      </c>
    </row>
    <row r="6468" spans="1:5" x14ac:dyDescent="0.3">
      <c r="A6468" s="397"/>
      <c r="B6468" s="709">
        <v>86875</v>
      </c>
      <c r="C6468" s="710" t="s">
        <v>14333</v>
      </c>
      <c r="D6468" s="709" t="s">
        <v>136</v>
      </c>
      <c r="E6468" s="711">
        <v>7.1099999999999997E-2</v>
      </c>
    </row>
    <row r="6469" spans="1:5" x14ac:dyDescent="0.3">
      <c r="A6469" s="397"/>
      <c r="B6469" s="709">
        <v>86925</v>
      </c>
      <c r="C6469" s="710" t="s">
        <v>14334</v>
      </c>
      <c r="D6469" s="709" t="s">
        <v>136</v>
      </c>
      <c r="E6469" s="711">
        <v>7.7799999999999994E-2</v>
      </c>
    </row>
    <row r="6470" spans="1:5" x14ac:dyDescent="0.3">
      <c r="A6470" s="397"/>
      <c r="B6470" s="709">
        <v>86926</v>
      </c>
      <c r="C6470" s="710" t="s">
        <v>14335</v>
      </c>
      <c r="D6470" s="709" t="s">
        <v>136</v>
      </c>
      <c r="E6470" s="711">
        <v>8.5900000000000004E-2</v>
      </c>
    </row>
    <row r="6471" spans="1:5" x14ac:dyDescent="0.3">
      <c r="A6471" s="397"/>
      <c r="B6471" s="709">
        <v>86876</v>
      </c>
      <c r="C6471" s="710" t="s">
        <v>14336</v>
      </c>
      <c r="D6471" s="709" t="s">
        <v>136</v>
      </c>
      <c r="E6471" s="711">
        <v>9.1600000000000001E-2</v>
      </c>
    </row>
    <row r="6472" spans="1:5" x14ac:dyDescent="0.3">
      <c r="A6472" s="397"/>
      <c r="B6472" s="709">
        <v>86929</v>
      </c>
      <c r="C6472" s="710" t="s">
        <v>14337</v>
      </c>
      <c r="D6472" s="709" t="s">
        <v>136</v>
      </c>
      <c r="E6472" s="711">
        <v>9.69E-2</v>
      </c>
    </row>
    <row r="6473" spans="1:5" x14ac:dyDescent="0.3">
      <c r="A6473" s="397"/>
      <c r="B6473" s="709">
        <v>86930</v>
      </c>
      <c r="C6473" s="710" t="s">
        <v>14338</v>
      </c>
      <c r="D6473" s="709" t="s">
        <v>136</v>
      </c>
      <c r="E6473" s="711">
        <v>0.1137</v>
      </c>
    </row>
    <row r="6474" spans="1:5" x14ac:dyDescent="0.3">
      <c r="A6474" s="397"/>
      <c r="B6474" s="709">
        <v>86927</v>
      </c>
      <c r="C6474" s="710" t="s">
        <v>14339</v>
      </c>
      <c r="D6474" s="709" t="s">
        <v>136</v>
      </c>
      <c r="E6474" s="711">
        <v>9.9299999999999999E-2</v>
      </c>
    </row>
    <row r="6475" spans="1:5" x14ac:dyDescent="0.3">
      <c r="A6475" s="397"/>
      <c r="B6475" s="709">
        <v>86928</v>
      </c>
      <c r="C6475" s="710" t="s">
        <v>14340</v>
      </c>
      <c r="D6475" s="709" t="s">
        <v>136</v>
      </c>
      <c r="E6475" s="711">
        <v>0.11600000000000001</v>
      </c>
    </row>
    <row r="6476" spans="1:5" x14ac:dyDescent="0.3">
      <c r="A6476" s="397"/>
      <c r="B6476" s="709">
        <v>86914</v>
      </c>
      <c r="C6476" s="710" t="s">
        <v>14341</v>
      </c>
      <c r="D6476" s="709" t="s">
        <v>136</v>
      </c>
      <c r="E6476" s="711">
        <v>3.5400000000000001E-2</v>
      </c>
    </row>
    <row r="6477" spans="1:5" x14ac:dyDescent="0.3">
      <c r="A6477" s="397"/>
      <c r="B6477" s="709">
        <v>86913</v>
      </c>
      <c r="C6477" s="710" t="s">
        <v>14342</v>
      </c>
      <c r="D6477" s="709" t="s">
        <v>136</v>
      </c>
      <c r="E6477" s="711">
        <v>6.4299999999999996E-2</v>
      </c>
    </row>
    <row r="6478" spans="1:5" x14ac:dyDescent="0.3">
      <c r="A6478" s="397"/>
      <c r="B6478" s="709">
        <v>106779</v>
      </c>
      <c r="C6478" s="710" t="s">
        <v>14343</v>
      </c>
      <c r="D6478" s="709" t="s">
        <v>136</v>
      </c>
      <c r="E6478" s="711">
        <v>1.32E-2</v>
      </c>
    </row>
    <row r="6479" spans="1:5" x14ac:dyDescent="0.3">
      <c r="A6479" s="397"/>
      <c r="B6479" s="709">
        <v>100854</v>
      </c>
      <c r="C6479" s="710" t="s">
        <v>14344</v>
      </c>
      <c r="D6479" s="709" t="s">
        <v>136</v>
      </c>
      <c r="E6479" s="711">
        <v>5.7999999999999996E-3</v>
      </c>
    </row>
    <row r="6480" spans="1:5" x14ac:dyDescent="0.3">
      <c r="A6480" s="397"/>
      <c r="B6480" s="709">
        <v>100853</v>
      </c>
      <c r="C6480" s="710" t="s">
        <v>14345</v>
      </c>
      <c r="D6480" s="709" t="s">
        <v>136</v>
      </c>
      <c r="E6480" s="711">
        <v>3.0499999999999999E-2</v>
      </c>
    </row>
    <row r="6481" spans="1:5" x14ac:dyDescent="0.3">
      <c r="A6481" s="397"/>
      <c r="B6481" s="709">
        <v>86915</v>
      </c>
      <c r="C6481" s="710" t="s">
        <v>14346</v>
      </c>
      <c r="D6481" s="709" t="s">
        <v>136</v>
      </c>
      <c r="E6481" s="711">
        <v>1.38E-2</v>
      </c>
    </row>
    <row r="6482" spans="1:5" x14ac:dyDescent="0.3">
      <c r="A6482" s="397"/>
      <c r="B6482" s="709">
        <v>86906</v>
      </c>
      <c r="C6482" s="710" t="s">
        <v>14347</v>
      </c>
      <c r="D6482" s="709" t="s">
        <v>136</v>
      </c>
      <c r="E6482" s="711">
        <v>2.6700000000000002E-2</v>
      </c>
    </row>
    <row r="6483" spans="1:5" x14ac:dyDescent="0.3">
      <c r="A6483" s="397"/>
      <c r="B6483" s="709">
        <v>86911</v>
      </c>
      <c r="C6483" s="710" t="s">
        <v>14348</v>
      </c>
      <c r="D6483" s="709" t="s">
        <v>136</v>
      </c>
      <c r="E6483" s="711">
        <v>3.0300000000000001E-2</v>
      </c>
    </row>
    <row r="6484" spans="1:5" x14ac:dyDescent="0.3">
      <c r="A6484" s="397"/>
      <c r="B6484" s="709">
        <v>86909</v>
      </c>
      <c r="C6484" s="710" t="s">
        <v>14349</v>
      </c>
      <c r="D6484" s="709" t="s">
        <v>136</v>
      </c>
      <c r="E6484" s="711">
        <v>2.92E-2</v>
      </c>
    </row>
    <row r="6485" spans="1:5" x14ac:dyDescent="0.3">
      <c r="A6485" s="397"/>
      <c r="B6485" s="709">
        <v>86910</v>
      </c>
      <c r="C6485" s="710" t="s">
        <v>14350</v>
      </c>
      <c r="D6485" s="709" t="s">
        <v>136</v>
      </c>
      <c r="E6485" s="711">
        <v>2.07E-2</v>
      </c>
    </row>
    <row r="6486" spans="1:5" x14ac:dyDescent="0.3">
      <c r="A6486" s="397"/>
      <c r="B6486" s="709">
        <v>86916</v>
      </c>
      <c r="C6486" s="710" t="s">
        <v>14351</v>
      </c>
      <c r="D6486" s="709" t="s">
        <v>136</v>
      </c>
      <c r="E6486" s="711">
        <v>0.23580000000000001</v>
      </c>
    </row>
    <row r="6487" spans="1:5" x14ac:dyDescent="0.3">
      <c r="A6487" s="397"/>
      <c r="B6487" s="709">
        <v>86877</v>
      </c>
      <c r="C6487" s="710" t="s">
        <v>14352</v>
      </c>
      <c r="D6487" s="709" t="s">
        <v>136</v>
      </c>
      <c r="E6487" s="711">
        <v>7.1199999999999999E-2</v>
      </c>
    </row>
    <row r="6488" spans="1:5" x14ac:dyDescent="0.3">
      <c r="A6488" s="397"/>
      <c r="B6488" s="709">
        <v>86878</v>
      </c>
      <c r="C6488" s="710" t="s">
        <v>14353</v>
      </c>
      <c r="D6488" s="709" t="s">
        <v>136</v>
      </c>
      <c r="E6488" s="711">
        <v>6.6000000000000003E-2</v>
      </c>
    </row>
    <row r="6489" spans="1:5" x14ac:dyDescent="0.3">
      <c r="A6489" s="397"/>
      <c r="B6489" s="709">
        <v>86879</v>
      </c>
      <c r="C6489" s="710" t="s">
        <v>14354</v>
      </c>
      <c r="D6489" s="709" t="s">
        <v>136</v>
      </c>
      <c r="E6489" s="711">
        <v>0.40239999999999998</v>
      </c>
    </row>
    <row r="6490" spans="1:5" x14ac:dyDescent="0.3">
      <c r="A6490" s="397"/>
      <c r="B6490" s="709">
        <v>86880</v>
      </c>
      <c r="C6490" s="710" t="s">
        <v>14355</v>
      </c>
      <c r="D6490" s="709" t="s">
        <v>136</v>
      </c>
      <c r="E6490" s="711">
        <v>0.14130000000000001</v>
      </c>
    </row>
    <row r="6491" spans="1:5" x14ac:dyDescent="0.3">
      <c r="A6491" s="397"/>
      <c r="B6491" s="709">
        <v>101663</v>
      </c>
      <c r="C6491" s="710" t="s">
        <v>6372</v>
      </c>
      <c r="D6491" s="709" t="s">
        <v>136</v>
      </c>
      <c r="E6491" s="711">
        <v>0.72699999999999998</v>
      </c>
    </row>
    <row r="6492" spans="1:5" x14ac:dyDescent="0.3">
      <c r="A6492" s="397"/>
      <c r="B6492" s="709">
        <v>101664</v>
      </c>
      <c r="C6492" s="710" t="s">
        <v>6373</v>
      </c>
      <c r="D6492" s="709" t="s">
        <v>136</v>
      </c>
      <c r="E6492" s="711">
        <v>0.69930000000000003</v>
      </c>
    </row>
    <row r="6493" spans="1:5" x14ac:dyDescent="0.3">
      <c r="A6493" s="397"/>
      <c r="B6493" s="709">
        <v>101665</v>
      </c>
      <c r="C6493" s="710" t="s">
        <v>6374</v>
      </c>
      <c r="D6493" s="709" t="s">
        <v>136</v>
      </c>
      <c r="E6493" s="711">
        <v>0.60040000000000004</v>
      </c>
    </row>
    <row r="6494" spans="1:5" x14ac:dyDescent="0.3">
      <c r="A6494" s="397"/>
      <c r="B6494" s="709">
        <v>101636</v>
      </c>
      <c r="C6494" s="710" t="s">
        <v>6377</v>
      </c>
      <c r="D6494" s="709" t="s">
        <v>136</v>
      </c>
      <c r="E6494" s="711">
        <v>0.29549999999999998</v>
      </c>
    </row>
    <row r="6495" spans="1:5" x14ac:dyDescent="0.3">
      <c r="A6495" s="397"/>
      <c r="B6495" s="709">
        <v>101637</v>
      </c>
      <c r="C6495" s="710" t="s">
        <v>6378</v>
      </c>
      <c r="D6495" s="709" t="s">
        <v>136</v>
      </c>
      <c r="E6495" s="711">
        <v>0.30869999999999997</v>
      </c>
    </row>
    <row r="6496" spans="1:5" x14ac:dyDescent="0.3">
      <c r="A6496" s="397"/>
      <c r="B6496" s="709">
        <v>101658</v>
      </c>
      <c r="C6496" s="710" t="s">
        <v>6382</v>
      </c>
      <c r="D6496" s="709" t="s">
        <v>136</v>
      </c>
      <c r="E6496" s="711">
        <v>4.6600000000000003E-2</v>
      </c>
    </row>
    <row r="6497" spans="1:5" x14ac:dyDescent="0.3">
      <c r="A6497" s="397"/>
      <c r="B6497" s="709">
        <v>101659</v>
      </c>
      <c r="C6497" s="710" t="s">
        <v>6383</v>
      </c>
      <c r="D6497" s="709" t="s">
        <v>136</v>
      </c>
      <c r="E6497" s="711">
        <v>4.1099999999999998E-2</v>
      </c>
    </row>
    <row r="6498" spans="1:5" x14ac:dyDescent="0.3">
      <c r="A6498" s="397"/>
      <c r="B6498" s="709">
        <v>101660</v>
      </c>
      <c r="C6498" s="710" t="s">
        <v>6384</v>
      </c>
      <c r="D6498" s="709" t="s">
        <v>136</v>
      </c>
      <c r="E6498" s="711">
        <v>2.64E-2</v>
      </c>
    </row>
    <row r="6499" spans="1:5" x14ac:dyDescent="0.3">
      <c r="A6499" s="397"/>
      <c r="B6499" s="709">
        <v>101654</v>
      </c>
      <c r="C6499" s="710" t="s">
        <v>6385</v>
      </c>
      <c r="D6499" s="709" t="s">
        <v>136</v>
      </c>
      <c r="E6499" s="711">
        <v>0.1104</v>
      </c>
    </row>
    <row r="6500" spans="1:5" x14ac:dyDescent="0.3">
      <c r="A6500" s="397"/>
      <c r="B6500" s="709">
        <v>101655</v>
      </c>
      <c r="C6500" s="710" t="s">
        <v>6386</v>
      </c>
      <c r="D6500" s="709" t="s">
        <v>136</v>
      </c>
      <c r="E6500" s="711">
        <v>7.3700000000000002E-2</v>
      </c>
    </row>
    <row r="6501" spans="1:5" x14ac:dyDescent="0.3">
      <c r="A6501" s="397"/>
      <c r="B6501" s="709">
        <v>101656</v>
      </c>
      <c r="C6501" s="710" t="s">
        <v>6387</v>
      </c>
      <c r="D6501" s="709" t="s">
        <v>136</v>
      </c>
      <c r="E6501" s="711">
        <v>6.8400000000000002E-2</v>
      </c>
    </row>
    <row r="6502" spans="1:5" x14ac:dyDescent="0.3">
      <c r="A6502" s="397"/>
      <c r="B6502" s="709">
        <v>101657</v>
      </c>
      <c r="C6502" s="710" t="s">
        <v>6388</v>
      </c>
      <c r="D6502" s="709" t="s">
        <v>136</v>
      </c>
      <c r="E6502" s="711">
        <v>5.9299999999999999E-2</v>
      </c>
    </row>
    <row r="6503" spans="1:5" x14ac:dyDescent="0.3">
      <c r="A6503" s="397"/>
      <c r="B6503" s="709">
        <v>101632</v>
      </c>
      <c r="C6503" s="710" t="s">
        <v>6393</v>
      </c>
      <c r="D6503" s="709" t="s">
        <v>136</v>
      </c>
      <c r="E6503" s="711">
        <v>3.0499999999999999E-2</v>
      </c>
    </row>
    <row r="6504" spans="1:5" x14ac:dyDescent="0.3">
      <c r="A6504" s="397"/>
      <c r="B6504" s="709">
        <v>101661</v>
      </c>
      <c r="C6504" s="710" t="s">
        <v>6394</v>
      </c>
      <c r="D6504" s="709" t="s">
        <v>136</v>
      </c>
      <c r="E6504" s="711">
        <v>0.59009999999999996</v>
      </c>
    </row>
    <row r="6505" spans="1:5" x14ac:dyDescent="0.3">
      <c r="A6505" s="397"/>
      <c r="B6505" s="709">
        <v>105924</v>
      </c>
      <c r="C6505" s="710" t="s">
        <v>6395</v>
      </c>
      <c r="D6505" s="709" t="s">
        <v>136</v>
      </c>
      <c r="E6505" s="711">
        <v>0.98140000000000005</v>
      </c>
    </row>
    <row r="6506" spans="1:5" x14ac:dyDescent="0.3">
      <c r="A6506" s="397"/>
      <c r="B6506" s="709">
        <v>101651</v>
      </c>
      <c r="C6506" s="710" t="s">
        <v>6396</v>
      </c>
      <c r="D6506" s="709" t="s">
        <v>136</v>
      </c>
      <c r="E6506" s="711">
        <v>0.1686</v>
      </c>
    </row>
    <row r="6507" spans="1:5" x14ac:dyDescent="0.3">
      <c r="A6507" s="397"/>
      <c r="B6507" s="709">
        <v>101630</v>
      </c>
      <c r="C6507" s="710" t="s">
        <v>6397</v>
      </c>
      <c r="D6507" s="709" t="s">
        <v>136</v>
      </c>
      <c r="E6507" s="711">
        <v>0.28789999999999999</v>
      </c>
    </row>
    <row r="6508" spans="1:5" x14ac:dyDescent="0.3">
      <c r="A6508" s="397"/>
      <c r="B6508" s="709">
        <v>101633</v>
      </c>
      <c r="C6508" s="710" t="s">
        <v>6398</v>
      </c>
      <c r="D6508" s="709" t="s">
        <v>136</v>
      </c>
      <c r="E6508" s="711">
        <v>0.1033</v>
      </c>
    </row>
    <row r="6509" spans="1:5" x14ac:dyDescent="0.3">
      <c r="A6509" s="397"/>
      <c r="B6509" s="709">
        <v>104219</v>
      </c>
      <c r="C6509" s="710" t="s">
        <v>6399</v>
      </c>
      <c r="D6509" s="709" t="s">
        <v>168</v>
      </c>
      <c r="E6509" s="711">
        <v>0.39400000000000002</v>
      </c>
    </row>
    <row r="6510" spans="1:5" x14ac:dyDescent="0.3">
      <c r="A6510" s="397"/>
      <c r="B6510" s="709">
        <v>104223</v>
      </c>
      <c r="C6510" s="710" t="s">
        <v>6400</v>
      </c>
      <c r="D6510" s="709" t="s">
        <v>168</v>
      </c>
      <c r="E6510" s="711">
        <v>0.3871</v>
      </c>
    </row>
    <row r="6511" spans="1:5" x14ac:dyDescent="0.3">
      <c r="A6511" s="397"/>
      <c r="B6511" s="709">
        <v>104227</v>
      </c>
      <c r="C6511" s="710" t="s">
        <v>6401</v>
      </c>
      <c r="D6511" s="709" t="s">
        <v>168</v>
      </c>
      <c r="E6511" s="711">
        <v>0.34339999999999998</v>
      </c>
    </row>
    <row r="6512" spans="1:5" x14ac:dyDescent="0.3">
      <c r="A6512" s="397"/>
      <c r="B6512" s="709">
        <v>104231</v>
      </c>
      <c r="C6512" s="710" t="s">
        <v>6402</v>
      </c>
      <c r="D6512" s="709" t="s">
        <v>168</v>
      </c>
      <c r="E6512" s="711">
        <v>0.34639999999999999</v>
      </c>
    </row>
    <row r="6513" spans="1:5" x14ac:dyDescent="0.3">
      <c r="A6513" s="397"/>
      <c r="B6513" s="709">
        <v>104235</v>
      </c>
      <c r="C6513" s="710" t="s">
        <v>6403</v>
      </c>
      <c r="D6513" s="709" t="s">
        <v>168</v>
      </c>
      <c r="E6513" s="711">
        <v>0.30649999999999999</v>
      </c>
    </row>
    <row r="6514" spans="1:5" x14ac:dyDescent="0.3">
      <c r="A6514" s="397"/>
      <c r="B6514" s="709">
        <v>104239</v>
      </c>
      <c r="C6514" s="710" t="s">
        <v>6404</v>
      </c>
      <c r="D6514" s="709" t="s">
        <v>168</v>
      </c>
      <c r="E6514" s="711">
        <v>0.32590000000000002</v>
      </c>
    </row>
    <row r="6515" spans="1:5" x14ac:dyDescent="0.3">
      <c r="A6515" s="397"/>
      <c r="B6515" s="709">
        <v>104243</v>
      </c>
      <c r="C6515" s="710" t="s">
        <v>6405</v>
      </c>
      <c r="D6515" s="709" t="s">
        <v>168</v>
      </c>
      <c r="E6515" s="711">
        <v>0.28789999999999999</v>
      </c>
    </row>
    <row r="6516" spans="1:5" x14ac:dyDescent="0.3">
      <c r="A6516" s="397"/>
      <c r="B6516" s="709">
        <v>104247</v>
      </c>
      <c r="C6516" s="710" t="s">
        <v>6406</v>
      </c>
      <c r="D6516" s="709" t="s">
        <v>168</v>
      </c>
      <c r="E6516" s="711">
        <v>0.26900000000000002</v>
      </c>
    </row>
    <row r="6517" spans="1:5" x14ac:dyDescent="0.3">
      <c r="A6517" s="397"/>
      <c r="B6517" s="709">
        <v>87795</v>
      </c>
      <c r="C6517" s="710" t="s">
        <v>6407</v>
      </c>
      <c r="D6517" s="709" t="s">
        <v>168</v>
      </c>
      <c r="E6517" s="711">
        <v>0.32879999999999998</v>
      </c>
    </row>
    <row r="6518" spans="1:5" x14ac:dyDescent="0.3">
      <c r="A6518" s="397"/>
      <c r="B6518" s="709">
        <v>87800</v>
      </c>
      <c r="C6518" s="710" t="s">
        <v>6408</v>
      </c>
      <c r="D6518" s="709" t="s">
        <v>168</v>
      </c>
      <c r="E6518" s="711">
        <v>0.3488</v>
      </c>
    </row>
    <row r="6519" spans="1:5" x14ac:dyDescent="0.3">
      <c r="A6519" s="397"/>
      <c r="B6519" s="709">
        <v>87804</v>
      </c>
      <c r="C6519" s="710" t="s">
        <v>6409</v>
      </c>
      <c r="D6519" s="709" t="s">
        <v>168</v>
      </c>
      <c r="E6519" s="711">
        <v>0.30859999999999999</v>
      </c>
    </row>
    <row r="6520" spans="1:5" x14ac:dyDescent="0.3">
      <c r="A6520" s="397"/>
      <c r="B6520" s="709">
        <v>87808</v>
      </c>
      <c r="C6520" s="710" t="s">
        <v>6410</v>
      </c>
      <c r="D6520" s="709" t="s">
        <v>168</v>
      </c>
      <c r="E6520" s="711">
        <v>0.28820000000000001</v>
      </c>
    </row>
    <row r="6521" spans="1:5" x14ac:dyDescent="0.3">
      <c r="A6521" s="397"/>
      <c r="B6521" s="709">
        <v>87778</v>
      </c>
      <c r="C6521" s="710" t="s">
        <v>6411</v>
      </c>
      <c r="D6521" s="709" t="s">
        <v>168</v>
      </c>
      <c r="E6521" s="711">
        <v>0.41980000000000001</v>
      </c>
    </row>
    <row r="6522" spans="1:5" x14ac:dyDescent="0.3">
      <c r="A6522" s="397"/>
      <c r="B6522" s="709">
        <v>87783</v>
      </c>
      <c r="C6522" s="710" t="s">
        <v>6412</v>
      </c>
      <c r="D6522" s="709" t="s">
        <v>168</v>
      </c>
      <c r="E6522" s="711">
        <v>0.41310000000000002</v>
      </c>
    </row>
    <row r="6523" spans="1:5" x14ac:dyDescent="0.3">
      <c r="A6523" s="397"/>
      <c r="B6523" s="709">
        <v>87787</v>
      </c>
      <c r="C6523" s="710" t="s">
        <v>6413</v>
      </c>
      <c r="D6523" s="709" t="s">
        <v>168</v>
      </c>
      <c r="E6523" s="711">
        <v>0.36749999999999999</v>
      </c>
    </row>
    <row r="6524" spans="1:5" x14ac:dyDescent="0.3">
      <c r="A6524" s="397"/>
      <c r="B6524" s="709">
        <v>87791</v>
      </c>
      <c r="C6524" s="710" t="s">
        <v>6414</v>
      </c>
      <c r="D6524" s="709" t="s">
        <v>168</v>
      </c>
      <c r="E6524" s="711">
        <v>0.37030000000000002</v>
      </c>
    </row>
    <row r="6525" spans="1:5" x14ac:dyDescent="0.3">
      <c r="A6525" s="397"/>
      <c r="B6525" s="709">
        <v>87832</v>
      </c>
      <c r="C6525" s="710" t="s">
        <v>6415</v>
      </c>
      <c r="D6525" s="709" t="s">
        <v>168</v>
      </c>
      <c r="E6525" s="711">
        <v>0.4637</v>
      </c>
    </row>
    <row r="6526" spans="1:5" x14ac:dyDescent="0.3">
      <c r="A6526" s="397"/>
      <c r="B6526" s="709">
        <v>87812</v>
      </c>
      <c r="C6526" s="710" t="s">
        <v>6416</v>
      </c>
      <c r="D6526" s="709" t="s">
        <v>168</v>
      </c>
      <c r="E6526" s="711">
        <v>0.58040000000000003</v>
      </c>
    </row>
    <row r="6527" spans="1:5" x14ac:dyDescent="0.3">
      <c r="A6527" s="397"/>
      <c r="B6527" s="709">
        <v>87816</v>
      </c>
      <c r="C6527" s="710" t="s">
        <v>6417</v>
      </c>
      <c r="D6527" s="709" t="s">
        <v>168</v>
      </c>
      <c r="E6527" s="711">
        <v>0.5464</v>
      </c>
    </row>
    <row r="6528" spans="1:5" x14ac:dyDescent="0.3">
      <c r="A6528" s="397"/>
      <c r="B6528" s="709">
        <v>87820</v>
      </c>
      <c r="C6528" s="710" t="s">
        <v>6418</v>
      </c>
      <c r="D6528" s="709" t="s">
        <v>168</v>
      </c>
      <c r="E6528" s="711">
        <v>0.49409999999999998</v>
      </c>
    </row>
    <row r="6529" spans="1:5" x14ac:dyDescent="0.3">
      <c r="A6529" s="397"/>
      <c r="B6529" s="709">
        <v>87824</v>
      </c>
      <c r="C6529" s="710" t="s">
        <v>6419</v>
      </c>
      <c r="D6529" s="709" t="s">
        <v>168</v>
      </c>
      <c r="E6529" s="711">
        <v>0.52010000000000001</v>
      </c>
    </row>
    <row r="6530" spans="1:5" x14ac:dyDescent="0.3">
      <c r="A6530" s="397"/>
      <c r="B6530" s="709">
        <v>87828</v>
      </c>
      <c r="C6530" s="710" t="s">
        <v>6420</v>
      </c>
      <c r="D6530" s="709" t="s">
        <v>168</v>
      </c>
      <c r="E6530" s="711">
        <v>0.49719999999999998</v>
      </c>
    </row>
    <row r="6531" spans="1:5" x14ac:dyDescent="0.3">
      <c r="A6531" s="397"/>
      <c r="B6531" s="709">
        <v>104251</v>
      </c>
      <c r="C6531" s="710" t="s">
        <v>6421</v>
      </c>
      <c r="D6531" s="709" t="s">
        <v>168</v>
      </c>
      <c r="E6531" s="711">
        <v>0.55249999999999999</v>
      </c>
    </row>
    <row r="6532" spans="1:5" x14ac:dyDescent="0.3">
      <c r="A6532" s="397"/>
      <c r="B6532" s="709">
        <v>104255</v>
      </c>
      <c r="C6532" s="710" t="s">
        <v>6422</v>
      </c>
      <c r="D6532" s="709" t="s">
        <v>168</v>
      </c>
      <c r="E6532" s="711">
        <v>0.51839999999999997</v>
      </c>
    </row>
    <row r="6533" spans="1:5" x14ac:dyDescent="0.3">
      <c r="A6533" s="397"/>
      <c r="B6533" s="709">
        <v>104259</v>
      </c>
      <c r="C6533" s="710" t="s">
        <v>6423</v>
      </c>
      <c r="D6533" s="709" t="s">
        <v>168</v>
      </c>
      <c r="E6533" s="711">
        <v>0.46639999999999998</v>
      </c>
    </row>
    <row r="6534" spans="1:5" x14ac:dyDescent="0.3">
      <c r="A6534" s="397"/>
      <c r="B6534" s="709">
        <v>104263</v>
      </c>
      <c r="C6534" s="710" t="s">
        <v>6424</v>
      </c>
      <c r="D6534" s="709" t="s">
        <v>168</v>
      </c>
      <c r="E6534" s="711">
        <v>0.49220000000000003</v>
      </c>
    </row>
    <row r="6535" spans="1:5" x14ac:dyDescent="0.3">
      <c r="A6535" s="397"/>
      <c r="B6535" s="709">
        <v>87794</v>
      </c>
      <c r="C6535" s="710" t="s">
        <v>6425</v>
      </c>
      <c r="D6535" s="709" t="s">
        <v>168</v>
      </c>
      <c r="E6535" s="711">
        <v>0.65769999999999995</v>
      </c>
    </row>
    <row r="6536" spans="1:5" x14ac:dyDescent="0.3">
      <c r="A6536" s="397"/>
      <c r="B6536" s="709">
        <v>87799</v>
      </c>
      <c r="C6536" s="710" t="s">
        <v>6426</v>
      </c>
      <c r="D6536" s="709" t="s">
        <v>168</v>
      </c>
      <c r="E6536" s="711">
        <v>0.68179999999999996</v>
      </c>
    </row>
    <row r="6537" spans="1:5" x14ac:dyDescent="0.3">
      <c r="A6537" s="397"/>
      <c r="B6537" s="709">
        <v>87803</v>
      </c>
      <c r="C6537" s="710" t="s">
        <v>6427</v>
      </c>
      <c r="D6537" s="709" t="s">
        <v>168</v>
      </c>
      <c r="E6537" s="711">
        <v>0.65190000000000003</v>
      </c>
    </row>
    <row r="6538" spans="1:5" x14ac:dyDescent="0.3">
      <c r="A6538" s="397"/>
      <c r="B6538" s="709">
        <v>87807</v>
      </c>
      <c r="C6538" s="710" t="s">
        <v>6428</v>
      </c>
      <c r="D6538" s="709" t="s">
        <v>168</v>
      </c>
      <c r="E6538" s="711">
        <v>0.65290000000000004</v>
      </c>
    </row>
    <row r="6539" spans="1:5" x14ac:dyDescent="0.3">
      <c r="A6539" s="397"/>
      <c r="B6539" s="709">
        <v>104218</v>
      </c>
      <c r="C6539" s="710" t="s">
        <v>6429</v>
      </c>
      <c r="D6539" s="709" t="s">
        <v>168</v>
      </c>
      <c r="E6539" s="711">
        <v>0.71509999999999996</v>
      </c>
    </row>
    <row r="6540" spans="1:5" x14ac:dyDescent="0.3">
      <c r="A6540" s="397"/>
      <c r="B6540" s="709">
        <v>87777</v>
      </c>
      <c r="C6540" s="710" t="s">
        <v>6430</v>
      </c>
      <c r="D6540" s="709" t="s">
        <v>168</v>
      </c>
      <c r="E6540" s="711">
        <v>0.73429999999999995</v>
      </c>
    </row>
    <row r="6541" spans="1:5" x14ac:dyDescent="0.3">
      <c r="A6541" s="397"/>
      <c r="B6541" s="709">
        <v>104222</v>
      </c>
      <c r="C6541" s="710" t="s">
        <v>6431</v>
      </c>
      <c r="D6541" s="709" t="s">
        <v>168</v>
      </c>
      <c r="E6541" s="711">
        <v>0.71540000000000004</v>
      </c>
    </row>
    <row r="6542" spans="1:5" x14ac:dyDescent="0.3">
      <c r="A6542" s="397"/>
      <c r="B6542" s="709">
        <v>87781</v>
      </c>
      <c r="C6542" s="710" t="s">
        <v>6432</v>
      </c>
      <c r="D6542" s="709" t="s">
        <v>168</v>
      </c>
      <c r="E6542" s="711">
        <v>0.73440000000000005</v>
      </c>
    </row>
    <row r="6543" spans="1:5" x14ac:dyDescent="0.3">
      <c r="A6543" s="397"/>
      <c r="B6543" s="709">
        <v>104226</v>
      </c>
      <c r="C6543" s="710" t="s">
        <v>6433</v>
      </c>
      <c r="D6543" s="709" t="s">
        <v>168</v>
      </c>
      <c r="E6543" s="711">
        <v>0.6845</v>
      </c>
    </row>
    <row r="6544" spans="1:5" x14ac:dyDescent="0.3">
      <c r="A6544" s="397"/>
      <c r="B6544" s="709">
        <v>87786</v>
      </c>
      <c r="C6544" s="710" t="s">
        <v>6434</v>
      </c>
      <c r="D6544" s="709" t="s">
        <v>168</v>
      </c>
      <c r="E6544" s="711">
        <v>0.70369999999999999</v>
      </c>
    </row>
    <row r="6545" spans="1:5" x14ac:dyDescent="0.3">
      <c r="A6545" s="397"/>
      <c r="B6545" s="709">
        <v>104230</v>
      </c>
      <c r="C6545" s="710" t="s">
        <v>6435</v>
      </c>
      <c r="D6545" s="709" t="s">
        <v>168</v>
      </c>
      <c r="E6545" s="711">
        <v>0.70609999999999995</v>
      </c>
    </row>
    <row r="6546" spans="1:5" x14ac:dyDescent="0.3">
      <c r="A6546" s="397"/>
      <c r="B6546" s="709">
        <v>104234</v>
      </c>
      <c r="C6546" s="710" t="s">
        <v>6436</v>
      </c>
      <c r="D6546" s="709" t="s">
        <v>168</v>
      </c>
      <c r="E6546" s="711">
        <v>0.63849999999999996</v>
      </c>
    </row>
    <row r="6547" spans="1:5" x14ac:dyDescent="0.3">
      <c r="A6547" s="397"/>
      <c r="B6547" s="709">
        <v>104238</v>
      </c>
      <c r="C6547" s="710" t="s">
        <v>6437</v>
      </c>
      <c r="D6547" s="709" t="s">
        <v>168</v>
      </c>
      <c r="E6547" s="711">
        <v>0.66269999999999996</v>
      </c>
    </row>
    <row r="6548" spans="1:5" x14ac:dyDescent="0.3">
      <c r="A6548" s="397"/>
      <c r="B6548" s="709">
        <v>104242</v>
      </c>
      <c r="C6548" s="710" t="s">
        <v>6438</v>
      </c>
      <c r="D6548" s="709" t="s">
        <v>168</v>
      </c>
      <c r="E6548" s="711">
        <v>0.63329999999999997</v>
      </c>
    </row>
    <row r="6549" spans="1:5" x14ac:dyDescent="0.3">
      <c r="A6549" s="397"/>
      <c r="B6549" s="709">
        <v>104246</v>
      </c>
      <c r="C6549" s="710" t="s">
        <v>6439</v>
      </c>
      <c r="D6549" s="709" t="s">
        <v>168</v>
      </c>
      <c r="E6549" s="711">
        <v>0.6341</v>
      </c>
    </row>
    <row r="6550" spans="1:5" x14ac:dyDescent="0.3">
      <c r="A6550" s="397"/>
      <c r="B6550" s="709">
        <v>104250</v>
      </c>
      <c r="C6550" s="710" t="s">
        <v>6440</v>
      </c>
      <c r="D6550" s="709" t="s">
        <v>168</v>
      </c>
      <c r="E6550" s="711">
        <v>0.83399999999999996</v>
      </c>
    </row>
    <row r="6551" spans="1:5" x14ac:dyDescent="0.3">
      <c r="A6551" s="397"/>
      <c r="B6551" s="709">
        <v>87811</v>
      </c>
      <c r="C6551" s="710" t="s">
        <v>6441</v>
      </c>
      <c r="D6551" s="709" t="s">
        <v>168</v>
      </c>
      <c r="E6551" s="711">
        <v>0.84830000000000005</v>
      </c>
    </row>
    <row r="6552" spans="1:5" x14ac:dyDescent="0.3">
      <c r="A6552" s="397"/>
      <c r="B6552" s="709">
        <v>104254</v>
      </c>
      <c r="C6552" s="710" t="s">
        <v>6442</v>
      </c>
      <c r="D6552" s="709" t="s">
        <v>168</v>
      </c>
      <c r="E6552" s="711">
        <v>0.81559999999999999</v>
      </c>
    </row>
    <row r="6553" spans="1:5" x14ac:dyDescent="0.3">
      <c r="A6553" s="397"/>
      <c r="B6553" s="709">
        <v>87815</v>
      </c>
      <c r="C6553" s="710" t="s">
        <v>6443</v>
      </c>
      <c r="D6553" s="709" t="s">
        <v>168</v>
      </c>
      <c r="E6553" s="711">
        <v>0.83089999999999997</v>
      </c>
    </row>
    <row r="6554" spans="1:5" x14ac:dyDescent="0.3">
      <c r="A6554" s="397"/>
      <c r="B6554" s="709">
        <v>104258</v>
      </c>
      <c r="C6554" s="710" t="s">
        <v>6444</v>
      </c>
      <c r="D6554" s="709" t="s">
        <v>168</v>
      </c>
      <c r="E6554" s="711">
        <v>0.78520000000000001</v>
      </c>
    </row>
    <row r="6555" spans="1:5" x14ac:dyDescent="0.3">
      <c r="A6555" s="397"/>
      <c r="B6555" s="709">
        <v>87819</v>
      </c>
      <c r="C6555" s="710" t="s">
        <v>6445</v>
      </c>
      <c r="D6555" s="709" t="s">
        <v>168</v>
      </c>
      <c r="E6555" s="711">
        <v>0.80189999999999995</v>
      </c>
    </row>
    <row r="6556" spans="1:5" x14ac:dyDescent="0.3">
      <c r="A6556" s="397"/>
      <c r="B6556" s="709">
        <v>104262</v>
      </c>
      <c r="C6556" s="710" t="s">
        <v>6446</v>
      </c>
      <c r="D6556" s="709" t="s">
        <v>168</v>
      </c>
      <c r="E6556" s="711">
        <v>0.81579999999999997</v>
      </c>
    </row>
    <row r="6557" spans="1:5" x14ac:dyDescent="0.3">
      <c r="A6557" s="397"/>
      <c r="B6557" s="709">
        <v>87823</v>
      </c>
      <c r="C6557" s="710" t="s">
        <v>6447</v>
      </c>
      <c r="D6557" s="709" t="s">
        <v>168</v>
      </c>
      <c r="E6557" s="711">
        <v>0.83089999999999997</v>
      </c>
    </row>
    <row r="6558" spans="1:5" x14ac:dyDescent="0.3">
      <c r="A6558" s="397"/>
      <c r="B6558" s="709">
        <v>87827</v>
      </c>
      <c r="C6558" s="710" t="s">
        <v>6448</v>
      </c>
      <c r="D6558" s="709" t="s">
        <v>168</v>
      </c>
      <c r="E6558" s="711">
        <v>0.80349999999999999</v>
      </c>
    </row>
    <row r="6559" spans="1:5" x14ac:dyDescent="0.3">
      <c r="A6559" s="397"/>
      <c r="B6559" s="709">
        <v>87831</v>
      </c>
      <c r="C6559" s="710" t="s">
        <v>6449</v>
      </c>
      <c r="D6559" s="709" t="s">
        <v>168</v>
      </c>
      <c r="E6559" s="711">
        <v>0.78359999999999996</v>
      </c>
    </row>
    <row r="6560" spans="1:5" x14ac:dyDescent="0.3">
      <c r="A6560" s="397"/>
      <c r="B6560" s="709">
        <v>104220</v>
      </c>
      <c r="C6560" s="710" t="s">
        <v>6450</v>
      </c>
      <c r="D6560" s="709" t="s">
        <v>168</v>
      </c>
      <c r="E6560" s="711">
        <v>0.59219999999999995</v>
      </c>
    </row>
    <row r="6561" spans="1:5" x14ac:dyDescent="0.3">
      <c r="A6561" s="397"/>
      <c r="B6561" s="709">
        <v>104203</v>
      </c>
      <c r="C6561" s="710" t="s">
        <v>6451</v>
      </c>
      <c r="D6561" s="709" t="s">
        <v>168</v>
      </c>
      <c r="E6561" s="711">
        <v>0.61140000000000005</v>
      </c>
    </row>
    <row r="6562" spans="1:5" x14ac:dyDescent="0.3">
      <c r="A6562" s="397"/>
      <c r="B6562" s="709">
        <v>104224</v>
      </c>
      <c r="C6562" s="710" t="s">
        <v>6452</v>
      </c>
      <c r="D6562" s="709" t="s">
        <v>168</v>
      </c>
      <c r="E6562" s="711">
        <v>0.59030000000000005</v>
      </c>
    </row>
    <row r="6563" spans="1:5" x14ac:dyDescent="0.3">
      <c r="A6563" s="397"/>
      <c r="B6563" s="709">
        <v>104204</v>
      </c>
      <c r="C6563" s="710" t="s">
        <v>6453</v>
      </c>
      <c r="D6563" s="709" t="s">
        <v>168</v>
      </c>
      <c r="E6563" s="711">
        <v>0.60980000000000001</v>
      </c>
    </row>
    <row r="6564" spans="1:5" x14ac:dyDescent="0.3">
      <c r="A6564" s="397"/>
      <c r="B6564" s="709">
        <v>104228</v>
      </c>
      <c r="C6564" s="710" t="s">
        <v>6454</v>
      </c>
      <c r="D6564" s="709" t="s">
        <v>168</v>
      </c>
      <c r="E6564" s="711">
        <v>0.55669999999999997</v>
      </c>
    </row>
    <row r="6565" spans="1:5" x14ac:dyDescent="0.3">
      <c r="A6565" s="397"/>
      <c r="B6565" s="709">
        <v>104205</v>
      </c>
      <c r="C6565" s="710" t="s">
        <v>6455</v>
      </c>
      <c r="D6565" s="709" t="s">
        <v>168</v>
      </c>
      <c r="E6565" s="711">
        <v>0.57669999999999999</v>
      </c>
    </row>
    <row r="6566" spans="1:5" x14ac:dyDescent="0.3">
      <c r="A6566" s="397"/>
      <c r="B6566" s="709">
        <v>104232</v>
      </c>
      <c r="C6566" s="710" t="s">
        <v>6456</v>
      </c>
      <c r="D6566" s="709" t="s">
        <v>168</v>
      </c>
      <c r="E6566" s="711">
        <v>0.56010000000000004</v>
      </c>
    </row>
    <row r="6567" spans="1:5" x14ac:dyDescent="0.3">
      <c r="A6567" s="397"/>
      <c r="B6567" s="709">
        <v>104206</v>
      </c>
      <c r="C6567" s="710" t="s">
        <v>6457</v>
      </c>
      <c r="D6567" s="709" t="s">
        <v>168</v>
      </c>
      <c r="E6567" s="711">
        <v>0.57989999999999997</v>
      </c>
    </row>
    <row r="6568" spans="1:5" x14ac:dyDescent="0.3">
      <c r="A6568" s="397"/>
      <c r="B6568" s="709">
        <v>104236</v>
      </c>
      <c r="C6568" s="710" t="s">
        <v>6458</v>
      </c>
      <c r="D6568" s="709" t="s">
        <v>168</v>
      </c>
      <c r="E6568" s="711">
        <v>0.51190000000000002</v>
      </c>
    </row>
    <row r="6569" spans="1:5" x14ac:dyDescent="0.3">
      <c r="A6569" s="397"/>
      <c r="B6569" s="709">
        <v>104207</v>
      </c>
      <c r="C6569" s="710" t="s">
        <v>6459</v>
      </c>
      <c r="D6569" s="709" t="s">
        <v>168</v>
      </c>
      <c r="E6569" s="711">
        <v>0.53269999999999995</v>
      </c>
    </row>
    <row r="6570" spans="1:5" x14ac:dyDescent="0.3">
      <c r="A6570" s="397"/>
      <c r="B6570" s="709">
        <v>104240</v>
      </c>
      <c r="C6570" s="710" t="s">
        <v>6460</v>
      </c>
      <c r="D6570" s="709" t="s">
        <v>168</v>
      </c>
      <c r="E6570" s="711">
        <v>0.53449999999999998</v>
      </c>
    </row>
    <row r="6571" spans="1:5" x14ac:dyDescent="0.3">
      <c r="A6571" s="397"/>
      <c r="B6571" s="709">
        <v>104208</v>
      </c>
      <c r="C6571" s="710" t="s">
        <v>6461</v>
      </c>
      <c r="D6571" s="709" t="s">
        <v>168</v>
      </c>
      <c r="E6571" s="711">
        <v>0.55469999999999997</v>
      </c>
    </row>
    <row r="6572" spans="1:5" x14ac:dyDescent="0.3">
      <c r="A6572" s="397"/>
      <c r="B6572" s="709">
        <v>104244</v>
      </c>
      <c r="C6572" s="710" t="s">
        <v>6462</v>
      </c>
      <c r="D6572" s="709" t="s">
        <v>168</v>
      </c>
      <c r="E6572" s="711">
        <v>0.50119999999999998</v>
      </c>
    </row>
    <row r="6573" spans="1:5" x14ac:dyDescent="0.3">
      <c r="A6573" s="397"/>
      <c r="B6573" s="709">
        <v>104209</v>
      </c>
      <c r="C6573" s="710" t="s">
        <v>6463</v>
      </c>
      <c r="D6573" s="709" t="s">
        <v>168</v>
      </c>
      <c r="E6573" s="711">
        <v>0.52129999999999999</v>
      </c>
    </row>
    <row r="6574" spans="1:5" x14ac:dyDescent="0.3">
      <c r="A6574" s="397"/>
      <c r="B6574" s="709">
        <v>104248</v>
      </c>
      <c r="C6574" s="710" t="s">
        <v>6464</v>
      </c>
      <c r="D6574" s="709" t="s">
        <v>168</v>
      </c>
      <c r="E6574" s="711">
        <v>0.48259999999999997</v>
      </c>
    </row>
    <row r="6575" spans="1:5" x14ac:dyDescent="0.3">
      <c r="A6575" s="397"/>
      <c r="B6575" s="709">
        <v>104210</v>
      </c>
      <c r="C6575" s="710" t="s">
        <v>6465</v>
      </c>
      <c r="D6575" s="709" t="s">
        <v>168</v>
      </c>
      <c r="E6575" s="711">
        <v>0.50239999999999996</v>
      </c>
    </row>
    <row r="6576" spans="1:5" x14ac:dyDescent="0.3">
      <c r="A6576" s="397"/>
      <c r="B6576" s="709">
        <v>104252</v>
      </c>
      <c r="C6576" s="710" t="s">
        <v>6466</v>
      </c>
      <c r="D6576" s="709" t="s">
        <v>168</v>
      </c>
      <c r="E6576" s="711">
        <v>0.70650000000000002</v>
      </c>
    </row>
    <row r="6577" spans="1:5" x14ac:dyDescent="0.3">
      <c r="A6577" s="397"/>
      <c r="B6577" s="709">
        <v>104211</v>
      </c>
      <c r="C6577" s="710" t="s">
        <v>6467</v>
      </c>
      <c r="D6577" s="709" t="s">
        <v>168</v>
      </c>
      <c r="E6577" s="711">
        <v>0.72050000000000003</v>
      </c>
    </row>
    <row r="6578" spans="1:5" x14ac:dyDescent="0.3">
      <c r="A6578" s="397"/>
      <c r="B6578" s="709">
        <v>104212</v>
      </c>
      <c r="C6578" s="710" t="s">
        <v>6468</v>
      </c>
      <c r="D6578" s="709" t="s">
        <v>168</v>
      </c>
      <c r="E6578" s="711">
        <v>0.7026</v>
      </c>
    </row>
    <row r="6579" spans="1:5" x14ac:dyDescent="0.3">
      <c r="A6579" s="397"/>
      <c r="B6579" s="709">
        <v>104213</v>
      </c>
      <c r="C6579" s="710" t="s">
        <v>6469</v>
      </c>
      <c r="D6579" s="709" t="s">
        <v>168</v>
      </c>
      <c r="E6579" s="711">
        <v>0.67310000000000003</v>
      </c>
    </row>
    <row r="6580" spans="1:5" x14ac:dyDescent="0.3">
      <c r="A6580" s="397"/>
      <c r="B6580" s="709">
        <v>104214</v>
      </c>
      <c r="C6580" s="710" t="s">
        <v>6470</v>
      </c>
      <c r="D6580" s="709" t="s">
        <v>168</v>
      </c>
      <c r="E6580" s="711">
        <v>0.68779999999999997</v>
      </c>
    </row>
    <row r="6581" spans="1:5" x14ac:dyDescent="0.3">
      <c r="A6581" s="397"/>
      <c r="B6581" s="709">
        <v>104215</v>
      </c>
      <c r="C6581" s="710" t="s">
        <v>6471</v>
      </c>
      <c r="D6581" s="709" t="s">
        <v>168</v>
      </c>
      <c r="E6581" s="711">
        <v>0.67920000000000003</v>
      </c>
    </row>
    <row r="6582" spans="1:5" x14ac:dyDescent="0.3">
      <c r="A6582" s="397"/>
      <c r="B6582" s="709">
        <v>104216</v>
      </c>
      <c r="C6582" s="710" t="s">
        <v>6472</v>
      </c>
      <c r="D6582" s="709" t="s">
        <v>168</v>
      </c>
      <c r="E6582" s="711">
        <v>0.65849999999999997</v>
      </c>
    </row>
    <row r="6583" spans="1:5" x14ac:dyDescent="0.3">
      <c r="A6583" s="397"/>
      <c r="B6583" s="709">
        <v>104217</v>
      </c>
      <c r="C6583" s="710" t="s">
        <v>6473</v>
      </c>
      <c r="D6583" s="709" t="s">
        <v>168</v>
      </c>
      <c r="E6583" s="711">
        <v>0.68379999999999996</v>
      </c>
    </row>
    <row r="6584" spans="1:5" x14ac:dyDescent="0.3">
      <c r="A6584" s="397"/>
      <c r="B6584" s="709">
        <v>104221</v>
      </c>
      <c r="C6584" s="710" t="s">
        <v>6474</v>
      </c>
      <c r="D6584" s="709" t="s">
        <v>168</v>
      </c>
      <c r="E6584" s="711">
        <v>0.68289999999999995</v>
      </c>
    </row>
    <row r="6585" spans="1:5" x14ac:dyDescent="0.3">
      <c r="A6585" s="397"/>
      <c r="B6585" s="709">
        <v>104225</v>
      </c>
      <c r="C6585" s="710" t="s">
        <v>6475</v>
      </c>
      <c r="D6585" s="709" t="s">
        <v>168</v>
      </c>
      <c r="E6585" s="711">
        <v>0.64429999999999998</v>
      </c>
    </row>
    <row r="6586" spans="1:5" x14ac:dyDescent="0.3">
      <c r="A6586" s="397"/>
      <c r="B6586" s="709">
        <v>104229</v>
      </c>
      <c r="C6586" s="710" t="s">
        <v>6476</v>
      </c>
      <c r="D6586" s="709" t="s">
        <v>168</v>
      </c>
      <c r="E6586" s="711">
        <v>0.67069999999999996</v>
      </c>
    </row>
    <row r="6587" spans="1:5" x14ac:dyDescent="0.3">
      <c r="A6587" s="397"/>
      <c r="B6587" s="709">
        <v>104233</v>
      </c>
      <c r="C6587" s="710" t="s">
        <v>6477</v>
      </c>
      <c r="D6587" s="709" t="s">
        <v>168</v>
      </c>
      <c r="E6587" s="711">
        <v>0.59140000000000004</v>
      </c>
    </row>
    <row r="6588" spans="1:5" x14ac:dyDescent="0.3">
      <c r="A6588" s="397"/>
      <c r="B6588" s="709">
        <v>104237</v>
      </c>
      <c r="C6588" s="710" t="s">
        <v>6478</v>
      </c>
      <c r="D6588" s="709" t="s">
        <v>168</v>
      </c>
      <c r="E6588" s="711">
        <v>0.61939999999999995</v>
      </c>
    </row>
    <row r="6589" spans="1:5" x14ac:dyDescent="0.3">
      <c r="A6589" s="397"/>
      <c r="B6589" s="709">
        <v>104241</v>
      </c>
      <c r="C6589" s="710" t="s">
        <v>6479</v>
      </c>
      <c r="D6589" s="709" t="s">
        <v>168</v>
      </c>
      <c r="E6589" s="711">
        <v>0.58109999999999995</v>
      </c>
    </row>
    <row r="6590" spans="1:5" x14ac:dyDescent="0.3">
      <c r="A6590" s="397"/>
      <c r="B6590" s="709">
        <v>104245</v>
      </c>
      <c r="C6590" s="710" t="s">
        <v>6480</v>
      </c>
      <c r="D6590" s="709" t="s">
        <v>168</v>
      </c>
      <c r="E6590" s="711">
        <v>0.58130000000000004</v>
      </c>
    </row>
    <row r="6591" spans="1:5" x14ac:dyDescent="0.3">
      <c r="A6591" s="397"/>
      <c r="B6591" s="709">
        <v>104249</v>
      </c>
      <c r="C6591" s="710" t="s">
        <v>6481</v>
      </c>
      <c r="D6591" s="709" t="s">
        <v>168</v>
      </c>
      <c r="E6591" s="711">
        <v>0.81979999999999997</v>
      </c>
    </row>
    <row r="6592" spans="1:5" x14ac:dyDescent="0.3">
      <c r="A6592" s="397"/>
      <c r="B6592" s="709">
        <v>104253</v>
      </c>
      <c r="C6592" s="710" t="s">
        <v>6482</v>
      </c>
      <c r="D6592" s="709" t="s">
        <v>168</v>
      </c>
      <c r="E6592" s="711">
        <v>0.79859999999999998</v>
      </c>
    </row>
    <row r="6593" spans="1:5" x14ac:dyDescent="0.3">
      <c r="A6593" s="397"/>
      <c r="B6593" s="709">
        <v>104256</v>
      </c>
      <c r="C6593" s="710" t="s">
        <v>6483</v>
      </c>
      <c r="D6593" s="709" t="s">
        <v>168</v>
      </c>
      <c r="E6593" s="711">
        <v>0.68740000000000001</v>
      </c>
    </row>
    <row r="6594" spans="1:5" x14ac:dyDescent="0.3">
      <c r="A6594" s="397"/>
      <c r="B6594" s="709">
        <v>104260</v>
      </c>
      <c r="C6594" s="710" t="s">
        <v>6484</v>
      </c>
      <c r="D6594" s="709" t="s">
        <v>168</v>
      </c>
      <c r="E6594" s="711">
        <v>0.65629999999999999</v>
      </c>
    </row>
    <row r="6595" spans="1:5" x14ac:dyDescent="0.3">
      <c r="A6595" s="397"/>
      <c r="B6595" s="709">
        <v>104264</v>
      </c>
      <c r="C6595" s="710" t="s">
        <v>6485</v>
      </c>
      <c r="D6595" s="709" t="s">
        <v>168</v>
      </c>
      <c r="E6595" s="711">
        <v>0.67169999999999996</v>
      </c>
    </row>
    <row r="6596" spans="1:5" x14ac:dyDescent="0.3">
      <c r="A6596" s="397"/>
      <c r="B6596" s="709">
        <v>87792</v>
      </c>
      <c r="C6596" s="710" t="s">
        <v>6486</v>
      </c>
      <c r="D6596" s="709" t="s">
        <v>168</v>
      </c>
      <c r="E6596" s="711">
        <v>0.61519999999999997</v>
      </c>
    </row>
    <row r="6597" spans="1:5" x14ac:dyDescent="0.3">
      <c r="A6597" s="397"/>
      <c r="B6597" s="709">
        <v>87797</v>
      </c>
      <c r="C6597" s="710" t="s">
        <v>6487</v>
      </c>
      <c r="D6597" s="709" t="s">
        <v>168</v>
      </c>
      <c r="E6597" s="711">
        <v>0.64300000000000002</v>
      </c>
    </row>
    <row r="6598" spans="1:5" x14ac:dyDescent="0.3">
      <c r="A6598" s="397"/>
      <c r="B6598" s="709">
        <v>87801</v>
      </c>
      <c r="C6598" s="710" t="s">
        <v>6488</v>
      </c>
      <c r="D6598" s="709" t="s">
        <v>168</v>
      </c>
      <c r="E6598" s="711">
        <v>0.60470000000000002</v>
      </c>
    </row>
    <row r="6599" spans="1:5" x14ac:dyDescent="0.3">
      <c r="A6599" s="397"/>
      <c r="B6599" s="709">
        <v>87805</v>
      </c>
      <c r="C6599" s="710" t="s">
        <v>6489</v>
      </c>
      <c r="D6599" s="709" t="s">
        <v>168</v>
      </c>
      <c r="E6599" s="711">
        <v>0.60519999999999996</v>
      </c>
    </row>
    <row r="6600" spans="1:5" x14ac:dyDescent="0.3">
      <c r="A6600" s="397"/>
      <c r="B6600" s="709">
        <v>87775</v>
      </c>
      <c r="C6600" s="710" t="s">
        <v>6490</v>
      </c>
      <c r="D6600" s="709" t="s">
        <v>168</v>
      </c>
      <c r="E6600" s="711">
        <v>0.70679999999999998</v>
      </c>
    </row>
    <row r="6601" spans="1:5" x14ac:dyDescent="0.3">
      <c r="A6601" s="397"/>
      <c r="B6601" s="709">
        <v>87779</v>
      </c>
      <c r="C6601" s="710" t="s">
        <v>6491</v>
      </c>
      <c r="D6601" s="709" t="s">
        <v>168</v>
      </c>
      <c r="E6601" s="711">
        <v>0.70579999999999998</v>
      </c>
    </row>
    <row r="6602" spans="1:5" x14ac:dyDescent="0.3">
      <c r="A6602" s="397"/>
      <c r="B6602" s="709">
        <v>87784</v>
      </c>
      <c r="C6602" s="710" t="s">
        <v>6492</v>
      </c>
      <c r="D6602" s="709" t="s">
        <v>168</v>
      </c>
      <c r="E6602" s="711">
        <v>0.66790000000000005</v>
      </c>
    </row>
    <row r="6603" spans="1:5" x14ac:dyDescent="0.3">
      <c r="A6603" s="397"/>
      <c r="B6603" s="709">
        <v>87788</v>
      </c>
      <c r="C6603" s="710" t="s">
        <v>6493</v>
      </c>
      <c r="D6603" s="709" t="s">
        <v>168</v>
      </c>
      <c r="E6603" s="711">
        <v>0.69359999999999999</v>
      </c>
    </row>
    <row r="6604" spans="1:5" x14ac:dyDescent="0.3">
      <c r="A6604" s="397"/>
      <c r="B6604" s="709">
        <v>87809</v>
      </c>
      <c r="C6604" s="710" t="s">
        <v>6494</v>
      </c>
      <c r="D6604" s="709" t="s">
        <v>168</v>
      </c>
      <c r="E6604" s="711">
        <v>0.83609999999999995</v>
      </c>
    </row>
    <row r="6605" spans="1:5" x14ac:dyDescent="0.3">
      <c r="A6605" s="397"/>
      <c r="B6605" s="709">
        <v>87813</v>
      </c>
      <c r="C6605" s="710" t="s">
        <v>6495</v>
      </c>
      <c r="D6605" s="709" t="s">
        <v>168</v>
      </c>
      <c r="E6605" s="711">
        <v>0.81630000000000003</v>
      </c>
    </row>
    <row r="6606" spans="1:5" x14ac:dyDescent="0.3">
      <c r="A6606" s="397"/>
      <c r="B6606" s="709">
        <v>104257</v>
      </c>
      <c r="C6606" s="710" t="s">
        <v>6496</v>
      </c>
      <c r="D6606" s="709" t="s">
        <v>168</v>
      </c>
      <c r="E6606" s="711">
        <v>0.76319999999999999</v>
      </c>
    </row>
    <row r="6607" spans="1:5" x14ac:dyDescent="0.3">
      <c r="A6607" s="397"/>
      <c r="B6607" s="709">
        <v>87817</v>
      </c>
      <c r="C6607" s="710" t="s">
        <v>6497</v>
      </c>
      <c r="D6607" s="709" t="s">
        <v>168</v>
      </c>
      <c r="E6607" s="711">
        <v>0.78280000000000005</v>
      </c>
    </row>
    <row r="6608" spans="1:5" x14ac:dyDescent="0.3">
      <c r="A6608" s="397"/>
      <c r="B6608" s="709">
        <v>104261</v>
      </c>
      <c r="C6608" s="710" t="s">
        <v>6498</v>
      </c>
      <c r="D6608" s="709" t="s">
        <v>168</v>
      </c>
      <c r="E6608" s="711">
        <v>0.79879999999999995</v>
      </c>
    </row>
    <row r="6609" spans="1:5" x14ac:dyDescent="0.3">
      <c r="A6609" s="397"/>
      <c r="B6609" s="709">
        <v>87821</v>
      </c>
      <c r="C6609" s="710" t="s">
        <v>6499</v>
      </c>
      <c r="D6609" s="709" t="s">
        <v>168</v>
      </c>
      <c r="E6609" s="711">
        <v>0.81620000000000004</v>
      </c>
    </row>
    <row r="6610" spans="1:5" x14ac:dyDescent="0.3">
      <c r="A6610" s="397"/>
      <c r="B6610" s="709">
        <v>87825</v>
      </c>
      <c r="C6610" s="710" t="s">
        <v>6500</v>
      </c>
      <c r="D6610" s="709" t="s">
        <v>168</v>
      </c>
      <c r="E6610" s="711">
        <v>0.78459999999999996</v>
      </c>
    </row>
    <row r="6611" spans="1:5" x14ac:dyDescent="0.3">
      <c r="A6611" s="397"/>
      <c r="B6611" s="709">
        <v>87829</v>
      </c>
      <c r="C6611" s="710" t="s">
        <v>6501</v>
      </c>
      <c r="D6611" s="709" t="s">
        <v>168</v>
      </c>
      <c r="E6611" s="711">
        <v>0.76119999999999999</v>
      </c>
    </row>
    <row r="6612" spans="1:5" x14ac:dyDescent="0.3">
      <c r="A6612" s="397"/>
      <c r="B6612" s="709">
        <v>87557</v>
      </c>
      <c r="C6612" s="710" t="s">
        <v>6502</v>
      </c>
      <c r="D6612" s="709" t="s">
        <v>168</v>
      </c>
      <c r="E6612" s="711">
        <v>0.28539999999999999</v>
      </c>
    </row>
    <row r="6613" spans="1:5" x14ac:dyDescent="0.3">
      <c r="A6613" s="397"/>
      <c r="B6613" s="709">
        <v>87539</v>
      </c>
      <c r="C6613" s="710" t="s">
        <v>6503</v>
      </c>
      <c r="D6613" s="709" t="s">
        <v>168</v>
      </c>
      <c r="E6613" s="711">
        <v>0.2581</v>
      </c>
    </row>
    <row r="6614" spans="1:5" x14ac:dyDescent="0.3">
      <c r="A6614" s="397"/>
      <c r="B6614" s="709">
        <v>104972</v>
      </c>
      <c r="C6614" s="710" t="s">
        <v>6504</v>
      </c>
      <c r="D6614" s="709" t="s">
        <v>168</v>
      </c>
      <c r="E6614" s="711">
        <v>0.76170000000000004</v>
      </c>
    </row>
    <row r="6615" spans="1:5" x14ac:dyDescent="0.3">
      <c r="A6615" s="397"/>
      <c r="B6615" s="709">
        <v>104954</v>
      </c>
      <c r="C6615" s="710" t="s">
        <v>6505</v>
      </c>
      <c r="D6615" s="709" t="s">
        <v>168</v>
      </c>
      <c r="E6615" s="711">
        <v>0.73099999999999998</v>
      </c>
    </row>
    <row r="6616" spans="1:5" x14ac:dyDescent="0.3">
      <c r="A6616" s="397"/>
      <c r="B6616" s="709">
        <v>104976</v>
      </c>
      <c r="C6616" s="710" t="s">
        <v>6506</v>
      </c>
      <c r="D6616" s="709" t="s">
        <v>168</v>
      </c>
      <c r="E6616" s="711">
        <v>0.73040000000000005</v>
      </c>
    </row>
    <row r="6617" spans="1:5" x14ac:dyDescent="0.3">
      <c r="A6617" s="397"/>
      <c r="B6617" s="709">
        <v>104966</v>
      </c>
      <c r="C6617" s="710" t="s">
        <v>6507</v>
      </c>
      <c r="D6617" s="709" t="s">
        <v>168</v>
      </c>
      <c r="E6617" s="711">
        <v>0.70640000000000003</v>
      </c>
    </row>
    <row r="6618" spans="1:5" x14ac:dyDescent="0.3">
      <c r="A6618" s="397"/>
      <c r="B6618" s="709">
        <v>104968</v>
      </c>
      <c r="C6618" s="710" t="s">
        <v>6508</v>
      </c>
      <c r="D6618" s="709" t="s">
        <v>168</v>
      </c>
      <c r="E6618" s="711">
        <v>0.80049999999999999</v>
      </c>
    </row>
    <row r="6619" spans="1:5" x14ac:dyDescent="0.3">
      <c r="A6619" s="397"/>
      <c r="B6619" s="709">
        <v>104962</v>
      </c>
      <c r="C6619" s="710" t="s">
        <v>6509</v>
      </c>
      <c r="D6619" s="709" t="s">
        <v>168</v>
      </c>
      <c r="E6619" s="711">
        <v>0.7641</v>
      </c>
    </row>
    <row r="6620" spans="1:5" x14ac:dyDescent="0.3">
      <c r="A6620" s="397"/>
      <c r="B6620" s="709">
        <v>87550</v>
      </c>
      <c r="C6620" s="710" t="s">
        <v>6510</v>
      </c>
      <c r="D6620" s="709" t="s">
        <v>168</v>
      </c>
      <c r="E6620" s="711">
        <v>0.69630000000000003</v>
      </c>
    </row>
    <row r="6621" spans="1:5" x14ac:dyDescent="0.3">
      <c r="A6621" s="397"/>
      <c r="B6621" s="709">
        <v>87532</v>
      </c>
      <c r="C6621" s="710" t="s">
        <v>6511</v>
      </c>
      <c r="D6621" s="709" t="s">
        <v>168</v>
      </c>
      <c r="E6621" s="711">
        <v>0.66500000000000004</v>
      </c>
    </row>
    <row r="6622" spans="1:5" x14ac:dyDescent="0.3">
      <c r="A6622" s="397"/>
      <c r="B6622" s="709">
        <v>87554</v>
      </c>
      <c r="C6622" s="710" t="s">
        <v>6512</v>
      </c>
      <c r="D6622" s="709" t="s">
        <v>168</v>
      </c>
      <c r="E6622" s="711">
        <v>0.6643</v>
      </c>
    </row>
    <row r="6623" spans="1:5" x14ac:dyDescent="0.3">
      <c r="A6623" s="397"/>
      <c r="B6623" s="709">
        <v>87536</v>
      </c>
      <c r="C6623" s="710" t="s">
        <v>6513</v>
      </c>
      <c r="D6623" s="709" t="s">
        <v>168</v>
      </c>
      <c r="E6623" s="711">
        <v>0.64080000000000004</v>
      </c>
    </row>
    <row r="6624" spans="1:5" x14ac:dyDescent="0.3">
      <c r="A6624" s="397"/>
      <c r="B6624" s="709">
        <v>87528</v>
      </c>
      <c r="C6624" s="710" t="s">
        <v>6514</v>
      </c>
      <c r="D6624" s="709" t="s">
        <v>168</v>
      </c>
      <c r="E6624" s="711">
        <v>0.69889999999999997</v>
      </c>
    </row>
    <row r="6625" spans="1:5" x14ac:dyDescent="0.3">
      <c r="A6625" s="397"/>
      <c r="B6625" s="709">
        <v>87546</v>
      </c>
      <c r="C6625" s="710" t="s">
        <v>6515</v>
      </c>
      <c r="D6625" s="709" t="s">
        <v>168</v>
      </c>
      <c r="E6625" s="711">
        <v>0.73819999999999997</v>
      </c>
    </row>
    <row r="6626" spans="1:5" x14ac:dyDescent="0.3">
      <c r="A6626" s="397"/>
      <c r="B6626" s="709">
        <v>104971</v>
      </c>
      <c r="C6626" s="710" t="s">
        <v>6516</v>
      </c>
      <c r="D6626" s="709" t="s">
        <v>168</v>
      </c>
      <c r="E6626" s="711">
        <v>0.73519999999999996</v>
      </c>
    </row>
    <row r="6627" spans="1:5" x14ac:dyDescent="0.3">
      <c r="A6627" s="397"/>
      <c r="B6627" s="709">
        <v>104965</v>
      </c>
      <c r="C6627" s="710" t="s">
        <v>6517</v>
      </c>
      <c r="D6627" s="709" t="s">
        <v>168</v>
      </c>
      <c r="E6627" s="711">
        <v>0.69779999999999998</v>
      </c>
    </row>
    <row r="6628" spans="1:5" x14ac:dyDescent="0.3">
      <c r="A6628" s="397"/>
      <c r="B6628" s="709">
        <v>104975</v>
      </c>
      <c r="C6628" s="710" t="s">
        <v>6518</v>
      </c>
      <c r="D6628" s="709" t="s">
        <v>168</v>
      </c>
      <c r="E6628" s="711">
        <v>0.69730000000000003</v>
      </c>
    </row>
    <row r="6629" spans="1:5" x14ac:dyDescent="0.3">
      <c r="A6629" s="397"/>
      <c r="B6629" s="709">
        <v>104957</v>
      </c>
      <c r="C6629" s="710" t="s">
        <v>6519</v>
      </c>
      <c r="D6629" s="709" t="s">
        <v>168</v>
      </c>
      <c r="E6629" s="711">
        <v>0.6673</v>
      </c>
    </row>
    <row r="6630" spans="1:5" x14ac:dyDescent="0.3">
      <c r="A6630" s="397"/>
      <c r="B6630" s="709">
        <v>104967</v>
      </c>
      <c r="C6630" s="710" t="s">
        <v>6520</v>
      </c>
      <c r="D6630" s="709" t="s">
        <v>168</v>
      </c>
      <c r="E6630" s="711">
        <v>0.78120000000000001</v>
      </c>
    </row>
    <row r="6631" spans="1:5" x14ac:dyDescent="0.3">
      <c r="A6631" s="397"/>
      <c r="B6631" s="709">
        <v>104961</v>
      </c>
      <c r="C6631" s="710" t="s">
        <v>6521</v>
      </c>
      <c r="D6631" s="709" t="s">
        <v>168</v>
      </c>
      <c r="E6631" s="711">
        <v>0.7379</v>
      </c>
    </row>
    <row r="6632" spans="1:5" x14ac:dyDescent="0.3">
      <c r="A6632" s="397"/>
      <c r="B6632" s="709">
        <v>87549</v>
      </c>
      <c r="C6632" s="710" t="s">
        <v>6522</v>
      </c>
      <c r="D6632" s="709" t="s">
        <v>168</v>
      </c>
      <c r="E6632" s="711">
        <v>0.65500000000000003</v>
      </c>
    </row>
    <row r="6633" spans="1:5" x14ac:dyDescent="0.3">
      <c r="A6633" s="397"/>
      <c r="B6633" s="709">
        <v>87531</v>
      </c>
      <c r="C6633" s="710" t="s">
        <v>6523</v>
      </c>
      <c r="D6633" s="709" t="s">
        <v>168</v>
      </c>
      <c r="E6633" s="711">
        <v>0.6149</v>
      </c>
    </row>
    <row r="6634" spans="1:5" x14ac:dyDescent="0.3">
      <c r="A6634" s="397"/>
      <c r="B6634" s="709">
        <v>87553</v>
      </c>
      <c r="C6634" s="710" t="s">
        <v>6524</v>
      </c>
      <c r="D6634" s="709" t="s">
        <v>168</v>
      </c>
      <c r="E6634" s="711">
        <v>0.61429999999999996</v>
      </c>
    </row>
    <row r="6635" spans="1:5" x14ac:dyDescent="0.3">
      <c r="A6635" s="397"/>
      <c r="B6635" s="709">
        <v>87535</v>
      </c>
      <c r="C6635" s="710" t="s">
        <v>6525</v>
      </c>
      <c r="D6635" s="709" t="s">
        <v>168</v>
      </c>
      <c r="E6635" s="711">
        <v>0.58360000000000001</v>
      </c>
    </row>
    <row r="6636" spans="1:5" x14ac:dyDescent="0.3">
      <c r="A6636" s="397"/>
      <c r="B6636" s="709">
        <v>87527</v>
      </c>
      <c r="C6636" s="710" t="s">
        <v>6526</v>
      </c>
      <c r="D6636" s="709" t="s">
        <v>168</v>
      </c>
      <c r="E6636" s="711">
        <v>0.65800000000000003</v>
      </c>
    </row>
    <row r="6637" spans="1:5" x14ac:dyDescent="0.3">
      <c r="A6637" s="397"/>
      <c r="B6637" s="709">
        <v>87545</v>
      </c>
      <c r="C6637" s="710" t="s">
        <v>6527</v>
      </c>
      <c r="D6637" s="709" t="s">
        <v>168</v>
      </c>
      <c r="E6637" s="711">
        <v>0.70689999999999997</v>
      </c>
    </row>
    <row r="6638" spans="1:5" x14ac:dyDescent="0.3">
      <c r="A6638" s="397"/>
      <c r="B6638" s="709">
        <v>104960</v>
      </c>
      <c r="C6638" s="710" t="s">
        <v>6528</v>
      </c>
      <c r="D6638" s="709" t="s">
        <v>168</v>
      </c>
      <c r="E6638" s="711">
        <v>0.25700000000000001</v>
      </c>
    </row>
    <row r="6639" spans="1:5" x14ac:dyDescent="0.3">
      <c r="A6639" s="397"/>
      <c r="B6639" s="709">
        <v>87561</v>
      </c>
      <c r="C6639" s="710" t="s">
        <v>6529</v>
      </c>
      <c r="D6639" s="709" t="s">
        <v>168</v>
      </c>
      <c r="E6639" s="711">
        <v>0.27529999999999999</v>
      </c>
    </row>
    <row r="6640" spans="1:5" x14ac:dyDescent="0.3">
      <c r="A6640" s="397"/>
      <c r="B6640" s="709">
        <v>104953</v>
      </c>
      <c r="C6640" s="710" t="s">
        <v>6530</v>
      </c>
      <c r="D6640" s="709" t="s">
        <v>168</v>
      </c>
      <c r="E6640" s="711">
        <v>0.23880000000000001</v>
      </c>
    </row>
    <row r="6641" spans="1:5" x14ac:dyDescent="0.3">
      <c r="A6641" s="397"/>
      <c r="B6641" s="709">
        <v>87543</v>
      </c>
      <c r="C6641" s="710" t="s">
        <v>6531</v>
      </c>
      <c r="D6641" s="709" t="s">
        <v>168</v>
      </c>
      <c r="E6641" s="711">
        <v>0.34010000000000001</v>
      </c>
    </row>
    <row r="6642" spans="1:5" x14ac:dyDescent="0.3">
      <c r="A6642" s="397"/>
      <c r="B6642" s="709">
        <v>104959</v>
      </c>
      <c r="C6642" s="710" t="s">
        <v>6532</v>
      </c>
      <c r="D6642" s="709" t="s">
        <v>168</v>
      </c>
      <c r="E6642" s="711">
        <v>0.67300000000000004</v>
      </c>
    </row>
    <row r="6643" spans="1:5" x14ac:dyDescent="0.3">
      <c r="A6643" s="397"/>
      <c r="B6643" s="709">
        <v>104958</v>
      </c>
      <c r="C6643" s="710" t="s">
        <v>6533</v>
      </c>
      <c r="D6643" s="709" t="s">
        <v>168</v>
      </c>
      <c r="E6643" s="711">
        <v>0.62549999999999994</v>
      </c>
    </row>
    <row r="6644" spans="1:5" x14ac:dyDescent="0.3">
      <c r="A6644" s="397"/>
      <c r="B6644" s="709">
        <v>104970</v>
      </c>
      <c r="C6644" s="710" t="s">
        <v>6534</v>
      </c>
      <c r="D6644" s="709" t="s">
        <v>168</v>
      </c>
      <c r="E6644" s="711">
        <v>0.77439999999999998</v>
      </c>
    </row>
    <row r="6645" spans="1:5" x14ac:dyDescent="0.3">
      <c r="A6645" s="397"/>
      <c r="B6645" s="709">
        <v>104964</v>
      </c>
      <c r="C6645" s="710" t="s">
        <v>6535</v>
      </c>
      <c r="D6645" s="709" t="s">
        <v>168</v>
      </c>
      <c r="E6645" s="711">
        <v>0.74139999999999995</v>
      </c>
    </row>
    <row r="6646" spans="1:5" x14ac:dyDescent="0.3">
      <c r="A6646" s="397"/>
      <c r="B6646" s="709">
        <v>104956</v>
      </c>
      <c r="C6646" s="710" t="s">
        <v>6536</v>
      </c>
      <c r="D6646" s="709" t="s">
        <v>168</v>
      </c>
      <c r="E6646" s="711">
        <v>0.71289999999999998</v>
      </c>
    </row>
    <row r="6647" spans="1:5" x14ac:dyDescent="0.3">
      <c r="A6647" s="397"/>
      <c r="B6647" s="709">
        <v>104974</v>
      </c>
      <c r="C6647" s="710" t="s">
        <v>6537</v>
      </c>
      <c r="D6647" s="709" t="s">
        <v>168</v>
      </c>
      <c r="E6647" s="711">
        <v>0.7389</v>
      </c>
    </row>
    <row r="6648" spans="1:5" x14ac:dyDescent="0.3">
      <c r="A6648" s="397"/>
      <c r="B6648" s="709">
        <v>87548</v>
      </c>
      <c r="C6648" s="710" t="s">
        <v>6538</v>
      </c>
      <c r="D6648" s="709" t="s">
        <v>168</v>
      </c>
      <c r="E6648" s="711">
        <v>0.7097</v>
      </c>
    </row>
    <row r="6649" spans="1:5" x14ac:dyDescent="0.3">
      <c r="A6649" s="397"/>
      <c r="B6649" s="709">
        <v>87530</v>
      </c>
      <c r="C6649" s="710" t="s">
        <v>6539</v>
      </c>
      <c r="D6649" s="709" t="s">
        <v>168</v>
      </c>
      <c r="E6649" s="711">
        <v>0.67549999999999999</v>
      </c>
    </row>
    <row r="6650" spans="1:5" x14ac:dyDescent="0.3">
      <c r="A6650" s="397"/>
      <c r="B6650" s="709">
        <v>104952</v>
      </c>
      <c r="C6650" s="710" t="s">
        <v>6540</v>
      </c>
      <c r="D6650" s="709" t="s">
        <v>168</v>
      </c>
      <c r="E6650" s="711">
        <v>0.64729999999999999</v>
      </c>
    </row>
    <row r="6651" spans="1:5" x14ac:dyDescent="0.3">
      <c r="A6651" s="397"/>
      <c r="B6651" s="709">
        <v>104969</v>
      </c>
      <c r="C6651" s="710" t="s">
        <v>6541</v>
      </c>
      <c r="D6651" s="709" t="s">
        <v>168</v>
      </c>
      <c r="E6651" s="711">
        <v>0.75039999999999996</v>
      </c>
    </row>
    <row r="6652" spans="1:5" x14ac:dyDescent="0.3">
      <c r="A6652" s="397"/>
      <c r="B6652" s="709">
        <v>104963</v>
      </c>
      <c r="C6652" s="710" t="s">
        <v>6542</v>
      </c>
      <c r="D6652" s="709" t="s">
        <v>168</v>
      </c>
      <c r="E6652" s="711">
        <v>0.71050000000000002</v>
      </c>
    </row>
    <row r="6653" spans="1:5" x14ac:dyDescent="0.3">
      <c r="A6653" s="397"/>
      <c r="B6653" s="709">
        <v>104955</v>
      </c>
      <c r="C6653" s="710" t="s">
        <v>6543</v>
      </c>
      <c r="D6653" s="709" t="s">
        <v>168</v>
      </c>
      <c r="E6653" s="711">
        <v>0.67549999999999999</v>
      </c>
    </row>
    <row r="6654" spans="1:5" x14ac:dyDescent="0.3">
      <c r="A6654" s="397"/>
      <c r="B6654" s="709">
        <v>104973</v>
      </c>
      <c r="C6654" s="710" t="s">
        <v>6544</v>
      </c>
      <c r="D6654" s="709" t="s">
        <v>168</v>
      </c>
      <c r="E6654" s="711">
        <v>0.7077</v>
      </c>
    </row>
    <row r="6655" spans="1:5" x14ac:dyDescent="0.3">
      <c r="A6655" s="397"/>
      <c r="B6655" s="709">
        <v>87547</v>
      </c>
      <c r="C6655" s="710" t="s">
        <v>6545</v>
      </c>
      <c r="D6655" s="709" t="s">
        <v>168</v>
      </c>
      <c r="E6655" s="711">
        <v>0.67169999999999996</v>
      </c>
    </row>
    <row r="6656" spans="1:5" x14ac:dyDescent="0.3">
      <c r="A6656" s="397"/>
      <c r="B6656" s="709">
        <v>87529</v>
      </c>
      <c r="C6656" s="710" t="s">
        <v>6546</v>
      </c>
      <c r="D6656" s="709" t="s">
        <v>168</v>
      </c>
      <c r="E6656" s="711">
        <v>0.62839999999999996</v>
      </c>
    </row>
    <row r="6657" spans="1:5" x14ac:dyDescent="0.3">
      <c r="A6657" s="397"/>
      <c r="B6657" s="709">
        <v>104951</v>
      </c>
      <c r="C6657" s="710" t="s">
        <v>6547</v>
      </c>
      <c r="D6657" s="709" t="s">
        <v>168</v>
      </c>
      <c r="E6657" s="711">
        <v>0.59199999999999997</v>
      </c>
    </row>
    <row r="6658" spans="1:5" x14ac:dyDescent="0.3">
      <c r="A6658" s="397"/>
      <c r="B6658" s="709">
        <v>104978</v>
      </c>
      <c r="C6658" s="710" t="s">
        <v>6548</v>
      </c>
      <c r="D6658" s="709" t="s">
        <v>168</v>
      </c>
      <c r="E6658" s="711">
        <v>0.76719999999999999</v>
      </c>
    </row>
    <row r="6659" spans="1:5" x14ac:dyDescent="0.3">
      <c r="A6659" s="397"/>
      <c r="B6659" s="709">
        <v>104977</v>
      </c>
      <c r="C6659" s="710" t="s">
        <v>6549</v>
      </c>
      <c r="D6659" s="709" t="s">
        <v>168</v>
      </c>
      <c r="E6659" s="711">
        <v>0.72419999999999995</v>
      </c>
    </row>
    <row r="6660" spans="1:5" x14ac:dyDescent="0.3">
      <c r="A6660" s="397"/>
      <c r="B6660" s="709">
        <v>90408</v>
      </c>
      <c r="C6660" s="710" t="s">
        <v>6550</v>
      </c>
      <c r="D6660" s="709" t="s">
        <v>168</v>
      </c>
      <c r="E6660" s="711">
        <v>0.73370000000000002</v>
      </c>
    </row>
    <row r="6661" spans="1:5" x14ac:dyDescent="0.3">
      <c r="A6661" s="397"/>
      <c r="B6661" s="709">
        <v>90406</v>
      </c>
      <c r="C6661" s="710" t="s">
        <v>6551</v>
      </c>
      <c r="D6661" s="709" t="s">
        <v>168</v>
      </c>
      <c r="E6661" s="711">
        <v>0.68810000000000004</v>
      </c>
    </row>
    <row r="6662" spans="1:5" x14ac:dyDescent="0.3">
      <c r="A6662" s="397"/>
      <c r="B6662" s="709">
        <v>103304</v>
      </c>
      <c r="C6662" s="710" t="s">
        <v>6558</v>
      </c>
      <c r="D6662" s="709" t="s">
        <v>136</v>
      </c>
      <c r="E6662" s="711">
        <v>3.73E-2</v>
      </c>
    </row>
    <row r="6663" spans="1:5" x14ac:dyDescent="0.3">
      <c r="A6663" s="397"/>
      <c r="B6663" s="709">
        <v>103307</v>
      </c>
      <c r="C6663" s="710" t="s">
        <v>6570</v>
      </c>
      <c r="D6663" s="709" t="s">
        <v>136</v>
      </c>
      <c r="E6663" s="711">
        <v>7.6200000000000004E-2</v>
      </c>
    </row>
    <row r="6664" spans="1:5" x14ac:dyDescent="0.3">
      <c r="A6664" s="397"/>
      <c r="B6664" s="709">
        <v>103310</v>
      </c>
      <c r="C6664" s="710" t="s">
        <v>6571</v>
      </c>
      <c r="D6664" s="709" t="s">
        <v>136</v>
      </c>
      <c r="E6664" s="711">
        <v>3.5200000000000002E-2</v>
      </c>
    </row>
    <row r="6665" spans="1:5" x14ac:dyDescent="0.3">
      <c r="A6665" s="397"/>
      <c r="B6665" s="709">
        <v>103314</v>
      </c>
      <c r="C6665" s="710" t="s">
        <v>6573</v>
      </c>
      <c r="D6665" s="709" t="s">
        <v>168</v>
      </c>
      <c r="E6665" s="711">
        <v>0.1323</v>
      </c>
    </row>
    <row r="6666" spans="1:5" x14ac:dyDescent="0.3">
      <c r="A6666" s="397"/>
      <c r="B6666" s="709">
        <v>103315</v>
      </c>
      <c r="C6666" s="710" t="s">
        <v>6574</v>
      </c>
      <c r="D6666" s="709" t="s">
        <v>168</v>
      </c>
      <c r="E6666" s="711">
        <v>0.1033</v>
      </c>
    </row>
    <row r="6667" spans="1:5" x14ac:dyDescent="0.3">
      <c r="A6667" s="397"/>
      <c r="B6667" s="709">
        <v>105188</v>
      </c>
      <c r="C6667" s="710" t="s">
        <v>6575</v>
      </c>
      <c r="D6667" s="709" t="s">
        <v>168</v>
      </c>
      <c r="E6667" s="711">
        <v>0.13539999999999999</v>
      </c>
    </row>
    <row r="6668" spans="1:5" x14ac:dyDescent="0.3">
      <c r="A6668" s="397"/>
      <c r="B6668" s="709">
        <v>87841</v>
      </c>
      <c r="C6668" s="710" t="s">
        <v>6576</v>
      </c>
      <c r="D6668" s="709" t="s">
        <v>168</v>
      </c>
      <c r="E6668" s="711">
        <v>0.14099999999999999</v>
      </c>
    </row>
    <row r="6669" spans="1:5" x14ac:dyDescent="0.3">
      <c r="A6669" s="397"/>
      <c r="B6669" s="709">
        <v>87853</v>
      </c>
      <c r="C6669" s="710" t="s">
        <v>6577</v>
      </c>
      <c r="D6669" s="709" t="s">
        <v>168</v>
      </c>
      <c r="E6669" s="711">
        <v>0.14599999999999999</v>
      </c>
    </row>
    <row r="6670" spans="1:5" x14ac:dyDescent="0.3">
      <c r="A6670" s="397"/>
      <c r="B6670" s="709">
        <v>105187</v>
      </c>
      <c r="C6670" s="710" t="s">
        <v>6578</v>
      </c>
      <c r="D6670" s="709" t="s">
        <v>168</v>
      </c>
      <c r="E6670" s="711">
        <v>0.1197</v>
      </c>
    </row>
    <row r="6671" spans="1:5" x14ac:dyDescent="0.3">
      <c r="A6671" s="397"/>
      <c r="B6671" s="709">
        <v>87840</v>
      </c>
      <c r="C6671" s="710" t="s">
        <v>6579</v>
      </c>
      <c r="D6671" s="709" t="s">
        <v>168</v>
      </c>
      <c r="E6671" s="711">
        <v>0.1226</v>
      </c>
    </row>
    <row r="6672" spans="1:5" x14ac:dyDescent="0.3">
      <c r="A6672" s="397"/>
      <c r="B6672" s="709">
        <v>87852</v>
      </c>
      <c r="C6672" s="710" t="s">
        <v>6580</v>
      </c>
      <c r="D6672" s="709" t="s">
        <v>168</v>
      </c>
      <c r="E6672" s="711">
        <v>0.12770000000000001</v>
      </c>
    </row>
    <row r="6673" spans="1:5" x14ac:dyDescent="0.3">
      <c r="A6673" s="397"/>
      <c r="B6673" s="709">
        <v>105186</v>
      </c>
      <c r="C6673" s="710" t="s">
        <v>6581</v>
      </c>
      <c r="D6673" s="709" t="s">
        <v>168</v>
      </c>
      <c r="E6673" s="711">
        <v>0.1736</v>
      </c>
    </row>
    <row r="6674" spans="1:5" x14ac:dyDescent="0.3">
      <c r="A6674" s="397"/>
      <c r="B6674" s="709">
        <v>87839</v>
      </c>
      <c r="C6674" s="710" t="s">
        <v>6582</v>
      </c>
      <c r="D6674" s="709" t="s">
        <v>168</v>
      </c>
      <c r="E6674" s="711">
        <v>0.18179999999999999</v>
      </c>
    </row>
    <row r="6675" spans="1:5" x14ac:dyDescent="0.3">
      <c r="A6675" s="397"/>
      <c r="B6675" s="709">
        <v>87851</v>
      </c>
      <c r="C6675" s="710" t="s">
        <v>6583</v>
      </c>
      <c r="D6675" s="709" t="s">
        <v>168</v>
      </c>
      <c r="E6675" s="711">
        <v>0.187</v>
      </c>
    </row>
    <row r="6676" spans="1:5" x14ac:dyDescent="0.3">
      <c r="A6676" s="397"/>
      <c r="B6676" s="709">
        <v>105185</v>
      </c>
      <c r="C6676" s="710" t="s">
        <v>6584</v>
      </c>
      <c r="D6676" s="709" t="s">
        <v>168</v>
      </c>
      <c r="E6676" s="711">
        <v>0.1489</v>
      </c>
    </row>
    <row r="6677" spans="1:5" x14ac:dyDescent="0.3">
      <c r="A6677" s="397"/>
      <c r="B6677" s="709">
        <v>87838</v>
      </c>
      <c r="C6677" s="710" t="s">
        <v>6585</v>
      </c>
      <c r="D6677" s="709" t="s">
        <v>168</v>
      </c>
      <c r="E6677" s="711">
        <v>0.15340000000000001</v>
      </c>
    </row>
    <row r="6678" spans="1:5" x14ac:dyDescent="0.3">
      <c r="A6678" s="397"/>
      <c r="B6678" s="709">
        <v>87850</v>
      </c>
      <c r="C6678" s="710" t="s">
        <v>6586</v>
      </c>
      <c r="D6678" s="709" t="s">
        <v>168</v>
      </c>
      <c r="E6678" s="711">
        <v>0.15939999999999999</v>
      </c>
    </row>
    <row r="6679" spans="1:5" x14ac:dyDescent="0.3">
      <c r="A6679" s="397"/>
      <c r="B6679" s="709">
        <v>105110</v>
      </c>
      <c r="C6679" s="710" t="s">
        <v>6587</v>
      </c>
      <c r="D6679" s="709" t="s">
        <v>159</v>
      </c>
      <c r="E6679" s="711">
        <v>1</v>
      </c>
    </row>
    <row r="6680" spans="1:5" x14ac:dyDescent="0.3">
      <c r="A6680" s="397"/>
      <c r="B6680" s="709">
        <v>105105</v>
      </c>
      <c r="C6680" s="710" t="s">
        <v>6588</v>
      </c>
      <c r="D6680" s="709" t="s">
        <v>159</v>
      </c>
      <c r="E6680" s="711">
        <v>1</v>
      </c>
    </row>
    <row r="6681" spans="1:5" x14ac:dyDescent="0.3">
      <c r="A6681" s="397"/>
      <c r="B6681" s="709">
        <v>105103</v>
      </c>
      <c r="C6681" s="710" t="s">
        <v>6589</v>
      </c>
      <c r="D6681" s="709" t="s">
        <v>159</v>
      </c>
      <c r="E6681" s="711">
        <v>1</v>
      </c>
    </row>
    <row r="6682" spans="1:5" x14ac:dyDescent="0.3">
      <c r="A6682" s="397"/>
      <c r="B6682" s="709">
        <v>105112</v>
      </c>
      <c r="C6682" s="710" t="s">
        <v>6590</v>
      </c>
      <c r="D6682" s="709" t="s">
        <v>159</v>
      </c>
      <c r="E6682" s="711">
        <v>1</v>
      </c>
    </row>
    <row r="6683" spans="1:5" x14ac:dyDescent="0.3">
      <c r="A6683" s="397"/>
      <c r="B6683" s="709">
        <v>105104</v>
      </c>
      <c r="C6683" s="710" t="s">
        <v>6593</v>
      </c>
      <c r="D6683" s="709" t="s">
        <v>136</v>
      </c>
      <c r="E6683" s="711">
        <v>0.57550000000000001</v>
      </c>
    </row>
    <row r="6684" spans="1:5" x14ac:dyDescent="0.3">
      <c r="A6684" s="397"/>
      <c r="B6684" s="709">
        <v>105107</v>
      </c>
      <c r="C6684" s="710" t="s">
        <v>6594</v>
      </c>
      <c r="D6684" s="709" t="s">
        <v>136</v>
      </c>
      <c r="E6684" s="711">
        <v>1</v>
      </c>
    </row>
    <row r="6685" spans="1:5" x14ac:dyDescent="0.3">
      <c r="A6685" s="397"/>
      <c r="B6685" s="709">
        <v>105106</v>
      </c>
      <c r="C6685" s="710" t="s">
        <v>6595</v>
      </c>
      <c r="D6685" s="709" t="s">
        <v>136</v>
      </c>
      <c r="E6685" s="711">
        <v>1</v>
      </c>
    </row>
    <row r="6686" spans="1:5" x14ac:dyDescent="0.3">
      <c r="A6686" s="397"/>
      <c r="B6686" s="709">
        <v>105111</v>
      </c>
      <c r="C6686" s="710" t="s">
        <v>6596</v>
      </c>
      <c r="D6686" s="709" t="s">
        <v>136</v>
      </c>
      <c r="E6686" s="711">
        <v>0.46739999999999998</v>
      </c>
    </row>
    <row r="6687" spans="1:5" x14ac:dyDescent="0.3">
      <c r="A6687" s="397"/>
      <c r="B6687" s="709">
        <v>98520</v>
      </c>
      <c r="C6687" s="710" t="s">
        <v>277</v>
      </c>
      <c r="D6687" s="709" t="s">
        <v>168</v>
      </c>
      <c r="E6687" s="711">
        <v>0.27360000000000001</v>
      </c>
    </row>
    <row r="6688" spans="1:5" x14ac:dyDescent="0.3">
      <c r="A6688" s="397"/>
      <c r="B6688" s="709">
        <v>98521</v>
      </c>
      <c r="C6688" s="710" t="s">
        <v>6597</v>
      </c>
      <c r="D6688" s="709" t="s">
        <v>168</v>
      </c>
      <c r="E6688" s="711">
        <v>0.92110000000000003</v>
      </c>
    </row>
    <row r="6689" spans="1:5" x14ac:dyDescent="0.3">
      <c r="A6689" s="397"/>
      <c r="B6689" s="709">
        <v>105521</v>
      </c>
      <c r="C6689" s="710" t="s">
        <v>283</v>
      </c>
      <c r="D6689" s="709" t="s">
        <v>168</v>
      </c>
      <c r="E6689" s="711">
        <v>0.39629999999999999</v>
      </c>
    </row>
    <row r="6690" spans="1:5" x14ac:dyDescent="0.3">
      <c r="A6690" s="397"/>
      <c r="B6690" s="709">
        <v>98509</v>
      </c>
      <c r="C6690" s="710" t="s">
        <v>6598</v>
      </c>
      <c r="D6690" s="709" t="s">
        <v>136</v>
      </c>
      <c r="E6690" s="711">
        <v>3.6299999999999999E-2</v>
      </c>
    </row>
    <row r="6691" spans="1:5" x14ac:dyDescent="0.3">
      <c r="A6691" s="397"/>
      <c r="B6691" s="709">
        <v>98505</v>
      </c>
      <c r="C6691" s="710" t="s">
        <v>6602</v>
      </c>
      <c r="D6691" s="709" t="s">
        <v>168</v>
      </c>
      <c r="E6691" s="711">
        <v>0.11219999999999999</v>
      </c>
    </row>
    <row r="6692" spans="1:5" x14ac:dyDescent="0.3">
      <c r="A6692" s="397"/>
      <c r="B6692" s="709">
        <v>98504</v>
      </c>
      <c r="C6692" s="710" t="s">
        <v>269</v>
      </c>
      <c r="D6692" s="709" t="s">
        <v>168</v>
      </c>
      <c r="E6692" s="711">
        <v>0.183</v>
      </c>
    </row>
    <row r="6693" spans="1:5" x14ac:dyDescent="0.3">
      <c r="A6693" s="397"/>
      <c r="B6693" s="709">
        <v>98503</v>
      </c>
      <c r="C6693" s="710" t="s">
        <v>6603</v>
      </c>
      <c r="D6693" s="709" t="s">
        <v>168</v>
      </c>
      <c r="E6693" s="711">
        <v>0.16850000000000001</v>
      </c>
    </row>
    <row r="6694" spans="1:5" x14ac:dyDescent="0.3">
      <c r="A6694" s="397"/>
      <c r="B6694" s="709">
        <v>103946</v>
      </c>
      <c r="C6694" s="710" t="s">
        <v>6604</v>
      </c>
      <c r="D6694" s="709" t="s">
        <v>168</v>
      </c>
      <c r="E6694" s="711">
        <v>0.13789999999999999</v>
      </c>
    </row>
    <row r="6695" spans="1:5" x14ac:dyDescent="0.3">
      <c r="A6695" s="397"/>
      <c r="B6695" s="709">
        <v>98516</v>
      </c>
      <c r="C6695" s="710" t="s">
        <v>6607</v>
      </c>
      <c r="D6695" s="709" t="s">
        <v>136</v>
      </c>
      <c r="E6695" s="711">
        <v>0.40510000000000002</v>
      </c>
    </row>
    <row r="6696" spans="1:5" x14ac:dyDescent="0.3">
      <c r="A6696" s="397"/>
      <c r="B6696" s="709">
        <v>98511</v>
      </c>
      <c r="C6696" s="710" t="s">
        <v>6611</v>
      </c>
      <c r="D6696" s="709" t="s">
        <v>136</v>
      </c>
      <c r="E6696" s="711">
        <v>0.25690000000000002</v>
      </c>
    </row>
    <row r="6697" spans="1:5" x14ac:dyDescent="0.3">
      <c r="A6697" s="397"/>
      <c r="B6697" s="709">
        <v>98510</v>
      </c>
      <c r="C6697" s="710" t="s">
        <v>6613</v>
      </c>
      <c r="D6697" s="709" t="s">
        <v>136</v>
      </c>
      <c r="E6697" s="711">
        <v>0.3831</v>
      </c>
    </row>
    <row r="6698" spans="1:5" x14ac:dyDescent="0.3">
      <c r="A6698" s="397"/>
      <c r="B6698" s="709">
        <v>98519</v>
      </c>
      <c r="C6698" s="710" t="s">
        <v>6614</v>
      </c>
      <c r="D6698" s="709" t="s">
        <v>168</v>
      </c>
      <c r="E6698" s="711">
        <v>1</v>
      </c>
    </row>
    <row r="6699" spans="1:5" x14ac:dyDescent="0.3">
      <c r="A6699" s="397"/>
      <c r="B6699" s="709">
        <v>91599</v>
      </c>
      <c r="C6699" s="710" t="s">
        <v>6615</v>
      </c>
      <c r="D6699" s="709" t="s">
        <v>175</v>
      </c>
      <c r="E6699" s="711">
        <v>5.6899999999999999E-2</v>
      </c>
    </row>
    <row r="6700" spans="1:5" x14ac:dyDescent="0.3">
      <c r="A6700" s="397"/>
      <c r="B6700" s="709">
        <v>91597</v>
      </c>
      <c r="C6700" s="710" t="s">
        <v>6619</v>
      </c>
      <c r="D6700" s="709" t="s">
        <v>175</v>
      </c>
      <c r="E6700" s="711">
        <v>4.65E-2</v>
      </c>
    </row>
    <row r="6701" spans="1:5" x14ac:dyDescent="0.3">
      <c r="A6701" s="397"/>
      <c r="B6701" s="709">
        <v>91598</v>
      </c>
      <c r="C6701" s="710" t="s">
        <v>6620</v>
      </c>
      <c r="D6701" s="709" t="s">
        <v>175</v>
      </c>
      <c r="E6701" s="711">
        <v>4.0599999999999997E-2</v>
      </c>
    </row>
    <row r="6702" spans="1:5" x14ac:dyDescent="0.3">
      <c r="A6702" s="397"/>
      <c r="B6702" s="709">
        <v>91596</v>
      </c>
      <c r="C6702" s="710" t="s">
        <v>6621</v>
      </c>
      <c r="D6702" s="709" t="s">
        <v>175</v>
      </c>
      <c r="E6702" s="711">
        <v>3.2000000000000001E-2</v>
      </c>
    </row>
    <row r="6703" spans="1:5" x14ac:dyDescent="0.3">
      <c r="A6703" s="397"/>
      <c r="B6703" s="709">
        <v>100064</v>
      </c>
      <c r="C6703" s="710" t="s">
        <v>6622</v>
      </c>
      <c r="D6703" s="709" t="s">
        <v>175</v>
      </c>
      <c r="E6703" s="711">
        <v>2.8500000000000001E-2</v>
      </c>
    </row>
    <row r="6704" spans="1:5" x14ac:dyDescent="0.3">
      <c r="A6704" s="397"/>
      <c r="B6704" s="709">
        <v>100066</v>
      </c>
      <c r="C6704" s="710" t="s">
        <v>6623</v>
      </c>
      <c r="D6704" s="709" t="s">
        <v>175</v>
      </c>
      <c r="E6704" s="711">
        <v>2.1999999999999999E-2</v>
      </c>
    </row>
    <row r="6705" spans="1:5" x14ac:dyDescent="0.3">
      <c r="A6705" s="397"/>
      <c r="B6705" s="709">
        <v>91603</v>
      </c>
      <c r="C6705" s="710" t="s">
        <v>6624</v>
      </c>
      <c r="D6705" s="709" t="s">
        <v>175</v>
      </c>
      <c r="E6705" s="711">
        <v>0.1168</v>
      </c>
    </row>
    <row r="6706" spans="1:5" x14ac:dyDescent="0.3">
      <c r="A6706" s="397"/>
      <c r="B6706" s="709">
        <v>100068</v>
      </c>
      <c r="C6706" s="710" t="s">
        <v>6625</v>
      </c>
      <c r="D6706" s="709" t="s">
        <v>175</v>
      </c>
      <c r="E6706" s="711">
        <v>0.1045</v>
      </c>
    </row>
    <row r="6707" spans="1:5" x14ac:dyDescent="0.3">
      <c r="A6707" s="397"/>
      <c r="B6707" s="709">
        <v>100067</v>
      </c>
      <c r="C6707" s="710" t="s">
        <v>6626</v>
      </c>
      <c r="D6707" s="709" t="s">
        <v>175</v>
      </c>
      <c r="E6707" s="711">
        <v>0.3175</v>
      </c>
    </row>
    <row r="6708" spans="1:5" x14ac:dyDescent="0.3">
      <c r="A6708" s="397"/>
      <c r="B6708" s="709">
        <v>91601</v>
      </c>
      <c r="C6708" s="710" t="s">
        <v>6627</v>
      </c>
      <c r="D6708" s="709" t="s">
        <v>175</v>
      </c>
      <c r="E6708" s="711">
        <v>0.25069999999999998</v>
      </c>
    </row>
    <row r="6709" spans="1:5" x14ac:dyDescent="0.3">
      <c r="A6709" s="397"/>
      <c r="B6709" s="709">
        <v>91602</v>
      </c>
      <c r="C6709" s="710" t="s">
        <v>6628</v>
      </c>
      <c r="D6709" s="709" t="s">
        <v>175</v>
      </c>
      <c r="E6709" s="711">
        <v>0.1754</v>
      </c>
    </row>
    <row r="6710" spans="1:5" x14ac:dyDescent="0.3">
      <c r="A6710" s="397"/>
      <c r="B6710" s="709">
        <v>91593</v>
      </c>
      <c r="C6710" s="710" t="s">
        <v>6629</v>
      </c>
      <c r="D6710" s="709" t="s">
        <v>175</v>
      </c>
      <c r="E6710" s="711">
        <v>5.0599999999999999E-2</v>
      </c>
    </row>
    <row r="6711" spans="1:5" x14ac:dyDescent="0.3">
      <c r="A6711" s="397"/>
      <c r="B6711" s="709">
        <v>105814</v>
      </c>
      <c r="C6711" s="710" t="s">
        <v>6630</v>
      </c>
      <c r="D6711" s="709" t="s">
        <v>175</v>
      </c>
      <c r="E6711" s="711">
        <v>2.41E-2</v>
      </c>
    </row>
    <row r="6712" spans="1:5" x14ac:dyDescent="0.3">
      <c r="A6712" s="397"/>
      <c r="B6712" s="709">
        <v>91594</v>
      </c>
      <c r="C6712" s="710" t="s">
        <v>6631</v>
      </c>
      <c r="D6712" s="709" t="s">
        <v>175</v>
      </c>
      <c r="E6712" s="711">
        <v>4.53E-2</v>
      </c>
    </row>
    <row r="6713" spans="1:5" x14ac:dyDescent="0.3">
      <c r="A6713" s="397"/>
      <c r="B6713" s="709">
        <v>91595</v>
      </c>
      <c r="C6713" s="710" t="s">
        <v>6632</v>
      </c>
      <c r="D6713" s="709" t="s">
        <v>175</v>
      </c>
      <c r="E6713" s="711">
        <v>6.8400000000000002E-2</v>
      </c>
    </row>
    <row r="6714" spans="1:5" x14ac:dyDescent="0.3">
      <c r="A6714" s="397"/>
      <c r="B6714" s="709">
        <v>91600</v>
      </c>
      <c r="C6714" s="710" t="s">
        <v>6634</v>
      </c>
      <c r="D6714" s="709" t="s">
        <v>175</v>
      </c>
      <c r="E6714" s="711">
        <v>0.13139999999999999</v>
      </c>
    </row>
    <row r="6715" spans="1:5" x14ac:dyDescent="0.3">
      <c r="A6715" s="397"/>
      <c r="B6715" s="709">
        <v>99235</v>
      </c>
      <c r="C6715" s="710" t="s">
        <v>6635</v>
      </c>
      <c r="D6715" s="709" t="s">
        <v>170</v>
      </c>
      <c r="E6715" s="711">
        <v>2.5399999999999999E-2</v>
      </c>
    </row>
    <row r="6716" spans="1:5" x14ac:dyDescent="0.3">
      <c r="A6716" s="397"/>
      <c r="B6716" s="709">
        <v>99439</v>
      </c>
      <c r="C6716" s="710" t="s">
        <v>6637</v>
      </c>
      <c r="D6716" s="709" t="s">
        <v>170</v>
      </c>
      <c r="E6716" s="711">
        <v>3.7199999999999997E-2</v>
      </c>
    </row>
    <row r="6717" spans="1:5" x14ac:dyDescent="0.3">
      <c r="A6717" s="397"/>
      <c r="B6717" s="709">
        <v>103184</v>
      </c>
      <c r="C6717" s="710" t="s">
        <v>6639</v>
      </c>
      <c r="D6717" s="709" t="s">
        <v>170</v>
      </c>
      <c r="E6717" s="711">
        <v>5.1999999999999998E-2</v>
      </c>
    </row>
    <row r="6718" spans="1:5" x14ac:dyDescent="0.3">
      <c r="A6718" s="397"/>
      <c r="B6718" s="709">
        <v>103183</v>
      </c>
      <c r="C6718" s="710" t="s">
        <v>6640</v>
      </c>
      <c r="D6718" s="709" t="s">
        <v>170</v>
      </c>
      <c r="E6718" s="711">
        <v>0.11609999999999999</v>
      </c>
    </row>
    <row r="6719" spans="1:5" x14ac:dyDescent="0.3">
      <c r="A6719" s="397"/>
      <c r="B6719" s="709">
        <v>99434</v>
      </c>
      <c r="C6719" s="710" t="s">
        <v>6641</v>
      </c>
      <c r="D6719" s="709" t="s">
        <v>170</v>
      </c>
      <c r="E6719" s="711">
        <v>3.9600000000000003E-2</v>
      </c>
    </row>
    <row r="6720" spans="1:5" x14ac:dyDescent="0.3">
      <c r="A6720" s="397"/>
      <c r="B6720" s="709">
        <v>99431</v>
      </c>
      <c r="C6720" s="710" t="s">
        <v>6642</v>
      </c>
      <c r="D6720" s="709" t="s">
        <v>170</v>
      </c>
      <c r="E6720" s="711">
        <v>3.5400000000000001E-2</v>
      </c>
    </row>
    <row r="6721" spans="1:5" x14ac:dyDescent="0.3">
      <c r="A6721" s="397"/>
      <c r="B6721" s="709">
        <v>99435</v>
      </c>
      <c r="C6721" s="710" t="s">
        <v>6643</v>
      </c>
      <c r="D6721" s="709" t="s">
        <v>170</v>
      </c>
      <c r="E6721" s="711">
        <v>3.6999999999999998E-2</v>
      </c>
    </row>
    <row r="6722" spans="1:5" x14ac:dyDescent="0.3">
      <c r="A6722" s="397"/>
      <c r="B6722" s="709">
        <v>99432</v>
      </c>
      <c r="C6722" s="710" t="s">
        <v>6644</v>
      </c>
      <c r="D6722" s="709" t="s">
        <v>170</v>
      </c>
      <c r="E6722" s="711">
        <v>3.3799999999999997E-2</v>
      </c>
    </row>
    <row r="6723" spans="1:5" x14ac:dyDescent="0.3">
      <c r="A6723" s="397"/>
      <c r="B6723" s="709">
        <v>99438</v>
      </c>
      <c r="C6723" s="710" t="s">
        <v>6645</v>
      </c>
      <c r="D6723" s="709" t="s">
        <v>170</v>
      </c>
      <c r="E6723" s="711">
        <v>3.9100000000000003E-2</v>
      </c>
    </row>
    <row r="6724" spans="1:5" x14ac:dyDescent="0.3">
      <c r="A6724" s="397"/>
      <c r="B6724" s="709">
        <v>99436</v>
      </c>
      <c r="C6724" s="710" t="s">
        <v>6647</v>
      </c>
      <c r="D6724" s="709" t="s">
        <v>170</v>
      </c>
      <c r="E6724" s="711">
        <v>7.2499999999999995E-2</v>
      </c>
    </row>
    <row r="6725" spans="1:5" x14ac:dyDescent="0.3">
      <c r="A6725" s="397"/>
      <c r="B6725" s="709">
        <v>99437</v>
      </c>
      <c r="C6725" s="710" t="s">
        <v>6648</v>
      </c>
      <c r="D6725" s="709" t="s">
        <v>170</v>
      </c>
      <c r="E6725" s="711">
        <v>3.0700000000000002E-2</v>
      </c>
    </row>
    <row r="6726" spans="1:5" x14ac:dyDescent="0.3">
      <c r="A6726" s="397"/>
      <c r="B6726" s="709">
        <v>99433</v>
      </c>
      <c r="C6726" s="710" t="s">
        <v>6650</v>
      </c>
      <c r="D6726" s="709" t="s">
        <v>170</v>
      </c>
      <c r="E6726" s="711">
        <v>5.04E-2</v>
      </c>
    </row>
    <row r="6727" spans="1:5" x14ac:dyDescent="0.3">
      <c r="A6727" s="397"/>
      <c r="B6727" s="709">
        <v>104422</v>
      </c>
      <c r="C6727" s="710" t="s">
        <v>6651</v>
      </c>
      <c r="D6727" s="709" t="s">
        <v>168</v>
      </c>
      <c r="E6727" s="711">
        <v>0.60699999999999998</v>
      </c>
    </row>
    <row r="6728" spans="1:5" x14ac:dyDescent="0.3">
      <c r="A6728" s="397"/>
      <c r="B6728" s="709">
        <v>105824</v>
      </c>
      <c r="C6728" s="710" t="s">
        <v>6652</v>
      </c>
      <c r="D6728" s="709" t="s">
        <v>168</v>
      </c>
      <c r="E6728" s="711">
        <v>0.46829999999999999</v>
      </c>
    </row>
    <row r="6729" spans="1:5" x14ac:dyDescent="0.3">
      <c r="A6729" s="397"/>
      <c r="B6729" s="709">
        <v>105825</v>
      </c>
      <c r="C6729" s="710" t="s">
        <v>6653</v>
      </c>
      <c r="D6729" s="709" t="s">
        <v>168</v>
      </c>
      <c r="E6729" s="711">
        <v>0.92210000000000003</v>
      </c>
    </row>
    <row r="6730" spans="1:5" x14ac:dyDescent="0.3">
      <c r="A6730" s="397"/>
      <c r="B6730" s="709">
        <v>104421</v>
      </c>
      <c r="C6730" s="710" t="s">
        <v>6654</v>
      </c>
      <c r="D6730" s="709" t="s">
        <v>168</v>
      </c>
      <c r="E6730" s="711">
        <v>0.74399999999999999</v>
      </c>
    </row>
    <row r="6731" spans="1:5" x14ac:dyDescent="0.3">
      <c r="A6731" s="397"/>
      <c r="B6731" s="709">
        <v>105822</v>
      </c>
      <c r="C6731" s="710" t="s">
        <v>6655</v>
      </c>
      <c r="D6731" s="709" t="s">
        <v>168</v>
      </c>
      <c r="E6731" s="711">
        <v>0.62370000000000003</v>
      </c>
    </row>
    <row r="6732" spans="1:5" x14ac:dyDescent="0.3">
      <c r="A6732" s="397"/>
      <c r="B6732" s="709">
        <v>105823</v>
      </c>
      <c r="C6732" s="710" t="s">
        <v>6656</v>
      </c>
      <c r="D6732" s="709" t="s">
        <v>168</v>
      </c>
      <c r="E6732" s="711">
        <v>0.95660000000000001</v>
      </c>
    </row>
    <row r="6733" spans="1:5" x14ac:dyDescent="0.3">
      <c r="A6733" s="397"/>
      <c r="B6733" s="709">
        <v>104423</v>
      </c>
      <c r="C6733" s="710" t="s">
        <v>6657</v>
      </c>
      <c r="D6733" s="709" t="s">
        <v>168</v>
      </c>
      <c r="E6733" s="711">
        <v>0.71430000000000005</v>
      </c>
    </row>
    <row r="6734" spans="1:5" x14ac:dyDescent="0.3">
      <c r="A6734" s="397"/>
      <c r="B6734" s="709">
        <v>105826</v>
      </c>
      <c r="C6734" s="710" t="s">
        <v>6658</v>
      </c>
      <c r="D6734" s="709" t="s">
        <v>168</v>
      </c>
      <c r="E6734" s="711">
        <v>0.5877</v>
      </c>
    </row>
    <row r="6735" spans="1:5" x14ac:dyDescent="0.3">
      <c r="A6735" s="397"/>
      <c r="B6735" s="709">
        <v>105827</v>
      </c>
      <c r="C6735" s="710" t="s">
        <v>6659</v>
      </c>
      <c r="D6735" s="709" t="s">
        <v>168</v>
      </c>
      <c r="E6735" s="711">
        <v>0.95</v>
      </c>
    </row>
    <row r="6736" spans="1:5" x14ac:dyDescent="0.3">
      <c r="A6736" s="397"/>
      <c r="B6736" s="709">
        <v>104425</v>
      </c>
      <c r="C6736" s="710" t="s">
        <v>6660</v>
      </c>
      <c r="D6736" s="709" t="s">
        <v>168</v>
      </c>
      <c r="E6736" s="711">
        <v>0.53029999999999999</v>
      </c>
    </row>
    <row r="6737" spans="1:5" x14ac:dyDescent="0.3">
      <c r="A6737" s="397"/>
      <c r="B6737" s="709">
        <v>105828</v>
      </c>
      <c r="C6737" s="710" t="s">
        <v>6661</v>
      </c>
      <c r="D6737" s="709" t="s">
        <v>168</v>
      </c>
      <c r="E6737" s="711">
        <v>0.39169999999999999</v>
      </c>
    </row>
    <row r="6738" spans="1:5" x14ac:dyDescent="0.3">
      <c r="A6738" s="397"/>
      <c r="B6738" s="709">
        <v>105829</v>
      </c>
      <c r="C6738" s="710" t="s">
        <v>6662</v>
      </c>
      <c r="D6738" s="709" t="s">
        <v>168</v>
      </c>
      <c r="E6738" s="711">
        <v>0.89729999999999999</v>
      </c>
    </row>
    <row r="6739" spans="1:5" x14ac:dyDescent="0.3">
      <c r="A6739" s="397"/>
      <c r="B6739" s="709">
        <v>91525</v>
      </c>
      <c r="C6739" s="710" t="s">
        <v>6663</v>
      </c>
      <c r="D6739" s="709" t="s">
        <v>168</v>
      </c>
      <c r="E6739" s="711">
        <v>0.66359999999999997</v>
      </c>
    </row>
    <row r="6740" spans="1:5" x14ac:dyDescent="0.3">
      <c r="A6740" s="397"/>
      <c r="B6740" s="709">
        <v>105818</v>
      </c>
      <c r="C6740" s="710" t="s">
        <v>6664</v>
      </c>
      <c r="D6740" s="709" t="s">
        <v>168</v>
      </c>
      <c r="E6740" s="711">
        <v>0.40529999999999999</v>
      </c>
    </row>
    <row r="6741" spans="1:5" x14ac:dyDescent="0.3">
      <c r="A6741" s="397"/>
      <c r="B6741" s="709">
        <v>105819</v>
      </c>
      <c r="C6741" s="710" t="s">
        <v>6665</v>
      </c>
      <c r="D6741" s="709" t="s">
        <v>168</v>
      </c>
      <c r="E6741" s="711">
        <v>0.90859999999999996</v>
      </c>
    </row>
    <row r="6742" spans="1:5" x14ac:dyDescent="0.3">
      <c r="A6742" s="397"/>
      <c r="B6742" s="709">
        <v>104414</v>
      </c>
      <c r="C6742" s="710" t="s">
        <v>6666</v>
      </c>
      <c r="D6742" s="709" t="s">
        <v>168</v>
      </c>
      <c r="E6742" s="711">
        <v>0.61829999999999996</v>
      </c>
    </row>
    <row r="6743" spans="1:5" x14ac:dyDescent="0.3">
      <c r="A6743" s="397"/>
      <c r="B6743" s="709">
        <v>105816</v>
      </c>
      <c r="C6743" s="710" t="s">
        <v>6667</v>
      </c>
      <c r="D6743" s="709" t="s">
        <v>168</v>
      </c>
      <c r="E6743" s="711">
        <v>0.35880000000000001</v>
      </c>
    </row>
    <row r="6744" spans="1:5" x14ac:dyDescent="0.3">
      <c r="A6744" s="397"/>
      <c r="B6744" s="709">
        <v>105817</v>
      </c>
      <c r="C6744" s="710" t="s">
        <v>6668</v>
      </c>
      <c r="D6744" s="709" t="s">
        <v>168</v>
      </c>
      <c r="E6744" s="711">
        <v>0.89159999999999995</v>
      </c>
    </row>
    <row r="6745" spans="1:5" x14ac:dyDescent="0.3">
      <c r="A6745" s="397"/>
      <c r="B6745" s="709">
        <v>104415</v>
      </c>
      <c r="C6745" s="710" t="s">
        <v>6669</v>
      </c>
      <c r="D6745" s="709" t="s">
        <v>168</v>
      </c>
      <c r="E6745" s="711">
        <v>0.79290000000000005</v>
      </c>
    </row>
    <row r="6746" spans="1:5" x14ac:dyDescent="0.3">
      <c r="A6746" s="397"/>
      <c r="B6746" s="709">
        <v>105820</v>
      </c>
      <c r="C6746" s="710" t="s">
        <v>6670</v>
      </c>
      <c r="D6746" s="709" t="s">
        <v>168</v>
      </c>
      <c r="E6746" s="711">
        <v>0.56950000000000001</v>
      </c>
    </row>
    <row r="6747" spans="1:5" x14ac:dyDescent="0.3">
      <c r="A6747" s="397"/>
      <c r="B6747" s="709">
        <v>105821</v>
      </c>
      <c r="C6747" s="710" t="s">
        <v>6671</v>
      </c>
      <c r="D6747" s="709" t="s">
        <v>168</v>
      </c>
      <c r="E6747" s="711">
        <v>0.95</v>
      </c>
    </row>
    <row r="6748" spans="1:5" x14ac:dyDescent="0.3">
      <c r="A6748" s="397"/>
      <c r="B6748" s="709">
        <v>104418</v>
      </c>
      <c r="C6748" s="710" t="s">
        <v>6672</v>
      </c>
      <c r="D6748" s="709" t="s">
        <v>168</v>
      </c>
      <c r="E6748" s="711">
        <v>0.93130000000000002</v>
      </c>
    </row>
    <row r="6749" spans="1:5" x14ac:dyDescent="0.3">
      <c r="A6749" s="397"/>
      <c r="B6749" s="709">
        <v>91515</v>
      </c>
      <c r="C6749" s="710" t="s">
        <v>6673</v>
      </c>
      <c r="D6749" s="709" t="s">
        <v>168</v>
      </c>
      <c r="E6749" s="711">
        <v>0.96250000000000002</v>
      </c>
    </row>
    <row r="6750" spans="1:5" x14ac:dyDescent="0.3">
      <c r="A6750" s="397"/>
      <c r="B6750" s="709">
        <v>104419</v>
      </c>
      <c r="C6750" s="710" t="s">
        <v>6674</v>
      </c>
      <c r="D6750" s="709" t="s">
        <v>168</v>
      </c>
      <c r="E6750" s="711">
        <v>0.95669999999999999</v>
      </c>
    </row>
    <row r="6751" spans="1:5" x14ac:dyDescent="0.3">
      <c r="A6751" s="397"/>
      <c r="B6751" s="709">
        <v>91519</v>
      </c>
      <c r="C6751" s="710" t="s">
        <v>6675</v>
      </c>
      <c r="D6751" s="709" t="s">
        <v>168</v>
      </c>
      <c r="E6751" s="711">
        <v>0.90990000000000004</v>
      </c>
    </row>
    <row r="6752" spans="1:5" x14ac:dyDescent="0.3">
      <c r="A6752" s="397"/>
      <c r="B6752" s="709">
        <v>91520</v>
      </c>
      <c r="C6752" s="710" t="s">
        <v>6676</v>
      </c>
      <c r="D6752" s="709" t="s">
        <v>168</v>
      </c>
      <c r="E6752" s="711">
        <v>0.94669999999999999</v>
      </c>
    </row>
    <row r="6753" spans="1:5" x14ac:dyDescent="0.3">
      <c r="A6753" s="397"/>
      <c r="B6753" s="709">
        <v>104416</v>
      </c>
      <c r="C6753" s="710" t="s">
        <v>6677</v>
      </c>
      <c r="D6753" s="709" t="s">
        <v>168</v>
      </c>
      <c r="E6753" s="711">
        <v>0.9355</v>
      </c>
    </row>
    <row r="6754" spans="1:5" x14ac:dyDescent="0.3">
      <c r="A6754" s="397"/>
      <c r="B6754" s="709">
        <v>104417</v>
      </c>
      <c r="C6754" s="710" t="s">
        <v>6678</v>
      </c>
      <c r="D6754" s="709" t="s">
        <v>168</v>
      </c>
      <c r="E6754" s="711">
        <v>0.97150000000000003</v>
      </c>
    </row>
    <row r="6755" spans="1:5" x14ac:dyDescent="0.3">
      <c r="A6755" s="397"/>
      <c r="B6755" s="709">
        <v>91522</v>
      </c>
      <c r="C6755" s="710" t="s">
        <v>6679</v>
      </c>
      <c r="D6755" s="709" t="s">
        <v>168</v>
      </c>
      <c r="E6755" s="711">
        <v>0.96830000000000005</v>
      </c>
    </row>
    <row r="6756" spans="1:5" x14ac:dyDescent="0.3">
      <c r="A6756" s="397"/>
      <c r="B6756" s="709">
        <v>104412</v>
      </c>
      <c r="C6756" s="710" t="s">
        <v>6680</v>
      </c>
      <c r="D6756" s="709" t="s">
        <v>168</v>
      </c>
      <c r="E6756" s="711">
        <v>0.9647</v>
      </c>
    </row>
    <row r="6757" spans="1:5" x14ac:dyDescent="0.3">
      <c r="A6757" s="397"/>
      <c r="B6757" s="709">
        <v>104413</v>
      </c>
      <c r="C6757" s="710" t="s">
        <v>6681</v>
      </c>
      <c r="D6757" s="709" t="s">
        <v>168</v>
      </c>
      <c r="E6757" s="711">
        <v>0.97929999999999995</v>
      </c>
    </row>
    <row r="6758" spans="1:5" x14ac:dyDescent="0.3">
      <c r="A6758" s="397"/>
      <c r="B6758" s="709">
        <v>96374</v>
      </c>
      <c r="C6758" s="710" t="s">
        <v>6694</v>
      </c>
      <c r="D6758" s="709" t="s">
        <v>159</v>
      </c>
      <c r="E6758" s="711">
        <v>0.10050000000000001</v>
      </c>
    </row>
    <row r="6759" spans="1:5" x14ac:dyDescent="0.3">
      <c r="A6759" s="397"/>
      <c r="B6759" s="709">
        <v>96373</v>
      </c>
      <c r="C6759" s="710" t="s">
        <v>6695</v>
      </c>
      <c r="D6759" s="709" t="s">
        <v>159</v>
      </c>
      <c r="E6759" s="711">
        <v>0.21179999999999999</v>
      </c>
    </row>
    <row r="6760" spans="1:5" x14ac:dyDescent="0.3">
      <c r="A6760" s="397"/>
      <c r="B6760" s="709">
        <v>96368</v>
      </c>
      <c r="C6760" s="710" t="s">
        <v>6696</v>
      </c>
      <c r="D6760" s="709" t="s">
        <v>168</v>
      </c>
      <c r="E6760" s="711">
        <v>0.14680000000000001</v>
      </c>
    </row>
    <row r="6761" spans="1:5" x14ac:dyDescent="0.3">
      <c r="A6761" s="397"/>
      <c r="B6761" s="709">
        <v>96364</v>
      </c>
      <c r="C6761" s="710" t="s">
        <v>6697</v>
      </c>
      <c r="D6761" s="709" t="s">
        <v>168</v>
      </c>
      <c r="E6761" s="711">
        <v>0.15479999999999999</v>
      </c>
    </row>
    <row r="6762" spans="1:5" x14ac:dyDescent="0.3">
      <c r="A6762" s="397"/>
      <c r="B6762" s="709">
        <v>96369</v>
      </c>
      <c r="C6762" s="710" t="s">
        <v>6698</v>
      </c>
      <c r="D6762" s="709" t="s">
        <v>168</v>
      </c>
      <c r="E6762" s="711">
        <v>0.15559999999999999</v>
      </c>
    </row>
    <row r="6763" spans="1:5" x14ac:dyDescent="0.3">
      <c r="A6763" s="397"/>
      <c r="B6763" s="709">
        <v>104723</v>
      </c>
      <c r="C6763" s="710" t="s">
        <v>6699</v>
      </c>
      <c r="D6763" s="709" t="s">
        <v>168</v>
      </c>
      <c r="E6763" s="711">
        <v>0.1736</v>
      </c>
    </row>
    <row r="6764" spans="1:5" x14ac:dyDescent="0.3">
      <c r="A6764" s="397"/>
      <c r="B6764" s="709">
        <v>96367</v>
      </c>
      <c r="C6764" s="710" t="s">
        <v>6700</v>
      </c>
      <c r="D6764" s="709" t="s">
        <v>168</v>
      </c>
      <c r="E6764" s="711">
        <v>0.16259999999999999</v>
      </c>
    </row>
    <row r="6765" spans="1:5" x14ac:dyDescent="0.3">
      <c r="A6765" s="397"/>
      <c r="B6765" s="709">
        <v>104722</v>
      </c>
      <c r="C6765" s="710" t="s">
        <v>6701</v>
      </c>
      <c r="D6765" s="709" t="s">
        <v>168</v>
      </c>
      <c r="E6765" s="711">
        <v>0.18509999999999999</v>
      </c>
    </row>
    <row r="6766" spans="1:5" x14ac:dyDescent="0.3">
      <c r="A6766" s="397"/>
      <c r="B6766" s="709">
        <v>96366</v>
      </c>
      <c r="C6766" s="710" t="s">
        <v>6702</v>
      </c>
      <c r="D6766" s="709" t="s">
        <v>168</v>
      </c>
      <c r="E6766" s="711">
        <v>0.1515</v>
      </c>
    </row>
    <row r="6767" spans="1:5" x14ac:dyDescent="0.3">
      <c r="A6767" s="397"/>
      <c r="B6767" s="709">
        <v>96361</v>
      </c>
      <c r="C6767" s="710" t="s">
        <v>6703</v>
      </c>
      <c r="D6767" s="709" t="s">
        <v>168</v>
      </c>
      <c r="E6767" s="711">
        <v>0.16930000000000001</v>
      </c>
    </row>
    <row r="6768" spans="1:5" x14ac:dyDescent="0.3">
      <c r="A6768" s="397"/>
      <c r="B6768" s="709">
        <v>104719</v>
      </c>
      <c r="C6768" s="710" t="s">
        <v>6704</v>
      </c>
      <c r="D6768" s="709" t="s">
        <v>168</v>
      </c>
      <c r="E6768" s="711">
        <v>0.17960000000000001</v>
      </c>
    </row>
    <row r="6769" spans="1:5" x14ac:dyDescent="0.3">
      <c r="A6769" s="397"/>
      <c r="B6769" s="709">
        <v>96360</v>
      </c>
      <c r="C6769" s="710" t="s">
        <v>6705</v>
      </c>
      <c r="D6769" s="709" t="s">
        <v>168</v>
      </c>
      <c r="E6769" s="711">
        <v>0.16669999999999999</v>
      </c>
    </row>
    <row r="6770" spans="1:5" x14ac:dyDescent="0.3">
      <c r="A6770" s="397"/>
      <c r="B6770" s="709">
        <v>96359</v>
      </c>
      <c r="C6770" s="710" t="s">
        <v>6706</v>
      </c>
      <c r="D6770" s="709" t="s">
        <v>168</v>
      </c>
      <c r="E6770" s="711">
        <v>0.18509999999999999</v>
      </c>
    </row>
    <row r="6771" spans="1:5" x14ac:dyDescent="0.3">
      <c r="A6771" s="397"/>
      <c r="B6771" s="709">
        <v>104718</v>
      </c>
      <c r="C6771" s="710" t="s">
        <v>6707</v>
      </c>
      <c r="D6771" s="709" t="s">
        <v>168</v>
      </c>
      <c r="E6771" s="711">
        <v>0.19919999999999999</v>
      </c>
    </row>
    <row r="6772" spans="1:5" x14ac:dyDescent="0.3">
      <c r="A6772" s="397"/>
      <c r="B6772" s="709">
        <v>96358</v>
      </c>
      <c r="C6772" s="710" t="s">
        <v>6708</v>
      </c>
      <c r="D6772" s="709" t="s">
        <v>168</v>
      </c>
      <c r="E6772" s="711">
        <v>0.18010000000000001</v>
      </c>
    </row>
    <row r="6773" spans="1:5" x14ac:dyDescent="0.3">
      <c r="A6773" s="397"/>
      <c r="B6773" s="709">
        <v>96371</v>
      </c>
      <c r="C6773" s="710" t="s">
        <v>6709</v>
      </c>
      <c r="D6773" s="709" t="s">
        <v>168</v>
      </c>
      <c r="E6773" s="711">
        <v>0.18260000000000001</v>
      </c>
    </row>
    <row r="6774" spans="1:5" x14ac:dyDescent="0.3">
      <c r="A6774" s="397"/>
      <c r="B6774" s="709">
        <v>104724</v>
      </c>
      <c r="C6774" s="710" t="s">
        <v>6710</v>
      </c>
      <c r="D6774" s="709" t="s">
        <v>168</v>
      </c>
      <c r="E6774" s="711">
        <v>0.19189999999999999</v>
      </c>
    </row>
    <row r="6775" spans="1:5" x14ac:dyDescent="0.3">
      <c r="A6775" s="397"/>
      <c r="B6775" s="709">
        <v>96370</v>
      </c>
      <c r="C6775" s="710" t="s">
        <v>6711</v>
      </c>
      <c r="D6775" s="709" t="s">
        <v>168</v>
      </c>
      <c r="E6775" s="711">
        <v>0.1827</v>
      </c>
    </row>
    <row r="6776" spans="1:5" x14ac:dyDescent="0.3">
      <c r="A6776" s="397"/>
      <c r="B6776" s="709">
        <v>96365</v>
      </c>
      <c r="C6776" s="710" t="s">
        <v>6712</v>
      </c>
      <c r="D6776" s="709" t="s">
        <v>168</v>
      </c>
      <c r="E6776" s="711">
        <v>0.16139999999999999</v>
      </c>
    </row>
    <row r="6777" spans="1:5" x14ac:dyDescent="0.3">
      <c r="A6777" s="397"/>
      <c r="B6777" s="709">
        <v>104721</v>
      </c>
      <c r="C6777" s="710" t="s">
        <v>6713</v>
      </c>
      <c r="D6777" s="709" t="s">
        <v>168</v>
      </c>
      <c r="E6777" s="711">
        <v>0.17610000000000001</v>
      </c>
    </row>
    <row r="6778" spans="1:5" x14ac:dyDescent="0.3">
      <c r="A6778" s="397"/>
      <c r="B6778" s="709">
        <v>96363</v>
      </c>
      <c r="C6778" s="710" t="s">
        <v>6714</v>
      </c>
      <c r="D6778" s="709" t="s">
        <v>168</v>
      </c>
      <c r="E6778" s="711">
        <v>0.1714</v>
      </c>
    </row>
    <row r="6779" spans="1:5" x14ac:dyDescent="0.3">
      <c r="A6779" s="397"/>
      <c r="B6779" s="709">
        <v>104720</v>
      </c>
      <c r="C6779" s="710" t="s">
        <v>6715</v>
      </c>
      <c r="D6779" s="709" t="s">
        <v>168</v>
      </c>
      <c r="E6779" s="711">
        <v>0.19070000000000001</v>
      </c>
    </row>
    <row r="6780" spans="1:5" x14ac:dyDescent="0.3">
      <c r="A6780" s="397"/>
      <c r="B6780" s="709">
        <v>96362</v>
      </c>
      <c r="C6780" s="710" t="s">
        <v>6716</v>
      </c>
      <c r="D6780" s="709" t="s">
        <v>168</v>
      </c>
      <c r="E6780" s="711">
        <v>0.16239999999999999</v>
      </c>
    </row>
    <row r="6781" spans="1:5" x14ac:dyDescent="0.3">
      <c r="A6781" s="397"/>
      <c r="B6781" s="709">
        <v>103191</v>
      </c>
      <c r="C6781" s="710" t="s">
        <v>6717</v>
      </c>
      <c r="D6781" s="709" t="s">
        <v>136</v>
      </c>
      <c r="E6781" s="711">
        <v>3.5499999999999997E-2</v>
      </c>
    </row>
    <row r="6782" spans="1:5" x14ac:dyDescent="0.3">
      <c r="A6782" s="397"/>
      <c r="B6782" s="709">
        <v>103206</v>
      </c>
      <c r="C6782" s="710" t="s">
        <v>6718</v>
      </c>
      <c r="D6782" s="709" t="s">
        <v>136</v>
      </c>
      <c r="E6782" s="711">
        <v>4.7100000000000003E-2</v>
      </c>
    </row>
    <row r="6783" spans="1:5" x14ac:dyDescent="0.3">
      <c r="A6783" s="397"/>
      <c r="B6783" s="709">
        <v>103185</v>
      </c>
      <c r="C6783" s="710" t="s">
        <v>6729</v>
      </c>
      <c r="D6783" s="709" t="s">
        <v>136</v>
      </c>
      <c r="E6783" s="711">
        <v>2.3900000000000001E-2</v>
      </c>
    </row>
    <row r="6784" spans="1:5" x14ac:dyDescent="0.3">
      <c r="A6784" s="397"/>
      <c r="B6784" s="709">
        <v>103186</v>
      </c>
      <c r="C6784" s="710" t="s">
        <v>6738</v>
      </c>
      <c r="D6784" s="709" t="s">
        <v>136</v>
      </c>
      <c r="E6784" s="711">
        <v>9.2999999999999992E-3</v>
      </c>
    </row>
    <row r="6785" spans="1:5" x14ac:dyDescent="0.3">
      <c r="A6785" s="397"/>
      <c r="B6785" s="709">
        <v>103210</v>
      </c>
      <c r="C6785" s="710" t="s">
        <v>6739</v>
      </c>
      <c r="D6785" s="709" t="s">
        <v>136</v>
      </c>
      <c r="E6785" s="711">
        <v>8.8300000000000003E-2</v>
      </c>
    </row>
    <row r="6786" spans="1:5" x14ac:dyDescent="0.3">
      <c r="A6786" s="397"/>
      <c r="B6786" s="709">
        <v>103195</v>
      </c>
      <c r="C6786" s="710" t="s">
        <v>6740</v>
      </c>
      <c r="D6786" s="709" t="s">
        <v>136</v>
      </c>
      <c r="E6786" s="711">
        <v>3.9399999999999998E-2</v>
      </c>
    </row>
    <row r="6787" spans="1:5" x14ac:dyDescent="0.3">
      <c r="A6787" s="397"/>
      <c r="B6787" s="709">
        <v>103205</v>
      </c>
      <c r="C6787" s="710" t="s">
        <v>6741</v>
      </c>
      <c r="D6787" s="709" t="s">
        <v>136</v>
      </c>
      <c r="E6787" s="711">
        <v>3.2099999999999997E-2</v>
      </c>
    </row>
    <row r="6788" spans="1:5" x14ac:dyDescent="0.3">
      <c r="A6788" s="397"/>
      <c r="B6788" s="709">
        <v>103190</v>
      </c>
      <c r="C6788" s="710" t="s">
        <v>6742</v>
      </c>
      <c r="D6788" s="709" t="s">
        <v>136</v>
      </c>
      <c r="E6788" s="711">
        <v>2.52E-2</v>
      </c>
    </row>
    <row r="6789" spans="1:5" x14ac:dyDescent="0.3">
      <c r="A6789" s="397"/>
      <c r="B6789" s="709">
        <v>103207</v>
      </c>
      <c r="C6789" s="710" t="s">
        <v>6743</v>
      </c>
      <c r="D6789" s="709" t="s">
        <v>136</v>
      </c>
      <c r="E6789" s="711">
        <v>4.4299999999999999E-2</v>
      </c>
    </row>
    <row r="6790" spans="1:5" x14ac:dyDescent="0.3">
      <c r="A6790" s="397"/>
      <c r="B6790" s="709">
        <v>103192</v>
      </c>
      <c r="C6790" s="710" t="s">
        <v>6744</v>
      </c>
      <c r="D6790" s="709" t="s">
        <v>136</v>
      </c>
      <c r="E6790" s="711">
        <v>3.3300000000000003E-2</v>
      </c>
    </row>
    <row r="6791" spans="1:5" x14ac:dyDescent="0.3">
      <c r="A6791" s="397"/>
      <c r="B6791" s="709">
        <v>103208</v>
      </c>
      <c r="C6791" s="710" t="s">
        <v>6745</v>
      </c>
      <c r="D6791" s="709" t="s">
        <v>136</v>
      </c>
      <c r="E6791" s="711">
        <v>5.7299999999999997E-2</v>
      </c>
    </row>
    <row r="6792" spans="1:5" x14ac:dyDescent="0.3">
      <c r="A6792" s="397"/>
      <c r="B6792" s="709">
        <v>103193</v>
      </c>
      <c r="C6792" s="710" t="s">
        <v>6746</v>
      </c>
      <c r="D6792" s="709" t="s">
        <v>136</v>
      </c>
      <c r="E6792" s="711">
        <v>4.3200000000000002E-2</v>
      </c>
    </row>
    <row r="6793" spans="1:5" x14ac:dyDescent="0.3">
      <c r="A6793" s="397"/>
      <c r="B6793" s="709">
        <v>103187</v>
      </c>
      <c r="C6793" s="710" t="s">
        <v>6747</v>
      </c>
      <c r="D6793" s="709" t="s">
        <v>136</v>
      </c>
      <c r="E6793" s="711">
        <v>2.06E-2</v>
      </c>
    </row>
    <row r="6794" spans="1:5" x14ac:dyDescent="0.3">
      <c r="A6794" s="397"/>
      <c r="B6794" s="709">
        <v>103188</v>
      </c>
      <c r="C6794" s="710" t="s">
        <v>6748</v>
      </c>
      <c r="D6794" s="709" t="s">
        <v>136</v>
      </c>
      <c r="E6794" s="711">
        <v>1.4800000000000001E-2</v>
      </c>
    </row>
    <row r="6795" spans="1:5" x14ac:dyDescent="0.3">
      <c r="A6795" s="397"/>
      <c r="B6795" s="709">
        <v>103189</v>
      </c>
      <c r="C6795" s="710" t="s">
        <v>6749</v>
      </c>
      <c r="D6795" s="709" t="s">
        <v>136</v>
      </c>
      <c r="E6795" s="711">
        <v>2.06E-2</v>
      </c>
    </row>
    <row r="6796" spans="1:5" x14ac:dyDescent="0.3">
      <c r="A6796" s="397"/>
      <c r="B6796" s="709">
        <v>103209</v>
      </c>
      <c r="C6796" s="710" t="s">
        <v>6750</v>
      </c>
      <c r="D6796" s="709" t="s">
        <v>136</v>
      </c>
      <c r="E6796" s="711">
        <v>0.04</v>
      </c>
    </row>
    <row r="6797" spans="1:5" x14ac:dyDescent="0.3">
      <c r="A6797" s="397"/>
      <c r="B6797" s="709">
        <v>103194</v>
      </c>
      <c r="C6797" s="710" t="s">
        <v>6751</v>
      </c>
      <c r="D6797" s="709" t="s">
        <v>136</v>
      </c>
      <c r="E6797" s="711">
        <v>3.0099999999999998E-2</v>
      </c>
    </row>
    <row r="6798" spans="1:5" x14ac:dyDescent="0.3">
      <c r="A6798" s="397"/>
      <c r="B6798" s="709">
        <v>94992</v>
      </c>
      <c r="C6798" s="710" t="s">
        <v>6762</v>
      </c>
      <c r="D6798" s="709" t="s">
        <v>168</v>
      </c>
      <c r="E6798" s="711">
        <v>0.25779999999999997</v>
      </c>
    </row>
    <row r="6799" spans="1:5" x14ac:dyDescent="0.3">
      <c r="A6799" s="397"/>
      <c r="B6799" s="709">
        <v>94994</v>
      </c>
      <c r="C6799" s="710" t="s">
        <v>6763</v>
      </c>
      <c r="D6799" s="709" t="s">
        <v>168</v>
      </c>
      <c r="E6799" s="711">
        <v>0.27929999999999999</v>
      </c>
    </row>
    <row r="6800" spans="1:5" x14ac:dyDescent="0.3">
      <c r="A6800" s="397"/>
      <c r="B6800" s="709">
        <v>94990</v>
      </c>
      <c r="C6800" s="710" t="s">
        <v>6764</v>
      </c>
      <c r="D6800" s="709" t="s">
        <v>170</v>
      </c>
      <c r="E6800" s="711">
        <v>0.35560000000000003</v>
      </c>
    </row>
    <row r="6801" spans="1:5" x14ac:dyDescent="0.3">
      <c r="A6801" s="397"/>
      <c r="B6801" s="709">
        <v>94991</v>
      </c>
      <c r="C6801" s="710" t="s">
        <v>256</v>
      </c>
      <c r="D6801" s="709" t="s">
        <v>170</v>
      </c>
      <c r="E6801" s="711">
        <v>0.1118</v>
      </c>
    </row>
    <row r="6802" spans="1:5" x14ac:dyDescent="0.3">
      <c r="A6802" s="397"/>
      <c r="B6802" s="709">
        <v>104626</v>
      </c>
      <c r="C6802" s="710" t="s">
        <v>6765</v>
      </c>
      <c r="D6802" s="709" t="s">
        <v>170</v>
      </c>
      <c r="E6802" s="711">
        <v>0.1091</v>
      </c>
    </row>
    <row r="6803" spans="1:5" x14ac:dyDescent="0.3">
      <c r="A6803" s="397"/>
      <c r="B6803" s="709">
        <v>94993</v>
      </c>
      <c r="C6803" s="710" t="s">
        <v>6766</v>
      </c>
      <c r="D6803" s="709" t="s">
        <v>168</v>
      </c>
      <c r="E6803" s="711">
        <v>0.1094</v>
      </c>
    </row>
    <row r="6804" spans="1:5" x14ac:dyDescent="0.3">
      <c r="A6804" s="397"/>
      <c r="B6804" s="709">
        <v>94995</v>
      </c>
      <c r="C6804" s="710" t="s">
        <v>6767</v>
      </c>
      <c r="D6804" s="709" t="s">
        <v>168</v>
      </c>
      <c r="E6804" s="711">
        <v>0.1154</v>
      </c>
    </row>
    <row r="6805" spans="1:5" x14ac:dyDescent="0.3">
      <c r="A6805" s="397"/>
      <c r="B6805" s="709">
        <v>101169</v>
      </c>
      <c r="C6805" s="710" t="s">
        <v>6768</v>
      </c>
      <c r="D6805" s="709" t="s">
        <v>168</v>
      </c>
      <c r="E6805" s="711">
        <v>0.19020000000000001</v>
      </c>
    </row>
    <row r="6806" spans="1:5" x14ac:dyDescent="0.3">
      <c r="A6806" s="397"/>
      <c r="B6806" s="709">
        <v>101167</v>
      </c>
      <c r="C6806" s="710" t="s">
        <v>6770</v>
      </c>
      <c r="D6806" s="709" t="s">
        <v>168</v>
      </c>
      <c r="E6806" s="711">
        <v>0.15939999999999999</v>
      </c>
    </row>
    <row r="6807" spans="1:5" x14ac:dyDescent="0.3">
      <c r="A6807" s="397"/>
      <c r="B6807" s="709">
        <v>101172</v>
      </c>
      <c r="C6807" s="710" t="s">
        <v>6771</v>
      </c>
      <c r="D6807" s="709" t="s">
        <v>168</v>
      </c>
      <c r="E6807" s="711">
        <v>0.33550000000000002</v>
      </c>
    </row>
    <row r="6808" spans="1:5" x14ac:dyDescent="0.3">
      <c r="A6808" s="397"/>
      <c r="B6808" s="709">
        <v>101170</v>
      </c>
      <c r="C6808" s="710" t="s">
        <v>6773</v>
      </c>
      <c r="D6808" s="709" t="s">
        <v>168</v>
      </c>
      <c r="E6808" s="711">
        <v>0.33629999999999999</v>
      </c>
    </row>
    <row r="6809" spans="1:5" x14ac:dyDescent="0.3">
      <c r="A6809" s="397"/>
      <c r="B6809" s="709">
        <v>92402</v>
      </c>
      <c r="C6809" s="710" t="s">
        <v>6775</v>
      </c>
      <c r="D6809" s="709" t="s">
        <v>168</v>
      </c>
      <c r="E6809" s="711">
        <v>0.2107</v>
      </c>
    </row>
    <row r="6810" spans="1:5" x14ac:dyDescent="0.3">
      <c r="A6810" s="397"/>
      <c r="B6810" s="709">
        <v>104432</v>
      </c>
      <c r="C6810" s="710" t="s">
        <v>6780</v>
      </c>
      <c r="D6810" s="709" t="s">
        <v>168</v>
      </c>
      <c r="E6810" s="711">
        <v>0.22620000000000001</v>
      </c>
    </row>
    <row r="6811" spans="1:5" x14ac:dyDescent="0.3">
      <c r="A6811" s="397"/>
      <c r="B6811" s="709">
        <v>93679</v>
      </c>
      <c r="C6811" s="710" t="s">
        <v>6781</v>
      </c>
      <c r="D6811" s="709" t="s">
        <v>168</v>
      </c>
      <c r="E6811" s="711">
        <v>0.20100000000000001</v>
      </c>
    </row>
    <row r="6812" spans="1:5" x14ac:dyDescent="0.3">
      <c r="A6812" s="397"/>
      <c r="B6812" s="709">
        <v>92396</v>
      </c>
      <c r="C6812" s="710" t="s">
        <v>6782</v>
      </c>
      <c r="D6812" s="709" t="s">
        <v>168</v>
      </c>
      <c r="E6812" s="711">
        <v>0.23669999999999999</v>
      </c>
    </row>
    <row r="6813" spans="1:5" x14ac:dyDescent="0.3">
      <c r="A6813" s="397"/>
      <c r="B6813" s="709">
        <v>92406</v>
      </c>
      <c r="C6813" s="710" t="s">
        <v>6785</v>
      </c>
      <c r="D6813" s="709" t="s">
        <v>168</v>
      </c>
      <c r="E6813" s="711">
        <v>0.10580000000000001</v>
      </c>
    </row>
    <row r="6814" spans="1:5" x14ac:dyDescent="0.3">
      <c r="A6814" s="397"/>
      <c r="B6814" s="709">
        <v>92403</v>
      </c>
      <c r="C6814" s="710" t="s">
        <v>6786</v>
      </c>
      <c r="D6814" s="709" t="s">
        <v>168</v>
      </c>
      <c r="E6814" s="711">
        <v>0.115</v>
      </c>
    </row>
    <row r="6815" spans="1:5" x14ac:dyDescent="0.3">
      <c r="A6815" s="397"/>
      <c r="B6815" s="709">
        <v>92404</v>
      </c>
      <c r="C6815" s="710" t="s">
        <v>6787</v>
      </c>
      <c r="D6815" s="709" t="s">
        <v>168</v>
      </c>
      <c r="E6815" s="711">
        <v>0.13980000000000001</v>
      </c>
    </row>
    <row r="6816" spans="1:5" x14ac:dyDescent="0.3">
      <c r="A6816" s="397"/>
      <c r="B6816" s="709">
        <v>92391</v>
      </c>
      <c r="C6816" s="710" t="s">
        <v>6792</v>
      </c>
      <c r="D6816" s="709" t="s">
        <v>168</v>
      </c>
      <c r="E6816" s="711">
        <v>6.7900000000000002E-2</v>
      </c>
    </row>
    <row r="6817" spans="1:5" x14ac:dyDescent="0.3">
      <c r="A6817" s="397"/>
      <c r="B6817" s="709">
        <v>92392</v>
      </c>
      <c r="C6817" s="710" t="s">
        <v>6793</v>
      </c>
      <c r="D6817" s="709" t="s">
        <v>168</v>
      </c>
      <c r="E6817" s="711">
        <v>6.9699999999999998E-2</v>
      </c>
    </row>
    <row r="6818" spans="1:5" x14ac:dyDescent="0.3">
      <c r="A6818" s="397"/>
      <c r="B6818" s="709">
        <v>104433</v>
      </c>
      <c r="C6818" s="710" t="s">
        <v>6796</v>
      </c>
      <c r="D6818" s="709" t="s">
        <v>168</v>
      </c>
      <c r="E6818" s="711">
        <v>0.14480000000000001</v>
      </c>
    </row>
    <row r="6819" spans="1:5" x14ac:dyDescent="0.3">
      <c r="A6819" s="397"/>
      <c r="B6819" s="709">
        <v>93680</v>
      </c>
      <c r="C6819" s="710" t="s">
        <v>6797</v>
      </c>
      <c r="D6819" s="709" t="s">
        <v>168</v>
      </c>
      <c r="E6819" s="711">
        <v>0.1229</v>
      </c>
    </row>
    <row r="6820" spans="1:5" x14ac:dyDescent="0.3">
      <c r="A6820" s="397"/>
      <c r="B6820" s="709">
        <v>93681</v>
      </c>
      <c r="C6820" s="710" t="s">
        <v>6798</v>
      </c>
      <c r="D6820" s="709" t="s">
        <v>168</v>
      </c>
      <c r="E6820" s="711">
        <v>0.1346</v>
      </c>
    </row>
    <row r="6821" spans="1:5" x14ac:dyDescent="0.3">
      <c r="A6821" s="397"/>
      <c r="B6821" s="709">
        <v>92397</v>
      </c>
      <c r="C6821" s="710" t="s">
        <v>6799</v>
      </c>
      <c r="D6821" s="709" t="s">
        <v>168</v>
      </c>
      <c r="E6821" s="711">
        <v>0.14749999999999999</v>
      </c>
    </row>
    <row r="6822" spans="1:5" x14ac:dyDescent="0.3">
      <c r="A6822" s="397"/>
      <c r="B6822" s="709">
        <v>92398</v>
      </c>
      <c r="C6822" s="710" t="s">
        <v>6800</v>
      </c>
      <c r="D6822" s="709" t="s">
        <v>168</v>
      </c>
      <c r="E6822" s="711">
        <v>0.16719999999999999</v>
      </c>
    </row>
    <row r="6823" spans="1:5" x14ac:dyDescent="0.3">
      <c r="A6823" s="397"/>
      <c r="B6823" s="709">
        <v>92400</v>
      </c>
      <c r="C6823" s="710" t="s">
        <v>6801</v>
      </c>
      <c r="D6823" s="709" t="s">
        <v>168</v>
      </c>
      <c r="E6823" s="711">
        <v>0.1769</v>
      </c>
    </row>
    <row r="6824" spans="1:5" x14ac:dyDescent="0.3">
      <c r="A6824" s="397"/>
      <c r="B6824" s="709">
        <v>92395</v>
      </c>
      <c r="C6824" s="710" t="s">
        <v>6802</v>
      </c>
      <c r="D6824" s="709" t="s">
        <v>168</v>
      </c>
      <c r="E6824" s="711">
        <v>0.1032</v>
      </c>
    </row>
    <row r="6825" spans="1:5" x14ac:dyDescent="0.3">
      <c r="A6825" s="397"/>
      <c r="B6825" s="709">
        <v>92393</v>
      </c>
      <c r="C6825" s="710" t="s">
        <v>6803</v>
      </c>
      <c r="D6825" s="709" t="s">
        <v>168</v>
      </c>
      <c r="E6825" s="711">
        <v>8.6699999999999999E-2</v>
      </c>
    </row>
    <row r="6826" spans="1:5" x14ac:dyDescent="0.3">
      <c r="A6826" s="397"/>
      <c r="B6826" s="709">
        <v>92394</v>
      </c>
      <c r="C6826" s="710" t="s">
        <v>6804</v>
      </c>
      <c r="D6826" s="709" t="s">
        <v>168</v>
      </c>
      <c r="E6826" s="711">
        <v>9.8599999999999993E-2</v>
      </c>
    </row>
    <row r="6827" spans="1:5" x14ac:dyDescent="0.3">
      <c r="A6827" s="397"/>
      <c r="B6827" s="709">
        <v>97115</v>
      </c>
      <c r="C6827" s="710" t="s">
        <v>6805</v>
      </c>
      <c r="D6827" s="709" t="s">
        <v>175</v>
      </c>
      <c r="E6827" s="711">
        <v>0.2576</v>
      </c>
    </row>
    <row r="6828" spans="1:5" x14ac:dyDescent="0.3">
      <c r="A6828" s="397"/>
      <c r="B6828" s="709">
        <v>97113</v>
      </c>
      <c r="C6828" s="710" t="s">
        <v>6806</v>
      </c>
      <c r="D6828" s="709" t="s">
        <v>168</v>
      </c>
      <c r="E6828" s="711">
        <v>0.10639999999999999</v>
      </c>
    </row>
    <row r="6829" spans="1:5" x14ac:dyDescent="0.3">
      <c r="A6829" s="397"/>
      <c r="B6829" s="709">
        <v>97120</v>
      </c>
      <c r="C6829" s="710" t="s">
        <v>6807</v>
      </c>
      <c r="D6829" s="709" t="s">
        <v>175</v>
      </c>
      <c r="E6829" s="711">
        <v>0.1895</v>
      </c>
    </row>
    <row r="6830" spans="1:5" x14ac:dyDescent="0.3">
      <c r="A6830" s="397"/>
      <c r="B6830" s="709">
        <v>97116</v>
      </c>
      <c r="C6830" s="710" t="s">
        <v>6808</v>
      </c>
      <c r="D6830" s="709" t="s">
        <v>175</v>
      </c>
      <c r="E6830" s="711">
        <v>0.47049999999999997</v>
      </c>
    </row>
    <row r="6831" spans="1:5" x14ac:dyDescent="0.3">
      <c r="A6831" s="397"/>
      <c r="B6831" s="709">
        <v>97117</v>
      </c>
      <c r="C6831" s="710" t="s">
        <v>6809</v>
      </c>
      <c r="D6831" s="709" t="s">
        <v>175</v>
      </c>
      <c r="E6831" s="711">
        <v>0.35610000000000003</v>
      </c>
    </row>
    <row r="6832" spans="1:5" x14ac:dyDescent="0.3">
      <c r="A6832" s="397"/>
      <c r="B6832" s="709">
        <v>97118</v>
      </c>
      <c r="C6832" s="710" t="s">
        <v>6810</v>
      </c>
      <c r="D6832" s="709" t="s">
        <v>175</v>
      </c>
      <c r="E6832" s="711">
        <v>0.28100000000000003</v>
      </c>
    </row>
    <row r="6833" spans="1:5" x14ac:dyDescent="0.3">
      <c r="A6833" s="397"/>
      <c r="B6833" s="709">
        <v>97119</v>
      </c>
      <c r="C6833" s="710" t="s">
        <v>6811</v>
      </c>
      <c r="D6833" s="709" t="s">
        <v>175</v>
      </c>
      <c r="E6833" s="711">
        <v>0.19439999999999999</v>
      </c>
    </row>
    <row r="6834" spans="1:5" x14ac:dyDescent="0.3">
      <c r="A6834" s="397"/>
      <c r="B6834" s="709">
        <v>97114</v>
      </c>
      <c r="C6834" s="710" t="s">
        <v>6812</v>
      </c>
      <c r="D6834" s="709" t="s">
        <v>159</v>
      </c>
      <c r="E6834" s="711">
        <v>0.95450000000000002</v>
      </c>
    </row>
    <row r="6835" spans="1:5" x14ac:dyDescent="0.3">
      <c r="A6835" s="397"/>
      <c r="B6835" s="709">
        <v>97111</v>
      </c>
      <c r="C6835" s="710" t="s">
        <v>6813</v>
      </c>
      <c r="D6835" s="709" t="s">
        <v>168</v>
      </c>
      <c r="E6835" s="711">
        <v>9.9599999999999994E-2</v>
      </c>
    </row>
    <row r="6836" spans="1:5" x14ac:dyDescent="0.3">
      <c r="A6836" s="397"/>
      <c r="B6836" s="709">
        <v>97112</v>
      </c>
      <c r="C6836" s="710" t="s">
        <v>6814</v>
      </c>
      <c r="D6836" s="709" t="s">
        <v>168</v>
      </c>
      <c r="E6836" s="711">
        <v>0.10009999999999999</v>
      </c>
    </row>
    <row r="6837" spans="1:5" x14ac:dyDescent="0.3">
      <c r="A6837" s="397"/>
      <c r="B6837" s="709">
        <v>103904</v>
      </c>
      <c r="C6837" s="710" t="s">
        <v>6815</v>
      </c>
      <c r="D6837" s="709" t="s">
        <v>168</v>
      </c>
      <c r="E6837" s="711">
        <v>0.1241</v>
      </c>
    </row>
    <row r="6838" spans="1:5" x14ac:dyDescent="0.3">
      <c r="A6838" s="397"/>
      <c r="B6838" s="709">
        <v>103905</v>
      </c>
      <c r="C6838" s="710" t="s">
        <v>6816</v>
      </c>
      <c r="D6838" s="709" t="s">
        <v>168</v>
      </c>
      <c r="E6838" s="711">
        <v>0.1211</v>
      </c>
    </row>
    <row r="6839" spans="1:5" x14ac:dyDescent="0.3">
      <c r="A6839" s="397"/>
      <c r="B6839" s="709">
        <v>103907</v>
      </c>
      <c r="C6839" s="710" t="s">
        <v>6817</v>
      </c>
      <c r="D6839" s="709" t="s">
        <v>168</v>
      </c>
      <c r="E6839" s="711">
        <v>0.1176</v>
      </c>
    </row>
    <row r="6840" spans="1:5" x14ac:dyDescent="0.3">
      <c r="A6840" s="397"/>
      <c r="B6840" s="709">
        <v>103911</v>
      </c>
      <c r="C6840" s="710" t="s">
        <v>6818</v>
      </c>
      <c r="D6840" s="709" t="s">
        <v>168</v>
      </c>
      <c r="E6840" s="711">
        <v>9.7299999999999998E-2</v>
      </c>
    </row>
    <row r="6841" spans="1:5" x14ac:dyDescent="0.3">
      <c r="A6841" s="397"/>
      <c r="B6841" s="709">
        <v>97104</v>
      </c>
      <c r="C6841" s="710" t="s">
        <v>6819</v>
      </c>
      <c r="D6841" s="709" t="s">
        <v>168</v>
      </c>
      <c r="E6841" s="711">
        <v>0.12039999999999999</v>
      </c>
    </row>
    <row r="6842" spans="1:5" x14ac:dyDescent="0.3">
      <c r="A6842" s="397"/>
      <c r="B6842" s="709">
        <v>103906</v>
      </c>
      <c r="C6842" s="710" t="s">
        <v>6820</v>
      </c>
      <c r="D6842" s="709" t="s">
        <v>168</v>
      </c>
      <c r="E6842" s="711">
        <v>0.13730000000000001</v>
      </c>
    </row>
    <row r="6843" spans="1:5" x14ac:dyDescent="0.3">
      <c r="A6843" s="397"/>
      <c r="B6843" s="709">
        <v>97105</v>
      </c>
      <c r="C6843" s="710" t="s">
        <v>6821</v>
      </c>
      <c r="D6843" s="709" t="s">
        <v>168</v>
      </c>
      <c r="E6843" s="711">
        <v>0.1138</v>
      </c>
    </row>
    <row r="6844" spans="1:5" x14ac:dyDescent="0.3">
      <c r="A6844" s="397"/>
      <c r="B6844" s="709">
        <v>97106</v>
      </c>
      <c r="C6844" s="710" t="s">
        <v>6822</v>
      </c>
      <c r="D6844" s="709" t="s">
        <v>168</v>
      </c>
      <c r="E6844" s="711">
        <v>0.10829999999999999</v>
      </c>
    </row>
    <row r="6845" spans="1:5" x14ac:dyDescent="0.3">
      <c r="A6845" s="397"/>
      <c r="B6845" s="709">
        <v>97107</v>
      </c>
      <c r="C6845" s="710" t="s">
        <v>6823</v>
      </c>
      <c r="D6845" s="709" t="s">
        <v>168</v>
      </c>
      <c r="E6845" s="711">
        <v>0.1012</v>
      </c>
    </row>
    <row r="6846" spans="1:5" x14ac:dyDescent="0.3">
      <c r="A6846" s="397"/>
      <c r="B6846" s="709">
        <v>97108</v>
      </c>
      <c r="C6846" s="710" t="s">
        <v>6824</v>
      </c>
      <c r="D6846" s="709" t="s">
        <v>168</v>
      </c>
      <c r="E6846" s="711">
        <v>9.4299999999999995E-2</v>
      </c>
    </row>
    <row r="6847" spans="1:5" x14ac:dyDescent="0.3">
      <c r="A6847" s="397"/>
      <c r="B6847" s="709">
        <v>97109</v>
      </c>
      <c r="C6847" s="710" t="s">
        <v>6825</v>
      </c>
      <c r="D6847" s="709" t="s">
        <v>168</v>
      </c>
      <c r="E6847" s="711">
        <v>9.3100000000000002E-2</v>
      </c>
    </row>
    <row r="6848" spans="1:5" x14ac:dyDescent="0.3">
      <c r="A6848" s="397"/>
      <c r="B6848" s="709">
        <v>103913</v>
      </c>
      <c r="C6848" s="710" t="s">
        <v>6826</v>
      </c>
      <c r="D6848" s="709" t="s">
        <v>168</v>
      </c>
      <c r="E6848" s="711">
        <v>0.1062</v>
      </c>
    </row>
    <row r="6849" spans="1:5" x14ac:dyDescent="0.3">
      <c r="A6849" s="397"/>
      <c r="B6849" s="709">
        <v>103914</v>
      </c>
      <c r="C6849" s="710" t="s">
        <v>6827</v>
      </c>
      <c r="D6849" s="709" t="s">
        <v>168</v>
      </c>
      <c r="E6849" s="711">
        <v>0.1026</v>
      </c>
    </row>
    <row r="6850" spans="1:5" x14ac:dyDescent="0.3">
      <c r="A6850" s="397"/>
      <c r="B6850" s="709">
        <v>103915</v>
      </c>
      <c r="C6850" s="710" t="s">
        <v>6828</v>
      </c>
      <c r="D6850" s="709" t="s">
        <v>168</v>
      </c>
      <c r="E6850" s="711">
        <v>0.1</v>
      </c>
    </row>
    <row r="6851" spans="1:5" x14ac:dyDescent="0.3">
      <c r="A6851" s="397"/>
      <c r="B6851" s="709">
        <v>103916</v>
      </c>
      <c r="C6851" s="710" t="s">
        <v>6829</v>
      </c>
      <c r="D6851" s="709" t="s">
        <v>168</v>
      </c>
      <c r="E6851" s="711">
        <v>9.6600000000000005E-2</v>
      </c>
    </row>
    <row r="6852" spans="1:5" x14ac:dyDescent="0.3">
      <c r="A6852" s="397"/>
      <c r="B6852" s="709">
        <v>103917</v>
      </c>
      <c r="C6852" s="710" t="s">
        <v>6830</v>
      </c>
      <c r="D6852" s="709" t="s">
        <v>168</v>
      </c>
      <c r="E6852" s="711">
        <v>9.2100000000000001E-2</v>
      </c>
    </row>
    <row r="6853" spans="1:5" x14ac:dyDescent="0.3">
      <c r="A6853" s="397"/>
      <c r="B6853" s="709">
        <v>103918</v>
      </c>
      <c r="C6853" s="710" t="s">
        <v>6831</v>
      </c>
      <c r="D6853" s="709" t="s">
        <v>168</v>
      </c>
      <c r="E6853" s="711">
        <v>9.0499999999999997E-2</v>
      </c>
    </row>
    <row r="6854" spans="1:5" x14ac:dyDescent="0.3">
      <c r="A6854" s="397"/>
      <c r="B6854" s="709">
        <v>103908</v>
      </c>
      <c r="C6854" s="710" t="s">
        <v>6837</v>
      </c>
      <c r="D6854" s="709" t="s">
        <v>168</v>
      </c>
      <c r="E6854" s="711">
        <v>0.1118</v>
      </c>
    </row>
    <row r="6855" spans="1:5" x14ac:dyDescent="0.3">
      <c r="A6855" s="397"/>
      <c r="B6855" s="709">
        <v>103909</v>
      </c>
      <c r="C6855" s="710" t="s">
        <v>6838</v>
      </c>
      <c r="D6855" s="709" t="s">
        <v>168</v>
      </c>
      <c r="E6855" s="711">
        <v>0.10440000000000001</v>
      </c>
    </row>
    <row r="6856" spans="1:5" x14ac:dyDescent="0.3">
      <c r="A6856" s="397"/>
      <c r="B6856" s="709">
        <v>103912</v>
      </c>
      <c r="C6856" s="710" t="s">
        <v>6839</v>
      </c>
      <c r="D6856" s="709" t="s">
        <v>168</v>
      </c>
      <c r="E6856" s="711">
        <v>9.6100000000000005E-2</v>
      </c>
    </row>
    <row r="6857" spans="1:5" x14ac:dyDescent="0.3">
      <c r="A6857" s="397"/>
      <c r="B6857" s="709">
        <v>101979</v>
      </c>
      <c r="C6857" s="710" t="s">
        <v>6840</v>
      </c>
      <c r="D6857" s="709" t="s">
        <v>159</v>
      </c>
      <c r="E6857" s="711">
        <v>0.1822</v>
      </c>
    </row>
    <row r="6858" spans="1:5" x14ac:dyDescent="0.3">
      <c r="A6858" s="397"/>
      <c r="B6858" s="709">
        <v>101966</v>
      </c>
      <c r="C6858" s="710" t="s">
        <v>6843</v>
      </c>
      <c r="D6858" s="709" t="s">
        <v>159</v>
      </c>
      <c r="E6858" s="711">
        <v>6.5299999999999997E-2</v>
      </c>
    </row>
    <row r="6859" spans="1:5" x14ac:dyDescent="0.3">
      <c r="A6859" s="397"/>
      <c r="B6859" s="709">
        <v>101965</v>
      </c>
      <c r="C6859" s="710" t="s">
        <v>6848</v>
      </c>
      <c r="D6859" s="709" t="s">
        <v>159</v>
      </c>
      <c r="E6859" s="711">
        <v>0.1827</v>
      </c>
    </row>
    <row r="6860" spans="1:5" x14ac:dyDescent="0.3">
      <c r="A6860" s="397"/>
      <c r="B6860" s="709">
        <v>92123</v>
      </c>
      <c r="C6860" s="710" t="s">
        <v>14356</v>
      </c>
      <c r="D6860" s="709" t="s">
        <v>170</v>
      </c>
      <c r="E6860" s="711">
        <v>0.44850000000000001</v>
      </c>
    </row>
    <row r="6861" spans="1:5" x14ac:dyDescent="0.3">
      <c r="A6861" s="397"/>
      <c r="B6861" s="709">
        <v>92122</v>
      </c>
      <c r="C6861" s="710" t="s">
        <v>14357</v>
      </c>
      <c r="D6861" s="709" t="s">
        <v>170</v>
      </c>
      <c r="E6861" s="711">
        <v>0.91959999999999997</v>
      </c>
    </row>
    <row r="6862" spans="1:5" x14ac:dyDescent="0.3">
      <c r="A6862" s="397"/>
      <c r="B6862" s="709">
        <v>88412</v>
      </c>
      <c r="C6862" s="710" t="s">
        <v>6920</v>
      </c>
      <c r="D6862" s="709" t="s">
        <v>168</v>
      </c>
      <c r="E6862" s="711">
        <v>0.31609999999999999</v>
      </c>
    </row>
    <row r="6863" spans="1:5" x14ac:dyDescent="0.3">
      <c r="A6863" s="397"/>
      <c r="B6863" s="709">
        <v>88411</v>
      </c>
      <c r="C6863" s="710" t="s">
        <v>6921</v>
      </c>
      <c r="D6863" s="709" t="s">
        <v>168</v>
      </c>
      <c r="E6863" s="711">
        <v>0.41270000000000001</v>
      </c>
    </row>
    <row r="6864" spans="1:5" x14ac:dyDescent="0.3">
      <c r="A6864" s="397"/>
      <c r="B6864" s="709">
        <v>88415</v>
      </c>
      <c r="C6864" s="710" t="s">
        <v>6922</v>
      </c>
      <c r="D6864" s="709" t="s">
        <v>168</v>
      </c>
      <c r="E6864" s="711">
        <v>0.44440000000000002</v>
      </c>
    </row>
    <row r="6865" spans="1:5" x14ac:dyDescent="0.3">
      <c r="A6865" s="397"/>
      <c r="B6865" s="709">
        <v>88413</v>
      </c>
      <c r="C6865" s="710" t="s">
        <v>6923</v>
      </c>
      <c r="D6865" s="709" t="s">
        <v>168</v>
      </c>
      <c r="E6865" s="711">
        <v>0.57169999999999999</v>
      </c>
    </row>
    <row r="6866" spans="1:5" x14ac:dyDescent="0.3">
      <c r="A6866" s="397"/>
      <c r="B6866" s="709">
        <v>88414</v>
      </c>
      <c r="C6866" s="710" t="s">
        <v>6924</v>
      </c>
      <c r="D6866" s="709" t="s">
        <v>168</v>
      </c>
      <c r="E6866" s="711">
        <v>0.55410000000000004</v>
      </c>
    </row>
    <row r="6867" spans="1:5" x14ac:dyDescent="0.3">
      <c r="A6867" s="397"/>
      <c r="B6867" s="709">
        <v>96131</v>
      </c>
      <c r="C6867" s="710" t="s">
        <v>6925</v>
      </c>
      <c r="D6867" s="709" t="s">
        <v>168</v>
      </c>
      <c r="E6867" s="711">
        <v>0.64510000000000001</v>
      </c>
    </row>
    <row r="6868" spans="1:5" x14ac:dyDescent="0.3">
      <c r="A6868" s="397"/>
      <c r="B6868" s="709">
        <v>96126</v>
      </c>
      <c r="C6868" s="710" t="s">
        <v>6926</v>
      </c>
      <c r="D6868" s="709" t="s">
        <v>168</v>
      </c>
      <c r="E6868" s="711">
        <v>0.69489999999999996</v>
      </c>
    </row>
    <row r="6869" spans="1:5" x14ac:dyDescent="0.3">
      <c r="A6869" s="397"/>
      <c r="B6869" s="709">
        <v>96132</v>
      </c>
      <c r="C6869" s="710" t="s">
        <v>6927</v>
      </c>
      <c r="D6869" s="709" t="s">
        <v>168</v>
      </c>
      <c r="E6869" s="711">
        <v>0.50780000000000003</v>
      </c>
    </row>
    <row r="6870" spans="1:5" x14ac:dyDescent="0.3">
      <c r="A6870" s="397"/>
      <c r="B6870" s="709">
        <v>96127</v>
      </c>
      <c r="C6870" s="710" t="s">
        <v>6928</v>
      </c>
      <c r="D6870" s="709" t="s">
        <v>168</v>
      </c>
      <c r="E6870" s="711">
        <v>0.56410000000000005</v>
      </c>
    </row>
    <row r="6871" spans="1:5" x14ac:dyDescent="0.3">
      <c r="A6871" s="397"/>
      <c r="B6871" s="709">
        <v>96135</v>
      </c>
      <c r="C6871" s="710" t="s">
        <v>6929</v>
      </c>
      <c r="D6871" s="709" t="s">
        <v>168</v>
      </c>
      <c r="E6871" s="711">
        <v>0.67930000000000001</v>
      </c>
    </row>
    <row r="6872" spans="1:5" x14ac:dyDescent="0.3">
      <c r="A6872" s="397"/>
      <c r="B6872" s="709">
        <v>96130</v>
      </c>
      <c r="C6872" s="710" t="s">
        <v>6930</v>
      </c>
      <c r="D6872" s="709" t="s">
        <v>168</v>
      </c>
      <c r="E6872" s="711">
        <v>0.72629999999999995</v>
      </c>
    </row>
    <row r="6873" spans="1:5" x14ac:dyDescent="0.3">
      <c r="A6873" s="397"/>
      <c r="B6873" s="709">
        <v>96133</v>
      </c>
      <c r="C6873" s="710" t="s">
        <v>6931</v>
      </c>
      <c r="D6873" s="709" t="s">
        <v>168</v>
      </c>
      <c r="E6873" s="711">
        <v>0.79049999999999998</v>
      </c>
    </row>
    <row r="6874" spans="1:5" x14ac:dyDescent="0.3">
      <c r="A6874" s="397"/>
      <c r="B6874" s="709">
        <v>96128</v>
      </c>
      <c r="C6874" s="710" t="s">
        <v>6932</v>
      </c>
      <c r="D6874" s="709" t="s">
        <v>168</v>
      </c>
      <c r="E6874" s="711">
        <v>0.8256</v>
      </c>
    </row>
    <row r="6875" spans="1:5" x14ac:dyDescent="0.3">
      <c r="A6875" s="397"/>
      <c r="B6875" s="709">
        <v>96134</v>
      </c>
      <c r="C6875" s="710" t="s">
        <v>6933</v>
      </c>
      <c r="D6875" s="709" t="s">
        <v>168</v>
      </c>
      <c r="E6875" s="711">
        <v>0.78110000000000002</v>
      </c>
    </row>
    <row r="6876" spans="1:5" x14ac:dyDescent="0.3">
      <c r="A6876" s="397"/>
      <c r="B6876" s="709">
        <v>96129</v>
      </c>
      <c r="C6876" s="710" t="s">
        <v>6934</v>
      </c>
      <c r="D6876" s="709" t="s">
        <v>168</v>
      </c>
      <c r="E6876" s="711">
        <v>0.81730000000000003</v>
      </c>
    </row>
    <row r="6877" spans="1:5" x14ac:dyDescent="0.3">
      <c r="A6877" s="397"/>
      <c r="B6877" s="709">
        <v>88432</v>
      </c>
      <c r="C6877" s="710" t="s">
        <v>6935</v>
      </c>
      <c r="D6877" s="709" t="s">
        <v>168</v>
      </c>
      <c r="E6877" s="711">
        <v>0.50670000000000004</v>
      </c>
    </row>
    <row r="6878" spans="1:5" x14ac:dyDescent="0.3">
      <c r="A6878" s="397"/>
      <c r="B6878" s="709">
        <v>88426</v>
      </c>
      <c r="C6878" s="710" t="s">
        <v>6936</v>
      </c>
      <c r="D6878" s="709" t="s">
        <v>168</v>
      </c>
      <c r="E6878" s="711">
        <v>0.21740000000000001</v>
      </c>
    </row>
    <row r="6879" spans="1:5" x14ac:dyDescent="0.3">
      <c r="A6879" s="397"/>
      <c r="B6879" s="709">
        <v>88417</v>
      </c>
      <c r="C6879" s="710" t="s">
        <v>6937</v>
      </c>
      <c r="D6879" s="709" t="s">
        <v>168</v>
      </c>
      <c r="E6879" s="711">
        <v>0.13439999999999999</v>
      </c>
    </row>
    <row r="6880" spans="1:5" x14ac:dyDescent="0.3">
      <c r="A6880" s="397"/>
      <c r="B6880" s="709">
        <v>88424</v>
      </c>
      <c r="C6880" s="710" t="s">
        <v>6938</v>
      </c>
      <c r="D6880" s="709" t="s">
        <v>168</v>
      </c>
      <c r="E6880" s="711">
        <v>0.32500000000000001</v>
      </c>
    </row>
    <row r="6881" spans="1:5" x14ac:dyDescent="0.3">
      <c r="A6881" s="397"/>
      <c r="B6881" s="709">
        <v>88416</v>
      </c>
      <c r="C6881" s="710" t="s">
        <v>6939</v>
      </c>
      <c r="D6881" s="709" t="s">
        <v>168</v>
      </c>
      <c r="E6881" s="711">
        <v>0.21279999999999999</v>
      </c>
    </row>
    <row r="6882" spans="1:5" x14ac:dyDescent="0.3">
      <c r="A6882" s="397"/>
      <c r="B6882" s="709">
        <v>88431</v>
      </c>
      <c r="C6882" s="710" t="s">
        <v>6940</v>
      </c>
      <c r="D6882" s="709" t="s">
        <v>168</v>
      </c>
      <c r="E6882" s="711">
        <v>0.3589</v>
      </c>
    </row>
    <row r="6883" spans="1:5" x14ac:dyDescent="0.3">
      <c r="A6883" s="397"/>
      <c r="B6883" s="709">
        <v>88423</v>
      </c>
      <c r="C6883" s="710" t="s">
        <v>6941</v>
      </c>
      <c r="D6883" s="709" t="s">
        <v>168</v>
      </c>
      <c r="E6883" s="711">
        <v>0.23910000000000001</v>
      </c>
    </row>
    <row r="6884" spans="1:5" x14ac:dyDescent="0.3">
      <c r="A6884" s="397"/>
      <c r="B6884" s="709">
        <v>88428</v>
      </c>
      <c r="C6884" s="710" t="s">
        <v>6942</v>
      </c>
      <c r="D6884" s="709" t="s">
        <v>168</v>
      </c>
      <c r="E6884" s="711">
        <v>0.49769999999999998</v>
      </c>
    </row>
    <row r="6885" spans="1:5" x14ac:dyDescent="0.3">
      <c r="A6885" s="397"/>
      <c r="B6885" s="709">
        <v>88420</v>
      </c>
      <c r="C6885" s="710" t="s">
        <v>6943</v>
      </c>
      <c r="D6885" s="709" t="s">
        <v>168</v>
      </c>
      <c r="E6885" s="711">
        <v>0.35730000000000001</v>
      </c>
    </row>
    <row r="6886" spans="1:5" x14ac:dyDescent="0.3">
      <c r="A6886" s="397"/>
      <c r="B6886" s="709">
        <v>88429</v>
      </c>
      <c r="C6886" s="710" t="s">
        <v>6944</v>
      </c>
      <c r="D6886" s="709" t="s">
        <v>168</v>
      </c>
      <c r="E6886" s="711">
        <v>0.48349999999999999</v>
      </c>
    </row>
    <row r="6887" spans="1:5" x14ac:dyDescent="0.3">
      <c r="A6887" s="397"/>
      <c r="B6887" s="709">
        <v>88421</v>
      </c>
      <c r="C6887" s="710" t="s">
        <v>6945</v>
      </c>
      <c r="D6887" s="709" t="s">
        <v>168</v>
      </c>
      <c r="E6887" s="711">
        <v>0.34429999999999999</v>
      </c>
    </row>
    <row r="6888" spans="1:5" x14ac:dyDescent="0.3">
      <c r="A6888" s="397"/>
      <c r="B6888" s="709">
        <v>95622</v>
      </c>
      <c r="C6888" s="710" t="s">
        <v>6946</v>
      </c>
      <c r="D6888" s="709" t="s">
        <v>168</v>
      </c>
      <c r="E6888" s="711">
        <v>0.5706</v>
      </c>
    </row>
    <row r="6889" spans="1:5" x14ac:dyDescent="0.3">
      <c r="A6889" s="397"/>
      <c r="B6889" s="709">
        <v>95623</v>
      </c>
      <c r="C6889" s="710" t="s">
        <v>6947</v>
      </c>
      <c r="D6889" s="709" t="s">
        <v>168</v>
      </c>
      <c r="E6889" s="711">
        <v>0.42970000000000003</v>
      </c>
    </row>
    <row r="6890" spans="1:5" x14ac:dyDescent="0.3">
      <c r="A6890" s="397"/>
      <c r="B6890" s="709">
        <v>95626</v>
      </c>
      <c r="C6890" s="710" t="s">
        <v>6948</v>
      </c>
      <c r="D6890" s="709" t="s">
        <v>168</v>
      </c>
      <c r="E6890" s="711">
        <v>0.60740000000000005</v>
      </c>
    </row>
    <row r="6891" spans="1:5" x14ac:dyDescent="0.3">
      <c r="A6891" s="397"/>
      <c r="B6891" s="709">
        <v>95624</v>
      </c>
      <c r="C6891" s="710" t="s">
        <v>6949</v>
      </c>
      <c r="D6891" s="709" t="s">
        <v>168</v>
      </c>
      <c r="E6891" s="711">
        <v>0.73399999999999999</v>
      </c>
    </row>
    <row r="6892" spans="1:5" x14ac:dyDescent="0.3">
      <c r="A6892" s="397"/>
      <c r="B6892" s="709">
        <v>95625</v>
      </c>
      <c r="C6892" s="710" t="s">
        <v>6950</v>
      </c>
      <c r="D6892" s="709" t="s">
        <v>168</v>
      </c>
      <c r="E6892" s="711">
        <v>0.72289999999999999</v>
      </c>
    </row>
    <row r="6893" spans="1:5" x14ac:dyDescent="0.3">
      <c r="A6893" s="397"/>
      <c r="B6893" s="709">
        <v>88497</v>
      </c>
      <c r="C6893" s="710" t="s">
        <v>6951</v>
      </c>
      <c r="D6893" s="709" t="s">
        <v>168</v>
      </c>
      <c r="E6893" s="711">
        <v>0.71350000000000002</v>
      </c>
    </row>
    <row r="6894" spans="1:5" x14ac:dyDescent="0.3">
      <c r="A6894" s="397"/>
      <c r="B6894" s="709">
        <v>88495</v>
      </c>
      <c r="C6894" s="710" t="s">
        <v>6953</v>
      </c>
      <c r="D6894" s="709" t="s">
        <v>168</v>
      </c>
      <c r="E6894" s="711">
        <v>0.75800000000000001</v>
      </c>
    </row>
    <row r="6895" spans="1:5" x14ac:dyDescent="0.3">
      <c r="A6895" s="397"/>
      <c r="B6895" s="709">
        <v>88496</v>
      </c>
      <c r="C6895" s="710" t="s">
        <v>6955</v>
      </c>
      <c r="D6895" s="709" t="s">
        <v>168</v>
      </c>
      <c r="E6895" s="711">
        <v>0.83660000000000001</v>
      </c>
    </row>
    <row r="6896" spans="1:5" x14ac:dyDescent="0.3">
      <c r="A6896" s="397"/>
      <c r="B6896" s="709">
        <v>88494</v>
      </c>
      <c r="C6896" s="710" t="s">
        <v>6957</v>
      </c>
      <c r="D6896" s="709" t="s">
        <v>168</v>
      </c>
      <c r="E6896" s="711">
        <v>0.86550000000000005</v>
      </c>
    </row>
    <row r="6897" spans="1:5" x14ac:dyDescent="0.3">
      <c r="A6897" s="397"/>
      <c r="B6897" s="709">
        <v>88485</v>
      </c>
      <c r="C6897" s="710" t="s">
        <v>6959</v>
      </c>
      <c r="D6897" s="709" t="s">
        <v>168</v>
      </c>
      <c r="E6897" s="711">
        <v>0.65169999999999995</v>
      </c>
    </row>
    <row r="6898" spans="1:5" x14ac:dyDescent="0.3">
      <c r="A6898" s="397"/>
      <c r="B6898" s="709">
        <v>88484</v>
      </c>
      <c r="C6898" s="710" t="s">
        <v>6960</v>
      </c>
      <c r="D6898" s="709" t="s">
        <v>168</v>
      </c>
      <c r="E6898" s="711">
        <v>0.72260000000000002</v>
      </c>
    </row>
    <row r="6899" spans="1:5" x14ac:dyDescent="0.3">
      <c r="A6899" s="397"/>
      <c r="B6899" s="709">
        <v>104641</v>
      </c>
      <c r="C6899" s="710" t="s">
        <v>6963</v>
      </c>
      <c r="D6899" s="709" t="s">
        <v>168</v>
      </c>
      <c r="E6899" s="711">
        <v>0.64529999999999998</v>
      </c>
    </row>
    <row r="6900" spans="1:5" x14ac:dyDescent="0.3">
      <c r="A6900" s="397"/>
      <c r="B6900" s="709">
        <v>104639</v>
      </c>
      <c r="C6900" s="710" t="s">
        <v>6964</v>
      </c>
      <c r="D6900" s="709" t="s">
        <v>168</v>
      </c>
      <c r="E6900" s="711">
        <v>0.71699999999999997</v>
      </c>
    </row>
    <row r="6901" spans="1:5" x14ac:dyDescent="0.3">
      <c r="A6901" s="397"/>
      <c r="B6901" s="709">
        <v>88489</v>
      </c>
      <c r="C6901" s="710" t="s">
        <v>6967</v>
      </c>
      <c r="D6901" s="709" t="s">
        <v>168</v>
      </c>
      <c r="E6901" s="711">
        <v>0.47070000000000001</v>
      </c>
    </row>
    <row r="6902" spans="1:5" x14ac:dyDescent="0.3">
      <c r="A6902" s="397"/>
      <c r="B6902" s="709">
        <v>88488</v>
      </c>
      <c r="C6902" s="710" t="s">
        <v>6968</v>
      </c>
      <c r="D6902" s="709" t="s">
        <v>168</v>
      </c>
      <c r="E6902" s="711">
        <v>0.55330000000000001</v>
      </c>
    </row>
    <row r="6903" spans="1:5" x14ac:dyDescent="0.3">
      <c r="A6903" s="397"/>
      <c r="B6903" s="709">
        <v>104642</v>
      </c>
      <c r="C6903" s="710" t="s">
        <v>6969</v>
      </c>
      <c r="D6903" s="709" t="s">
        <v>168</v>
      </c>
      <c r="E6903" s="711">
        <v>0.56720000000000004</v>
      </c>
    </row>
    <row r="6904" spans="1:5" x14ac:dyDescent="0.3">
      <c r="A6904" s="397"/>
      <c r="B6904" s="709">
        <v>104640</v>
      </c>
      <c r="C6904" s="710" t="s">
        <v>6970</v>
      </c>
      <c r="D6904" s="709" t="s">
        <v>168</v>
      </c>
      <c r="E6904" s="711">
        <v>0.64600000000000002</v>
      </c>
    </row>
    <row r="6905" spans="1:5" x14ac:dyDescent="0.3">
      <c r="A6905" s="397"/>
      <c r="B6905" s="709">
        <v>95305</v>
      </c>
      <c r="C6905" s="710" t="s">
        <v>6971</v>
      </c>
      <c r="D6905" s="709" t="s">
        <v>168</v>
      </c>
      <c r="E6905" s="711">
        <v>0.42020000000000002</v>
      </c>
    </row>
    <row r="6906" spans="1:5" x14ac:dyDescent="0.3">
      <c r="A6906" s="397"/>
      <c r="B6906" s="709">
        <v>95306</v>
      </c>
      <c r="C6906" s="710" t="s">
        <v>6972</v>
      </c>
      <c r="D6906" s="709" t="s">
        <v>168</v>
      </c>
      <c r="E6906" s="711">
        <v>0.50229999999999997</v>
      </c>
    </row>
    <row r="6907" spans="1:5" x14ac:dyDescent="0.3">
      <c r="A6907" s="397"/>
      <c r="B6907" s="709">
        <v>102201</v>
      </c>
      <c r="C6907" s="710" t="s">
        <v>6973</v>
      </c>
      <c r="D6907" s="709" t="s">
        <v>168</v>
      </c>
      <c r="E6907" s="711">
        <v>0.66710000000000003</v>
      </c>
    </row>
    <row r="6908" spans="1:5" x14ac:dyDescent="0.3">
      <c r="A6908" s="397"/>
      <c r="B6908" s="709">
        <v>102200</v>
      </c>
      <c r="C6908" s="710" t="s">
        <v>6974</v>
      </c>
      <c r="D6908" s="709" t="s">
        <v>168</v>
      </c>
      <c r="E6908" s="711">
        <v>0.49059999999999998</v>
      </c>
    </row>
    <row r="6909" spans="1:5" x14ac:dyDescent="0.3">
      <c r="A6909" s="397"/>
      <c r="B6909" s="709">
        <v>102202</v>
      </c>
      <c r="C6909" s="710" t="s">
        <v>6975</v>
      </c>
      <c r="D6909" s="709" t="s">
        <v>168</v>
      </c>
      <c r="E6909" s="711">
        <v>0.1961</v>
      </c>
    </row>
    <row r="6910" spans="1:5" x14ac:dyDescent="0.3">
      <c r="A6910" s="397"/>
      <c r="B6910" s="709">
        <v>102193</v>
      </c>
      <c r="C6910" s="710" t="s">
        <v>6976</v>
      </c>
      <c r="D6910" s="709" t="s">
        <v>168</v>
      </c>
      <c r="E6910" s="711">
        <v>0.75</v>
      </c>
    </row>
    <row r="6911" spans="1:5" x14ac:dyDescent="0.3">
      <c r="A6911" s="397"/>
      <c r="B6911" s="709">
        <v>102194</v>
      </c>
      <c r="C6911" s="710" t="s">
        <v>6977</v>
      </c>
      <c r="D6911" s="709" t="s">
        <v>168</v>
      </c>
      <c r="E6911" s="711">
        <v>0.92030000000000001</v>
      </c>
    </row>
    <row r="6912" spans="1:5" x14ac:dyDescent="0.3">
      <c r="A6912" s="397"/>
      <c r="B6912" s="709">
        <v>102197</v>
      </c>
      <c r="C6912" s="710" t="s">
        <v>6979</v>
      </c>
      <c r="D6912" s="709" t="s">
        <v>168</v>
      </c>
      <c r="E6912" s="711">
        <v>0.28849999999999998</v>
      </c>
    </row>
    <row r="6913" spans="1:5" x14ac:dyDescent="0.3">
      <c r="A6913" s="397"/>
      <c r="B6913" s="709">
        <v>102233</v>
      </c>
      <c r="C6913" s="710" t="s">
        <v>6983</v>
      </c>
      <c r="D6913" s="709" t="s">
        <v>168</v>
      </c>
      <c r="E6913" s="711">
        <v>0.59630000000000005</v>
      </c>
    </row>
    <row r="6914" spans="1:5" x14ac:dyDescent="0.3">
      <c r="A6914" s="397"/>
      <c r="B6914" s="709">
        <v>102234</v>
      </c>
      <c r="C6914" s="710" t="s">
        <v>6984</v>
      </c>
      <c r="D6914" s="709" t="s">
        <v>168</v>
      </c>
      <c r="E6914" s="711">
        <v>0.59630000000000005</v>
      </c>
    </row>
    <row r="6915" spans="1:5" x14ac:dyDescent="0.3">
      <c r="A6915" s="397"/>
      <c r="B6915" s="709">
        <v>102207</v>
      </c>
      <c r="C6915" s="710" t="s">
        <v>6985</v>
      </c>
      <c r="D6915" s="709" t="s">
        <v>168</v>
      </c>
      <c r="E6915" s="711">
        <v>0.64800000000000002</v>
      </c>
    </row>
    <row r="6916" spans="1:5" x14ac:dyDescent="0.3">
      <c r="A6916" s="397"/>
      <c r="B6916" s="709">
        <v>102217</v>
      </c>
      <c r="C6916" s="710" t="s">
        <v>6986</v>
      </c>
      <c r="D6916" s="709" t="s">
        <v>168</v>
      </c>
      <c r="E6916" s="711">
        <v>0.64759999999999995</v>
      </c>
    </row>
    <row r="6917" spans="1:5" x14ac:dyDescent="0.3">
      <c r="A6917" s="397"/>
      <c r="B6917" s="709">
        <v>102227</v>
      </c>
      <c r="C6917" s="710" t="s">
        <v>6987</v>
      </c>
      <c r="D6917" s="709" t="s">
        <v>168</v>
      </c>
      <c r="E6917" s="711">
        <v>0.64790000000000003</v>
      </c>
    </row>
    <row r="6918" spans="1:5" x14ac:dyDescent="0.3">
      <c r="A6918" s="397"/>
      <c r="B6918" s="709">
        <v>102209</v>
      </c>
      <c r="C6918" s="710" t="s">
        <v>6991</v>
      </c>
      <c r="D6918" s="709" t="s">
        <v>168</v>
      </c>
      <c r="E6918" s="711">
        <v>0.65820000000000001</v>
      </c>
    </row>
    <row r="6919" spans="1:5" x14ac:dyDescent="0.3">
      <c r="A6919" s="397"/>
      <c r="B6919" s="709">
        <v>102219</v>
      </c>
      <c r="C6919" s="710" t="s">
        <v>6992</v>
      </c>
      <c r="D6919" s="709" t="s">
        <v>168</v>
      </c>
      <c r="E6919" s="711">
        <v>0.65859999999999996</v>
      </c>
    </row>
    <row r="6920" spans="1:5" x14ac:dyDescent="0.3">
      <c r="A6920" s="397"/>
      <c r="B6920" s="709">
        <v>102229</v>
      </c>
      <c r="C6920" s="710" t="s">
        <v>6993</v>
      </c>
      <c r="D6920" s="709" t="s">
        <v>168</v>
      </c>
      <c r="E6920" s="711">
        <v>0.6583</v>
      </c>
    </row>
    <row r="6921" spans="1:5" x14ac:dyDescent="0.3">
      <c r="A6921" s="397"/>
      <c r="B6921" s="709">
        <v>102210</v>
      </c>
      <c r="C6921" s="710" t="s">
        <v>6994</v>
      </c>
      <c r="D6921" s="709" t="s">
        <v>168</v>
      </c>
      <c r="E6921" s="711">
        <v>0.69030000000000002</v>
      </c>
    </row>
    <row r="6922" spans="1:5" x14ac:dyDescent="0.3">
      <c r="A6922" s="397"/>
      <c r="B6922" s="709">
        <v>102220</v>
      </c>
      <c r="C6922" s="710" t="s">
        <v>6995</v>
      </c>
      <c r="D6922" s="709" t="s">
        <v>168</v>
      </c>
      <c r="E6922" s="711">
        <v>0.69030000000000002</v>
      </c>
    </row>
    <row r="6923" spans="1:5" x14ac:dyDescent="0.3">
      <c r="A6923" s="397"/>
      <c r="B6923" s="709">
        <v>102230</v>
      </c>
      <c r="C6923" s="710" t="s">
        <v>6996</v>
      </c>
      <c r="D6923" s="709" t="s">
        <v>168</v>
      </c>
      <c r="E6923" s="711">
        <v>0.69010000000000005</v>
      </c>
    </row>
    <row r="6924" spans="1:5" x14ac:dyDescent="0.3">
      <c r="A6924" s="397"/>
      <c r="B6924" s="709">
        <v>102208</v>
      </c>
      <c r="C6924" s="710" t="s">
        <v>6997</v>
      </c>
      <c r="D6924" s="709" t="s">
        <v>168</v>
      </c>
      <c r="E6924" s="711">
        <v>0.67900000000000005</v>
      </c>
    </row>
    <row r="6925" spans="1:5" x14ac:dyDescent="0.3">
      <c r="A6925" s="397"/>
      <c r="B6925" s="709">
        <v>102218</v>
      </c>
      <c r="C6925" s="710" t="s">
        <v>6998</v>
      </c>
      <c r="D6925" s="709" t="s">
        <v>168</v>
      </c>
      <c r="E6925" s="711">
        <v>0.67900000000000005</v>
      </c>
    </row>
    <row r="6926" spans="1:5" x14ac:dyDescent="0.3">
      <c r="A6926" s="397"/>
      <c r="B6926" s="709">
        <v>102228</v>
      </c>
      <c r="C6926" s="710" t="s">
        <v>6999</v>
      </c>
      <c r="D6926" s="709" t="s">
        <v>168</v>
      </c>
      <c r="E6926" s="711">
        <v>0.67889999999999995</v>
      </c>
    </row>
    <row r="6927" spans="1:5" x14ac:dyDescent="0.3">
      <c r="A6927" s="397"/>
      <c r="B6927" s="709">
        <v>102203</v>
      </c>
      <c r="C6927" s="710" t="s">
        <v>7003</v>
      </c>
      <c r="D6927" s="709" t="s">
        <v>168</v>
      </c>
      <c r="E6927" s="711">
        <v>0.65429999999999999</v>
      </c>
    </row>
    <row r="6928" spans="1:5" x14ac:dyDescent="0.3">
      <c r="A6928" s="397"/>
      <c r="B6928" s="709">
        <v>102213</v>
      </c>
      <c r="C6928" s="710" t="s">
        <v>7004</v>
      </c>
      <c r="D6928" s="709" t="s">
        <v>168</v>
      </c>
      <c r="E6928" s="711">
        <v>0.65429999999999999</v>
      </c>
    </row>
    <row r="6929" spans="1:5" x14ac:dyDescent="0.3">
      <c r="A6929" s="397"/>
      <c r="B6929" s="709">
        <v>102223</v>
      </c>
      <c r="C6929" s="710" t="s">
        <v>7005</v>
      </c>
      <c r="D6929" s="709" t="s">
        <v>168</v>
      </c>
      <c r="E6929" s="711">
        <v>0.65429999999999999</v>
      </c>
    </row>
    <row r="6930" spans="1:5" x14ac:dyDescent="0.3">
      <c r="A6930" s="397"/>
      <c r="B6930" s="709">
        <v>102204</v>
      </c>
      <c r="C6930" s="710" t="s">
        <v>7006</v>
      </c>
      <c r="D6930" s="709" t="s">
        <v>168</v>
      </c>
      <c r="E6930" s="711">
        <v>0.63439999999999996</v>
      </c>
    </row>
    <row r="6931" spans="1:5" x14ac:dyDescent="0.3">
      <c r="A6931" s="397"/>
      <c r="B6931" s="709">
        <v>102214</v>
      </c>
      <c r="C6931" s="710" t="s">
        <v>7007</v>
      </c>
      <c r="D6931" s="709" t="s">
        <v>168</v>
      </c>
      <c r="E6931" s="711">
        <v>0.63419999999999999</v>
      </c>
    </row>
    <row r="6932" spans="1:5" x14ac:dyDescent="0.3">
      <c r="A6932" s="397"/>
      <c r="B6932" s="709">
        <v>102224</v>
      </c>
      <c r="C6932" s="710" t="s">
        <v>7008</v>
      </c>
      <c r="D6932" s="709" t="s">
        <v>168</v>
      </c>
      <c r="E6932" s="711">
        <v>0.63429999999999997</v>
      </c>
    </row>
    <row r="6933" spans="1:5" x14ac:dyDescent="0.3">
      <c r="A6933" s="397"/>
      <c r="B6933" s="709">
        <v>102205</v>
      </c>
      <c r="C6933" s="710" t="s">
        <v>7009</v>
      </c>
      <c r="D6933" s="709" t="s">
        <v>168</v>
      </c>
      <c r="E6933" s="711">
        <v>0.70240000000000002</v>
      </c>
    </row>
    <row r="6934" spans="1:5" x14ac:dyDescent="0.3">
      <c r="A6934" s="397"/>
      <c r="B6934" s="709">
        <v>102215</v>
      </c>
      <c r="C6934" s="710" t="s">
        <v>7010</v>
      </c>
      <c r="D6934" s="709" t="s">
        <v>168</v>
      </c>
      <c r="E6934" s="711">
        <v>0.70240000000000002</v>
      </c>
    </row>
    <row r="6935" spans="1:5" x14ac:dyDescent="0.3">
      <c r="A6935" s="397"/>
      <c r="B6935" s="709">
        <v>102225</v>
      </c>
      <c r="C6935" s="710" t="s">
        <v>7011</v>
      </c>
      <c r="D6935" s="709" t="s">
        <v>168</v>
      </c>
      <c r="E6935" s="711">
        <v>0.70240000000000002</v>
      </c>
    </row>
    <row r="6936" spans="1:5" x14ac:dyDescent="0.3">
      <c r="A6936" s="397"/>
      <c r="B6936" s="709">
        <v>100718</v>
      </c>
      <c r="C6936" s="710" t="s">
        <v>7015</v>
      </c>
      <c r="D6936" s="709" t="s">
        <v>159</v>
      </c>
      <c r="E6936" s="711">
        <v>0.82820000000000005</v>
      </c>
    </row>
    <row r="6937" spans="1:5" x14ac:dyDescent="0.3">
      <c r="A6937" s="397"/>
      <c r="B6937" s="709">
        <v>100716</v>
      </c>
      <c r="C6937" s="710" t="s">
        <v>7016</v>
      </c>
      <c r="D6937" s="709" t="s">
        <v>168</v>
      </c>
      <c r="E6937" s="711">
        <v>0.18590000000000001</v>
      </c>
    </row>
    <row r="6938" spans="1:5" x14ac:dyDescent="0.3">
      <c r="A6938" s="397"/>
      <c r="B6938" s="709">
        <v>100717</v>
      </c>
      <c r="C6938" s="710" t="s">
        <v>7017</v>
      </c>
      <c r="D6938" s="709" t="s">
        <v>168</v>
      </c>
      <c r="E6938" s="711">
        <v>0.88049999999999995</v>
      </c>
    </row>
    <row r="6939" spans="1:5" x14ac:dyDescent="0.3">
      <c r="A6939" s="397"/>
      <c r="B6939" s="709">
        <v>100753</v>
      </c>
      <c r="C6939" s="710" t="s">
        <v>16212</v>
      </c>
      <c r="D6939" s="709" t="s">
        <v>168</v>
      </c>
      <c r="E6939" s="711">
        <v>0.7863</v>
      </c>
    </row>
    <row r="6940" spans="1:5" x14ac:dyDescent="0.3">
      <c r="A6940" s="397"/>
      <c r="B6940" s="709">
        <v>100735</v>
      </c>
      <c r="C6940" s="710" t="s">
        <v>16213</v>
      </c>
      <c r="D6940" s="709" t="s">
        <v>168</v>
      </c>
      <c r="E6940" s="711">
        <v>0.78659999999999997</v>
      </c>
    </row>
    <row r="6941" spans="1:5" x14ac:dyDescent="0.3">
      <c r="A6941" s="397"/>
      <c r="B6941" s="709">
        <v>100733</v>
      </c>
      <c r="C6941" s="710" t="s">
        <v>16214</v>
      </c>
      <c r="D6941" s="709" t="s">
        <v>168</v>
      </c>
      <c r="E6941" s="711">
        <v>0.747</v>
      </c>
    </row>
    <row r="6942" spans="1:5" x14ac:dyDescent="0.3">
      <c r="A6942" s="397"/>
      <c r="B6942" s="709">
        <v>100754</v>
      </c>
      <c r="C6942" s="710" t="s">
        <v>7018</v>
      </c>
      <c r="D6942" s="709" t="s">
        <v>168</v>
      </c>
      <c r="E6942" s="711">
        <v>0.89259999999999995</v>
      </c>
    </row>
    <row r="6943" spans="1:5" x14ac:dyDescent="0.3">
      <c r="A6943" s="397"/>
      <c r="B6943" s="709">
        <v>100736</v>
      </c>
      <c r="C6943" s="710" t="s">
        <v>7019</v>
      </c>
      <c r="D6943" s="709" t="s">
        <v>168</v>
      </c>
      <c r="E6943" s="711">
        <v>0.89290000000000003</v>
      </c>
    </row>
    <row r="6944" spans="1:5" x14ac:dyDescent="0.3">
      <c r="A6944" s="397"/>
      <c r="B6944" s="709">
        <v>100734</v>
      </c>
      <c r="C6944" s="710" t="s">
        <v>7020</v>
      </c>
      <c r="D6944" s="709" t="s">
        <v>168</v>
      </c>
      <c r="E6944" s="711">
        <v>0.85940000000000005</v>
      </c>
    </row>
    <row r="6945" spans="1:5" x14ac:dyDescent="0.3">
      <c r="A6945" s="397"/>
      <c r="B6945" s="709">
        <v>100739</v>
      </c>
      <c r="C6945" s="710" t="s">
        <v>16215</v>
      </c>
      <c r="D6945" s="709" t="s">
        <v>168</v>
      </c>
      <c r="E6945" s="711">
        <v>0.17380000000000001</v>
      </c>
    </row>
    <row r="6946" spans="1:5" x14ac:dyDescent="0.3">
      <c r="A6946" s="397"/>
      <c r="B6946" s="709">
        <v>100757</v>
      </c>
      <c r="C6946" s="710" t="s">
        <v>16216</v>
      </c>
      <c r="D6946" s="709" t="s">
        <v>168</v>
      </c>
      <c r="E6946" s="711">
        <v>0.61819999999999997</v>
      </c>
    </row>
    <row r="6947" spans="1:5" x14ac:dyDescent="0.3">
      <c r="A6947" s="397"/>
      <c r="B6947" s="709">
        <v>100741</v>
      </c>
      <c r="C6947" s="710" t="s">
        <v>16217</v>
      </c>
      <c r="D6947" s="709" t="s">
        <v>168</v>
      </c>
      <c r="E6947" s="711">
        <v>0.61850000000000005</v>
      </c>
    </row>
    <row r="6948" spans="1:5" x14ac:dyDescent="0.3">
      <c r="A6948" s="397"/>
      <c r="B6948" s="709">
        <v>100743</v>
      </c>
      <c r="C6948" s="710" t="s">
        <v>16218</v>
      </c>
      <c r="D6948" s="709" t="s">
        <v>168</v>
      </c>
      <c r="E6948" s="711">
        <v>0.17780000000000001</v>
      </c>
    </row>
    <row r="6949" spans="1:5" x14ac:dyDescent="0.3">
      <c r="A6949" s="397"/>
      <c r="B6949" s="709">
        <v>100759</v>
      </c>
      <c r="C6949" s="710" t="s">
        <v>16219</v>
      </c>
      <c r="D6949" s="709" t="s">
        <v>168</v>
      </c>
      <c r="E6949" s="711">
        <v>0.62470000000000003</v>
      </c>
    </row>
    <row r="6950" spans="1:5" x14ac:dyDescent="0.3">
      <c r="A6950" s="397"/>
      <c r="B6950" s="709">
        <v>100745</v>
      </c>
      <c r="C6950" s="710" t="s">
        <v>16220</v>
      </c>
      <c r="D6950" s="709" t="s">
        <v>168</v>
      </c>
      <c r="E6950" s="711">
        <v>0.625</v>
      </c>
    </row>
    <row r="6951" spans="1:5" x14ac:dyDescent="0.3">
      <c r="A6951" s="397"/>
      <c r="B6951" s="709">
        <v>100747</v>
      </c>
      <c r="C6951" s="710" t="s">
        <v>16221</v>
      </c>
      <c r="D6951" s="709" t="s">
        <v>168</v>
      </c>
      <c r="E6951" s="711">
        <v>0.17610000000000001</v>
      </c>
    </row>
    <row r="6952" spans="1:5" x14ac:dyDescent="0.3">
      <c r="A6952" s="397"/>
      <c r="B6952" s="709">
        <v>100761</v>
      </c>
      <c r="C6952" s="710" t="s">
        <v>16222</v>
      </c>
      <c r="D6952" s="709" t="s">
        <v>168</v>
      </c>
      <c r="E6952" s="711">
        <v>0.622</v>
      </c>
    </row>
    <row r="6953" spans="1:5" x14ac:dyDescent="0.3">
      <c r="A6953" s="397"/>
      <c r="B6953" s="709">
        <v>100749</v>
      </c>
      <c r="C6953" s="710" t="s">
        <v>16223</v>
      </c>
      <c r="D6953" s="709" t="s">
        <v>168</v>
      </c>
      <c r="E6953" s="711">
        <v>0.62229999999999996</v>
      </c>
    </row>
    <row r="6954" spans="1:5" x14ac:dyDescent="0.3">
      <c r="A6954" s="397"/>
      <c r="B6954" s="709">
        <v>100719</v>
      </c>
      <c r="C6954" s="710" t="s">
        <v>16224</v>
      </c>
      <c r="D6954" s="709" t="s">
        <v>168</v>
      </c>
      <c r="E6954" s="711">
        <v>0.1711</v>
      </c>
    </row>
    <row r="6955" spans="1:5" x14ac:dyDescent="0.3">
      <c r="A6955" s="397"/>
      <c r="B6955" s="709">
        <v>100721</v>
      </c>
      <c r="C6955" s="710" t="s">
        <v>16225</v>
      </c>
      <c r="D6955" s="709" t="s">
        <v>168</v>
      </c>
      <c r="E6955" s="711">
        <v>0.60970000000000002</v>
      </c>
    </row>
    <row r="6956" spans="1:5" x14ac:dyDescent="0.3">
      <c r="A6956" s="397"/>
      <c r="B6956" s="709">
        <v>100723</v>
      </c>
      <c r="C6956" s="710" t="s">
        <v>16226</v>
      </c>
      <c r="D6956" s="709" t="s">
        <v>168</v>
      </c>
      <c r="E6956" s="711">
        <v>0.15939999999999999</v>
      </c>
    </row>
    <row r="6957" spans="1:5" x14ac:dyDescent="0.3">
      <c r="A6957" s="397"/>
      <c r="B6957" s="709">
        <v>100725</v>
      </c>
      <c r="C6957" s="710" t="s">
        <v>16227</v>
      </c>
      <c r="D6957" s="709" t="s">
        <v>168</v>
      </c>
      <c r="E6957" s="711">
        <v>0.60309999999999997</v>
      </c>
    </row>
    <row r="6958" spans="1:5" x14ac:dyDescent="0.3">
      <c r="A6958" s="397"/>
      <c r="B6958" s="709">
        <v>100740</v>
      </c>
      <c r="C6958" s="710" t="s">
        <v>7021</v>
      </c>
      <c r="D6958" s="709" t="s">
        <v>168</v>
      </c>
      <c r="E6958" s="711">
        <v>0.55159999999999998</v>
      </c>
    </row>
    <row r="6959" spans="1:5" x14ac:dyDescent="0.3">
      <c r="A6959" s="397"/>
      <c r="B6959" s="709">
        <v>100758</v>
      </c>
      <c r="C6959" s="710" t="s">
        <v>7022</v>
      </c>
      <c r="D6959" s="709" t="s">
        <v>168</v>
      </c>
      <c r="E6959" s="711">
        <v>0.79079999999999995</v>
      </c>
    </row>
    <row r="6960" spans="1:5" x14ac:dyDescent="0.3">
      <c r="A6960" s="397"/>
      <c r="B6960" s="709">
        <v>100742</v>
      </c>
      <c r="C6960" s="710" t="s">
        <v>7023</v>
      </c>
      <c r="D6960" s="709" t="s">
        <v>168</v>
      </c>
      <c r="E6960" s="711">
        <v>0.79090000000000005</v>
      </c>
    </row>
    <row r="6961" spans="1:5" x14ac:dyDescent="0.3">
      <c r="A6961" s="397"/>
      <c r="B6961" s="709">
        <v>100744</v>
      </c>
      <c r="C6961" s="710" t="s">
        <v>7024</v>
      </c>
      <c r="D6961" s="709" t="s">
        <v>168</v>
      </c>
      <c r="E6961" s="711">
        <v>0.5595</v>
      </c>
    </row>
    <row r="6962" spans="1:5" x14ac:dyDescent="0.3">
      <c r="A6962" s="397"/>
      <c r="B6962" s="709">
        <v>100760</v>
      </c>
      <c r="C6962" s="710" t="s">
        <v>7025</v>
      </c>
      <c r="D6962" s="709" t="s">
        <v>168</v>
      </c>
      <c r="E6962" s="711">
        <v>0.79590000000000005</v>
      </c>
    </row>
    <row r="6963" spans="1:5" x14ac:dyDescent="0.3">
      <c r="A6963" s="397"/>
      <c r="B6963" s="709">
        <v>100746</v>
      </c>
      <c r="C6963" s="710" t="s">
        <v>7026</v>
      </c>
      <c r="D6963" s="709" t="s">
        <v>168</v>
      </c>
      <c r="E6963" s="711">
        <v>0.79600000000000004</v>
      </c>
    </row>
    <row r="6964" spans="1:5" x14ac:dyDescent="0.3">
      <c r="A6964" s="397"/>
      <c r="B6964" s="709">
        <v>100748</v>
      </c>
      <c r="C6964" s="710" t="s">
        <v>7027</v>
      </c>
      <c r="D6964" s="709" t="s">
        <v>168</v>
      </c>
      <c r="E6964" s="711">
        <v>0.55600000000000005</v>
      </c>
    </row>
    <row r="6965" spans="1:5" x14ac:dyDescent="0.3">
      <c r="A6965" s="397"/>
      <c r="B6965" s="709">
        <v>100762</v>
      </c>
      <c r="C6965" s="710" t="s">
        <v>7028</v>
      </c>
      <c r="D6965" s="709" t="s">
        <v>168</v>
      </c>
      <c r="E6965" s="711">
        <v>0.79379999999999995</v>
      </c>
    </row>
    <row r="6966" spans="1:5" x14ac:dyDescent="0.3">
      <c r="A6966" s="397"/>
      <c r="B6966" s="709">
        <v>100750</v>
      </c>
      <c r="C6966" s="710" t="s">
        <v>7029</v>
      </c>
      <c r="D6966" s="709" t="s">
        <v>168</v>
      </c>
      <c r="E6966" s="711">
        <v>0.79400000000000004</v>
      </c>
    </row>
    <row r="6967" spans="1:5" x14ac:dyDescent="0.3">
      <c r="A6967" s="397"/>
      <c r="B6967" s="709">
        <v>100720</v>
      </c>
      <c r="C6967" s="710" t="s">
        <v>7030</v>
      </c>
      <c r="D6967" s="709" t="s">
        <v>168</v>
      </c>
      <c r="E6967" s="711">
        <v>0.58020000000000005</v>
      </c>
    </row>
    <row r="6968" spans="1:5" x14ac:dyDescent="0.3">
      <c r="A6968" s="397"/>
      <c r="B6968" s="709">
        <v>100722</v>
      </c>
      <c r="C6968" s="710" t="s">
        <v>7031</v>
      </c>
      <c r="D6968" s="709" t="s">
        <v>168</v>
      </c>
      <c r="E6968" s="711">
        <v>0.80810000000000004</v>
      </c>
    </row>
    <row r="6969" spans="1:5" x14ac:dyDescent="0.3">
      <c r="A6969" s="397"/>
      <c r="B6969" s="709">
        <v>100724</v>
      </c>
      <c r="C6969" s="710" t="s">
        <v>7032</v>
      </c>
      <c r="D6969" s="709" t="s">
        <v>168</v>
      </c>
      <c r="E6969" s="711">
        <v>0.44819999999999999</v>
      </c>
    </row>
    <row r="6970" spans="1:5" x14ac:dyDescent="0.3">
      <c r="A6970" s="397"/>
      <c r="B6970" s="709">
        <v>100726</v>
      </c>
      <c r="C6970" s="710" t="s">
        <v>7033</v>
      </c>
      <c r="D6970" s="709" t="s">
        <v>168</v>
      </c>
      <c r="E6970" s="711">
        <v>0.71740000000000004</v>
      </c>
    </row>
    <row r="6971" spans="1:5" x14ac:dyDescent="0.3">
      <c r="A6971" s="397"/>
      <c r="B6971" s="709">
        <v>100751</v>
      </c>
      <c r="C6971" s="710" t="s">
        <v>16228</v>
      </c>
      <c r="D6971" s="709" t="s">
        <v>168</v>
      </c>
      <c r="E6971" s="711">
        <v>9.2600000000000002E-2</v>
      </c>
    </row>
    <row r="6972" spans="1:5" x14ac:dyDescent="0.3">
      <c r="A6972" s="397"/>
      <c r="B6972" s="709">
        <v>100729</v>
      </c>
      <c r="C6972" s="710" t="s">
        <v>16229</v>
      </c>
      <c r="D6972" s="709" t="s">
        <v>168</v>
      </c>
      <c r="E6972" s="711">
        <v>9.2600000000000002E-2</v>
      </c>
    </row>
    <row r="6973" spans="1:5" x14ac:dyDescent="0.3">
      <c r="A6973" s="397"/>
      <c r="B6973" s="709">
        <v>100727</v>
      </c>
      <c r="C6973" s="710" t="s">
        <v>16230</v>
      </c>
      <c r="D6973" s="709" t="s">
        <v>168</v>
      </c>
      <c r="E6973" s="711">
        <v>7.0099999999999996E-2</v>
      </c>
    </row>
    <row r="6974" spans="1:5" x14ac:dyDescent="0.3">
      <c r="A6974" s="397"/>
      <c r="B6974" s="709">
        <v>100752</v>
      </c>
      <c r="C6974" s="710" t="s">
        <v>7034</v>
      </c>
      <c r="D6974" s="709" t="s">
        <v>168</v>
      </c>
      <c r="E6974" s="711">
        <v>0.2676</v>
      </c>
    </row>
    <row r="6975" spans="1:5" x14ac:dyDescent="0.3">
      <c r="A6975" s="397"/>
      <c r="B6975" s="709">
        <v>100730</v>
      </c>
      <c r="C6975" s="710" t="s">
        <v>7035</v>
      </c>
      <c r="D6975" s="709" t="s">
        <v>168</v>
      </c>
      <c r="E6975" s="711">
        <v>0.2676</v>
      </c>
    </row>
    <row r="6976" spans="1:5" x14ac:dyDescent="0.3">
      <c r="A6976" s="397"/>
      <c r="B6976" s="709">
        <v>100728</v>
      </c>
      <c r="C6976" s="710" t="s">
        <v>7036</v>
      </c>
      <c r="D6976" s="709" t="s">
        <v>168</v>
      </c>
      <c r="E6976" s="711">
        <v>0.26319999999999999</v>
      </c>
    </row>
    <row r="6977" spans="1:5" x14ac:dyDescent="0.3">
      <c r="A6977" s="397"/>
      <c r="B6977" s="709">
        <v>102499</v>
      </c>
      <c r="C6977" s="710" t="s">
        <v>7043</v>
      </c>
      <c r="D6977" s="709" t="s">
        <v>168</v>
      </c>
      <c r="E6977" s="711">
        <v>0.4839</v>
      </c>
    </row>
    <row r="6978" spans="1:5" x14ac:dyDescent="0.3">
      <c r="A6978" s="397"/>
      <c r="B6978" s="709">
        <v>102505</v>
      </c>
      <c r="C6978" s="710" t="s">
        <v>7044</v>
      </c>
      <c r="D6978" s="709" t="s">
        <v>159</v>
      </c>
      <c r="E6978" s="711">
        <v>0.88680000000000003</v>
      </c>
    </row>
    <row r="6979" spans="1:5" x14ac:dyDescent="0.3">
      <c r="A6979" s="397"/>
      <c r="B6979" s="709">
        <v>102504</v>
      </c>
      <c r="C6979" s="710" t="s">
        <v>7045</v>
      </c>
      <c r="D6979" s="709" t="s">
        <v>159</v>
      </c>
      <c r="E6979" s="711">
        <v>0.91080000000000005</v>
      </c>
    </row>
    <row r="6980" spans="1:5" x14ac:dyDescent="0.3">
      <c r="A6980" s="397"/>
      <c r="B6980" s="709">
        <v>102506</v>
      </c>
      <c r="C6980" s="710" t="s">
        <v>7046</v>
      </c>
      <c r="D6980" s="709" t="s">
        <v>159</v>
      </c>
      <c r="E6980" s="711">
        <v>0.83160000000000001</v>
      </c>
    </row>
    <row r="6981" spans="1:5" x14ac:dyDescent="0.3">
      <c r="A6981" s="397"/>
      <c r="B6981" s="709">
        <v>102507</v>
      </c>
      <c r="C6981" s="710" t="s">
        <v>7049</v>
      </c>
      <c r="D6981" s="709" t="s">
        <v>159</v>
      </c>
      <c r="E6981" s="711">
        <v>0.49659999999999999</v>
      </c>
    </row>
    <row r="6982" spans="1:5" x14ac:dyDescent="0.3">
      <c r="A6982" s="397"/>
      <c r="B6982" s="709">
        <v>102491</v>
      </c>
      <c r="C6982" s="710" t="s">
        <v>7059</v>
      </c>
      <c r="D6982" s="709" t="s">
        <v>168</v>
      </c>
      <c r="E6982" s="711">
        <v>0.51970000000000005</v>
      </c>
    </row>
    <row r="6983" spans="1:5" x14ac:dyDescent="0.3">
      <c r="A6983" s="397"/>
      <c r="B6983" s="709">
        <v>102492</v>
      </c>
      <c r="C6983" s="710" t="s">
        <v>7060</v>
      </c>
      <c r="D6983" s="709" t="s">
        <v>168</v>
      </c>
      <c r="E6983" s="711">
        <v>0.54139999999999999</v>
      </c>
    </row>
    <row r="6984" spans="1:5" x14ac:dyDescent="0.3">
      <c r="A6984" s="397"/>
      <c r="B6984" s="709">
        <v>102494</v>
      </c>
      <c r="C6984" s="710" t="s">
        <v>7062</v>
      </c>
      <c r="D6984" s="709" t="s">
        <v>168</v>
      </c>
      <c r="E6984" s="711">
        <v>0.1704</v>
      </c>
    </row>
    <row r="6985" spans="1:5" x14ac:dyDescent="0.3">
      <c r="A6985" s="397"/>
      <c r="B6985" s="709">
        <v>102496</v>
      </c>
      <c r="C6985" s="710" t="s">
        <v>7065</v>
      </c>
      <c r="D6985" s="709" t="s">
        <v>159</v>
      </c>
      <c r="E6985" s="711">
        <v>0.37819999999999998</v>
      </c>
    </row>
    <row r="6986" spans="1:5" x14ac:dyDescent="0.3">
      <c r="A6986" s="397"/>
      <c r="B6986" s="709">
        <v>102497</v>
      </c>
      <c r="C6986" s="710" t="s">
        <v>7066</v>
      </c>
      <c r="D6986" s="709" t="s">
        <v>159</v>
      </c>
      <c r="E6986" s="711">
        <v>0.64370000000000005</v>
      </c>
    </row>
    <row r="6987" spans="1:5" x14ac:dyDescent="0.3">
      <c r="A6987" s="397"/>
      <c r="B6987" s="709">
        <v>102520</v>
      </c>
      <c r="C6987" s="710" t="s">
        <v>7067</v>
      </c>
      <c r="D6987" s="709" t="s">
        <v>168</v>
      </c>
      <c r="E6987" s="711">
        <v>0.80359999999999998</v>
      </c>
    </row>
    <row r="6988" spans="1:5" x14ac:dyDescent="0.3">
      <c r="A6988" s="397"/>
      <c r="B6988" s="709">
        <v>102489</v>
      </c>
      <c r="C6988" s="710" t="s">
        <v>7074</v>
      </c>
      <c r="D6988" s="709" t="s">
        <v>168</v>
      </c>
      <c r="E6988" s="711">
        <v>0.51359999999999995</v>
      </c>
    </row>
    <row r="6989" spans="1:5" x14ac:dyDescent="0.3">
      <c r="A6989" s="397"/>
      <c r="B6989" s="709">
        <v>102488</v>
      </c>
      <c r="C6989" s="710" t="s">
        <v>7075</v>
      </c>
      <c r="D6989" s="709" t="s">
        <v>168</v>
      </c>
      <c r="E6989" s="711">
        <v>0.97799999999999998</v>
      </c>
    </row>
    <row r="6990" spans="1:5" x14ac:dyDescent="0.3">
      <c r="A6990" s="397"/>
      <c r="B6990" s="709">
        <v>101746</v>
      </c>
      <c r="C6990" s="710" t="s">
        <v>14358</v>
      </c>
      <c r="D6990" s="709" t="s">
        <v>168</v>
      </c>
      <c r="E6990" s="711">
        <v>4.4499999999999998E-2</v>
      </c>
    </row>
    <row r="6991" spans="1:5" x14ac:dyDescent="0.3">
      <c r="A6991" s="397"/>
      <c r="B6991" s="709">
        <v>106788</v>
      </c>
      <c r="C6991" s="710" t="s">
        <v>14359</v>
      </c>
      <c r="D6991" s="709" t="s">
        <v>168</v>
      </c>
      <c r="E6991" s="711">
        <v>0.54379999999999995</v>
      </c>
    </row>
    <row r="6992" spans="1:5" x14ac:dyDescent="0.3">
      <c r="A6992" s="397"/>
      <c r="B6992" s="709">
        <v>106789</v>
      </c>
      <c r="C6992" s="710" t="s">
        <v>14360</v>
      </c>
      <c r="D6992" s="709" t="s">
        <v>168</v>
      </c>
      <c r="E6992" s="711">
        <v>0.51619999999999999</v>
      </c>
    </row>
    <row r="6993" spans="1:5" x14ac:dyDescent="0.3">
      <c r="A6993" s="397"/>
      <c r="B6993" s="709">
        <v>98679</v>
      </c>
      <c r="C6993" s="710" t="s">
        <v>14361</v>
      </c>
      <c r="D6993" s="709" t="s">
        <v>168</v>
      </c>
      <c r="E6993" s="711">
        <v>0.54179999999999995</v>
      </c>
    </row>
    <row r="6994" spans="1:5" x14ac:dyDescent="0.3">
      <c r="A6994" s="397"/>
      <c r="B6994" s="709">
        <v>98680</v>
      </c>
      <c r="C6994" s="710" t="s">
        <v>14362</v>
      </c>
      <c r="D6994" s="709" t="s">
        <v>168</v>
      </c>
      <c r="E6994" s="711">
        <v>0.50129999999999997</v>
      </c>
    </row>
    <row r="6995" spans="1:5" x14ac:dyDescent="0.3">
      <c r="A6995" s="397"/>
      <c r="B6995" s="709">
        <v>101749</v>
      </c>
      <c r="C6995" s="710" t="s">
        <v>14363</v>
      </c>
      <c r="D6995" s="709" t="s">
        <v>168</v>
      </c>
      <c r="E6995" s="711">
        <v>0.47839999999999999</v>
      </c>
    </row>
    <row r="6996" spans="1:5" x14ac:dyDescent="0.3">
      <c r="A6996" s="397"/>
      <c r="B6996" s="709">
        <v>98681</v>
      </c>
      <c r="C6996" s="710" t="s">
        <v>14364</v>
      </c>
      <c r="D6996" s="709" t="s">
        <v>168</v>
      </c>
      <c r="E6996" s="711">
        <v>0.49669999999999997</v>
      </c>
    </row>
    <row r="6997" spans="1:5" x14ac:dyDescent="0.3">
      <c r="A6997" s="397"/>
      <c r="B6997" s="709">
        <v>98682</v>
      </c>
      <c r="C6997" s="710" t="s">
        <v>14365</v>
      </c>
      <c r="D6997" s="709" t="s">
        <v>168</v>
      </c>
      <c r="E6997" s="711">
        <v>0.46179999999999999</v>
      </c>
    </row>
    <row r="6998" spans="1:5" x14ac:dyDescent="0.3">
      <c r="A6998" s="397"/>
      <c r="B6998" s="709">
        <v>101750</v>
      </c>
      <c r="C6998" s="710" t="s">
        <v>14366</v>
      </c>
      <c r="D6998" s="709" t="s">
        <v>168</v>
      </c>
      <c r="E6998" s="711">
        <v>0.44269999999999998</v>
      </c>
    </row>
    <row r="6999" spans="1:5" x14ac:dyDescent="0.3">
      <c r="A6999" s="397"/>
      <c r="B6999" s="709">
        <v>101737</v>
      </c>
      <c r="C6999" s="710" t="s">
        <v>14367</v>
      </c>
      <c r="D6999" s="709" t="s">
        <v>168</v>
      </c>
      <c r="E6999" s="711">
        <v>0.19059999999999999</v>
      </c>
    </row>
    <row r="7000" spans="1:5" x14ac:dyDescent="0.3">
      <c r="A7000" s="397"/>
      <c r="B7000" s="709">
        <v>101735</v>
      </c>
      <c r="C7000" s="710" t="s">
        <v>14368</v>
      </c>
      <c r="D7000" s="709" t="s">
        <v>168</v>
      </c>
      <c r="E7000" s="711">
        <v>8.6699999999999999E-2</v>
      </c>
    </row>
    <row r="7001" spans="1:5" x14ac:dyDescent="0.3">
      <c r="A7001" s="397"/>
      <c r="B7001" s="709">
        <v>101734</v>
      </c>
      <c r="C7001" s="710" t="s">
        <v>14369</v>
      </c>
      <c r="D7001" s="709" t="s">
        <v>168</v>
      </c>
      <c r="E7001" s="711">
        <v>8.8700000000000001E-2</v>
      </c>
    </row>
    <row r="7002" spans="1:5" x14ac:dyDescent="0.3">
      <c r="A7002" s="397"/>
      <c r="B7002" s="709">
        <v>101736</v>
      </c>
      <c r="C7002" s="710" t="s">
        <v>14370</v>
      </c>
      <c r="D7002" s="709" t="s">
        <v>168</v>
      </c>
      <c r="E7002" s="711">
        <v>0.22209999999999999</v>
      </c>
    </row>
    <row r="7003" spans="1:5" x14ac:dyDescent="0.3">
      <c r="A7003" s="397"/>
      <c r="B7003" s="709">
        <v>101733</v>
      </c>
      <c r="C7003" s="710" t="s">
        <v>14371</v>
      </c>
      <c r="D7003" s="709" t="s">
        <v>168</v>
      </c>
      <c r="E7003" s="711">
        <v>0.13020000000000001</v>
      </c>
    </row>
    <row r="7004" spans="1:5" x14ac:dyDescent="0.3">
      <c r="A7004" s="397"/>
      <c r="B7004" s="709">
        <v>104162</v>
      </c>
      <c r="C7004" s="710" t="s">
        <v>14372</v>
      </c>
      <c r="D7004" s="709" t="s">
        <v>168</v>
      </c>
      <c r="E7004" s="711">
        <v>0.41270000000000001</v>
      </c>
    </row>
    <row r="7005" spans="1:5" x14ac:dyDescent="0.3">
      <c r="A7005" s="397"/>
      <c r="B7005" s="709">
        <v>98671</v>
      </c>
      <c r="C7005" s="710" t="s">
        <v>14373</v>
      </c>
      <c r="D7005" s="709" t="s">
        <v>168</v>
      </c>
      <c r="E7005" s="711">
        <v>9.1600000000000001E-2</v>
      </c>
    </row>
    <row r="7006" spans="1:5" x14ac:dyDescent="0.3">
      <c r="A7006" s="397"/>
      <c r="B7006" s="709">
        <v>101726</v>
      </c>
      <c r="C7006" s="710" t="s">
        <v>14374</v>
      </c>
      <c r="D7006" s="709" t="s">
        <v>168</v>
      </c>
      <c r="E7006" s="711">
        <v>0.441</v>
      </c>
    </row>
    <row r="7007" spans="1:5" x14ac:dyDescent="0.3">
      <c r="A7007" s="397"/>
      <c r="B7007" s="709">
        <v>101725</v>
      </c>
      <c r="C7007" s="710" t="s">
        <v>14375</v>
      </c>
      <c r="D7007" s="709" t="s">
        <v>168</v>
      </c>
      <c r="E7007" s="711">
        <v>0.59770000000000001</v>
      </c>
    </row>
    <row r="7008" spans="1:5" x14ac:dyDescent="0.3">
      <c r="A7008" s="397"/>
      <c r="B7008" s="709">
        <v>98672</v>
      </c>
      <c r="C7008" s="710" t="s">
        <v>14376</v>
      </c>
      <c r="D7008" s="709" t="s">
        <v>168</v>
      </c>
      <c r="E7008" s="711">
        <v>5.7500000000000002E-2</v>
      </c>
    </row>
    <row r="7009" spans="1:5" x14ac:dyDescent="0.3">
      <c r="A7009" s="397"/>
      <c r="B7009" s="709">
        <v>101732</v>
      </c>
      <c r="C7009" s="710" t="s">
        <v>14377</v>
      </c>
      <c r="D7009" s="709" t="s">
        <v>168</v>
      </c>
      <c r="E7009" s="711">
        <v>0.3261</v>
      </c>
    </row>
    <row r="7010" spans="1:5" x14ac:dyDescent="0.3">
      <c r="A7010" s="397"/>
      <c r="B7010" s="709">
        <v>101731</v>
      </c>
      <c r="C7010" s="710" t="s">
        <v>14378</v>
      </c>
      <c r="D7010" s="709" t="s">
        <v>168</v>
      </c>
      <c r="E7010" s="711">
        <v>0.1946</v>
      </c>
    </row>
    <row r="7011" spans="1:5" x14ac:dyDescent="0.3">
      <c r="A7011" s="397"/>
      <c r="B7011" s="709">
        <v>101751</v>
      </c>
      <c r="C7011" s="710" t="s">
        <v>14379</v>
      </c>
      <c r="D7011" s="709" t="s">
        <v>168</v>
      </c>
      <c r="E7011" s="711">
        <v>0.09</v>
      </c>
    </row>
    <row r="7012" spans="1:5" x14ac:dyDescent="0.3">
      <c r="A7012" s="397"/>
      <c r="B7012" s="709">
        <v>101729</v>
      </c>
      <c r="C7012" s="710" t="s">
        <v>14380</v>
      </c>
      <c r="D7012" s="709" t="s">
        <v>168</v>
      </c>
      <c r="E7012" s="711">
        <v>8.1900000000000001E-2</v>
      </c>
    </row>
    <row r="7013" spans="1:5" x14ac:dyDescent="0.3">
      <c r="A7013" s="397"/>
      <c r="B7013" s="709">
        <v>101094</v>
      </c>
      <c r="C7013" s="710" t="s">
        <v>14381</v>
      </c>
      <c r="D7013" s="709" t="s">
        <v>159</v>
      </c>
      <c r="E7013" s="711">
        <v>0.29049999999999998</v>
      </c>
    </row>
    <row r="7014" spans="1:5" x14ac:dyDescent="0.3">
      <c r="A7014" s="397"/>
      <c r="B7014" s="709">
        <v>101727</v>
      </c>
      <c r="C7014" s="710" t="s">
        <v>14382</v>
      </c>
      <c r="D7014" s="709" t="s">
        <v>168</v>
      </c>
      <c r="E7014" s="711">
        <v>3.4700000000000002E-2</v>
      </c>
    </row>
    <row r="7015" spans="1:5" x14ac:dyDescent="0.3">
      <c r="A7015" s="397"/>
      <c r="B7015" s="709">
        <v>106790</v>
      </c>
      <c r="C7015" s="710" t="s">
        <v>14383</v>
      </c>
      <c r="D7015" s="709" t="s">
        <v>168</v>
      </c>
      <c r="E7015" s="711">
        <v>7.1199999999999999E-2</v>
      </c>
    </row>
    <row r="7016" spans="1:5" x14ac:dyDescent="0.3">
      <c r="A7016" s="397"/>
      <c r="B7016" s="709">
        <v>106792</v>
      </c>
      <c r="C7016" s="710" t="s">
        <v>14384</v>
      </c>
      <c r="D7016" s="709" t="s">
        <v>168</v>
      </c>
      <c r="E7016" s="711">
        <v>0.59079999999999999</v>
      </c>
    </row>
    <row r="7017" spans="1:5" x14ac:dyDescent="0.3">
      <c r="A7017" s="397"/>
      <c r="B7017" s="709">
        <v>101748</v>
      </c>
      <c r="C7017" s="710" t="s">
        <v>14385</v>
      </c>
      <c r="D7017" s="709" t="s">
        <v>168</v>
      </c>
      <c r="E7017" s="711">
        <v>0.96730000000000005</v>
      </c>
    </row>
    <row r="7018" spans="1:5" x14ac:dyDescent="0.3">
      <c r="A7018" s="397"/>
      <c r="B7018" s="709">
        <v>106791</v>
      </c>
      <c r="C7018" s="710" t="s">
        <v>14386</v>
      </c>
      <c r="D7018" s="709" t="s">
        <v>168</v>
      </c>
      <c r="E7018" s="711">
        <v>0.1174</v>
      </c>
    </row>
    <row r="7019" spans="1:5" x14ac:dyDescent="0.3">
      <c r="A7019" s="397"/>
      <c r="B7019" s="709">
        <v>101742</v>
      </c>
      <c r="C7019" s="710" t="s">
        <v>14387</v>
      </c>
      <c r="D7019" s="709" t="s">
        <v>159</v>
      </c>
      <c r="E7019" s="711">
        <v>0.40860000000000002</v>
      </c>
    </row>
    <row r="7020" spans="1:5" x14ac:dyDescent="0.3">
      <c r="A7020" s="397"/>
      <c r="B7020" s="709">
        <v>101740</v>
      </c>
      <c r="C7020" s="710" t="s">
        <v>14388</v>
      </c>
      <c r="D7020" s="709" t="s">
        <v>159</v>
      </c>
      <c r="E7020" s="711">
        <v>0.622</v>
      </c>
    </row>
    <row r="7021" spans="1:5" x14ac:dyDescent="0.3">
      <c r="A7021" s="397"/>
      <c r="B7021" s="709">
        <v>98685</v>
      </c>
      <c r="C7021" s="710" t="s">
        <v>14389</v>
      </c>
      <c r="D7021" s="709" t="s">
        <v>159</v>
      </c>
      <c r="E7021" s="711">
        <v>0.1847</v>
      </c>
    </row>
    <row r="7022" spans="1:5" x14ac:dyDescent="0.3">
      <c r="A7022" s="397"/>
      <c r="B7022" s="709">
        <v>98686</v>
      </c>
      <c r="C7022" s="710" t="s">
        <v>14390</v>
      </c>
      <c r="D7022" s="709" t="s">
        <v>159</v>
      </c>
      <c r="E7022" s="711">
        <v>0.78690000000000004</v>
      </c>
    </row>
    <row r="7023" spans="1:5" x14ac:dyDescent="0.3">
      <c r="A7023" s="397"/>
      <c r="B7023" s="709">
        <v>101738</v>
      </c>
      <c r="C7023" s="710" t="s">
        <v>14391</v>
      </c>
      <c r="D7023" s="709" t="s">
        <v>159</v>
      </c>
      <c r="E7023" s="711">
        <v>8.0199999999999994E-2</v>
      </c>
    </row>
    <row r="7024" spans="1:5" x14ac:dyDescent="0.3">
      <c r="A7024" s="397"/>
      <c r="B7024" s="709">
        <v>101739</v>
      </c>
      <c r="C7024" s="710" t="s">
        <v>14392</v>
      </c>
      <c r="D7024" s="709" t="s">
        <v>159</v>
      </c>
      <c r="E7024" s="711">
        <v>0.39700000000000002</v>
      </c>
    </row>
    <row r="7025" spans="1:5" x14ac:dyDescent="0.3">
      <c r="A7025" s="397"/>
      <c r="B7025" s="709">
        <v>101741</v>
      </c>
      <c r="C7025" s="710" t="s">
        <v>14393</v>
      </c>
      <c r="D7025" s="709" t="s">
        <v>159</v>
      </c>
      <c r="E7025" s="711">
        <v>0.8679</v>
      </c>
    </row>
    <row r="7026" spans="1:5" x14ac:dyDescent="0.3">
      <c r="A7026" s="397"/>
      <c r="B7026" s="709">
        <v>98697</v>
      </c>
      <c r="C7026" s="710" t="s">
        <v>14394</v>
      </c>
      <c r="D7026" s="709" t="s">
        <v>159</v>
      </c>
      <c r="E7026" s="711">
        <v>0.1835</v>
      </c>
    </row>
    <row r="7027" spans="1:5" x14ac:dyDescent="0.3">
      <c r="A7027" s="397"/>
      <c r="B7027" s="709">
        <v>98688</v>
      </c>
      <c r="C7027" s="710" t="s">
        <v>14395</v>
      </c>
      <c r="D7027" s="709" t="s">
        <v>159</v>
      </c>
      <c r="E7027" s="711">
        <v>4.9599999999999998E-2</v>
      </c>
    </row>
    <row r="7028" spans="1:5" x14ac:dyDescent="0.3">
      <c r="A7028" s="397"/>
      <c r="B7028" s="709">
        <v>98689</v>
      </c>
      <c r="C7028" s="710" t="s">
        <v>14396</v>
      </c>
      <c r="D7028" s="709" t="s">
        <v>159</v>
      </c>
      <c r="E7028" s="711">
        <v>0.26529999999999998</v>
      </c>
    </row>
    <row r="7029" spans="1:5" x14ac:dyDescent="0.3">
      <c r="A7029" s="397"/>
      <c r="B7029" s="709">
        <v>98695</v>
      </c>
      <c r="C7029" s="710" t="s">
        <v>14397</v>
      </c>
      <c r="D7029" s="709" t="s">
        <v>159</v>
      </c>
      <c r="E7029" s="711">
        <v>0.25190000000000001</v>
      </c>
    </row>
    <row r="7030" spans="1:5" x14ac:dyDescent="0.3">
      <c r="A7030" s="397"/>
      <c r="B7030" s="709">
        <v>100606</v>
      </c>
      <c r="C7030" s="710" t="s">
        <v>7076</v>
      </c>
      <c r="D7030" s="709" t="s">
        <v>136</v>
      </c>
      <c r="E7030" s="711">
        <v>0.40539999999999998</v>
      </c>
    </row>
    <row r="7031" spans="1:5" x14ac:dyDescent="0.3">
      <c r="A7031" s="397"/>
      <c r="B7031" s="709">
        <v>100604</v>
      </c>
      <c r="C7031" s="710" t="s">
        <v>7077</v>
      </c>
      <c r="D7031" s="709" t="s">
        <v>136</v>
      </c>
      <c r="E7031" s="711">
        <v>0.28799999999999998</v>
      </c>
    </row>
    <row r="7032" spans="1:5" x14ac:dyDescent="0.3">
      <c r="A7032" s="397"/>
      <c r="B7032" s="709">
        <v>100605</v>
      </c>
      <c r="C7032" s="710" t="s">
        <v>7078</v>
      </c>
      <c r="D7032" s="709" t="s">
        <v>136</v>
      </c>
      <c r="E7032" s="711">
        <v>0.3574</v>
      </c>
    </row>
    <row r="7033" spans="1:5" x14ac:dyDescent="0.3">
      <c r="A7033" s="397"/>
      <c r="B7033" s="709">
        <v>100580</v>
      </c>
      <c r="C7033" s="710" t="s">
        <v>7079</v>
      </c>
      <c r="D7033" s="709" t="s">
        <v>136</v>
      </c>
      <c r="E7033" s="711">
        <v>0.33160000000000001</v>
      </c>
    </row>
    <row r="7034" spans="1:5" x14ac:dyDescent="0.3">
      <c r="A7034" s="397"/>
      <c r="B7034" s="709">
        <v>100579</v>
      </c>
      <c r="C7034" s="710" t="s">
        <v>7080</v>
      </c>
      <c r="D7034" s="709" t="s">
        <v>136</v>
      </c>
      <c r="E7034" s="711">
        <v>0.29039999999999999</v>
      </c>
    </row>
    <row r="7035" spans="1:5" x14ac:dyDescent="0.3">
      <c r="A7035" s="397"/>
      <c r="B7035" s="709">
        <v>100609</v>
      </c>
      <c r="C7035" s="710" t="s">
        <v>7081</v>
      </c>
      <c r="D7035" s="709" t="s">
        <v>136</v>
      </c>
      <c r="E7035" s="711">
        <v>0.40570000000000001</v>
      </c>
    </row>
    <row r="7036" spans="1:5" x14ac:dyDescent="0.3">
      <c r="A7036" s="397"/>
      <c r="B7036" s="709">
        <v>100607</v>
      </c>
      <c r="C7036" s="710" t="s">
        <v>7082</v>
      </c>
      <c r="D7036" s="709" t="s">
        <v>136</v>
      </c>
      <c r="E7036" s="711">
        <v>0.28360000000000002</v>
      </c>
    </row>
    <row r="7037" spans="1:5" x14ac:dyDescent="0.3">
      <c r="A7037" s="397"/>
      <c r="B7037" s="709">
        <v>100608</v>
      </c>
      <c r="C7037" s="710" t="s">
        <v>7083</v>
      </c>
      <c r="D7037" s="709" t="s">
        <v>136</v>
      </c>
      <c r="E7037" s="711">
        <v>0.35549999999999998</v>
      </c>
    </row>
    <row r="7038" spans="1:5" x14ac:dyDescent="0.3">
      <c r="A7038" s="397"/>
      <c r="B7038" s="709">
        <v>100582</v>
      </c>
      <c r="C7038" s="710" t="s">
        <v>7084</v>
      </c>
      <c r="D7038" s="709" t="s">
        <v>136</v>
      </c>
      <c r="E7038" s="711">
        <v>0.35549999999999998</v>
      </c>
    </row>
    <row r="7039" spans="1:5" x14ac:dyDescent="0.3">
      <c r="A7039" s="397"/>
      <c r="B7039" s="709">
        <v>100581</v>
      </c>
      <c r="C7039" s="710" t="s">
        <v>7085</v>
      </c>
      <c r="D7039" s="709" t="s">
        <v>136</v>
      </c>
      <c r="E7039" s="711">
        <v>0.2868</v>
      </c>
    </row>
    <row r="7040" spans="1:5" x14ac:dyDescent="0.3">
      <c r="A7040" s="397"/>
      <c r="B7040" s="709">
        <v>100613</v>
      </c>
      <c r="C7040" s="710" t="s">
        <v>7086</v>
      </c>
      <c r="D7040" s="709" t="s">
        <v>136</v>
      </c>
      <c r="E7040" s="711">
        <v>0.40610000000000002</v>
      </c>
    </row>
    <row r="7041" spans="1:5" x14ac:dyDescent="0.3">
      <c r="A7041" s="397"/>
      <c r="B7041" s="709">
        <v>100610</v>
      </c>
      <c r="C7041" s="710" t="s">
        <v>7087</v>
      </c>
      <c r="D7041" s="709" t="s">
        <v>136</v>
      </c>
      <c r="E7041" s="711">
        <v>0.27929999999999999</v>
      </c>
    </row>
    <row r="7042" spans="1:5" x14ac:dyDescent="0.3">
      <c r="A7042" s="397"/>
      <c r="B7042" s="709">
        <v>100611</v>
      </c>
      <c r="C7042" s="710" t="s">
        <v>7088</v>
      </c>
      <c r="D7042" s="709" t="s">
        <v>136</v>
      </c>
      <c r="E7042" s="711">
        <v>0.31929999999999997</v>
      </c>
    </row>
    <row r="7043" spans="1:5" x14ac:dyDescent="0.3">
      <c r="A7043" s="397"/>
      <c r="B7043" s="709">
        <v>100612</v>
      </c>
      <c r="C7043" s="710" t="s">
        <v>7089</v>
      </c>
      <c r="D7043" s="709" t="s">
        <v>136</v>
      </c>
      <c r="E7043" s="711">
        <v>0.35349999999999998</v>
      </c>
    </row>
    <row r="7044" spans="1:5" x14ac:dyDescent="0.3">
      <c r="A7044" s="397"/>
      <c r="B7044" s="709">
        <v>100584</v>
      </c>
      <c r="C7044" s="710" t="s">
        <v>7090</v>
      </c>
      <c r="D7044" s="709" t="s">
        <v>136</v>
      </c>
      <c r="E7044" s="711">
        <v>0.32640000000000002</v>
      </c>
    </row>
    <row r="7045" spans="1:5" x14ac:dyDescent="0.3">
      <c r="A7045" s="397"/>
      <c r="B7045" s="709">
        <v>100583</v>
      </c>
      <c r="C7045" s="710" t="s">
        <v>7091</v>
      </c>
      <c r="D7045" s="709" t="s">
        <v>136</v>
      </c>
      <c r="E7045" s="711">
        <v>0.28449999999999998</v>
      </c>
    </row>
    <row r="7046" spans="1:5" x14ac:dyDescent="0.3">
      <c r="A7046" s="397"/>
      <c r="B7046" s="709">
        <v>100616</v>
      </c>
      <c r="C7046" s="710" t="s">
        <v>7092</v>
      </c>
      <c r="D7046" s="709" t="s">
        <v>136</v>
      </c>
      <c r="E7046" s="711">
        <v>0.40739999999999998</v>
      </c>
    </row>
    <row r="7047" spans="1:5" x14ac:dyDescent="0.3">
      <c r="A7047" s="397"/>
      <c r="B7047" s="709">
        <v>100614</v>
      </c>
      <c r="C7047" s="710" t="s">
        <v>7093</v>
      </c>
      <c r="D7047" s="709" t="s">
        <v>136</v>
      </c>
      <c r="E7047" s="711">
        <v>0.31359999999999999</v>
      </c>
    </row>
    <row r="7048" spans="1:5" x14ac:dyDescent="0.3">
      <c r="A7048" s="397"/>
      <c r="B7048" s="709">
        <v>100615</v>
      </c>
      <c r="C7048" s="710" t="s">
        <v>7094</v>
      </c>
      <c r="D7048" s="709" t="s">
        <v>136</v>
      </c>
      <c r="E7048" s="711">
        <v>0.34989999999999999</v>
      </c>
    </row>
    <row r="7049" spans="1:5" x14ac:dyDescent="0.3">
      <c r="A7049" s="397"/>
      <c r="B7049" s="709">
        <v>100586</v>
      </c>
      <c r="C7049" s="710" t="s">
        <v>7095</v>
      </c>
      <c r="D7049" s="709" t="s">
        <v>136</v>
      </c>
      <c r="E7049" s="711">
        <v>0.3397</v>
      </c>
    </row>
    <row r="7050" spans="1:5" x14ac:dyDescent="0.3">
      <c r="A7050" s="397"/>
      <c r="B7050" s="709">
        <v>100585</v>
      </c>
      <c r="C7050" s="710" t="s">
        <v>7096</v>
      </c>
      <c r="D7050" s="709" t="s">
        <v>136</v>
      </c>
      <c r="E7050" s="711">
        <v>0.27979999999999999</v>
      </c>
    </row>
    <row r="7051" spans="1:5" x14ac:dyDescent="0.3">
      <c r="A7051" s="397"/>
      <c r="B7051" s="709">
        <v>100618</v>
      </c>
      <c r="C7051" s="710" t="s">
        <v>7097</v>
      </c>
      <c r="D7051" s="709" t="s">
        <v>136</v>
      </c>
      <c r="E7051" s="711">
        <v>0.40620000000000001</v>
      </c>
    </row>
    <row r="7052" spans="1:5" x14ac:dyDescent="0.3">
      <c r="A7052" s="397"/>
      <c r="B7052" s="709">
        <v>100617</v>
      </c>
      <c r="C7052" s="710" t="s">
        <v>7098</v>
      </c>
      <c r="D7052" s="709" t="s">
        <v>136</v>
      </c>
      <c r="E7052" s="711">
        <v>0.34670000000000001</v>
      </c>
    </row>
    <row r="7053" spans="1:5" x14ac:dyDescent="0.3">
      <c r="A7053" s="397"/>
      <c r="B7053" s="709">
        <v>100588</v>
      </c>
      <c r="C7053" s="710" t="s">
        <v>7099</v>
      </c>
      <c r="D7053" s="709" t="s">
        <v>136</v>
      </c>
      <c r="E7053" s="711">
        <v>0.32179999999999997</v>
      </c>
    </row>
    <row r="7054" spans="1:5" x14ac:dyDescent="0.3">
      <c r="A7054" s="397"/>
      <c r="B7054" s="709">
        <v>100587</v>
      </c>
      <c r="C7054" s="710" t="s">
        <v>7100</v>
      </c>
      <c r="D7054" s="709" t="s">
        <v>136</v>
      </c>
      <c r="E7054" s="711">
        <v>0.27679999999999999</v>
      </c>
    </row>
    <row r="7055" spans="1:5" x14ac:dyDescent="0.3">
      <c r="A7055" s="397"/>
      <c r="B7055" s="709">
        <v>100590</v>
      </c>
      <c r="C7055" s="710" t="s">
        <v>7101</v>
      </c>
      <c r="D7055" s="709" t="s">
        <v>136</v>
      </c>
      <c r="E7055" s="711">
        <v>0.34820000000000001</v>
      </c>
    </row>
    <row r="7056" spans="1:5" x14ac:dyDescent="0.3">
      <c r="A7056" s="397"/>
      <c r="B7056" s="709">
        <v>100589</v>
      </c>
      <c r="C7056" s="710" t="s">
        <v>7102</v>
      </c>
      <c r="D7056" s="709" t="s">
        <v>136</v>
      </c>
      <c r="E7056" s="711">
        <v>0.30759999999999998</v>
      </c>
    </row>
    <row r="7057" spans="1:5" x14ac:dyDescent="0.3">
      <c r="A7057" s="397"/>
      <c r="B7057" s="709">
        <v>100592</v>
      </c>
      <c r="C7057" s="710" t="s">
        <v>7103</v>
      </c>
      <c r="D7057" s="709" t="s">
        <v>136</v>
      </c>
      <c r="E7057" s="711">
        <v>0.32019999999999998</v>
      </c>
    </row>
    <row r="7058" spans="1:5" x14ac:dyDescent="0.3">
      <c r="A7058" s="397"/>
      <c r="B7058" s="709">
        <v>100591</v>
      </c>
      <c r="C7058" s="710" t="s">
        <v>7104</v>
      </c>
      <c r="D7058" s="709" t="s">
        <v>136</v>
      </c>
      <c r="E7058" s="711">
        <v>0.27510000000000001</v>
      </c>
    </row>
    <row r="7059" spans="1:5" x14ac:dyDescent="0.3">
      <c r="A7059" s="397"/>
      <c r="B7059" s="709">
        <v>100594</v>
      </c>
      <c r="C7059" s="710" t="s">
        <v>7105</v>
      </c>
      <c r="D7059" s="709" t="s">
        <v>136</v>
      </c>
      <c r="E7059" s="711">
        <v>0.3372</v>
      </c>
    </row>
    <row r="7060" spans="1:5" x14ac:dyDescent="0.3">
      <c r="A7060" s="397"/>
      <c r="B7060" s="709">
        <v>100593</v>
      </c>
      <c r="C7060" s="710" t="s">
        <v>7106</v>
      </c>
      <c r="D7060" s="709" t="s">
        <v>136</v>
      </c>
      <c r="E7060" s="711">
        <v>0.28439999999999999</v>
      </c>
    </row>
    <row r="7061" spans="1:5" x14ac:dyDescent="0.3">
      <c r="A7061" s="397"/>
      <c r="B7061" s="709">
        <v>100596</v>
      </c>
      <c r="C7061" s="710" t="s">
        <v>7107</v>
      </c>
      <c r="D7061" s="709" t="s">
        <v>136</v>
      </c>
      <c r="E7061" s="711">
        <v>0.34179999999999999</v>
      </c>
    </row>
    <row r="7062" spans="1:5" x14ac:dyDescent="0.3">
      <c r="A7062" s="397"/>
      <c r="B7062" s="709">
        <v>100595</v>
      </c>
      <c r="C7062" s="710" t="s">
        <v>7108</v>
      </c>
      <c r="D7062" s="709" t="s">
        <v>136</v>
      </c>
      <c r="E7062" s="711">
        <v>0.28289999999999998</v>
      </c>
    </row>
    <row r="7063" spans="1:5" x14ac:dyDescent="0.3">
      <c r="A7063" s="397"/>
      <c r="B7063" s="709">
        <v>100598</v>
      </c>
      <c r="C7063" s="710" t="s">
        <v>7109</v>
      </c>
      <c r="D7063" s="709" t="s">
        <v>136</v>
      </c>
      <c r="E7063" s="711">
        <v>0.34449999999999997</v>
      </c>
    </row>
    <row r="7064" spans="1:5" x14ac:dyDescent="0.3">
      <c r="A7064" s="397"/>
      <c r="B7064" s="709">
        <v>100597</v>
      </c>
      <c r="C7064" s="710" t="s">
        <v>7110</v>
      </c>
      <c r="D7064" s="709" t="s">
        <v>136</v>
      </c>
      <c r="E7064" s="711">
        <v>0.30199999999999999</v>
      </c>
    </row>
    <row r="7065" spans="1:5" x14ac:dyDescent="0.3">
      <c r="A7065" s="397"/>
      <c r="B7065" s="709">
        <v>100603</v>
      </c>
      <c r="C7065" s="710" t="s">
        <v>7111</v>
      </c>
      <c r="D7065" s="709" t="s">
        <v>136</v>
      </c>
      <c r="E7065" s="711">
        <v>0.40550000000000003</v>
      </c>
    </row>
    <row r="7066" spans="1:5" x14ac:dyDescent="0.3">
      <c r="A7066" s="397"/>
      <c r="B7066" s="709">
        <v>100599</v>
      </c>
      <c r="C7066" s="710" t="s">
        <v>7112</v>
      </c>
      <c r="D7066" s="709" t="s">
        <v>136</v>
      </c>
      <c r="E7066" s="711">
        <v>0.25790000000000002</v>
      </c>
    </row>
    <row r="7067" spans="1:5" x14ac:dyDescent="0.3">
      <c r="A7067" s="397"/>
      <c r="B7067" s="709">
        <v>100600</v>
      </c>
      <c r="C7067" s="710" t="s">
        <v>7113</v>
      </c>
      <c r="D7067" s="709" t="s">
        <v>136</v>
      </c>
      <c r="E7067" s="711">
        <v>0.2974</v>
      </c>
    </row>
    <row r="7068" spans="1:5" x14ac:dyDescent="0.3">
      <c r="A7068" s="397"/>
      <c r="B7068" s="709">
        <v>100601</v>
      </c>
      <c r="C7068" s="710" t="s">
        <v>7114</v>
      </c>
      <c r="D7068" s="709" t="s">
        <v>136</v>
      </c>
      <c r="E7068" s="711">
        <v>0.33239999999999997</v>
      </c>
    </row>
    <row r="7069" spans="1:5" x14ac:dyDescent="0.3">
      <c r="A7069" s="397"/>
      <c r="B7069" s="709">
        <v>100602</v>
      </c>
      <c r="C7069" s="710" t="s">
        <v>7115</v>
      </c>
      <c r="D7069" s="709" t="s">
        <v>136</v>
      </c>
      <c r="E7069" s="711">
        <v>0.36159999999999998</v>
      </c>
    </row>
    <row r="7070" spans="1:5" x14ac:dyDescent="0.3">
      <c r="A7070" s="397"/>
      <c r="B7070" s="709">
        <v>100578</v>
      </c>
      <c r="C7070" s="710" t="s">
        <v>7116</v>
      </c>
      <c r="D7070" s="709" t="s">
        <v>136</v>
      </c>
      <c r="E7070" s="711">
        <v>0.29849999999999999</v>
      </c>
    </row>
    <row r="7071" spans="1:5" x14ac:dyDescent="0.3">
      <c r="A7071" s="397"/>
      <c r="B7071" s="709">
        <v>100623</v>
      </c>
      <c r="C7071" s="710" t="s">
        <v>7129</v>
      </c>
      <c r="D7071" s="709" t="s">
        <v>136</v>
      </c>
      <c r="E7071" s="711">
        <v>5.3199999999999997E-2</v>
      </c>
    </row>
    <row r="7072" spans="1:5" x14ac:dyDescent="0.3">
      <c r="A7072" s="397"/>
      <c r="B7072" s="709">
        <v>100621</v>
      </c>
      <c r="C7072" s="710" t="s">
        <v>7133</v>
      </c>
      <c r="D7072" s="709" t="s">
        <v>136</v>
      </c>
      <c r="E7072" s="711">
        <v>2.7799999999999998E-2</v>
      </c>
    </row>
    <row r="7073" spans="1:5" x14ac:dyDescent="0.3">
      <c r="A7073" s="397"/>
      <c r="B7073" s="709">
        <v>100622</v>
      </c>
      <c r="C7073" s="710" t="s">
        <v>7138</v>
      </c>
      <c r="D7073" s="709" t="s">
        <v>136</v>
      </c>
      <c r="E7073" s="711">
        <v>5.28E-2</v>
      </c>
    </row>
    <row r="7074" spans="1:5" x14ac:dyDescent="0.3">
      <c r="A7074" s="397"/>
      <c r="B7074" s="709">
        <v>105958</v>
      </c>
      <c r="C7074" s="710" t="s">
        <v>7141</v>
      </c>
      <c r="D7074" s="709" t="s">
        <v>136</v>
      </c>
      <c r="E7074" s="711">
        <v>4.8800000000000003E-2</v>
      </c>
    </row>
    <row r="7075" spans="1:5" x14ac:dyDescent="0.3">
      <c r="A7075" s="397"/>
      <c r="B7075" s="709">
        <v>100620</v>
      </c>
      <c r="C7075" s="710" t="s">
        <v>7143</v>
      </c>
      <c r="D7075" s="709" t="s">
        <v>136</v>
      </c>
      <c r="E7075" s="711">
        <v>2.9600000000000001E-2</v>
      </c>
    </row>
    <row r="7076" spans="1:5" x14ac:dyDescent="0.3">
      <c r="A7076" s="397"/>
      <c r="B7076" s="709">
        <v>105953</v>
      </c>
      <c r="C7076" s="710" t="s">
        <v>7146</v>
      </c>
      <c r="D7076" s="709" t="s">
        <v>136</v>
      </c>
      <c r="E7076" s="711">
        <v>6.5100000000000005E-2</v>
      </c>
    </row>
    <row r="7077" spans="1:5" x14ac:dyDescent="0.3">
      <c r="A7077" s="397"/>
      <c r="B7077" s="709">
        <v>105955</v>
      </c>
      <c r="C7077" s="710" t="s">
        <v>7148</v>
      </c>
      <c r="D7077" s="709" t="s">
        <v>136</v>
      </c>
      <c r="E7077" s="711">
        <v>5.33E-2</v>
      </c>
    </row>
    <row r="7078" spans="1:5" x14ac:dyDescent="0.3">
      <c r="A7078" s="397"/>
      <c r="B7078" s="709">
        <v>100619</v>
      </c>
      <c r="C7078" s="710" t="s">
        <v>7154</v>
      </c>
      <c r="D7078" s="709" t="s">
        <v>136</v>
      </c>
      <c r="E7078" s="711">
        <v>0.23980000000000001</v>
      </c>
    </row>
    <row r="7079" spans="1:5" x14ac:dyDescent="0.3">
      <c r="A7079" s="397"/>
      <c r="B7079" s="709">
        <v>99283</v>
      </c>
      <c r="C7079" s="710" t="s">
        <v>7155</v>
      </c>
      <c r="D7079" s="709" t="s">
        <v>159</v>
      </c>
      <c r="E7079" s="711">
        <v>0.56830000000000003</v>
      </c>
    </row>
    <row r="7080" spans="1:5" x14ac:dyDescent="0.3">
      <c r="A7080" s="397"/>
      <c r="B7080" s="709">
        <v>99293</v>
      </c>
      <c r="C7080" s="710" t="s">
        <v>7156</v>
      </c>
      <c r="D7080" s="709" t="s">
        <v>159</v>
      </c>
      <c r="E7080" s="711">
        <v>0.57420000000000004</v>
      </c>
    </row>
    <row r="7081" spans="1:5" x14ac:dyDescent="0.3">
      <c r="A7081" s="397"/>
      <c r="B7081" s="709">
        <v>99243</v>
      </c>
      <c r="C7081" s="710" t="s">
        <v>7157</v>
      </c>
      <c r="D7081" s="709" t="s">
        <v>159</v>
      </c>
      <c r="E7081" s="711">
        <v>0.57850000000000001</v>
      </c>
    </row>
    <row r="7082" spans="1:5" x14ac:dyDescent="0.3">
      <c r="A7082" s="397"/>
      <c r="B7082" s="709">
        <v>99249</v>
      </c>
      <c r="C7082" s="710" t="s">
        <v>7158</v>
      </c>
      <c r="D7082" s="709" t="s">
        <v>159</v>
      </c>
      <c r="E7082" s="711">
        <v>0.58289999999999997</v>
      </c>
    </row>
    <row r="7083" spans="1:5" x14ac:dyDescent="0.3">
      <c r="A7083" s="397"/>
      <c r="B7083" s="709">
        <v>99278</v>
      </c>
      <c r="C7083" s="710" t="s">
        <v>7159</v>
      </c>
      <c r="D7083" s="709" t="s">
        <v>159</v>
      </c>
      <c r="E7083" s="711">
        <v>8.3599999999999994E-2</v>
      </c>
    </row>
    <row r="7084" spans="1:5" x14ac:dyDescent="0.3">
      <c r="A7084" s="397"/>
      <c r="B7084" s="709">
        <v>99288</v>
      </c>
      <c r="C7084" s="710" t="s">
        <v>7160</v>
      </c>
      <c r="D7084" s="709" t="s">
        <v>159</v>
      </c>
      <c r="E7084" s="711">
        <v>7.5499999999999998E-2</v>
      </c>
    </row>
    <row r="7085" spans="1:5" x14ac:dyDescent="0.3">
      <c r="A7085" s="397"/>
      <c r="B7085" s="709">
        <v>99240</v>
      </c>
      <c r="C7085" s="710" t="s">
        <v>7161</v>
      </c>
      <c r="D7085" s="709" t="s">
        <v>159</v>
      </c>
      <c r="E7085" s="711">
        <v>6.6699999999999995E-2</v>
      </c>
    </row>
    <row r="7086" spans="1:5" x14ac:dyDescent="0.3">
      <c r="A7086" s="397"/>
      <c r="B7086" s="709">
        <v>99246</v>
      </c>
      <c r="C7086" s="710" t="s">
        <v>7162</v>
      </c>
      <c r="D7086" s="709" t="s">
        <v>159</v>
      </c>
      <c r="E7086" s="711">
        <v>6.2100000000000002E-2</v>
      </c>
    </row>
    <row r="7087" spans="1:5" x14ac:dyDescent="0.3">
      <c r="A7087" s="397"/>
      <c r="B7087" s="709">
        <v>97981</v>
      </c>
      <c r="C7087" s="710" t="s">
        <v>7163</v>
      </c>
      <c r="D7087" s="709" t="s">
        <v>159</v>
      </c>
      <c r="E7087" s="711">
        <v>0.54010000000000002</v>
      </c>
    </row>
    <row r="7088" spans="1:5" x14ac:dyDescent="0.3">
      <c r="A7088" s="397"/>
      <c r="B7088" s="709">
        <v>97985</v>
      </c>
      <c r="C7088" s="710" t="s">
        <v>7164</v>
      </c>
      <c r="D7088" s="709" t="s">
        <v>159</v>
      </c>
      <c r="E7088" s="711">
        <v>0.5474</v>
      </c>
    </row>
    <row r="7089" spans="1:5" x14ac:dyDescent="0.3">
      <c r="A7089" s="397"/>
      <c r="B7089" s="709">
        <v>97989</v>
      </c>
      <c r="C7089" s="710" t="s">
        <v>7165</v>
      </c>
      <c r="D7089" s="709" t="s">
        <v>159</v>
      </c>
      <c r="E7089" s="711">
        <v>0.55269999999999997</v>
      </c>
    </row>
    <row r="7090" spans="1:5" x14ac:dyDescent="0.3">
      <c r="A7090" s="397"/>
      <c r="B7090" s="709">
        <v>97993</v>
      </c>
      <c r="C7090" s="710" t="s">
        <v>7166</v>
      </c>
      <c r="D7090" s="709" t="s">
        <v>159</v>
      </c>
      <c r="E7090" s="711">
        <v>0.55810000000000004</v>
      </c>
    </row>
    <row r="7091" spans="1:5" x14ac:dyDescent="0.3">
      <c r="A7091" s="397"/>
      <c r="B7091" s="709">
        <v>98409</v>
      </c>
      <c r="C7091" s="710" t="s">
        <v>7167</v>
      </c>
      <c r="D7091" s="709" t="s">
        <v>159</v>
      </c>
      <c r="E7091" s="711">
        <v>8.3699999999999997E-2</v>
      </c>
    </row>
    <row r="7092" spans="1:5" x14ac:dyDescent="0.3">
      <c r="A7092" s="397"/>
      <c r="B7092" s="709">
        <v>97983</v>
      </c>
      <c r="C7092" s="710" t="s">
        <v>7168</v>
      </c>
      <c r="D7092" s="709" t="s">
        <v>159</v>
      </c>
      <c r="E7092" s="711">
        <v>7.5600000000000001E-2</v>
      </c>
    </row>
    <row r="7093" spans="1:5" x14ac:dyDescent="0.3">
      <c r="A7093" s="397"/>
      <c r="B7093" s="709">
        <v>97987</v>
      </c>
      <c r="C7093" s="710" t="s">
        <v>7169</v>
      </c>
      <c r="D7093" s="709" t="s">
        <v>159</v>
      </c>
      <c r="E7093" s="711">
        <v>6.6799999999999998E-2</v>
      </c>
    </row>
    <row r="7094" spans="1:5" x14ac:dyDescent="0.3">
      <c r="A7094" s="397"/>
      <c r="B7094" s="709">
        <v>97991</v>
      </c>
      <c r="C7094" s="710" t="s">
        <v>7170</v>
      </c>
      <c r="D7094" s="709" t="s">
        <v>159</v>
      </c>
      <c r="E7094" s="711">
        <v>6.2300000000000001E-2</v>
      </c>
    </row>
    <row r="7095" spans="1:5" x14ac:dyDescent="0.3">
      <c r="A7095" s="397"/>
      <c r="B7095" s="709">
        <v>99241</v>
      </c>
      <c r="C7095" s="710" t="s">
        <v>7171</v>
      </c>
      <c r="D7095" s="709" t="s">
        <v>159</v>
      </c>
      <c r="E7095" s="711">
        <v>0.51349999999999996</v>
      </c>
    </row>
    <row r="7096" spans="1:5" x14ac:dyDescent="0.3">
      <c r="A7096" s="397"/>
      <c r="B7096" s="709">
        <v>99247</v>
      </c>
      <c r="C7096" s="710" t="s">
        <v>7172</v>
      </c>
      <c r="D7096" s="709" t="s">
        <v>159</v>
      </c>
      <c r="E7096" s="711">
        <v>0.5141</v>
      </c>
    </row>
    <row r="7097" spans="1:5" x14ac:dyDescent="0.3">
      <c r="A7097" s="397"/>
      <c r="B7097" s="709">
        <v>99263</v>
      </c>
      <c r="C7097" s="710" t="s">
        <v>7173</v>
      </c>
      <c r="D7097" s="709" t="s">
        <v>159</v>
      </c>
      <c r="E7097" s="711">
        <v>0.51449999999999996</v>
      </c>
    </row>
    <row r="7098" spans="1:5" x14ac:dyDescent="0.3">
      <c r="A7098" s="397"/>
      <c r="B7098" s="709">
        <v>99276</v>
      </c>
      <c r="C7098" s="710" t="s">
        <v>7174</v>
      </c>
      <c r="D7098" s="709" t="s">
        <v>159</v>
      </c>
      <c r="E7098" s="711">
        <v>0.51490000000000002</v>
      </c>
    </row>
    <row r="7099" spans="1:5" x14ac:dyDescent="0.3">
      <c r="A7099" s="397"/>
      <c r="B7099" s="709">
        <v>99291</v>
      </c>
      <c r="C7099" s="710" t="s">
        <v>7175</v>
      </c>
      <c r="D7099" s="709" t="s">
        <v>159</v>
      </c>
      <c r="E7099" s="711">
        <v>0.51519999999999999</v>
      </c>
    </row>
    <row r="7100" spans="1:5" x14ac:dyDescent="0.3">
      <c r="A7100" s="397"/>
      <c r="B7100" s="709">
        <v>99297</v>
      </c>
      <c r="C7100" s="710" t="s">
        <v>7176</v>
      </c>
      <c r="D7100" s="709" t="s">
        <v>159</v>
      </c>
      <c r="E7100" s="711">
        <v>0.51549999999999996</v>
      </c>
    </row>
    <row r="7101" spans="1:5" x14ac:dyDescent="0.3">
      <c r="A7101" s="397"/>
      <c r="B7101" s="709">
        <v>99254</v>
      </c>
      <c r="C7101" s="710" t="s">
        <v>7177</v>
      </c>
      <c r="D7101" s="709" t="s">
        <v>159</v>
      </c>
      <c r="E7101" s="711">
        <v>0.51170000000000004</v>
      </c>
    </row>
    <row r="7102" spans="1:5" x14ac:dyDescent="0.3">
      <c r="A7102" s="397"/>
      <c r="B7102" s="709">
        <v>99261</v>
      </c>
      <c r="C7102" s="710" t="s">
        <v>7178</v>
      </c>
      <c r="D7102" s="709" t="s">
        <v>159</v>
      </c>
      <c r="E7102" s="711">
        <v>0.51280000000000003</v>
      </c>
    </row>
    <row r="7103" spans="1:5" x14ac:dyDescent="0.3">
      <c r="A7103" s="397"/>
      <c r="B7103" s="709">
        <v>99266</v>
      </c>
      <c r="C7103" s="710" t="s">
        <v>7179</v>
      </c>
      <c r="D7103" s="709" t="s">
        <v>159</v>
      </c>
      <c r="E7103" s="711">
        <v>0.51349999999999996</v>
      </c>
    </row>
    <row r="7104" spans="1:5" x14ac:dyDescent="0.3">
      <c r="A7104" s="397"/>
      <c r="B7104" s="709">
        <v>99269</v>
      </c>
      <c r="C7104" s="710" t="s">
        <v>7180</v>
      </c>
      <c r="D7104" s="709" t="s">
        <v>159</v>
      </c>
      <c r="E7104" s="711">
        <v>0.5141</v>
      </c>
    </row>
    <row r="7105" spans="1:5" x14ac:dyDescent="0.3">
      <c r="A7105" s="397"/>
      <c r="B7105" s="709">
        <v>99277</v>
      </c>
      <c r="C7105" s="710" t="s">
        <v>7181</v>
      </c>
      <c r="D7105" s="709" t="s">
        <v>159</v>
      </c>
      <c r="E7105" s="711">
        <v>0.51449999999999996</v>
      </c>
    </row>
    <row r="7106" spans="1:5" x14ac:dyDescent="0.3">
      <c r="A7106" s="397"/>
      <c r="B7106" s="709">
        <v>99281</v>
      </c>
      <c r="C7106" s="710" t="s">
        <v>7182</v>
      </c>
      <c r="D7106" s="709" t="s">
        <v>159</v>
      </c>
      <c r="E7106" s="711">
        <v>0.51490000000000002</v>
      </c>
    </row>
    <row r="7107" spans="1:5" x14ac:dyDescent="0.3">
      <c r="A7107" s="397"/>
      <c r="B7107" s="709">
        <v>99289</v>
      </c>
      <c r="C7107" s="710" t="s">
        <v>7183</v>
      </c>
      <c r="D7107" s="709" t="s">
        <v>159</v>
      </c>
      <c r="E7107" s="711">
        <v>0.51519999999999999</v>
      </c>
    </row>
    <row r="7108" spans="1:5" x14ac:dyDescent="0.3">
      <c r="A7108" s="397"/>
      <c r="B7108" s="709">
        <v>99282</v>
      </c>
      <c r="C7108" s="710" t="s">
        <v>7184</v>
      </c>
      <c r="D7108" s="709" t="s">
        <v>159</v>
      </c>
      <c r="E7108" s="711">
        <v>0.51519999999999999</v>
      </c>
    </row>
    <row r="7109" spans="1:5" x14ac:dyDescent="0.3">
      <c r="A7109" s="397"/>
      <c r="B7109" s="709">
        <v>99296</v>
      </c>
      <c r="C7109" s="710" t="s">
        <v>7185</v>
      </c>
      <c r="D7109" s="709" t="s">
        <v>159</v>
      </c>
      <c r="E7109" s="711">
        <v>0.51549999999999996</v>
      </c>
    </row>
    <row r="7110" spans="1:5" x14ac:dyDescent="0.3">
      <c r="A7110" s="397"/>
      <c r="B7110" s="709">
        <v>99299</v>
      </c>
      <c r="C7110" s="710" t="s">
        <v>7186</v>
      </c>
      <c r="D7110" s="709" t="s">
        <v>159</v>
      </c>
      <c r="E7110" s="711">
        <v>0.51570000000000005</v>
      </c>
    </row>
    <row r="7111" spans="1:5" x14ac:dyDescent="0.3">
      <c r="A7111" s="397"/>
      <c r="B7111" s="709">
        <v>99302</v>
      </c>
      <c r="C7111" s="710" t="s">
        <v>7187</v>
      </c>
      <c r="D7111" s="709" t="s">
        <v>159</v>
      </c>
      <c r="E7111" s="711">
        <v>0.51590000000000003</v>
      </c>
    </row>
    <row r="7112" spans="1:5" x14ac:dyDescent="0.3">
      <c r="A7112" s="397"/>
      <c r="B7112" s="709">
        <v>99307</v>
      </c>
      <c r="C7112" s="710" t="s">
        <v>7188</v>
      </c>
      <c r="D7112" s="709" t="s">
        <v>159</v>
      </c>
      <c r="E7112" s="711">
        <v>0.51459999999999995</v>
      </c>
    </row>
    <row r="7113" spans="1:5" x14ac:dyDescent="0.3">
      <c r="A7113" s="397"/>
      <c r="B7113" s="709">
        <v>99317</v>
      </c>
      <c r="C7113" s="710" t="s">
        <v>7189</v>
      </c>
      <c r="D7113" s="709" t="s">
        <v>159</v>
      </c>
      <c r="E7113" s="711">
        <v>0.51500000000000001</v>
      </c>
    </row>
    <row r="7114" spans="1:5" x14ac:dyDescent="0.3">
      <c r="A7114" s="397"/>
      <c r="B7114" s="709">
        <v>99321</v>
      </c>
      <c r="C7114" s="710" t="s">
        <v>7190</v>
      </c>
      <c r="D7114" s="709" t="s">
        <v>159</v>
      </c>
      <c r="E7114" s="711">
        <v>0.51519999999999999</v>
      </c>
    </row>
    <row r="7115" spans="1:5" x14ac:dyDescent="0.3">
      <c r="A7115" s="397"/>
      <c r="B7115" s="709">
        <v>99323</v>
      </c>
      <c r="C7115" s="710" t="s">
        <v>7191</v>
      </c>
      <c r="D7115" s="709" t="s">
        <v>159</v>
      </c>
      <c r="E7115" s="711">
        <v>0.51549999999999996</v>
      </c>
    </row>
    <row r="7116" spans="1:5" x14ac:dyDescent="0.3">
      <c r="A7116" s="397"/>
      <c r="B7116" s="709">
        <v>99325</v>
      </c>
      <c r="C7116" s="710" t="s">
        <v>7192</v>
      </c>
      <c r="D7116" s="709" t="s">
        <v>159</v>
      </c>
      <c r="E7116" s="711">
        <v>0.51570000000000005</v>
      </c>
    </row>
    <row r="7117" spans="1:5" x14ac:dyDescent="0.3">
      <c r="A7117" s="397"/>
      <c r="B7117" s="709">
        <v>99311</v>
      </c>
      <c r="C7117" s="710" t="s">
        <v>7193</v>
      </c>
      <c r="D7117" s="709" t="s">
        <v>159</v>
      </c>
      <c r="E7117" s="711">
        <v>0.51600000000000001</v>
      </c>
    </row>
    <row r="7118" spans="1:5" x14ac:dyDescent="0.3">
      <c r="A7118" s="397"/>
      <c r="B7118" s="709">
        <v>99314</v>
      </c>
      <c r="C7118" s="710" t="s">
        <v>7194</v>
      </c>
      <c r="D7118" s="709" t="s">
        <v>159</v>
      </c>
      <c r="E7118" s="711">
        <v>0.51619999999999999</v>
      </c>
    </row>
    <row r="7119" spans="1:5" x14ac:dyDescent="0.3">
      <c r="A7119" s="397"/>
      <c r="B7119" s="709">
        <v>99304</v>
      </c>
      <c r="C7119" s="710" t="s">
        <v>7195</v>
      </c>
      <c r="D7119" s="709" t="s">
        <v>159</v>
      </c>
      <c r="E7119" s="711">
        <v>0.51570000000000005</v>
      </c>
    </row>
    <row r="7120" spans="1:5" x14ac:dyDescent="0.3">
      <c r="A7120" s="397"/>
      <c r="B7120" s="709">
        <v>99306</v>
      </c>
      <c r="C7120" s="710" t="s">
        <v>7196</v>
      </c>
      <c r="D7120" s="709" t="s">
        <v>159</v>
      </c>
      <c r="E7120" s="711">
        <v>0.51590000000000003</v>
      </c>
    </row>
    <row r="7121" spans="1:5" x14ac:dyDescent="0.3">
      <c r="A7121" s="397"/>
      <c r="B7121" s="709">
        <v>99309</v>
      </c>
      <c r="C7121" s="710" t="s">
        <v>7197</v>
      </c>
      <c r="D7121" s="709" t="s">
        <v>159</v>
      </c>
      <c r="E7121" s="711">
        <v>0.51600000000000001</v>
      </c>
    </row>
    <row r="7122" spans="1:5" x14ac:dyDescent="0.3">
      <c r="A7122" s="397"/>
      <c r="B7122" s="709">
        <v>99327</v>
      </c>
      <c r="C7122" s="710" t="s">
        <v>7198</v>
      </c>
      <c r="D7122" s="709" t="s">
        <v>159</v>
      </c>
      <c r="E7122" s="711">
        <v>0.51619999999999999</v>
      </c>
    </row>
    <row r="7123" spans="1:5" x14ac:dyDescent="0.3">
      <c r="A7123" s="397"/>
      <c r="B7123" s="709">
        <v>98009</v>
      </c>
      <c r="C7123" s="710" t="s">
        <v>7199</v>
      </c>
      <c r="D7123" s="709" t="s">
        <v>159</v>
      </c>
      <c r="E7123" s="711">
        <v>0.49859999999999999</v>
      </c>
    </row>
    <row r="7124" spans="1:5" x14ac:dyDescent="0.3">
      <c r="A7124" s="397"/>
      <c r="B7124" s="709">
        <v>98011</v>
      </c>
      <c r="C7124" s="710" t="s">
        <v>7200</v>
      </c>
      <c r="D7124" s="709" t="s">
        <v>159</v>
      </c>
      <c r="E7124" s="711">
        <v>0.49909999999999999</v>
      </c>
    </row>
    <row r="7125" spans="1:5" x14ac:dyDescent="0.3">
      <c r="A7125" s="397"/>
      <c r="B7125" s="709">
        <v>98013</v>
      </c>
      <c r="C7125" s="710" t="s">
        <v>7201</v>
      </c>
      <c r="D7125" s="709" t="s">
        <v>159</v>
      </c>
      <c r="E7125" s="711">
        <v>0.4995</v>
      </c>
    </row>
    <row r="7126" spans="1:5" x14ac:dyDescent="0.3">
      <c r="A7126" s="397"/>
      <c r="B7126" s="709">
        <v>98015</v>
      </c>
      <c r="C7126" s="710" t="s">
        <v>7202</v>
      </c>
      <c r="D7126" s="709" t="s">
        <v>159</v>
      </c>
      <c r="E7126" s="711">
        <v>0.49980000000000002</v>
      </c>
    </row>
    <row r="7127" spans="1:5" x14ac:dyDescent="0.3">
      <c r="A7127" s="397"/>
      <c r="B7127" s="709">
        <v>98017</v>
      </c>
      <c r="C7127" s="710" t="s">
        <v>7203</v>
      </c>
      <c r="D7127" s="709" t="s">
        <v>159</v>
      </c>
      <c r="E7127" s="711">
        <v>0.5</v>
      </c>
    </row>
    <row r="7128" spans="1:5" x14ac:dyDescent="0.3">
      <c r="A7128" s="397"/>
      <c r="B7128" s="709">
        <v>98019</v>
      </c>
      <c r="C7128" s="710" t="s">
        <v>7204</v>
      </c>
      <c r="D7128" s="709" t="s">
        <v>159</v>
      </c>
      <c r="E7128" s="711">
        <v>0.5</v>
      </c>
    </row>
    <row r="7129" spans="1:5" x14ac:dyDescent="0.3">
      <c r="A7129" s="397"/>
      <c r="B7129" s="709">
        <v>97995</v>
      </c>
      <c r="C7129" s="710" t="s">
        <v>7205</v>
      </c>
      <c r="D7129" s="709" t="s">
        <v>159</v>
      </c>
      <c r="E7129" s="711">
        <v>0.49719999999999998</v>
      </c>
    </row>
    <row r="7130" spans="1:5" x14ac:dyDescent="0.3">
      <c r="A7130" s="397"/>
      <c r="B7130" s="709">
        <v>97997</v>
      </c>
      <c r="C7130" s="710" t="s">
        <v>7206</v>
      </c>
      <c r="D7130" s="709" t="s">
        <v>159</v>
      </c>
      <c r="E7130" s="711">
        <v>0.498</v>
      </c>
    </row>
    <row r="7131" spans="1:5" x14ac:dyDescent="0.3">
      <c r="A7131" s="397"/>
      <c r="B7131" s="709">
        <v>97999</v>
      </c>
      <c r="C7131" s="710" t="s">
        <v>7207</v>
      </c>
      <c r="D7131" s="709" t="s">
        <v>159</v>
      </c>
      <c r="E7131" s="711">
        <v>0.49859999999999999</v>
      </c>
    </row>
    <row r="7132" spans="1:5" x14ac:dyDescent="0.3">
      <c r="A7132" s="397"/>
      <c r="B7132" s="709">
        <v>98001</v>
      </c>
      <c r="C7132" s="710" t="s">
        <v>7208</v>
      </c>
      <c r="D7132" s="709" t="s">
        <v>159</v>
      </c>
      <c r="E7132" s="711">
        <v>0.49909999999999999</v>
      </c>
    </row>
    <row r="7133" spans="1:5" x14ac:dyDescent="0.3">
      <c r="A7133" s="397"/>
      <c r="B7133" s="709">
        <v>98003</v>
      </c>
      <c r="C7133" s="710" t="s">
        <v>7209</v>
      </c>
      <c r="D7133" s="709" t="s">
        <v>159</v>
      </c>
      <c r="E7133" s="711">
        <v>0.4995</v>
      </c>
    </row>
    <row r="7134" spans="1:5" x14ac:dyDescent="0.3">
      <c r="A7134" s="397"/>
      <c r="B7134" s="709">
        <v>98005</v>
      </c>
      <c r="C7134" s="710" t="s">
        <v>7210</v>
      </c>
      <c r="D7134" s="709" t="s">
        <v>159</v>
      </c>
      <c r="E7134" s="711">
        <v>0.49980000000000002</v>
      </c>
    </row>
    <row r="7135" spans="1:5" x14ac:dyDescent="0.3">
      <c r="A7135" s="397"/>
      <c r="B7135" s="709">
        <v>98007</v>
      </c>
      <c r="C7135" s="710" t="s">
        <v>7211</v>
      </c>
      <c r="D7135" s="709" t="s">
        <v>159</v>
      </c>
      <c r="E7135" s="711">
        <v>0.5</v>
      </c>
    </row>
    <row r="7136" spans="1:5" x14ac:dyDescent="0.3">
      <c r="A7136" s="397"/>
      <c r="B7136" s="709">
        <v>98031</v>
      </c>
      <c r="C7136" s="710" t="s">
        <v>7212</v>
      </c>
      <c r="D7136" s="709" t="s">
        <v>159</v>
      </c>
      <c r="E7136" s="711">
        <v>0.49969999999999998</v>
      </c>
    </row>
    <row r="7137" spans="1:5" x14ac:dyDescent="0.3">
      <c r="A7137" s="397"/>
      <c r="B7137" s="709">
        <v>98033</v>
      </c>
      <c r="C7137" s="710" t="s">
        <v>7213</v>
      </c>
      <c r="D7137" s="709" t="s">
        <v>159</v>
      </c>
      <c r="E7137" s="711">
        <v>0.49990000000000001</v>
      </c>
    </row>
    <row r="7138" spans="1:5" x14ac:dyDescent="0.3">
      <c r="A7138" s="397"/>
      <c r="B7138" s="709">
        <v>98035</v>
      </c>
      <c r="C7138" s="710" t="s">
        <v>7214</v>
      </c>
      <c r="D7138" s="709" t="s">
        <v>159</v>
      </c>
      <c r="E7138" s="711">
        <v>0.50009999999999999</v>
      </c>
    </row>
    <row r="7139" spans="1:5" x14ac:dyDescent="0.3">
      <c r="A7139" s="397"/>
      <c r="B7139" s="709">
        <v>98037</v>
      </c>
      <c r="C7139" s="710" t="s">
        <v>7215</v>
      </c>
      <c r="D7139" s="709" t="s">
        <v>159</v>
      </c>
      <c r="E7139" s="711">
        <v>0.50019999999999998</v>
      </c>
    </row>
    <row r="7140" spans="1:5" x14ac:dyDescent="0.3">
      <c r="A7140" s="397"/>
      <c r="B7140" s="709">
        <v>98021</v>
      </c>
      <c r="C7140" s="710" t="s">
        <v>7216</v>
      </c>
      <c r="D7140" s="709" t="s">
        <v>159</v>
      </c>
      <c r="E7140" s="711">
        <v>0.49919999999999998</v>
      </c>
    </row>
    <row r="7141" spans="1:5" x14ac:dyDescent="0.3">
      <c r="A7141" s="397"/>
      <c r="B7141" s="709">
        <v>98023</v>
      </c>
      <c r="C7141" s="710" t="s">
        <v>7217</v>
      </c>
      <c r="D7141" s="709" t="s">
        <v>159</v>
      </c>
      <c r="E7141" s="711">
        <v>0.4995</v>
      </c>
    </row>
    <row r="7142" spans="1:5" x14ac:dyDescent="0.3">
      <c r="A7142" s="397"/>
      <c r="B7142" s="709">
        <v>98025</v>
      </c>
      <c r="C7142" s="710" t="s">
        <v>7218</v>
      </c>
      <c r="D7142" s="709" t="s">
        <v>159</v>
      </c>
      <c r="E7142" s="711">
        <v>0.49980000000000002</v>
      </c>
    </row>
    <row r="7143" spans="1:5" x14ac:dyDescent="0.3">
      <c r="A7143" s="397"/>
      <c r="B7143" s="709">
        <v>98027</v>
      </c>
      <c r="C7143" s="710" t="s">
        <v>7219</v>
      </c>
      <c r="D7143" s="709" t="s">
        <v>159</v>
      </c>
      <c r="E7143" s="711">
        <v>0.5</v>
      </c>
    </row>
    <row r="7144" spans="1:5" x14ac:dyDescent="0.3">
      <c r="A7144" s="397"/>
      <c r="B7144" s="709">
        <v>98029</v>
      </c>
      <c r="C7144" s="710" t="s">
        <v>7220</v>
      </c>
      <c r="D7144" s="709" t="s">
        <v>159</v>
      </c>
      <c r="E7144" s="711">
        <v>0.50009999999999999</v>
      </c>
    </row>
    <row r="7145" spans="1:5" x14ac:dyDescent="0.3">
      <c r="A7145" s="397"/>
      <c r="B7145" s="709">
        <v>98045</v>
      </c>
      <c r="C7145" s="710" t="s">
        <v>7221</v>
      </c>
      <c r="D7145" s="709" t="s">
        <v>159</v>
      </c>
      <c r="E7145" s="711">
        <v>0.50029999999999997</v>
      </c>
    </row>
    <row r="7146" spans="1:5" x14ac:dyDescent="0.3">
      <c r="A7146" s="397"/>
      <c r="B7146" s="709">
        <v>98047</v>
      </c>
      <c r="C7146" s="710" t="s">
        <v>7222</v>
      </c>
      <c r="D7146" s="709" t="s">
        <v>159</v>
      </c>
      <c r="E7146" s="711">
        <v>0.50039999999999996</v>
      </c>
    </row>
    <row r="7147" spans="1:5" x14ac:dyDescent="0.3">
      <c r="A7147" s="397"/>
      <c r="B7147" s="709">
        <v>98039</v>
      </c>
      <c r="C7147" s="710" t="s">
        <v>7223</v>
      </c>
      <c r="D7147" s="709" t="s">
        <v>159</v>
      </c>
      <c r="E7147" s="711">
        <v>0.50009999999999999</v>
      </c>
    </row>
    <row r="7148" spans="1:5" x14ac:dyDescent="0.3">
      <c r="A7148" s="397"/>
      <c r="B7148" s="709">
        <v>98041</v>
      </c>
      <c r="C7148" s="710" t="s">
        <v>7224</v>
      </c>
      <c r="D7148" s="709" t="s">
        <v>159</v>
      </c>
      <c r="E7148" s="711">
        <v>0.50019999999999998</v>
      </c>
    </row>
    <row r="7149" spans="1:5" x14ac:dyDescent="0.3">
      <c r="A7149" s="397"/>
      <c r="B7149" s="709">
        <v>98043</v>
      </c>
      <c r="C7149" s="710" t="s">
        <v>7225</v>
      </c>
      <c r="D7149" s="709" t="s">
        <v>159</v>
      </c>
      <c r="E7149" s="711">
        <v>0.50029999999999997</v>
      </c>
    </row>
    <row r="7150" spans="1:5" x14ac:dyDescent="0.3">
      <c r="A7150" s="397"/>
      <c r="B7150" s="709">
        <v>98049</v>
      </c>
      <c r="C7150" s="710" t="s">
        <v>7226</v>
      </c>
      <c r="D7150" s="709" t="s">
        <v>159</v>
      </c>
      <c r="E7150" s="711">
        <v>0.50080000000000002</v>
      </c>
    </row>
    <row r="7151" spans="1:5" x14ac:dyDescent="0.3">
      <c r="A7151" s="397"/>
      <c r="B7151" s="709">
        <v>101809</v>
      </c>
      <c r="C7151" s="710" t="s">
        <v>7227</v>
      </c>
      <c r="D7151" s="709" t="s">
        <v>136</v>
      </c>
      <c r="E7151" s="711">
        <v>0.43130000000000002</v>
      </c>
    </row>
    <row r="7152" spans="1:5" x14ac:dyDescent="0.3">
      <c r="A7152" s="397"/>
      <c r="B7152" s="709">
        <v>99280</v>
      </c>
      <c r="C7152" s="710" t="s">
        <v>7228</v>
      </c>
      <c r="D7152" s="709" t="s">
        <v>136</v>
      </c>
      <c r="E7152" s="711">
        <v>0.49840000000000001</v>
      </c>
    </row>
    <row r="7153" spans="1:5" x14ac:dyDescent="0.3">
      <c r="A7153" s="397"/>
      <c r="B7153" s="709">
        <v>99292</v>
      </c>
      <c r="C7153" s="710" t="s">
        <v>7229</v>
      </c>
      <c r="D7153" s="709" t="s">
        <v>136</v>
      </c>
      <c r="E7153" s="711">
        <v>0.4884</v>
      </c>
    </row>
    <row r="7154" spans="1:5" x14ac:dyDescent="0.3">
      <c r="A7154" s="397"/>
      <c r="B7154" s="709">
        <v>99242</v>
      </c>
      <c r="C7154" s="710" t="s">
        <v>7230</v>
      </c>
      <c r="D7154" s="709" t="s">
        <v>136</v>
      </c>
      <c r="E7154" s="711">
        <v>0.4773</v>
      </c>
    </row>
    <row r="7155" spans="1:5" x14ac:dyDescent="0.3">
      <c r="A7155" s="397"/>
      <c r="B7155" s="709">
        <v>99248</v>
      </c>
      <c r="C7155" s="710" t="s">
        <v>7231</v>
      </c>
      <c r="D7155" s="709" t="s">
        <v>136</v>
      </c>
      <c r="E7155" s="711">
        <v>0.46110000000000001</v>
      </c>
    </row>
    <row r="7156" spans="1:5" x14ac:dyDescent="0.3">
      <c r="A7156" s="397"/>
      <c r="B7156" s="709">
        <v>99275</v>
      </c>
      <c r="C7156" s="710" t="s">
        <v>7232</v>
      </c>
      <c r="D7156" s="709" t="s">
        <v>136</v>
      </c>
      <c r="E7156" s="711">
        <v>0.29049999999999998</v>
      </c>
    </row>
    <row r="7157" spans="1:5" x14ac:dyDescent="0.3">
      <c r="A7157" s="397"/>
      <c r="B7157" s="709">
        <v>99285</v>
      </c>
      <c r="C7157" s="710" t="s">
        <v>7233</v>
      </c>
      <c r="D7157" s="709" t="s">
        <v>136</v>
      </c>
      <c r="E7157" s="711">
        <v>0.25800000000000001</v>
      </c>
    </row>
    <row r="7158" spans="1:5" x14ac:dyDescent="0.3">
      <c r="A7158" s="397"/>
      <c r="B7158" s="709">
        <v>102457</v>
      </c>
      <c r="C7158" s="710" t="s">
        <v>7234</v>
      </c>
      <c r="D7158" s="709" t="s">
        <v>136</v>
      </c>
      <c r="E7158" s="711">
        <v>0.216</v>
      </c>
    </row>
    <row r="7159" spans="1:5" x14ac:dyDescent="0.3">
      <c r="A7159" s="397"/>
      <c r="B7159" s="709">
        <v>102142</v>
      </c>
      <c r="C7159" s="710" t="s">
        <v>7235</v>
      </c>
      <c r="D7159" s="709" t="s">
        <v>136</v>
      </c>
      <c r="E7159" s="711">
        <v>0.2084</v>
      </c>
    </row>
    <row r="7160" spans="1:5" x14ac:dyDescent="0.3">
      <c r="A7160" s="397"/>
      <c r="B7160" s="709">
        <v>97980</v>
      </c>
      <c r="C7160" s="710" t="s">
        <v>7236</v>
      </c>
      <c r="D7160" s="709" t="s">
        <v>136</v>
      </c>
      <c r="E7160" s="711">
        <v>0.48359999999999997</v>
      </c>
    </row>
    <row r="7161" spans="1:5" x14ac:dyDescent="0.3">
      <c r="A7161" s="397"/>
      <c r="B7161" s="709">
        <v>98405</v>
      </c>
      <c r="C7161" s="710" t="s">
        <v>7237</v>
      </c>
      <c r="D7161" s="709" t="s">
        <v>136</v>
      </c>
      <c r="E7161" s="711">
        <v>0.47499999999999998</v>
      </c>
    </row>
    <row r="7162" spans="1:5" x14ac:dyDescent="0.3">
      <c r="A7162" s="397"/>
      <c r="B7162" s="709">
        <v>97988</v>
      </c>
      <c r="C7162" s="710" t="s">
        <v>7238</v>
      </c>
      <c r="D7162" s="709" t="s">
        <v>136</v>
      </c>
      <c r="E7162" s="711">
        <v>0.46510000000000001</v>
      </c>
    </row>
    <row r="7163" spans="1:5" x14ac:dyDescent="0.3">
      <c r="A7163" s="397"/>
      <c r="B7163" s="709">
        <v>97992</v>
      </c>
      <c r="C7163" s="710" t="s">
        <v>7239</v>
      </c>
      <c r="D7163" s="709" t="s">
        <v>136</v>
      </c>
      <c r="E7163" s="711">
        <v>0.4501</v>
      </c>
    </row>
    <row r="7164" spans="1:5" x14ac:dyDescent="0.3">
      <c r="A7164" s="397"/>
      <c r="B7164" s="709">
        <v>97978</v>
      </c>
      <c r="C7164" s="710" t="s">
        <v>7240</v>
      </c>
      <c r="D7164" s="709" t="s">
        <v>136</v>
      </c>
      <c r="E7164" s="711">
        <v>0.2888</v>
      </c>
    </row>
    <row r="7165" spans="1:5" x14ac:dyDescent="0.3">
      <c r="A7165" s="397"/>
      <c r="B7165" s="709">
        <v>98410</v>
      </c>
      <c r="C7165" s="710" t="s">
        <v>7241</v>
      </c>
      <c r="D7165" s="709" t="s">
        <v>136</v>
      </c>
      <c r="E7165" s="711">
        <v>0.23300000000000001</v>
      </c>
    </row>
    <row r="7166" spans="1:5" x14ac:dyDescent="0.3">
      <c r="A7166" s="397"/>
      <c r="B7166" s="709">
        <v>102139</v>
      </c>
      <c r="C7166" s="710" t="s">
        <v>7242</v>
      </c>
      <c r="D7166" s="709" t="s">
        <v>136</v>
      </c>
      <c r="E7166" s="711">
        <v>0.22159999999999999</v>
      </c>
    </row>
    <row r="7167" spans="1:5" x14ac:dyDescent="0.3">
      <c r="A7167" s="397"/>
      <c r="B7167" s="709">
        <v>102141</v>
      </c>
      <c r="C7167" s="710" t="s">
        <v>7243</v>
      </c>
      <c r="D7167" s="709" t="s">
        <v>136</v>
      </c>
      <c r="E7167" s="711">
        <v>0.20669999999999999</v>
      </c>
    </row>
    <row r="7168" spans="1:5" x14ac:dyDescent="0.3">
      <c r="A7168" s="397"/>
      <c r="B7168" s="709">
        <v>99290</v>
      </c>
      <c r="C7168" s="710" t="s">
        <v>7244</v>
      </c>
      <c r="D7168" s="709" t="s">
        <v>136</v>
      </c>
      <c r="E7168" s="711">
        <v>0.43090000000000001</v>
      </c>
    </row>
    <row r="7169" spans="1:5" x14ac:dyDescent="0.3">
      <c r="A7169" s="397"/>
      <c r="B7169" s="709">
        <v>99244</v>
      </c>
      <c r="C7169" s="710" t="s">
        <v>7245</v>
      </c>
      <c r="D7169" s="709" t="s">
        <v>136</v>
      </c>
      <c r="E7169" s="711">
        <v>0.42349999999999999</v>
      </c>
    </row>
    <row r="7170" spans="1:5" x14ac:dyDescent="0.3">
      <c r="A7170" s="397"/>
      <c r="B7170" s="709">
        <v>99256</v>
      </c>
      <c r="C7170" s="710" t="s">
        <v>7246</v>
      </c>
      <c r="D7170" s="709" t="s">
        <v>136</v>
      </c>
      <c r="E7170" s="711">
        <v>0.42020000000000002</v>
      </c>
    </row>
    <row r="7171" spans="1:5" x14ac:dyDescent="0.3">
      <c r="A7171" s="397"/>
      <c r="B7171" s="709">
        <v>99271</v>
      </c>
      <c r="C7171" s="710" t="s">
        <v>7247</v>
      </c>
      <c r="D7171" s="709" t="s">
        <v>136</v>
      </c>
      <c r="E7171" s="711">
        <v>0.41770000000000002</v>
      </c>
    </row>
    <row r="7172" spans="1:5" x14ac:dyDescent="0.3">
      <c r="A7172" s="397"/>
      <c r="B7172" s="709">
        <v>99284</v>
      </c>
      <c r="C7172" s="710" t="s">
        <v>7248</v>
      </c>
      <c r="D7172" s="709" t="s">
        <v>136</v>
      </c>
      <c r="E7172" s="711">
        <v>0.4158</v>
      </c>
    </row>
    <row r="7173" spans="1:5" x14ac:dyDescent="0.3">
      <c r="A7173" s="397"/>
      <c r="B7173" s="709">
        <v>99294</v>
      </c>
      <c r="C7173" s="710" t="s">
        <v>7249</v>
      </c>
      <c r="D7173" s="709" t="s">
        <v>136</v>
      </c>
      <c r="E7173" s="711">
        <v>0.4143</v>
      </c>
    </row>
    <row r="7174" spans="1:5" x14ac:dyDescent="0.3">
      <c r="A7174" s="397"/>
      <c r="B7174" s="709">
        <v>99252</v>
      </c>
      <c r="C7174" s="710" t="s">
        <v>7250</v>
      </c>
      <c r="D7174" s="709" t="s">
        <v>136</v>
      </c>
      <c r="E7174" s="711">
        <v>0.45050000000000001</v>
      </c>
    </row>
    <row r="7175" spans="1:5" x14ac:dyDescent="0.3">
      <c r="A7175" s="397"/>
      <c r="B7175" s="709">
        <v>99259</v>
      </c>
      <c r="C7175" s="710" t="s">
        <v>7251</v>
      </c>
      <c r="D7175" s="709" t="s">
        <v>136</v>
      </c>
      <c r="E7175" s="711">
        <v>0.44600000000000001</v>
      </c>
    </row>
    <row r="7176" spans="1:5" x14ac:dyDescent="0.3">
      <c r="A7176" s="397"/>
      <c r="B7176" s="709">
        <v>99265</v>
      </c>
      <c r="C7176" s="710" t="s">
        <v>7252</v>
      </c>
      <c r="D7176" s="709" t="s">
        <v>136</v>
      </c>
      <c r="E7176" s="711">
        <v>0.44319999999999998</v>
      </c>
    </row>
    <row r="7177" spans="1:5" x14ac:dyDescent="0.3">
      <c r="A7177" s="397"/>
      <c r="B7177" s="709">
        <v>99267</v>
      </c>
      <c r="C7177" s="710" t="s">
        <v>7253</v>
      </c>
      <c r="D7177" s="709" t="s">
        <v>136</v>
      </c>
      <c r="E7177" s="711">
        <v>0.44109999999999999</v>
      </c>
    </row>
    <row r="7178" spans="1:5" x14ac:dyDescent="0.3">
      <c r="A7178" s="397"/>
      <c r="B7178" s="709">
        <v>99274</v>
      </c>
      <c r="C7178" s="710" t="s">
        <v>7254</v>
      </c>
      <c r="D7178" s="709" t="s">
        <v>136</v>
      </c>
      <c r="E7178" s="711">
        <v>0.43709999999999999</v>
      </c>
    </row>
    <row r="7179" spans="1:5" x14ac:dyDescent="0.3">
      <c r="A7179" s="397"/>
      <c r="B7179" s="709">
        <v>99279</v>
      </c>
      <c r="C7179" s="710" t="s">
        <v>7255</v>
      </c>
      <c r="D7179" s="709" t="s">
        <v>136</v>
      </c>
      <c r="E7179" s="711">
        <v>0.436</v>
      </c>
    </row>
    <row r="7180" spans="1:5" x14ac:dyDescent="0.3">
      <c r="A7180" s="397"/>
      <c r="B7180" s="709">
        <v>99286</v>
      </c>
      <c r="C7180" s="710" t="s">
        <v>7256</v>
      </c>
      <c r="D7180" s="709" t="s">
        <v>136</v>
      </c>
      <c r="E7180" s="711">
        <v>0.435</v>
      </c>
    </row>
    <row r="7181" spans="1:5" x14ac:dyDescent="0.3">
      <c r="A7181" s="397"/>
      <c r="B7181" s="709">
        <v>99326</v>
      </c>
      <c r="C7181" s="710" t="s">
        <v>7257</v>
      </c>
      <c r="D7181" s="709" t="s">
        <v>136</v>
      </c>
      <c r="E7181" s="711">
        <v>0.39389999999999997</v>
      </c>
    </row>
    <row r="7182" spans="1:5" x14ac:dyDescent="0.3">
      <c r="A7182" s="397"/>
      <c r="B7182" s="709">
        <v>99287</v>
      </c>
      <c r="C7182" s="710" t="s">
        <v>7258</v>
      </c>
      <c r="D7182" s="709" t="s">
        <v>136</v>
      </c>
      <c r="E7182" s="711">
        <v>0.38969999999999999</v>
      </c>
    </row>
    <row r="7183" spans="1:5" x14ac:dyDescent="0.3">
      <c r="A7183" s="397"/>
      <c r="B7183" s="709">
        <v>99298</v>
      </c>
      <c r="C7183" s="710" t="s">
        <v>7259</v>
      </c>
      <c r="D7183" s="709" t="s">
        <v>136</v>
      </c>
      <c r="E7183" s="711">
        <v>0.38640000000000002</v>
      </c>
    </row>
    <row r="7184" spans="1:5" x14ac:dyDescent="0.3">
      <c r="A7184" s="397"/>
      <c r="B7184" s="709">
        <v>99300</v>
      </c>
      <c r="C7184" s="710" t="s">
        <v>7260</v>
      </c>
      <c r="D7184" s="709" t="s">
        <v>136</v>
      </c>
      <c r="E7184" s="711">
        <v>0.38390000000000002</v>
      </c>
    </row>
    <row r="7185" spans="1:5" x14ac:dyDescent="0.3">
      <c r="A7185" s="397"/>
      <c r="B7185" s="709">
        <v>99301</v>
      </c>
      <c r="C7185" s="710" t="s">
        <v>7261</v>
      </c>
      <c r="D7185" s="709" t="s">
        <v>136</v>
      </c>
      <c r="E7185" s="711">
        <v>0.4178</v>
      </c>
    </row>
    <row r="7186" spans="1:5" x14ac:dyDescent="0.3">
      <c r="A7186" s="397"/>
      <c r="B7186" s="709">
        <v>99312</v>
      </c>
      <c r="C7186" s="710" t="s">
        <v>7262</v>
      </c>
      <c r="D7186" s="709" t="s">
        <v>136</v>
      </c>
      <c r="E7186" s="711">
        <v>0.41339999999999999</v>
      </c>
    </row>
    <row r="7187" spans="1:5" x14ac:dyDescent="0.3">
      <c r="A7187" s="397"/>
      <c r="B7187" s="709">
        <v>99320</v>
      </c>
      <c r="C7187" s="710" t="s">
        <v>7263</v>
      </c>
      <c r="D7187" s="709" t="s">
        <v>136</v>
      </c>
      <c r="E7187" s="711">
        <v>0.40749999999999997</v>
      </c>
    </row>
    <row r="7188" spans="1:5" x14ac:dyDescent="0.3">
      <c r="A7188" s="397"/>
      <c r="B7188" s="709">
        <v>99322</v>
      </c>
      <c r="C7188" s="710" t="s">
        <v>7264</v>
      </c>
      <c r="D7188" s="709" t="s">
        <v>136</v>
      </c>
      <c r="E7188" s="711">
        <v>0.40500000000000003</v>
      </c>
    </row>
    <row r="7189" spans="1:5" x14ac:dyDescent="0.3">
      <c r="A7189" s="397"/>
      <c r="B7189" s="709">
        <v>99324</v>
      </c>
      <c r="C7189" s="710" t="s">
        <v>7265</v>
      </c>
      <c r="D7189" s="709" t="s">
        <v>136</v>
      </c>
      <c r="E7189" s="711">
        <v>0.40300000000000002</v>
      </c>
    </row>
    <row r="7190" spans="1:5" x14ac:dyDescent="0.3">
      <c r="A7190" s="397"/>
      <c r="B7190" s="709">
        <v>99310</v>
      </c>
      <c r="C7190" s="710" t="s">
        <v>7266</v>
      </c>
      <c r="D7190" s="709" t="s">
        <v>136</v>
      </c>
      <c r="E7190" s="711">
        <v>0.37390000000000001</v>
      </c>
    </row>
    <row r="7191" spans="1:5" x14ac:dyDescent="0.3">
      <c r="A7191" s="397"/>
      <c r="B7191" s="709">
        <v>99313</v>
      </c>
      <c r="C7191" s="710" t="s">
        <v>7267</v>
      </c>
      <c r="D7191" s="709" t="s">
        <v>136</v>
      </c>
      <c r="E7191" s="711">
        <v>0.37069999999999997</v>
      </c>
    </row>
    <row r="7192" spans="1:5" x14ac:dyDescent="0.3">
      <c r="A7192" s="397"/>
      <c r="B7192" s="709">
        <v>99303</v>
      </c>
      <c r="C7192" s="710" t="s">
        <v>7268</v>
      </c>
      <c r="D7192" s="709" t="s">
        <v>136</v>
      </c>
      <c r="E7192" s="711">
        <v>0.38300000000000001</v>
      </c>
    </row>
    <row r="7193" spans="1:5" x14ac:dyDescent="0.3">
      <c r="A7193" s="397"/>
      <c r="B7193" s="709">
        <v>99305</v>
      </c>
      <c r="C7193" s="710" t="s">
        <v>7269</v>
      </c>
      <c r="D7193" s="709" t="s">
        <v>136</v>
      </c>
      <c r="E7193" s="711">
        <v>0.37930000000000003</v>
      </c>
    </row>
    <row r="7194" spans="1:5" x14ac:dyDescent="0.3">
      <c r="A7194" s="397"/>
      <c r="B7194" s="709">
        <v>99308</v>
      </c>
      <c r="C7194" s="710" t="s">
        <v>7270</v>
      </c>
      <c r="D7194" s="709" t="s">
        <v>136</v>
      </c>
      <c r="E7194" s="711">
        <v>0.37640000000000001</v>
      </c>
    </row>
    <row r="7195" spans="1:5" x14ac:dyDescent="0.3">
      <c r="A7195" s="397"/>
      <c r="B7195" s="709">
        <v>99315</v>
      </c>
      <c r="C7195" s="710" t="s">
        <v>7271</v>
      </c>
      <c r="D7195" s="709" t="s">
        <v>136</v>
      </c>
      <c r="E7195" s="711">
        <v>0.36630000000000001</v>
      </c>
    </row>
    <row r="7196" spans="1:5" x14ac:dyDescent="0.3">
      <c r="A7196" s="397"/>
      <c r="B7196" s="709">
        <v>98008</v>
      </c>
      <c r="C7196" s="710" t="s">
        <v>7272</v>
      </c>
      <c r="D7196" s="709" t="s">
        <v>136</v>
      </c>
      <c r="E7196" s="711">
        <v>0.42330000000000001</v>
      </c>
    </row>
    <row r="7197" spans="1:5" x14ac:dyDescent="0.3">
      <c r="A7197" s="397"/>
      <c r="B7197" s="709">
        <v>98010</v>
      </c>
      <c r="C7197" s="710" t="s">
        <v>7273</v>
      </c>
      <c r="D7197" s="709" t="s">
        <v>136</v>
      </c>
      <c r="E7197" s="711">
        <v>0.41610000000000003</v>
      </c>
    </row>
    <row r="7198" spans="1:5" x14ac:dyDescent="0.3">
      <c r="A7198" s="397"/>
      <c r="B7198" s="709">
        <v>98012</v>
      </c>
      <c r="C7198" s="710" t="s">
        <v>7274</v>
      </c>
      <c r="D7198" s="709" t="s">
        <v>136</v>
      </c>
      <c r="E7198" s="711">
        <v>0.4128</v>
      </c>
    </row>
    <row r="7199" spans="1:5" x14ac:dyDescent="0.3">
      <c r="A7199" s="397"/>
      <c r="B7199" s="709">
        <v>98014</v>
      </c>
      <c r="C7199" s="710" t="s">
        <v>7275</v>
      </c>
      <c r="D7199" s="709" t="s">
        <v>136</v>
      </c>
      <c r="E7199" s="711">
        <v>0.41039999999999999</v>
      </c>
    </row>
    <row r="7200" spans="1:5" x14ac:dyDescent="0.3">
      <c r="A7200" s="397"/>
      <c r="B7200" s="709">
        <v>98016</v>
      </c>
      <c r="C7200" s="710" t="s">
        <v>7276</v>
      </c>
      <c r="D7200" s="709" t="s">
        <v>136</v>
      </c>
      <c r="E7200" s="711">
        <v>0.40849999999999997</v>
      </c>
    </row>
    <row r="7201" spans="1:5" x14ac:dyDescent="0.3">
      <c r="A7201" s="397"/>
      <c r="B7201" s="709">
        <v>98018</v>
      </c>
      <c r="C7201" s="710" t="s">
        <v>7277</v>
      </c>
      <c r="D7201" s="709" t="s">
        <v>136</v>
      </c>
      <c r="E7201" s="711">
        <v>0.40699999999999997</v>
      </c>
    </row>
    <row r="7202" spans="1:5" x14ac:dyDescent="0.3">
      <c r="A7202" s="397"/>
      <c r="B7202" s="709">
        <v>97994</v>
      </c>
      <c r="C7202" s="710" t="s">
        <v>7278</v>
      </c>
      <c r="D7202" s="709" t="s">
        <v>136</v>
      </c>
      <c r="E7202" s="711">
        <v>0.4425</v>
      </c>
    </row>
    <row r="7203" spans="1:5" x14ac:dyDescent="0.3">
      <c r="A7203" s="397"/>
      <c r="B7203" s="709">
        <v>97996</v>
      </c>
      <c r="C7203" s="710" t="s">
        <v>7279</v>
      </c>
      <c r="D7203" s="709" t="s">
        <v>136</v>
      </c>
      <c r="E7203" s="711">
        <v>0.43809999999999999</v>
      </c>
    </row>
    <row r="7204" spans="1:5" x14ac:dyDescent="0.3">
      <c r="A7204" s="397"/>
      <c r="B7204" s="709">
        <v>98407</v>
      </c>
      <c r="C7204" s="710" t="s">
        <v>7280</v>
      </c>
      <c r="D7204" s="709" t="s">
        <v>136</v>
      </c>
      <c r="E7204" s="711">
        <v>0.43519999999999998</v>
      </c>
    </row>
    <row r="7205" spans="1:5" x14ac:dyDescent="0.3">
      <c r="A7205" s="397"/>
      <c r="B7205" s="709">
        <v>98408</v>
      </c>
      <c r="C7205" s="710" t="s">
        <v>7281</v>
      </c>
      <c r="D7205" s="709" t="s">
        <v>136</v>
      </c>
      <c r="E7205" s="711">
        <v>0.43319999999999997</v>
      </c>
    </row>
    <row r="7206" spans="1:5" x14ac:dyDescent="0.3">
      <c r="A7206" s="397"/>
      <c r="B7206" s="709">
        <v>98002</v>
      </c>
      <c r="C7206" s="710" t="s">
        <v>7282</v>
      </c>
      <c r="D7206" s="709" t="s">
        <v>136</v>
      </c>
      <c r="E7206" s="711">
        <v>0.42930000000000001</v>
      </c>
    </row>
    <row r="7207" spans="1:5" x14ac:dyDescent="0.3">
      <c r="A7207" s="397"/>
      <c r="B7207" s="709">
        <v>98406</v>
      </c>
      <c r="C7207" s="710" t="s">
        <v>7283</v>
      </c>
      <c r="D7207" s="709" t="s">
        <v>136</v>
      </c>
      <c r="E7207" s="711">
        <v>0.42820000000000003</v>
      </c>
    </row>
    <row r="7208" spans="1:5" x14ac:dyDescent="0.3">
      <c r="A7208" s="397"/>
      <c r="B7208" s="709">
        <v>98006</v>
      </c>
      <c r="C7208" s="710" t="s">
        <v>7284</v>
      </c>
      <c r="D7208" s="709" t="s">
        <v>136</v>
      </c>
      <c r="E7208" s="711">
        <v>0.42730000000000001</v>
      </c>
    </row>
    <row r="7209" spans="1:5" x14ac:dyDescent="0.3">
      <c r="A7209" s="397"/>
      <c r="B7209" s="709">
        <v>98030</v>
      </c>
      <c r="C7209" s="710" t="s">
        <v>7285</v>
      </c>
      <c r="D7209" s="709" t="s">
        <v>136</v>
      </c>
      <c r="E7209" s="711">
        <v>0.3871</v>
      </c>
    </row>
    <row r="7210" spans="1:5" x14ac:dyDescent="0.3">
      <c r="A7210" s="397"/>
      <c r="B7210" s="709">
        <v>98032</v>
      </c>
      <c r="C7210" s="710" t="s">
        <v>7286</v>
      </c>
      <c r="D7210" s="709" t="s">
        <v>136</v>
      </c>
      <c r="E7210" s="711">
        <v>0.38300000000000001</v>
      </c>
    </row>
    <row r="7211" spans="1:5" x14ac:dyDescent="0.3">
      <c r="A7211" s="397"/>
      <c r="B7211" s="709">
        <v>98034</v>
      </c>
      <c r="C7211" s="710" t="s">
        <v>7287</v>
      </c>
      <c r="D7211" s="709" t="s">
        <v>136</v>
      </c>
      <c r="E7211" s="711">
        <v>0.37980000000000003</v>
      </c>
    </row>
    <row r="7212" spans="1:5" x14ac:dyDescent="0.3">
      <c r="A7212" s="397"/>
      <c r="B7212" s="709">
        <v>98036</v>
      </c>
      <c r="C7212" s="710" t="s">
        <v>7288</v>
      </c>
      <c r="D7212" s="709" t="s">
        <v>136</v>
      </c>
      <c r="E7212" s="711">
        <v>0.37730000000000002</v>
      </c>
    </row>
    <row r="7213" spans="1:5" x14ac:dyDescent="0.3">
      <c r="A7213" s="397"/>
      <c r="B7213" s="709">
        <v>98020</v>
      </c>
      <c r="C7213" s="710" t="s">
        <v>7289</v>
      </c>
      <c r="D7213" s="709" t="s">
        <v>136</v>
      </c>
      <c r="E7213" s="711">
        <v>0.41049999999999998</v>
      </c>
    </row>
    <row r="7214" spans="1:5" x14ac:dyDescent="0.3">
      <c r="A7214" s="397"/>
      <c r="B7214" s="709">
        <v>98022</v>
      </c>
      <c r="C7214" s="710" t="s">
        <v>7290</v>
      </c>
      <c r="D7214" s="709" t="s">
        <v>136</v>
      </c>
      <c r="E7214" s="711">
        <v>0.40620000000000001</v>
      </c>
    </row>
    <row r="7215" spans="1:5" x14ac:dyDescent="0.3">
      <c r="A7215" s="397"/>
      <c r="B7215" s="709">
        <v>98024</v>
      </c>
      <c r="C7215" s="710" t="s">
        <v>7291</v>
      </c>
      <c r="D7215" s="709" t="s">
        <v>136</v>
      </c>
      <c r="E7215" s="711">
        <v>0.40039999999999998</v>
      </c>
    </row>
    <row r="7216" spans="1:5" x14ac:dyDescent="0.3">
      <c r="A7216" s="397"/>
      <c r="B7216" s="709">
        <v>98026</v>
      </c>
      <c r="C7216" s="710" t="s">
        <v>7292</v>
      </c>
      <c r="D7216" s="709" t="s">
        <v>136</v>
      </c>
      <c r="E7216" s="711">
        <v>0.39800000000000002</v>
      </c>
    </row>
    <row r="7217" spans="1:5" x14ac:dyDescent="0.3">
      <c r="A7217" s="397"/>
      <c r="B7217" s="709">
        <v>98028</v>
      </c>
      <c r="C7217" s="710" t="s">
        <v>7293</v>
      </c>
      <c r="D7217" s="709" t="s">
        <v>136</v>
      </c>
      <c r="E7217" s="711">
        <v>0.39600000000000002</v>
      </c>
    </row>
    <row r="7218" spans="1:5" x14ac:dyDescent="0.3">
      <c r="A7218" s="397"/>
      <c r="B7218" s="709">
        <v>98044</v>
      </c>
      <c r="C7218" s="710" t="s">
        <v>7294</v>
      </c>
      <c r="D7218" s="709" t="s">
        <v>136</v>
      </c>
      <c r="E7218" s="711">
        <v>0.36749999999999999</v>
      </c>
    </row>
    <row r="7219" spans="1:5" x14ac:dyDescent="0.3">
      <c r="A7219" s="397"/>
      <c r="B7219" s="709">
        <v>98046</v>
      </c>
      <c r="C7219" s="710" t="s">
        <v>7295</v>
      </c>
      <c r="D7219" s="709" t="s">
        <v>136</v>
      </c>
      <c r="E7219" s="711">
        <v>0.3644</v>
      </c>
    </row>
    <row r="7220" spans="1:5" x14ac:dyDescent="0.3">
      <c r="A7220" s="397"/>
      <c r="B7220" s="709">
        <v>98038</v>
      </c>
      <c r="C7220" s="710" t="s">
        <v>7296</v>
      </c>
      <c r="D7220" s="709" t="s">
        <v>136</v>
      </c>
      <c r="E7220" s="711">
        <v>0.37640000000000001</v>
      </c>
    </row>
    <row r="7221" spans="1:5" x14ac:dyDescent="0.3">
      <c r="A7221" s="397"/>
      <c r="B7221" s="709">
        <v>98040</v>
      </c>
      <c r="C7221" s="710" t="s">
        <v>7297</v>
      </c>
      <c r="D7221" s="709" t="s">
        <v>136</v>
      </c>
      <c r="E7221" s="711">
        <v>0.37280000000000002</v>
      </c>
    </row>
    <row r="7222" spans="1:5" x14ac:dyDescent="0.3">
      <c r="A7222" s="397"/>
      <c r="B7222" s="709">
        <v>98042</v>
      </c>
      <c r="C7222" s="710" t="s">
        <v>7298</v>
      </c>
      <c r="D7222" s="709" t="s">
        <v>136</v>
      </c>
      <c r="E7222" s="711">
        <v>0.37</v>
      </c>
    </row>
    <row r="7223" spans="1:5" x14ac:dyDescent="0.3">
      <c r="A7223" s="397"/>
      <c r="B7223" s="709">
        <v>98048</v>
      </c>
      <c r="C7223" s="710" t="s">
        <v>7299</v>
      </c>
      <c r="D7223" s="709" t="s">
        <v>136</v>
      </c>
      <c r="E7223" s="711">
        <v>0.36</v>
      </c>
    </row>
    <row r="7224" spans="1:5" x14ac:dyDescent="0.3">
      <c r="A7224" s="397"/>
      <c r="B7224" s="709">
        <v>97955</v>
      </c>
      <c r="C7224" s="710" t="s">
        <v>7300</v>
      </c>
      <c r="D7224" s="709" t="s">
        <v>136</v>
      </c>
      <c r="E7224" s="711">
        <v>0.2888</v>
      </c>
    </row>
    <row r="7225" spans="1:5" x14ac:dyDescent="0.3">
      <c r="A7225" s="397"/>
      <c r="B7225" s="709">
        <v>97948</v>
      </c>
      <c r="C7225" s="710" t="s">
        <v>7301</v>
      </c>
      <c r="D7225" s="709" t="s">
        <v>136</v>
      </c>
      <c r="E7225" s="711">
        <v>0.34939999999999999</v>
      </c>
    </row>
    <row r="7226" spans="1:5" x14ac:dyDescent="0.3">
      <c r="A7226" s="397"/>
      <c r="B7226" s="709">
        <v>97934</v>
      </c>
      <c r="C7226" s="710" t="s">
        <v>7302</v>
      </c>
      <c r="D7226" s="709" t="s">
        <v>136</v>
      </c>
      <c r="E7226" s="711">
        <v>0.2427</v>
      </c>
    </row>
    <row r="7227" spans="1:5" x14ac:dyDescent="0.3">
      <c r="A7227" s="397"/>
      <c r="B7227" s="709">
        <v>97953</v>
      </c>
      <c r="C7227" s="710" t="s">
        <v>7303</v>
      </c>
      <c r="D7227" s="709" t="s">
        <v>136</v>
      </c>
      <c r="E7227" s="711">
        <v>0.2944</v>
      </c>
    </row>
    <row r="7228" spans="1:5" x14ac:dyDescent="0.3">
      <c r="A7228" s="397"/>
      <c r="B7228" s="709">
        <v>97947</v>
      </c>
      <c r="C7228" s="710" t="s">
        <v>7304</v>
      </c>
      <c r="D7228" s="709" t="s">
        <v>136</v>
      </c>
      <c r="E7228" s="711">
        <v>0.35580000000000001</v>
      </c>
    </row>
    <row r="7229" spans="1:5" x14ac:dyDescent="0.3">
      <c r="A7229" s="397"/>
      <c r="B7229" s="709">
        <v>97933</v>
      </c>
      <c r="C7229" s="710" t="s">
        <v>7305</v>
      </c>
      <c r="D7229" s="709" t="s">
        <v>136</v>
      </c>
      <c r="E7229" s="711">
        <v>3.3399999999999999E-2</v>
      </c>
    </row>
    <row r="7230" spans="1:5" x14ac:dyDescent="0.3">
      <c r="A7230" s="397"/>
      <c r="B7230" s="709">
        <v>97961</v>
      </c>
      <c r="C7230" s="710" t="s">
        <v>7306</v>
      </c>
      <c r="D7230" s="709" t="s">
        <v>136</v>
      </c>
      <c r="E7230" s="711">
        <v>0.35410000000000003</v>
      </c>
    </row>
    <row r="7231" spans="1:5" x14ac:dyDescent="0.3">
      <c r="A7231" s="397"/>
      <c r="B7231" s="709">
        <v>97951</v>
      </c>
      <c r="C7231" s="710" t="s">
        <v>272</v>
      </c>
      <c r="D7231" s="709" t="s">
        <v>136</v>
      </c>
      <c r="E7231" s="711">
        <v>0.41010000000000002</v>
      </c>
    </row>
    <row r="7232" spans="1:5" x14ac:dyDescent="0.3">
      <c r="A7232" s="397"/>
      <c r="B7232" s="709">
        <v>97973</v>
      </c>
      <c r="C7232" s="710" t="s">
        <v>7307</v>
      </c>
      <c r="D7232" s="709" t="s">
        <v>136</v>
      </c>
      <c r="E7232" s="711">
        <v>0.34939999999999999</v>
      </c>
    </row>
    <row r="7233" spans="1:5" x14ac:dyDescent="0.3">
      <c r="A7233" s="397"/>
      <c r="B7233" s="709">
        <v>97952</v>
      </c>
      <c r="C7233" s="710" t="s">
        <v>264</v>
      </c>
      <c r="D7233" s="709" t="s">
        <v>136</v>
      </c>
      <c r="E7233" s="711">
        <v>0.40289999999999998</v>
      </c>
    </row>
    <row r="7234" spans="1:5" x14ac:dyDescent="0.3">
      <c r="A7234" s="397"/>
      <c r="B7234" s="709">
        <v>97957</v>
      </c>
      <c r="C7234" s="710" t="s">
        <v>7308</v>
      </c>
      <c r="D7234" s="709" t="s">
        <v>136</v>
      </c>
      <c r="E7234" s="711">
        <v>0.44400000000000001</v>
      </c>
    </row>
    <row r="7235" spans="1:5" x14ac:dyDescent="0.3">
      <c r="A7235" s="397"/>
      <c r="B7235" s="709">
        <v>97950</v>
      </c>
      <c r="C7235" s="710" t="s">
        <v>262</v>
      </c>
      <c r="D7235" s="709" t="s">
        <v>136</v>
      </c>
      <c r="E7235" s="711">
        <v>0.49709999999999999</v>
      </c>
    </row>
    <row r="7236" spans="1:5" x14ac:dyDescent="0.3">
      <c r="A7236" s="397"/>
      <c r="B7236" s="709">
        <v>97936</v>
      </c>
      <c r="C7236" s="710" t="s">
        <v>7309</v>
      </c>
      <c r="D7236" s="709" t="s">
        <v>136</v>
      </c>
      <c r="E7236" s="711">
        <v>0.44869999999999999</v>
      </c>
    </row>
    <row r="7237" spans="1:5" x14ac:dyDescent="0.3">
      <c r="A7237" s="397"/>
      <c r="B7237" s="709">
        <v>97956</v>
      </c>
      <c r="C7237" s="710" t="s">
        <v>7310</v>
      </c>
      <c r="D7237" s="709" t="s">
        <v>136</v>
      </c>
      <c r="E7237" s="711">
        <v>0.42920000000000003</v>
      </c>
    </row>
    <row r="7238" spans="1:5" x14ac:dyDescent="0.3">
      <c r="A7238" s="397"/>
      <c r="B7238" s="709">
        <v>97949</v>
      </c>
      <c r="C7238" s="710" t="s">
        <v>270</v>
      </c>
      <c r="D7238" s="709" t="s">
        <v>136</v>
      </c>
      <c r="E7238" s="711">
        <v>0.49199999999999999</v>
      </c>
    </row>
    <row r="7239" spans="1:5" x14ac:dyDescent="0.3">
      <c r="A7239" s="397"/>
      <c r="B7239" s="709">
        <v>97935</v>
      </c>
      <c r="C7239" s="710" t="s">
        <v>7311</v>
      </c>
      <c r="D7239" s="709" t="s">
        <v>136</v>
      </c>
      <c r="E7239" s="711">
        <v>0.19139999999999999</v>
      </c>
    </row>
    <row r="7240" spans="1:5" x14ac:dyDescent="0.3">
      <c r="A7240" s="397"/>
      <c r="B7240" s="709">
        <v>99319</v>
      </c>
      <c r="C7240" s="710" t="s">
        <v>7312</v>
      </c>
      <c r="D7240" s="709" t="s">
        <v>159</v>
      </c>
      <c r="E7240" s="711">
        <v>0.55930000000000002</v>
      </c>
    </row>
    <row r="7241" spans="1:5" x14ac:dyDescent="0.3">
      <c r="A7241" s="397"/>
      <c r="B7241" s="709">
        <v>99318</v>
      </c>
      <c r="C7241" s="710" t="s">
        <v>7313</v>
      </c>
      <c r="D7241" s="709" t="s">
        <v>159</v>
      </c>
      <c r="E7241" s="711">
        <v>6.9500000000000006E-2</v>
      </c>
    </row>
    <row r="7242" spans="1:5" x14ac:dyDescent="0.3">
      <c r="A7242" s="397"/>
      <c r="B7242" s="709">
        <v>98051</v>
      </c>
      <c r="C7242" s="710" t="s">
        <v>7314</v>
      </c>
      <c r="D7242" s="709" t="s">
        <v>159</v>
      </c>
      <c r="E7242" s="711">
        <v>0.53049999999999997</v>
      </c>
    </row>
    <row r="7243" spans="1:5" x14ac:dyDescent="0.3">
      <c r="A7243" s="397"/>
      <c r="B7243" s="709">
        <v>98050</v>
      </c>
      <c r="C7243" s="710" t="s">
        <v>7315</v>
      </c>
      <c r="D7243" s="709" t="s">
        <v>159</v>
      </c>
      <c r="E7243" s="711">
        <v>6.9599999999999995E-2</v>
      </c>
    </row>
    <row r="7244" spans="1:5" x14ac:dyDescent="0.3">
      <c r="A7244" s="397"/>
      <c r="B7244" s="709">
        <v>99272</v>
      </c>
      <c r="C7244" s="710" t="s">
        <v>7316</v>
      </c>
      <c r="D7244" s="709" t="s">
        <v>136</v>
      </c>
      <c r="E7244" s="711">
        <v>0.50509999999999999</v>
      </c>
    </row>
    <row r="7245" spans="1:5" x14ac:dyDescent="0.3">
      <c r="A7245" s="397"/>
      <c r="B7245" s="709">
        <v>99273</v>
      </c>
      <c r="C7245" s="710" t="s">
        <v>7317</v>
      </c>
      <c r="D7245" s="709" t="s">
        <v>136</v>
      </c>
      <c r="E7245" s="711">
        <v>0.52059999999999995</v>
      </c>
    </row>
    <row r="7246" spans="1:5" x14ac:dyDescent="0.3">
      <c r="A7246" s="397"/>
      <c r="B7246" s="709">
        <v>99268</v>
      </c>
      <c r="C7246" s="710" t="s">
        <v>7318</v>
      </c>
      <c r="D7246" s="709" t="s">
        <v>136</v>
      </c>
      <c r="E7246" s="711">
        <v>0.22950000000000001</v>
      </c>
    </row>
    <row r="7247" spans="1:5" x14ac:dyDescent="0.3">
      <c r="A7247" s="397"/>
      <c r="B7247" s="709">
        <v>99270</v>
      </c>
      <c r="C7247" s="710" t="s">
        <v>7319</v>
      </c>
      <c r="D7247" s="709" t="s">
        <v>136</v>
      </c>
      <c r="E7247" s="711">
        <v>0.19320000000000001</v>
      </c>
    </row>
    <row r="7248" spans="1:5" x14ac:dyDescent="0.3">
      <c r="A7248" s="397"/>
      <c r="B7248" s="709">
        <v>97976</v>
      </c>
      <c r="C7248" s="710" t="s">
        <v>7320</v>
      </c>
      <c r="D7248" s="709" t="s">
        <v>136</v>
      </c>
      <c r="E7248" s="711">
        <v>0.48930000000000001</v>
      </c>
    </row>
    <row r="7249" spans="1:5" x14ac:dyDescent="0.3">
      <c r="A7249" s="397"/>
      <c r="B7249" s="709">
        <v>97977</v>
      </c>
      <c r="C7249" s="710" t="s">
        <v>7321</v>
      </c>
      <c r="D7249" s="709" t="s">
        <v>136</v>
      </c>
      <c r="E7249" s="711">
        <v>0.50039999999999996</v>
      </c>
    </row>
    <row r="7250" spans="1:5" x14ac:dyDescent="0.3">
      <c r="A7250" s="397"/>
      <c r="B7250" s="709">
        <v>97974</v>
      </c>
      <c r="C7250" s="710" t="s">
        <v>7322</v>
      </c>
      <c r="D7250" s="709" t="s">
        <v>136</v>
      </c>
      <c r="E7250" s="711">
        <v>0.2283</v>
      </c>
    </row>
    <row r="7251" spans="1:5" x14ac:dyDescent="0.3">
      <c r="A7251" s="397"/>
      <c r="B7251" s="709">
        <v>97975</v>
      </c>
      <c r="C7251" s="710" t="s">
        <v>7323</v>
      </c>
      <c r="D7251" s="709" t="s">
        <v>136</v>
      </c>
      <c r="E7251" s="711">
        <v>0.19239999999999999</v>
      </c>
    </row>
    <row r="7252" spans="1:5" x14ac:dyDescent="0.3">
      <c r="A7252" s="397"/>
      <c r="B7252" s="709">
        <v>101798</v>
      </c>
      <c r="C7252" s="710" t="s">
        <v>7324</v>
      </c>
      <c r="D7252" s="709" t="s">
        <v>136</v>
      </c>
      <c r="E7252" s="711">
        <v>0.1593</v>
      </c>
    </row>
    <row r="7253" spans="1:5" x14ac:dyDescent="0.3">
      <c r="A7253" s="397"/>
      <c r="B7253" s="709">
        <v>101799</v>
      </c>
      <c r="C7253" s="710" t="s">
        <v>7325</v>
      </c>
      <c r="D7253" s="709" t="s">
        <v>136</v>
      </c>
      <c r="E7253" s="711">
        <v>0.11</v>
      </c>
    </row>
    <row r="7254" spans="1:5" x14ac:dyDescent="0.3">
      <c r="A7254" s="397"/>
      <c r="B7254" s="709">
        <v>102487</v>
      </c>
      <c r="C7254" s="710" t="s">
        <v>7326</v>
      </c>
      <c r="D7254" s="709" t="s">
        <v>170</v>
      </c>
      <c r="E7254" s="711">
        <v>0.45319999999999999</v>
      </c>
    </row>
    <row r="7255" spans="1:5" x14ac:dyDescent="0.3">
      <c r="A7255" s="397"/>
      <c r="B7255" s="709">
        <v>102486</v>
      </c>
      <c r="C7255" s="710" t="s">
        <v>7327</v>
      </c>
      <c r="D7255" s="709" t="s">
        <v>170</v>
      </c>
      <c r="E7255" s="711">
        <v>0.22570000000000001</v>
      </c>
    </row>
    <row r="7256" spans="1:5" x14ac:dyDescent="0.3">
      <c r="A7256" s="397"/>
      <c r="B7256" s="709">
        <v>102474</v>
      </c>
      <c r="C7256" s="710" t="s">
        <v>7328</v>
      </c>
      <c r="D7256" s="709" t="s">
        <v>170</v>
      </c>
      <c r="E7256" s="711">
        <v>0.16539999999999999</v>
      </c>
    </row>
    <row r="7257" spans="1:5" x14ac:dyDescent="0.3">
      <c r="A7257" s="397"/>
      <c r="B7257" s="709">
        <v>102480</v>
      </c>
      <c r="C7257" s="710" t="s">
        <v>7329</v>
      </c>
      <c r="D7257" s="709" t="s">
        <v>170</v>
      </c>
      <c r="E7257" s="711">
        <v>0.1464</v>
      </c>
    </row>
    <row r="7258" spans="1:5" x14ac:dyDescent="0.3">
      <c r="A7258" s="397"/>
      <c r="B7258" s="709">
        <v>94975</v>
      </c>
      <c r="C7258" s="710" t="s">
        <v>7330</v>
      </c>
      <c r="D7258" s="709" t="s">
        <v>170</v>
      </c>
      <c r="E7258" s="711">
        <v>0.28289999999999998</v>
      </c>
    </row>
    <row r="7259" spans="1:5" x14ac:dyDescent="0.3">
      <c r="A7259" s="397"/>
      <c r="B7259" s="709">
        <v>94963</v>
      </c>
      <c r="C7259" s="710" t="s">
        <v>7331</v>
      </c>
      <c r="D7259" s="709" t="s">
        <v>170</v>
      </c>
      <c r="E7259" s="711">
        <v>0.2089</v>
      </c>
    </row>
    <row r="7260" spans="1:5" x14ac:dyDescent="0.3">
      <c r="A7260" s="397"/>
      <c r="B7260" s="709">
        <v>94969</v>
      </c>
      <c r="C7260" s="710" t="s">
        <v>7332</v>
      </c>
      <c r="D7260" s="709" t="s">
        <v>170</v>
      </c>
      <c r="E7260" s="711">
        <v>0.1855</v>
      </c>
    </row>
    <row r="7261" spans="1:5" x14ac:dyDescent="0.3">
      <c r="A7261" s="397"/>
      <c r="B7261" s="709">
        <v>102475</v>
      </c>
      <c r="C7261" s="710" t="s">
        <v>7333</v>
      </c>
      <c r="D7261" s="709" t="s">
        <v>170</v>
      </c>
      <c r="E7261" s="711">
        <v>0.16689999999999999</v>
      </c>
    </row>
    <row r="7262" spans="1:5" x14ac:dyDescent="0.3">
      <c r="A7262" s="397"/>
      <c r="B7262" s="709">
        <v>102481</v>
      </c>
      <c r="C7262" s="710" t="s">
        <v>7334</v>
      </c>
      <c r="D7262" s="709" t="s">
        <v>170</v>
      </c>
      <c r="E7262" s="711">
        <v>0.1366</v>
      </c>
    </row>
    <row r="7263" spans="1:5" x14ac:dyDescent="0.3">
      <c r="A7263" s="397"/>
      <c r="B7263" s="709">
        <v>94964</v>
      </c>
      <c r="C7263" s="710" t="s">
        <v>7335</v>
      </c>
      <c r="D7263" s="709" t="s">
        <v>170</v>
      </c>
      <c r="E7263" s="711">
        <v>0.20610000000000001</v>
      </c>
    </row>
    <row r="7264" spans="1:5" x14ac:dyDescent="0.3">
      <c r="A7264" s="397"/>
      <c r="B7264" s="709">
        <v>94970</v>
      </c>
      <c r="C7264" s="710" t="s">
        <v>7336</v>
      </c>
      <c r="D7264" s="709" t="s">
        <v>170</v>
      </c>
      <c r="E7264" s="711">
        <v>0.16980000000000001</v>
      </c>
    </row>
    <row r="7265" spans="1:5" x14ac:dyDescent="0.3">
      <c r="A7265" s="397"/>
      <c r="B7265" s="709">
        <v>102476</v>
      </c>
      <c r="C7265" s="710" t="s">
        <v>7337</v>
      </c>
      <c r="D7265" s="709" t="s">
        <v>170</v>
      </c>
      <c r="E7265" s="711">
        <v>0.13880000000000001</v>
      </c>
    </row>
    <row r="7266" spans="1:5" x14ac:dyDescent="0.3">
      <c r="A7266" s="397"/>
      <c r="B7266" s="709">
        <v>102482</v>
      </c>
      <c r="C7266" s="710" t="s">
        <v>7338</v>
      </c>
      <c r="D7266" s="709" t="s">
        <v>170</v>
      </c>
      <c r="E7266" s="711">
        <v>0.1237</v>
      </c>
    </row>
    <row r="7267" spans="1:5" x14ac:dyDescent="0.3">
      <c r="A7267" s="397"/>
      <c r="B7267" s="709">
        <v>94965</v>
      </c>
      <c r="C7267" s="710" t="s">
        <v>7339</v>
      </c>
      <c r="D7267" s="709" t="s">
        <v>170</v>
      </c>
      <c r="E7267" s="711">
        <v>0.18010000000000001</v>
      </c>
    </row>
    <row r="7268" spans="1:5" x14ac:dyDescent="0.3">
      <c r="A7268" s="397"/>
      <c r="B7268" s="709">
        <v>94971</v>
      </c>
      <c r="C7268" s="710" t="s">
        <v>7340</v>
      </c>
      <c r="D7268" s="709" t="s">
        <v>170</v>
      </c>
      <c r="E7268" s="711">
        <v>0.15659999999999999</v>
      </c>
    </row>
    <row r="7269" spans="1:5" x14ac:dyDescent="0.3">
      <c r="A7269" s="397"/>
      <c r="B7269" s="709">
        <v>102477</v>
      </c>
      <c r="C7269" s="710" t="s">
        <v>7341</v>
      </c>
      <c r="D7269" s="709" t="s">
        <v>170</v>
      </c>
      <c r="E7269" s="711">
        <v>0.14410000000000001</v>
      </c>
    </row>
    <row r="7270" spans="1:5" x14ac:dyDescent="0.3">
      <c r="A7270" s="397"/>
      <c r="B7270" s="709">
        <v>102483</v>
      </c>
      <c r="C7270" s="710" t="s">
        <v>7342</v>
      </c>
      <c r="D7270" s="709" t="s">
        <v>170</v>
      </c>
      <c r="E7270" s="711">
        <v>0.1211</v>
      </c>
    </row>
    <row r="7271" spans="1:5" x14ac:dyDescent="0.3">
      <c r="A7271" s="397"/>
      <c r="B7271" s="709">
        <v>94966</v>
      </c>
      <c r="C7271" s="710" t="s">
        <v>7343</v>
      </c>
      <c r="D7271" s="709" t="s">
        <v>170</v>
      </c>
      <c r="E7271" s="711">
        <v>0.1721</v>
      </c>
    </row>
    <row r="7272" spans="1:5" x14ac:dyDescent="0.3">
      <c r="A7272" s="397"/>
      <c r="B7272" s="709">
        <v>94972</v>
      </c>
      <c r="C7272" s="710" t="s">
        <v>7344</v>
      </c>
      <c r="D7272" s="709" t="s">
        <v>170</v>
      </c>
      <c r="E7272" s="711">
        <v>0.14949999999999999</v>
      </c>
    </row>
    <row r="7273" spans="1:5" x14ac:dyDescent="0.3">
      <c r="A7273" s="397"/>
      <c r="B7273" s="709">
        <v>102478</v>
      </c>
      <c r="C7273" s="710" t="s">
        <v>7345</v>
      </c>
      <c r="D7273" s="709" t="s">
        <v>170</v>
      </c>
      <c r="E7273" s="711">
        <v>0.11990000000000001</v>
      </c>
    </row>
    <row r="7274" spans="1:5" x14ac:dyDescent="0.3">
      <c r="A7274" s="397"/>
      <c r="B7274" s="709">
        <v>102484</v>
      </c>
      <c r="C7274" s="710" t="s">
        <v>7346</v>
      </c>
      <c r="D7274" s="709" t="s">
        <v>170</v>
      </c>
      <c r="E7274" s="711">
        <v>0.1099</v>
      </c>
    </row>
    <row r="7275" spans="1:5" x14ac:dyDescent="0.3">
      <c r="A7275" s="397"/>
      <c r="B7275" s="709">
        <v>94967</v>
      </c>
      <c r="C7275" s="710" t="s">
        <v>7347</v>
      </c>
      <c r="D7275" s="709" t="s">
        <v>170</v>
      </c>
      <c r="E7275" s="711">
        <v>0.1585</v>
      </c>
    </row>
    <row r="7276" spans="1:5" x14ac:dyDescent="0.3">
      <c r="A7276" s="397"/>
      <c r="B7276" s="709">
        <v>94973</v>
      </c>
      <c r="C7276" s="710" t="s">
        <v>7348</v>
      </c>
      <c r="D7276" s="709" t="s">
        <v>170</v>
      </c>
      <c r="E7276" s="711">
        <v>0.13389999999999999</v>
      </c>
    </row>
    <row r="7277" spans="1:5" x14ac:dyDescent="0.3">
      <c r="A7277" s="397"/>
      <c r="B7277" s="709">
        <v>94974</v>
      </c>
      <c r="C7277" s="710" t="s">
        <v>7349</v>
      </c>
      <c r="D7277" s="709" t="s">
        <v>170</v>
      </c>
      <c r="E7277" s="711">
        <v>0.314</v>
      </c>
    </row>
    <row r="7278" spans="1:5" x14ac:dyDescent="0.3">
      <c r="A7278" s="397"/>
      <c r="B7278" s="709">
        <v>94962</v>
      </c>
      <c r="C7278" s="710" t="s">
        <v>7350</v>
      </c>
      <c r="D7278" s="709" t="s">
        <v>170</v>
      </c>
      <c r="E7278" s="711">
        <v>0.2361</v>
      </c>
    </row>
    <row r="7279" spans="1:5" x14ac:dyDescent="0.3">
      <c r="A7279" s="397"/>
      <c r="B7279" s="709">
        <v>94968</v>
      </c>
      <c r="C7279" s="710" t="s">
        <v>7351</v>
      </c>
      <c r="D7279" s="709" t="s">
        <v>170</v>
      </c>
      <c r="E7279" s="711">
        <v>0.21479999999999999</v>
      </c>
    </row>
    <row r="7280" spans="1:5" x14ac:dyDescent="0.3">
      <c r="A7280" s="397"/>
      <c r="B7280" s="709">
        <v>102485</v>
      </c>
      <c r="C7280" s="710" t="s">
        <v>7352</v>
      </c>
      <c r="D7280" s="709" t="s">
        <v>170</v>
      </c>
      <c r="E7280" s="711">
        <v>0.24329999999999999</v>
      </c>
    </row>
    <row r="7281" spans="1:5" x14ac:dyDescent="0.3">
      <c r="A7281" s="397"/>
      <c r="B7281" s="709">
        <v>102473</v>
      </c>
      <c r="C7281" s="710" t="s">
        <v>7353</v>
      </c>
      <c r="D7281" s="709" t="s">
        <v>170</v>
      </c>
      <c r="E7281" s="711">
        <v>0.18079999999999999</v>
      </c>
    </row>
    <row r="7282" spans="1:5" x14ac:dyDescent="0.3">
      <c r="A7282" s="397"/>
      <c r="B7282" s="709">
        <v>102479</v>
      </c>
      <c r="C7282" s="710" t="s">
        <v>7354</v>
      </c>
      <c r="D7282" s="709" t="s">
        <v>170</v>
      </c>
      <c r="E7282" s="711">
        <v>0.16339999999999999</v>
      </c>
    </row>
    <row r="7283" spans="1:5" x14ac:dyDescent="0.3">
      <c r="A7283" s="397"/>
      <c r="B7283" s="709">
        <v>103769</v>
      </c>
      <c r="C7283" s="710" t="s">
        <v>7374</v>
      </c>
      <c r="D7283" s="709" t="s">
        <v>136</v>
      </c>
      <c r="E7283" s="711">
        <v>0.1205</v>
      </c>
    </row>
    <row r="7284" spans="1:5" x14ac:dyDescent="0.3">
      <c r="A7284" s="397"/>
      <c r="B7284" s="709">
        <v>106295</v>
      </c>
      <c r="C7284" s="710" t="s">
        <v>14398</v>
      </c>
      <c r="D7284" s="709" t="s">
        <v>136</v>
      </c>
      <c r="E7284" s="711">
        <v>0.13600000000000001</v>
      </c>
    </row>
    <row r="7285" spans="1:5" x14ac:dyDescent="0.3">
      <c r="A7285" s="397"/>
      <c r="B7285" s="709">
        <v>106300</v>
      </c>
      <c r="C7285" s="710" t="s">
        <v>14399</v>
      </c>
      <c r="D7285" s="709" t="s">
        <v>136</v>
      </c>
      <c r="E7285" s="711">
        <v>0.2387</v>
      </c>
    </row>
    <row r="7286" spans="1:5" x14ac:dyDescent="0.3">
      <c r="A7286" s="397"/>
      <c r="B7286" s="709">
        <v>106293</v>
      </c>
      <c r="C7286" s="710" t="s">
        <v>14400</v>
      </c>
      <c r="D7286" s="709" t="s">
        <v>136</v>
      </c>
      <c r="E7286" s="711">
        <v>9.9599999999999994E-2</v>
      </c>
    </row>
    <row r="7287" spans="1:5" x14ac:dyDescent="0.3">
      <c r="A7287" s="397"/>
      <c r="B7287" s="709">
        <v>106297</v>
      </c>
      <c r="C7287" s="710" t="s">
        <v>14401</v>
      </c>
      <c r="D7287" s="709" t="s">
        <v>136</v>
      </c>
      <c r="E7287" s="711">
        <v>0.1852</v>
      </c>
    </row>
    <row r="7288" spans="1:5" x14ac:dyDescent="0.3">
      <c r="A7288" s="397"/>
      <c r="B7288" s="709">
        <v>106298</v>
      </c>
      <c r="C7288" s="710" t="s">
        <v>14402</v>
      </c>
      <c r="D7288" s="709" t="s">
        <v>136</v>
      </c>
      <c r="E7288" s="711">
        <v>0.18390000000000001</v>
      </c>
    </row>
    <row r="7289" spans="1:5" x14ac:dyDescent="0.3">
      <c r="A7289" s="397"/>
      <c r="B7289" s="709">
        <v>106301</v>
      </c>
      <c r="C7289" s="710" t="s">
        <v>14403</v>
      </c>
      <c r="D7289" s="709" t="s">
        <v>136</v>
      </c>
      <c r="E7289" s="711">
        <v>0.25609999999999999</v>
      </c>
    </row>
    <row r="7290" spans="1:5" x14ac:dyDescent="0.3">
      <c r="A7290" s="397"/>
      <c r="B7290" s="709">
        <v>106292</v>
      </c>
      <c r="C7290" s="710" t="s">
        <v>14404</v>
      </c>
      <c r="D7290" s="709" t="s">
        <v>136</v>
      </c>
      <c r="E7290" s="711">
        <v>0.1048</v>
      </c>
    </row>
    <row r="7291" spans="1:5" x14ac:dyDescent="0.3">
      <c r="A7291" s="397"/>
      <c r="B7291" s="709">
        <v>106282</v>
      </c>
      <c r="C7291" s="710" t="s">
        <v>14405</v>
      </c>
      <c r="D7291" s="709" t="s">
        <v>136</v>
      </c>
      <c r="E7291" s="711">
        <v>0.19939999999999999</v>
      </c>
    </row>
    <row r="7292" spans="1:5" x14ac:dyDescent="0.3">
      <c r="A7292" s="397"/>
      <c r="B7292" s="709">
        <v>106283</v>
      </c>
      <c r="C7292" s="710" t="s">
        <v>14406</v>
      </c>
      <c r="D7292" s="709" t="s">
        <v>136</v>
      </c>
      <c r="E7292" s="711">
        <v>0.19939999999999999</v>
      </c>
    </row>
    <row r="7293" spans="1:5" x14ac:dyDescent="0.3">
      <c r="A7293" s="397"/>
      <c r="B7293" s="709">
        <v>106286</v>
      </c>
      <c r="C7293" s="710" t="s">
        <v>14407</v>
      </c>
      <c r="D7293" s="709" t="s">
        <v>136</v>
      </c>
      <c r="E7293" s="711">
        <v>0.3009</v>
      </c>
    </row>
    <row r="7294" spans="1:5" x14ac:dyDescent="0.3">
      <c r="A7294" s="397"/>
      <c r="B7294" s="709">
        <v>106287</v>
      </c>
      <c r="C7294" s="710" t="s">
        <v>14408</v>
      </c>
      <c r="D7294" s="709" t="s">
        <v>136</v>
      </c>
      <c r="E7294" s="711">
        <v>0.40360000000000001</v>
      </c>
    </row>
    <row r="7295" spans="1:5" x14ac:dyDescent="0.3">
      <c r="A7295" s="397"/>
      <c r="B7295" s="709">
        <v>106288</v>
      </c>
      <c r="C7295" s="710" t="s">
        <v>14409</v>
      </c>
      <c r="D7295" s="709" t="s">
        <v>136</v>
      </c>
      <c r="E7295" s="711">
        <v>0.49880000000000002</v>
      </c>
    </row>
    <row r="7296" spans="1:5" x14ac:dyDescent="0.3">
      <c r="A7296" s="397"/>
      <c r="B7296" s="709">
        <v>106289</v>
      </c>
      <c r="C7296" s="710" t="s">
        <v>14410</v>
      </c>
      <c r="D7296" s="709" t="s">
        <v>136</v>
      </c>
      <c r="E7296" s="711">
        <v>0.62260000000000004</v>
      </c>
    </row>
    <row r="7297" spans="1:5" x14ac:dyDescent="0.3">
      <c r="A7297" s="397"/>
      <c r="B7297" s="709">
        <v>106290</v>
      </c>
      <c r="C7297" s="710" t="s">
        <v>14411</v>
      </c>
      <c r="D7297" s="709" t="s">
        <v>136</v>
      </c>
      <c r="E7297" s="711">
        <v>0.71909999999999996</v>
      </c>
    </row>
    <row r="7298" spans="1:5" x14ac:dyDescent="0.3">
      <c r="A7298" s="397"/>
      <c r="B7298" s="709">
        <v>106291</v>
      </c>
      <c r="C7298" s="710" t="s">
        <v>14412</v>
      </c>
      <c r="D7298" s="709" t="s">
        <v>136</v>
      </c>
      <c r="E7298" s="711">
        <v>0.76439999999999997</v>
      </c>
    </row>
    <row r="7299" spans="1:5" x14ac:dyDescent="0.3">
      <c r="A7299" s="397"/>
      <c r="B7299" s="709">
        <v>102136</v>
      </c>
      <c r="C7299" s="710" t="s">
        <v>14413</v>
      </c>
      <c r="D7299" s="709" t="s">
        <v>136</v>
      </c>
      <c r="E7299" s="711">
        <v>0.90820000000000001</v>
      </c>
    </row>
    <row r="7300" spans="1:5" x14ac:dyDescent="0.3">
      <c r="A7300" s="397"/>
      <c r="B7300" s="709">
        <v>106263</v>
      </c>
      <c r="C7300" s="710" t="s">
        <v>14414</v>
      </c>
      <c r="D7300" s="709" t="s">
        <v>136</v>
      </c>
      <c r="E7300" s="711">
        <v>0.92149999999999999</v>
      </c>
    </row>
    <row r="7301" spans="1:5" x14ac:dyDescent="0.3">
      <c r="A7301" s="397"/>
      <c r="B7301" s="709">
        <v>106299</v>
      </c>
      <c r="C7301" s="710" t="s">
        <v>14415</v>
      </c>
      <c r="D7301" s="709" t="s">
        <v>136</v>
      </c>
      <c r="E7301" s="711">
        <v>0.31080000000000002</v>
      </c>
    </row>
    <row r="7302" spans="1:5" x14ac:dyDescent="0.3">
      <c r="A7302" s="397"/>
      <c r="B7302" s="709">
        <v>97097</v>
      </c>
      <c r="C7302" s="710" t="s">
        <v>16231</v>
      </c>
      <c r="D7302" s="709" t="s">
        <v>168</v>
      </c>
      <c r="E7302" s="711">
        <v>6.9599999999999995E-2</v>
      </c>
    </row>
    <row r="7303" spans="1:5" x14ac:dyDescent="0.3">
      <c r="A7303" s="397"/>
      <c r="B7303" s="709">
        <v>97089</v>
      </c>
      <c r="C7303" s="710" t="s">
        <v>16232</v>
      </c>
      <c r="D7303" s="709" t="s">
        <v>175</v>
      </c>
      <c r="E7303" s="711">
        <v>0.107</v>
      </c>
    </row>
    <row r="7304" spans="1:5" x14ac:dyDescent="0.3">
      <c r="A7304" s="397"/>
      <c r="B7304" s="709">
        <v>97090</v>
      </c>
      <c r="C7304" s="710" t="s">
        <v>16233</v>
      </c>
      <c r="D7304" s="709" t="s">
        <v>175</v>
      </c>
      <c r="E7304" s="711">
        <v>9.64E-2</v>
      </c>
    </row>
    <row r="7305" spans="1:5" x14ac:dyDescent="0.3">
      <c r="A7305" s="397"/>
      <c r="B7305" s="709">
        <v>97091</v>
      </c>
      <c r="C7305" s="710" t="s">
        <v>16234</v>
      </c>
      <c r="D7305" s="709" t="s">
        <v>175</v>
      </c>
      <c r="E7305" s="711">
        <v>9.1399999999999995E-2</v>
      </c>
    </row>
    <row r="7306" spans="1:5" x14ac:dyDescent="0.3">
      <c r="A7306" s="397"/>
      <c r="B7306" s="709">
        <v>97092</v>
      </c>
      <c r="C7306" s="710" t="s">
        <v>16235</v>
      </c>
      <c r="D7306" s="709" t="s">
        <v>175</v>
      </c>
      <c r="E7306" s="711">
        <v>8.4000000000000005E-2</v>
      </c>
    </row>
    <row r="7307" spans="1:5" x14ac:dyDescent="0.3">
      <c r="A7307" s="397"/>
      <c r="B7307" s="709">
        <v>97093</v>
      </c>
      <c r="C7307" s="710" t="s">
        <v>16236</v>
      </c>
      <c r="D7307" s="709" t="s">
        <v>175</v>
      </c>
      <c r="E7307" s="711">
        <v>7.4800000000000005E-2</v>
      </c>
    </row>
    <row r="7308" spans="1:5" x14ac:dyDescent="0.3">
      <c r="A7308" s="397"/>
      <c r="B7308" s="709">
        <v>97088</v>
      </c>
      <c r="C7308" s="710" t="s">
        <v>16237</v>
      </c>
      <c r="D7308" s="709" t="s">
        <v>175</v>
      </c>
      <c r="E7308" s="711">
        <v>0.1118</v>
      </c>
    </row>
    <row r="7309" spans="1:5" x14ac:dyDescent="0.3">
      <c r="A7309" s="397"/>
      <c r="B7309" s="709">
        <v>107281</v>
      </c>
      <c r="C7309" s="710" t="s">
        <v>16238</v>
      </c>
      <c r="D7309" s="709" t="s">
        <v>175</v>
      </c>
      <c r="E7309" s="711">
        <v>0.1787</v>
      </c>
    </row>
    <row r="7310" spans="1:5" x14ac:dyDescent="0.3">
      <c r="A7310" s="397"/>
      <c r="B7310" s="709">
        <v>107282</v>
      </c>
      <c r="C7310" s="710" t="s">
        <v>16239</v>
      </c>
      <c r="D7310" s="709" t="s">
        <v>175</v>
      </c>
      <c r="E7310" s="711">
        <v>0.1484</v>
      </c>
    </row>
    <row r="7311" spans="1:5" x14ac:dyDescent="0.3">
      <c r="A7311" s="397"/>
      <c r="B7311" s="709">
        <v>107280</v>
      </c>
      <c r="C7311" s="710" t="s">
        <v>16240</v>
      </c>
      <c r="D7311" s="709" t="s">
        <v>175</v>
      </c>
      <c r="E7311" s="711">
        <v>0.2084</v>
      </c>
    </row>
    <row r="7312" spans="1:5" x14ac:dyDescent="0.3">
      <c r="A7312" s="397"/>
      <c r="B7312" s="709">
        <v>97087</v>
      </c>
      <c r="C7312" s="710" t="s">
        <v>16241</v>
      </c>
      <c r="D7312" s="709" t="s">
        <v>168</v>
      </c>
      <c r="E7312" s="711">
        <v>0.15640000000000001</v>
      </c>
    </row>
    <row r="7313" spans="1:5" x14ac:dyDescent="0.3">
      <c r="A7313" s="397"/>
      <c r="B7313" s="709">
        <v>97083</v>
      </c>
      <c r="C7313" s="710" t="s">
        <v>16242</v>
      </c>
      <c r="D7313" s="709" t="s">
        <v>168</v>
      </c>
      <c r="E7313" s="711">
        <v>0.9506</v>
      </c>
    </row>
    <row r="7314" spans="1:5" x14ac:dyDescent="0.3">
      <c r="A7314" s="397"/>
      <c r="B7314" s="709">
        <v>97084</v>
      </c>
      <c r="C7314" s="710" t="s">
        <v>16243</v>
      </c>
      <c r="D7314" s="709" t="s">
        <v>168</v>
      </c>
      <c r="E7314" s="711">
        <v>0.94379999999999997</v>
      </c>
    </row>
    <row r="7315" spans="1:5" x14ac:dyDescent="0.3">
      <c r="A7315" s="397"/>
      <c r="B7315" s="709">
        <v>107276</v>
      </c>
      <c r="C7315" s="710" t="s">
        <v>16244</v>
      </c>
      <c r="D7315" s="709" t="s">
        <v>170</v>
      </c>
      <c r="E7315" s="711">
        <v>2.7900000000000001E-2</v>
      </c>
    </row>
    <row r="7316" spans="1:5" x14ac:dyDescent="0.3">
      <c r="A7316" s="397"/>
      <c r="B7316" s="709">
        <v>97096</v>
      </c>
      <c r="C7316" s="710" t="s">
        <v>16245</v>
      </c>
      <c r="D7316" s="709" t="s">
        <v>170</v>
      </c>
      <c r="E7316" s="711">
        <v>2.7099999999999999E-2</v>
      </c>
    </row>
    <row r="7317" spans="1:5" x14ac:dyDescent="0.3">
      <c r="A7317" s="397"/>
      <c r="B7317" s="709">
        <v>107277</v>
      </c>
      <c r="C7317" s="710" t="s">
        <v>16246</v>
      </c>
      <c r="D7317" s="709" t="s">
        <v>170</v>
      </c>
      <c r="E7317" s="711">
        <v>2.63E-2</v>
      </c>
    </row>
    <row r="7318" spans="1:5" x14ac:dyDescent="0.3">
      <c r="A7318" s="397"/>
      <c r="B7318" s="709">
        <v>97082</v>
      </c>
      <c r="C7318" s="710" t="s">
        <v>16247</v>
      </c>
      <c r="D7318" s="709" t="s">
        <v>170</v>
      </c>
      <c r="E7318" s="711">
        <v>1</v>
      </c>
    </row>
    <row r="7319" spans="1:5" x14ac:dyDescent="0.3">
      <c r="A7319" s="397"/>
      <c r="B7319" s="709">
        <v>103076</v>
      </c>
      <c r="C7319" s="710" t="s">
        <v>16248</v>
      </c>
      <c r="D7319" s="709" t="s">
        <v>168</v>
      </c>
      <c r="E7319" s="711">
        <v>0.16289999999999999</v>
      </c>
    </row>
    <row r="7320" spans="1:5" x14ac:dyDescent="0.3">
      <c r="A7320" s="397"/>
      <c r="B7320" s="709">
        <v>103077</v>
      </c>
      <c r="C7320" s="710" t="s">
        <v>16249</v>
      </c>
      <c r="D7320" s="709" t="s">
        <v>168</v>
      </c>
      <c r="E7320" s="711">
        <v>0.1411</v>
      </c>
    </row>
    <row r="7321" spans="1:5" x14ac:dyDescent="0.3">
      <c r="A7321" s="397"/>
      <c r="B7321" s="709">
        <v>103078</v>
      </c>
      <c r="C7321" s="710" t="s">
        <v>16250</v>
      </c>
      <c r="D7321" s="709" t="s">
        <v>168</v>
      </c>
      <c r="E7321" s="711">
        <v>0.12889999999999999</v>
      </c>
    </row>
    <row r="7322" spans="1:5" x14ac:dyDescent="0.3">
      <c r="A7322" s="397"/>
      <c r="B7322" s="709">
        <v>103079</v>
      </c>
      <c r="C7322" s="710" t="s">
        <v>16251</v>
      </c>
      <c r="D7322" s="709" t="s">
        <v>168</v>
      </c>
      <c r="E7322" s="711">
        <v>0.1188</v>
      </c>
    </row>
    <row r="7323" spans="1:5" x14ac:dyDescent="0.3">
      <c r="A7323" s="397"/>
      <c r="B7323" s="709">
        <v>103080</v>
      </c>
      <c r="C7323" s="710" t="s">
        <v>16252</v>
      </c>
      <c r="D7323" s="709" t="s">
        <v>168</v>
      </c>
      <c r="E7323" s="711">
        <v>0.10929999999999999</v>
      </c>
    </row>
    <row r="7324" spans="1:5" x14ac:dyDescent="0.3">
      <c r="A7324" s="397"/>
      <c r="B7324" s="709">
        <v>103075</v>
      </c>
      <c r="C7324" s="710" t="s">
        <v>16253</v>
      </c>
      <c r="D7324" s="709" t="s">
        <v>168</v>
      </c>
      <c r="E7324" s="711">
        <v>0.1394</v>
      </c>
    </row>
    <row r="7325" spans="1:5" x14ac:dyDescent="0.3">
      <c r="A7325" s="397"/>
      <c r="B7325" s="709">
        <v>103074</v>
      </c>
      <c r="C7325" s="710" t="s">
        <v>16254</v>
      </c>
      <c r="D7325" s="709" t="s">
        <v>168</v>
      </c>
      <c r="E7325" s="711">
        <v>0.1434</v>
      </c>
    </row>
    <row r="7326" spans="1:5" x14ac:dyDescent="0.3">
      <c r="A7326" s="397"/>
      <c r="B7326" s="709">
        <v>97101</v>
      </c>
      <c r="C7326" s="710" t="s">
        <v>16255</v>
      </c>
      <c r="D7326" s="709" t="s">
        <v>168</v>
      </c>
      <c r="E7326" s="711">
        <v>0.17580000000000001</v>
      </c>
    </row>
    <row r="7327" spans="1:5" x14ac:dyDescent="0.3">
      <c r="A7327" s="397"/>
      <c r="B7327" s="709">
        <v>97102</v>
      </c>
      <c r="C7327" s="710" t="s">
        <v>16256</v>
      </c>
      <c r="D7327" s="709" t="s">
        <v>168</v>
      </c>
      <c r="E7327" s="711">
        <v>0.15129999999999999</v>
      </c>
    </row>
    <row r="7328" spans="1:5" x14ac:dyDescent="0.3">
      <c r="A7328" s="397"/>
      <c r="B7328" s="709">
        <v>97103</v>
      </c>
      <c r="C7328" s="710" t="s">
        <v>16257</v>
      </c>
      <c r="D7328" s="709" t="s">
        <v>168</v>
      </c>
      <c r="E7328" s="711">
        <v>0.13739999999999999</v>
      </c>
    </row>
    <row r="7329" spans="1:5" x14ac:dyDescent="0.3">
      <c r="A7329" s="397"/>
      <c r="B7329" s="709">
        <v>103072</v>
      </c>
      <c r="C7329" s="710" t="s">
        <v>16258</v>
      </c>
      <c r="D7329" s="709" t="s">
        <v>168</v>
      </c>
      <c r="E7329" s="711">
        <v>0.126</v>
      </c>
    </row>
    <row r="7330" spans="1:5" x14ac:dyDescent="0.3">
      <c r="A7330" s="397"/>
      <c r="B7330" s="709">
        <v>103073</v>
      </c>
      <c r="C7330" s="710" t="s">
        <v>16259</v>
      </c>
      <c r="D7330" s="709" t="s">
        <v>168</v>
      </c>
      <c r="E7330" s="711">
        <v>0.1152</v>
      </c>
    </row>
    <row r="7331" spans="1:5" x14ac:dyDescent="0.3">
      <c r="A7331" s="397"/>
      <c r="B7331" s="709">
        <v>107283</v>
      </c>
      <c r="C7331" s="710" t="s">
        <v>16260</v>
      </c>
      <c r="D7331" s="709" t="s">
        <v>168</v>
      </c>
      <c r="E7331" s="711">
        <v>0.77139999999999997</v>
      </c>
    </row>
    <row r="7332" spans="1:5" x14ac:dyDescent="0.3">
      <c r="A7332" s="397"/>
      <c r="B7332" s="709">
        <v>97086</v>
      </c>
      <c r="C7332" s="710" t="s">
        <v>16261</v>
      </c>
      <c r="D7332" s="709" t="s">
        <v>168</v>
      </c>
      <c r="E7332" s="711">
        <v>0.85819999999999996</v>
      </c>
    </row>
    <row r="7333" spans="1:5" x14ac:dyDescent="0.3">
      <c r="A7333" s="397"/>
      <c r="B7333" s="709">
        <v>104766</v>
      </c>
      <c r="C7333" s="710" t="s">
        <v>7385</v>
      </c>
      <c r="D7333" s="709" t="s">
        <v>159</v>
      </c>
      <c r="E7333" s="711">
        <v>0.84730000000000005</v>
      </c>
    </row>
    <row r="7334" spans="1:5" x14ac:dyDescent="0.3">
      <c r="A7334" s="397"/>
      <c r="B7334" s="709">
        <v>90467</v>
      </c>
      <c r="C7334" s="710" t="s">
        <v>7386</v>
      </c>
      <c r="D7334" s="709" t="s">
        <v>159</v>
      </c>
      <c r="E7334" s="711">
        <v>0.83779999999999999</v>
      </c>
    </row>
    <row r="7335" spans="1:5" x14ac:dyDescent="0.3">
      <c r="A7335" s="397"/>
      <c r="B7335" s="709">
        <v>90466</v>
      </c>
      <c r="C7335" s="710" t="s">
        <v>7387</v>
      </c>
      <c r="D7335" s="709" t="s">
        <v>159</v>
      </c>
      <c r="E7335" s="711">
        <v>0.8427</v>
      </c>
    </row>
    <row r="7336" spans="1:5" x14ac:dyDescent="0.3">
      <c r="A7336" s="397"/>
      <c r="B7336" s="709">
        <v>90469</v>
      </c>
      <c r="C7336" s="710" t="s">
        <v>7388</v>
      </c>
      <c r="D7336" s="709" t="s">
        <v>159</v>
      </c>
      <c r="E7336" s="711">
        <v>0.68569999999999998</v>
      </c>
    </row>
    <row r="7337" spans="1:5" x14ac:dyDescent="0.3">
      <c r="A7337" s="397"/>
      <c r="B7337" s="709">
        <v>90470</v>
      </c>
      <c r="C7337" s="710" t="s">
        <v>7389</v>
      </c>
      <c r="D7337" s="709" t="s">
        <v>159</v>
      </c>
      <c r="E7337" s="711">
        <v>0.66310000000000002</v>
      </c>
    </row>
    <row r="7338" spans="1:5" x14ac:dyDescent="0.3">
      <c r="A7338" s="397"/>
      <c r="B7338" s="709">
        <v>90468</v>
      </c>
      <c r="C7338" s="710" t="s">
        <v>7390</v>
      </c>
      <c r="D7338" s="709" t="s">
        <v>159</v>
      </c>
      <c r="E7338" s="711">
        <v>0.69189999999999996</v>
      </c>
    </row>
    <row r="7339" spans="1:5" x14ac:dyDescent="0.3">
      <c r="A7339" s="397"/>
      <c r="B7339" s="709">
        <v>91188</v>
      </c>
      <c r="C7339" s="710" t="s">
        <v>7391</v>
      </c>
      <c r="D7339" s="709" t="s">
        <v>136</v>
      </c>
      <c r="E7339" s="711">
        <v>0.75370000000000004</v>
      </c>
    </row>
    <row r="7340" spans="1:5" x14ac:dyDescent="0.3">
      <c r="A7340" s="397"/>
      <c r="B7340" s="709">
        <v>91189</v>
      </c>
      <c r="C7340" s="710" t="s">
        <v>7392</v>
      </c>
      <c r="D7340" s="709" t="s">
        <v>136</v>
      </c>
      <c r="E7340" s="711">
        <v>0.59589999999999999</v>
      </c>
    </row>
    <row r="7341" spans="1:5" x14ac:dyDescent="0.3">
      <c r="A7341" s="397"/>
      <c r="B7341" s="709">
        <v>91192</v>
      </c>
      <c r="C7341" s="710" t="s">
        <v>7393</v>
      </c>
      <c r="D7341" s="709" t="s">
        <v>136</v>
      </c>
      <c r="E7341" s="711">
        <v>0.56669999999999998</v>
      </c>
    </row>
    <row r="7342" spans="1:5" x14ac:dyDescent="0.3">
      <c r="A7342" s="397"/>
      <c r="B7342" s="709">
        <v>91190</v>
      </c>
      <c r="C7342" s="710" t="s">
        <v>7394</v>
      </c>
      <c r="D7342" s="709" t="s">
        <v>136</v>
      </c>
      <c r="E7342" s="711">
        <v>0.73609999999999998</v>
      </c>
    </row>
    <row r="7343" spans="1:5" x14ac:dyDescent="0.3">
      <c r="A7343" s="397"/>
      <c r="B7343" s="709">
        <v>91191</v>
      </c>
      <c r="C7343" s="710" t="s">
        <v>7395</v>
      </c>
      <c r="D7343" s="709" t="s">
        <v>136</v>
      </c>
      <c r="E7343" s="711">
        <v>0.6431</v>
      </c>
    </row>
    <row r="7344" spans="1:5" x14ac:dyDescent="0.3">
      <c r="A7344" s="397"/>
      <c r="B7344" s="709">
        <v>95541</v>
      </c>
      <c r="C7344" s="710" t="s">
        <v>7396</v>
      </c>
      <c r="D7344" s="709" t="s">
        <v>136</v>
      </c>
      <c r="E7344" s="711">
        <v>1</v>
      </c>
    </row>
    <row r="7345" spans="1:5" x14ac:dyDescent="0.3">
      <c r="A7345" s="397"/>
      <c r="B7345" s="709">
        <v>104785</v>
      </c>
      <c r="C7345" s="710" t="s">
        <v>7398</v>
      </c>
      <c r="D7345" s="709" t="s">
        <v>159</v>
      </c>
      <c r="E7345" s="711">
        <v>0.59660000000000002</v>
      </c>
    </row>
    <row r="7346" spans="1:5" x14ac:dyDescent="0.3">
      <c r="A7346" s="397"/>
      <c r="B7346" s="709">
        <v>91166</v>
      </c>
      <c r="C7346" s="710" t="s">
        <v>7399</v>
      </c>
      <c r="D7346" s="709" t="s">
        <v>159</v>
      </c>
      <c r="E7346" s="711">
        <v>0.50119999999999998</v>
      </c>
    </row>
    <row r="7347" spans="1:5" x14ac:dyDescent="0.3">
      <c r="A7347" s="397"/>
      <c r="B7347" s="709">
        <v>91167</v>
      </c>
      <c r="C7347" s="710" t="s">
        <v>7400</v>
      </c>
      <c r="D7347" s="709" t="s">
        <v>159</v>
      </c>
      <c r="E7347" s="711">
        <v>0.77159999999999995</v>
      </c>
    </row>
    <row r="7348" spans="1:5" x14ac:dyDescent="0.3">
      <c r="A7348" s="397"/>
      <c r="B7348" s="709">
        <v>91176</v>
      </c>
      <c r="C7348" s="710" t="s">
        <v>7401</v>
      </c>
      <c r="D7348" s="709" t="s">
        <v>159</v>
      </c>
      <c r="E7348" s="711">
        <v>0.58760000000000001</v>
      </c>
    </row>
    <row r="7349" spans="1:5" x14ac:dyDescent="0.3">
      <c r="A7349" s="397"/>
      <c r="B7349" s="709">
        <v>91182</v>
      </c>
      <c r="C7349" s="710" t="s">
        <v>7402</v>
      </c>
      <c r="D7349" s="709" t="s">
        <v>159</v>
      </c>
      <c r="E7349" s="711">
        <v>0.88780000000000003</v>
      </c>
    </row>
    <row r="7350" spans="1:5" x14ac:dyDescent="0.3">
      <c r="A7350" s="397"/>
      <c r="B7350" s="709">
        <v>91186</v>
      </c>
      <c r="C7350" s="710" t="s">
        <v>7403</v>
      </c>
      <c r="D7350" s="709" t="s">
        <v>159</v>
      </c>
      <c r="E7350" s="711">
        <v>0.89500000000000002</v>
      </c>
    </row>
    <row r="7351" spans="1:5" x14ac:dyDescent="0.3">
      <c r="A7351" s="397"/>
      <c r="B7351" s="709">
        <v>91171</v>
      </c>
      <c r="C7351" s="710" t="s">
        <v>7404</v>
      </c>
      <c r="D7351" s="709" t="s">
        <v>159</v>
      </c>
      <c r="E7351" s="711">
        <v>0.70320000000000005</v>
      </c>
    </row>
    <row r="7352" spans="1:5" x14ac:dyDescent="0.3">
      <c r="A7352" s="397"/>
      <c r="B7352" s="709">
        <v>91187</v>
      </c>
      <c r="C7352" s="710" t="s">
        <v>7405</v>
      </c>
      <c r="D7352" s="709" t="s">
        <v>159</v>
      </c>
      <c r="E7352" s="711">
        <v>0.9052</v>
      </c>
    </row>
    <row r="7353" spans="1:5" x14ac:dyDescent="0.3">
      <c r="A7353" s="397"/>
      <c r="B7353" s="709">
        <v>91172</v>
      </c>
      <c r="C7353" s="710" t="s">
        <v>7406</v>
      </c>
      <c r="D7353" s="709" t="s">
        <v>159</v>
      </c>
      <c r="E7353" s="711">
        <v>0.65339999999999998</v>
      </c>
    </row>
    <row r="7354" spans="1:5" x14ac:dyDescent="0.3">
      <c r="A7354" s="397"/>
      <c r="B7354" s="709">
        <v>91185</v>
      </c>
      <c r="C7354" s="710" t="s">
        <v>7407</v>
      </c>
      <c r="D7354" s="709" t="s">
        <v>159</v>
      </c>
      <c r="E7354" s="711">
        <v>0.88780000000000003</v>
      </c>
    </row>
    <row r="7355" spans="1:5" x14ac:dyDescent="0.3">
      <c r="A7355" s="397"/>
      <c r="B7355" s="709">
        <v>91170</v>
      </c>
      <c r="C7355" s="710" t="s">
        <v>7408</v>
      </c>
      <c r="D7355" s="709" t="s">
        <v>159</v>
      </c>
      <c r="E7355" s="711">
        <v>0.77159999999999995</v>
      </c>
    </row>
    <row r="7356" spans="1:5" x14ac:dyDescent="0.3">
      <c r="A7356" s="397"/>
      <c r="B7356" s="709">
        <v>91180</v>
      </c>
      <c r="C7356" s="710" t="s">
        <v>7409</v>
      </c>
      <c r="D7356" s="709" t="s">
        <v>159</v>
      </c>
      <c r="E7356" s="711">
        <v>0.59319999999999995</v>
      </c>
    </row>
    <row r="7357" spans="1:5" x14ac:dyDescent="0.3">
      <c r="A7357" s="397"/>
      <c r="B7357" s="709">
        <v>91181</v>
      </c>
      <c r="C7357" s="710" t="s">
        <v>7410</v>
      </c>
      <c r="D7357" s="709" t="s">
        <v>159</v>
      </c>
      <c r="E7357" s="711">
        <v>0.60260000000000002</v>
      </c>
    </row>
    <row r="7358" spans="1:5" x14ac:dyDescent="0.3">
      <c r="A7358" s="397"/>
      <c r="B7358" s="709">
        <v>91179</v>
      </c>
      <c r="C7358" s="710" t="s">
        <v>7411</v>
      </c>
      <c r="D7358" s="709" t="s">
        <v>159</v>
      </c>
      <c r="E7358" s="711">
        <v>0.58760000000000001</v>
      </c>
    </row>
    <row r="7359" spans="1:5" x14ac:dyDescent="0.3">
      <c r="A7359" s="397"/>
      <c r="B7359" s="709">
        <v>91174</v>
      </c>
      <c r="C7359" s="710" t="s">
        <v>7412</v>
      </c>
      <c r="D7359" s="709" t="s">
        <v>159</v>
      </c>
      <c r="E7359" s="711">
        <v>0.70269999999999999</v>
      </c>
    </row>
    <row r="7360" spans="1:5" x14ac:dyDescent="0.3">
      <c r="A7360" s="397"/>
      <c r="B7360" s="709">
        <v>91175</v>
      </c>
      <c r="C7360" s="710" t="s">
        <v>7413</v>
      </c>
      <c r="D7360" s="709" t="s">
        <v>159</v>
      </c>
      <c r="E7360" s="711">
        <v>0.65339999999999998</v>
      </c>
    </row>
    <row r="7361" spans="1:5" x14ac:dyDescent="0.3">
      <c r="A7361" s="397"/>
      <c r="B7361" s="709">
        <v>91173</v>
      </c>
      <c r="C7361" s="710" t="s">
        <v>7414</v>
      </c>
      <c r="D7361" s="709" t="s">
        <v>159</v>
      </c>
      <c r="E7361" s="711">
        <v>0.77070000000000005</v>
      </c>
    </row>
    <row r="7362" spans="1:5" x14ac:dyDescent="0.3">
      <c r="A7362" s="397"/>
      <c r="B7362" s="709">
        <v>104759</v>
      </c>
      <c r="C7362" s="710" t="s">
        <v>7415</v>
      </c>
      <c r="D7362" s="709" t="s">
        <v>136</v>
      </c>
      <c r="E7362" s="711">
        <v>1</v>
      </c>
    </row>
    <row r="7363" spans="1:5" x14ac:dyDescent="0.3">
      <c r="A7363" s="397"/>
      <c r="B7363" s="709">
        <v>104760</v>
      </c>
      <c r="C7363" s="710" t="s">
        <v>7416</v>
      </c>
      <c r="D7363" s="709" t="s">
        <v>136</v>
      </c>
      <c r="E7363" s="711">
        <v>1</v>
      </c>
    </row>
    <row r="7364" spans="1:5" x14ac:dyDescent="0.3">
      <c r="A7364" s="397"/>
      <c r="B7364" s="709">
        <v>104758</v>
      </c>
      <c r="C7364" s="710" t="s">
        <v>7417</v>
      </c>
      <c r="D7364" s="709" t="s">
        <v>136</v>
      </c>
      <c r="E7364" s="711">
        <v>1</v>
      </c>
    </row>
    <row r="7365" spans="1:5" x14ac:dyDescent="0.3">
      <c r="A7365" s="397"/>
      <c r="B7365" s="709">
        <v>90437</v>
      </c>
      <c r="C7365" s="710" t="s">
        <v>7418</v>
      </c>
      <c r="D7365" s="709" t="s">
        <v>136</v>
      </c>
      <c r="E7365" s="711">
        <v>1</v>
      </c>
    </row>
    <row r="7366" spans="1:5" x14ac:dyDescent="0.3">
      <c r="A7366" s="397"/>
      <c r="B7366" s="709">
        <v>90438</v>
      </c>
      <c r="C7366" s="710" t="s">
        <v>7419</v>
      </c>
      <c r="D7366" s="709" t="s">
        <v>136</v>
      </c>
      <c r="E7366" s="711">
        <v>1</v>
      </c>
    </row>
    <row r="7367" spans="1:5" x14ac:dyDescent="0.3">
      <c r="A7367" s="397"/>
      <c r="B7367" s="709">
        <v>90436</v>
      </c>
      <c r="C7367" s="710" t="s">
        <v>7420</v>
      </c>
      <c r="D7367" s="709" t="s">
        <v>136</v>
      </c>
      <c r="E7367" s="711">
        <v>1</v>
      </c>
    </row>
    <row r="7368" spans="1:5" x14ac:dyDescent="0.3">
      <c r="A7368" s="397"/>
      <c r="B7368" s="709">
        <v>104770</v>
      </c>
      <c r="C7368" s="710" t="s">
        <v>7421</v>
      </c>
      <c r="D7368" s="709" t="s">
        <v>136</v>
      </c>
      <c r="E7368" s="711">
        <v>1</v>
      </c>
    </row>
    <row r="7369" spans="1:5" x14ac:dyDescent="0.3">
      <c r="A7369" s="397"/>
      <c r="B7369" s="709">
        <v>104772</v>
      </c>
      <c r="C7369" s="710" t="s">
        <v>7422</v>
      </c>
      <c r="D7369" s="709" t="s">
        <v>136</v>
      </c>
      <c r="E7369" s="711">
        <v>1</v>
      </c>
    </row>
    <row r="7370" spans="1:5" x14ac:dyDescent="0.3">
      <c r="A7370" s="397"/>
      <c r="B7370" s="709">
        <v>104768</v>
      </c>
      <c r="C7370" s="710" t="s">
        <v>7423</v>
      </c>
      <c r="D7370" s="709" t="s">
        <v>136</v>
      </c>
      <c r="E7370" s="711">
        <v>1</v>
      </c>
    </row>
    <row r="7371" spans="1:5" x14ac:dyDescent="0.3">
      <c r="A7371" s="397"/>
      <c r="B7371" s="709">
        <v>104769</v>
      </c>
      <c r="C7371" s="710" t="s">
        <v>7424</v>
      </c>
      <c r="D7371" s="709" t="s">
        <v>136</v>
      </c>
      <c r="E7371" s="711">
        <v>1</v>
      </c>
    </row>
    <row r="7372" spans="1:5" x14ac:dyDescent="0.3">
      <c r="A7372" s="397"/>
      <c r="B7372" s="709">
        <v>104771</v>
      </c>
      <c r="C7372" s="710" t="s">
        <v>7425</v>
      </c>
      <c r="D7372" s="709" t="s">
        <v>136</v>
      </c>
      <c r="E7372" s="711">
        <v>1</v>
      </c>
    </row>
    <row r="7373" spans="1:5" x14ac:dyDescent="0.3">
      <c r="A7373" s="397"/>
      <c r="B7373" s="709">
        <v>104767</v>
      </c>
      <c r="C7373" s="710" t="s">
        <v>7426</v>
      </c>
      <c r="D7373" s="709" t="s">
        <v>136</v>
      </c>
      <c r="E7373" s="711">
        <v>1</v>
      </c>
    </row>
    <row r="7374" spans="1:5" x14ac:dyDescent="0.3">
      <c r="A7374" s="397"/>
      <c r="B7374" s="709">
        <v>104762</v>
      </c>
      <c r="C7374" s="710" t="s">
        <v>7427</v>
      </c>
      <c r="D7374" s="709" t="s">
        <v>136</v>
      </c>
      <c r="E7374" s="711">
        <v>0.95550000000000002</v>
      </c>
    </row>
    <row r="7375" spans="1:5" x14ac:dyDescent="0.3">
      <c r="A7375" s="397"/>
      <c r="B7375" s="709">
        <v>104763</v>
      </c>
      <c r="C7375" s="710" t="s">
        <v>7428</v>
      </c>
      <c r="D7375" s="709" t="s">
        <v>136</v>
      </c>
      <c r="E7375" s="711">
        <v>0.95530000000000004</v>
      </c>
    </row>
    <row r="7376" spans="1:5" x14ac:dyDescent="0.3">
      <c r="A7376" s="397"/>
      <c r="B7376" s="709">
        <v>104761</v>
      </c>
      <c r="C7376" s="710" t="s">
        <v>7429</v>
      </c>
      <c r="D7376" s="709" t="s">
        <v>136</v>
      </c>
      <c r="E7376" s="711">
        <v>0.9556</v>
      </c>
    </row>
    <row r="7377" spans="1:5" x14ac:dyDescent="0.3">
      <c r="A7377" s="397"/>
      <c r="B7377" s="709">
        <v>90440</v>
      </c>
      <c r="C7377" s="710" t="s">
        <v>7430</v>
      </c>
      <c r="D7377" s="709" t="s">
        <v>136</v>
      </c>
      <c r="E7377" s="711">
        <v>0.95520000000000005</v>
      </c>
    </row>
    <row r="7378" spans="1:5" x14ac:dyDescent="0.3">
      <c r="A7378" s="397"/>
      <c r="B7378" s="709">
        <v>90441</v>
      </c>
      <c r="C7378" s="710" t="s">
        <v>7431</v>
      </c>
      <c r="D7378" s="709" t="s">
        <v>136</v>
      </c>
      <c r="E7378" s="711">
        <v>0.95499999999999996</v>
      </c>
    </row>
    <row r="7379" spans="1:5" x14ac:dyDescent="0.3">
      <c r="A7379" s="397"/>
      <c r="B7379" s="709">
        <v>90439</v>
      </c>
      <c r="C7379" s="710" t="s">
        <v>7432</v>
      </c>
      <c r="D7379" s="709" t="s">
        <v>136</v>
      </c>
      <c r="E7379" s="711">
        <v>0.95530000000000004</v>
      </c>
    </row>
    <row r="7380" spans="1:5" x14ac:dyDescent="0.3">
      <c r="A7380" s="397"/>
      <c r="B7380" s="709">
        <v>104776</v>
      </c>
      <c r="C7380" s="710" t="s">
        <v>7433</v>
      </c>
      <c r="D7380" s="709" t="s">
        <v>136</v>
      </c>
      <c r="E7380" s="711">
        <v>0.87629999999999997</v>
      </c>
    </row>
    <row r="7381" spans="1:5" x14ac:dyDescent="0.3">
      <c r="A7381" s="397"/>
      <c r="B7381" s="709">
        <v>104778</v>
      </c>
      <c r="C7381" s="710" t="s">
        <v>7434</v>
      </c>
      <c r="D7381" s="709" t="s">
        <v>136</v>
      </c>
      <c r="E7381" s="711">
        <v>0.87670000000000003</v>
      </c>
    </row>
    <row r="7382" spans="1:5" x14ac:dyDescent="0.3">
      <c r="A7382" s="397"/>
      <c r="B7382" s="709">
        <v>104774</v>
      </c>
      <c r="C7382" s="710" t="s">
        <v>7435</v>
      </c>
      <c r="D7382" s="709" t="s">
        <v>136</v>
      </c>
      <c r="E7382" s="711">
        <v>0.87980000000000003</v>
      </c>
    </row>
    <row r="7383" spans="1:5" x14ac:dyDescent="0.3">
      <c r="A7383" s="397"/>
      <c r="B7383" s="709">
        <v>104775</v>
      </c>
      <c r="C7383" s="710" t="s">
        <v>7436</v>
      </c>
      <c r="D7383" s="709" t="s">
        <v>136</v>
      </c>
      <c r="E7383" s="711">
        <v>0.87180000000000002</v>
      </c>
    </row>
    <row r="7384" spans="1:5" x14ac:dyDescent="0.3">
      <c r="A7384" s="397"/>
      <c r="B7384" s="709">
        <v>104777</v>
      </c>
      <c r="C7384" s="710" t="s">
        <v>7437</v>
      </c>
      <c r="D7384" s="709" t="s">
        <v>136</v>
      </c>
      <c r="E7384" s="711">
        <v>0.87239999999999995</v>
      </c>
    </row>
    <row r="7385" spans="1:5" x14ac:dyDescent="0.3">
      <c r="A7385" s="397"/>
      <c r="B7385" s="709">
        <v>104773</v>
      </c>
      <c r="C7385" s="710" t="s">
        <v>7438</v>
      </c>
      <c r="D7385" s="709" t="s">
        <v>136</v>
      </c>
      <c r="E7385" s="711">
        <v>0.876</v>
      </c>
    </row>
    <row r="7386" spans="1:5" x14ac:dyDescent="0.3">
      <c r="A7386" s="397"/>
      <c r="B7386" s="709">
        <v>104782</v>
      </c>
      <c r="C7386" s="710" t="s">
        <v>7439</v>
      </c>
      <c r="D7386" s="709" t="s">
        <v>136</v>
      </c>
      <c r="E7386" s="711">
        <v>0.10059999999999999</v>
      </c>
    </row>
    <row r="7387" spans="1:5" x14ac:dyDescent="0.3">
      <c r="A7387" s="397"/>
      <c r="B7387" s="709">
        <v>90451</v>
      </c>
      <c r="C7387" s="710" t="s">
        <v>7440</v>
      </c>
      <c r="D7387" s="709" t="s">
        <v>136</v>
      </c>
      <c r="E7387" s="711">
        <v>0.65029999999999999</v>
      </c>
    </row>
    <row r="7388" spans="1:5" x14ac:dyDescent="0.3">
      <c r="A7388" s="397"/>
      <c r="B7388" s="709">
        <v>90452</v>
      </c>
      <c r="C7388" s="710" t="s">
        <v>7441</v>
      </c>
      <c r="D7388" s="709" t="s">
        <v>136</v>
      </c>
      <c r="E7388" s="711">
        <v>0.29110000000000003</v>
      </c>
    </row>
    <row r="7389" spans="1:5" x14ac:dyDescent="0.3">
      <c r="A7389" s="397"/>
      <c r="B7389" s="709">
        <v>90455</v>
      </c>
      <c r="C7389" s="710" t="s">
        <v>7442</v>
      </c>
      <c r="D7389" s="709" t="s">
        <v>136</v>
      </c>
      <c r="E7389" s="711">
        <v>0.62309999999999999</v>
      </c>
    </row>
    <row r="7390" spans="1:5" x14ac:dyDescent="0.3">
      <c r="A7390" s="397"/>
      <c r="B7390" s="709">
        <v>104784</v>
      </c>
      <c r="C7390" s="710" t="s">
        <v>7443</v>
      </c>
      <c r="D7390" s="709" t="s">
        <v>136</v>
      </c>
      <c r="E7390" s="711">
        <v>0.49390000000000001</v>
      </c>
    </row>
    <row r="7391" spans="1:5" x14ac:dyDescent="0.3">
      <c r="A7391" s="397"/>
      <c r="B7391" s="709">
        <v>90453</v>
      </c>
      <c r="C7391" s="710" t="s">
        <v>7444</v>
      </c>
      <c r="D7391" s="709" t="s">
        <v>136</v>
      </c>
      <c r="E7391" s="711">
        <v>0.58740000000000003</v>
      </c>
    </row>
    <row r="7392" spans="1:5" x14ac:dyDescent="0.3">
      <c r="A7392" s="397"/>
      <c r="B7392" s="709">
        <v>104783</v>
      </c>
      <c r="C7392" s="710" t="s">
        <v>7445</v>
      </c>
      <c r="D7392" s="709" t="s">
        <v>136</v>
      </c>
      <c r="E7392" s="711">
        <v>0.53469999999999995</v>
      </c>
    </row>
    <row r="7393" spans="1:5" x14ac:dyDescent="0.3">
      <c r="A7393" s="397"/>
      <c r="B7393" s="709">
        <v>90454</v>
      </c>
      <c r="C7393" s="710" t="s">
        <v>7446</v>
      </c>
      <c r="D7393" s="709" t="s">
        <v>136</v>
      </c>
      <c r="E7393" s="711">
        <v>0.54359999999999997</v>
      </c>
    </row>
    <row r="7394" spans="1:5" x14ac:dyDescent="0.3">
      <c r="A7394" s="397"/>
      <c r="B7394" s="709">
        <v>90459</v>
      </c>
      <c r="C7394" s="710" t="s">
        <v>7447</v>
      </c>
      <c r="D7394" s="709" t="s">
        <v>136</v>
      </c>
      <c r="E7394" s="711">
        <v>1</v>
      </c>
    </row>
    <row r="7395" spans="1:5" x14ac:dyDescent="0.3">
      <c r="A7395" s="397"/>
      <c r="B7395" s="709">
        <v>90456</v>
      </c>
      <c r="C7395" s="710" t="s">
        <v>7448</v>
      </c>
      <c r="D7395" s="709" t="s">
        <v>136</v>
      </c>
      <c r="E7395" s="711">
        <v>1</v>
      </c>
    </row>
    <row r="7396" spans="1:5" x14ac:dyDescent="0.3">
      <c r="A7396" s="397"/>
      <c r="B7396" s="709">
        <v>90458</v>
      </c>
      <c r="C7396" s="710" t="s">
        <v>7449</v>
      </c>
      <c r="D7396" s="709" t="s">
        <v>136</v>
      </c>
      <c r="E7396" s="711">
        <v>1</v>
      </c>
    </row>
    <row r="7397" spans="1:5" x14ac:dyDescent="0.3">
      <c r="A7397" s="397"/>
      <c r="B7397" s="709">
        <v>90457</v>
      </c>
      <c r="C7397" s="710" t="s">
        <v>7450</v>
      </c>
      <c r="D7397" s="709" t="s">
        <v>136</v>
      </c>
      <c r="E7397" s="711">
        <v>1</v>
      </c>
    </row>
    <row r="7398" spans="1:5" x14ac:dyDescent="0.3">
      <c r="A7398" s="397"/>
      <c r="B7398" s="709">
        <v>90447</v>
      </c>
      <c r="C7398" s="710" t="s">
        <v>7451</v>
      </c>
      <c r="D7398" s="709" t="s">
        <v>159</v>
      </c>
      <c r="E7398" s="711">
        <v>1</v>
      </c>
    </row>
    <row r="7399" spans="1:5" x14ac:dyDescent="0.3">
      <c r="A7399" s="397"/>
      <c r="B7399" s="709">
        <v>91222</v>
      </c>
      <c r="C7399" s="710" t="s">
        <v>7452</v>
      </c>
      <c r="D7399" s="709" t="s">
        <v>159</v>
      </c>
      <c r="E7399" s="711">
        <v>1</v>
      </c>
    </row>
    <row r="7400" spans="1:5" x14ac:dyDescent="0.3">
      <c r="A7400" s="397"/>
      <c r="B7400" s="709">
        <v>90443</v>
      </c>
      <c r="C7400" s="710" t="s">
        <v>7453</v>
      </c>
      <c r="D7400" s="709" t="s">
        <v>159</v>
      </c>
      <c r="E7400" s="711">
        <v>1</v>
      </c>
    </row>
    <row r="7401" spans="1:5" x14ac:dyDescent="0.3">
      <c r="A7401" s="397"/>
      <c r="B7401" s="709">
        <v>104780</v>
      </c>
      <c r="C7401" s="710" t="s">
        <v>7454</v>
      </c>
      <c r="D7401" s="709" t="s">
        <v>159</v>
      </c>
      <c r="E7401" s="711">
        <v>0.9879</v>
      </c>
    </row>
    <row r="7402" spans="1:5" x14ac:dyDescent="0.3">
      <c r="A7402" s="397"/>
      <c r="B7402" s="709">
        <v>104781</v>
      </c>
      <c r="C7402" s="710" t="s">
        <v>7455</v>
      </c>
      <c r="D7402" s="709" t="s">
        <v>159</v>
      </c>
      <c r="E7402" s="711">
        <v>0.98709999999999998</v>
      </c>
    </row>
    <row r="7403" spans="1:5" x14ac:dyDescent="0.3">
      <c r="A7403" s="397"/>
      <c r="B7403" s="709">
        <v>104779</v>
      </c>
      <c r="C7403" s="710" t="s">
        <v>7456</v>
      </c>
      <c r="D7403" s="709" t="s">
        <v>159</v>
      </c>
      <c r="E7403" s="711">
        <v>0.98780000000000001</v>
      </c>
    </row>
    <row r="7404" spans="1:5" x14ac:dyDescent="0.3">
      <c r="A7404" s="397"/>
      <c r="B7404" s="709">
        <v>104787</v>
      </c>
      <c r="C7404" s="710" t="s">
        <v>7457</v>
      </c>
      <c r="D7404" s="709" t="s">
        <v>159</v>
      </c>
      <c r="E7404" s="711">
        <v>0.95520000000000005</v>
      </c>
    </row>
    <row r="7405" spans="1:5" x14ac:dyDescent="0.3">
      <c r="A7405" s="397"/>
      <c r="B7405" s="709">
        <v>104788</v>
      </c>
      <c r="C7405" s="710" t="s">
        <v>7458</v>
      </c>
      <c r="D7405" s="709" t="s">
        <v>159</v>
      </c>
      <c r="E7405" s="711">
        <v>0.95520000000000005</v>
      </c>
    </row>
    <row r="7406" spans="1:5" x14ac:dyDescent="0.3">
      <c r="A7406" s="397"/>
      <c r="B7406" s="709">
        <v>104786</v>
      </c>
      <c r="C7406" s="710" t="s">
        <v>7459</v>
      </c>
      <c r="D7406" s="709" t="s">
        <v>159</v>
      </c>
      <c r="E7406" s="711">
        <v>0.95479999999999998</v>
      </c>
    </row>
    <row r="7407" spans="1:5" x14ac:dyDescent="0.3">
      <c r="A7407" s="397"/>
      <c r="B7407" s="709">
        <v>90445</v>
      </c>
      <c r="C7407" s="710" t="s">
        <v>7460</v>
      </c>
      <c r="D7407" s="709" t="s">
        <v>159</v>
      </c>
      <c r="E7407" s="711">
        <v>0.97460000000000002</v>
      </c>
    </row>
    <row r="7408" spans="1:5" x14ac:dyDescent="0.3">
      <c r="A7408" s="397"/>
      <c r="B7408" s="709">
        <v>90446</v>
      </c>
      <c r="C7408" s="710" t="s">
        <v>7461</v>
      </c>
      <c r="D7408" s="709" t="s">
        <v>159</v>
      </c>
      <c r="E7408" s="711">
        <v>0.97450000000000003</v>
      </c>
    </row>
    <row r="7409" spans="1:5" x14ac:dyDescent="0.3">
      <c r="A7409" s="397"/>
      <c r="B7409" s="709">
        <v>90444</v>
      </c>
      <c r="C7409" s="710" t="s">
        <v>7462</v>
      </c>
      <c r="D7409" s="709" t="s">
        <v>159</v>
      </c>
      <c r="E7409" s="711">
        <v>0.97450000000000003</v>
      </c>
    </row>
    <row r="7410" spans="1:5" x14ac:dyDescent="0.3">
      <c r="A7410" s="397"/>
      <c r="B7410" s="709">
        <v>104764</v>
      </c>
      <c r="C7410" s="710" t="s">
        <v>7463</v>
      </c>
      <c r="D7410" s="709" t="s">
        <v>159</v>
      </c>
      <c r="E7410" s="711">
        <v>0.4723</v>
      </c>
    </row>
    <row r="7411" spans="1:5" x14ac:dyDescent="0.3">
      <c r="A7411" s="397"/>
      <c r="B7411" s="709">
        <v>90460</v>
      </c>
      <c r="C7411" s="710" t="s">
        <v>7464</v>
      </c>
      <c r="D7411" s="709" t="s">
        <v>159</v>
      </c>
      <c r="E7411" s="711">
        <v>0.37559999999999999</v>
      </c>
    </row>
    <row r="7412" spans="1:5" x14ac:dyDescent="0.3">
      <c r="A7412" s="397"/>
      <c r="B7412" s="709">
        <v>90462</v>
      </c>
      <c r="C7412" s="710" t="s">
        <v>7465</v>
      </c>
      <c r="D7412" s="709" t="s">
        <v>159</v>
      </c>
      <c r="E7412" s="711">
        <v>0.39179999999999998</v>
      </c>
    </row>
    <row r="7413" spans="1:5" x14ac:dyDescent="0.3">
      <c r="A7413" s="397"/>
      <c r="B7413" s="709">
        <v>104765</v>
      </c>
      <c r="C7413" s="710" t="s">
        <v>7466</v>
      </c>
      <c r="D7413" s="709" t="s">
        <v>159</v>
      </c>
      <c r="E7413" s="711">
        <v>0.65659999999999996</v>
      </c>
    </row>
    <row r="7414" spans="1:5" x14ac:dyDescent="0.3">
      <c r="A7414" s="397"/>
      <c r="B7414" s="709">
        <v>90461</v>
      </c>
      <c r="C7414" s="710" t="s">
        <v>7467</v>
      </c>
      <c r="D7414" s="709" t="s">
        <v>159</v>
      </c>
      <c r="E7414" s="711">
        <v>0.56299999999999994</v>
      </c>
    </row>
    <row r="7415" spans="1:5" x14ac:dyDescent="0.3">
      <c r="A7415" s="397"/>
      <c r="B7415" s="709">
        <v>90463</v>
      </c>
      <c r="C7415" s="710" t="s">
        <v>7468</v>
      </c>
      <c r="D7415" s="709" t="s">
        <v>159</v>
      </c>
      <c r="E7415" s="711">
        <v>0.51700000000000002</v>
      </c>
    </row>
    <row r="7416" spans="1:5" x14ac:dyDescent="0.3">
      <c r="A7416" s="397"/>
      <c r="B7416" s="709">
        <v>96560</v>
      </c>
      <c r="C7416" s="710" t="s">
        <v>7469</v>
      </c>
      <c r="D7416" s="709" t="s">
        <v>168</v>
      </c>
      <c r="E7416" s="711">
        <v>0.52359999999999995</v>
      </c>
    </row>
    <row r="7417" spans="1:5" x14ac:dyDescent="0.3">
      <c r="A7417" s="397"/>
      <c r="B7417" s="709">
        <v>96559</v>
      </c>
      <c r="C7417" s="710" t="s">
        <v>7470</v>
      </c>
      <c r="D7417" s="709" t="s">
        <v>168</v>
      </c>
      <c r="E7417" s="711">
        <v>0.35239999999999999</v>
      </c>
    </row>
    <row r="7418" spans="1:5" x14ac:dyDescent="0.3">
      <c r="A7418" s="397"/>
      <c r="B7418" s="709">
        <v>96562</v>
      </c>
      <c r="C7418" s="710" t="s">
        <v>7471</v>
      </c>
      <c r="D7418" s="709" t="s">
        <v>159</v>
      </c>
      <c r="E7418" s="711">
        <v>0.53480000000000005</v>
      </c>
    </row>
    <row r="7419" spans="1:5" x14ac:dyDescent="0.3">
      <c r="A7419" s="397"/>
      <c r="B7419" s="709">
        <v>96563</v>
      </c>
      <c r="C7419" s="710" t="s">
        <v>7472</v>
      </c>
      <c r="D7419" s="709" t="s">
        <v>159</v>
      </c>
      <c r="E7419" s="711">
        <v>0.47470000000000001</v>
      </c>
    </row>
    <row r="7420" spans="1:5" x14ac:dyDescent="0.3">
      <c r="A7420" s="397"/>
      <c r="B7420" s="709">
        <v>101870</v>
      </c>
      <c r="C7420" s="710" t="s">
        <v>7479</v>
      </c>
      <c r="D7420" s="709" t="s">
        <v>168</v>
      </c>
      <c r="E7420" s="711">
        <v>0.8488</v>
      </c>
    </row>
    <row r="7421" spans="1:5" x14ac:dyDescent="0.3">
      <c r="A7421" s="397"/>
      <c r="B7421" s="709">
        <v>101866</v>
      </c>
      <c r="C7421" s="710" t="s">
        <v>7480</v>
      </c>
      <c r="D7421" s="709" t="s">
        <v>168</v>
      </c>
      <c r="E7421" s="711">
        <v>0.82430000000000003</v>
      </c>
    </row>
    <row r="7422" spans="1:5" x14ac:dyDescent="0.3">
      <c r="A7422" s="397"/>
      <c r="B7422" s="709">
        <v>101867</v>
      </c>
      <c r="C7422" s="710" t="s">
        <v>7481</v>
      </c>
      <c r="D7422" s="709" t="s">
        <v>168</v>
      </c>
      <c r="E7422" s="711">
        <v>0.84419999999999995</v>
      </c>
    </row>
    <row r="7423" spans="1:5" x14ac:dyDescent="0.3">
      <c r="A7423" s="397"/>
      <c r="B7423" s="709">
        <v>101868</v>
      </c>
      <c r="C7423" s="710" t="s">
        <v>7482</v>
      </c>
      <c r="D7423" s="709" t="s">
        <v>168</v>
      </c>
      <c r="E7423" s="711">
        <v>0.80559999999999998</v>
      </c>
    </row>
    <row r="7424" spans="1:5" x14ac:dyDescent="0.3">
      <c r="A7424" s="397"/>
      <c r="B7424" s="709">
        <v>101869</v>
      </c>
      <c r="C7424" s="710" t="s">
        <v>7483</v>
      </c>
      <c r="D7424" s="709" t="s">
        <v>168</v>
      </c>
      <c r="E7424" s="711">
        <v>0.83030000000000004</v>
      </c>
    </row>
    <row r="7425" spans="1:5" x14ac:dyDescent="0.3">
      <c r="A7425" s="397"/>
      <c r="B7425" s="709">
        <v>101856</v>
      </c>
      <c r="C7425" s="710" t="s">
        <v>7484</v>
      </c>
      <c r="D7425" s="709" t="s">
        <v>168</v>
      </c>
      <c r="E7425" s="711">
        <v>0.78639999999999999</v>
      </c>
    </row>
    <row r="7426" spans="1:5" x14ac:dyDescent="0.3">
      <c r="A7426" s="397"/>
      <c r="B7426" s="709">
        <v>101865</v>
      </c>
      <c r="C7426" s="710" t="s">
        <v>7485</v>
      </c>
      <c r="D7426" s="709" t="s">
        <v>168</v>
      </c>
      <c r="E7426" s="711">
        <v>0.84160000000000001</v>
      </c>
    </row>
    <row r="7427" spans="1:5" x14ac:dyDescent="0.3">
      <c r="A7427" s="397"/>
      <c r="B7427" s="709">
        <v>101861</v>
      </c>
      <c r="C7427" s="710" t="s">
        <v>7486</v>
      </c>
      <c r="D7427" s="709" t="s">
        <v>168</v>
      </c>
      <c r="E7427" s="711">
        <v>0.82310000000000005</v>
      </c>
    </row>
    <row r="7428" spans="1:5" x14ac:dyDescent="0.3">
      <c r="A7428" s="397"/>
      <c r="B7428" s="709">
        <v>101862</v>
      </c>
      <c r="C7428" s="710" t="s">
        <v>7487</v>
      </c>
      <c r="D7428" s="709" t="s">
        <v>168</v>
      </c>
      <c r="E7428" s="711">
        <v>0.83650000000000002</v>
      </c>
    </row>
    <row r="7429" spans="1:5" x14ac:dyDescent="0.3">
      <c r="A7429" s="397"/>
      <c r="B7429" s="709">
        <v>101863</v>
      </c>
      <c r="C7429" s="710" t="s">
        <v>7488</v>
      </c>
      <c r="D7429" s="709" t="s">
        <v>168</v>
      </c>
      <c r="E7429" s="711">
        <v>0.79349999999999998</v>
      </c>
    </row>
    <row r="7430" spans="1:5" x14ac:dyDescent="0.3">
      <c r="A7430" s="397"/>
      <c r="B7430" s="709">
        <v>101864</v>
      </c>
      <c r="C7430" s="710" t="s">
        <v>7489</v>
      </c>
      <c r="D7430" s="709" t="s">
        <v>168</v>
      </c>
      <c r="E7430" s="711">
        <v>0.82099999999999995</v>
      </c>
    </row>
    <row r="7431" spans="1:5" x14ac:dyDescent="0.3">
      <c r="A7431" s="397"/>
      <c r="B7431" s="709">
        <v>101860</v>
      </c>
      <c r="C7431" s="710" t="s">
        <v>7490</v>
      </c>
      <c r="D7431" s="709" t="s">
        <v>168</v>
      </c>
      <c r="E7431" s="711">
        <v>0.8327</v>
      </c>
    </row>
    <row r="7432" spans="1:5" x14ac:dyDescent="0.3">
      <c r="A7432" s="397"/>
      <c r="B7432" s="709">
        <v>101857</v>
      </c>
      <c r="C7432" s="710" t="s">
        <v>7491</v>
      </c>
      <c r="D7432" s="709" t="s">
        <v>168</v>
      </c>
      <c r="E7432" s="711">
        <v>0.82750000000000001</v>
      </c>
    </row>
    <row r="7433" spans="1:5" x14ac:dyDescent="0.3">
      <c r="A7433" s="397"/>
      <c r="B7433" s="709">
        <v>101858</v>
      </c>
      <c r="C7433" s="710" t="s">
        <v>7492</v>
      </c>
      <c r="D7433" s="709" t="s">
        <v>168</v>
      </c>
      <c r="E7433" s="711">
        <v>0.79049999999999998</v>
      </c>
    </row>
    <row r="7434" spans="1:5" x14ac:dyDescent="0.3">
      <c r="A7434" s="397"/>
      <c r="B7434" s="709">
        <v>101859</v>
      </c>
      <c r="C7434" s="710" t="s">
        <v>7493</v>
      </c>
      <c r="D7434" s="709" t="s">
        <v>168</v>
      </c>
      <c r="E7434" s="711">
        <v>0.8095</v>
      </c>
    </row>
    <row r="7435" spans="1:5" x14ac:dyDescent="0.3">
      <c r="A7435" s="397"/>
      <c r="B7435" s="709">
        <v>101852</v>
      </c>
      <c r="C7435" s="710" t="s">
        <v>7494</v>
      </c>
      <c r="D7435" s="709" t="s">
        <v>168</v>
      </c>
      <c r="E7435" s="711">
        <v>0.60389999999999999</v>
      </c>
    </row>
    <row r="7436" spans="1:5" x14ac:dyDescent="0.3">
      <c r="A7436" s="397"/>
      <c r="B7436" s="709">
        <v>101850</v>
      </c>
      <c r="C7436" s="710" t="s">
        <v>7496</v>
      </c>
      <c r="D7436" s="709" t="s">
        <v>168</v>
      </c>
      <c r="E7436" s="711">
        <v>0.65569999999999995</v>
      </c>
    </row>
    <row r="7437" spans="1:5" x14ac:dyDescent="0.3">
      <c r="A7437" s="397"/>
      <c r="B7437" s="709">
        <v>101855</v>
      </c>
      <c r="C7437" s="710" t="s">
        <v>7497</v>
      </c>
      <c r="D7437" s="709" t="s">
        <v>168</v>
      </c>
      <c r="E7437" s="711">
        <v>0.50600000000000001</v>
      </c>
    </row>
    <row r="7438" spans="1:5" x14ac:dyDescent="0.3">
      <c r="A7438" s="397"/>
      <c r="B7438" s="709">
        <v>101853</v>
      </c>
      <c r="C7438" s="710" t="s">
        <v>7499</v>
      </c>
      <c r="D7438" s="709" t="s">
        <v>168</v>
      </c>
      <c r="E7438" s="711">
        <v>0.60129999999999995</v>
      </c>
    </row>
    <row r="7439" spans="1:5" x14ac:dyDescent="0.3">
      <c r="A7439" s="397"/>
      <c r="B7439" s="709">
        <v>101849</v>
      </c>
      <c r="C7439" s="710" t="s">
        <v>7500</v>
      </c>
      <c r="D7439" s="709" t="s">
        <v>170</v>
      </c>
      <c r="E7439" s="711">
        <v>8.4199999999999997E-2</v>
      </c>
    </row>
    <row r="7440" spans="1:5" x14ac:dyDescent="0.3">
      <c r="A7440" s="397"/>
      <c r="B7440" s="709">
        <v>101841</v>
      </c>
      <c r="C7440" s="710" t="s">
        <v>7501</v>
      </c>
      <c r="D7440" s="709" t="s">
        <v>170</v>
      </c>
      <c r="E7440" s="711">
        <v>0.1067</v>
      </c>
    </row>
    <row r="7441" spans="1:5" x14ac:dyDescent="0.3">
      <c r="A7441" s="397"/>
      <c r="B7441" s="709">
        <v>101843</v>
      </c>
      <c r="C7441" s="710" t="s">
        <v>7502</v>
      </c>
      <c r="D7441" s="709" t="s">
        <v>170</v>
      </c>
      <c r="E7441" s="711">
        <v>6.08E-2</v>
      </c>
    </row>
    <row r="7442" spans="1:5" x14ac:dyDescent="0.3">
      <c r="A7442" s="397"/>
      <c r="B7442" s="709">
        <v>101844</v>
      </c>
      <c r="C7442" s="710" t="s">
        <v>7503</v>
      </c>
      <c r="D7442" s="709" t="s">
        <v>170</v>
      </c>
      <c r="E7442" s="711">
        <v>5.0599999999999999E-2</v>
      </c>
    </row>
    <row r="7443" spans="1:5" x14ac:dyDescent="0.3">
      <c r="A7443" s="397"/>
      <c r="B7443" s="709">
        <v>101845</v>
      </c>
      <c r="C7443" s="710" t="s">
        <v>7504</v>
      </c>
      <c r="D7443" s="709" t="s">
        <v>170</v>
      </c>
      <c r="E7443" s="711">
        <v>4.3400000000000001E-2</v>
      </c>
    </row>
    <row r="7444" spans="1:5" x14ac:dyDescent="0.3">
      <c r="A7444" s="397"/>
      <c r="B7444" s="709">
        <v>101842</v>
      </c>
      <c r="C7444" s="710" t="s">
        <v>7505</v>
      </c>
      <c r="D7444" s="709" t="s">
        <v>170</v>
      </c>
      <c r="E7444" s="711">
        <v>0.12189999999999999</v>
      </c>
    </row>
    <row r="7445" spans="1:5" x14ac:dyDescent="0.3">
      <c r="A7445" s="397"/>
      <c r="B7445" s="709">
        <v>101846</v>
      </c>
      <c r="C7445" s="710" t="s">
        <v>7506</v>
      </c>
      <c r="D7445" s="709" t="s">
        <v>170</v>
      </c>
      <c r="E7445" s="711">
        <v>6.5299999999999997E-2</v>
      </c>
    </row>
    <row r="7446" spans="1:5" x14ac:dyDescent="0.3">
      <c r="A7446" s="397"/>
      <c r="B7446" s="709">
        <v>101847</v>
      </c>
      <c r="C7446" s="710" t="s">
        <v>7507</v>
      </c>
      <c r="D7446" s="709" t="s">
        <v>170</v>
      </c>
      <c r="E7446" s="711">
        <v>5.3600000000000002E-2</v>
      </c>
    </row>
    <row r="7447" spans="1:5" x14ac:dyDescent="0.3">
      <c r="A7447" s="397"/>
      <c r="B7447" s="709">
        <v>101848</v>
      </c>
      <c r="C7447" s="710" t="s">
        <v>7508</v>
      </c>
      <c r="D7447" s="709" t="s">
        <v>170</v>
      </c>
      <c r="E7447" s="711">
        <v>4.5600000000000002E-2</v>
      </c>
    </row>
    <row r="7448" spans="1:5" x14ac:dyDescent="0.3">
      <c r="A7448" s="397"/>
      <c r="B7448" s="709">
        <v>101839</v>
      </c>
      <c r="C7448" s="710" t="s">
        <v>7509</v>
      </c>
      <c r="D7448" s="709" t="s">
        <v>170</v>
      </c>
      <c r="E7448" s="711">
        <v>7.5899999999999995E-2</v>
      </c>
    </row>
    <row r="7449" spans="1:5" x14ac:dyDescent="0.3">
      <c r="A7449" s="397"/>
      <c r="B7449" s="709">
        <v>101840</v>
      </c>
      <c r="C7449" s="710" t="s">
        <v>7510</v>
      </c>
      <c r="D7449" s="709" t="s">
        <v>170</v>
      </c>
      <c r="E7449" s="711">
        <v>0.15140000000000001</v>
      </c>
    </row>
    <row r="7450" spans="1:5" x14ac:dyDescent="0.3">
      <c r="A7450" s="397"/>
      <c r="B7450" s="709">
        <v>101837</v>
      </c>
      <c r="C7450" s="710" t="s">
        <v>7511</v>
      </c>
      <c r="D7450" s="709" t="s">
        <v>170</v>
      </c>
      <c r="E7450" s="711">
        <v>0.1623</v>
      </c>
    </row>
    <row r="7451" spans="1:5" x14ac:dyDescent="0.3">
      <c r="A7451" s="397"/>
      <c r="B7451" s="709">
        <v>101838</v>
      </c>
      <c r="C7451" s="710" t="s">
        <v>7512</v>
      </c>
      <c r="D7451" s="709" t="s">
        <v>170</v>
      </c>
      <c r="E7451" s="711">
        <v>0.10299999999999999</v>
      </c>
    </row>
    <row r="7452" spans="1:5" x14ac:dyDescent="0.3">
      <c r="A7452" s="397"/>
      <c r="B7452" s="709">
        <v>101836</v>
      </c>
      <c r="C7452" s="710" t="s">
        <v>7513</v>
      </c>
      <c r="D7452" s="709" t="s">
        <v>170</v>
      </c>
      <c r="E7452" s="711">
        <v>0.42530000000000001</v>
      </c>
    </row>
    <row r="7453" spans="1:5" x14ac:dyDescent="0.3">
      <c r="A7453" s="397"/>
      <c r="B7453" s="709">
        <v>101835</v>
      </c>
      <c r="C7453" s="710" t="s">
        <v>7514</v>
      </c>
      <c r="D7453" s="709" t="s">
        <v>170</v>
      </c>
      <c r="E7453" s="711">
        <v>0.47770000000000001</v>
      </c>
    </row>
    <row r="7454" spans="1:5" x14ac:dyDescent="0.3">
      <c r="A7454" s="397"/>
      <c r="B7454" s="709">
        <v>101827</v>
      </c>
      <c r="C7454" s="710" t="s">
        <v>7515</v>
      </c>
      <c r="D7454" s="709" t="s">
        <v>170</v>
      </c>
      <c r="E7454" s="711">
        <v>0.62590000000000001</v>
      </c>
    </row>
    <row r="7455" spans="1:5" x14ac:dyDescent="0.3">
      <c r="A7455" s="397"/>
      <c r="B7455" s="709">
        <v>101829</v>
      </c>
      <c r="C7455" s="710" t="s">
        <v>7516</v>
      </c>
      <c r="D7455" s="709" t="s">
        <v>170</v>
      </c>
      <c r="E7455" s="711">
        <v>0.4587</v>
      </c>
    </row>
    <row r="7456" spans="1:5" x14ac:dyDescent="0.3">
      <c r="A7456" s="397"/>
      <c r="B7456" s="709">
        <v>101830</v>
      </c>
      <c r="C7456" s="710" t="s">
        <v>7517</v>
      </c>
      <c r="D7456" s="709" t="s">
        <v>170</v>
      </c>
      <c r="E7456" s="711">
        <v>0.40770000000000001</v>
      </c>
    </row>
    <row r="7457" spans="1:5" x14ac:dyDescent="0.3">
      <c r="A7457" s="397"/>
      <c r="B7457" s="709">
        <v>101831</v>
      </c>
      <c r="C7457" s="710" t="s">
        <v>7518</v>
      </c>
      <c r="D7457" s="709" t="s">
        <v>170</v>
      </c>
      <c r="E7457" s="711">
        <v>0.3674</v>
      </c>
    </row>
    <row r="7458" spans="1:5" x14ac:dyDescent="0.3">
      <c r="A7458" s="397"/>
      <c r="B7458" s="709">
        <v>101828</v>
      </c>
      <c r="C7458" s="710" t="s">
        <v>7519</v>
      </c>
      <c r="D7458" s="709" t="s">
        <v>170</v>
      </c>
      <c r="E7458" s="711">
        <v>0.66600000000000004</v>
      </c>
    </row>
    <row r="7459" spans="1:5" x14ac:dyDescent="0.3">
      <c r="A7459" s="397"/>
      <c r="B7459" s="709">
        <v>101832</v>
      </c>
      <c r="C7459" s="710" t="s">
        <v>7520</v>
      </c>
      <c r="D7459" s="709" t="s">
        <v>170</v>
      </c>
      <c r="E7459" s="711">
        <v>0.47899999999999998</v>
      </c>
    </row>
    <row r="7460" spans="1:5" x14ac:dyDescent="0.3">
      <c r="A7460" s="397"/>
      <c r="B7460" s="709">
        <v>101833</v>
      </c>
      <c r="C7460" s="710" t="s">
        <v>7521</v>
      </c>
      <c r="D7460" s="709" t="s">
        <v>170</v>
      </c>
      <c r="E7460" s="711">
        <v>0.42330000000000001</v>
      </c>
    </row>
    <row r="7461" spans="1:5" x14ac:dyDescent="0.3">
      <c r="A7461" s="397"/>
      <c r="B7461" s="709">
        <v>101834</v>
      </c>
      <c r="C7461" s="710" t="s">
        <v>7522</v>
      </c>
      <c r="D7461" s="709" t="s">
        <v>170</v>
      </c>
      <c r="E7461" s="711">
        <v>0.37980000000000003</v>
      </c>
    </row>
    <row r="7462" spans="1:5" x14ac:dyDescent="0.3">
      <c r="A7462" s="397"/>
      <c r="B7462" s="709">
        <v>101825</v>
      </c>
      <c r="C7462" s="710" t="s">
        <v>7523</v>
      </c>
      <c r="D7462" s="709" t="s">
        <v>170</v>
      </c>
      <c r="E7462" s="711">
        <v>0.52359999999999995</v>
      </c>
    </row>
    <row r="7463" spans="1:5" x14ac:dyDescent="0.3">
      <c r="A7463" s="397"/>
      <c r="B7463" s="709">
        <v>101826</v>
      </c>
      <c r="C7463" s="710" t="s">
        <v>7524</v>
      </c>
      <c r="D7463" s="709" t="s">
        <v>170</v>
      </c>
      <c r="E7463" s="711">
        <v>0.45660000000000001</v>
      </c>
    </row>
    <row r="7464" spans="1:5" x14ac:dyDescent="0.3">
      <c r="A7464" s="397"/>
      <c r="B7464" s="709">
        <v>101823</v>
      </c>
      <c r="C7464" s="710" t="s">
        <v>7525</v>
      </c>
      <c r="D7464" s="709" t="s">
        <v>170</v>
      </c>
      <c r="E7464" s="711">
        <v>0.74990000000000001</v>
      </c>
    </row>
    <row r="7465" spans="1:5" x14ac:dyDescent="0.3">
      <c r="A7465" s="397"/>
      <c r="B7465" s="709">
        <v>101824</v>
      </c>
      <c r="C7465" s="710" t="s">
        <v>7526</v>
      </c>
      <c r="D7465" s="709" t="s">
        <v>170</v>
      </c>
      <c r="E7465" s="711">
        <v>0.61519999999999997</v>
      </c>
    </row>
    <row r="7466" spans="1:5" x14ac:dyDescent="0.3">
      <c r="A7466" s="397"/>
      <c r="B7466" s="709">
        <v>101822</v>
      </c>
      <c r="C7466" s="710" t="s">
        <v>7527</v>
      </c>
      <c r="D7466" s="709" t="s">
        <v>170</v>
      </c>
      <c r="E7466" s="711">
        <v>0.98040000000000005</v>
      </c>
    </row>
    <row r="7467" spans="1:5" x14ac:dyDescent="0.3">
      <c r="A7467" s="397"/>
      <c r="B7467" s="709">
        <v>101819</v>
      </c>
      <c r="C7467" s="710" t="s">
        <v>7528</v>
      </c>
      <c r="D7467" s="709" t="s">
        <v>168</v>
      </c>
      <c r="E7467" s="711">
        <v>0.68759999999999999</v>
      </c>
    </row>
    <row r="7468" spans="1:5" x14ac:dyDescent="0.3">
      <c r="A7468" s="397"/>
      <c r="B7468" s="709">
        <v>101817</v>
      </c>
      <c r="C7468" s="710" t="s">
        <v>7530</v>
      </c>
      <c r="D7468" s="709" t="s">
        <v>168</v>
      </c>
      <c r="E7468" s="711">
        <v>0.75829999999999997</v>
      </c>
    </row>
    <row r="7469" spans="1:5" x14ac:dyDescent="0.3">
      <c r="A7469" s="397"/>
      <c r="B7469" s="709">
        <v>101816</v>
      </c>
      <c r="C7469" s="710" t="s">
        <v>7531</v>
      </c>
      <c r="D7469" s="709" t="s">
        <v>168</v>
      </c>
      <c r="E7469" s="711">
        <v>0.56279999999999997</v>
      </c>
    </row>
    <row r="7470" spans="1:5" x14ac:dyDescent="0.3">
      <c r="A7470" s="397"/>
      <c r="B7470" s="709">
        <v>101820</v>
      </c>
      <c r="C7470" s="710" t="s">
        <v>7533</v>
      </c>
      <c r="D7470" s="709" t="s">
        <v>168</v>
      </c>
      <c r="E7470" s="711">
        <v>0.86419999999999997</v>
      </c>
    </row>
    <row r="7471" spans="1:5" x14ac:dyDescent="0.3">
      <c r="A7471" s="397"/>
      <c r="B7471" s="709">
        <v>102988</v>
      </c>
      <c r="C7471" s="710" t="s">
        <v>7534</v>
      </c>
      <c r="D7471" s="709" t="s">
        <v>168</v>
      </c>
      <c r="E7471" s="711">
        <v>0.89670000000000005</v>
      </c>
    </row>
    <row r="7472" spans="1:5" x14ac:dyDescent="0.3">
      <c r="A7472" s="397"/>
      <c r="B7472" s="709">
        <v>101814</v>
      </c>
      <c r="C7472" s="710" t="s">
        <v>7535</v>
      </c>
      <c r="D7472" s="709" t="s">
        <v>168</v>
      </c>
      <c r="E7472" s="711">
        <v>0.68979999999999997</v>
      </c>
    </row>
    <row r="7473" spans="1:5" x14ac:dyDescent="0.3">
      <c r="A7473" s="397"/>
      <c r="B7473" s="709">
        <v>102098</v>
      </c>
      <c r="C7473" s="710" t="s">
        <v>7536</v>
      </c>
      <c r="D7473" s="709" t="s">
        <v>170</v>
      </c>
      <c r="E7473" s="711">
        <v>0.1208</v>
      </c>
    </row>
    <row r="7474" spans="1:5" x14ac:dyDescent="0.3">
      <c r="A7474" s="397"/>
      <c r="B7474" s="709">
        <v>92994</v>
      </c>
      <c r="C7474" s="710" t="s">
        <v>7540</v>
      </c>
      <c r="D7474" s="709" t="s">
        <v>159</v>
      </c>
      <c r="E7474" s="711">
        <v>5.8000000000000003E-2</v>
      </c>
    </row>
    <row r="7475" spans="1:5" x14ac:dyDescent="0.3">
      <c r="A7475" s="397"/>
      <c r="B7475" s="709">
        <v>92996</v>
      </c>
      <c r="C7475" s="710" t="s">
        <v>7541</v>
      </c>
      <c r="D7475" s="709" t="s">
        <v>159</v>
      </c>
      <c r="E7475" s="711">
        <v>5.67E-2</v>
      </c>
    </row>
    <row r="7476" spans="1:5" x14ac:dyDescent="0.3">
      <c r="A7476" s="397"/>
      <c r="B7476" s="709">
        <v>92998</v>
      </c>
      <c r="C7476" s="710" t="s">
        <v>7542</v>
      </c>
      <c r="D7476" s="709" t="s">
        <v>159</v>
      </c>
      <c r="E7476" s="711">
        <v>5.4600000000000003E-2</v>
      </c>
    </row>
    <row r="7477" spans="1:5" x14ac:dyDescent="0.3">
      <c r="A7477" s="397"/>
      <c r="B7477" s="709">
        <v>93000</v>
      </c>
      <c r="C7477" s="710" t="s">
        <v>7543</v>
      </c>
      <c r="D7477" s="709" t="s">
        <v>159</v>
      </c>
      <c r="E7477" s="711">
        <v>5.1200000000000002E-2</v>
      </c>
    </row>
    <row r="7478" spans="1:5" x14ac:dyDescent="0.3">
      <c r="A7478" s="397"/>
      <c r="B7478" s="709">
        <v>92984</v>
      </c>
      <c r="C7478" s="710" t="s">
        <v>7544</v>
      </c>
      <c r="D7478" s="709" t="s">
        <v>159</v>
      </c>
      <c r="E7478" s="711">
        <v>0.1133</v>
      </c>
    </row>
    <row r="7479" spans="1:5" x14ac:dyDescent="0.3">
      <c r="A7479" s="397"/>
      <c r="B7479" s="709">
        <v>93002</v>
      </c>
      <c r="C7479" s="710" t="s">
        <v>7545</v>
      </c>
      <c r="D7479" s="709" t="s">
        <v>159</v>
      </c>
      <c r="E7479" s="711">
        <v>4.8000000000000001E-2</v>
      </c>
    </row>
    <row r="7480" spans="1:5" x14ac:dyDescent="0.3">
      <c r="A7480" s="397"/>
      <c r="B7480" s="709">
        <v>92986</v>
      </c>
      <c r="C7480" s="710" t="s">
        <v>7546</v>
      </c>
      <c r="D7480" s="709" t="s">
        <v>159</v>
      </c>
      <c r="E7480" s="711">
        <v>9.3899999999999997E-2</v>
      </c>
    </row>
    <row r="7481" spans="1:5" x14ac:dyDescent="0.3">
      <c r="A7481" s="397"/>
      <c r="B7481" s="709">
        <v>92988</v>
      </c>
      <c r="C7481" s="710" t="s">
        <v>7547</v>
      </c>
      <c r="D7481" s="709" t="s">
        <v>159</v>
      </c>
      <c r="E7481" s="711">
        <v>7.7200000000000005E-2</v>
      </c>
    </row>
    <row r="7482" spans="1:5" x14ac:dyDescent="0.3">
      <c r="A7482" s="397"/>
      <c r="B7482" s="709">
        <v>92990</v>
      </c>
      <c r="C7482" s="710" t="s">
        <v>7548</v>
      </c>
      <c r="D7482" s="709" t="s">
        <v>159</v>
      </c>
      <c r="E7482" s="711">
        <v>6.7699999999999996E-2</v>
      </c>
    </row>
    <row r="7483" spans="1:5" x14ac:dyDescent="0.3">
      <c r="A7483" s="397"/>
      <c r="B7483" s="709">
        <v>92992</v>
      </c>
      <c r="C7483" s="710" t="s">
        <v>7549</v>
      </c>
      <c r="D7483" s="709" t="s">
        <v>159</v>
      </c>
      <c r="E7483" s="711">
        <v>6.3799999999999996E-2</v>
      </c>
    </row>
    <row r="7484" spans="1:5" x14ac:dyDescent="0.3">
      <c r="A7484" s="397"/>
      <c r="B7484" s="709">
        <v>103491</v>
      </c>
      <c r="C7484" s="710" t="s">
        <v>7550</v>
      </c>
      <c r="D7484" s="709" t="s">
        <v>170</v>
      </c>
      <c r="E7484" s="711">
        <v>0.4768</v>
      </c>
    </row>
    <row r="7485" spans="1:5" x14ac:dyDescent="0.3">
      <c r="A7485" s="397"/>
      <c r="B7485" s="709">
        <v>93026</v>
      </c>
      <c r="C7485" s="710" t="s">
        <v>7551</v>
      </c>
      <c r="D7485" s="709" t="s">
        <v>136</v>
      </c>
      <c r="E7485" s="711">
        <v>0.38469999999999999</v>
      </c>
    </row>
    <row r="7486" spans="1:5" x14ac:dyDescent="0.3">
      <c r="A7486" s="397"/>
      <c r="B7486" s="709">
        <v>93018</v>
      </c>
      <c r="C7486" s="710" t="s">
        <v>7552</v>
      </c>
      <c r="D7486" s="709" t="s">
        <v>136</v>
      </c>
      <c r="E7486" s="711">
        <v>0.7329</v>
      </c>
    </row>
    <row r="7487" spans="1:5" x14ac:dyDescent="0.3">
      <c r="A7487" s="397"/>
      <c r="B7487" s="709">
        <v>93020</v>
      </c>
      <c r="C7487" s="710" t="s">
        <v>7553</v>
      </c>
      <c r="D7487" s="709" t="s">
        <v>136</v>
      </c>
      <c r="E7487" s="711">
        <v>0.66020000000000001</v>
      </c>
    </row>
    <row r="7488" spans="1:5" x14ac:dyDescent="0.3">
      <c r="A7488" s="397"/>
      <c r="B7488" s="709">
        <v>93022</v>
      </c>
      <c r="C7488" s="710" t="s">
        <v>7554</v>
      </c>
      <c r="D7488" s="709" t="s">
        <v>136</v>
      </c>
      <c r="E7488" s="711">
        <v>0.47649999999999998</v>
      </c>
    </row>
    <row r="7489" spans="1:5" x14ac:dyDescent="0.3">
      <c r="A7489" s="397"/>
      <c r="B7489" s="709">
        <v>93024</v>
      </c>
      <c r="C7489" s="710" t="s">
        <v>7555</v>
      </c>
      <c r="D7489" s="709" t="s">
        <v>136</v>
      </c>
      <c r="E7489" s="711">
        <v>0.50209999999999999</v>
      </c>
    </row>
    <row r="7490" spans="1:5" x14ac:dyDescent="0.3">
      <c r="A7490" s="397"/>
      <c r="B7490" s="709">
        <v>97670</v>
      </c>
      <c r="C7490" s="710" t="s">
        <v>7556</v>
      </c>
      <c r="D7490" s="709" t="s">
        <v>159</v>
      </c>
      <c r="E7490" s="711">
        <v>0.3246</v>
      </c>
    </row>
    <row r="7491" spans="1:5" x14ac:dyDescent="0.3">
      <c r="A7491" s="397"/>
      <c r="B7491" s="709">
        <v>97667</v>
      </c>
      <c r="C7491" s="710" t="s">
        <v>7561</v>
      </c>
      <c r="D7491" s="709" t="s">
        <v>159</v>
      </c>
      <c r="E7491" s="711">
        <v>0.34420000000000001</v>
      </c>
    </row>
    <row r="7492" spans="1:5" x14ac:dyDescent="0.3">
      <c r="A7492" s="397"/>
      <c r="B7492" s="709">
        <v>97668</v>
      </c>
      <c r="C7492" s="710" t="s">
        <v>7562</v>
      </c>
      <c r="D7492" s="709" t="s">
        <v>159</v>
      </c>
      <c r="E7492" s="711">
        <v>0.3402</v>
      </c>
    </row>
    <row r="7493" spans="1:5" x14ac:dyDescent="0.3">
      <c r="A7493" s="397"/>
      <c r="B7493" s="709">
        <v>97669</v>
      </c>
      <c r="C7493" s="710" t="s">
        <v>7563</v>
      </c>
      <c r="D7493" s="709" t="s">
        <v>159</v>
      </c>
      <c r="E7493" s="711">
        <v>0.37040000000000001</v>
      </c>
    </row>
    <row r="7494" spans="1:5" x14ac:dyDescent="0.3">
      <c r="A7494" s="397"/>
      <c r="B7494" s="709">
        <v>93012</v>
      </c>
      <c r="C7494" s="710" t="s">
        <v>7564</v>
      </c>
      <c r="D7494" s="709" t="s">
        <v>159</v>
      </c>
      <c r="E7494" s="711">
        <v>0.14710000000000001</v>
      </c>
    </row>
    <row r="7495" spans="1:5" x14ac:dyDescent="0.3">
      <c r="A7495" s="397"/>
      <c r="B7495" s="709">
        <v>93008</v>
      </c>
      <c r="C7495" s="710" t="s">
        <v>7565</v>
      </c>
      <c r="D7495" s="709" t="s">
        <v>159</v>
      </c>
      <c r="E7495" s="711">
        <v>0.29930000000000001</v>
      </c>
    </row>
    <row r="7496" spans="1:5" x14ac:dyDescent="0.3">
      <c r="A7496" s="397"/>
      <c r="B7496" s="709">
        <v>93009</v>
      </c>
      <c r="C7496" s="710" t="s">
        <v>7566</v>
      </c>
      <c r="D7496" s="709" t="s">
        <v>159</v>
      </c>
      <c r="E7496" s="711">
        <v>0.2311</v>
      </c>
    </row>
    <row r="7497" spans="1:5" x14ac:dyDescent="0.3">
      <c r="A7497" s="397"/>
      <c r="B7497" s="709">
        <v>93010</v>
      </c>
      <c r="C7497" s="710" t="s">
        <v>7567</v>
      </c>
      <c r="D7497" s="709" t="s">
        <v>159</v>
      </c>
      <c r="E7497" s="711">
        <v>0.19769999999999999</v>
      </c>
    </row>
    <row r="7498" spans="1:5" x14ac:dyDescent="0.3">
      <c r="A7498" s="397"/>
      <c r="B7498" s="709">
        <v>93011</v>
      </c>
      <c r="C7498" s="710" t="s">
        <v>7568</v>
      </c>
      <c r="D7498" s="709" t="s">
        <v>159</v>
      </c>
      <c r="E7498" s="711">
        <v>0.17899999999999999</v>
      </c>
    </row>
    <row r="7499" spans="1:5" x14ac:dyDescent="0.3">
      <c r="A7499" s="397"/>
      <c r="B7499" s="709">
        <v>93017</v>
      </c>
      <c r="C7499" s="710" t="s">
        <v>7570</v>
      </c>
      <c r="D7499" s="709" t="s">
        <v>136</v>
      </c>
      <c r="E7499" s="711">
        <v>0.42309999999999998</v>
      </c>
    </row>
    <row r="7500" spans="1:5" x14ac:dyDescent="0.3">
      <c r="A7500" s="397"/>
      <c r="B7500" s="709">
        <v>93013</v>
      </c>
      <c r="C7500" s="710" t="s">
        <v>7571</v>
      </c>
      <c r="D7500" s="709" t="s">
        <v>136</v>
      </c>
      <c r="E7500" s="711">
        <v>0.74550000000000005</v>
      </c>
    </row>
    <row r="7501" spans="1:5" x14ac:dyDescent="0.3">
      <c r="A7501" s="397"/>
      <c r="B7501" s="709">
        <v>93014</v>
      </c>
      <c r="C7501" s="710" t="s">
        <v>7572</v>
      </c>
      <c r="D7501" s="709" t="s">
        <v>136</v>
      </c>
      <c r="E7501" s="711">
        <v>0.69969999999999999</v>
      </c>
    </row>
    <row r="7502" spans="1:5" x14ac:dyDescent="0.3">
      <c r="A7502" s="397"/>
      <c r="B7502" s="709">
        <v>93015</v>
      </c>
      <c r="C7502" s="710" t="s">
        <v>7573</v>
      </c>
      <c r="D7502" s="709" t="s">
        <v>136</v>
      </c>
      <c r="E7502" s="711">
        <v>0.55600000000000005</v>
      </c>
    </row>
    <row r="7503" spans="1:5" x14ac:dyDescent="0.3">
      <c r="A7503" s="397"/>
      <c r="B7503" s="709">
        <v>93016</v>
      </c>
      <c r="C7503" s="710" t="s">
        <v>7574</v>
      </c>
      <c r="D7503" s="709" t="s">
        <v>136</v>
      </c>
      <c r="E7503" s="711">
        <v>0.50860000000000005</v>
      </c>
    </row>
    <row r="7504" spans="1:5" x14ac:dyDescent="0.3">
      <c r="A7504" s="397"/>
      <c r="B7504" s="709">
        <v>103490</v>
      </c>
      <c r="C7504" s="710" t="s">
        <v>7575</v>
      </c>
      <c r="D7504" s="709" t="s">
        <v>170</v>
      </c>
      <c r="E7504" s="711">
        <v>0.72119999999999995</v>
      </c>
    </row>
    <row r="7505" spans="1:5" x14ac:dyDescent="0.3">
      <c r="A7505" s="397"/>
      <c r="B7505" s="709">
        <v>106082</v>
      </c>
      <c r="C7505" s="710" t="s">
        <v>7576</v>
      </c>
      <c r="D7505" s="709" t="s">
        <v>136</v>
      </c>
      <c r="E7505" s="711">
        <v>0.54990000000000006</v>
      </c>
    </row>
    <row r="7506" spans="1:5" x14ac:dyDescent="0.3">
      <c r="A7506" s="397"/>
      <c r="B7506" s="709">
        <v>98306</v>
      </c>
      <c r="C7506" s="710" t="s">
        <v>7577</v>
      </c>
      <c r="D7506" s="709" t="s">
        <v>136</v>
      </c>
      <c r="E7506" s="711">
        <v>0.52059999999999995</v>
      </c>
    </row>
    <row r="7507" spans="1:5" x14ac:dyDescent="0.3">
      <c r="A7507" s="397"/>
      <c r="B7507" s="709">
        <v>100553</v>
      </c>
      <c r="C7507" s="710" t="s">
        <v>7578</v>
      </c>
      <c r="D7507" s="709" t="s">
        <v>159</v>
      </c>
      <c r="E7507" s="711">
        <v>0.18099999999999999</v>
      </c>
    </row>
    <row r="7508" spans="1:5" x14ac:dyDescent="0.3">
      <c r="A7508" s="397"/>
      <c r="B7508" s="709">
        <v>100554</v>
      </c>
      <c r="C7508" s="710" t="s">
        <v>7579</v>
      </c>
      <c r="D7508" s="709" t="s">
        <v>159</v>
      </c>
      <c r="E7508" s="711">
        <v>0.71240000000000003</v>
      </c>
    </row>
    <row r="7509" spans="1:5" x14ac:dyDescent="0.3">
      <c r="A7509" s="397"/>
      <c r="B7509" s="709">
        <v>98300</v>
      </c>
      <c r="C7509" s="710" t="s">
        <v>7580</v>
      </c>
      <c r="D7509" s="709" t="s">
        <v>159</v>
      </c>
      <c r="E7509" s="711">
        <v>0.70340000000000003</v>
      </c>
    </row>
    <row r="7510" spans="1:5" x14ac:dyDescent="0.3">
      <c r="A7510" s="397"/>
      <c r="B7510" s="709">
        <v>98295</v>
      </c>
      <c r="C7510" s="710" t="s">
        <v>7581</v>
      </c>
      <c r="D7510" s="709" t="s">
        <v>159</v>
      </c>
      <c r="E7510" s="711">
        <v>7.4499999999999997E-2</v>
      </c>
    </row>
    <row r="7511" spans="1:5" x14ac:dyDescent="0.3">
      <c r="A7511" s="397"/>
      <c r="B7511" s="709">
        <v>98294</v>
      </c>
      <c r="C7511" s="710" t="s">
        <v>7582</v>
      </c>
      <c r="D7511" s="709" t="s">
        <v>159</v>
      </c>
      <c r="E7511" s="711">
        <v>0.315</v>
      </c>
    </row>
    <row r="7512" spans="1:5" x14ac:dyDescent="0.3">
      <c r="A7512" s="397"/>
      <c r="B7512" s="709">
        <v>98297</v>
      </c>
      <c r="C7512" s="710" t="s">
        <v>7583</v>
      </c>
      <c r="D7512" s="709" t="s">
        <v>159</v>
      </c>
      <c r="E7512" s="711">
        <v>5.5E-2</v>
      </c>
    </row>
    <row r="7513" spans="1:5" x14ac:dyDescent="0.3">
      <c r="A7513" s="397"/>
      <c r="B7513" s="709">
        <v>98296</v>
      </c>
      <c r="C7513" s="710" t="s">
        <v>7584</v>
      </c>
      <c r="D7513" s="709" t="s">
        <v>159</v>
      </c>
      <c r="E7513" s="711">
        <v>0.2487</v>
      </c>
    </row>
    <row r="7514" spans="1:5" x14ac:dyDescent="0.3">
      <c r="A7514" s="397"/>
      <c r="B7514" s="709">
        <v>98299</v>
      </c>
      <c r="C7514" s="710" t="s">
        <v>7585</v>
      </c>
      <c r="D7514" s="709" t="s">
        <v>159</v>
      </c>
      <c r="E7514" s="711">
        <v>2.1600000000000001E-2</v>
      </c>
    </row>
    <row r="7515" spans="1:5" x14ac:dyDescent="0.3">
      <c r="A7515" s="397"/>
      <c r="B7515" s="709">
        <v>98298</v>
      </c>
      <c r="C7515" s="710" t="s">
        <v>7586</v>
      </c>
      <c r="D7515" s="709" t="s">
        <v>159</v>
      </c>
      <c r="E7515" s="711">
        <v>0.1116</v>
      </c>
    </row>
    <row r="7516" spans="1:5" x14ac:dyDescent="0.3">
      <c r="A7516" s="397"/>
      <c r="B7516" s="709">
        <v>98261</v>
      </c>
      <c r="C7516" s="710" t="s">
        <v>7587</v>
      </c>
      <c r="D7516" s="709" t="s">
        <v>159</v>
      </c>
      <c r="E7516" s="711">
        <v>0.7863</v>
      </c>
    </row>
    <row r="7517" spans="1:5" x14ac:dyDescent="0.3">
      <c r="A7517" s="397"/>
      <c r="B7517" s="709">
        <v>98287</v>
      </c>
      <c r="C7517" s="710" t="s">
        <v>7588</v>
      </c>
      <c r="D7517" s="709" t="s">
        <v>159</v>
      </c>
      <c r="E7517" s="711">
        <v>0.46939999999999998</v>
      </c>
    </row>
    <row r="7518" spans="1:5" x14ac:dyDescent="0.3">
      <c r="A7518" s="397"/>
      <c r="B7518" s="709">
        <v>98280</v>
      </c>
      <c r="C7518" s="710" t="s">
        <v>7589</v>
      </c>
      <c r="D7518" s="709" t="s">
        <v>159</v>
      </c>
      <c r="E7518" s="711">
        <v>0.89290000000000003</v>
      </c>
    </row>
    <row r="7519" spans="1:5" x14ac:dyDescent="0.3">
      <c r="A7519" s="397"/>
      <c r="B7519" s="709">
        <v>98288</v>
      </c>
      <c r="C7519" s="710" t="s">
        <v>7590</v>
      </c>
      <c r="D7519" s="709" t="s">
        <v>159</v>
      </c>
      <c r="E7519" s="711">
        <v>0.35189999999999999</v>
      </c>
    </row>
    <row r="7520" spans="1:5" x14ac:dyDescent="0.3">
      <c r="A7520" s="397"/>
      <c r="B7520" s="709">
        <v>98281</v>
      </c>
      <c r="C7520" s="710" t="s">
        <v>7591</v>
      </c>
      <c r="D7520" s="709" t="s">
        <v>159</v>
      </c>
      <c r="E7520" s="711">
        <v>0.81469999999999998</v>
      </c>
    </row>
    <row r="7521" spans="1:5" x14ac:dyDescent="0.3">
      <c r="A7521" s="397"/>
      <c r="B7521" s="709">
        <v>98262</v>
      </c>
      <c r="C7521" s="710" t="s">
        <v>7592</v>
      </c>
      <c r="D7521" s="709" t="s">
        <v>159</v>
      </c>
      <c r="E7521" s="711">
        <v>0.66520000000000001</v>
      </c>
    </row>
    <row r="7522" spans="1:5" x14ac:dyDescent="0.3">
      <c r="A7522" s="397"/>
      <c r="B7522" s="709">
        <v>98289</v>
      </c>
      <c r="C7522" s="710" t="s">
        <v>7593</v>
      </c>
      <c r="D7522" s="709" t="s">
        <v>159</v>
      </c>
      <c r="E7522" s="711">
        <v>0.3715</v>
      </c>
    </row>
    <row r="7523" spans="1:5" x14ac:dyDescent="0.3">
      <c r="A7523" s="397"/>
      <c r="B7523" s="709">
        <v>98282</v>
      </c>
      <c r="C7523" s="710" t="s">
        <v>7594</v>
      </c>
      <c r="D7523" s="709" t="s">
        <v>159</v>
      </c>
      <c r="E7523" s="711">
        <v>0.80940000000000001</v>
      </c>
    </row>
    <row r="7524" spans="1:5" x14ac:dyDescent="0.3">
      <c r="A7524" s="397"/>
      <c r="B7524" s="709">
        <v>98263</v>
      </c>
      <c r="C7524" s="710" t="s">
        <v>7595</v>
      </c>
      <c r="D7524" s="709" t="s">
        <v>159</v>
      </c>
      <c r="E7524" s="711">
        <v>0.66239999999999999</v>
      </c>
    </row>
    <row r="7525" spans="1:5" x14ac:dyDescent="0.3">
      <c r="A7525" s="397"/>
      <c r="B7525" s="709">
        <v>98290</v>
      </c>
      <c r="C7525" s="710" t="s">
        <v>7596</v>
      </c>
      <c r="D7525" s="709" t="s">
        <v>159</v>
      </c>
      <c r="E7525" s="711">
        <v>0.30059999999999998</v>
      </c>
    </row>
    <row r="7526" spans="1:5" x14ac:dyDescent="0.3">
      <c r="A7526" s="397"/>
      <c r="B7526" s="709">
        <v>98283</v>
      </c>
      <c r="C7526" s="710" t="s">
        <v>7597</v>
      </c>
      <c r="D7526" s="709" t="s">
        <v>159</v>
      </c>
      <c r="E7526" s="711">
        <v>0.7389</v>
      </c>
    </row>
    <row r="7527" spans="1:5" x14ac:dyDescent="0.3">
      <c r="A7527" s="397"/>
      <c r="B7527" s="709">
        <v>98264</v>
      </c>
      <c r="C7527" s="710" t="s">
        <v>7598</v>
      </c>
      <c r="D7527" s="709" t="s">
        <v>159</v>
      </c>
      <c r="E7527" s="711">
        <v>0.57020000000000004</v>
      </c>
    </row>
    <row r="7528" spans="1:5" x14ac:dyDescent="0.3">
      <c r="A7528" s="397"/>
      <c r="B7528" s="709">
        <v>98273</v>
      </c>
      <c r="C7528" s="710" t="s">
        <v>7599</v>
      </c>
      <c r="D7528" s="709" t="s">
        <v>159</v>
      </c>
      <c r="E7528" s="711">
        <v>0.13569999999999999</v>
      </c>
    </row>
    <row r="7529" spans="1:5" x14ac:dyDescent="0.3">
      <c r="A7529" s="397"/>
      <c r="B7529" s="709">
        <v>98291</v>
      </c>
      <c r="C7529" s="710" t="s">
        <v>7600</v>
      </c>
      <c r="D7529" s="709" t="s">
        <v>159</v>
      </c>
      <c r="E7529" s="711">
        <v>0.27089999999999997</v>
      </c>
    </row>
    <row r="7530" spans="1:5" x14ac:dyDescent="0.3">
      <c r="A7530" s="397"/>
      <c r="B7530" s="709">
        <v>98284</v>
      </c>
      <c r="C7530" s="710" t="s">
        <v>7601</v>
      </c>
      <c r="D7530" s="709" t="s">
        <v>159</v>
      </c>
      <c r="E7530" s="711">
        <v>0.70069999999999999</v>
      </c>
    </row>
    <row r="7531" spans="1:5" x14ac:dyDescent="0.3">
      <c r="A7531" s="397"/>
      <c r="B7531" s="709">
        <v>98265</v>
      </c>
      <c r="C7531" s="710" t="s">
        <v>7602</v>
      </c>
      <c r="D7531" s="709" t="s">
        <v>159</v>
      </c>
      <c r="E7531" s="711">
        <v>0.52639999999999998</v>
      </c>
    </row>
    <row r="7532" spans="1:5" x14ac:dyDescent="0.3">
      <c r="A7532" s="397"/>
      <c r="B7532" s="709">
        <v>98274</v>
      </c>
      <c r="C7532" s="710" t="s">
        <v>7603</v>
      </c>
      <c r="D7532" s="709" t="s">
        <v>159</v>
      </c>
      <c r="E7532" s="711">
        <v>0.13450000000000001</v>
      </c>
    </row>
    <row r="7533" spans="1:5" x14ac:dyDescent="0.3">
      <c r="A7533" s="397"/>
      <c r="B7533" s="709">
        <v>98292</v>
      </c>
      <c r="C7533" s="710" t="s">
        <v>7604</v>
      </c>
      <c r="D7533" s="709" t="s">
        <v>159</v>
      </c>
      <c r="E7533" s="711">
        <v>0.23469999999999999</v>
      </c>
    </row>
    <row r="7534" spans="1:5" x14ac:dyDescent="0.3">
      <c r="A7534" s="397"/>
      <c r="B7534" s="709">
        <v>98285</v>
      </c>
      <c r="C7534" s="710" t="s">
        <v>7605</v>
      </c>
      <c r="D7534" s="709" t="s">
        <v>159</v>
      </c>
      <c r="E7534" s="711">
        <v>0.64990000000000003</v>
      </c>
    </row>
    <row r="7535" spans="1:5" x14ac:dyDescent="0.3">
      <c r="A7535" s="397"/>
      <c r="B7535" s="709">
        <v>98266</v>
      </c>
      <c r="C7535" s="710" t="s">
        <v>7606</v>
      </c>
      <c r="D7535" s="709" t="s">
        <v>159</v>
      </c>
      <c r="E7535" s="711">
        <v>0.4703</v>
      </c>
    </row>
    <row r="7536" spans="1:5" x14ac:dyDescent="0.3">
      <c r="A7536" s="397"/>
      <c r="B7536" s="709">
        <v>98275</v>
      </c>
      <c r="C7536" s="710" t="s">
        <v>7607</v>
      </c>
      <c r="D7536" s="709" t="s">
        <v>159</v>
      </c>
      <c r="E7536" s="711">
        <v>0.11559999999999999</v>
      </c>
    </row>
    <row r="7537" spans="1:5" x14ac:dyDescent="0.3">
      <c r="A7537" s="397"/>
      <c r="B7537" s="709">
        <v>98293</v>
      </c>
      <c r="C7537" s="710" t="s">
        <v>7608</v>
      </c>
      <c r="D7537" s="709" t="s">
        <v>159</v>
      </c>
      <c r="E7537" s="711">
        <v>0.2361</v>
      </c>
    </row>
    <row r="7538" spans="1:5" x14ac:dyDescent="0.3">
      <c r="A7538" s="397"/>
      <c r="B7538" s="709">
        <v>98286</v>
      </c>
      <c r="C7538" s="710" t="s">
        <v>7609</v>
      </c>
      <c r="D7538" s="709" t="s">
        <v>159</v>
      </c>
      <c r="E7538" s="711">
        <v>0.53539999999999999</v>
      </c>
    </row>
    <row r="7539" spans="1:5" x14ac:dyDescent="0.3">
      <c r="A7539" s="397"/>
      <c r="B7539" s="709">
        <v>98267</v>
      </c>
      <c r="C7539" s="710" t="s">
        <v>7610</v>
      </c>
      <c r="D7539" s="709" t="s">
        <v>159</v>
      </c>
      <c r="E7539" s="711">
        <v>0.38479999999999998</v>
      </c>
    </row>
    <row r="7540" spans="1:5" x14ac:dyDescent="0.3">
      <c r="A7540" s="397"/>
      <c r="B7540" s="709">
        <v>98276</v>
      </c>
      <c r="C7540" s="710" t="s">
        <v>7611</v>
      </c>
      <c r="D7540" s="709" t="s">
        <v>159</v>
      </c>
      <c r="E7540" s="711">
        <v>0.17580000000000001</v>
      </c>
    </row>
    <row r="7541" spans="1:5" x14ac:dyDescent="0.3">
      <c r="A7541" s="397"/>
      <c r="B7541" s="709">
        <v>98268</v>
      </c>
      <c r="C7541" s="710" t="s">
        <v>7612</v>
      </c>
      <c r="D7541" s="709" t="s">
        <v>159</v>
      </c>
      <c r="E7541" s="711">
        <v>0.27160000000000001</v>
      </c>
    </row>
    <row r="7542" spans="1:5" x14ac:dyDescent="0.3">
      <c r="A7542" s="397"/>
      <c r="B7542" s="709">
        <v>98277</v>
      </c>
      <c r="C7542" s="710" t="s">
        <v>7613</v>
      </c>
      <c r="D7542" s="709" t="s">
        <v>159</v>
      </c>
      <c r="E7542" s="711">
        <v>0.13539999999999999</v>
      </c>
    </row>
    <row r="7543" spans="1:5" x14ac:dyDescent="0.3">
      <c r="A7543" s="397"/>
      <c r="B7543" s="709">
        <v>98272</v>
      </c>
      <c r="C7543" s="710" t="s">
        <v>7614</v>
      </c>
      <c r="D7543" s="709" t="s">
        <v>159</v>
      </c>
      <c r="E7543" s="711">
        <v>7.4899999999999994E-2</v>
      </c>
    </row>
    <row r="7544" spans="1:5" x14ac:dyDescent="0.3">
      <c r="A7544" s="397"/>
      <c r="B7544" s="709">
        <v>98269</v>
      </c>
      <c r="C7544" s="710" t="s">
        <v>7615</v>
      </c>
      <c r="D7544" s="709" t="s">
        <v>159</v>
      </c>
      <c r="E7544" s="711">
        <v>0.21859999999999999</v>
      </c>
    </row>
    <row r="7545" spans="1:5" x14ac:dyDescent="0.3">
      <c r="A7545" s="397"/>
      <c r="B7545" s="709">
        <v>98278</v>
      </c>
      <c r="C7545" s="710" t="s">
        <v>7616</v>
      </c>
      <c r="D7545" s="709" t="s">
        <v>159</v>
      </c>
      <c r="E7545" s="711">
        <v>0.1166</v>
      </c>
    </row>
    <row r="7546" spans="1:5" x14ac:dyDescent="0.3">
      <c r="A7546" s="397"/>
      <c r="B7546" s="709">
        <v>98270</v>
      </c>
      <c r="C7546" s="710" t="s">
        <v>7617</v>
      </c>
      <c r="D7546" s="709" t="s">
        <v>159</v>
      </c>
      <c r="E7546" s="711">
        <v>0.16070000000000001</v>
      </c>
    </row>
    <row r="7547" spans="1:5" x14ac:dyDescent="0.3">
      <c r="A7547" s="397"/>
      <c r="B7547" s="709">
        <v>98279</v>
      </c>
      <c r="C7547" s="710" t="s">
        <v>7618</v>
      </c>
      <c r="D7547" s="709" t="s">
        <v>159</v>
      </c>
      <c r="E7547" s="711">
        <v>9.0999999999999998E-2</v>
      </c>
    </row>
    <row r="7548" spans="1:5" x14ac:dyDescent="0.3">
      <c r="A7548" s="397"/>
      <c r="B7548" s="709">
        <v>98271</v>
      </c>
      <c r="C7548" s="710" t="s">
        <v>7619</v>
      </c>
      <c r="D7548" s="709" t="s">
        <v>159</v>
      </c>
      <c r="E7548" s="711">
        <v>0.12529999999999999</v>
      </c>
    </row>
    <row r="7549" spans="1:5" x14ac:dyDescent="0.3">
      <c r="A7549" s="397"/>
      <c r="B7549" s="709">
        <v>98400</v>
      </c>
      <c r="C7549" s="710" t="s">
        <v>7620</v>
      </c>
      <c r="D7549" s="709" t="s">
        <v>159</v>
      </c>
      <c r="E7549" s="711">
        <v>0.31390000000000001</v>
      </c>
    </row>
    <row r="7550" spans="1:5" x14ac:dyDescent="0.3">
      <c r="A7550" s="397"/>
      <c r="B7550" s="709">
        <v>98401</v>
      </c>
      <c r="C7550" s="710" t="s">
        <v>7621</v>
      </c>
      <c r="D7550" s="709" t="s">
        <v>159</v>
      </c>
      <c r="E7550" s="711">
        <v>0.2271</v>
      </c>
    </row>
    <row r="7551" spans="1:5" x14ac:dyDescent="0.3">
      <c r="A7551" s="397"/>
      <c r="B7551" s="709">
        <v>98402</v>
      </c>
      <c r="C7551" s="710" t="s">
        <v>7622</v>
      </c>
      <c r="D7551" s="709" t="s">
        <v>159</v>
      </c>
      <c r="E7551" s="711">
        <v>0.21390000000000001</v>
      </c>
    </row>
    <row r="7552" spans="1:5" x14ac:dyDescent="0.3">
      <c r="A7552" s="397"/>
      <c r="B7552" s="709">
        <v>100556</v>
      </c>
      <c r="C7552" s="710" t="s">
        <v>7623</v>
      </c>
      <c r="D7552" s="709" t="s">
        <v>136</v>
      </c>
      <c r="E7552" s="711">
        <v>0.3528</v>
      </c>
    </row>
    <row r="7553" spans="1:5" x14ac:dyDescent="0.3">
      <c r="A7553" s="397"/>
      <c r="B7553" s="709">
        <v>100557</v>
      </c>
      <c r="C7553" s="710" t="s">
        <v>7625</v>
      </c>
      <c r="D7553" s="709" t="s">
        <v>136</v>
      </c>
      <c r="E7553" s="711">
        <v>0.1203</v>
      </c>
    </row>
    <row r="7554" spans="1:5" x14ac:dyDescent="0.3">
      <c r="A7554" s="397"/>
      <c r="B7554" s="709">
        <v>98301</v>
      </c>
      <c r="C7554" s="710" t="s">
        <v>7629</v>
      </c>
      <c r="D7554" s="709" t="s">
        <v>136</v>
      </c>
      <c r="E7554" s="711">
        <v>0.46639999999999998</v>
      </c>
    </row>
    <row r="7555" spans="1:5" x14ac:dyDescent="0.3">
      <c r="A7555" s="397"/>
      <c r="B7555" s="709">
        <v>98302</v>
      </c>
      <c r="C7555" s="710" t="s">
        <v>7630</v>
      </c>
      <c r="D7555" s="709" t="s">
        <v>136</v>
      </c>
      <c r="E7555" s="711">
        <v>0.24610000000000001</v>
      </c>
    </row>
    <row r="7556" spans="1:5" x14ac:dyDescent="0.3">
      <c r="A7556" s="397"/>
      <c r="B7556" s="709">
        <v>98593</v>
      </c>
      <c r="C7556" s="710" t="s">
        <v>7631</v>
      </c>
      <c r="D7556" s="709" t="s">
        <v>136</v>
      </c>
      <c r="E7556" s="711">
        <v>0.224</v>
      </c>
    </row>
    <row r="7557" spans="1:5" x14ac:dyDescent="0.3">
      <c r="A7557" s="397"/>
      <c r="B7557" s="709">
        <v>98304</v>
      </c>
      <c r="C7557" s="710" t="s">
        <v>7632</v>
      </c>
      <c r="D7557" s="709" t="s">
        <v>136</v>
      </c>
      <c r="E7557" s="711">
        <v>0.15540000000000001</v>
      </c>
    </row>
    <row r="7558" spans="1:5" x14ac:dyDescent="0.3">
      <c r="A7558" s="397"/>
      <c r="B7558" s="709">
        <v>100561</v>
      </c>
      <c r="C7558" s="710" t="s">
        <v>7634</v>
      </c>
      <c r="D7558" s="709" t="s">
        <v>136</v>
      </c>
      <c r="E7558" s="711">
        <v>0.1769</v>
      </c>
    </row>
    <row r="7559" spans="1:5" x14ac:dyDescent="0.3">
      <c r="A7559" s="397"/>
      <c r="B7559" s="709">
        <v>100562</v>
      </c>
      <c r="C7559" s="710" t="s">
        <v>7635</v>
      </c>
      <c r="D7559" s="709" t="s">
        <v>136</v>
      </c>
      <c r="E7559" s="711">
        <v>0.13639999999999999</v>
      </c>
    </row>
    <row r="7560" spans="1:5" x14ac:dyDescent="0.3">
      <c r="A7560" s="397"/>
      <c r="B7560" s="709">
        <v>100560</v>
      </c>
      <c r="C7560" s="710" t="s">
        <v>7636</v>
      </c>
      <c r="D7560" s="709" t="s">
        <v>136</v>
      </c>
      <c r="E7560" s="711">
        <v>0.2838</v>
      </c>
    </row>
    <row r="7561" spans="1:5" x14ac:dyDescent="0.3">
      <c r="A7561" s="397"/>
      <c r="B7561" s="709">
        <v>100563</v>
      </c>
      <c r="C7561" s="710" t="s">
        <v>7637</v>
      </c>
      <c r="D7561" s="709" t="s">
        <v>136</v>
      </c>
      <c r="E7561" s="711">
        <v>0.1144</v>
      </c>
    </row>
    <row r="7562" spans="1:5" x14ac:dyDescent="0.3">
      <c r="A7562" s="397"/>
      <c r="B7562" s="709">
        <v>100555</v>
      </c>
      <c r="C7562" s="710" t="s">
        <v>7638</v>
      </c>
      <c r="D7562" s="709" t="s">
        <v>136</v>
      </c>
      <c r="E7562" s="711">
        <v>3.49E-2</v>
      </c>
    </row>
    <row r="7563" spans="1:5" x14ac:dyDescent="0.3">
      <c r="A7563" s="397"/>
      <c r="B7563" s="709">
        <v>98305</v>
      </c>
      <c r="C7563" s="710" t="s">
        <v>7643</v>
      </c>
      <c r="D7563" s="709" t="s">
        <v>136</v>
      </c>
      <c r="E7563" s="711">
        <v>1.7500000000000002E-2</v>
      </c>
    </row>
    <row r="7564" spans="1:5" x14ac:dyDescent="0.3">
      <c r="A7564" s="397"/>
      <c r="B7564" s="709">
        <v>98307</v>
      </c>
      <c r="C7564" s="710" t="s">
        <v>7644</v>
      </c>
      <c r="D7564" s="709" t="s">
        <v>136</v>
      </c>
      <c r="E7564" s="711">
        <v>0.36149999999999999</v>
      </c>
    </row>
    <row r="7565" spans="1:5" x14ac:dyDescent="0.3">
      <c r="A7565" s="397"/>
      <c r="B7565" s="709">
        <v>98308</v>
      </c>
      <c r="C7565" s="710" t="s">
        <v>7645</v>
      </c>
      <c r="D7565" s="709" t="s">
        <v>136</v>
      </c>
      <c r="E7565" s="711">
        <v>0.49980000000000002</v>
      </c>
    </row>
    <row r="7566" spans="1:5" x14ac:dyDescent="0.3">
      <c r="A7566" s="397"/>
      <c r="B7566" s="709">
        <v>103401</v>
      </c>
      <c r="C7566" s="710" t="s">
        <v>7648</v>
      </c>
      <c r="D7566" s="709" t="s">
        <v>136</v>
      </c>
      <c r="E7566" s="711">
        <v>1</v>
      </c>
    </row>
    <row r="7567" spans="1:5" x14ac:dyDescent="0.3">
      <c r="A7567" s="397"/>
      <c r="B7567" s="709">
        <v>103402</v>
      </c>
      <c r="C7567" s="710" t="s">
        <v>7649</v>
      </c>
      <c r="D7567" s="709" t="s">
        <v>136</v>
      </c>
      <c r="E7567" s="711">
        <v>1</v>
      </c>
    </row>
    <row r="7568" spans="1:5" x14ac:dyDescent="0.3">
      <c r="A7568" s="397"/>
      <c r="B7568" s="709">
        <v>103403</v>
      </c>
      <c r="C7568" s="710" t="s">
        <v>7650</v>
      </c>
      <c r="D7568" s="709" t="s">
        <v>136</v>
      </c>
      <c r="E7568" s="711">
        <v>1</v>
      </c>
    </row>
    <row r="7569" spans="1:5" x14ac:dyDescent="0.3">
      <c r="A7569" s="397"/>
      <c r="B7569" s="709">
        <v>103397</v>
      </c>
      <c r="C7569" s="710" t="s">
        <v>7651</v>
      </c>
      <c r="D7569" s="709" t="s">
        <v>136</v>
      </c>
      <c r="E7569" s="711">
        <v>1</v>
      </c>
    </row>
    <row r="7570" spans="1:5" x14ac:dyDescent="0.3">
      <c r="A7570" s="397"/>
      <c r="B7570" s="709">
        <v>103404</v>
      </c>
      <c r="C7570" s="710" t="s">
        <v>7652</v>
      </c>
      <c r="D7570" s="709" t="s">
        <v>136</v>
      </c>
      <c r="E7570" s="711">
        <v>1</v>
      </c>
    </row>
    <row r="7571" spans="1:5" x14ac:dyDescent="0.3">
      <c r="A7571" s="397"/>
      <c r="B7571" s="709">
        <v>103405</v>
      </c>
      <c r="C7571" s="710" t="s">
        <v>7653</v>
      </c>
      <c r="D7571" s="709" t="s">
        <v>136</v>
      </c>
      <c r="E7571" s="711">
        <v>1</v>
      </c>
    </row>
    <row r="7572" spans="1:5" x14ac:dyDescent="0.3">
      <c r="A7572" s="397"/>
      <c r="B7572" s="709">
        <v>103406</v>
      </c>
      <c r="C7572" s="710" t="s">
        <v>7654</v>
      </c>
      <c r="D7572" s="709" t="s">
        <v>136</v>
      </c>
      <c r="E7572" s="711">
        <v>1</v>
      </c>
    </row>
    <row r="7573" spans="1:5" x14ac:dyDescent="0.3">
      <c r="A7573" s="397"/>
      <c r="B7573" s="709">
        <v>103407</v>
      </c>
      <c r="C7573" s="710" t="s">
        <v>7655</v>
      </c>
      <c r="D7573" s="709" t="s">
        <v>136</v>
      </c>
      <c r="E7573" s="711">
        <v>1</v>
      </c>
    </row>
    <row r="7574" spans="1:5" x14ac:dyDescent="0.3">
      <c r="A7574" s="397"/>
      <c r="B7574" s="709">
        <v>103408</v>
      </c>
      <c r="C7574" s="710" t="s">
        <v>7656</v>
      </c>
      <c r="D7574" s="709" t="s">
        <v>136</v>
      </c>
      <c r="E7574" s="711">
        <v>1</v>
      </c>
    </row>
    <row r="7575" spans="1:5" x14ac:dyDescent="0.3">
      <c r="A7575" s="397"/>
      <c r="B7575" s="709">
        <v>103398</v>
      </c>
      <c r="C7575" s="710" t="s">
        <v>7657</v>
      </c>
      <c r="D7575" s="709" t="s">
        <v>136</v>
      </c>
      <c r="E7575" s="711">
        <v>1</v>
      </c>
    </row>
    <row r="7576" spans="1:5" x14ac:dyDescent="0.3">
      <c r="A7576" s="397"/>
      <c r="B7576" s="709">
        <v>103409</v>
      </c>
      <c r="C7576" s="710" t="s">
        <v>7658</v>
      </c>
      <c r="D7576" s="709" t="s">
        <v>136</v>
      </c>
      <c r="E7576" s="711">
        <v>1</v>
      </c>
    </row>
    <row r="7577" spans="1:5" x14ac:dyDescent="0.3">
      <c r="A7577" s="397"/>
      <c r="B7577" s="709">
        <v>103410</v>
      </c>
      <c r="C7577" s="710" t="s">
        <v>7659</v>
      </c>
      <c r="D7577" s="709" t="s">
        <v>136</v>
      </c>
      <c r="E7577" s="711">
        <v>1</v>
      </c>
    </row>
    <row r="7578" spans="1:5" x14ac:dyDescent="0.3">
      <c r="A7578" s="397"/>
      <c r="B7578" s="709">
        <v>103399</v>
      </c>
      <c r="C7578" s="710" t="s">
        <v>7660</v>
      </c>
      <c r="D7578" s="709" t="s">
        <v>136</v>
      </c>
      <c r="E7578" s="711">
        <v>1</v>
      </c>
    </row>
    <row r="7579" spans="1:5" x14ac:dyDescent="0.3">
      <c r="A7579" s="397"/>
      <c r="B7579" s="709">
        <v>103400</v>
      </c>
      <c r="C7579" s="710" t="s">
        <v>7661</v>
      </c>
      <c r="D7579" s="709" t="s">
        <v>136</v>
      </c>
      <c r="E7579" s="711">
        <v>1</v>
      </c>
    </row>
    <row r="7580" spans="1:5" x14ac:dyDescent="0.3">
      <c r="A7580" s="397"/>
      <c r="B7580" s="709">
        <v>103415</v>
      </c>
      <c r="C7580" s="710" t="s">
        <v>7662</v>
      </c>
      <c r="D7580" s="709" t="s">
        <v>136</v>
      </c>
      <c r="E7580" s="711">
        <v>1</v>
      </c>
    </row>
    <row r="7581" spans="1:5" x14ac:dyDescent="0.3">
      <c r="A7581" s="397"/>
      <c r="B7581" s="709">
        <v>103416</v>
      </c>
      <c r="C7581" s="710" t="s">
        <v>7663</v>
      </c>
      <c r="D7581" s="709" t="s">
        <v>136</v>
      </c>
      <c r="E7581" s="711">
        <v>1</v>
      </c>
    </row>
    <row r="7582" spans="1:5" x14ac:dyDescent="0.3">
      <c r="A7582" s="397"/>
      <c r="B7582" s="709">
        <v>103417</v>
      </c>
      <c r="C7582" s="710" t="s">
        <v>7664</v>
      </c>
      <c r="D7582" s="709" t="s">
        <v>136</v>
      </c>
      <c r="E7582" s="711">
        <v>1</v>
      </c>
    </row>
    <row r="7583" spans="1:5" x14ac:dyDescent="0.3">
      <c r="A7583" s="397"/>
      <c r="B7583" s="709">
        <v>103411</v>
      </c>
      <c r="C7583" s="710" t="s">
        <v>7665</v>
      </c>
      <c r="D7583" s="709" t="s">
        <v>136</v>
      </c>
      <c r="E7583" s="711">
        <v>1</v>
      </c>
    </row>
    <row r="7584" spans="1:5" x14ac:dyDescent="0.3">
      <c r="A7584" s="397"/>
      <c r="B7584" s="709">
        <v>103418</v>
      </c>
      <c r="C7584" s="710" t="s">
        <v>7666</v>
      </c>
      <c r="D7584" s="709" t="s">
        <v>136</v>
      </c>
      <c r="E7584" s="711">
        <v>1</v>
      </c>
    </row>
    <row r="7585" spans="1:5" x14ac:dyDescent="0.3">
      <c r="A7585" s="397"/>
      <c r="B7585" s="709">
        <v>103419</v>
      </c>
      <c r="C7585" s="710" t="s">
        <v>7667</v>
      </c>
      <c r="D7585" s="709" t="s">
        <v>136</v>
      </c>
      <c r="E7585" s="711">
        <v>1</v>
      </c>
    </row>
    <row r="7586" spans="1:5" x14ac:dyDescent="0.3">
      <c r="A7586" s="397"/>
      <c r="B7586" s="709">
        <v>103420</v>
      </c>
      <c r="C7586" s="710" t="s">
        <v>7668</v>
      </c>
      <c r="D7586" s="709" t="s">
        <v>136</v>
      </c>
      <c r="E7586" s="711">
        <v>1</v>
      </c>
    </row>
    <row r="7587" spans="1:5" x14ac:dyDescent="0.3">
      <c r="A7587" s="397"/>
      <c r="B7587" s="709">
        <v>103421</v>
      </c>
      <c r="C7587" s="710" t="s">
        <v>7669</v>
      </c>
      <c r="D7587" s="709" t="s">
        <v>136</v>
      </c>
      <c r="E7587" s="711">
        <v>1</v>
      </c>
    </row>
    <row r="7588" spans="1:5" x14ac:dyDescent="0.3">
      <c r="A7588" s="397"/>
      <c r="B7588" s="709">
        <v>103422</v>
      </c>
      <c r="C7588" s="710" t="s">
        <v>7670</v>
      </c>
      <c r="D7588" s="709" t="s">
        <v>136</v>
      </c>
      <c r="E7588" s="711">
        <v>1</v>
      </c>
    </row>
    <row r="7589" spans="1:5" x14ac:dyDescent="0.3">
      <c r="A7589" s="397"/>
      <c r="B7589" s="709">
        <v>103412</v>
      </c>
      <c r="C7589" s="710" t="s">
        <v>7671</v>
      </c>
      <c r="D7589" s="709" t="s">
        <v>136</v>
      </c>
      <c r="E7589" s="711">
        <v>1</v>
      </c>
    </row>
    <row r="7590" spans="1:5" x14ac:dyDescent="0.3">
      <c r="A7590" s="397"/>
      <c r="B7590" s="709">
        <v>103423</v>
      </c>
      <c r="C7590" s="710" t="s">
        <v>7672</v>
      </c>
      <c r="D7590" s="709" t="s">
        <v>136</v>
      </c>
      <c r="E7590" s="711">
        <v>1</v>
      </c>
    </row>
    <row r="7591" spans="1:5" x14ac:dyDescent="0.3">
      <c r="A7591" s="397"/>
      <c r="B7591" s="709">
        <v>103424</v>
      </c>
      <c r="C7591" s="710" t="s">
        <v>7673</v>
      </c>
      <c r="D7591" s="709" t="s">
        <v>136</v>
      </c>
      <c r="E7591" s="711">
        <v>1</v>
      </c>
    </row>
    <row r="7592" spans="1:5" x14ac:dyDescent="0.3">
      <c r="A7592" s="397"/>
      <c r="B7592" s="709">
        <v>103413</v>
      </c>
      <c r="C7592" s="710" t="s">
        <v>7674</v>
      </c>
      <c r="D7592" s="709" t="s">
        <v>136</v>
      </c>
      <c r="E7592" s="711">
        <v>1</v>
      </c>
    </row>
    <row r="7593" spans="1:5" x14ac:dyDescent="0.3">
      <c r="A7593" s="397"/>
      <c r="B7593" s="709">
        <v>103414</v>
      </c>
      <c r="C7593" s="710" t="s">
        <v>7675</v>
      </c>
      <c r="D7593" s="709" t="s">
        <v>136</v>
      </c>
      <c r="E7593" s="711">
        <v>1</v>
      </c>
    </row>
    <row r="7594" spans="1:5" x14ac:dyDescent="0.3">
      <c r="A7594" s="397"/>
      <c r="B7594" s="709">
        <v>103432</v>
      </c>
      <c r="C7594" s="710" t="s">
        <v>7676</v>
      </c>
      <c r="D7594" s="709" t="s">
        <v>136</v>
      </c>
      <c r="E7594" s="711">
        <v>2.41E-2</v>
      </c>
    </row>
    <row r="7595" spans="1:5" x14ac:dyDescent="0.3">
      <c r="A7595" s="397"/>
      <c r="B7595" s="709">
        <v>103430</v>
      </c>
      <c r="C7595" s="710" t="s">
        <v>7677</v>
      </c>
      <c r="D7595" s="709" t="s">
        <v>136</v>
      </c>
      <c r="E7595" s="711">
        <v>0.18010000000000001</v>
      </c>
    </row>
    <row r="7596" spans="1:5" x14ac:dyDescent="0.3">
      <c r="A7596" s="397"/>
      <c r="B7596" s="709">
        <v>103431</v>
      </c>
      <c r="C7596" s="710" t="s">
        <v>7678</v>
      </c>
      <c r="D7596" s="709" t="s">
        <v>136</v>
      </c>
      <c r="E7596" s="711">
        <v>0.20230000000000001</v>
      </c>
    </row>
    <row r="7597" spans="1:5" x14ac:dyDescent="0.3">
      <c r="A7597" s="397"/>
      <c r="B7597" s="709">
        <v>103433</v>
      </c>
      <c r="C7597" s="710" t="s">
        <v>7679</v>
      </c>
      <c r="D7597" s="709" t="s">
        <v>136</v>
      </c>
      <c r="E7597" s="711">
        <v>0.11409999999999999</v>
      </c>
    </row>
    <row r="7598" spans="1:5" x14ac:dyDescent="0.3">
      <c r="A7598" s="397"/>
      <c r="B7598" s="709">
        <v>103434</v>
      </c>
      <c r="C7598" s="710" t="s">
        <v>7680</v>
      </c>
      <c r="D7598" s="709" t="s">
        <v>136</v>
      </c>
      <c r="E7598" s="711">
        <v>0.1318</v>
      </c>
    </row>
    <row r="7599" spans="1:5" x14ac:dyDescent="0.3">
      <c r="A7599" s="397"/>
      <c r="B7599" s="709">
        <v>103435</v>
      </c>
      <c r="C7599" s="710" t="s">
        <v>289</v>
      </c>
      <c r="D7599" s="709" t="s">
        <v>136</v>
      </c>
      <c r="E7599" s="711">
        <v>0.1396</v>
      </c>
    </row>
    <row r="7600" spans="1:5" x14ac:dyDescent="0.3">
      <c r="A7600" s="397"/>
      <c r="B7600" s="709">
        <v>103436</v>
      </c>
      <c r="C7600" s="710" t="s">
        <v>7681</v>
      </c>
      <c r="D7600" s="709" t="s">
        <v>136</v>
      </c>
      <c r="E7600" s="711">
        <v>1.7000000000000001E-2</v>
      </c>
    </row>
    <row r="7601" spans="1:5" x14ac:dyDescent="0.3">
      <c r="A7601" s="397"/>
      <c r="B7601" s="709">
        <v>103425</v>
      </c>
      <c r="C7601" s="710" t="s">
        <v>287</v>
      </c>
      <c r="D7601" s="709" t="s">
        <v>136</v>
      </c>
      <c r="E7601" s="711">
        <v>0.24129999999999999</v>
      </c>
    </row>
    <row r="7602" spans="1:5" x14ac:dyDescent="0.3">
      <c r="A7602" s="397"/>
      <c r="B7602" s="709">
        <v>103428</v>
      </c>
      <c r="C7602" s="710" t="s">
        <v>7725</v>
      </c>
      <c r="D7602" s="709" t="s">
        <v>136</v>
      </c>
      <c r="E7602" s="711">
        <v>0.1512</v>
      </c>
    </row>
    <row r="7603" spans="1:5" x14ac:dyDescent="0.3">
      <c r="A7603" s="397"/>
      <c r="B7603" s="709">
        <v>103426</v>
      </c>
      <c r="C7603" s="710" t="s">
        <v>7726</v>
      </c>
      <c r="D7603" s="709" t="s">
        <v>136</v>
      </c>
      <c r="E7603" s="711">
        <v>0.3206</v>
      </c>
    </row>
    <row r="7604" spans="1:5" x14ac:dyDescent="0.3">
      <c r="A7604" s="397"/>
      <c r="B7604" s="709">
        <v>103429</v>
      </c>
      <c r="C7604" s="710" t="s">
        <v>7727</v>
      </c>
      <c r="D7604" s="709" t="s">
        <v>136</v>
      </c>
      <c r="E7604" s="711">
        <v>2.7400000000000001E-2</v>
      </c>
    </row>
    <row r="7605" spans="1:5" x14ac:dyDescent="0.3">
      <c r="A7605" s="397"/>
      <c r="B7605" s="709">
        <v>103427</v>
      </c>
      <c r="C7605" s="710" t="s">
        <v>295</v>
      </c>
      <c r="D7605" s="709" t="s">
        <v>136</v>
      </c>
      <c r="E7605" s="711">
        <v>0.31540000000000001</v>
      </c>
    </row>
    <row r="7606" spans="1:5" x14ac:dyDescent="0.3">
      <c r="A7606" s="397"/>
      <c r="B7606" s="709">
        <v>103393</v>
      </c>
      <c r="C7606" s="710" t="s">
        <v>7728</v>
      </c>
      <c r="D7606" s="709" t="s">
        <v>159</v>
      </c>
      <c r="E7606" s="711">
        <v>3.3999999999999998E-3</v>
      </c>
    </row>
    <row r="7607" spans="1:5" x14ac:dyDescent="0.3">
      <c r="A7607" s="397"/>
      <c r="B7607" s="709">
        <v>103376</v>
      </c>
      <c r="C7607" s="710" t="s">
        <v>7729</v>
      </c>
      <c r="D7607" s="709" t="s">
        <v>159</v>
      </c>
      <c r="E7607" s="711">
        <v>9.4999999999999998E-3</v>
      </c>
    </row>
    <row r="7608" spans="1:5" x14ac:dyDescent="0.3">
      <c r="A7608" s="397"/>
      <c r="B7608" s="709">
        <v>104804</v>
      </c>
      <c r="C7608" s="710" t="s">
        <v>7730</v>
      </c>
      <c r="D7608" s="709" t="s">
        <v>159</v>
      </c>
      <c r="E7608" s="711">
        <v>2.8999999999999998E-3</v>
      </c>
    </row>
    <row r="7609" spans="1:5" x14ac:dyDescent="0.3">
      <c r="A7609" s="397"/>
      <c r="B7609" s="709">
        <v>104805</v>
      </c>
      <c r="C7609" s="710" t="s">
        <v>7731</v>
      </c>
      <c r="D7609" s="709" t="s">
        <v>159</v>
      </c>
      <c r="E7609" s="711">
        <v>2.5999999999999999E-3</v>
      </c>
    </row>
    <row r="7610" spans="1:5" x14ac:dyDescent="0.3">
      <c r="A7610" s="397"/>
      <c r="B7610" s="709">
        <v>103377</v>
      </c>
      <c r="C7610" s="710" t="s">
        <v>7732</v>
      </c>
      <c r="D7610" s="709" t="s">
        <v>159</v>
      </c>
      <c r="E7610" s="711">
        <v>6.4999999999999997E-3</v>
      </c>
    </row>
    <row r="7611" spans="1:5" x14ac:dyDescent="0.3">
      <c r="A7611" s="397"/>
      <c r="B7611" s="709">
        <v>104806</v>
      </c>
      <c r="C7611" s="710" t="s">
        <v>7733</v>
      </c>
      <c r="D7611" s="709" t="s">
        <v>159</v>
      </c>
      <c r="E7611" s="711">
        <v>2.3999999999999998E-3</v>
      </c>
    </row>
    <row r="7612" spans="1:5" x14ac:dyDescent="0.3">
      <c r="A7612" s="397"/>
      <c r="B7612" s="709">
        <v>103372</v>
      </c>
      <c r="C7612" s="710" t="s">
        <v>7735</v>
      </c>
      <c r="D7612" s="709" t="s">
        <v>159</v>
      </c>
      <c r="E7612" s="711">
        <v>3.8800000000000001E-2</v>
      </c>
    </row>
    <row r="7613" spans="1:5" x14ac:dyDescent="0.3">
      <c r="A7613" s="397"/>
      <c r="B7613" s="709">
        <v>103379</v>
      </c>
      <c r="C7613" s="710" t="s">
        <v>7736</v>
      </c>
      <c r="D7613" s="709" t="s">
        <v>159</v>
      </c>
      <c r="E7613" s="711">
        <v>5.1999999999999998E-3</v>
      </c>
    </row>
    <row r="7614" spans="1:5" x14ac:dyDescent="0.3">
      <c r="A7614" s="397"/>
      <c r="B7614" s="709">
        <v>103383</v>
      </c>
      <c r="C7614" s="710" t="s">
        <v>7740</v>
      </c>
      <c r="D7614" s="709" t="s">
        <v>159</v>
      </c>
      <c r="E7614" s="711">
        <v>2E-3</v>
      </c>
    </row>
    <row r="7615" spans="1:5" x14ac:dyDescent="0.3">
      <c r="A7615" s="397"/>
      <c r="B7615" s="709">
        <v>103373</v>
      </c>
      <c r="C7615" s="710" t="s">
        <v>7741</v>
      </c>
      <c r="D7615" s="709" t="s">
        <v>159</v>
      </c>
      <c r="E7615" s="711">
        <v>3.1800000000000002E-2</v>
      </c>
    </row>
    <row r="7616" spans="1:5" x14ac:dyDescent="0.3">
      <c r="A7616" s="397"/>
      <c r="B7616" s="709">
        <v>103385</v>
      </c>
      <c r="C7616" s="710" t="s">
        <v>7743</v>
      </c>
      <c r="D7616" s="709" t="s">
        <v>159</v>
      </c>
      <c r="E7616" s="711">
        <v>2.3999999999999998E-3</v>
      </c>
    </row>
    <row r="7617" spans="1:5" x14ac:dyDescent="0.3">
      <c r="A7617" s="397"/>
      <c r="B7617" s="709">
        <v>103387</v>
      </c>
      <c r="C7617" s="710" t="s">
        <v>7745</v>
      </c>
      <c r="D7617" s="709" t="s">
        <v>159</v>
      </c>
      <c r="E7617" s="711">
        <v>2.0999999999999999E-3</v>
      </c>
    </row>
    <row r="7618" spans="1:5" x14ac:dyDescent="0.3">
      <c r="A7618" s="397"/>
      <c r="B7618" s="709">
        <v>103389</v>
      </c>
      <c r="C7618" s="710" t="s">
        <v>7748</v>
      </c>
      <c r="D7618" s="709" t="s">
        <v>159</v>
      </c>
      <c r="E7618" s="711">
        <v>2.0999999999999999E-3</v>
      </c>
    </row>
    <row r="7619" spans="1:5" x14ac:dyDescent="0.3">
      <c r="A7619" s="397"/>
      <c r="B7619" s="709">
        <v>103391</v>
      </c>
      <c r="C7619" s="710" t="s">
        <v>7750</v>
      </c>
      <c r="D7619" s="709" t="s">
        <v>159</v>
      </c>
      <c r="E7619" s="711">
        <v>4.5999999999999999E-3</v>
      </c>
    </row>
    <row r="7620" spans="1:5" x14ac:dyDescent="0.3">
      <c r="A7620" s="397"/>
      <c r="B7620" s="709">
        <v>103392</v>
      </c>
      <c r="C7620" s="710" t="s">
        <v>7752</v>
      </c>
      <c r="D7620" s="709" t="s">
        <v>159</v>
      </c>
      <c r="E7620" s="711">
        <v>3.3E-3</v>
      </c>
    </row>
    <row r="7621" spans="1:5" x14ac:dyDescent="0.3">
      <c r="A7621" s="397"/>
      <c r="B7621" s="709">
        <v>103440</v>
      </c>
      <c r="C7621" s="710" t="s">
        <v>7753</v>
      </c>
      <c r="D7621" s="709" t="s">
        <v>136</v>
      </c>
      <c r="E7621" s="711">
        <v>0.1893</v>
      </c>
    </row>
    <row r="7622" spans="1:5" x14ac:dyDescent="0.3">
      <c r="A7622" s="397"/>
      <c r="B7622" s="709">
        <v>103441</v>
      </c>
      <c r="C7622" s="710" t="s">
        <v>7754</v>
      </c>
      <c r="D7622" s="709" t="s">
        <v>136</v>
      </c>
      <c r="E7622" s="711">
        <v>0.18690000000000001</v>
      </c>
    </row>
    <row r="7623" spans="1:5" x14ac:dyDescent="0.3">
      <c r="A7623" s="397"/>
      <c r="B7623" s="709">
        <v>103442</v>
      </c>
      <c r="C7623" s="710" t="s">
        <v>7755</v>
      </c>
      <c r="D7623" s="709" t="s">
        <v>136</v>
      </c>
      <c r="E7623" s="711">
        <v>0.14349999999999999</v>
      </c>
    </row>
    <row r="7624" spans="1:5" x14ac:dyDescent="0.3">
      <c r="A7624" s="397"/>
      <c r="B7624" s="709">
        <v>103437</v>
      </c>
      <c r="C7624" s="710" t="s">
        <v>263</v>
      </c>
      <c r="D7624" s="709" t="s">
        <v>136</v>
      </c>
      <c r="E7624" s="711">
        <v>0.13469999999999999</v>
      </c>
    </row>
    <row r="7625" spans="1:5" x14ac:dyDescent="0.3">
      <c r="A7625" s="397"/>
      <c r="B7625" s="709">
        <v>103438</v>
      </c>
      <c r="C7625" s="710" t="s">
        <v>7756</v>
      </c>
      <c r="D7625" s="709" t="s">
        <v>136</v>
      </c>
      <c r="E7625" s="711">
        <v>0.13469999999999999</v>
      </c>
    </row>
    <row r="7626" spans="1:5" x14ac:dyDescent="0.3">
      <c r="A7626" s="397"/>
      <c r="B7626" s="709">
        <v>103439</v>
      </c>
      <c r="C7626" s="710" t="s">
        <v>7757</v>
      </c>
      <c r="D7626" s="709" t="s">
        <v>136</v>
      </c>
      <c r="E7626" s="711">
        <v>0.1144</v>
      </c>
    </row>
    <row r="7627" spans="1:5" x14ac:dyDescent="0.3">
      <c r="A7627" s="397"/>
      <c r="B7627" s="709">
        <v>106122</v>
      </c>
      <c r="C7627" s="710" t="s">
        <v>7758</v>
      </c>
      <c r="D7627" s="709" t="s">
        <v>170</v>
      </c>
      <c r="E7627" s="711">
        <v>1</v>
      </c>
    </row>
    <row r="7628" spans="1:5" x14ac:dyDescent="0.3">
      <c r="A7628" s="397"/>
      <c r="B7628" s="709">
        <v>106131</v>
      </c>
      <c r="C7628" s="710" t="s">
        <v>7759</v>
      </c>
      <c r="D7628" s="709" t="s">
        <v>170</v>
      </c>
      <c r="E7628" s="711">
        <v>1</v>
      </c>
    </row>
    <row r="7629" spans="1:5" x14ac:dyDescent="0.3">
      <c r="A7629" s="397"/>
      <c r="B7629" s="709">
        <v>106127</v>
      </c>
      <c r="C7629" s="710" t="s">
        <v>7760</v>
      </c>
      <c r="D7629" s="709" t="s">
        <v>170</v>
      </c>
      <c r="E7629" s="711">
        <v>1</v>
      </c>
    </row>
    <row r="7630" spans="1:5" x14ac:dyDescent="0.3">
      <c r="A7630" s="397"/>
      <c r="B7630" s="709">
        <v>106126</v>
      </c>
      <c r="C7630" s="710" t="s">
        <v>7761</v>
      </c>
      <c r="D7630" s="709" t="s">
        <v>170</v>
      </c>
      <c r="E7630" s="711">
        <v>1</v>
      </c>
    </row>
    <row r="7631" spans="1:5" x14ac:dyDescent="0.3">
      <c r="A7631" s="397"/>
      <c r="B7631" s="709">
        <v>106128</v>
      </c>
      <c r="C7631" s="710" t="s">
        <v>7762</v>
      </c>
      <c r="D7631" s="709" t="s">
        <v>170</v>
      </c>
      <c r="E7631" s="711">
        <v>0.47570000000000001</v>
      </c>
    </row>
    <row r="7632" spans="1:5" x14ac:dyDescent="0.3">
      <c r="A7632" s="397"/>
      <c r="B7632" s="709">
        <v>106130</v>
      </c>
      <c r="C7632" s="710" t="s">
        <v>7763</v>
      </c>
      <c r="D7632" s="709" t="s">
        <v>170</v>
      </c>
      <c r="E7632" s="711">
        <v>1</v>
      </c>
    </row>
    <row r="7633" spans="1:5" x14ac:dyDescent="0.3">
      <c r="A7633" s="397"/>
      <c r="B7633" s="709">
        <v>106129</v>
      </c>
      <c r="C7633" s="710" t="s">
        <v>7764</v>
      </c>
      <c r="D7633" s="709" t="s">
        <v>170</v>
      </c>
      <c r="E7633" s="711">
        <v>1</v>
      </c>
    </row>
    <row r="7634" spans="1:5" x14ac:dyDescent="0.3">
      <c r="A7634" s="397"/>
      <c r="B7634" s="709">
        <v>106125</v>
      </c>
      <c r="C7634" s="710" t="s">
        <v>7765</v>
      </c>
      <c r="D7634" s="709" t="s">
        <v>170</v>
      </c>
      <c r="E7634" s="711">
        <v>1</v>
      </c>
    </row>
    <row r="7635" spans="1:5" x14ac:dyDescent="0.3">
      <c r="A7635" s="397"/>
      <c r="B7635" s="709">
        <v>106124</v>
      </c>
      <c r="C7635" s="710" t="s">
        <v>7766</v>
      </c>
      <c r="D7635" s="709" t="s">
        <v>170</v>
      </c>
      <c r="E7635" s="711">
        <v>1</v>
      </c>
    </row>
    <row r="7636" spans="1:5" x14ac:dyDescent="0.3">
      <c r="A7636" s="397"/>
      <c r="B7636" s="709">
        <v>106123</v>
      </c>
      <c r="C7636" s="710" t="s">
        <v>7767</v>
      </c>
      <c r="D7636" s="709" t="s">
        <v>170</v>
      </c>
      <c r="E7636" s="711">
        <v>0.47720000000000001</v>
      </c>
    </row>
    <row r="7637" spans="1:5" x14ac:dyDescent="0.3">
      <c r="A7637" s="397"/>
      <c r="B7637" s="709">
        <v>106455</v>
      </c>
      <c r="C7637" s="710" t="s">
        <v>14416</v>
      </c>
      <c r="D7637" s="709" t="s">
        <v>159</v>
      </c>
      <c r="E7637" s="711">
        <v>0.54449999999999998</v>
      </c>
    </row>
    <row r="7638" spans="1:5" x14ac:dyDescent="0.3">
      <c r="A7638" s="397"/>
      <c r="B7638" s="709">
        <v>106456</v>
      </c>
      <c r="C7638" s="710" t="s">
        <v>14417</v>
      </c>
      <c r="D7638" s="709" t="s">
        <v>159</v>
      </c>
      <c r="E7638" s="711">
        <v>0.54969999999999997</v>
      </c>
    </row>
    <row r="7639" spans="1:5" x14ac:dyDescent="0.3">
      <c r="A7639" s="397"/>
      <c r="B7639" s="709">
        <v>88789</v>
      </c>
      <c r="C7639" s="710" t="s">
        <v>7768</v>
      </c>
      <c r="D7639" s="709" t="s">
        <v>168</v>
      </c>
      <c r="E7639" s="711">
        <v>0.12089999999999999</v>
      </c>
    </row>
    <row r="7640" spans="1:5" x14ac:dyDescent="0.3">
      <c r="A7640" s="397"/>
      <c r="B7640" s="709">
        <v>88788</v>
      </c>
      <c r="C7640" s="710" t="s">
        <v>7769</v>
      </c>
      <c r="D7640" s="709" t="s">
        <v>168</v>
      </c>
      <c r="E7640" s="711">
        <v>0.126</v>
      </c>
    </row>
    <row r="7641" spans="1:5" x14ac:dyDescent="0.3">
      <c r="A7641" s="397"/>
      <c r="B7641" s="709">
        <v>87245</v>
      </c>
      <c r="C7641" s="710" t="s">
        <v>7770</v>
      </c>
      <c r="D7641" s="709" t="s">
        <v>168</v>
      </c>
      <c r="E7641" s="711">
        <v>0.15409999999999999</v>
      </c>
    </row>
    <row r="7642" spans="1:5" x14ac:dyDescent="0.3">
      <c r="A7642" s="397"/>
      <c r="B7642" s="709">
        <v>87244</v>
      </c>
      <c r="C7642" s="710" t="s">
        <v>7771</v>
      </c>
      <c r="D7642" s="709" t="s">
        <v>168</v>
      </c>
      <c r="E7642" s="711">
        <v>0.1595</v>
      </c>
    </row>
    <row r="7643" spans="1:5" x14ac:dyDescent="0.3">
      <c r="A7643" s="397"/>
      <c r="B7643" s="709">
        <v>104589</v>
      </c>
      <c r="C7643" s="710" t="s">
        <v>7772</v>
      </c>
      <c r="D7643" s="709" t="s">
        <v>168</v>
      </c>
      <c r="E7643" s="711">
        <v>0.185</v>
      </c>
    </row>
    <row r="7644" spans="1:5" x14ac:dyDescent="0.3">
      <c r="A7644" s="397"/>
      <c r="B7644" s="709">
        <v>104588</v>
      </c>
      <c r="C7644" s="710" t="s">
        <v>7773</v>
      </c>
      <c r="D7644" s="709" t="s">
        <v>168</v>
      </c>
      <c r="E7644" s="711">
        <v>0.19059999999999999</v>
      </c>
    </row>
    <row r="7645" spans="1:5" x14ac:dyDescent="0.3">
      <c r="A7645" s="397"/>
      <c r="B7645" s="709">
        <v>104591</v>
      </c>
      <c r="C7645" s="710" t="s">
        <v>7774</v>
      </c>
      <c r="D7645" s="709" t="s">
        <v>168</v>
      </c>
      <c r="E7645" s="711">
        <v>0.2117</v>
      </c>
    </row>
    <row r="7646" spans="1:5" x14ac:dyDescent="0.3">
      <c r="A7646" s="397"/>
      <c r="B7646" s="709">
        <v>104590</v>
      </c>
      <c r="C7646" s="710" t="s">
        <v>7775</v>
      </c>
      <c r="D7646" s="709" t="s">
        <v>168</v>
      </c>
      <c r="E7646" s="711">
        <v>0.22450000000000001</v>
      </c>
    </row>
    <row r="7647" spans="1:5" x14ac:dyDescent="0.3">
      <c r="A7647" s="397"/>
      <c r="B7647" s="709">
        <v>87267</v>
      </c>
      <c r="C7647" s="710" t="s">
        <v>7776</v>
      </c>
      <c r="D7647" s="709" t="s">
        <v>168</v>
      </c>
      <c r="E7647" s="711">
        <v>0.40139999999999998</v>
      </c>
    </row>
    <row r="7648" spans="1:5" x14ac:dyDescent="0.3">
      <c r="A7648" s="397"/>
      <c r="B7648" s="709">
        <v>104614</v>
      </c>
      <c r="C7648" s="710" t="s">
        <v>7777</v>
      </c>
      <c r="D7648" s="709" t="s">
        <v>168</v>
      </c>
      <c r="E7648" s="711">
        <v>0.43590000000000001</v>
      </c>
    </row>
    <row r="7649" spans="1:5" x14ac:dyDescent="0.3">
      <c r="A7649" s="397"/>
      <c r="B7649" s="709">
        <v>104613</v>
      </c>
      <c r="C7649" s="710" t="s">
        <v>7778</v>
      </c>
      <c r="D7649" s="709" t="s">
        <v>168</v>
      </c>
      <c r="E7649" s="711">
        <v>0.38190000000000002</v>
      </c>
    </row>
    <row r="7650" spans="1:5" x14ac:dyDescent="0.3">
      <c r="A7650" s="397"/>
      <c r="B7650" s="709">
        <v>87265</v>
      </c>
      <c r="C7650" s="710" t="s">
        <v>7779</v>
      </c>
      <c r="D7650" s="709" t="s">
        <v>168</v>
      </c>
      <c r="E7650" s="711">
        <v>0.35289999999999999</v>
      </c>
    </row>
    <row r="7651" spans="1:5" x14ac:dyDescent="0.3">
      <c r="A7651" s="397"/>
      <c r="B7651" s="709">
        <v>87271</v>
      </c>
      <c r="C7651" s="710" t="s">
        <v>7780</v>
      </c>
      <c r="D7651" s="709" t="s">
        <v>168</v>
      </c>
      <c r="E7651" s="711">
        <v>0.43619999999999998</v>
      </c>
    </row>
    <row r="7652" spans="1:5" x14ac:dyDescent="0.3">
      <c r="A7652" s="397"/>
      <c r="B7652" s="709">
        <v>87269</v>
      </c>
      <c r="C7652" s="710" t="s">
        <v>7781</v>
      </c>
      <c r="D7652" s="709" t="s">
        <v>168</v>
      </c>
      <c r="E7652" s="711">
        <v>0.39290000000000003</v>
      </c>
    </row>
    <row r="7653" spans="1:5" x14ac:dyDescent="0.3">
      <c r="A7653" s="397"/>
      <c r="B7653" s="709">
        <v>87275</v>
      </c>
      <c r="C7653" s="710" t="s">
        <v>7782</v>
      </c>
      <c r="D7653" s="709" t="s">
        <v>168</v>
      </c>
      <c r="E7653" s="711">
        <v>0.45100000000000001</v>
      </c>
    </row>
    <row r="7654" spans="1:5" x14ac:dyDescent="0.3">
      <c r="A7654" s="397"/>
      <c r="B7654" s="709">
        <v>87273</v>
      </c>
      <c r="C7654" s="710" t="s">
        <v>7783</v>
      </c>
      <c r="D7654" s="709" t="s">
        <v>168</v>
      </c>
      <c r="E7654" s="711">
        <v>0.39989999999999998</v>
      </c>
    </row>
    <row r="7655" spans="1:5" x14ac:dyDescent="0.3">
      <c r="A7655" s="397"/>
      <c r="B7655" s="709">
        <v>104612</v>
      </c>
      <c r="C7655" s="710" t="s">
        <v>7784</v>
      </c>
      <c r="D7655" s="709" t="s">
        <v>168</v>
      </c>
      <c r="E7655" s="711">
        <v>0.30830000000000002</v>
      </c>
    </row>
    <row r="7656" spans="1:5" x14ac:dyDescent="0.3">
      <c r="A7656" s="397"/>
      <c r="B7656" s="709">
        <v>104611</v>
      </c>
      <c r="C7656" s="710" t="s">
        <v>7785</v>
      </c>
      <c r="D7656" s="709" t="s">
        <v>168</v>
      </c>
      <c r="E7656" s="711">
        <v>0.29759999999999998</v>
      </c>
    </row>
    <row r="7657" spans="1:5" x14ac:dyDescent="0.3">
      <c r="A7657" s="397"/>
      <c r="B7657" s="709">
        <v>104618</v>
      </c>
      <c r="C7657" s="710" t="s">
        <v>7786</v>
      </c>
      <c r="D7657" s="709" t="s">
        <v>168</v>
      </c>
      <c r="E7657" s="711">
        <v>0.126</v>
      </c>
    </row>
    <row r="7658" spans="1:5" x14ac:dyDescent="0.3">
      <c r="A7658" s="397"/>
      <c r="B7658" s="709">
        <v>104616</v>
      </c>
      <c r="C7658" s="710" t="s">
        <v>7787</v>
      </c>
      <c r="D7658" s="709" t="s">
        <v>168</v>
      </c>
      <c r="E7658" s="711">
        <v>0.1018</v>
      </c>
    </row>
    <row r="7659" spans="1:5" x14ac:dyDescent="0.3">
      <c r="A7659" s="397"/>
      <c r="B7659" s="709">
        <v>104617</v>
      </c>
      <c r="C7659" s="710" t="s">
        <v>7788</v>
      </c>
      <c r="D7659" s="709" t="s">
        <v>168</v>
      </c>
      <c r="E7659" s="711">
        <v>0.1651</v>
      </c>
    </row>
    <row r="7660" spans="1:5" x14ac:dyDescent="0.3">
      <c r="A7660" s="397"/>
      <c r="B7660" s="709">
        <v>104615</v>
      </c>
      <c r="C7660" s="710" t="s">
        <v>7789</v>
      </c>
      <c r="D7660" s="709" t="s">
        <v>168</v>
      </c>
      <c r="E7660" s="711">
        <v>0.13450000000000001</v>
      </c>
    </row>
    <row r="7661" spans="1:5" x14ac:dyDescent="0.3">
      <c r="A7661" s="397"/>
      <c r="B7661" s="709">
        <v>87247</v>
      </c>
      <c r="C7661" s="710" t="s">
        <v>7790</v>
      </c>
      <c r="D7661" s="709" t="s">
        <v>168</v>
      </c>
      <c r="E7661" s="711">
        <v>0.27929999999999999</v>
      </c>
    </row>
    <row r="7662" spans="1:5" x14ac:dyDescent="0.3">
      <c r="A7662" s="397"/>
      <c r="B7662" s="709">
        <v>87248</v>
      </c>
      <c r="C7662" s="710" t="s">
        <v>7791</v>
      </c>
      <c r="D7662" s="709" t="s">
        <v>168</v>
      </c>
      <c r="E7662" s="711">
        <v>0.1822</v>
      </c>
    </row>
    <row r="7663" spans="1:5" x14ac:dyDescent="0.3">
      <c r="A7663" s="397"/>
      <c r="B7663" s="709">
        <v>87246</v>
      </c>
      <c r="C7663" s="710" t="s">
        <v>7792</v>
      </c>
      <c r="D7663" s="709" t="s">
        <v>168</v>
      </c>
      <c r="E7663" s="711">
        <v>0.34449999999999997</v>
      </c>
    </row>
    <row r="7664" spans="1:5" x14ac:dyDescent="0.3">
      <c r="A7664" s="397"/>
      <c r="B7664" s="709">
        <v>104601</v>
      </c>
      <c r="C7664" s="710" t="s">
        <v>7793</v>
      </c>
      <c r="D7664" s="709" t="s">
        <v>168</v>
      </c>
      <c r="E7664" s="711">
        <v>0.31759999999999999</v>
      </c>
    </row>
    <row r="7665" spans="1:5" x14ac:dyDescent="0.3">
      <c r="A7665" s="397"/>
      <c r="B7665" s="709">
        <v>104603</v>
      </c>
      <c r="C7665" s="710" t="s">
        <v>7794</v>
      </c>
      <c r="D7665" s="709" t="s">
        <v>168</v>
      </c>
      <c r="E7665" s="711">
        <v>0.20899999999999999</v>
      </c>
    </row>
    <row r="7666" spans="1:5" x14ac:dyDescent="0.3">
      <c r="A7666" s="397"/>
      <c r="B7666" s="709">
        <v>104599</v>
      </c>
      <c r="C7666" s="710" t="s">
        <v>7795</v>
      </c>
      <c r="D7666" s="709" t="s">
        <v>168</v>
      </c>
      <c r="E7666" s="711">
        <v>0.41610000000000003</v>
      </c>
    </row>
    <row r="7667" spans="1:5" x14ac:dyDescent="0.3">
      <c r="A7667" s="397"/>
      <c r="B7667" s="709">
        <v>87250</v>
      </c>
      <c r="C7667" s="710" t="s">
        <v>7796</v>
      </c>
      <c r="D7667" s="709" t="s">
        <v>168</v>
      </c>
      <c r="E7667" s="711">
        <v>0.29339999999999999</v>
      </c>
    </row>
    <row r="7668" spans="1:5" x14ac:dyDescent="0.3">
      <c r="A7668" s="397"/>
      <c r="B7668" s="709">
        <v>87251</v>
      </c>
      <c r="C7668" s="710" t="s">
        <v>7797</v>
      </c>
      <c r="D7668" s="709" t="s">
        <v>168</v>
      </c>
      <c r="E7668" s="711">
        <v>0.18859999999999999</v>
      </c>
    </row>
    <row r="7669" spans="1:5" x14ac:dyDescent="0.3">
      <c r="A7669" s="397"/>
      <c r="B7669" s="709">
        <v>87249</v>
      </c>
      <c r="C7669" s="710" t="s">
        <v>7798</v>
      </c>
      <c r="D7669" s="709" t="s">
        <v>168</v>
      </c>
      <c r="E7669" s="711">
        <v>0.37590000000000001</v>
      </c>
    </row>
    <row r="7670" spans="1:5" x14ac:dyDescent="0.3">
      <c r="A7670" s="397"/>
      <c r="B7670" s="709">
        <v>104606</v>
      </c>
      <c r="C7670" s="710" t="s">
        <v>7799</v>
      </c>
      <c r="D7670" s="709" t="s">
        <v>168</v>
      </c>
      <c r="E7670" s="711">
        <v>0.34870000000000001</v>
      </c>
    </row>
    <row r="7671" spans="1:5" x14ac:dyDescent="0.3">
      <c r="A7671" s="397"/>
      <c r="B7671" s="709">
        <v>104607</v>
      </c>
      <c r="C7671" s="710" t="s">
        <v>7800</v>
      </c>
      <c r="D7671" s="709" t="s">
        <v>168</v>
      </c>
      <c r="E7671" s="711">
        <v>0.22550000000000001</v>
      </c>
    </row>
    <row r="7672" spans="1:5" x14ac:dyDescent="0.3">
      <c r="A7672" s="397"/>
      <c r="B7672" s="709">
        <v>104605</v>
      </c>
      <c r="C7672" s="710" t="s">
        <v>7801</v>
      </c>
      <c r="D7672" s="709" t="s">
        <v>168</v>
      </c>
      <c r="E7672" s="711">
        <v>0.48970000000000002</v>
      </c>
    </row>
    <row r="7673" spans="1:5" x14ac:dyDescent="0.3">
      <c r="A7673" s="397"/>
      <c r="B7673" s="709">
        <v>87256</v>
      </c>
      <c r="C7673" s="710" t="s">
        <v>7802</v>
      </c>
      <c r="D7673" s="709" t="s">
        <v>168</v>
      </c>
      <c r="E7673" s="711">
        <v>0.27260000000000001</v>
      </c>
    </row>
    <row r="7674" spans="1:5" x14ac:dyDescent="0.3">
      <c r="A7674" s="397"/>
      <c r="B7674" s="709">
        <v>87257</v>
      </c>
      <c r="C7674" s="710" t="s">
        <v>7803</v>
      </c>
      <c r="D7674" s="709" t="s">
        <v>168</v>
      </c>
      <c r="E7674" s="711">
        <v>0.17549999999999999</v>
      </c>
    </row>
    <row r="7675" spans="1:5" x14ac:dyDescent="0.3">
      <c r="A7675" s="397"/>
      <c r="B7675" s="709">
        <v>87255</v>
      </c>
      <c r="C7675" s="710" t="s">
        <v>7804</v>
      </c>
      <c r="D7675" s="709" t="s">
        <v>168</v>
      </c>
      <c r="E7675" s="711">
        <v>0.3488</v>
      </c>
    </row>
    <row r="7676" spans="1:5" x14ac:dyDescent="0.3">
      <c r="A7676" s="397"/>
      <c r="B7676" s="709">
        <v>104594</v>
      </c>
      <c r="C7676" s="710" t="s">
        <v>7805</v>
      </c>
      <c r="D7676" s="709" t="s">
        <v>168</v>
      </c>
      <c r="E7676" s="711">
        <v>0.28739999999999999</v>
      </c>
    </row>
    <row r="7677" spans="1:5" x14ac:dyDescent="0.3">
      <c r="A7677" s="397"/>
      <c r="B7677" s="709">
        <v>104595</v>
      </c>
      <c r="C7677" s="710" t="s">
        <v>7806</v>
      </c>
      <c r="D7677" s="709" t="s">
        <v>168</v>
      </c>
      <c r="E7677" s="711">
        <v>0.18129999999999999</v>
      </c>
    </row>
    <row r="7678" spans="1:5" x14ac:dyDescent="0.3">
      <c r="A7678" s="397"/>
      <c r="B7678" s="709">
        <v>104593</v>
      </c>
      <c r="C7678" s="710" t="s">
        <v>7807</v>
      </c>
      <c r="D7678" s="709" t="s">
        <v>168</v>
      </c>
      <c r="E7678" s="711">
        <v>0.36559999999999998</v>
      </c>
    </row>
    <row r="7679" spans="1:5" x14ac:dyDescent="0.3">
      <c r="A7679" s="397"/>
      <c r="B7679" s="709">
        <v>87262</v>
      </c>
      <c r="C7679" s="710" t="s">
        <v>7808</v>
      </c>
      <c r="D7679" s="709" t="s">
        <v>168</v>
      </c>
      <c r="E7679" s="711">
        <v>0.21879999999999999</v>
      </c>
    </row>
    <row r="7680" spans="1:5" x14ac:dyDescent="0.3">
      <c r="A7680" s="397"/>
      <c r="B7680" s="709">
        <v>87263</v>
      </c>
      <c r="C7680" s="710" t="s">
        <v>7809</v>
      </c>
      <c r="D7680" s="709" t="s">
        <v>168</v>
      </c>
      <c r="E7680" s="711">
        <v>0.16089999999999999</v>
      </c>
    </row>
    <row r="7681" spans="1:5" x14ac:dyDescent="0.3">
      <c r="A7681" s="397"/>
      <c r="B7681" s="709">
        <v>87261</v>
      </c>
      <c r="C7681" s="710" t="s">
        <v>7810</v>
      </c>
      <c r="D7681" s="709" t="s">
        <v>168</v>
      </c>
      <c r="E7681" s="711">
        <v>0.26840000000000003</v>
      </c>
    </row>
    <row r="7682" spans="1:5" x14ac:dyDescent="0.3">
      <c r="A7682" s="397"/>
      <c r="B7682" s="709">
        <v>104597</v>
      </c>
      <c r="C7682" s="710" t="s">
        <v>7811</v>
      </c>
      <c r="D7682" s="709" t="s">
        <v>168</v>
      </c>
      <c r="E7682" s="711">
        <v>0.2278</v>
      </c>
    </row>
    <row r="7683" spans="1:5" x14ac:dyDescent="0.3">
      <c r="A7683" s="397"/>
      <c r="B7683" s="709">
        <v>104598</v>
      </c>
      <c r="C7683" s="710" t="s">
        <v>7812</v>
      </c>
      <c r="D7683" s="709" t="s">
        <v>168</v>
      </c>
      <c r="E7683" s="711">
        <v>0.16400000000000001</v>
      </c>
    </row>
    <row r="7684" spans="1:5" x14ac:dyDescent="0.3">
      <c r="A7684" s="397"/>
      <c r="B7684" s="709">
        <v>104596</v>
      </c>
      <c r="C7684" s="710" t="s">
        <v>7813</v>
      </c>
      <c r="D7684" s="709" t="s">
        <v>168</v>
      </c>
      <c r="E7684" s="711">
        <v>0.27979999999999999</v>
      </c>
    </row>
    <row r="7685" spans="1:5" x14ac:dyDescent="0.3">
      <c r="A7685" s="397"/>
      <c r="B7685" s="709">
        <v>88648</v>
      </c>
      <c r="C7685" s="710" t="s">
        <v>7814</v>
      </c>
      <c r="D7685" s="709" t="s">
        <v>159</v>
      </c>
      <c r="E7685" s="711">
        <v>0.3478</v>
      </c>
    </row>
    <row r="7686" spans="1:5" x14ac:dyDescent="0.3">
      <c r="A7686" s="397"/>
      <c r="B7686" s="709">
        <v>88649</v>
      </c>
      <c r="C7686" s="710" t="s">
        <v>7815</v>
      </c>
      <c r="D7686" s="709" t="s">
        <v>159</v>
      </c>
      <c r="E7686" s="711">
        <v>0.32100000000000001</v>
      </c>
    </row>
    <row r="7687" spans="1:5" x14ac:dyDescent="0.3">
      <c r="A7687" s="397"/>
      <c r="B7687" s="709">
        <v>88650</v>
      </c>
      <c r="C7687" s="710" t="s">
        <v>7816</v>
      </c>
      <c r="D7687" s="709" t="s">
        <v>159</v>
      </c>
      <c r="E7687" s="711">
        <v>0.26540000000000002</v>
      </c>
    </row>
    <row r="7688" spans="1:5" x14ac:dyDescent="0.3">
      <c r="A7688" s="397"/>
      <c r="B7688" s="709">
        <v>104619</v>
      </c>
      <c r="C7688" s="710" t="s">
        <v>7817</v>
      </c>
      <c r="D7688" s="709" t="s">
        <v>159</v>
      </c>
      <c r="E7688" s="711">
        <v>0.2379</v>
      </c>
    </row>
    <row r="7689" spans="1:5" x14ac:dyDescent="0.3">
      <c r="A7689" s="397"/>
      <c r="B7689" s="709">
        <v>102500</v>
      </c>
      <c r="C7689" s="710" t="s">
        <v>7047</v>
      </c>
      <c r="D7689" s="709" t="s">
        <v>159</v>
      </c>
      <c r="E7689" s="711">
        <v>0.70569999999999999</v>
      </c>
    </row>
    <row r="7690" spans="1:5" x14ac:dyDescent="0.3">
      <c r="A7690" s="397"/>
      <c r="B7690" s="709">
        <v>102512</v>
      </c>
      <c r="C7690" s="710" t="s">
        <v>7051</v>
      </c>
      <c r="D7690" s="709" t="s">
        <v>159</v>
      </c>
      <c r="E7690" s="711">
        <v>0.39879999999999999</v>
      </c>
    </row>
    <row r="7691" spans="1:5" x14ac:dyDescent="0.3">
      <c r="A7691" s="397"/>
      <c r="B7691" s="709">
        <v>102501</v>
      </c>
      <c r="C7691" s="710" t="s">
        <v>7052</v>
      </c>
      <c r="D7691" s="709" t="s">
        <v>168</v>
      </c>
      <c r="E7691" s="711">
        <v>0.66020000000000001</v>
      </c>
    </row>
    <row r="7692" spans="1:5" x14ac:dyDescent="0.3">
      <c r="A7692" s="397"/>
      <c r="B7692" s="709">
        <v>102508</v>
      </c>
      <c r="C7692" s="710" t="s">
        <v>7054</v>
      </c>
      <c r="D7692" s="709" t="s">
        <v>168</v>
      </c>
      <c r="E7692" s="711">
        <v>0.372</v>
      </c>
    </row>
    <row r="7693" spans="1:5" x14ac:dyDescent="0.3">
      <c r="A7693" s="397"/>
      <c r="B7693" s="709">
        <v>102509</v>
      </c>
      <c r="C7693" s="710" t="s">
        <v>7056</v>
      </c>
      <c r="D7693" s="709" t="s">
        <v>168</v>
      </c>
      <c r="E7693" s="711">
        <v>0.5</v>
      </c>
    </row>
    <row r="7694" spans="1:5" x14ac:dyDescent="0.3">
      <c r="A7694" s="397"/>
      <c r="B7694" s="709">
        <v>102498</v>
      </c>
      <c r="C7694" s="710" t="s">
        <v>7057</v>
      </c>
      <c r="D7694" s="709" t="s">
        <v>159</v>
      </c>
      <c r="E7694" s="711">
        <v>0.9</v>
      </c>
    </row>
    <row r="7695" spans="1:5" x14ac:dyDescent="0.3">
      <c r="A7695" s="397"/>
      <c r="B7695" s="709">
        <v>102513</v>
      </c>
      <c r="C7695" s="710" t="s">
        <v>7073</v>
      </c>
      <c r="D7695" s="709" t="s">
        <v>168</v>
      </c>
      <c r="E7695" s="711">
        <v>0.76619999999999999</v>
      </c>
    </row>
    <row r="7696" spans="1:5" x14ac:dyDescent="0.3">
      <c r="A7696" s="397"/>
      <c r="B7696" s="709">
        <v>103689</v>
      </c>
      <c r="C7696" s="710" t="s">
        <v>274</v>
      </c>
      <c r="D7696" s="709" t="s">
        <v>168</v>
      </c>
      <c r="E7696" s="711">
        <v>9.5899999999999999E-2</v>
      </c>
    </row>
    <row r="7697" spans="1:5" x14ac:dyDescent="0.3">
      <c r="A7697" s="397"/>
      <c r="B7697" s="709">
        <v>103696</v>
      </c>
      <c r="C7697" s="710" t="s">
        <v>7879</v>
      </c>
      <c r="D7697" s="709" t="s">
        <v>136</v>
      </c>
      <c r="E7697" s="711">
        <v>0.54759999999999998</v>
      </c>
    </row>
    <row r="7698" spans="1:5" x14ac:dyDescent="0.3">
      <c r="A7698" s="397"/>
      <c r="B7698" s="709">
        <v>103697</v>
      </c>
      <c r="C7698" s="710" t="s">
        <v>7880</v>
      </c>
      <c r="D7698" s="709" t="s">
        <v>136</v>
      </c>
      <c r="E7698" s="711">
        <v>0.56999999999999995</v>
      </c>
    </row>
    <row r="7699" spans="1:5" x14ac:dyDescent="0.3">
      <c r="A7699" s="397"/>
      <c r="B7699" s="709">
        <v>103695</v>
      </c>
      <c r="C7699" s="710" t="s">
        <v>7881</v>
      </c>
      <c r="D7699" s="709" t="s">
        <v>136</v>
      </c>
      <c r="E7699" s="711">
        <v>0.43459999999999999</v>
      </c>
    </row>
    <row r="7700" spans="1:5" x14ac:dyDescent="0.3">
      <c r="A7700" s="397"/>
      <c r="B7700" s="709">
        <v>103694</v>
      </c>
      <c r="C7700" s="710" t="s">
        <v>7882</v>
      </c>
      <c r="D7700" s="709" t="s">
        <v>136</v>
      </c>
      <c r="E7700" s="711">
        <v>0.4194</v>
      </c>
    </row>
    <row r="7701" spans="1:5" x14ac:dyDescent="0.3">
      <c r="A7701" s="397"/>
      <c r="B7701" s="709">
        <v>96987</v>
      </c>
      <c r="C7701" s="710" t="s">
        <v>7887</v>
      </c>
      <c r="D7701" s="709" t="s">
        <v>136</v>
      </c>
      <c r="E7701" s="711">
        <v>0.50770000000000004</v>
      </c>
    </row>
    <row r="7702" spans="1:5" x14ac:dyDescent="0.3">
      <c r="A7702" s="397"/>
      <c r="B7702" s="709">
        <v>96989</v>
      </c>
      <c r="C7702" s="710" t="s">
        <v>7888</v>
      </c>
      <c r="D7702" s="709" t="s">
        <v>136</v>
      </c>
      <c r="E7702" s="711">
        <v>5.2499999999999998E-2</v>
      </c>
    </row>
    <row r="7703" spans="1:5" x14ac:dyDescent="0.3">
      <c r="A7703" s="397"/>
      <c r="B7703" s="709">
        <v>104749</v>
      </c>
      <c r="C7703" s="710" t="s">
        <v>7889</v>
      </c>
      <c r="D7703" s="709" t="s">
        <v>136</v>
      </c>
      <c r="E7703" s="711">
        <v>0.42020000000000002</v>
      </c>
    </row>
    <row r="7704" spans="1:5" x14ac:dyDescent="0.3">
      <c r="A7704" s="397"/>
      <c r="B7704" s="709">
        <v>104750</v>
      </c>
      <c r="C7704" s="710" t="s">
        <v>7890</v>
      </c>
      <c r="D7704" s="709" t="s">
        <v>136</v>
      </c>
      <c r="E7704" s="711">
        <v>0.53910000000000002</v>
      </c>
    </row>
    <row r="7705" spans="1:5" x14ac:dyDescent="0.3">
      <c r="A7705" s="397"/>
      <c r="B7705" s="709">
        <v>104751</v>
      </c>
      <c r="C7705" s="710" t="s">
        <v>7891</v>
      </c>
      <c r="D7705" s="709" t="s">
        <v>136</v>
      </c>
      <c r="E7705" s="711">
        <v>0.36280000000000001</v>
      </c>
    </row>
    <row r="7706" spans="1:5" x14ac:dyDescent="0.3">
      <c r="A7706" s="397"/>
      <c r="B7706" s="709">
        <v>104752</v>
      </c>
      <c r="C7706" s="710" t="s">
        <v>7892</v>
      </c>
      <c r="D7706" s="709" t="s">
        <v>136</v>
      </c>
      <c r="E7706" s="711">
        <v>0.46779999999999999</v>
      </c>
    </row>
    <row r="7707" spans="1:5" x14ac:dyDescent="0.3">
      <c r="A7707" s="397"/>
      <c r="B7707" s="709">
        <v>104753</v>
      </c>
      <c r="C7707" s="710" t="s">
        <v>7893</v>
      </c>
      <c r="D7707" s="709" t="s">
        <v>136</v>
      </c>
      <c r="E7707" s="711">
        <v>0.38519999999999999</v>
      </c>
    </row>
    <row r="7708" spans="1:5" x14ac:dyDescent="0.3">
      <c r="A7708" s="397"/>
      <c r="B7708" s="709">
        <v>104754</v>
      </c>
      <c r="C7708" s="710" t="s">
        <v>7894</v>
      </c>
      <c r="D7708" s="709" t="s">
        <v>136</v>
      </c>
      <c r="E7708" s="711">
        <v>0.29559999999999997</v>
      </c>
    </row>
    <row r="7709" spans="1:5" x14ac:dyDescent="0.3">
      <c r="A7709" s="397"/>
      <c r="B7709" s="709">
        <v>104755</v>
      </c>
      <c r="C7709" s="710" t="s">
        <v>7895</v>
      </c>
      <c r="D7709" s="709" t="s">
        <v>136</v>
      </c>
      <c r="E7709" s="711">
        <v>0.21729999999999999</v>
      </c>
    </row>
    <row r="7710" spans="1:5" x14ac:dyDescent="0.3">
      <c r="A7710" s="397"/>
      <c r="B7710" s="709">
        <v>96973</v>
      </c>
      <c r="C7710" s="710" t="s">
        <v>7902</v>
      </c>
      <c r="D7710" s="709" t="s">
        <v>159</v>
      </c>
      <c r="E7710" s="711">
        <v>0.34150000000000003</v>
      </c>
    </row>
    <row r="7711" spans="1:5" x14ac:dyDescent="0.3">
      <c r="A7711" s="397"/>
      <c r="B7711" s="709">
        <v>96977</v>
      </c>
      <c r="C7711" s="710" t="s">
        <v>7904</v>
      </c>
      <c r="D7711" s="709" t="s">
        <v>159</v>
      </c>
      <c r="E7711" s="711">
        <v>2.9600000000000001E-2</v>
      </c>
    </row>
    <row r="7712" spans="1:5" x14ac:dyDescent="0.3">
      <c r="A7712" s="397"/>
      <c r="B7712" s="709">
        <v>96974</v>
      </c>
      <c r="C7712" s="710" t="s">
        <v>7905</v>
      </c>
      <c r="D7712" s="709" t="s">
        <v>159</v>
      </c>
      <c r="E7712" s="711">
        <v>0.3049</v>
      </c>
    </row>
    <row r="7713" spans="1:5" x14ac:dyDescent="0.3">
      <c r="A7713" s="397"/>
      <c r="B7713" s="709">
        <v>96978</v>
      </c>
      <c r="C7713" s="710" t="s">
        <v>7907</v>
      </c>
      <c r="D7713" s="709" t="s">
        <v>159</v>
      </c>
      <c r="E7713" s="711">
        <v>2.7300000000000001E-2</v>
      </c>
    </row>
    <row r="7714" spans="1:5" x14ac:dyDescent="0.3">
      <c r="A7714" s="397"/>
      <c r="B7714" s="709">
        <v>96975</v>
      </c>
      <c r="C7714" s="710" t="s">
        <v>7908</v>
      </c>
      <c r="D7714" s="709" t="s">
        <v>159</v>
      </c>
      <c r="E7714" s="711">
        <v>0.2772</v>
      </c>
    </row>
    <row r="7715" spans="1:5" x14ac:dyDescent="0.3">
      <c r="A7715" s="397"/>
      <c r="B7715" s="709">
        <v>96979</v>
      </c>
      <c r="C7715" s="710" t="s">
        <v>7910</v>
      </c>
      <c r="D7715" s="709" t="s">
        <v>159</v>
      </c>
      <c r="E7715" s="711">
        <v>2.1999999999999999E-2</v>
      </c>
    </row>
    <row r="7716" spans="1:5" x14ac:dyDescent="0.3">
      <c r="A7716" s="397"/>
      <c r="B7716" s="709">
        <v>96976</v>
      </c>
      <c r="C7716" s="710" t="s">
        <v>7911</v>
      </c>
      <c r="D7716" s="709" t="s">
        <v>159</v>
      </c>
      <c r="E7716" s="711">
        <v>0.23139999999999999</v>
      </c>
    </row>
    <row r="7717" spans="1:5" x14ac:dyDescent="0.3">
      <c r="A7717" s="397"/>
      <c r="B7717" s="709">
        <v>96984</v>
      </c>
      <c r="C7717" s="710" t="s">
        <v>7912</v>
      </c>
      <c r="D7717" s="709" t="s">
        <v>136</v>
      </c>
      <c r="E7717" s="711">
        <v>0.6552</v>
      </c>
    </row>
    <row r="7718" spans="1:5" x14ac:dyDescent="0.3">
      <c r="A7718" s="397"/>
      <c r="B7718" s="709">
        <v>96986</v>
      </c>
      <c r="C7718" s="710" t="s">
        <v>7914</v>
      </c>
      <c r="D7718" s="709" t="s">
        <v>136</v>
      </c>
      <c r="E7718" s="711">
        <v>0.13519999999999999</v>
      </c>
    </row>
    <row r="7719" spans="1:5" x14ac:dyDescent="0.3">
      <c r="A7719" s="397"/>
      <c r="B7719" s="709">
        <v>96985</v>
      </c>
      <c r="C7719" s="710" t="s">
        <v>7915</v>
      </c>
      <c r="D7719" s="709" t="s">
        <v>136</v>
      </c>
      <c r="E7719" s="711">
        <v>0.12889999999999999</v>
      </c>
    </row>
    <row r="7720" spans="1:5" x14ac:dyDescent="0.3">
      <c r="A7720" s="397"/>
      <c r="B7720" s="709">
        <v>96988</v>
      </c>
      <c r="C7720" s="710" t="s">
        <v>7916</v>
      </c>
      <c r="D7720" s="709" t="s">
        <v>136</v>
      </c>
      <c r="E7720" s="711">
        <v>5.4399999999999997E-2</v>
      </c>
    </row>
    <row r="7721" spans="1:5" x14ac:dyDescent="0.3">
      <c r="A7721" s="397"/>
      <c r="B7721" s="709">
        <v>104746</v>
      </c>
      <c r="C7721" s="710" t="s">
        <v>7917</v>
      </c>
      <c r="D7721" s="709" t="s">
        <v>136</v>
      </c>
      <c r="E7721" s="711">
        <v>0.37559999999999999</v>
      </c>
    </row>
    <row r="7722" spans="1:5" x14ac:dyDescent="0.3">
      <c r="A7722" s="397"/>
      <c r="B7722" s="709">
        <v>98463</v>
      </c>
      <c r="C7722" s="710" t="s">
        <v>7921</v>
      </c>
      <c r="D7722" s="709" t="s">
        <v>136</v>
      </c>
      <c r="E7722" s="711">
        <v>0.62929999999999997</v>
      </c>
    </row>
    <row r="7723" spans="1:5" x14ac:dyDescent="0.3">
      <c r="A7723" s="397"/>
      <c r="B7723" s="709">
        <v>95676</v>
      </c>
      <c r="C7723" s="710" t="s">
        <v>7931</v>
      </c>
      <c r="D7723" s="709" t="s">
        <v>136</v>
      </c>
      <c r="E7723" s="711">
        <v>9.6100000000000005E-2</v>
      </c>
    </row>
    <row r="7724" spans="1:5" x14ac:dyDescent="0.3">
      <c r="A7724" s="397"/>
      <c r="B7724" s="709">
        <v>105135</v>
      </c>
      <c r="C7724" s="710" t="s">
        <v>7933</v>
      </c>
      <c r="D7724" s="709" t="s">
        <v>136</v>
      </c>
      <c r="E7724" s="711">
        <v>2.64E-2</v>
      </c>
    </row>
    <row r="7725" spans="1:5" x14ac:dyDescent="0.3">
      <c r="A7725" s="397"/>
      <c r="B7725" s="709">
        <v>104998</v>
      </c>
      <c r="C7725" s="710" t="s">
        <v>7934</v>
      </c>
      <c r="D7725" s="709" t="s">
        <v>136</v>
      </c>
      <c r="E7725" s="711">
        <v>3.7400000000000003E-2</v>
      </c>
    </row>
    <row r="7726" spans="1:5" x14ac:dyDescent="0.3">
      <c r="A7726" s="397"/>
      <c r="B7726" s="709">
        <v>104997</v>
      </c>
      <c r="C7726" s="710" t="s">
        <v>7935</v>
      </c>
      <c r="D7726" s="709" t="s">
        <v>136</v>
      </c>
      <c r="E7726" s="711">
        <v>5.04E-2</v>
      </c>
    </row>
    <row r="7727" spans="1:5" x14ac:dyDescent="0.3">
      <c r="A7727" s="397"/>
      <c r="B7727" s="709">
        <v>95673</v>
      </c>
      <c r="C7727" s="710" t="s">
        <v>7936</v>
      </c>
      <c r="D7727" s="709" t="s">
        <v>136</v>
      </c>
      <c r="E7727" s="711">
        <v>0.11890000000000001</v>
      </c>
    </row>
    <row r="7728" spans="1:5" x14ac:dyDescent="0.3">
      <c r="A7728" s="397"/>
      <c r="B7728" s="709">
        <v>95674</v>
      </c>
      <c r="C7728" s="710" t="s">
        <v>7937</v>
      </c>
      <c r="D7728" s="709" t="s">
        <v>136</v>
      </c>
      <c r="E7728" s="711">
        <v>0.1116</v>
      </c>
    </row>
    <row r="7729" spans="1:5" x14ac:dyDescent="0.3">
      <c r="A7729" s="397"/>
      <c r="B7729" s="709">
        <v>104992</v>
      </c>
      <c r="C7729" s="710" t="s">
        <v>7938</v>
      </c>
      <c r="D7729" s="709" t="s">
        <v>136</v>
      </c>
      <c r="E7729" s="711">
        <v>2.1399999999999999E-2</v>
      </c>
    </row>
    <row r="7730" spans="1:5" x14ac:dyDescent="0.3">
      <c r="A7730" s="397"/>
      <c r="B7730" s="709">
        <v>95675</v>
      </c>
      <c r="C7730" s="710" t="s">
        <v>7939</v>
      </c>
      <c r="D7730" s="709" t="s">
        <v>136</v>
      </c>
      <c r="E7730" s="711">
        <v>0.11210000000000001</v>
      </c>
    </row>
    <row r="7731" spans="1:5" x14ac:dyDescent="0.3">
      <c r="A7731" s="397"/>
      <c r="B7731" s="709">
        <v>95648</v>
      </c>
      <c r="C7731" s="710" t="s">
        <v>7940</v>
      </c>
      <c r="D7731" s="709" t="s">
        <v>136</v>
      </c>
      <c r="E7731" s="711">
        <v>0.11600000000000001</v>
      </c>
    </row>
    <row r="7732" spans="1:5" x14ac:dyDescent="0.3">
      <c r="A7732" s="397"/>
      <c r="B7732" s="709">
        <v>95649</v>
      </c>
      <c r="C7732" s="710" t="s">
        <v>7941</v>
      </c>
      <c r="D7732" s="709" t="s">
        <v>136</v>
      </c>
      <c r="E7732" s="711">
        <v>0.11749999999999999</v>
      </c>
    </row>
    <row r="7733" spans="1:5" x14ac:dyDescent="0.3">
      <c r="A7733" s="397"/>
      <c r="B7733" s="709">
        <v>95650</v>
      </c>
      <c r="C7733" s="710" t="s">
        <v>7942</v>
      </c>
      <c r="D7733" s="709" t="s">
        <v>136</v>
      </c>
      <c r="E7733" s="711">
        <v>0.11890000000000001</v>
      </c>
    </row>
    <row r="7734" spans="1:5" x14ac:dyDescent="0.3">
      <c r="A7734" s="397"/>
      <c r="B7734" s="709">
        <v>95651</v>
      </c>
      <c r="C7734" s="710" t="s">
        <v>7943</v>
      </c>
      <c r="D7734" s="709" t="s">
        <v>136</v>
      </c>
      <c r="E7734" s="711">
        <v>0.11890000000000001</v>
      </c>
    </row>
    <row r="7735" spans="1:5" x14ac:dyDescent="0.3">
      <c r="A7735" s="397"/>
      <c r="B7735" s="709">
        <v>95652</v>
      </c>
      <c r="C7735" s="710" t="s">
        <v>7944</v>
      </c>
      <c r="D7735" s="709" t="s">
        <v>136</v>
      </c>
      <c r="E7735" s="711">
        <v>0.10440000000000001</v>
      </c>
    </row>
    <row r="7736" spans="1:5" x14ac:dyDescent="0.3">
      <c r="A7736" s="397"/>
      <c r="B7736" s="709">
        <v>95653</v>
      </c>
      <c r="C7736" s="710" t="s">
        <v>7945</v>
      </c>
      <c r="D7736" s="709" t="s">
        <v>136</v>
      </c>
      <c r="E7736" s="711">
        <v>0.104</v>
      </c>
    </row>
    <row r="7737" spans="1:5" x14ac:dyDescent="0.3">
      <c r="A7737" s="397"/>
      <c r="B7737" s="709">
        <v>95654</v>
      </c>
      <c r="C7737" s="710" t="s">
        <v>7946</v>
      </c>
      <c r="D7737" s="709" t="s">
        <v>136</v>
      </c>
      <c r="E7737" s="711">
        <v>0.10489999999999999</v>
      </c>
    </row>
    <row r="7738" spans="1:5" x14ac:dyDescent="0.3">
      <c r="A7738" s="397"/>
      <c r="B7738" s="709">
        <v>95655</v>
      </c>
      <c r="C7738" s="710" t="s">
        <v>7947</v>
      </c>
      <c r="D7738" s="709" t="s">
        <v>136</v>
      </c>
      <c r="E7738" s="711">
        <v>0.1046</v>
      </c>
    </row>
    <row r="7739" spans="1:5" x14ac:dyDescent="0.3">
      <c r="A7739" s="397"/>
      <c r="B7739" s="709">
        <v>95657</v>
      </c>
      <c r="C7739" s="710" t="s">
        <v>7948</v>
      </c>
      <c r="D7739" s="709" t="s">
        <v>136</v>
      </c>
      <c r="E7739" s="711">
        <v>0.37780000000000002</v>
      </c>
    </row>
    <row r="7740" spans="1:5" x14ac:dyDescent="0.3">
      <c r="A7740" s="397"/>
      <c r="B7740" s="709">
        <v>95658</v>
      </c>
      <c r="C7740" s="710" t="s">
        <v>7949</v>
      </c>
      <c r="D7740" s="709" t="s">
        <v>136</v>
      </c>
      <c r="E7740" s="711">
        <v>0.36370000000000002</v>
      </c>
    </row>
    <row r="7741" spans="1:5" x14ac:dyDescent="0.3">
      <c r="A7741" s="397"/>
      <c r="B7741" s="709">
        <v>95659</v>
      </c>
      <c r="C7741" s="710" t="s">
        <v>7950</v>
      </c>
      <c r="D7741" s="709" t="s">
        <v>136</v>
      </c>
      <c r="E7741" s="711">
        <v>0.36109999999999998</v>
      </c>
    </row>
    <row r="7742" spans="1:5" x14ac:dyDescent="0.3">
      <c r="A7742" s="397"/>
      <c r="B7742" s="709">
        <v>95660</v>
      </c>
      <c r="C7742" s="710" t="s">
        <v>7951</v>
      </c>
      <c r="D7742" s="709" t="s">
        <v>136</v>
      </c>
      <c r="E7742" s="711">
        <v>0.35820000000000002</v>
      </c>
    </row>
    <row r="7743" spans="1:5" x14ac:dyDescent="0.3">
      <c r="A7743" s="397"/>
      <c r="B7743" s="709">
        <v>95661</v>
      </c>
      <c r="C7743" s="710" t="s">
        <v>7952</v>
      </c>
      <c r="D7743" s="709" t="s">
        <v>136</v>
      </c>
      <c r="E7743" s="711">
        <v>0.33679999999999999</v>
      </c>
    </row>
    <row r="7744" spans="1:5" x14ac:dyDescent="0.3">
      <c r="A7744" s="397"/>
      <c r="B7744" s="709">
        <v>95662</v>
      </c>
      <c r="C7744" s="710" t="s">
        <v>7953</v>
      </c>
      <c r="D7744" s="709" t="s">
        <v>136</v>
      </c>
      <c r="E7744" s="711">
        <v>0.32269999999999999</v>
      </c>
    </row>
    <row r="7745" spans="1:5" x14ac:dyDescent="0.3">
      <c r="A7745" s="397"/>
      <c r="B7745" s="709">
        <v>95663</v>
      </c>
      <c r="C7745" s="710" t="s">
        <v>7954</v>
      </c>
      <c r="D7745" s="709" t="s">
        <v>136</v>
      </c>
      <c r="E7745" s="711">
        <v>0.32019999999999998</v>
      </c>
    </row>
    <row r="7746" spans="1:5" x14ac:dyDescent="0.3">
      <c r="A7746" s="397"/>
      <c r="B7746" s="709">
        <v>95664</v>
      </c>
      <c r="C7746" s="710" t="s">
        <v>7955</v>
      </c>
      <c r="D7746" s="709" t="s">
        <v>136</v>
      </c>
      <c r="E7746" s="711">
        <v>0.31759999999999999</v>
      </c>
    </row>
    <row r="7747" spans="1:5" x14ac:dyDescent="0.3">
      <c r="A7747" s="397"/>
      <c r="B7747" s="709">
        <v>95665</v>
      </c>
      <c r="C7747" s="710" t="s">
        <v>7956</v>
      </c>
      <c r="D7747" s="709" t="s">
        <v>136</v>
      </c>
      <c r="E7747" s="711">
        <v>0.36720000000000003</v>
      </c>
    </row>
    <row r="7748" spans="1:5" x14ac:dyDescent="0.3">
      <c r="A7748" s="397"/>
      <c r="B7748" s="709">
        <v>95666</v>
      </c>
      <c r="C7748" s="710" t="s">
        <v>7957</v>
      </c>
      <c r="D7748" s="709" t="s">
        <v>136</v>
      </c>
      <c r="E7748" s="711">
        <v>0.36120000000000002</v>
      </c>
    </row>
    <row r="7749" spans="1:5" x14ac:dyDescent="0.3">
      <c r="A7749" s="397"/>
      <c r="B7749" s="709">
        <v>95667</v>
      </c>
      <c r="C7749" s="710" t="s">
        <v>7958</v>
      </c>
      <c r="D7749" s="709" t="s">
        <v>136</v>
      </c>
      <c r="E7749" s="711">
        <v>0.36049999999999999</v>
      </c>
    </row>
    <row r="7750" spans="1:5" x14ac:dyDescent="0.3">
      <c r="A7750" s="397"/>
      <c r="B7750" s="709">
        <v>95668</v>
      </c>
      <c r="C7750" s="710" t="s">
        <v>7959</v>
      </c>
      <c r="D7750" s="709" t="s">
        <v>136</v>
      </c>
      <c r="E7750" s="711">
        <v>0.35849999999999999</v>
      </c>
    </row>
    <row r="7751" spans="1:5" x14ac:dyDescent="0.3">
      <c r="A7751" s="397"/>
      <c r="B7751" s="709">
        <v>95669</v>
      </c>
      <c r="C7751" s="710" t="s">
        <v>7960</v>
      </c>
      <c r="D7751" s="709" t="s">
        <v>136</v>
      </c>
      <c r="E7751" s="711">
        <v>0.33660000000000001</v>
      </c>
    </row>
    <row r="7752" spans="1:5" x14ac:dyDescent="0.3">
      <c r="A7752" s="397"/>
      <c r="B7752" s="709">
        <v>95670</v>
      </c>
      <c r="C7752" s="710" t="s">
        <v>7961</v>
      </c>
      <c r="D7752" s="709" t="s">
        <v>136</v>
      </c>
      <c r="E7752" s="711">
        <v>0.32869999999999999</v>
      </c>
    </row>
    <row r="7753" spans="1:5" x14ac:dyDescent="0.3">
      <c r="A7753" s="397"/>
      <c r="B7753" s="709">
        <v>95671</v>
      </c>
      <c r="C7753" s="710" t="s">
        <v>7962</v>
      </c>
      <c r="D7753" s="709" t="s">
        <v>136</v>
      </c>
      <c r="E7753" s="711">
        <v>0.32790000000000002</v>
      </c>
    </row>
    <row r="7754" spans="1:5" x14ac:dyDescent="0.3">
      <c r="A7754" s="397"/>
      <c r="B7754" s="709">
        <v>95672</v>
      </c>
      <c r="C7754" s="710" t="s">
        <v>7963</v>
      </c>
      <c r="D7754" s="709" t="s">
        <v>136</v>
      </c>
      <c r="E7754" s="711">
        <v>0.32569999999999999</v>
      </c>
    </row>
    <row r="7755" spans="1:5" x14ac:dyDescent="0.3">
      <c r="A7755" s="397"/>
      <c r="B7755" s="709">
        <v>97741</v>
      </c>
      <c r="C7755" s="710" t="s">
        <v>7964</v>
      </c>
      <c r="D7755" s="709" t="s">
        <v>136</v>
      </c>
      <c r="E7755" s="711">
        <v>0.41830000000000001</v>
      </c>
    </row>
    <row r="7756" spans="1:5" x14ac:dyDescent="0.3">
      <c r="A7756" s="397"/>
      <c r="B7756" s="709">
        <v>95641</v>
      </c>
      <c r="C7756" s="710" t="s">
        <v>7965</v>
      </c>
      <c r="D7756" s="709" t="s">
        <v>136</v>
      </c>
      <c r="E7756" s="711">
        <v>0.40770000000000001</v>
      </c>
    </row>
    <row r="7757" spans="1:5" x14ac:dyDescent="0.3">
      <c r="A7757" s="397"/>
      <c r="B7757" s="709">
        <v>95642</v>
      </c>
      <c r="C7757" s="710" t="s">
        <v>7966</v>
      </c>
      <c r="D7757" s="709" t="s">
        <v>136</v>
      </c>
      <c r="E7757" s="711">
        <v>0.40720000000000001</v>
      </c>
    </row>
    <row r="7758" spans="1:5" x14ac:dyDescent="0.3">
      <c r="A7758" s="397"/>
      <c r="B7758" s="709">
        <v>95643</v>
      </c>
      <c r="C7758" s="710" t="s">
        <v>7967</v>
      </c>
      <c r="D7758" s="709" t="s">
        <v>136</v>
      </c>
      <c r="E7758" s="711">
        <v>0.4042</v>
      </c>
    </row>
    <row r="7759" spans="1:5" x14ac:dyDescent="0.3">
      <c r="A7759" s="397"/>
      <c r="B7759" s="709">
        <v>95644</v>
      </c>
      <c r="C7759" s="710" t="s">
        <v>7968</v>
      </c>
      <c r="D7759" s="709" t="s">
        <v>136</v>
      </c>
      <c r="E7759" s="711">
        <v>0.35249999999999998</v>
      </c>
    </row>
    <row r="7760" spans="1:5" x14ac:dyDescent="0.3">
      <c r="A7760" s="397"/>
      <c r="B7760" s="709">
        <v>95645</v>
      </c>
      <c r="C7760" s="710" t="s">
        <v>7969</v>
      </c>
      <c r="D7760" s="709" t="s">
        <v>136</v>
      </c>
      <c r="E7760" s="711">
        <v>0.33939999999999998</v>
      </c>
    </row>
    <row r="7761" spans="1:5" x14ac:dyDescent="0.3">
      <c r="A7761" s="397"/>
      <c r="B7761" s="709">
        <v>95646</v>
      </c>
      <c r="C7761" s="710" t="s">
        <v>7970</v>
      </c>
      <c r="D7761" s="709" t="s">
        <v>136</v>
      </c>
      <c r="E7761" s="711">
        <v>0.33800000000000002</v>
      </c>
    </row>
    <row r="7762" spans="1:5" x14ac:dyDescent="0.3">
      <c r="A7762" s="397"/>
      <c r="B7762" s="709">
        <v>95647</v>
      </c>
      <c r="C7762" s="710" t="s">
        <v>7971</v>
      </c>
      <c r="D7762" s="709" t="s">
        <v>136</v>
      </c>
      <c r="E7762" s="711">
        <v>0.33510000000000001</v>
      </c>
    </row>
    <row r="7763" spans="1:5" x14ac:dyDescent="0.3">
      <c r="A7763" s="397"/>
      <c r="B7763" s="709">
        <v>95636</v>
      </c>
      <c r="C7763" s="710" t="s">
        <v>7972</v>
      </c>
      <c r="D7763" s="709" t="s">
        <v>136</v>
      </c>
      <c r="E7763" s="711">
        <v>0.48730000000000001</v>
      </c>
    </row>
    <row r="7764" spans="1:5" x14ac:dyDescent="0.3">
      <c r="A7764" s="397"/>
      <c r="B7764" s="709">
        <v>95637</v>
      </c>
      <c r="C7764" s="710" t="s">
        <v>7973</v>
      </c>
      <c r="D7764" s="709" t="s">
        <v>136</v>
      </c>
      <c r="E7764" s="711">
        <v>0.44409999999999999</v>
      </c>
    </row>
    <row r="7765" spans="1:5" x14ac:dyDescent="0.3">
      <c r="A7765" s="397"/>
      <c r="B7765" s="709">
        <v>95638</v>
      </c>
      <c r="C7765" s="710" t="s">
        <v>7974</v>
      </c>
      <c r="D7765" s="709" t="s">
        <v>136</v>
      </c>
      <c r="E7765" s="711">
        <v>0.42780000000000001</v>
      </c>
    </row>
    <row r="7766" spans="1:5" x14ac:dyDescent="0.3">
      <c r="A7766" s="397"/>
      <c r="B7766" s="709">
        <v>95639</v>
      </c>
      <c r="C7766" s="710" t="s">
        <v>7975</v>
      </c>
      <c r="D7766" s="709" t="s">
        <v>136</v>
      </c>
      <c r="E7766" s="711">
        <v>0.37790000000000001</v>
      </c>
    </row>
    <row r="7767" spans="1:5" x14ac:dyDescent="0.3">
      <c r="A7767" s="397"/>
      <c r="B7767" s="709">
        <v>95634</v>
      </c>
      <c r="C7767" s="710" t="s">
        <v>7976</v>
      </c>
      <c r="D7767" s="709" t="s">
        <v>136</v>
      </c>
      <c r="E7767" s="711">
        <v>0.3</v>
      </c>
    </row>
    <row r="7768" spans="1:5" x14ac:dyDescent="0.3">
      <c r="A7768" s="397"/>
      <c r="B7768" s="709">
        <v>95635</v>
      </c>
      <c r="C7768" s="710" t="s">
        <v>7977</v>
      </c>
      <c r="D7768" s="709" t="s">
        <v>136</v>
      </c>
      <c r="E7768" s="711">
        <v>0.33139999999999997</v>
      </c>
    </row>
    <row r="7769" spans="1:5" x14ac:dyDescent="0.3">
      <c r="A7769" s="397"/>
      <c r="B7769" s="709">
        <v>107292</v>
      </c>
      <c r="C7769" s="710" t="s">
        <v>16262</v>
      </c>
      <c r="D7769" s="709" t="s">
        <v>136</v>
      </c>
      <c r="E7769" s="711">
        <v>0.93569999999999998</v>
      </c>
    </row>
    <row r="7770" spans="1:5" x14ac:dyDescent="0.3">
      <c r="A7770" s="397"/>
      <c r="B7770" s="709">
        <v>107291</v>
      </c>
      <c r="C7770" s="710" t="s">
        <v>16263</v>
      </c>
      <c r="D7770" s="709" t="s">
        <v>136</v>
      </c>
      <c r="E7770" s="711">
        <v>0.93569999999999998</v>
      </c>
    </row>
    <row r="7771" spans="1:5" x14ac:dyDescent="0.3">
      <c r="A7771" s="397"/>
      <c r="B7771" s="709">
        <v>107284</v>
      </c>
      <c r="C7771" s="710" t="s">
        <v>16264</v>
      </c>
      <c r="D7771" s="709" t="s">
        <v>136</v>
      </c>
      <c r="E7771" s="711">
        <v>0.46550000000000002</v>
      </c>
    </row>
    <row r="7772" spans="1:5" x14ac:dyDescent="0.3">
      <c r="A7772" s="397"/>
      <c r="B7772" s="709">
        <v>107285</v>
      </c>
      <c r="C7772" s="710" t="s">
        <v>16265</v>
      </c>
      <c r="D7772" s="709" t="s">
        <v>136</v>
      </c>
      <c r="E7772" s="711">
        <v>0.50249999999999995</v>
      </c>
    </row>
    <row r="7773" spans="1:5" x14ac:dyDescent="0.3">
      <c r="A7773" s="397"/>
      <c r="B7773" s="709">
        <v>107296</v>
      </c>
      <c r="C7773" s="710" t="s">
        <v>16266</v>
      </c>
      <c r="D7773" s="709" t="s">
        <v>136</v>
      </c>
      <c r="E7773" s="711">
        <v>0.32379999999999998</v>
      </c>
    </row>
    <row r="7774" spans="1:5" x14ac:dyDescent="0.3">
      <c r="A7774" s="397"/>
      <c r="B7774" s="709">
        <v>107297</v>
      </c>
      <c r="C7774" s="710" t="s">
        <v>16267</v>
      </c>
      <c r="D7774" s="709" t="s">
        <v>136</v>
      </c>
      <c r="E7774" s="711">
        <v>0.40550000000000003</v>
      </c>
    </row>
    <row r="7775" spans="1:5" x14ac:dyDescent="0.3">
      <c r="A7775" s="397"/>
      <c r="B7775" s="709">
        <v>107298</v>
      </c>
      <c r="C7775" s="710" t="s">
        <v>16268</v>
      </c>
      <c r="D7775" s="709" t="s">
        <v>136</v>
      </c>
      <c r="E7775" s="711">
        <v>0.44209999999999999</v>
      </c>
    </row>
    <row r="7776" spans="1:5" x14ac:dyDescent="0.3">
      <c r="A7776" s="397"/>
      <c r="B7776" s="709">
        <v>100788</v>
      </c>
      <c r="C7776" s="710" t="s">
        <v>16269</v>
      </c>
      <c r="D7776" s="709" t="s">
        <v>136</v>
      </c>
      <c r="E7776" s="711">
        <v>0.38600000000000001</v>
      </c>
    </row>
    <row r="7777" spans="1:5" x14ac:dyDescent="0.3">
      <c r="A7777" s="397"/>
      <c r="B7777" s="709">
        <v>107311</v>
      </c>
      <c r="C7777" s="710" t="s">
        <v>16270</v>
      </c>
      <c r="D7777" s="709" t="s">
        <v>136</v>
      </c>
      <c r="E7777" s="711">
        <v>0.1895</v>
      </c>
    </row>
    <row r="7778" spans="1:5" x14ac:dyDescent="0.3">
      <c r="A7778" s="397"/>
      <c r="B7778" s="709">
        <v>107319</v>
      </c>
      <c r="C7778" s="710" t="s">
        <v>16271</v>
      </c>
      <c r="D7778" s="709" t="s">
        <v>136</v>
      </c>
      <c r="E7778" s="711">
        <v>1</v>
      </c>
    </row>
    <row r="7779" spans="1:5" x14ac:dyDescent="0.3">
      <c r="A7779" s="397"/>
      <c r="B7779" s="709">
        <v>98751</v>
      </c>
      <c r="C7779" s="710" t="s">
        <v>7978</v>
      </c>
      <c r="D7779" s="709" t="s">
        <v>159</v>
      </c>
      <c r="E7779" s="711">
        <v>0.30399999999999999</v>
      </c>
    </row>
    <row r="7780" spans="1:5" x14ac:dyDescent="0.3">
      <c r="A7780" s="397"/>
      <c r="B7780" s="709">
        <v>98746</v>
      </c>
      <c r="C7780" s="710" t="s">
        <v>7979</v>
      </c>
      <c r="D7780" s="709" t="s">
        <v>159</v>
      </c>
      <c r="E7780" s="711">
        <v>0.59430000000000005</v>
      </c>
    </row>
    <row r="7781" spans="1:5" x14ac:dyDescent="0.3">
      <c r="A7781" s="397"/>
      <c r="B7781" s="709">
        <v>98753</v>
      </c>
      <c r="C7781" s="710" t="s">
        <v>7980</v>
      </c>
      <c r="D7781" s="709" t="s">
        <v>159</v>
      </c>
      <c r="E7781" s="711">
        <v>0.1807</v>
      </c>
    </row>
    <row r="7782" spans="1:5" x14ac:dyDescent="0.3">
      <c r="A7782" s="397"/>
      <c r="B7782" s="709">
        <v>98750</v>
      </c>
      <c r="C7782" s="710" t="s">
        <v>7981</v>
      </c>
      <c r="D7782" s="709" t="s">
        <v>159</v>
      </c>
      <c r="E7782" s="711">
        <v>0.42149999999999999</v>
      </c>
    </row>
    <row r="7783" spans="1:5" x14ac:dyDescent="0.3">
      <c r="A7783" s="397"/>
      <c r="B7783" s="709">
        <v>98749</v>
      </c>
      <c r="C7783" s="710" t="s">
        <v>7982</v>
      </c>
      <c r="D7783" s="709" t="s">
        <v>159</v>
      </c>
      <c r="E7783" s="711">
        <v>0.50209999999999999</v>
      </c>
    </row>
    <row r="7784" spans="1:5" x14ac:dyDescent="0.3">
      <c r="A7784" s="397"/>
      <c r="B7784" s="709">
        <v>98752</v>
      </c>
      <c r="C7784" s="710" t="s">
        <v>7983</v>
      </c>
      <c r="D7784" s="709" t="s">
        <v>159</v>
      </c>
      <c r="E7784" s="711">
        <v>0.23119999999999999</v>
      </c>
    </row>
    <row r="7785" spans="1:5" x14ac:dyDescent="0.3">
      <c r="A7785" s="397"/>
      <c r="B7785" s="709">
        <v>98529</v>
      </c>
      <c r="C7785" s="710" t="s">
        <v>293</v>
      </c>
      <c r="D7785" s="709" t="s">
        <v>136</v>
      </c>
      <c r="E7785" s="711">
        <v>1</v>
      </c>
    </row>
    <row r="7786" spans="1:5" x14ac:dyDescent="0.3">
      <c r="A7786" s="397"/>
      <c r="B7786" s="709">
        <v>98530</v>
      </c>
      <c r="C7786" s="710" t="s">
        <v>7984</v>
      </c>
      <c r="D7786" s="709" t="s">
        <v>136</v>
      </c>
      <c r="E7786" s="711">
        <v>1</v>
      </c>
    </row>
    <row r="7787" spans="1:5" x14ac:dyDescent="0.3">
      <c r="A7787" s="397"/>
      <c r="B7787" s="709">
        <v>98531</v>
      </c>
      <c r="C7787" s="710" t="s">
        <v>7985</v>
      </c>
      <c r="D7787" s="709" t="s">
        <v>136</v>
      </c>
      <c r="E7787" s="711">
        <v>0.70299999999999996</v>
      </c>
    </row>
    <row r="7788" spans="1:5" x14ac:dyDescent="0.3">
      <c r="A7788" s="397"/>
      <c r="B7788" s="709">
        <v>98524</v>
      </c>
      <c r="C7788" s="710" t="s">
        <v>7986</v>
      </c>
      <c r="D7788" s="709" t="s">
        <v>168</v>
      </c>
      <c r="E7788" s="711">
        <v>1</v>
      </c>
    </row>
    <row r="7789" spans="1:5" x14ac:dyDescent="0.3">
      <c r="A7789" s="397"/>
      <c r="B7789" s="709">
        <v>98525</v>
      </c>
      <c r="C7789" s="710" t="s">
        <v>279</v>
      </c>
      <c r="D7789" s="709" t="s">
        <v>168</v>
      </c>
      <c r="E7789" s="711">
        <v>0.4</v>
      </c>
    </row>
    <row r="7790" spans="1:5" x14ac:dyDescent="0.3">
      <c r="A7790" s="397"/>
      <c r="B7790" s="709">
        <v>98533</v>
      </c>
      <c r="C7790" s="710" t="s">
        <v>7987</v>
      </c>
      <c r="D7790" s="709" t="s">
        <v>136</v>
      </c>
      <c r="E7790" s="711">
        <v>0.60119999999999996</v>
      </c>
    </row>
    <row r="7791" spans="1:5" x14ac:dyDescent="0.3">
      <c r="A7791" s="397"/>
      <c r="B7791" s="709">
        <v>98534</v>
      </c>
      <c r="C7791" s="710" t="s">
        <v>7988</v>
      </c>
      <c r="D7791" s="709" t="s">
        <v>136</v>
      </c>
      <c r="E7791" s="711">
        <v>0.59179999999999999</v>
      </c>
    </row>
    <row r="7792" spans="1:5" x14ac:dyDescent="0.3">
      <c r="A7792" s="397"/>
      <c r="B7792" s="709">
        <v>98535</v>
      </c>
      <c r="C7792" s="710" t="s">
        <v>7989</v>
      </c>
      <c r="D7792" s="709" t="s">
        <v>136</v>
      </c>
      <c r="E7792" s="711">
        <v>0.63590000000000002</v>
      </c>
    </row>
    <row r="7793" spans="1:5" x14ac:dyDescent="0.3">
      <c r="A7793" s="397"/>
      <c r="B7793" s="709">
        <v>98532</v>
      </c>
      <c r="C7793" s="710" t="s">
        <v>7990</v>
      </c>
      <c r="D7793" s="709" t="s">
        <v>136</v>
      </c>
      <c r="E7793" s="711">
        <v>0.50090000000000001</v>
      </c>
    </row>
    <row r="7794" spans="1:5" x14ac:dyDescent="0.3">
      <c r="A7794" s="397"/>
      <c r="B7794" s="709">
        <v>98526</v>
      </c>
      <c r="C7794" s="710" t="s">
        <v>291</v>
      </c>
      <c r="D7794" s="709" t="s">
        <v>136</v>
      </c>
      <c r="E7794" s="711">
        <v>0.65249999999999997</v>
      </c>
    </row>
    <row r="7795" spans="1:5" x14ac:dyDescent="0.3">
      <c r="A7795" s="397"/>
      <c r="B7795" s="709">
        <v>98527</v>
      </c>
      <c r="C7795" s="710" t="s">
        <v>7991</v>
      </c>
      <c r="D7795" s="709" t="s">
        <v>136</v>
      </c>
      <c r="E7795" s="711">
        <v>0.65249999999999997</v>
      </c>
    </row>
    <row r="7796" spans="1:5" x14ac:dyDescent="0.3">
      <c r="A7796" s="397"/>
      <c r="B7796" s="709">
        <v>98528</v>
      </c>
      <c r="C7796" s="710" t="s">
        <v>7992</v>
      </c>
      <c r="D7796" s="709" t="s">
        <v>136</v>
      </c>
      <c r="E7796" s="711">
        <v>0.65249999999999997</v>
      </c>
    </row>
    <row r="7797" spans="1:5" x14ac:dyDescent="0.3">
      <c r="A7797" s="397"/>
      <c r="B7797" s="709">
        <v>94232</v>
      </c>
      <c r="C7797" s="710" t="s">
        <v>15935</v>
      </c>
      <c r="D7797" s="709" t="s">
        <v>136</v>
      </c>
      <c r="E7797" s="711">
        <v>0.96730000000000005</v>
      </c>
    </row>
    <row r="7798" spans="1:5" x14ac:dyDescent="0.3">
      <c r="A7798" s="397"/>
      <c r="B7798" s="709">
        <v>100434</v>
      </c>
      <c r="C7798" s="710" t="s">
        <v>15936</v>
      </c>
      <c r="D7798" s="709" t="s">
        <v>159</v>
      </c>
      <c r="E7798" s="711">
        <v>7.6300000000000007E-2</v>
      </c>
    </row>
    <row r="7799" spans="1:5" x14ac:dyDescent="0.3">
      <c r="A7799" s="397"/>
      <c r="B7799" s="709">
        <v>94229</v>
      </c>
      <c r="C7799" s="710" t="s">
        <v>15937</v>
      </c>
      <c r="D7799" s="709" t="s">
        <v>159</v>
      </c>
      <c r="E7799" s="711">
        <v>0.16520000000000001</v>
      </c>
    </row>
    <row r="7800" spans="1:5" x14ac:dyDescent="0.3">
      <c r="A7800" s="397"/>
      <c r="B7800" s="709">
        <v>94227</v>
      </c>
      <c r="C7800" s="710" t="s">
        <v>15938</v>
      </c>
      <c r="D7800" s="709" t="s">
        <v>159</v>
      </c>
      <c r="E7800" s="711">
        <v>0.24729999999999999</v>
      </c>
    </row>
    <row r="7801" spans="1:5" x14ac:dyDescent="0.3">
      <c r="A7801" s="397"/>
      <c r="B7801" s="709">
        <v>94228</v>
      </c>
      <c r="C7801" s="710" t="s">
        <v>15939</v>
      </c>
      <c r="D7801" s="709" t="s">
        <v>159</v>
      </c>
      <c r="E7801" s="711">
        <v>0.217</v>
      </c>
    </row>
    <row r="7802" spans="1:5" x14ac:dyDescent="0.3">
      <c r="A7802" s="397"/>
      <c r="B7802" s="709">
        <v>94219</v>
      </c>
      <c r="C7802" s="710" t="s">
        <v>15940</v>
      </c>
      <c r="D7802" s="709" t="s">
        <v>159</v>
      </c>
      <c r="E7802" s="711">
        <v>0.39960000000000001</v>
      </c>
    </row>
    <row r="7803" spans="1:5" x14ac:dyDescent="0.3">
      <c r="A7803" s="397"/>
      <c r="B7803" s="709">
        <v>94220</v>
      </c>
      <c r="C7803" s="710" t="s">
        <v>15941</v>
      </c>
      <c r="D7803" s="709" t="s">
        <v>159</v>
      </c>
      <c r="E7803" s="711">
        <v>0.28460000000000002</v>
      </c>
    </row>
    <row r="7804" spans="1:5" x14ac:dyDescent="0.3">
      <c r="B7804" s="709">
        <v>94221</v>
      </c>
      <c r="C7804" s="710" t="s">
        <v>15942</v>
      </c>
      <c r="D7804" s="709" t="s">
        <v>159</v>
      </c>
      <c r="E7804" s="711">
        <v>0.309</v>
      </c>
    </row>
    <row r="7805" spans="1:5" x14ac:dyDescent="0.3">
      <c r="B7805" s="709">
        <v>94222</v>
      </c>
      <c r="C7805" s="710" t="s">
        <v>15943</v>
      </c>
      <c r="D7805" s="709" t="s">
        <v>159</v>
      </c>
      <c r="E7805" s="711">
        <v>0.2109</v>
      </c>
    </row>
    <row r="7806" spans="1:5" x14ac:dyDescent="0.3">
      <c r="B7806" s="709">
        <v>94451</v>
      </c>
      <c r="C7806" s="710" t="s">
        <v>15944</v>
      </c>
      <c r="D7806" s="709" t="s">
        <v>159</v>
      </c>
      <c r="E7806" s="711">
        <v>5.6399999999999999E-2</v>
      </c>
    </row>
    <row r="7807" spans="1:5" x14ac:dyDescent="0.3">
      <c r="B7807" s="709">
        <v>94223</v>
      </c>
      <c r="C7807" s="710" t="s">
        <v>15945</v>
      </c>
      <c r="D7807" s="709" t="s">
        <v>159</v>
      </c>
      <c r="E7807" s="711">
        <v>9.3600000000000003E-2</v>
      </c>
    </row>
    <row r="7808" spans="1:5" x14ac:dyDescent="0.3">
      <c r="B7808" s="709">
        <v>100325</v>
      </c>
      <c r="C7808" s="710" t="s">
        <v>15946</v>
      </c>
      <c r="D7808" s="709" t="s">
        <v>159</v>
      </c>
      <c r="E7808" s="711">
        <v>6.5100000000000005E-2</v>
      </c>
    </row>
    <row r="7809" spans="2:5" x14ac:dyDescent="0.3">
      <c r="B7809" s="709">
        <v>94224</v>
      </c>
      <c r="C7809" s="710" t="s">
        <v>15947</v>
      </c>
      <c r="D7809" s="709" t="s">
        <v>159</v>
      </c>
      <c r="E7809" s="711">
        <v>0.84670000000000001</v>
      </c>
    </row>
    <row r="7810" spans="2:5" x14ac:dyDescent="0.3">
      <c r="B7810" s="709">
        <v>100330</v>
      </c>
      <c r="C7810" s="710" t="s">
        <v>15948</v>
      </c>
      <c r="D7810" s="709" t="s">
        <v>168</v>
      </c>
      <c r="E7810" s="711">
        <v>0.52149999999999996</v>
      </c>
    </row>
    <row r="7811" spans="2:5" x14ac:dyDescent="0.3">
      <c r="B7811" s="709">
        <v>100331</v>
      </c>
      <c r="C7811" s="710" t="s">
        <v>15949</v>
      </c>
      <c r="D7811" s="709" t="s">
        <v>168</v>
      </c>
      <c r="E7811" s="711">
        <v>0.66400000000000003</v>
      </c>
    </row>
    <row r="7812" spans="2:5" x14ac:dyDescent="0.3">
      <c r="B7812" s="709">
        <v>100328</v>
      </c>
      <c r="C7812" s="710" t="s">
        <v>15950</v>
      </c>
      <c r="D7812" s="709" t="s">
        <v>168</v>
      </c>
      <c r="E7812" s="711">
        <v>0.54790000000000005</v>
      </c>
    </row>
    <row r="7813" spans="2:5" x14ac:dyDescent="0.3">
      <c r="B7813" s="709">
        <v>100329</v>
      </c>
      <c r="C7813" s="710" t="s">
        <v>15951</v>
      </c>
      <c r="D7813" s="709" t="s">
        <v>168</v>
      </c>
      <c r="E7813" s="711">
        <v>0.64600000000000002</v>
      </c>
    </row>
    <row r="7814" spans="2:5" x14ac:dyDescent="0.3">
      <c r="B7814" s="709">
        <v>94231</v>
      </c>
      <c r="C7814" s="710" t="s">
        <v>15952</v>
      </c>
      <c r="D7814" s="709" t="s">
        <v>159</v>
      </c>
      <c r="E7814" s="711">
        <v>0.25580000000000003</v>
      </c>
    </row>
    <row r="7815" spans="2:5" x14ac:dyDescent="0.3">
      <c r="B7815" s="709">
        <v>100435</v>
      </c>
      <c r="C7815" s="710" t="s">
        <v>15953</v>
      </c>
      <c r="D7815" s="709" t="s">
        <v>159</v>
      </c>
      <c r="E7815" s="711">
        <v>0.15390000000000001</v>
      </c>
    </row>
    <row r="7816" spans="2:5" x14ac:dyDescent="0.3">
      <c r="B7816" s="709">
        <v>100327</v>
      </c>
      <c r="C7816" s="710" t="s">
        <v>15954</v>
      </c>
      <c r="D7816" s="709" t="s">
        <v>159</v>
      </c>
      <c r="E7816" s="711">
        <v>0.24160000000000001</v>
      </c>
    </row>
    <row r="7817" spans="2:5" x14ac:dyDescent="0.3">
      <c r="B7817" s="709">
        <v>94226</v>
      </c>
      <c r="C7817" s="710" t="s">
        <v>15955</v>
      </c>
      <c r="D7817" s="709" t="s">
        <v>168</v>
      </c>
      <c r="E7817" s="711">
        <v>0.53820000000000001</v>
      </c>
    </row>
    <row r="7818" spans="2:5" x14ac:dyDescent="0.3">
      <c r="B7818" s="709">
        <v>94201</v>
      </c>
      <c r="C7818" s="710" t="s">
        <v>15956</v>
      </c>
      <c r="D7818" s="709" t="s">
        <v>168</v>
      </c>
      <c r="E7818" s="711">
        <v>0.17760000000000001</v>
      </c>
    </row>
    <row r="7819" spans="2:5" x14ac:dyDescent="0.3">
      <c r="B7819" s="709">
        <v>94204</v>
      </c>
      <c r="C7819" s="710" t="s">
        <v>15957</v>
      </c>
      <c r="D7819" s="709" t="s">
        <v>168</v>
      </c>
      <c r="E7819" s="711">
        <v>0.2823</v>
      </c>
    </row>
    <row r="7820" spans="2:5" x14ac:dyDescent="0.3">
      <c r="B7820" s="709">
        <v>94447</v>
      </c>
      <c r="C7820" s="710" t="s">
        <v>15958</v>
      </c>
      <c r="D7820" s="709" t="s">
        <v>168</v>
      </c>
      <c r="E7820" s="711">
        <v>0.17760000000000001</v>
      </c>
    </row>
    <row r="7821" spans="2:5" x14ac:dyDescent="0.3">
      <c r="B7821" s="709">
        <v>94448</v>
      </c>
      <c r="C7821" s="710" t="s">
        <v>15959</v>
      </c>
      <c r="D7821" s="709" t="s">
        <v>168</v>
      </c>
      <c r="E7821" s="711">
        <v>0.2823</v>
      </c>
    </row>
    <row r="7822" spans="2:5" x14ac:dyDescent="0.3">
      <c r="B7822" s="709">
        <v>94445</v>
      </c>
      <c r="C7822" s="710" t="s">
        <v>15960</v>
      </c>
      <c r="D7822" s="709" t="s">
        <v>168</v>
      </c>
      <c r="E7822" s="711">
        <v>0.17760000000000001</v>
      </c>
    </row>
    <row r="7823" spans="2:5" x14ac:dyDescent="0.3">
      <c r="B7823" s="709">
        <v>94446</v>
      </c>
      <c r="C7823" s="710" t="s">
        <v>15961</v>
      </c>
      <c r="D7823" s="709" t="s">
        <v>168</v>
      </c>
      <c r="E7823" s="711">
        <v>0.2823</v>
      </c>
    </row>
    <row r="7824" spans="2:5" x14ac:dyDescent="0.3">
      <c r="B7824" s="709">
        <v>94440</v>
      </c>
      <c r="C7824" s="710" t="s">
        <v>15962</v>
      </c>
      <c r="D7824" s="709" t="s">
        <v>168</v>
      </c>
      <c r="E7824" s="711">
        <v>0.2019</v>
      </c>
    </row>
    <row r="7825" spans="2:5" x14ac:dyDescent="0.3">
      <c r="B7825" s="709">
        <v>94441</v>
      </c>
      <c r="C7825" s="710" t="s">
        <v>15963</v>
      </c>
      <c r="D7825" s="709" t="s">
        <v>168</v>
      </c>
      <c r="E7825" s="711">
        <v>0.27310000000000001</v>
      </c>
    </row>
    <row r="7826" spans="2:5" x14ac:dyDescent="0.3">
      <c r="B7826" s="709">
        <v>94195</v>
      </c>
      <c r="C7826" s="710" t="s">
        <v>15964</v>
      </c>
      <c r="D7826" s="709" t="s">
        <v>168</v>
      </c>
      <c r="E7826" s="711">
        <v>0.2019</v>
      </c>
    </row>
    <row r="7827" spans="2:5" x14ac:dyDescent="0.3">
      <c r="B7827" s="709">
        <v>94198</v>
      </c>
      <c r="C7827" s="710" t="s">
        <v>15965</v>
      </c>
      <c r="D7827" s="709" t="s">
        <v>168</v>
      </c>
      <c r="E7827" s="711">
        <v>0.27310000000000001</v>
      </c>
    </row>
    <row r="7828" spans="2:5" x14ac:dyDescent="0.3">
      <c r="B7828" s="709">
        <v>94442</v>
      </c>
      <c r="C7828" s="710" t="s">
        <v>15966</v>
      </c>
      <c r="D7828" s="709" t="s">
        <v>168</v>
      </c>
      <c r="E7828" s="711">
        <v>0.2019</v>
      </c>
    </row>
    <row r="7829" spans="2:5" x14ac:dyDescent="0.3">
      <c r="B7829" s="709">
        <v>94443</v>
      </c>
      <c r="C7829" s="710" t="s">
        <v>15967</v>
      </c>
      <c r="D7829" s="709" t="s">
        <v>168</v>
      </c>
      <c r="E7829" s="711">
        <v>0.27310000000000001</v>
      </c>
    </row>
    <row r="7830" spans="2:5" x14ac:dyDescent="0.3">
      <c r="B7830" s="709">
        <v>94213</v>
      </c>
      <c r="C7830" s="710" t="s">
        <v>15968</v>
      </c>
      <c r="D7830" s="709" t="s">
        <v>168</v>
      </c>
      <c r="E7830" s="711">
        <v>7.85E-2</v>
      </c>
    </row>
    <row r="7831" spans="2:5" x14ac:dyDescent="0.3">
      <c r="B7831" s="709">
        <v>94189</v>
      </c>
      <c r="C7831" s="710" t="s">
        <v>15969</v>
      </c>
      <c r="D7831" s="709" t="s">
        <v>168</v>
      </c>
      <c r="E7831" s="711">
        <v>0.17630000000000001</v>
      </c>
    </row>
    <row r="7832" spans="2:5" x14ac:dyDescent="0.3">
      <c r="B7832" s="709">
        <v>94192</v>
      </c>
      <c r="C7832" s="710" t="s">
        <v>15970</v>
      </c>
      <c r="D7832" s="709" t="s">
        <v>168</v>
      </c>
      <c r="E7832" s="711">
        <v>0.2351</v>
      </c>
    </row>
    <row r="7833" spans="2:5" x14ac:dyDescent="0.3">
      <c r="B7833" s="709">
        <v>94444</v>
      </c>
      <c r="C7833" s="710" t="s">
        <v>15971</v>
      </c>
      <c r="D7833" s="709" t="s">
        <v>168</v>
      </c>
      <c r="E7833" s="711">
        <v>0.2019</v>
      </c>
    </row>
    <row r="7834" spans="2:5" x14ac:dyDescent="0.3">
      <c r="B7834" s="709">
        <v>94218</v>
      </c>
      <c r="C7834" s="710" t="s">
        <v>15972</v>
      </c>
      <c r="D7834" s="709" t="s">
        <v>168</v>
      </c>
      <c r="E7834" s="711">
        <v>8.4400000000000003E-2</v>
      </c>
    </row>
    <row r="7835" spans="2:5" x14ac:dyDescent="0.3">
      <c r="B7835" s="709">
        <v>94216</v>
      </c>
      <c r="C7835" s="710" t="s">
        <v>15973</v>
      </c>
      <c r="D7835" s="709" t="s">
        <v>168</v>
      </c>
      <c r="E7835" s="711">
        <v>4.2700000000000002E-2</v>
      </c>
    </row>
    <row r="7836" spans="2:5" x14ac:dyDescent="0.3">
      <c r="B7836" s="709">
        <v>94449</v>
      </c>
      <c r="C7836" s="710" t="s">
        <v>15974</v>
      </c>
      <c r="D7836" s="709" t="s">
        <v>168</v>
      </c>
      <c r="E7836" s="711">
        <v>0.1472</v>
      </c>
    </row>
    <row r="7837" spans="2:5" x14ac:dyDescent="0.3">
      <c r="B7837" s="709">
        <v>94210</v>
      </c>
      <c r="C7837" s="710" t="s">
        <v>15975</v>
      </c>
      <c r="D7837" s="709" t="s">
        <v>168</v>
      </c>
      <c r="E7837" s="711">
        <v>0.15770000000000001</v>
      </c>
    </row>
    <row r="7838" spans="2:5" x14ac:dyDescent="0.3">
      <c r="B7838" s="709">
        <v>94207</v>
      </c>
      <c r="C7838" s="710" t="s">
        <v>15976</v>
      </c>
      <c r="D7838" s="709" t="s">
        <v>168</v>
      </c>
      <c r="E7838" s="711">
        <v>0.1472</v>
      </c>
    </row>
    <row r="7839" spans="2:5" x14ac:dyDescent="0.3">
      <c r="B7839" s="709">
        <v>102109</v>
      </c>
      <c r="C7839" s="710" t="s">
        <v>7993</v>
      </c>
      <c r="D7839" s="709" t="s">
        <v>136</v>
      </c>
      <c r="E7839" s="711">
        <v>0.44979999999999998</v>
      </c>
    </row>
    <row r="7840" spans="2:5" x14ac:dyDescent="0.3">
      <c r="B7840" s="709">
        <v>102110</v>
      </c>
      <c r="C7840" s="710" t="s">
        <v>7994</v>
      </c>
      <c r="D7840" s="709" t="s">
        <v>136</v>
      </c>
      <c r="E7840" s="711">
        <v>0.15790000000000001</v>
      </c>
    </row>
    <row r="7841" spans="2:5" x14ac:dyDescent="0.3">
      <c r="B7841" s="709">
        <v>103656</v>
      </c>
      <c r="C7841" s="710" t="s">
        <v>7995</v>
      </c>
      <c r="D7841" s="709" t="s">
        <v>136</v>
      </c>
      <c r="E7841" s="711">
        <v>6.6E-3</v>
      </c>
    </row>
    <row r="7842" spans="2:5" x14ac:dyDescent="0.3">
      <c r="B7842" s="709">
        <v>102105</v>
      </c>
      <c r="C7842" s="710" t="s">
        <v>7996</v>
      </c>
      <c r="D7842" s="709" t="s">
        <v>136</v>
      </c>
      <c r="E7842" s="711">
        <v>2.9000000000000001E-2</v>
      </c>
    </row>
    <row r="7843" spans="2:5" x14ac:dyDescent="0.3">
      <c r="B7843" s="709">
        <v>102106</v>
      </c>
      <c r="C7843" s="710" t="s">
        <v>7997</v>
      </c>
      <c r="D7843" s="709" t="s">
        <v>136</v>
      </c>
      <c r="E7843" s="711">
        <v>2.35E-2</v>
      </c>
    </row>
    <row r="7844" spans="2:5" x14ac:dyDescent="0.3">
      <c r="B7844" s="709">
        <v>102107</v>
      </c>
      <c r="C7844" s="710" t="s">
        <v>7998</v>
      </c>
      <c r="D7844" s="709" t="s">
        <v>136</v>
      </c>
      <c r="E7844" s="711">
        <v>1.78E-2</v>
      </c>
    </row>
    <row r="7845" spans="2:5" x14ac:dyDescent="0.3">
      <c r="B7845" s="709">
        <v>102102</v>
      </c>
      <c r="C7845" s="710" t="s">
        <v>7999</v>
      </c>
      <c r="D7845" s="709" t="s">
        <v>136</v>
      </c>
      <c r="E7845" s="711">
        <v>4.7199999999999999E-2</v>
      </c>
    </row>
    <row r="7846" spans="2:5" x14ac:dyDescent="0.3">
      <c r="B7846" s="709">
        <v>102108</v>
      </c>
      <c r="C7846" s="710" t="s">
        <v>8000</v>
      </c>
      <c r="D7846" s="709" t="s">
        <v>136</v>
      </c>
      <c r="E7846" s="711">
        <v>1.5800000000000002E-2</v>
      </c>
    </row>
    <row r="7847" spans="2:5" x14ac:dyDescent="0.3">
      <c r="B7847" s="709">
        <v>102103</v>
      </c>
      <c r="C7847" s="710" t="s">
        <v>8001</v>
      </c>
      <c r="D7847" s="709" t="s">
        <v>136</v>
      </c>
      <c r="E7847" s="711">
        <v>4.3099999999999999E-2</v>
      </c>
    </row>
    <row r="7848" spans="2:5" x14ac:dyDescent="0.3">
      <c r="B7848" s="709">
        <v>103654</v>
      </c>
      <c r="C7848" s="710" t="s">
        <v>8002</v>
      </c>
      <c r="D7848" s="709" t="s">
        <v>136</v>
      </c>
      <c r="E7848" s="711">
        <v>9.4000000000000004E-3</v>
      </c>
    </row>
    <row r="7849" spans="2:5" x14ac:dyDescent="0.3">
      <c r="B7849" s="709">
        <v>102104</v>
      </c>
      <c r="C7849" s="710" t="s">
        <v>8003</v>
      </c>
      <c r="D7849" s="709" t="s">
        <v>136</v>
      </c>
      <c r="E7849" s="711">
        <v>3.4599999999999999E-2</v>
      </c>
    </row>
    <row r="7850" spans="2:5" x14ac:dyDescent="0.3">
      <c r="B7850" s="709">
        <v>103655</v>
      </c>
      <c r="C7850" s="710" t="s">
        <v>8004</v>
      </c>
      <c r="D7850" s="709" t="s">
        <v>136</v>
      </c>
      <c r="E7850" s="711">
        <v>8.0000000000000002E-3</v>
      </c>
    </row>
    <row r="7851" spans="2:5" x14ac:dyDescent="0.3">
      <c r="B7851" s="709">
        <v>100207</v>
      </c>
      <c r="C7851" s="710" t="s">
        <v>14418</v>
      </c>
      <c r="D7851" s="709" t="s">
        <v>8114</v>
      </c>
      <c r="E7851" s="711">
        <v>0.53610000000000002</v>
      </c>
    </row>
    <row r="7852" spans="2:5" x14ac:dyDescent="0.3">
      <c r="B7852" s="709">
        <v>100221</v>
      </c>
      <c r="C7852" s="710" t="s">
        <v>14419</v>
      </c>
      <c r="D7852" s="709" t="s">
        <v>8116</v>
      </c>
      <c r="E7852" s="711">
        <v>1</v>
      </c>
    </row>
    <row r="7853" spans="2:5" x14ac:dyDescent="0.3">
      <c r="B7853" s="709">
        <v>100203</v>
      </c>
      <c r="C7853" s="710" t="s">
        <v>14420</v>
      </c>
      <c r="D7853" s="709" t="s">
        <v>8117</v>
      </c>
      <c r="E7853" s="711">
        <v>1</v>
      </c>
    </row>
    <row r="7854" spans="2:5" x14ac:dyDescent="0.3">
      <c r="B7854" s="709">
        <v>100202</v>
      </c>
      <c r="C7854" s="710" t="s">
        <v>14421</v>
      </c>
      <c r="D7854" s="709" t="s">
        <v>8117</v>
      </c>
      <c r="E7854" s="711">
        <v>1</v>
      </c>
    </row>
    <row r="7855" spans="2:5" x14ac:dyDescent="0.3">
      <c r="B7855" s="709">
        <v>100201</v>
      </c>
      <c r="C7855" s="710" t="s">
        <v>14422</v>
      </c>
      <c r="D7855" s="709" t="s">
        <v>8117</v>
      </c>
      <c r="E7855" s="711">
        <v>1</v>
      </c>
    </row>
    <row r="7856" spans="2:5" x14ac:dyDescent="0.3">
      <c r="B7856" s="709">
        <v>100211</v>
      </c>
      <c r="C7856" s="710" t="s">
        <v>14423</v>
      </c>
      <c r="D7856" s="709" t="s">
        <v>8115</v>
      </c>
      <c r="E7856" s="711">
        <v>1</v>
      </c>
    </row>
    <row r="7857" spans="2:5" x14ac:dyDescent="0.3">
      <c r="B7857" s="709">
        <v>100210</v>
      </c>
      <c r="C7857" s="710" t="s">
        <v>14424</v>
      </c>
      <c r="D7857" s="709" t="s">
        <v>8115</v>
      </c>
      <c r="E7857" s="711">
        <v>1</v>
      </c>
    </row>
    <row r="7858" spans="2:5" x14ac:dyDescent="0.3">
      <c r="B7858" s="709">
        <v>100216</v>
      </c>
      <c r="C7858" s="710" t="s">
        <v>14425</v>
      </c>
      <c r="D7858" s="709" t="s">
        <v>8115</v>
      </c>
      <c r="E7858" s="711">
        <v>1</v>
      </c>
    </row>
    <row r="7859" spans="2:5" x14ac:dyDescent="0.3">
      <c r="B7859" s="709">
        <v>100215</v>
      </c>
      <c r="C7859" s="710" t="s">
        <v>14426</v>
      </c>
      <c r="D7859" s="709" t="s">
        <v>8115</v>
      </c>
      <c r="E7859" s="711">
        <v>1</v>
      </c>
    </row>
    <row r="7860" spans="2:5" x14ac:dyDescent="0.3">
      <c r="B7860" s="709">
        <v>100214</v>
      </c>
      <c r="C7860" s="710" t="s">
        <v>14427</v>
      </c>
      <c r="D7860" s="709" t="s">
        <v>8115</v>
      </c>
      <c r="E7860" s="711">
        <v>1</v>
      </c>
    </row>
    <row r="7861" spans="2:5" x14ac:dyDescent="0.3">
      <c r="B7861" s="709">
        <v>100223</v>
      </c>
      <c r="C7861" s="710" t="s">
        <v>14428</v>
      </c>
      <c r="D7861" s="709" t="s">
        <v>8116</v>
      </c>
      <c r="E7861" s="711">
        <v>1</v>
      </c>
    </row>
    <row r="7862" spans="2:5" x14ac:dyDescent="0.3">
      <c r="B7862" s="709">
        <v>100280</v>
      </c>
      <c r="C7862" s="710" t="s">
        <v>14429</v>
      </c>
      <c r="D7862" s="709" t="s">
        <v>8115</v>
      </c>
      <c r="E7862" s="711">
        <v>1</v>
      </c>
    </row>
    <row r="7863" spans="2:5" x14ac:dyDescent="0.3">
      <c r="B7863" s="709">
        <v>100270</v>
      </c>
      <c r="C7863" s="710" t="s">
        <v>14430</v>
      </c>
      <c r="D7863" s="709" t="s">
        <v>8115</v>
      </c>
      <c r="E7863" s="711">
        <v>1</v>
      </c>
    </row>
    <row r="7864" spans="2:5" x14ac:dyDescent="0.3">
      <c r="B7864" s="709">
        <v>100286</v>
      </c>
      <c r="C7864" s="710" t="s">
        <v>14431</v>
      </c>
      <c r="D7864" s="709" t="s">
        <v>8118</v>
      </c>
      <c r="E7864" s="711">
        <v>1</v>
      </c>
    </row>
    <row r="7865" spans="2:5" x14ac:dyDescent="0.3">
      <c r="B7865" s="709">
        <v>100213</v>
      </c>
      <c r="C7865" s="710" t="s">
        <v>14432</v>
      </c>
      <c r="D7865" s="709" t="s">
        <v>8115</v>
      </c>
      <c r="E7865" s="711">
        <v>1</v>
      </c>
    </row>
    <row r="7866" spans="2:5" x14ac:dyDescent="0.3">
      <c r="B7866" s="709">
        <v>100212</v>
      </c>
      <c r="C7866" s="710" t="s">
        <v>14433</v>
      </c>
      <c r="D7866" s="709" t="s">
        <v>8115</v>
      </c>
      <c r="E7866" s="711">
        <v>1</v>
      </c>
    </row>
    <row r="7867" spans="2:5" x14ac:dyDescent="0.3">
      <c r="B7867" s="709">
        <v>100222</v>
      </c>
      <c r="C7867" s="710" t="s">
        <v>14434</v>
      </c>
      <c r="D7867" s="709" t="s">
        <v>8116</v>
      </c>
      <c r="E7867" s="711">
        <v>1</v>
      </c>
    </row>
    <row r="7868" spans="2:5" x14ac:dyDescent="0.3">
      <c r="B7868" s="709">
        <v>100226</v>
      </c>
      <c r="C7868" s="710" t="s">
        <v>14435</v>
      </c>
      <c r="D7868" s="709" t="s">
        <v>8119</v>
      </c>
      <c r="E7868" s="711">
        <v>1</v>
      </c>
    </row>
    <row r="7869" spans="2:5" x14ac:dyDescent="0.3">
      <c r="B7869" s="709">
        <v>100200</v>
      </c>
      <c r="C7869" s="710" t="s">
        <v>14436</v>
      </c>
      <c r="D7869" s="709" t="s">
        <v>8117</v>
      </c>
      <c r="E7869" s="711">
        <v>1</v>
      </c>
    </row>
    <row r="7870" spans="2:5" x14ac:dyDescent="0.3">
      <c r="B7870" s="709">
        <v>100199</v>
      </c>
      <c r="C7870" s="710" t="s">
        <v>14437</v>
      </c>
      <c r="D7870" s="709" t="s">
        <v>8117</v>
      </c>
      <c r="E7870" s="711">
        <v>1</v>
      </c>
    </row>
    <row r="7871" spans="2:5" x14ac:dyDescent="0.3">
      <c r="B7871" s="709">
        <v>100198</v>
      </c>
      <c r="C7871" s="710" t="s">
        <v>14438</v>
      </c>
      <c r="D7871" s="709" t="s">
        <v>8117</v>
      </c>
      <c r="E7871" s="711">
        <v>1</v>
      </c>
    </row>
    <row r="7872" spans="2:5" x14ac:dyDescent="0.3">
      <c r="B7872" s="709">
        <v>100283</v>
      </c>
      <c r="C7872" s="710" t="s">
        <v>14439</v>
      </c>
      <c r="D7872" s="709" t="s">
        <v>8116</v>
      </c>
      <c r="E7872" s="711">
        <v>1</v>
      </c>
    </row>
    <row r="7873" spans="2:5" x14ac:dyDescent="0.3">
      <c r="B7873" s="709">
        <v>106811</v>
      </c>
      <c r="C7873" s="710" t="s">
        <v>14440</v>
      </c>
      <c r="D7873" s="709" t="s">
        <v>8115</v>
      </c>
      <c r="E7873" s="711">
        <v>1</v>
      </c>
    </row>
    <row r="7874" spans="2:5" x14ac:dyDescent="0.3">
      <c r="B7874" s="709">
        <v>106810</v>
      </c>
      <c r="C7874" s="710" t="s">
        <v>14441</v>
      </c>
      <c r="D7874" s="709" t="s">
        <v>8115</v>
      </c>
      <c r="E7874" s="711">
        <v>1</v>
      </c>
    </row>
    <row r="7875" spans="2:5" x14ac:dyDescent="0.3">
      <c r="B7875" s="709">
        <v>106809</v>
      </c>
      <c r="C7875" s="710" t="s">
        <v>14442</v>
      </c>
      <c r="D7875" s="709" t="s">
        <v>8115</v>
      </c>
      <c r="E7875" s="711">
        <v>1</v>
      </c>
    </row>
    <row r="7876" spans="2:5" x14ac:dyDescent="0.3">
      <c r="B7876" s="709">
        <v>106812</v>
      </c>
      <c r="C7876" s="710" t="s">
        <v>14443</v>
      </c>
      <c r="D7876" s="709" t="s">
        <v>8116</v>
      </c>
      <c r="E7876" s="711">
        <v>1</v>
      </c>
    </row>
    <row r="7877" spans="2:5" x14ac:dyDescent="0.3">
      <c r="B7877" s="709">
        <v>100227</v>
      </c>
      <c r="C7877" s="710" t="s">
        <v>14444</v>
      </c>
      <c r="D7877" s="709" t="s">
        <v>8119</v>
      </c>
      <c r="E7877" s="711">
        <v>1</v>
      </c>
    </row>
    <row r="7878" spans="2:5" x14ac:dyDescent="0.3">
      <c r="B7878" s="709">
        <v>100205</v>
      </c>
      <c r="C7878" s="710" t="s">
        <v>14445</v>
      </c>
      <c r="D7878" s="709" t="s">
        <v>8114</v>
      </c>
      <c r="E7878" s="711">
        <v>1</v>
      </c>
    </row>
    <row r="7879" spans="2:5" x14ac:dyDescent="0.3">
      <c r="B7879" s="709">
        <v>100206</v>
      </c>
      <c r="C7879" s="710" t="s">
        <v>14446</v>
      </c>
      <c r="D7879" s="709" t="s">
        <v>8114</v>
      </c>
      <c r="E7879" s="711">
        <v>1</v>
      </c>
    </row>
    <row r="7880" spans="2:5" x14ac:dyDescent="0.3">
      <c r="B7880" s="709">
        <v>100281</v>
      </c>
      <c r="C7880" s="710" t="s">
        <v>14447</v>
      </c>
      <c r="D7880" s="709" t="s">
        <v>8115</v>
      </c>
      <c r="E7880" s="711">
        <v>0.44590000000000002</v>
      </c>
    </row>
    <row r="7881" spans="2:5" x14ac:dyDescent="0.3">
      <c r="B7881" s="709">
        <v>100219</v>
      </c>
      <c r="C7881" s="710" t="s">
        <v>14448</v>
      </c>
      <c r="D7881" s="709" t="s">
        <v>8115</v>
      </c>
      <c r="E7881" s="711">
        <v>0.44719999999999999</v>
      </c>
    </row>
    <row r="7882" spans="2:5" x14ac:dyDescent="0.3">
      <c r="B7882" s="709">
        <v>100218</v>
      </c>
      <c r="C7882" s="710" t="s">
        <v>14449</v>
      </c>
      <c r="D7882" s="709" t="s">
        <v>8115</v>
      </c>
      <c r="E7882" s="711">
        <v>0.44419999999999998</v>
      </c>
    </row>
    <row r="7883" spans="2:5" x14ac:dyDescent="0.3">
      <c r="B7883" s="709">
        <v>100217</v>
      </c>
      <c r="C7883" s="710" t="s">
        <v>14450</v>
      </c>
      <c r="D7883" s="709" t="s">
        <v>8115</v>
      </c>
      <c r="E7883" s="711">
        <v>0.44540000000000002</v>
      </c>
    </row>
    <row r="7884" spans="2:5" x14ac:dyDescent="0.3">
      <c r="B7884" s="709">
        <v>100224</v>
      </c>
      <c r="C7884" s="710" t="s">
        <v>14451</v>
      </c>
      <c r="D7884" s="709" t="s">
        <v>8116</v>
      </c>
      <c r="E7884" s="711">
        <v>0.44540000000000002</v>
      </c>
    </row>
    <row r="7885" spans="2:5" x14ac:dyDescent="0.3">
      <c r="B7885" s="709">
        <v>100228</v>
      </c>
      <c r="C7885" s="710" t="s">
        <v>14452</v>
      </c>
      <c r="D7885" s="709" t="s">
        <v>8119</v>
      </c>
      <c r="E7885" s="711">
        <v>0.43590000000000001</v>
      </c>
    </row>
    <row r="7886" spans="2:5" x14ac:dyDescent="0.3">
      <c r="B7886" s="709">
        <v>100204</v>
      </c>
      <c r="C7886" s="710" t="s">
        <v>14453</v>
      </c>
      <c r="D7886" s="709" t="s">
        <v>8117</v>
      </c>
      <c r="E7886" s="711">
        <v>0.44440000000000002</v>
      </c>
    </row>
    <row r="7887" spans="2:5" x14ac:dyDescent="0.3">
      <c r="B7887" s="709">
        <v>100284</v>
      </c>
      <c r="C7887" s="710" t="s">
        <v>14454</v>
      </c>
      <c r="D7887" s="709" t="s">
        <v>8116</v>
      </c>
      <c r="E7887" s="711">
        <v>0.44619999999999999</v>
      </c>
    </row>
    <row r="7888" spans="2:5" x14ac:dyDescent="0.3">
      <c r="B7888" s="709">
        <v>100277</v>
      </c>
      <c r="C7888" s="710" t="s">
        <v>14455</v>
      </c>
      <c r="D7888" s="709" t="s">
        <v>8116</v>
      </c>
      <c r="E7888" s="711">
        <v>0.44429999999999997</v>
      </c>
    </row>
    <row r="7889" spans="2:5" x14ac:dyDescent="0.3">
      <c r="B7889" s="709">
        <v>100278</v>
      </c>
      <c r="C7889" s="710" t="s">
        <v>14456</v>
      </c>
      <c r="D7889" s="709" t="s">
        <v>8115</v>
      </c>
      <c r="E7889" s="711">
        <v>1</v>
      </c>
    </row>
    <row r="7890" spans="2:5" x14ac:dyDescent="0.3">
      <c r="B7890" s="709">
        <v>100268</v>
      </c>
      <c r="C7890" s="710" t="s">
        <v>14457</v>
      </c>
      <c r="D7890" s="709" t="s">
        <v>8115</v>
      </c>
      <c r="E7890" s="711">
        <v>1</v>
      </c>
    </row>
    <row r="7891" spans="2:5" x14ac:dyDescent="0.3">
      <c r="B7891" s="709">
        <v>100285</v>
      </c>
      <c r="C7891" s="710" t="s">
        <v>14458</v>
      </c>
      <c r="D7891" s="709" t="s">
        <v>8118</v>
      </c>
      <c r="E7891" s="711">
        <v>1</v>
      </c>
    </row>
    <row r="7892" spans="2:5" x14ac:dyDescent="0.3">
      <c r="B7892" s="709">
        <v>100209</v>
      </c>
      <c r="C7892" s="710" t="s">
        <v>14459</v>
      </c>
      <c r="D7892" s="709" t="s">
        <v>8115</v>
      </c>
      <c r="E7892" s="711">
        <v>1</v>
      </c>
    </row>
    <row r="7893" spans="2:5" x14ac:dyDescent="0.3">
      <c r="B7893" s="709">
        <v>100208</v>
      </c>
      <c r="C7893" s="710" t="s">
        <v>14460</v>
      </c>
      <c r="D7893" s="709" t="s">
        <v>8115</v>
      </c>
      <c r="E7893" s="711">
        <v>1</v>
      </c>
    </row>
    <row r="7894" spans="2:5" x14ac:dyDescent="0.3">
      <c r="B7894" s="709">
        <v>100256</v>
      </c>
      <c r="C7894" s="710" t="s">
        <v>14461</v>
      </c>
      <c r="D7894" s="709" t="s">
        <v>8118</v>
      </c>
      <c r="E7894" s="711">
        <v>1</v>
      </c>
    </row>
    <row r="7895" spans="2:5" x14ac:dyDescent="0.3">
      <c r="B7895" s="709">
        <v>100220</v>
      </c>
      <c r="C7895" s="710" t="s">
        <v>14462</v>
      </c>
      <c r="D7895" s="709" t="s">
        <v>8116</v>
      </c>
      <c r="E7895" s="711">
        <v>1</v>
      </c>
    </row>
    <row r="7896" spans="2:5" x14ac:dyDescent="0.3">
      <c r="B7896" s="709">
        <v>100287</v>
      </c>
      <c r="C7896" s="710" t="s">
        <v>14463</v>
      </c>
      <c r="D7896" s="709" t="s">
        <v>8118</v>
      </c>
      <c r="E7896" s="711">
        <v>1</v>
      </c>
    </row>
    <row r="7897" spans="2:5" x14ac:dyDescent="0.3">
      <c r="B7897" s="709">
        <v>100274</v>
      </c>
      <c r="C7897" s="710" t="s">
        <v>14464</v>
      </c>
      <c r="D7897" s="709" t="s">
        <v>8116</v>
      </c>
      <c r="E7897" s="711">
        <v>1</v>
      </c>
    </row>
    <row r="7898" spans="2:5" x14ac:dyDescent="0.3">
      <c r="B7898" s="709">
        <v>100264</v>
      </c>
      <c r="C7898" s="710" t="s">
        <v>14465</v>
      </c>
      <c r="D7898" s="709" t="s">
        <v>8116</v>
      </c>
      <c r="E7898" s="711">
        <v>1</v>
      </c>
    </row>
    <row r="7899" spans="2:5" x14ac:dyDescent="0.3">
      <c r="B7899" s="709">
        <v>100225</v>
      </c>
      <c r="C7899" s="710" t="s">
        <v>14466</v>
      </c>
      <c r="D7899" s="709" t="s">
        <v>8119</v>
      </c>
      <c r="E7899" s="711">
        <v>1</v>
      </c>
    </row>
    <row r="7900" spans="2:5" x14ac:dyDescent="0.3">
      <c r="B7900" s="709">
        <v>100266</v>
      </c>
      <c r="C7900" s="710" t="s">
        <v>14467</v>
      </c>
      <c r="D7900" s="709" t="s">
        <v>8115</v>
      </c>
      <c r="E7900" s="711">
        <v>1</v>
      </c>
    </row>
    <row r="7901" spans="2:5" x14ac:dyDescent="0.3">
      <c r="B7901" s="709">
        <v>100257</v>
      </c>
      <c r="C7901" s="710" t="s">
        <v>14468</v>
      </c>
      <c r="D7901" s="709" t="s">
        <v>8118</v>
      </c>
      <c r="E7901" s="711">
        <v>1</v>
      </c>
    </row>
    <row r="7902" spans="2:5" x14ac:dyDescent="0.3">
      <c r="B7902" s="709">
        <v>100197</v>
      </c>
      <c r="C7902" s="710" t="s">
        <v>14469</v>
      </c>
      <c r="D7902" s="709" t="s">
        <v>8117</v>
      </c>
      <c r="E7902" s="711">
        <v>1</v>
      </c>
    </row>
    <row r="7903" spans="2:5" x14ac:dyDescent="0.3">
      <c r="B7903" s="709">
        <v>100196</v>
      </c>
      <c r="C7903" s="710" t="s">
        <v>14470</v>
      </c>
      <c r="D7903" s="709" t="s">
        <v>8117</v>
      </c>
      <c r="E7903" s="711">
        <v>1</v>
      </c>
    </row>
    <row r="7904" spans="2:5" x14ac:dyDescent="0.3">
      <c r="B7904" s="709">
        <v>100195</v>
      </c>
      <c r="C7904" s="710" t="s">
        <v>14471</v>
      </c>
      <c r="D7904" s="709" t="s">
        <v>8117</v>
      </c>
      <c r="E7904" s="711">
        <v>1</v>
      </c>
    </row>
    <row r="7905" spans="2:5" x14ac:dyDescent="0.3">
      <c r="B7905" s="709">
        <v>100273</v>
      </c>
      <c r="C7905" s="710" t="s">
        <v>14472</v>
      </c>
      <c r="D7905" s="709" t="s">
        <v>8117</v>
      </c>
      <c r="E7905" s="711">
        <v>1</v>
      </c>
    </row>
    <row r="7906" spans="2:5" x14ac:dyDescent="0.3">
      <c r="B7906" s="709">
        <v>100282</v>
      </c>
      <c r="C7906" s="710" t="s">
        <v>14473</v>
      </c>
      <c r="D7906" s="709" t="s">
        <v>8116</v>
      </c>
      <c r="E7906" s="711">
        <v>1</v>
      </c>
    </row>
    <row r="7907" spans="2:5" x14ac:dyDescent="0.3">
      <c r="B7907" s="709">
        <v>100276</v>
      </c>
      <c r="C7907" s="710" t="s">
        <v>14474</v>
      </c>
      <c r="D7907" s="709" t="s">
        <v>8116</v>
      </c>
      <c r="E7907" s="711">
        <v>1</v>
      </c>
    </row>
    <row r="7908" spans="2:5" x14ac:dyDescent="0.3">
      <c r="B7908" s="709">
        <v>100275</v>
      </c>
      <c r="C7908" s="710" t="s">
        <v>14475</v>
      </c>
      <c r="D7908" s="709" t="s">
        <v>8116</v>
      </c>
      <c r="E7908" s="711">
        <v>1</v>
      </c>
    </row>
    <row r="7909" spans="2:5" x14ac:dyDescent="0.3">
      <c r="B7909" s="709">
        <v>100254</v>
      </c>
      <c r="C7909" s="710" t="s">
        <v>14476</v>
      </c>
      <c r="D7909" s="709" t="s">
        <v>8118</v>
      </c>
      <c r="E7909" s="711">
        <v>1</v>
      </c>
    </row>
    <row r="7910" spans="2:5" x14ac:dyDescent="0.3">
      <c r="B7910" s="709">
        <v>100250</v>
      </c>
      <c r="C7910" s="710" t="s">
        <v>14477</v>
      </c>
      <c r="D7910" s="709" t="s">
        <v>8118</v>
      </c>
      <c r="E7910" s="711">
        <v>1</v>
      </c>
    </row>
    <row r="7911" spans="2:5" x14ac:dyDescent="0.3">
      <c r="B7911" s="709">
        <v>100251</v>
      </c>
      <c r="C7911" s="710" t="s">
        <v>14478</v>
      </c>
      <c r="D7911" s="709" t="s">
        <v>8118</v>
      </c>
      <c r="E7911" s="711">
        <v>1</v>
      </c>
    </row>
    <row r="7912" spans="2:5" x14ac:dyDescent="0.3">
      <c r="B7912" s="709">
        <v>100252</v>
      </c>
      <c r="C7912" s="710" t="s">
        <v>14479</v>
      </c>
      <c r="D7912" s="709" t="s">
        <v>8118</v>
      </c>
      <c r="E7912" s="711">
        <v>1</v>
      </c>
    </row>
    <row r="7913" spans="2:5" x14ac:dyDescent="0.3">
      <c r="B7913" s="709">
        <v>100253</v>
      </c>
      <c r="C7913" s="710" t="s">
        <v>14480</v>
      </c>
      <c r="D7913" s="709" t="s">
        <v>8118</v>
      </c>
      <c r="E7913" s="711">
        <v>1</v>
      </c>
    </row>
    <row r="7914" spans="2:5" x14ac:dyDescent="0.3">
      <c r="B7914" s="709">
        <v>100249</v>
      </c>
      <c r="C7914" s="710" t="s">
        <v>14481</v>
      </c>
      <c r="D7914" s="709" t="s">
        <v>8118</v>
      </c>
      <c r="E7914" s="711">
        <v>1</v>
      </c>
    </row>
    <row r="7915" spans="2:5" x14ac:dyDescent="0.3">
      <c r="B7915" s="709">
        <v>100244</v>
      </c>
      <c r="C7915" s="710" t="s">
        <v>14482</v>
      </c>
      <c r="D7915" s="709" t="s">
        <v>8118</v>
      </c>
      <c r="E7915" s="711">
        <v>1</v>
      </c>
    </row>
    <row r="7916" spans="2:5" x14ac:dyDescent="0.3">
      <c r="B7916" s="709">
        <v>100245</v>
      </c>
      <c r="C7916" s="710" t="s">
        <v>14483</v>
      </c>
      <c r="D7916" s="709" t="s">
        <v>8118</v>
      </c>
      <c r="E7916" s="711">
        <v>1</v>
      </c>
    </row>
    <row r="7917" spans="2:5" x14ac:dyDescent="0.3">
      <c r="B7917" s="709">
        <v>100243</v>
      </c>
      <c r="C7917" s="710" t="s">
        <v>14484</v>
      </c>
      <c r="D7917" s="709" t="s">
        <v>8118</v>
      </c>
      <c r="E7917" s="711">
        <v>1</v>
      </c>
    </row>
    <row r="7918" spans="2:5" x14ac:dyDescent="0.3">
      <c r="B7918" s="709">
        <v>100239</v>
      </c>
      <c r="C7918" s="710" t="s">
        <v>14485</v>
      </c>
      <c r="D7918" s="709" t="s">
        <v>8118</v>
      </c>
      <c r="E7918" s="711">
        <v>1</v>
      </c>
    </row>
    <row r="7919" spans="2:5" x14ac:dyDescent="0.3">
      <c r="B7919" s="709">
        <v>100238</v>
      </c>
      <c r="C7919" s="710" t="s">
        <v>14486</v>
      </c>
      <c r="D7919" s="709" t="s">
        <v>8118</v>
      </c>
      <c r="E7919" s="711">
        <v>1</v>
      </c>
    </row>
    <row r="7920" spans="2:5" x14ac:dyDescent="0.3">
      <c r="B7920" s="709">
        <v>100241</v>
      </c>
      <c r="C7920" s="710" t="s">
        <v>14487</v>
      </c>
      <c r="D7920" s="709" t="s">
        <v>8118</v>
      </c>
      <c r="E7920" s="711">
        <v>1</v>
      </c>
    </row>
    <row r="7921" spans="2:5" x14ac:dyDescent="0.3">
      <c r="B7921" s="709">
        <v>100242</v>
      </c>
      <c r="C7921" s="710" t="s">
        <v>14488</v>
      </c>
      <c r="D7921" s="709" t="s">
        <v>8118</v>
      </c>
      <c r="E7921" s="711">
        <v>1</v>
      </c>
    </row>
    <row r="7922" spans="2:5" x14ac:dyDescent="0.3">
      <c r="B7922" s="709">
        <v>100240</v>
      </c>
      <c r="C7922" s="710" t="s">
        <v>14489</v>
      </c>
      <c r="D7922" s="709" t="s">
        <v>8118</v>
      </c>
      <c r="E7922" s="711">
        <v>1</v>
      </c>
    </row>
    <row r="7923" spans="2:5" x14ac:dyDescent="0.3">
      <c r="B7923" s="709">
        <v>100237</v>
      </c>
      <c r="C7923" s="710" t="s">
        <v>14490</v>
      </c>
      <c r="D7923" s="709" t="s">
        <v>8118</v>
      </c>
      <c r="E7923" s="711">
        <v>1</v>
      </c>
    </row>
    <row r="7924" spans="2:5" x14ac:dyDescent="0.3">
      <c r="B7924" s="709">
        <v>100236</v>
      </c>
      <c r="C7924" s="710" t="s">
        <v>14491</v>
      </c>
      <c r="D7924" s="709" t="s">
        <v>8118</v>
      </c>
      <c r="E7924" s="711">
        <v>1</v>
      </c>
    </row>
    <row r="7925" spans="2:5" x14ac:dyDescent="0.3">
      <c r="B7925" s="709">
        <v>100248</v>
      </c>
      <c r="C7925" s="710" t="s">
        <v>14492</v>
      </c>
      <c r="D7925" s="709" t="s">
        <v>8118</v>
      </c>
      <c r="E7925" s="711">
        <v>1</v>
      </c>
    </row>
    <row r="7926" spans="2:5" x14ac:dyDescent="0.3">
      <c r="B7926" s="709">
        <v>100247</v>
      </c>
      <c r="C7926" s="710" t="s">
        <v>14493</v>
      </c>
      <c r="D7926" s="709" t="s">
        <v>8118</v>
      </c>
      <c r="E7926" s="711">
        <v>1</v>
      </c>
    </row>
    <row r="7927" spans="2:5" x14ac:dyDescent="0.3">
      <c r="B7927" s="709">
        <v>100246</v>
      </c>
      <c r="C7927" s="710" t="s">
        <v>14494</v>
      </c>
      <c r="D7927" s="709" t="s">
        <v>8118</v>
      </c>
      <c r="E7927" s="711">
        <v>1</v>
      </c>
    </row>
    <row r="7928" spans="2:5" x14ac:dyDescent="0.3">
      <c r="B7928" s="709">
        <v>100255</v>
      </c>
      <c r="C7928" s="710" t="s">
        <v>14495</v>
      </c>
      <c r="D7928" s="709" t="s">
        <v>8118</v>
      </c>
      <c r="E7928" s="711">
        <v>1</v>
      </c>
    </row>
    <row r="7929" spans="2:5" x14ac:dyDescent="0.3">
      <c r="B7929" s="709">
        <v>100263</v>
      </c>
      <c r="C7929" s="710" t="s">
        <v>14496</v>
      </c>
      <c r="D7929" s="709" t="s">
        <v>8117</v>
      </c>
      <c r="E7929" s="711">
        <v>1</v>
      </c>
    </row>
    <row r="7930" spans="2:5" x14ac:dyDescent="0.3">
      <c r="B7930" s="709">
        <v>100260</v>
      </c>
      <c r="C7930" s="710" t="s">
        <v>14497</v>
      </c>
      <c r="D7930" s="709" t="s">
        <v>8117</v>
      </c>
      <c r="E7930" s="711">
        <v>1</v>
      </c>
    </row>
    <row r="7931" spans="2:5" x14ac:dyDescent="0.3">
      <c r="B7931" s="709">
        <v>100261</v>
      </c>
      <c r="C7931" s="710" t="s">
        <v>14498</v>
      </c>
      <c r="D7931" s="709" t="s">
        <v>8117</v>
      </c>
      <c r="E7931" s="711">
        <v>1</v>
      </c>
    </row>
    <row r="7932" spans="2:5" x14ac:dyDescent="0.3">
      <c r="B7932" s="709">
        <v>100262</v>
      </c>
      <c r="C7932" s="710" t="s">
        <v>14499</v>
      </c>
      <c r="D7932" s="709" t="s">
        <v>8117</v>
      </c>
      <c r="E7932" s="711">
        <v>1</v>
      </c>
    </row>
    <row r="7933" spans="2:5" x14ac:dyDescent="0.3">
      <c r="B7933" s="709">
        <v>100271</v>
      </c>
      <c r="C7933" s="710" t="s">
        <v>14500</v>
      </c>
      <c r="D7933" s="709" t="s">
        <v>8116</v>
      </c>
      <c r="E7933" s="711">
        <v>1</v>
      </c>
    </row>
    <row r="7934" spans="2:5" x14ac:dyDescent="0.3">
      <c r="B7934" s="709">
        <v>100258</v>
      </c>
      <c r="C7934" s="710" t="s">
        <v>14501</v>
      </c>
      <c r="D7934" s="709" t="s">
        <v>8118</v>
      </c>
      <c r="E7934" s="711">
        <v>1</v>
      </c>
    </row>
    <row r="7935" spans="2:5" x14ac:dyDescent="0.3">
      <c r="B7935" s="709">
        <v>100259</v>
      </c>
      <c r="C7935" s="710" t="s">
        <v>14502</v>
      </c>
      <c r="D7935" s="709" t="s">
        <v>8118</v>
      </c>
      <c r="E7935" s="711">
        <v>1</v>
      </c>
    </row>
    <row r="7936" spans="2:5" x14ac:dyDescent="0.3">
      <c r="B7936" s="709">
        <v>100279</v>
      </c>
      <c r="C7936" s="710" t="s">
        <v>14503</v>
      </c>
      <c r="D7936" s="709" t="s">
        <v>136</v>
      </c>
      <c r="E7936" s="711">
        <v>1</v>
      </c>
    </row>
    <row r="7937" spans="2:5" x14ac:dyDescent="0.3">
      <c r="B7937" s="709">
        <v>100233</v>
      </c>
      <c r="C7937" s="710" t="s">
        <v>14504</v>
      </c>
      <c r="D7937" s="709" t="s">
        <v>136</v>
      </c>
      <c r="E7937" s="711">
        <v>1</v>
      </c>
    </row>
    <row r="7938" spans="2:5" x14ac:dyDescent="0.3">
      <c r="B7938" s="709">
        <v>100232</v>
      </c>
      <c r="C7938" s="710" t="s">
        <v>14505</v>
      </c>
      <c r="D7938" s="709" t="s">
        <v>136</v>
      </c>
      <c r="E7938" s="711">
        <v>1</v>
      </c>
    </row>
    <row r="7939" spans="2:5" x14ac:dyDescent="0.3">
      <c r="B7939" s="709">
        <v>100234</v>
      </c>
      <c r="C7939" s="710" t="s">
        <v>14506</v>
      </c>
      <c r="D7939" s="709" t="s">
        <v>168</v>
      </c>
      <c r="E7939" s="711">
        <v>1</v>
      </c>
    </row>
    <row r="7940" spans="2:5" x14ac:dyDescent="0.3">
      <c r="B7940" s="709">
        <v>100265</v>
      </c>
      <c r="C7940" s="710" t="s">
        <v>14507</v>
      </c>
      <c r="D7940" s="709" t="s">
        <v>168</v>
      </c>
      <c r="E7940" s="711">
        <v>1</v>
      </c>
    </row>
    <row r="7941" spans="2:5" x14ac:dyDescent="0.3">
      <c r="B7941" s="709">
        <v>100235</v>
      </c>
      <c r="C7941" s="710" t="s">
        <v>14508</v>
      </c>
      <c r="D7941" s="709" t="s">
        <v>8120</v>
      </c>
      <c r="E7941" s="711">
        <v>1</v>
      </c>
    </row>
    <row r="7942" spans="2:5" x14ac:dyDescent="0.3">
      <c r="B7942" s="709">
        <v>100267</v>
      </c>
      <c r="C7942" s="710" t="s">
        <v>14509</v>
      </c>
      <c r="D7942" s="709" t="s">
        <v>136</v>
      </c>
      <c r="E7942" s="711">
        <v>1</v>
      </c>
    </row>
    <row r="7943" spans="2:5" x14ac:dyDescent="0.3">
      <c r="B7943" s="709">
        <v>100231</v>
      </c>
      <c r="C7943" s="710" t="s">
        <v>14510</v>
      </c>
      <c r="D7943" s="709" t="s">
        <v>175</v>
      </c>
      <c r="E7943" s="711">
        <v>1</v>
      </c>
    </row>
    <row r="7944" spans="2:5" x14ac:dyDescent="0.3">
      <c r="B7944" s="709">
        <v>100230</v>
      </c>
      <c r="C7944" s="710" t="s">
        <v>14511</v>
      </c>
      <c r="D7944" s="709" t="s">
        <v>175</v>
      </c>
      <c r="E7944" s="711">
        <v>1</v>
      </c>
    </row>
    <row r="7945" spans="2:5" x14ac:dyDescent="0.3">
      <c r="B7945" s="709">
        <v>100229</v>
      </c>
      <c r="C7945" s="710" t="s">
        <v>14512</v>
      </c>
      <c r="D7945" s="709" t="s">
        <v>175</v>
      </c>
      <c r="E7945" s="711">
        <v>1</v>
      </c>
    </row>
    <row r="7946" spans="2:5" x14ac:dyDescent="0.3">
      <c r="B7946" s="709">
        <v>100272</v>
      </c>
      <c r="C7946" s="710" t="s">
        <v>14513</v>
      </c>
      <c r="D7946" s="709" t="s">
        <v>168</v>
      </c>
      <c r="E7946" s="711">
        <v>1</v>
      </c>
    </row>
    <row r="7947" spans="2:5" x14ac:dyDescent="0.3">
      <c r="B7947" s="709">
        <v>100269</v>
      </c>
      <c r="C7947" s="710" t="s">
        <v>14514</v>
      </c>
      <c r="D7947" s="709" t="s">
        <v>136</v>
      </c>
      <c r="E7947" s="711">
        <v>1</v>
      </c>
    </row>
    <row r="7948" spans="2:5" x14ac:dyDescent="0.3">
      <c r="B7948" s="709">
        <v>100986</v>
      </c>
      <c r="C7948" s="710" t="s">
        <v>14515</v>
      </c>
      <c r="D7948" s="709" t="s">
        <v>170</v>
      </c>
      <c r="E7948" s="711">
        <v>0.13189999999999999</v>
      </c>
    </row>
    <row r="7949" spans="2:5" x14ac:dyDescent="0.3">
      <c r="B7949" s="709">
        <v>101002</v>
      </c>
      <c r="C7949" s="710" t="s">
        <v>14516</v>
      </c>
      <c r="D7949" s="709" t="s">
        <v>180</v>
      </c>
      <c r="E7949" s="711">
        <v>0.13100000000000001</v>
      </c>
    </row>
    <row r="7950" spans="2:5" x14ac:dyDescent="0.3">
      <c r="B7950" s="709">
        <v>100987</v>
      </c>
      <c r="C7950" s="710" t="s">
        <v>14517</v>
      </c>
      <c r="D7950" s="709" t="s">
        <v>170</v>
      </c>
      <c r="E7950" s="711">
        <v>0.10580000000000001</v>
      </c>
    </row>
    <row r="7951" spans="2:5" x14ac:dyDescent="0.3">
      <c r="B7951" s="709">
        <v>101003</v>
      </c>
      <c r="C7951" s="710" t="s">
        <v>14518</v>
      </c>
      <c r="D7951" s="709" t="s">
        <v>180</v>
      </c>
      <c r="E7951" s="711">
        <v>0.1055</v>
      </c>
    </row>
    <row r="7952" spans="2:5" x14ac:dyDescent="0.3">
      <c r="B7952" s="709">
        <v>100988</v>
      </c>
      <c r="C7952" s="710" t="s">
        <v>14519</v>
      </c>
      <c r="D7952" s="709" t="s">
        <v>170</v>
      </c>
      <c r="E7952" s="711">
        <v>9.5699999999999993E-2</v>
      </c>
    </row>
    <row r="7953" spans="2:5" x14ac:dyDescent="0.3">
      <c r="B7953" s="709">
        <v>101004</v>
      </c>
      <c r="C7953" s="710" t="s">
        <v>14520</v>
      </c>
      <c r="D7953" s="709" t="s">
        <v>180</v>
      </c>
      <c r="E7953" s="711">
        <v>9.4500000000000001E-2</v>
      </c>
    </row>
    <row r="7954" spans="2:5" x14ac:dyDescent="0.3">
      <c r="B7954" s="709">
        <v>100985</v>
      </c>
      <c r="C7954" s="710" t="s">
        <v>14521</v>
      </c>
      <c r="D7954" s="709" t="s">
        <v>170</v>
      </c>
      <c r="E7954" s="711">
        <v>0.1885</v>
      </c>
    </row>
    <row r="7955" spans="2:5" x14ac:dyDescent="0.3">
      <c r="B7955" s="709">
        <v>101001</v>
      </c>
      <c r="C7955" s="710" t="s">
        <v>14522</v>
      </c>
      <c r="D7955" s="709" t="s">
        <v>180</v>
      </c>
      <c r="E7955" s="711">
        <v>0.18920000000000001</v>
      </c>
    </row>
    <row r="7956" spans="2:5" x14ac:dyDescent="0.3">
      <c r="B7956" s="709">
        <v>101008</v>
      </c>
      <c r="C7956" s="710" t="s">
        <v>14523</v>
      </c>
      <c r="D7956" s="709" t="s">
        <v>170</v>
      </c>
      <c r="E7956" s="711">
        <v>0.1026</v>
      </c>
    </row>
    <row r="7957" spans="2:5" x14ac:dyDescent="0.3">
      <c r="B7957" s="709">
        <v>106708</v>
      </c>
      <c r="C7957" s="710" t="s">
        <v>14524</v>
      </c>
      <c r="D7957" s="709" t="s">
        <v>170</v>
      </c>
      <c r="E7957" s="711">
        <v>0.1143</v>
      </c>
    </row>
    <row r="7958" spans="2:5" x14ac:dyDescent="0.3">
      <c r="B7958" s="709">
        <v>101007</v>
      </c>
      <c r="C7958" s="710" t="s">
        <v>14525</v>
      </c>
      <c r="D7958" s="709" t="s">
        <v>170</v>
      </c>
      <c r="E7958" s="711">
        <v>0.1273</v>
      </c>
    </row>
    <row r="7959" spans="2:5" x14ac:dyDescent="0.3">
      <c r="B7959" s="709">
        <v>100982</v>
      </c>
      <c r="C7959" s="710" t="s">
        <v>14526</v>
      </c>
      <c r="D7959" s="709" t="s">
        <v>170</v>
      </c>
      <c r="E7959" s="711">
        <v>0.1613</v>
      </c>
    </row>
    <row r="7960" spans="2:5" x14ac:dyDescent="0.3">
      <c r="B7960" s="709">
        <v>100998</v>
      </c>
      <c r="C7960" s="710" t="s">
        <v>14527</v>
      </c>
      <c r="D7960" s="709" t="s">
        <v>180</v>
      </c>
      <c r="E7960" s="711">
        <v>0.15840000000000001</v>
      </c>
    </row>
    <row r="7961" spans="2:5" x14ac:dyDescent="0.3">
      <c r="B7961" s="709">
        <v>100983</v>
      </c>
      <c r="C7961" s="710" t="s">
        <v>14528</v>
      </c>
      <c r="D7961" s="709" t="s">
        <v>170</v>
      </c>
      <c r="E7961" s="711">
        <v>0.13750000000000001</v>
      </c>
    </row>
    <row r="7962" spans="2:5" x14ac:dyDescent="0.3">
      <c r="B7962" s="709">
        <v>100999</v>
      </c>
      <c r="C7962" s="710" t="s">
        <v>14529</v>
      </c>
      <c r="D7962" s="709" t="s">
        <v>180</v>
      </c>
      <c r="E7962" s="711">
        <v>0.13639999999999999</v>
      </c>
    </row>
    <row r="7963" spans="2:5" x14ac:dyDescent="0.3">
      <c r="B7963" s="709">
        <v>100984</v>
      </c>
      <c r="C7963" s="710" t="s">
        <v>14530</v>
      </c>
      <c r="D7963" s="709" t="s">
        <v>170</v>
      </c>
      <c r="E7963" s="711">
        <v>0.12670000000000001</v>
      </c>
    </row>
    <row r="7964" spans="2:5" x14ac:dyDescent="0.3">
      <c r="B7964" s="709">
        <v>101000</v>
      </c>
      <c r="C7964" s="710" t="s">
        <v>14531</v>
      </c>
      <c r="D7964" s="709" t="s">
        <v>180</v>
      </c>
      <c r="E7964" s="711">
        <v>0.1234</v>
      </c>
    </row>
    <row r="7965" spans="2:5" x14ac:dyDescent="0.3">
      <c r="B7965" s="709">
        <v>100981</v>
      </c>
      <c r="C7965" s="710" t="s">
        <v>14532</v>
      </c>
      <c r="D7965" s="709" t="s">
        <v>170</v>
      </c>
      <c r="E7965" s="711">
        <v>0.20960000000000001</v>
      </c>
    </row>
    <row r="7966" spans="2:5" x14ac:dyDescent="0.3">
      <c r="B7966" s="709">
        <v>100997</v>
      </c>
      <c r="C7966" s="710" t="s">
        <v>14533</v>
      </c>
      <c r="D7966" s="709" t="s">
        <v>180</v>
      </c>
      <c r="E7966" s="711">
        <v>0.2069</v>
      </c>
    </row>
    <row r="7967" spans="2:5" x14ac:dyDescent="0.3">
      <c r="B7967" s="709">
        <v>101010</v>
      </c>
      <c r="C7967" s="710" t="s">
        <v>14534</v>
      </c>
      <c r="D7967" s="709" t="s">
        <v>180</v>
      </c>
      <c r="E7967" s="711">
        <v>0.13800000000000001</v>
      </c>
    </row>
    <row r="7968" spans="2:5" x14ac:dyDescent="0.3">
      <c r="B7968" s="709">
        <v>106721</v>
      </c>
      <c r="C7968" s="710" t="s">
        <v>14535</v>
      </c>
      <c r="D7968" s="709" t="s">
        <v>180</v>
      </c>
      <c r="E7968" s="711">
        <v>0.11609999999999999</v>
      </c>
    </row>
    <row r="7969" spans="2:5" x14ac:dyDescent="0.3">
      <c r="B7969" s="709">
        <v>101009</v>
      </c>
      <c r="C7969" s="710" t="s">
        <v>14536</v>
      </c>
      <c r="D7969" s="709" t="s">
        <v>180</v>
      </c>
      <c r="E7969" s="711">
        <v>0.1381</v>
      </c>
    </row>
    <row r="7970" spans="2:5" x14ac:dyDescent="0.3">
      <c r="B7970" s="709">
        <v>106720</v>
      </c>
      <c r="C7970" s="710" t="s">
        <v>14537</v>
      </c>
      <c r="D7970" s="709" t="s">
        <v>180</v>
      </c>
      <c r="E7970" s="711">
        <v>0.1162</v>
      </c>
    </row>
    <row r="7971" spans="2:5" x14ac:dyDescent="0.3">
      <c r="B7971" s="709">
        <v>100978</v>
      </c>
      <c r="C7971" s="710" t="s">
        <v>14538</v>
      </c>
      <c r="D7971" s="709" t="s">
        <v>170</v>
      </c>
      <c r="E7971" s="711">
        <v>0.159</v>
      </c>
    </row>
    <row r="7972" spans="2:5" x14ac:dyDescent="0.3">
      <c r="B7972" s="709">
        <v>100994</v>
      </c>
      <c r="C7972" s="710" t="s">
        <v>14539</v>
      </c>
      <c r="D7972" s="709" t="s">
        <v>180</v>
      </c>
      <c r="E7972" s="711">
        <v>0.15790000000000001</v>
      </c>
    </row>
    <row r="7973" spans="2:5" x14ac:dyDescent="0.3">
      <c r="B7973" s="709">
        <v>100974</v>
      </c>
      <c r="C7973" s="710" t="s">
        <v>14540</v>
      </c>
      <c r="D7973" s="709" t="s">
        <v>170</v>
      </c>
      <c r="E7973" s="711">
        <v>0.17299999999999999</v>
      </c>
    </row>
    <row r="7974" spans="2:5" x14ac:dyDescent="0.3">
      <c r="B7974" s="709">
        <v>100990</v>
      </c>
      <c r="C7974" s="710" t="s">
        <v>14541</v>
      </c>
      <c r="D7974" s="709" t="s">
        <v>180</v>
      </c>
      <c r="E7974" s="711">
        <v>0.17130000000000001</v>
      </c>
    </row>
    <row r="7975" spans="2:5" x14ac:dyDescent="0.3">
      <c r="B7975" s="709">
        <v>100979</v>
      </c>
      <c r="C7975" s="710" t="s">
        <v>14542</v>
      </c>
      <c r="D7975" s="709" t="s">
        <v>170</v>
      </c>
      <c r="E7975" s="711">
        <v>0.13339999999999999</v>
      </c>
    </row>
    <row r="7976" spans="2:5" x14ac:dyDescent="0.3">
      <c r="B7976" s="709">
        <v>100995</v>
      </c>
      <c r="C7976" s="710" t="s">
        <v>14543</v>
      </c>
      <c r="D7976" s="709" t="s">
        <v>180</v>
      </c>
      <c r="E7976" s="711">
        <v>0.13320000000000001</v>
      </c>
    </row>
    <row r="7977" spans="2:5" x14ac:dyDescent="0.3">
      <c r="B7977" s="709">
        <v>100975</v>
      </c>
      <c r="C7977" s="710" t="s">
        <v>14544</v>
      </c>
      <c r="D7977" s="709" t="s">
        <v>170</v>
      </c>
      <c r="E7977" s="711">
        <v>0.14630000000000001</v>
      </c>
    </row>
    <row r="7978" spans="2:5" x14ac:dyDescent="0.3">
      <c r="B7978" s="709">
        <v>100991</v>
      </c>
      <c r="C7978" s="710" t="s">
        <v>14545</v>
      </c>
      <c r="D7978" s="709" t="s">
        <v>180</v>
      </c>
      <c r="E7978" s="711">
        <v>0.1449</v>
      </c>
    </row>
    <row r="7979" spans="2:5" x14ac:dyDescent="0.3">
      <c r="B7979" s="709">
        <v>100980</v>
      </c>
      <c r="C7979" s="710" t="s">
        <v>14546</v>
      </c>
      <c r="D7979" s="709" t="s">
        <v>170</v>
      </c>
      <c r="E7979" s="711">
        <v>0.12330000000000001</v>
      </c>
    </row>
    <row r="7980" spans="2:5" x14ac:dyDescent="0.3">
      <c r="B7980" s="709">
        <v>100996</v>
      </c>
      <c r="C7980" s="710" t="s">
        <v>14547</v>
      </c>
      <c r="D7980" s="709" t="s">
        <v>180</v>
      </c>
      <c r="E7980" s="711">
        <v>0.12280000000000001</v>
      </c>
    </row>
    <row r="7981" spans="2:5" x14ac:dyDescent="0.3">
      <c r="B7981" s="709">
        <v>100976</v>
      </c>
      <c r="C7981" s="710" t="s">
        <v>14548</v>
      </c>
      <c r="D7981" s="709" t="s">
        <v>170</v>
      </c>
      <c r="E7981" s="711">
        <v>0.13619999999999999</v>
      </c>
    </row>
    <row r="7982" spans="2:5" x14ac:dyDescent="0.3">
      <c r="B7982" s="709">
        <v>100992</v>
      </c>
      <c r="C7982" s="710" t="s">
        <v>14549</v>
      </c>
      <c r="D7982" s="709" t="s">
        <v>180</v>
      </c>
      <c r="E7982" s="711">
        <v>0.1346</v>
      </c>
    </row>
    <row r="7983" spans="2:5" x14ac:dyDescent="0.3">
      <c r="B7983" s="709">
        <v>100977</v>
      </c>
      <c r="C7983" s="710" t="s">
        <v>14550</v>
      </c>
      <c r="D7983" s="709" t="s">
        <v>170</v>
      </c>
      <c r="E7983" s="711">
        <v>0.2092</v>
      </c>
    </row>
    <row r="7984" spans="2:5" x14ac:dyDescent="0.3">
      <c r="B7984" s="709">
        <v>100993</v>
      </c>
      <c r="C7984" s="710" t="s">
        <v>14551</v>
      </c>
      <c r="D7984" s="709" t="s">
        <v>180</v>
      </c>
      <c r="E7984" s="711">
        <v>0.2084</v>
      </c>
    </row>
    <row r="7985" spans="2:5" x14ac:dyDescent="0.3">
      <c r="B7985" s="709">
        <v>100973</v>
      </c>
      <c r="C7985" s="710" t="s">
        <v>14552</v>
      </c>
      <c r="D7985" s="709" t="s">
        <v>170</v>
      </c>
      <c r="E7985" s="711">
        <v>0.2248</v>
      </c>
    </row>
    <row r="7986" spans="2:5" x14ac:dyDescent="0.3">
      <c r="B7986" s="709">
        <v>100989</v>
      </c>
      <c r="C7986" s="710" t="s">
        <v>14553</v>
      </c>
      <c r="D7986" s="709" t="s">
        <v>180</v>
      </c>
      <c r="E7986" s="711">
        <v>0.2228</v>
      </c>
    </row>
    <row r="7987" spans="2:5" x14ac:dyDescent="0.3">
      <c r="B7987" s="709">
        <v>101467</v>
      </c>
      <c r="C7987" s="710" t="s">
        <v>14554</v>
      </c>
      <c r="D7987" s="709" t="s">
        <v>180</v>
      </c>
      <c r="E7987" s="711">
        <v>0.29020000000000001</v>
      </c>
    </row>
    <row r="7988" spans="2:5" x14ac:dyDescent="0.3">
      <c r="B7988" s="709">
        <v>106729</v>
      </c>
      <c r="C7988" s="710" t="s">
        <v>14555</v>
      </c>
      <c r="D7988" s="709" t="s">
        <v>180</v>
      </c>
      <c r="E7988" s="711">
        <v>0.25119999999999998</v>
      </c>
    </row>
    <row r="7989" spans="2:5" x14ac:dyDescent="0.3">
      <c r="B7989" s="709">
        <v>101468</v>
      </c>
      <c r="C7989" s="710" t="s">
        <v>14556</v>
      </c>
      <c r="D7989" s="709" t="s">
        <v>180</v>
      </c>
      <c r="E7989" s="711">
        <v>0.28949999999999998</v>
      </c>
    </row>
    <row r="7990" spans="2:5" x14ac:dyDescent="0.3">
      <c r="B7990" s="709">
        <v>106730</v>
      </c>
      <c r="C7990" s="710" t="s">
        <v>14557</v>
      </c>
      <c r="D7990" s="709" t="s">
        <v>180</v>
      </c>
      <c r="E7990" s="711">
        <v>0.25069999999999998</v>
      </c>
    </row>
    <row r="7991" spans="2:5" x14ac:dyDescent="0.3">
      <c r="B7991" s="709">
        <v>101014</v>
      </c>
      <c r="C7991" s="710" t="s">
        <v>14558</v>
      </c>
      <c r="D7991" s="709" t="s">
        <v>180</v>
      </c>
      <c r="E7991" s="711">
        <v>0.29020000000000001</v>
      </c>
    </row>
    <row r="7992" spans="2:5" x14ac:dyDescent="0.3">
      <c r="B7992" s="709">
        <v>106723</v>
      </c>
      <c r="C7992" s="710" t="s">
        <v>14559</v>
      </c>
      <c r="D7992" s="709" t="s">
        <v>180</v>
      </c>
      <c r="E7992" s="711">
        <v>0.25109999999999999</v>
      </c>
    </row>
    <row r="7993" spans="2:5" x14ac:dyDescent="0.3">
      <c r="B7993" s="709">
        <v>101015</v>
      </c>
      <c r="C7993" s="710" t="s">
        <v>14560</v>
      </c>
      <c r="D7993" s="709" t="s">
        <v>180</v>
      </c>
      <c r="E7993" s="711">
        <v>0.29010000000000002</v>
      </c>
    </row>
    <row r="7994" spans="2:5" x14ac:dyDescent="0.3">
      <c r="B7994" s="709">
        <v>106724</v>
      </c>
      <c r="C7994" s="710" t="s">
        <v>14561</v>
      </c>
      <c r="D7994" s="709" t="s">
        <v>180</v>
      </c>
      <c r="E7994" s="711">
        <v>0.25090000000000001</v>
      </c>
    </row>
    <row r="7995" spans="2:5" x14ac:dyDescent="0.3">
      <c r="B7995" s="709">
        <v>101463</v>
      </c>
      <c r="C7995" s="710" t="s">
        <v>14562</v>
      </c>
      <c r="D7995" s="709" t="s">
        <v>180</v>
      </c>
      <c r="E7995" s="711">
        <v>0.29020000000000001</v>
      </c>
    </row>
    <row r="7996" spans="2:5" x14ac:dyDescent="0.3">
      <c r="B7996" s="709">
        <v>106725</v>
      </c>
      <c r="C7996" s="710" t="s">
        <v>14563</v>
      </c>
      <c r="D7996" s="709" t="s">
        <v>180</v>
      </c>
      <c r="E7996" s="711">
        <v>0.25109999999999999</v>
      </c>
    </row>
    <row r="7997" spans="2:5" x14ac:dyDescent="0.3">
      <c r="B7997" s="709">
        <v>101464</v>
      </c>
      <c r="C7997" s="710" t="s">
        <v>14564</v>
      </c>
      <c r="D7997" s="709" t="s">
        <v>180</v>
      </c>
      <c r="E7997" s="711">
        <v>0.29010000000000002</v>
      </c>
    </row>
    <row r="7998" spans="2:5" x14ac:dyDescent="0.3">
      <c r="B7998" s="709">
        <v>106726</v>
      </c>
      <c r="C7998" s="710" t="s">
        <v>14565</v>
      </c>
      <c r="D7998" s="709" t="s">
        <v>180</v>
      </c>
      <c r="E7998" s="711">
        <v>0.251</v>
      </c>
    </row>
    <row r="7999" spans="2:5" x14ac:dyDescent="0.3">
      <c r="B7999" s="709">
        <v>101465</v>
      </c>
      <c r="C7999" s="710" t="s">
        <v>14566</v>
      </c>
      <c r="D7999" s="709" t="s">
        <v>180</v>
      </c>
      <c r="E7999" s="711">
        <v>0.28989999999999999</v>
      </c>
    </row>
    <row r="8000" spans="2:5" x14ac:dyDescent="0.3">
      <c r="B8000" s="709">
        <v>106727</v>
      </c>
      <c r="C8000" s="710" t="s">
        <v>14567</v>
      </c>
      <c r="D8000" s="709" t="s">
        <v>180</v>
      </c>
      <c r="E8000" s="711">
        <v>0.25109999999999999</v>
      </c>
    </row>
    <row r="8001" spans="2:5" x14ac:dyDescent="0.3">
      <c r="B8001" s="709">
        <v>101466</v>
      </c>
      <c r="C8001" s="710" t="s">
        <v>14568</v>
      </c>
      <c r="D8001" s="709" t="s">
        <v>180</v>
      </c>
      <c r="E8001" s="711">
        <v>0.28999999999999998</v>
      </c>
    </row>
    <row r="8002" spans="2:5" x14ac:dyDescent="0.3">
      <c r="B8002" s="709">
        <v>106728</v>
      </c>
      <c r="C8002" s="710" t="s">
        <v>14569</v>
      </c>
      <c r="D8002" s="709" t="s">
        <v>180</v>
      </c>
      <c r="E8002" s="711">
        <v>0.25080000000000002</v>
      </c>
    </row>
    <row r="8003" spans="2:5" x14ac:dyDescent="0.3">
      <c r="B8003" s="709">
        <v>101013</v>
      </c>
      <c r="C8003" s="710" t="s">
        <v>14570</v>
      </c>
      <c r="D8003" s="709" t="s">
        <v>180</v>
      </c>
      <c r="E8003" s="711">
        <v>0.29020000000000001</v>
      </c>
    </row>
    <row r="8004" spans="2:5" x14ac:dyDescent="0.3">
      <c r="B8004" s="709">
        <v>106722</v>
      </c>
      <c r="C8004" s="710" t="s">
        <v>14571</v>
      </c>
      <c r="D8004" s="709" t="s">
        <v>180</v>
      </c>
      <c r="E8004" s="711">
        <v>0.25109999999999999</v>
      </c>
    </row>
    <row r="8005" spans="2:5" x14ac:dyDescent="0.3">
      <c r="B8005" s="709">
        <v>101477</v>
      </c>
      <c r="C8005" s="710" t="s">
        <v>14572</v>
      </c>
      <c r="D8005" s="709" t="s">
        <v>180</v>
      </c>
      <c r="E8005" s="711">
        <v>0.28920000000000001</v>
      </c>
    </row>
    <row r="8006" spans="2:5" x14ac:dyDescent="0.3">
      <c r="B8006" s="709">
        <v>106742</v>
      </c>
      <c r="C8006" s="710" t="s">
        <v>14573</v>
      </c>
      <c r="D8006" s="709" t="s">
        <v>180</v>
      </c>
      <c r="E8006" s="711">
        <v>0.25059999999999999</v>
      </c>
    </row>
    <row r="8007" spans="2:5" x14ac:dyDescent="0.3">
      <c r="B8007" s="709">
        <v>101478</v>
      </c>
      <c r="C8007" s="710" t="s">
        <v>14574</v>
      </c>
      <c r="D8007" s="709" t="s">
        <v>180</v>
      </c>
      <c r="E8007" s="711">
        <v>0.2898</v>
      </c>
    </row>
    <row r="8008" spans="2:5" x14ac:dyDescent="0.3">
      <c r="B8008" s="709">
        <v>106743</v>
      </c>
      <c r="C8008" s="710" t="s">
        <v>14575</v>
      </c>
      <c r="D8008" s="709" t="s">
        <v>180</v>
      </c>
      <c r="E8008" s="711">
        <v>0.25059999999999999</v>
      </c>
    </row>
    <row r="8009" spans="2:5" x14ac:dyDescent="0.3">
      <c r="B8009" s="709">
        <v>101017</v>
      </c>
      <c r="C8009" s="710" t="s">
        <v>14576</v>
      </c>
      <c r="D8009" s="709" t="s">
        <v>180</v>
      </c>
      <c r="E8009" s="711">
        <v>0.29020000000000001</v>
      </c>
    </row>
    <row r="8010" spans="2:5" x14ac:dyDescent="0.3">
      <c r="B8010" s="709">
        <v>106732</v>
      </c>
      <c r="C8010" s="710" t="s">
        <v>14577</v>
      </c>
      <c r="D8010" s="709" t="s">
        <v>180</v>
      </c>
      <c r="E8010" s="711">
        <v>0.251</v>
      </c>
    </row>
    <row r="8011" spans="2:5" x14ac:dyDescent="0.3">
      <c r="B8011" s="709">
        <v>101018</v>
      </c>
      <c r="C8011" s="710" t="s">
        <v>14578</v>
      </c>
      <c r="D8011" s="709" t="s">
        <v>180</v>
      </c>
      <c r="E8011" s="711">
        <v>0.29020000000000001</v>
      </c>
    </row>
    <row r="8012" spans="2:5" x14ac:dyDescent="0.3">
      <c r="B8012" s="709">
        <v>106733</v>
      </c>
      <c r="C8012" s="710" t="s">
        <v>14579</v>
      </c>
      <c r="D8012" s="709" t="s">
        <v>180</v>
      </c>
      <c r="E8012" s="711">
        <v>0.25119999999999998</v>
      </c>
    </row>
    <row r="8013" spans="2:5" x14ac:dyDescent="0.3">
      <c r="B8013" s="709">
        <v>101469</v>
      </c>
      <c r="C8013" s="710" t="s">
        <v>14580</v>
      </c>
      <c r="D8013" s="709" t="s">
        <v>180</v>
      </c>
      <c r="E8013" s="711">
        <v>0.2903</v>
      </c>
    </row>
    <row r="8014" spans="2:5" x14ac:dyDescent="0.3">
      <c r="B8014" s="709">
        <v>106734</v>
      </c>
      <c r="C8014" s="710" t="s">
        <v>14581</v>
      </c>
      <c r="D8014" s="709" t="s">
        <v>180</v>
      </c>
      <c r="E8014" s="711">
        <v>0.251</v>
      </c>
    </row>
    <row r="8015" spans="2:5" x14ac:dyDescent="0.3">
      <c r="B8015" s="709">
        <v>101470</v>
      </c>
      <c r="C8015" s="710" t="s">
        <v>14582</v>
      </c>
      <c r="D8015" s="709" t="s">
        <v>180</v>
      </c>
      <c r="E8015" s="711">
        <v>0.28989999999999999</v>
      </c>
    </row>
    <row r="8016" spans="2:5" x14ac:dyDescent="0.3">
      <c r="B8016" s="709">
        <v>106735</v>
      </c>
      <c r="C8016" s="710" t="s">
        <v>14583</v>
      </c>
      <c r="D8016" s="709" t="s">
        <v>180</v>
      </c>
      <c r="E8016" s="711">
        <v>0.25119999999999998</v>
      </c>
    </row>
    <row r="8017" spans="2:5" x14ac:dyDescent="0.3">
      <c r="B8017" s="709">
        <v>101471</v>
      </c>
      <c r="C8017" s="710" t="s">
        <v>14584</v>
      </c>
      <c r="D8017" s="709" t="s">
        <v>180</v>
      </c>
      <c r="E8017" s="711">
        <v>0.29010000000000002</v>
      </c>
    </row>
    <row r="8018" spans="2:5" x14ac:dyDescent="0.3">
      <c r="B8018" s="709">
        <v>106736</v>
      </c>
      <c r="C8018" s="710" t="s">
        <v>14585</v>
      </c>
      <c r="D8018" s="709" t="s">
        <v>180</v>
      </c>
      <c r="E8018" s="711">
        <v>0.25069999999999998</v>
      </c>
    </row>
    <row r="8019" spans="2:5" x14ac:dyDescent="0.3">
      <c r="B8019" s="709">
        <v>101472</v>
      </c>
      <c r="C8019" s="710" t="s">
        <v>14586</v>
      </c>
      <c r="D8019" s="709" t="s">
        <v>180</v>
      </c>
      <c r="E8019" s="711">
        <v>0.2903</v>
      </c>
    </row>
    <row r="8020" spans="2:5" x14ac:dyDescent="0.3">
      <c r="B8020" s="709">
        <v>106737</v>
      </c>
      <c r="C8020" s="710" t="s">
        <v>14587</v>
      </c>
      <c r="D8020" s="709" t="s">
        <v>180</v>
      </c>
      <c r="E8020" s="711">
        <v>0.25080000000000002</v>
      </c>
    </row>
    <row r="8021" spans="2:5" x14ac:dyDescent="0.3">
      <c r="B8021" s="709">
        <v>101473</v>
      </c>
      <c r="C8021" s="710" t="s">
        <v>14588</v>
      </c>
      <c r="D8021" s="709" t="s">
        <v>180</v>
      </c>
      <c r="E8021" s="711">
        <v>0.29020000000000001</v>
      </c>
    </row>
    <row r="8022" spans="2:5" x14ac:dyDescent="0.3">
      <c r="B8022" s="709">
        <v>106738</v>
      </c>
      <c r="C8022" s="710" t="s">
        <v>14589</v>
      </c>
      <c r="D8022" s="709" t="s">
        <v>180</v>
      </c>
      <c r="E8022" s="711">
        <v>0.25109999999999999</v>
      </c>
    </row>
    <row r="8023" spans="2:5" x14ac:dyDescent="0.3">
      <c r="B8023" s="709">
        <v>101474</v>
      </c>
      <c r="C8023" s="710" t="s">
        <v>14590</v>
      </c>
      <c r="D8023" s="709" t="s">
        <v>180</v>
      </c>
      <c r="E8023" s="711">
        <v>0.2903</v>
      </c>
    </row>
    <row r="8024" spans="2:5" x14ac:dyDescent="0.3">
      <c r="B8024" s="709">
        <v>106739</v>
      </c>
      <c r="C8024" s="710" t="s">
        <v>14591</v>
      </c>
      <c r="D8024" s="709" t="s">
        <v>180</v>
      </c>
      <c r="E8024" s="711">
        <v>0.25119999999999998</v>
      </c>
    </row>
    <row r="8025" spans="2:5" x14ac:dyDescent="0.3">
      <c r="B8025" s="709">
        <v>101475</v>
      </c>
      <c r="C8025" s="710" t="s">
        <v>14592</v>
      </c>
      <c r="D8025" s="709" t="s">
        <v>180</v>
      </c>
      <c r="E8025" s="711">
        <v>0.29010000000000002</v>
      </c>
    </row>
    <row r="8026" spans="2:5" x14ac:dyDescent="0.3">
      <c r="B8026" s="709">
        <v>106740</v>
      </c>
      <c r="C8026" s="710" t="s">
        <v>14593</v>
      </c>
      <c r="D8026" s="709" t="s">
        <v>180</v>
      </c>
      <c r="E8026" s="711">
        <v>0.25090000000000001</v>
      </c>
    </row>
    <row r="8027" spans="2:5" x14ac:dyDescent="0.3">
      <c r="B8027" s="709">
        <v>101476</v>
      </c>
      <c r="C8027" s="710" t="s">
        <v>14594</v>
      </c>
      <c r="D8027" s="709" t="s">
        <v>180</v>
      </c>
      <c r="E8027" s="711">
        <v>0.28999999999999998</v>
      </c>
    </row>
    <row r="8028" spans="2:5" x14ac:dyDescent="0.3">
      <c r="B8028" s="709">
        <v>106741</v>
      </c>
      <c r="C8028" s="710" t="s">
        <v>14595</v>
      </c>
      <c r="D8028" s="709" t="s">
        <v>180</v>
      </c>
      <c r="E8028" s="711">
        <v>0.25040000000000001</v>
      </c>
    </row>
    <row r="8029" spans="2:5" x14ac:dyDescent="0.3">
      <c r="B8029" s="709">
        <v>101016</v>
      </c>
      <c r="C8029" s="710" t="s">
        <v>14596</v>
      </c>
      <c r="D8029" s="709" t="s">
        <v>180</v>
      </c>
      <c r="E8029" s="711">
        <v>0.29039999999999999</v>
      </c>
    </row>
    <row r="8030" spans="2:5" x14ac:dyDescent="0.3">
      <c r="B8030" s="709">
        <v>106731</v>
      </c>
      <c r="C8030" s="710" t="s">
        <v>14597</v>
      </c>
      <c r="D8030" s="709" t="s">
        <v>180</v>
      </c>
      <c r="E8030" s="711">
        <v>0.25119999999999998</v>
      </c>
    </row>
    <row r="8031" spans="2:5" x14ac:dyDescent="0.3">
      <c r="B8031" s="709">
        <v>101487</v>
      </c>
      <c r="C8031" s="710" t="s">
        <v>14598</v>
      </c>
      <c r="D8031" s="709" t="s">
        <v>180</v>
      </c>
      <c r="E8031" s="711">
        <v>0.2903</v>
      </c>
    </row>
    <row r="8032" spans="2:5" x14ac:dyDescent="0.3">
      <c r="B8032" s="709">
        <v>106754</v>
      </c>
      <c r="C8032" s="710" t="s">
        <v>14599</v>
      </c>
      <c r="D8032" s="709" t="s">
        <v>180</v>
      </c>
      <c r="E8032" s="711">
        <v>0.25119999999999998</v>
      </c>
    </row>
    <row r="8033" spans="2:5" x14ac:dyDescent="0.3">
      <c r="B8033" s="709">
        <v>101488</v>
      </c>
      <c r="C8033" s="710" t="s">
        <v>14600</v>
      </c>
      <c r="D8033" s="709" t="s">
        <v>180</v>
      </c>
      <c r="E8033" s="711">
        <v>0.2903</v>
      </c>
    </row>
    <row r="8034" spans="2:5" x14ac:dyDescent="0.3">
      <c r="B8034" s="709">
        <v>106755</v>
      </c>
      <c r="C8034" s="710" t="s">
        <v>14601</v>
      </c>
      <c r="D8034" s="709" t="s">
        <v>180</v>
      </c>
      <c r="E8034" s="711">
        <v>0.25119999999999998</v>
      </c>
    </row>
    <row r="8035" spans="2:5" x14ac:dyDescent="0.3">
      <c r="B8035" s="709">
        <v>101480</v>
      </c>
      <c r="C8035" s="710" t="s">
        <v>14602</v>
      </c>
      <c r="D8035" s="709" t="s">
        <v>180</v>
      </c>
      <c r="E8035" s="711">
        <v>0.29039999999999999</v>
      </c>
    </row>
    <row r="8036" spans="2:5" x14ac:dyDescent="0.3">
      <c r="B8036" s="709">
        <v>106747</v>
      </c>
      <c r="C8036" s="710" t="s">
        <v>14603</v>
      </c>
      <c r="D8036" s="709" t="s">
        <v>180</v>
      </c>
      <c r="E8036" s="711">
        <v>0.25130000000000002</v>
      </c>
    </row>
    <row r="8037" spans="2:5" x14ac:dyDescent="0.3">
      <c r="B8037" s="709">
        <v>101481</v>
      </c>
      <c r="C8037" s="710" t="s">
        <v>14604</v>
      </c>
      <c r="D8037" s="709" t="s">
        <v>180</v>
      </c>
      <c r="E8037" s="711">
        <v>0.2903</v>
      </c>
    </row>
    <row r="8038" spans="2:5" x14ac:dyDescent="0.3">
      <c r="B8038" s="709">
        <v>106748</v>
      </c>
      <c r="C8038" s="710" t="s">
        <v>14605</v>
      </c>
      <c r="D8038" s="709" t="s">
        <v>180</v>
      </c>
      <c r="E8038" s="711">
        <v>0.25119999999999998</v>
      </c>
    </row>
    <row r="8039" spans="2:5" x14ac:dyDescent="0.3">
      <c r="B8039" s="709">
        <v>101482</v>
      </c>
      <c r="C8039" s="710" t="s">
        <v>14606</v>
      </c>
      <c r="D8039" s="709" t="s">
        <v>180</v>
      </c>
      <c r="E8039" s="711">
        <v>0.29010000000000002</v>
      </c>
    </row>
    <row r="8040" spans="2:5" x14ac:dyDescent="0.3">
      <c r="B8040" s="709">
        <v>106749</v>
      </c>
      <c r="C8040" s="710" t="s">
        <v>14607</v>
      </c>
      <c r="D8040" s="709" t="s">
        <v>180</v>
      </c>
      <c r="E8040" s="711">
        <v>0.25119999999999998</v>
      </c>
    </row>
    <row r="8041" spans="2:5" x14ac:dyDescent="0.3">
      <c r="B8041" s="709">
        <v>101483</v>
      </c>
      <c r="C8041" s="710" t="s">
        <v>14608</v>
      </c>
      <c r="D8041" s="709" t="s">
        <v>180</v>
      </c>
      <c r="E8041" s="711">
        <v>0.28999999999999998</v>
      </c>
    </row>
    <row r="8042" spans="2:5" x14ac:dyDescent="0.3">
      <c r="B8042" s="709">
        <v>106750</v>
      </c>
      <c r="C8042" s="710" t="s">
        <v>14609</v>
      </c>
      <c r="D8042" s="709" t="s">
        <v>180</v>
      </c>
      <c r="E8042" s="711">
        <v>0.25119999999999998</v>
      </c>
    </row>
    <row r="8043" spans="2:5" x14ac:dyDescent="0.3">
      <c r="B8043" s="709">
        <v>101484</v>
      </c>
      <c r="C8043" s="710" t="s">
        <v>14610</v>
      </c>
      <c r="D8043" s="709" t="s">
        <v>180</v>
      </c>
      <c r="E8043" s="711">
        <v>0.2903</v>
      </c>
    </row>
    <row r="8044" spans="2:5" x14ac:dyDescent="0.3">
      <c r="B8044" s="709">
        <v>106751</v>
      </c>
      <c r="C8044" s="710" t="s">
        <v>14611</v>
      </c>
      <c r="D8044" s="709" t="s">
        <v>180</v>
      </c>
      <c r="E8044" s="711">
        <v>0.25130000000000002</v>
      </c>
    </row>
    <row r="8045" spans="2:5" x14ac:dyDescent="0.3">
      <c r="B8045" s="709">
        <v>101485</v>
      </c>
      <c r="C8045" s="710" t="s">
        <v>14612</v>
      </c>
      <c r="D8045" s="709" t="s">
        <v>180</v>
      </c>
      <c r="E8045" s="711">
        <v>0.2903</v>
      </c>
    </row>
    <row r="8046" spans="2:5" x14ac:dyDescent="0.3">
      <c r="B8046" s="709">
        <v>106752</v>
      </c>
      <c r="C8046" s="710" t="s">
        <v>14613</v>
      </c>
      <c r="D8046" s="709" t="s">
        <v>180</v>
      </c>
      <c r="E8046" s="711">
        <v>0.25130000000000002</v>
      </c>
    </row>
    <row r="8047" spans="2:5" x14ac:dyDescent="0.3">
      <c r="B8047" s="709">
        <v>101486</v>
      </c>
      <c r="C8047" s="710" t="s">
        <v>14614</v>
      </c>
      <c r="D8047" s="709" t="s">
        <v>180</v>
      </c>
      <c r="E8047" s="711">
        <v>0.2903</v>
      </c>
    </row>
    <row r="8048" spans="2:5" x14ac:dyDescent="0.3">
      <c r="B8048" s="709">
        <v>106753</v>
      </c>
      <c r="C8048" s="710" t="s">
        <v>14615</v>
      </c>
      <c r="D8048" s="709" t="s">
        <v>180</v>
      </c>
      <c r="E8048" s="711">
        <v>0.25130000000000002</v>
      </c>
    </row>
    <row r="8049" spans="2:5" x14ac:dyDescent="0.3">
      <c r="B8049" s="709">
        <v>101006</v>
      </c>
      <c r="C8049" s="710" t="s">
        <v>14616</v>
      </c>
      <c r="D8049" s="709" t="s">
        <v>170</v>
      </c>
      <c r="E8049" s="711">
        <v>0.1028</v>
      </c>
    </row>
    <row r="8050" spans="2:5" x14ac:dyDescent="0.3">
      <c r="B8050" s="709">
        <v>106707</v>
      </c>
      <c r="C8050" s="710" t="s">
        <v>14617</v>
      </c>
      <c r="D8050" s="709" t="s">
        <v>170</v>
      </c>
      <c r="E8050" s="711">
        <v>0.11509999999999999</v>
      </c>
    </row>
    <row r="8051" spans="2:5" x14ac:dyDescent="0.3">
      <c r="B8051" s="709">
        <v>101005</v>
      </c>
      <c r="C8051" s="710" t="s">
        <v>14618</v>
      </c>
      <c r="D8051" s="709" t="s">
        <v>170</v>
      </c>
      <c r="E8051" s="711">
        <v>0.1283</v>
      </c>
    </row>
    <row r="8052" spans="2:5" x14ac:dyDescent="0.3">
      <c r="B8052" s="709">
        <v>106757</v>
      </c>
      <c r="C8052" s="710" t="s">
        <v>14619</v>
      </c>
      <c r="D8052" s="709" t="s">
        <v>180</v>
      </c>
      <c r="E8052" s="711">
        <v>0.25790000000000002</v>
      </c>
    </row>
    <row r="8053" spans="2:5" x14ac:dyDescent="0.3">
      <c r="B8053" s="709">
        <v>106713</v>
      </c>
      <c r="C8053" s="710" t="s">
        <v>14620</v>
      </c>
      <c r="D8053" s="709" t="s">
        <v>180</v>
      </c>
      <c r="E8053" s="711">
        <v>0.32979999999999998</v>
      </c>
    </row>
    <row r="8054" spans="2:5" x14ac:dyDescent="0.3">
      <c r="B8054" s="709">
        <v>106758</v>
      </c>
      <c r="C8054" s="710" t="s">
        <v>14621</v>
      </c>
      <c r="D8054" s="709" t="s">
        <v>180</v>
      </c>
      <c r="E8054" s="711">
        <v>0.25790000000000002</v>
      </c>
    </row>
    <row r="8055" spans="2:5" x14ac:dyDescent="0.3">
      <c r="B8055" s="709">
        <v>106714</v>
      </c>
      <c r="C8055" s="710" t="s">
        <v>14622</v>
      </c>
      <c r="D8055" s="709" t="s">
        <v>180</v>
      </c>
      <c r="E8055" s="711">
        <v>0.32979999999999998</v>
      </c>
    </row>
    <row r="8056" spans="2:5" x14ac:dyDescent="0.3">
      <c r="B8056" s="709">
        <v>106759</v>
      </c>
      <c r="C8056" s="710" t="s">
        <v>14623</v>
      </c>
      <c r="D8056" s="709" t="s">
        <v>180</v>
      </c>
      <c r="E8056" s="711">
        <v>0.25800000000000001</v>
      </c>
    </row>
    <row r="8057" spans="2:5" x14ac:dyDescent="0.3">
      <c r="B8057" s="709">
        <v>106715</v>
      </c>
      <c r="C8057" s="710" t="s">
        <v>14624</v>
      </c>
      <c r="D8057" s="709" t="s">
        <v>180</v>
      </c>
      <c r="E8057" s="711">
        <v>0.32950000000000002</v>
      </c>
    </row>
    <row r="8058" spans="2:5" x14ac:dyDescent="0.3">
      <c r="B8058" s="709">
        <v>106762</v>
      </c>
      <c r="C8058" s="710" t="s">
        <v>14625</v>
      </c>
      <c r="D8058" s="709" t="s">
        <v>180</v>
      </c>
      <c r="E8058" s="711">
        <v>0.2581</v>
      </c>
    </row>
    <row r="8059" spans="2:5" x14ac:dyDescent="0.3">
      <c r="B8059" s="709">
        <v>106718</v>
      </c>
      <c r="C8059" s="710" t="s">
        <v>14626</v>
      </c>
      <c r="D8059" s="709" t="s">
        <v>180</v>
      </c>
      <c r="E8059" s="711">
        <v>0.32990000000000003</v>
      </c>
    </row>
    <row r="8060" spans="2:5" x14ac:dyDescent="0.3">
      <c r="B8060" s="709">
        <v>106761</v>
      </c>
      <c r="C8060" s="710" t="s">
        <v>14627</v>
      </c>
      <c r="D8060" s="709" t="s">
        <v>180</v>
      </c>
      <c r="E8060" s="711">
        <v>0.2581</v>
      </c>
    </row>
    <row r="8061" spans="2:5" x14ac:dyDescent="0.3">
      <c r="B8061" s="709">
        <v>106717</v>
      </c>
      <c r="C8061" s="710" t="s">
        <v>14628</v>
      </c>
      <c r="D8061" s="709" t="s">
        <v>180</v>
      </c>
      <c r="E8061" s="711">
        <v>0.32990000000000003</v>
      </c>
    </row>
    <row r="8062" spans="2:5" x14ac:dyDescent="0.3">
      <c r="B8062" s="709">
        <v>106760</v>
      </c>
      <c r="C8062" s="710" t="s">
        <v>14629</v>
      </c>
      <c r="D8062" s="709" t="s">
        <v>180</v>
      </c>
      <c r="E8062" s="711">
        <v>0.2581</v>
      </c>
    </row>
    <row r="8063" spans="2:5" x14ac:dyDescent="0.3">
      <c r="B8063" s="709">
        <v>106716</v>
      </c>
      <c r="C8063" s="710" t="s">
        <v>14630</v>
      </c>
      <c r="D8063" s="709" t="s">
        <v>180</v>
      </c>
      <c r="E8063" s="711">
        <v>0.32990000000000003</v>
      </c>
    </row>
    <row r="8064" spans="2:5" x14ac:dyDescent="0.3">
      <c r="B8064" s="709">
        <v>106756</v>
      </c>
      <c r="C8064" s="710" t="s">
        <v>14631</v>
      </c>
      <c r="D8064" s="709" t="s">
        <v>180</v>
      </c>
      <c r="E8064" s="711">
        <v>0.2581</v>
      </c>
    </row>
    <row r="8065" spans="2:5" x14ac:dyDescent="0.3">
      <c r="B8065" s="709">
        <v>106712</v>
      </c>
      <c r="C8065" s="710" t="s">
        <v>14632</v>
      </c>
      <c r="D8065" s="709" t="s">
        <v>180</v>
      </c>
      <c r="E8065" s="711">
        <v>0.33</v>
      </c>
    </row>
    <row r="8066" spans="2:5" x14ac:dyDescent="0.3">
      <c r="B8066" s="709">
        <v>106745</v>
      </c>
      <c r="C8066" s="710" t="s">
        <v>14633</v>
      </c>
      <c r="D8066" s="709" t="s">
        <v>180</v>
      </c>
      <c r="E8066" s="711">
        <v>0.31519999999999998</v>
      </c>
    </row>
    <row r="8067" spans="2:5" x14ac:dyDescent="0.3">
      <c r="B8067" s="709">
        <v>102568</v>
      </c>
      <c r="C8067" s="710" t="s">
        <v>14634</v>
      </c>
      <c r="D8067" s="709" t="s">
        <v>180</v>
      </c>
      <c r="E8067" s="711">
        <v>0.39450000000000002</v>
      </c>
    </row>
    <row r="8068" spans="2:5" x14ac:dyDescent="0.3">
      <c r="B8068" s="709">
        <v>106746</v>
      </c>
      <c r="C8068" s="710" t="s">
        <v>14635</v>
      </c>
      <c r="D8068" s="709" t="s">
        <v>180</v>
      </c>
      <c r="E8068" s="711">
        <v>0.31519999999999998</v>
      </c>
    </row>
    <row r="8069" spans="2:5" x14ac:dyDescent="0.3">
      <c r="B8069" s="709">
        <v>101479</v>
      </c>
      <c r="C8069" s="710" t="s">
        <v>14636</v>
      </c>
      <c r="D8069" s="709" t="s">
        <v>180</v>
      </c>
      <c r="E8069" s="711">
        <v>0.39450000000000002</v>
      </c>
    </row>
    <row r="8070" spans="2:5" x14ac:dyDescent="0.3">
      <c r="B8070" s="709">
        <v>106744</v>
      </c>
      <c r="C8070" s="710" t="s">
        <v>14637</v>
      </c>
      <c r="D8070" s="709" t="s">
        <v>180</v>
      </c>
      <c r="E8070" s="711">
        <v>0.31519999999999998</v>
      </c>
    </row>
    <row r="8071" spans="2:5" x14ac:dyDescent="0.3">
      <c r="B8071" s="709">
        <v>101019</v>
      </c>
      <c r="C8071" s="710" t="s">
        <v>14638</v>
      </c>
      <c r="D8071" s="709" t="s">
        <v>180</v>
      </c>
      <c r="E8071" s="711">
        <v>0.39450000000000002</v>
      </c>
    </row>
    <row r="8072" spans="2:5" x14ac:dyDescent="0.3">
      <c r="B8072" s="709">
        <v>106763</v>
      </c>
      <c r="C8072" s="710" t="s">
        <v>14639</v>
      </c>
      <c r="D8072" s="709" t="s">
        <v>180</v>
      </c>
      <c r="E8072" s="711">
        <v>0.3125</v>
      </c>
    </row>
    <row r="8073" spans="2:5" x14ac:dyDescent="0.3">
      <c r="B8073" s="709">
        <v>106719</v>
      </c>
      <c r="C8073" s="710" t="s">
        <v>14640</v>
      </c>
      <c r="D8073" s="709" t="s">
        <v>180</v>
      </c>
      <c r="E8073" s="711">
        <v>0.36859999999999998</v>
      </c>
    </row>
    <row r="8074" spans="2:5" x14ac:dyDescent="0.3">
      <c r="B8074" s="709">
        <v>100938</v>
      </c>
      <c r="C8074" s="710" t="s">
        <v>14641</v>
      </c>
      <c r="D8074" s="709" t="s">
        <v>8114</v>
      </c>
      <c r="E8074" s="711">
        <v>0.12130000000000001</v>
      </c>
    </row>
    <row r="8075" spans="2:5" x14ac:dyDescent="0.3">
      <c r="B8075" s="709">
        <v>100942</v>
      </c>
      <c r="C8075" s="710" t="s">
        <v>14642</v>
      </c>
      <c r="D8075" s="709" t="s">
        <v>8106</v>
      </c>
      <c r="E8075" s="711">
        <v>0.12130000000000001</v>
      </c>
    </row>
    <row r="8076" spans="2:5" x14ac:dyDescent="0.3">
      <c r="B8076" s="709">
        <v>93588</v>
      </c>
      <c r="C8076" s="710" t="s">
        <v>14643</v>
      </c>
      <c r="D8076" s="709" t="s">
        <v>8114</v>
      </c>
      <c r="E8076" s="711">
        <v>0.1201</v>
      </c>
    </row>
    <row r="8077" spans="2:5" x14ac:dyDescent="0.3">
      <c r="B8077" s="709">
        <v>93594</v>
      </c>
      <c r="C8077" s="710" t="s">
        <v>14644</v>
      </c>
      <c r="D8077" s="709" t="s">
        <v>8106</v>
      </c>
      <c r="E8077" s="711">
        <v>0.12180000000000001</v>
      </c>
    </row>
    <row r="8078" spans="2:5" x14ac:dyDescent="0.3">
      <c r="B8078" s="709">
        <v>93589</v>
      </c>
      <c r="C8078" s="710" t="s">
        <v>14645</v>
      </c>
      <c r="D8078" s="709" t="s">
        <v>8114</v>
      </c>
      <c r="E8078" s="711">
        <v>0.11899999999999999</v>
      </c>
    </row>
    <row r="8079" spans="2:5" x14ac:dyDescent="0.3">
      <c r="B8079" s="709">
        <v>93595</v>
      </c>
      <c r="C8079" s="710" t="s">
        <v>14646</v>
      </c>
      <c r="D8079" s="709" t="s">
        <v>8106</v>
      </c>
      <c r="E8079" s="711">
        <v>0.1159</v>
      </c>
    </row>
    <row r="8080" spans="2:5" x14ac:dyDescent="0.3">
      <c r="B8080" s="709">
        <v>93590</v>
      </c>
      <c r="C8080" s="710" t="s">
        <v>14647</v>
      </c>
      <c r="D8080" s="709" t="s">
        <v>8114</v>
      </c>
      <c r="E8080" s="711">
        <v>0.1111</v>
      </c>
    </row>
    <row r="8081" spans="2:5" x14ac:dyDescent="0.3">
      <c r="B8081" s="709">
        <v>93596</v>
      </c>
      <c r="C8081" s="710" t="s">
        <v>14648</v>
      </c>
      <c r="D8081" s="709" t="s">
        <v>8106</v>
      </c>
      <c r="E8081" s="711">
        <v>0.11269999999999999</v>
      </c>
    </row>
    <row r="8082" spans="2:5" x14ac:dyDescent="0.3">
      <c r="B8082" s="709">
        <v>95875</v>
      </c>
      <c r="C8082" s="710" t="s">
        <v>14649</v>
      </c>
      <c r="D8082" s="709" t="s">
        <v>8114</v>
      </c>
      <c r="E8082" s="711">
        <v>0.1201</v>
      </c>
    </row>
    <row r="8083" spans="2:5" x14ac:dyDescent="0.3">
      <c r="B8083" s="709">
        <v>95878</v>
      </c>
      <c r="C8083" s="710" t="s">
        <v>14650</v>
      </c>
      <c r="D8083" s="709" t="s">
        <v>8106</v>
      </c>
      <c r="E8083" s="711">
        <v>0.11700000000000001</v>
      </c>
    </row>
    <row r="8084" spans="2:5" x14ac:dyDescent="0.3">
      <c r="B8084" s="709">
        <v>100943</v>
      </c>
      <c r="C8084" s="710" t="s">
        <v>14651</v>
      </c>
      <c r="D8084" s="709" t="s">
        <v>8106</v>
      </c>
      <c r="E8084" s="711">
        <v>9.9199999999999997E-2</v>
      </c>
    </row>
    <row r="8085" spans="2:5" x14ac:dyDescent="0.3">
      <c r="B8085" s="709">
        <v>100939</v>
      </c>
      <c r="C8085" s="710" t="s">
        <v>14652</v>
      </c>
      <c r="D8085" s="709" t="s">
        <v>8114</v>
      </c>
      <c r="E8085" s="711">
        <v>9.9900000000000003E-2</v>
      </c>
    </row>
    <row r="8086" spans="2:5" x14ac:dyDescent="0.3">
      <c r="B8086" s="709">
        <v>93591</v>
      </c>
      <c r="C8086" s="710" t="s">
        <v>14653</v>
      </c>
      <c r="D8086" s="709" t="s">
        <v>8114</v>
      </c>
      <c r="E8086" s="711">
        <v>9.8599999999999993E-2</v>
      </c>
    </row>
    <row r="8087" spans="2:5" x14ac:dyDescent="0.3">
      <c r="B8087" s="709">
        <v>93597</v>
      </c>
      <c r="C8087" s="710" t="s">
        <v>14654</v>
      </c>
      <c r="D8087" s="709" t="s">
        <v>8106</v>
      </c>
      <c r="E8087" s="711">
        <v>9.7500000000000003E-2</v>
      </c>
    </row>
    <row r="8088" spans="2:5" x14ac:dyDescent="0.3">
      <c r="B8088" s="709">
        <v>93592</v>
      </c>
      <c r="C8088" s="710" t="s">
        <v>14655</v>
      </c>
      <c r="D8088" s="709" t="s">
        <v>8114</v>
      </c>
      <c r="E8088" s="711">
        <v>9.6299999999999997E-2</v>
      </c>
    </row>
    <row r="8089" spans="2:5" x14ac:dyDescent="0.3">
      <c r="B8089" s="709">
        <v>93598</v>
      </c>
      <c r="C8089" s="710" t="s">
        <v>14656</v>
      </c>
      <c r="D8089" s="709" t="s">
        <v>8106</v>
      </c>
      <c r="E8089" s="711">
        <v>9.4399999999999998E-2</v>
      </c>
    </row>
    <row r="8090" spans="2:5" x14ac:dyDescent="0.3">
      <c r="B8090" s="709">
        <v>93593</v>
      </c>
      <c r="C8090" s="710" t="s">
        <v>14657</v>
      </c>
      <c r="D8090" s="709" t="s">
        <v>8114</v>
      </c>
      <c r="E8090" s="711">
        <v>8.5099999999999995E-2</v>
      </c>
    </row>
    <row r="8091" spans="2:5" x14ac:dyDescent="0.3">
      <c r="B8091" s="709">
        <v>93599</v>
      </c>
      <c r="C8091" s="710" t="s">
        <v>14658</v>
      </c>
      <c r="D8091" s="709" t="s">
        <v>8106</v>
      </c>
      <c r="E8091" s="711">
        <v>8.0600000000000005E-2</v>
      </c>
    </row>
    <row r="8092" spans="2:5" x14ac:dyDescent="0.3">
      <c r="B8092" s="709">
        <v>95876</v>
      </c>
      <c r="C8092" s="710" t="s">
        <v>14659</v>
      </c>
      <c r="D8092" s="709" t="s">
        <v>8114</v>
      </c>
      <c r="E8092" s="711">
        <v>9.7199999999999995E-2</v>
      </c>
    </row>
    <row r="8093" spans="2:5" x14ac:dyDescent="0.3">
      <c r="B8093" s="709">
        <v>95879</v>
      </c>
      <c r="C8093" s="710" t="s">
        <v>14660</v>
      </c>
      <c r="D8093" s="709" t="s">
        <v>8106</v>
      </c>
      <c r="E8093" s="711">
        <v>9.7600000000000006E-2</v>
      </c>
    </row>
    <row r="8094" spans="2:5" x14ac:dyDescent="0.3">
      <c r="B8094" s="709">
        <v>100940</v>
      </c>
      <c r="C8094" s="710" t="s">
        <v>14661</v>
      </c>
      <c r="D8094" s="709" t="s">
        <v>8114</v>
      </c>
      <c r="E8094" s="711">
        <v>9.0200000000000002E-2</v>
      </c>
    </row>
    <row r="8095" spans="2:5" x14ac:dyDescent="0.3">
      <c r="B8095" s="709">
        <v>100944</v>
      </c>
      <c r="C8095" s="710" t="s">
        <v>14662</v>
      </c>
      <c r="D8095" s="709" t="s">
        <v>8106</v>
      </c>
      <c r="E8095" s="711">
        <v>8.8499999999999995E-2</v>
      </c>
    </row>
    <row r="8096" spans="2:5" x14ac:dyDescent="0.3">
      <c r="B8096" s="709">
        <v>95425</v>
      </c>
      <c r="C8096" s="710" t="s">
        <v>14663</v>
      </c>
      <c r="D8096" s="709" t="s">
        <v>8114</v>
      </c>
      <c r="E8096" s="711">
        <v>8.8499999999999995E-2</v>
      </c>
    </row>
    <row r="8097" spans="2:5" x14ac:dyDescent="0.3">
      <c r="B8097" s="709">
        <v>95428</v>
      </c>
      <c r="C8097" s="710" t="s">
        <v>14664</v>
      </c>
      <c r="D8097" s="709" t="s">
        <v>8106</v>
      </c>
      <c r="E8097" s="711">
        <v>8.8700000000000001E-2</v>
      </c>
    </row>
    <row r="8098" spans="2:5" x14ac:dyDescent="0.3">
      <c r="B8098" s="709">
        <v>95426</v>
      </c>
      <c r="C8098" s="710" t="s">
        <v>14665</v>
      </c>
      <c r="D8098" s="709" t="s">
        <v>8114</v>
      </c>
      <c r="E8098" s="711">
        <v>8.6199999999999999E-2</v>
      </c>
    </row>
    <row r="8099" spans="2:5" x14ac:dyDescent="0.3">
      <c r="B8099" s="709">
        <v>95429</v>
      </c>
      <c r="C8099" s="710" t="s">
        <v>14666</v>
      </c>
      <c r="D8099" s="709" t="s">
        <v>8106</v>
      </c>
      <c r="E8099" s="711">
        <v>8.4400000000000003E-2</v>
      </c>
    </row>
    <row r="8100" spans="2:5" x14ac:dyDescent="0.3">
      <c r="B8100" s="709">
        <v>95427</v>
      </c>
      <c r="C8100" s="710" t="s">
        <v>14667</v>
      </c>
      <c r="D8100" s="709" t="s">
        <v>8114</v>
      </c>
      <c r="E8100" s="711">
        <v>8.6400000000000005E-2</v>
      </c>
    </row>
    <row r="8101" spans="2:5" x14ac:dyDescent="0.3">
      <c r="B8101" s="709">
        <v>95430</v>
      </c>
      <c r="C8101" s="710" t="s">
        <v>14668</v>
      </c>
      <c r="D8101" s="709" t="s">
        <v>8106</v>
      </c>
      <c r="E8101" s="711">
        <v>7.5499999999999998E-2</v>
      </c>
    </row>
    <row r="8102" spans="2:5" x14ac:dyDescent="0.3">
      <c r="B8102" s="709">
        <v>95877</v>
      </c>
      <c r="C8102" s="710" t="s">
        <v>14669</v>
      </c>
      <c r="D8102" s="709" t="s">
        <v>8114</v>
      </c>
      <c r="E8102" s="711">
        <v>8.9599999999999999E-2</v>
      </c>
    </row>
    <row r="8103" spans="2:5" x14ac:dyDescent="0.3">
      <c r="B8103" s="709">
        <v>95880</v>
      </c>
      <c r="C8103" s="710" t="s">
        <v>14670</v>
      </c>
      <c r="D8103" s="709" t="s">
        <v>8106</v>
      </c>
      <c r="E8103" s="711">
        <v>8.5099999999999995E-2</v>
      </c>
    </row>
    <row r="8104" spans="2:5" x14ac:dyDescent="0.3">
      <c r="B8104" s="709">
        <v>100937</v>
      </c>
      <c r="C8104" s="710" t="s">
        <v>14671</v>
      </c>
      <c r="D8104" s="709" t="s">
        <v>8114</v>
      </c>
      <c r="E8104" s="711">
        <v>0.17100000000000001</v>
      </c>
    </row>
    <row r="8105" spans="2:5" x14ac:dyDescent="0.3">
      <c r="B8105" s="709">
        <v>100941</v>
      </c>
      <c r="C8105" s="710" t="s">
        <v>14672</v>
      </c>
      <c r="D8105" s="709" t="s">
        <v>8106</v>
      </c>
      <c r="E8105" s="711">
        <v>0.17</v>
      </c>
    </row>
    <row r="8106" spans="2:5" x14ac:dyDescent="0.3">
      <c r="B8106" s="709">
        <v>97912</v>
      </c>
      <c r="C8106" s="710" t="s">
        <v>14673</v>
      </c>
      <c r="D8106" s="709" t="s">
        <v>8114</v>
      </c>
      <c r="E8106" s="711">
        <v>0.1691</v>
      </c>
    </row>
    <row r="8107" spans="2:5" x14ac:dyDescent="0.3">
      <c r="B8107" s="709">
        <v>97916</v>
      </c>
      <c r="C8107" s="710" t="s">
        <v>14674</v>
      </c>
      <c r="D8107" s="709" t="s">
        <v>8106</v>
      </c>
      <c r="E8107" s="711">
        <v>0.17030000000000001</v>
      </c>
    </row>
    <row r="8108" spans="2:5" x14ac:dyDescent="0.3">
      <c r="B8108" s="709">
        <v>97913</v>
      </c>
      <c r="C8108" s="710" t="s">
        <v>14675</v>
      </c>
      <c r="D8108" s="709" t="s">
        <v>8114</v>
      </c>
      <c r="E8108" s="711">
        <v>0.17030000000000001</v>
      </c>
    </row>
    <row r="8109" spans="2:5" x14ac:dyDescent="0.3">
      <c r="B8109" s="709">
        <v>97917</v>
      </c>
      <c r="C8109" s="710" t="s">
        <v>14676</v>
      </c>
      <c r="D8109" s="709" t="s">
        <v>8106</v>
      </c>
      <c r="E8109" s="711">
        <v>0.16669999999999999</v>
      </c>
    </row>
    <row r="8110" spans="2:5" x14ac:dyDescent="0.3">
      <c r="B8110" s="709">
        <v>97915</v>
      </c>
      <c r="C8110" s="710" t="s">
        <v>14677</v>
      </c>
      <c r="D8110" s="709" t="s">
        <v>8114</v>
      </c>
      <c r="E8110" s="711">
        <v>0.1719</v>
      </c>
    </row>
    <row r="8111" spans="2:5" x14ac:dyDescent="0.3">
      <c r="B8111" s="709">
        <v>97919</v>
      </c>
      <c r="C8111" s="710" t="s">
        <v>14678</v>
      </c>
      <c r="D8111" s="709" t="s">
        <v>8106</v>
      </c>
      <c r="E8111" s="711">
        <v>0.16470000000000001</v>
      </c>
    </row>
    <row r="8112" spans="2:5" x14ac:dyDescent="0.3">
      <c r="B8112" s="709">
        <v>97914</v>
      </c>
      <c r="C8112" s="710" t="s">
        <v>14679</v>
      </c>
      <c r="D8112" s="709" t="s">
        <v>8114</v>
      </c>
      <c r="E8112" s="711">
        <v>0.1691</v>
      </c>
    </row>
    <row r="8113" spans="2:5" x14ac:dyDescent="0.3">
      <c r="B8113" s="709">
        <v>97918</v>
      </c>
      <c r="C8113" s="710" t="s">
        <v>14680</v>
      </c>
      <c r="D8113" s="709" t="s">
        <v>8106</v>
      </c>
      <c r="E8113" s="711">
        <v>0.1696</v>
      </c>
    </row>
    <row r="8114" spans="2:5" x14ac:dyDescent="0.3">
      <c r="B8114" s="709">
        <v>106686</v>
      </c>
      <c r="C8114" s="710" t="s">
        <v>14681</v>
      </c>
      <c r="D8114" s="709" t="s">
        <v>8106</v>
      </c>
      <c r="E8114" s="711">
        <v>0.1085</v>
      </c>
    </row>
    <row r="8115" spans="2:5" x14ac:dyDescent="0.3">
      <c r="B8115" s="709">
        <v>106682</v>
      </c>
      <c r="C8115" s="710" t="s">
        <v>14682</v>
      </c>
      <c r="D8115" s="709" t="s">
        <v>8106</v>
      </c>
      <c r="E8115" s="711">
        <v>0.10539999999999999</v>
      </c>
    </row>
    <row r="8116" spans="2:5" x14ac:dyDescent="0.3">
      <c r="B8116" s="709">
        <v>106683</v>
      </c>
      <c r="C8116" s="710" t="s">
        <v>14683</v>
      </c>
      <c r="D8116" s="709" t="s">
        <v>8106</v>
      </c>
      <c r="E8116" s="711">
        <v>0.1027</v>
      </c>
    </row>
    <row r="8117" spans="2:5" x14ac:dyDescent="0.3">
      <c r="B8117" s="709">
        <v>106685</v>
      </c>
      <c r="C8117" s="710" t="s">
        <v>14684</v>
      </c>
      <c r="D8117" s="709" t="s">
        <v>8106</v>
      </c>
      <c r="E8117" s="711">
        <v>0.1026</v>
      </c>
    </row>
    <row r="8118" spans="2:5" x14ac:dyDescent="0.3">
      <c r="B8118" s="709">
        <v>106684</v>
      </c>
      <c r="C8118" s="710" t="s">
        <v>14685</v>
      </c>
      <c r="D8118" s="709" t="s">
        <v>8106</v>
      </c>
      <c r="E8118" s="711">
        <v>0.10730000000000001</v>
      </c>
    </row>
    <row r="8119" spans="2:5" x14ac:dyDescent="0.3">
      <c r="B8119" s="709">
        <v>100949</v>
      </c>
      <c r="C8119" s="710" t="s">
        <v>14686</v>
      </c>
      <c r="D8119" s="709" t="s">
        <v>8106</v>
      </c>
      <c r="E8119" s="711">
        <v>0.1472</v>
      </c>
    </row>
    <row r="8120" spans="2:5" x14ac:dyDescent="0.3">
      <c r="B8120" s="709">
        <v>100945</v>
      </c>
      <c r="C8120" s="710" t="s">
        <v>14687</v>
      </c>
      <c r="D8120" s="709" t="s">
        <v>8106</v>
      </c>
      <c r="E8120" s="711">
        <v>0.14599999999999999</v>
      </c>
    </row>
    <row r="8121" spans="2:5" x14ac:dyDescent="0.3">
      <c r="B8121" s="709">
        <v>100946</v>
      </c>
      <c r="C8121" s="710" t="s">
        <v>14688</v>
      </c>
      <c r="D8121" s="709" t="s">
        <v>8106</v>
      </c>
      <c r="E8121" s="711">
        <v>0.1449</v>
      </c>
    </row>
    <row r="8122" spans="2:5" x14ac:dyDescent="0.3">
      <c r="B8122" s="709">
        <v>100948</v>
      </c>
      <c r="C8122" s="710" t="s">
        <v>14689</v>
      </c>
      <c r="D8122" s="709" t="s">
        <v>8106</v>
      </c>
      <c r="E8122" s="711">
        <v>0.13539999999999999</v>
      </c>
    </row>
    <row r="8123" spans="2:5" x14ac:dyDescent="0.3">
      <c r="B8123" s="709">
        <v>100947</v>
      </c>
      <c r="C8123" s="710" t="s">
        <v>14690</v>
      </c>
      <c r="D8123" s="709" t="s">
        <v>8106</v>
      </c>
      <c r="E8123" s="711">
        <v>0.14680000000000001</v>
      </c>
    </row>
    <row r="8124" spans="2:5" x14ac:dyDescent="0.3">
      <c r="B8124" s="709">
        <v>100954</v>
      </c>
      <c r="C8124" s="710" t="s">
        <v>14691</v>
      </c>
      <c r="D8124" s="709" t="s">
        <v>8106</v>
      </c>
      <c r="E8124" s="711">
        <v>0.1371</v>
      </c>
    </row>
    <row r="8125" spans="2:5" x14ac:dyDescent="0.3">
      <c r="B8125" s="709">
        <v>100950</v>
      </c>
      <c r="C8125" s="710" t="s">
        <v>14692</v>
      </c>
      <c r="D8125" s="709" t="s">
        <v>8106</v>
      </c>
      <c r="E8125" s="711">
        <v>0.13730000000000001</v>
      </c>
    </row>
    <row r="8126" spans="2:5" x14ac:dyDescent="0.3">
      <c r="B8126" s="709">
        <v>100951</v>
      </c>
      <c r="C8126" s="710" t="s">
        <v>14693</v>
      </c>
      <c r="D8126" s="709" t="s">
        <v>8106</v>
      </c>
      <c r="E8126" s="711">
        <v>0.13750000000000001</v>
      </c>
    </row>
    <row r="8127" spans="2:5" x14ac:dyDescent="0.3">
      <c r="B8127" s="709">
        <v>100953</v>
      </c>
      <c r="C8127" s="710" t="s">
        <v>14694</v>
      </c>
      <c r="D8127" s="709" t="s">
        <v>8106</v>
      </c>
      <c r="E8127" s="711">
        <v>0.13109999999999999</v>
      </c>
    </row>
    <row r="8128" spans="2:5" x14ac:dyDescent="0.3">
      <c r="B8128" s="709">
        <v>100952</v>
      </c>
      <c r="C8128" s="710" t="s">
        <v>14695</v>
      </c>
      <c r="D8128" s="709" t="s">
        <v>8106</v>
      </c>
      <c r="E8128" s="711">
        <v>0.13789999999999999</v>
      </c>
    </row>
    <row r="8129" spans="2:5" x14ac:dyDescent="0.3">
      <c r="B8129" s="709">
        <v>106691</v>
      </c>
      <c r="C8129" s="710" t="s">
        <v>14696</v>
      </c>
      <c r="D8129" s="709" t="s">
        <v>8106</v>
      </c>
      <c r="E8129" s="711">
        <v>0.1145</v>
      </c>
    </row>
    <row r="8130" spans="2:5" x14ac:dyDescent="0.3">
      <c r="B8130" s="709">
        <v>106687</v>
      </c>
      <c r="C8130" s="710" t="s">
        <v>14697</v>
      </c>
      <c r="D8130" s="709" t="s">
        <v>8106</v>
      </c>
      <c r="E8130" s="711">
        <v>0.11310000000000001</v>
      </c>
    </row>
    <row r="8131" spans="2:5" x14ac:dyDescent="0.3">
      <c r="B8131" s="709">
        <v>106688</v>
      </c>
      <c r="C8131" s="710" t="s">
        <v>14698</v>
      </c>
      <c r="D8131" s="709" t="s">
        <v>8106</v>
      </c>
      <c r="E8131" s="711">
        <v>0.1124</v>
      </c>
    </row>
    <row r="8132" spans="2:5" x14ac:dyDescent="0.3">
      <c r="B8132" s="709">
        <v>106690</v>
      </c>
      <c r="C8132" s="710" t="s">
        <v>14699</v>
      </c>
      <c r="D8132" s="709" t="s">
        <v>8106</v>
      </c>
      <c r="E8132" s="711">
        <v>0.1047</v>
      </c>
    </row>
    <row r="8133" spans="2:5" x14ac:dyDescent="0.3">
      <c r="B8133" s="709">
        <v>106689</v>
      </c>
      <c r="C8133" s="710" t="s">
        <v>14700</v>
      </c>
      <c r="D8133" s="709" t="s">
        <v>8106</v>
      </c>
      <c r="E8133" s="711">
        <v>0.114</v>
      </c>
    </row>
    <row r="8134" spans="2:5" x14ac:dyDescent="0.3">
      <c r="B8134" s="709">
        <v>100964</v>
      </c>
      <c r="C8134" s="710" t="s">
        <v>14701</v>
      </c>
      <c r="D8134" s="709" t="s">
        <v>8114</v>
      </c>
      <c r="E8134" s="711">
        <v>0.1022</v>
      </c>
    </row>
    <row r="8135" spans="2:5" x14ac:dyDescent="0.3">
      <c r="B8135" s="709">
        <v>100960</v>
      </c>
      <c r="C8135" s="710" t="s">
        <v>14702</v>
      </c>
      <c r="D8135" s="709" t="s">
        <v>8114</v>
      </c>
      <c r="E8135" s="711">
        <v>0.1023</v>
      </c>
    </row>
    <row r="8136" spans="2:5" x14ac:dyDescent="0.3">
      <c r="B8136" s="709">
        <v>100961</v>
      </c>
      <c r="C8136" s="710" t="s">
        <v>14703</v>
      </c>
      <c r="D8136" s="709" t="s">
        <v>8114</v>
      </c>
      <c r="E8136" s="711">
        <v>0.1008</v>
      </c>
    </row>
    <row r="8137" spans="2:5" x14ac:dyDescent="0.3">
      <c r="B8137" s="709">
        <v>100963</v>
      </c>
      <c r="C8137" s="710" t="s">
        <v>14704</v>
      </c>
      <c r="D8137" s="709" t="s">
        <v>8114</v>
      </c>
      <c r="E8137" s="711">
        <v>9.6799999999999997E-2</v>
      </c>
    </row>
    <row r="8138" spans="2:5" x14ac:dyDescent="0.3">
      <c r="B8138" s="709">
        <v>100962</v>
      </c>
      <c r="C8138" s="710" t="s">
        <v>14705</v>
      </c>
      <c r="D8138" s="709" t="s">
        <v>8114</v>
      </c>
      <c r="E8138" s="711">
        <v>0.1009</v>
      </c>
    </row>
    <row r="8139" spans="2:5" x14ac:dyDescent="0.3">
      <c r="B8139" s="709">
        <v>106696</v>
      </c>
      <c r="C8139" s="710" t="s">
        <v>14706</v>
      </c>
      <c r="D8139" s="709" t="s">
        <v>8114</v>
      </c>
      <c r="E8139" s="711">
        <v>0.11310000000000001</v>
      </c>
    </row>
    <row r="8140" spans="2:5" x14ac:dyDescent="0.3">
      <c r="B8140" s="709">
        <v>106692</v>
      </c>
      <c r="C8140" s="710" t="s">
        <v>14707</v>
      </c>
      <c r="D8140" s="709" t="s">
        <v>8114</v>
      </c>
      <c r="E8140" s="711">
        <v>0.1133</v>
      </c>
    </row>
    <row r="8141" spans="2:5" x14ac:dyDescent="0.3">
      <c r="B8141" s="709">
        <v>106693</v>
      </c>
      <c r="C8141" s="710" t="s">
        <v>14708</v>
      </c>
      <c r="D8141" s="709" t="s">
        <v>8114</v>
      </c>
      <c r="E8141" s="711">
        <v>0.114</v>
      </c>
    </row>
    <row r="8142" spans="2:5" x14ac:dyDescent="0.3">
      <c r="B8142" s="709">
        <v>106695</v>
      </c>
      <c r="C8142" s="710" t="s">
        <v>14709</v>
      </c>
      <c r="D8142" s="709" t="s">
        <v>8114</v>
      </c>
      <c r="E8142" s="711">
        <v>0.1</v>
      </c>
    </row>
    <row r="8143" spans="2:5" x14ac:dyDescent="0.3">
      <c r="B8143" s="709">
        <v>106694</v>
      </c>
      <c r="C8143" s="710" t="s">
        <v>14710</v>
      </c>
      <c r="D8143" s="709" t="s">
        <v>8114</v>
      </c>
      <c r="E8143" s="711">
        <v>0.1106</v>
      </c>
    </row>
    <row r="8144" spans="2:5" x14ac:dyDescent="0.3">
      <c r="B8144" s="709">
        <v>100959</v>
      </c>
      <c r="C8144" s="710" t="s">
        <v>14711</v>
      </c>
      <c r="D8144" s="709" t="s">
        <v>8114</v>
      </c>
      <c r="E8144" s="711">
        <v>0.128</v>
      </c>
    </row>
    <row r="8145" spans="2:5" x14ac:dyDescent="0.3">
      <c r="B8145" s="709">
        <v>100955</v>
      </c>
      <c r="C8145" s="710" t="s">
        <v>14712</v>
      </c>
      <c r="D8145" s="709" t="s">
        <v>8114</v>
      </c>
      <c r="E8145" s="711">
        <v>0.12740000000000001</v>
      </c>
    </row>
    <row r="8146" spans="2:5" x14ac:dyDescent="0.3">
      <c r="B8146" s="709">
        <v>100956</v>
      </c>
      <c r="C8146" s="710" t="s">
        <v>14713</v>
      </c>
      <c r="D8146" s="709" t="s">
        <v>8114</v>
      </c>
      <c r="E8146" s="711">
        <v>0.12529999999999999</v>
      </c>
    </row>
    <row r="8147" spans="2:5" x14ac:dyDescent="0.3">
      <c r="B8147" s="709">
        <v>100958</v>
      </c>
      <c r="C8147" s="710" t="s">
        <v>14714</v>
      </c>
      <c r="D8147" s="709" t="s">
        <v>8114</v>
      </c>
      <c r="E8147" s="711">
        <v>0.1198</v>
      </c>
    </row>
    <row r="8148" spans="2:5" x14ac:dyDescent="0.3">
      <c r="B8148" s="709">
        <v>100957</v>
      </c>
      <c r="C8148" s="710" t="s">
        <v>14715</v>
      </c>
      <c r="D8148" s="709" t="s">
        <v>8114</v>
      </c>
      <c r="E8148" s="711">
        <v>0.12590000000000001</v>
      </c>
    </row>
    <row r="8149" spans="2:5" x14ac:dyDescent="0.3">
      <c r="B8149" s="709">
        <v>100969</v>
      </c>
      <c r="C8149" s="710" t="s">
        <v>14716</v>
      </c>
      <c r="D8149" s="709" t="s">
        <v>8106</v>
      </c>
      <c r="E8149" s="711">
        <v>9.5600000000000004E-2</v>
      </c>
    </row>
    <row r="8150" spans="2:5" x14ac:dyDescent="0.3">
      <c r="B8150" s="709">
        <v>100970</v>
      </c>
      <c r="C8150" s="710" t="s">
        <v>14717</v>
      </c>
      <c r="D8150" s="709" t="s">
        <v>8106</v>
      </c>
      <c r="E8150" s="711">
        <v>9.9099999999999994E-2</v>
      </c>
    </row>
    <row r="8151" spans="2:5" x14ac:dyDescent="0.3">
      <c r="B8151" s="709">
        <v>102333</v>
      </c>
      <c r="C8151" s="710" t="s">
        <v>14718</v>
      </c>
      <c r="D8151" s="709" t="s">
        <v>8106</v>
      </c>
      <c r="E8151" s="711">
        <v>8.9700000000000002E-2</v>
      </c>
    </row>
    <row r="8152" spans="2:5" x14ac:dyDescent="0.3">
      <c r="B8152" s="709">
        <v>102332</v>
      </c>
      <c r="C8152" s="710" t="s">
        <v>14719</v>
      </c>
      <c r="D8152" s="709" t="s">
        <v>8106</v>
      </c>
      <c r="E8152" s="711">
        <v>9.3600000000000003E-2</v>
      </c>
    </row>
    <row r="8153" spans="2:5" x14ac:dyDescent="0.3">
      <c r="B8153" s="709">
        <v>100965</v>
      </c>
      <c r="C8153" s="710" t="s">
        <v>14720</v>
      </c>
      <c r="D8153" s="709" t="s">
        <v>8106</v>
      </c>
      <c r="E8153" s="711">
        <v>8.4099999999999994E-2</v>
      </c>
    </row>
    <row r="8154" spans="2:5" x14ac:dyDescent="0.3">
      <c r="B8154" s="709">
        <v>100966</v>
      </c>
      <c r="C8154" s="710" t="s">
        <v>14721</v>
      </c>
      <c r="D8154" s="709" t="s">
        <v>8106</v>
      </c>
      <c r="E8154" s="711">
        <v>8.14E-2</v>
      </c>
    </row>
    <row r="8155" spans="2:5" x14ac:dyDescent="0.3">
      <c r="B8155" s="709">
        <v>102331</v>
      </c>
      <c r="C8155" s="710" t="s">
        <v>14722</v>
      </c>
      <c r="D8155" s="709" t="s">
        <v>8106</v>
      </c>
      <c r="E8155" s="711">
        <v>6.6699999999999995E-2</v>
      </c>
    </row>
    <row r="8156" spans="2:5" x14ac:dyDescent="0.3">
      <c r="B8156" s="709">
        <v>102330</v>
      </c>
      <c r="C8156" s="710" t="s">
        <v>14723</v>
      </c>
      <c r="D8156" s="709" t="s">
        <v>8106</v>
      </c>
      <c r="E8156" s="711">
        <v>7.6399999999999996E-2</v>
      </c>
    </row>
    <row r="8157" spans="2:5" x14ac:dyDescent="0.3">
      <c r="B8157" s="709">
        <v>103138</v>
      </c>
      <c r="C8157" s="710" t="s">
        <v>8121</v>
      </c>
      <c r="D8157" s="709" t="s">
        <v>136</v>
      </c>
      <c r="E8157" s="711">
        <v>0.378</v>
      </c>
    </row>
    <row r="8158" spans="2:5" x14ac:dyDescent="0.3">
      <c r="B8158" s="709">
        <v>103151</v>
      </c>
      <c r="C8158" s="710" t="s">
        <v>8122</v>
      </c>
      <c r="D8158" s="709" t="s">
        <v>136</v>
      </c>
      <c r="E8158" s="711">
        <v>0.50790000000000002</v>
      </c>
    </row>
    <row r="8159" spans="2:5" x14ac:dyDescent="0.3">
      <c r="B8159" s="709">
        <v>103152</v>
      </c>
      <c r="C8159" s="710" t="s">
        <v>8123</v>
      </c>
      <c r="D8159" s="709" t="s">
        <v>136</v>
      </c>
      <c r="E8159" s="711">
        <v>0.51039999999999996</v>
      </c>
    </row>
    <row r="8160" spans="2:5" x14ac:dyDescent="0.3">
      <c r="B8160" s="709">
        <v>103139</v>
      </c>
      <c r="C8160" s="710" t="s">
        <v>8124</v>
      </c>
      <c r="D8160" s="709" t="s">
        <v>136</v>
      </c>
      <c r="E8160" s="711">
        <v>0.41249999999999998</v>
      </c>
    </row>
    <row r="8161" spans="2:5" x14ac:dyDescent="0.3">
      <c r="B8161" s="709">
        <v>103140</v>
      </c>
      <c r="C8161" s="710" t="s">
        <v>8125</v>
      </c>
      <c r="D8161" s="709" t="s">
        <v>136</v>
      </c>
      <c r="E8161" s="711">
        <v>0.43369999999999997</v>
      </c>
    </row>
    <row r="8162" spans="2:5" x14ac:dyDescent="0.3">
      <c r="B8162" s="709">
        <v>103141</v>
      </c>
      <c r="C8162" s="710" t="s">
        <v>8126</v>
      </c>
      <c r="D8162" s="709" t="s">
        <v>136</v>
      </c>
      <c r="E8162" s="711">
        <v>0.46550000000000002</v>
      </c>
    </row>
    <row r="8163" spans="2:5" x14ac:dyDescent="0.3">
      <c r="B8163" s="709">
        <v>103142</v>
      </c>
      <c r="C8163" s="710" t="s">
        <v>8127</v>
      </c>
      <c r="D8163" s="709" t="s">
        <v>136</v>
      </c>
      <c r="E8163" s="711">
        <v>0.47189999999999999</v>
      </c>
    </row>
    <row r="8164" spans="2:5" x14ac:dyDescent="0.3">
      <c r="B8164" s="709">
        <v>103143</v>
      </c>
      <c r="C8164" s="710" t="s">
        <v>8128</v>
      </c>
      <c r="D8164" s="709" t="s">
        <v>136</v>
      </c>
      <c r="E8164" s="711">
        <v>0.48420000000000002</v>
      </c>
    </row>
    <row r="8165" spans="2:5" x14ac:dyDescent="0.3">
      <c r="B8165" s="709">
        <v>103144</v>
      </c>
      <c r="C8165" s="710" t="s">
        <v>8129</v>
      </c>
      <c r="D8165" s="709" t="s">
        <v>136</v>
      </c>
      <c r="E8165" s="711">
        <v>0.48720000000000002</v>
      </c>
    </row>
    <row r="8166" spans="2:5" x14ac:dyDescent="0.3">
      <c r="B8166" s="709">
        <v>103145</v>
      </c>
      <c r="C8166" s="710" t="s">
        <v>8130</v>
      </c>
      <c r="D8166" s="709" t="s">
        <v>136</v>
      </c>
      <c r="E8166" s="711">
        <v>0.49370000000000003</v>
      </c>
    </row>
    <row r="8167" spans="2:5" x14ac:dyDescent="0.3">
      <c r="B8167" s="709">
        <v>103146</v>
      </c>
      <c r="C8167" s="710" t="s">
        <v>8131</v>
      </c>
      <c r="D8167" s="709" t="s">
        <v>136</v>
      </c>
      <c r="E8167" s="711">
        <v>0.4955</v>
      </c>
    </row>
    <row r="8168" spans="2:5" x14ac:dyDescent="0.3">
      <c r="B8168" s="709">
        <v>103147</v>
      </c>
      <c r="C8168" s="710" t="s">
        <v>8132</v>
      </c>
      <c r="D8168" s="709" t="s">
        <v>136</v>
      </c>
      <c r="E8168" s="711">
        <v>0.49840000000000001</v>
      </c>
    </row>
    <row r="8169" spans="2:5" x14ac:dyDescent="0.3">
      <c r="B8169" s="709">
        <v>103148</v>
      </c>
      <c r="C8169" s="710" t="s">
        <v>8133</v>
      </c>
      <c r="D8169" s="709" t="s">
        <v>136</v>
      </c>
      <c r="E8169" s="711">
        <v>0.50260000000000005</v>
      </c>
    </row>
    <row r="8170" spans="2:5" x14ac:dyDescent="0.3">
      <c r="B8170" s="709">
        <v>103137</v>
      </c>
      <c r="C8170" s="710" t="s">
        <v>8134</v>
      </c>
      <c r="D8170" s="709" t="s">
        <v>136</v>
      </c>
      <c r="E8170" s="711">
        <v>0.35730000000000001</v>
      </c>
    </row>
    <row r="8171" spans="2:5" x14ac:dyDescent="0.3">
      <c r="B8171" s="709">
        <v>103149</v>
      </c>
      <c r="C8171" s="710" t="s">
        <v>8135</v>
      </c>
      <c r="D8171" s="709" t="s">
        <v>136</v>
      </c>
      <c r="E8171" s="711">
        <v>0.50429999999999997</v>
      </c>
    </row>
    <row r="8172" spans="2:5" x14ac:dyDescent="0.3">
      <c r="B8172" s="709">
        <v>103150</v>
      </c>
      <c r="C8172" s="710" t="s">
        <v>8136</v>
      </c>
      <c r="D8172" s="709" t="s">
        <v>136</v>
      </c>
      <c r="E8172" s="711">
        <v>0.50700000000000001</v>
      </c>
    </row>
    <row r="8173" spans="2:5" x14ac:dyDescent="0.3">
      <c r="B8173" s="709">
        <v>103106</v>
      </c>
      <c r="C8173" s="710" t="s">
        <v>8137</v>
      </c>
      <c r="D8173" s="709" t="s">
        <v>136</v>
      </c>
      <c r="E8173" s="711">
        <v>0.42809999999999998</v>
      </c>
    </row>
    <row r="8174" spans="2:5" x14ac:dyDescent="0.3">
      <c r="B8174" s="709">
        <v>103119</v>
      </c>
      <c r="C8174" s="710" t="s">
        <v>8138</v>
      </c>
      <c r="D8174" s="709" t="s">
        <v>136</v>
      </c>
      <c r="E8174" s="711">
        <v>0.51529999999999998</v>
      </c>
    </row>
    <row r="8175" spans="2:5" x14ac:dyDescent="0.3">
      <c r="B8175" s="709">
        <v>103120</v>
      </c>
      <c r="C8175" s="710" t="s">
        <v>8139</v>
      </c>
      <c r="D8175" s="709" t="s">
        <v>136</v>
      </c>
      <c r="E8175" s="711">
        <v>0.51659999999999995</v>
      </c>
    </row>
    <row r="8176" spans="2:5" x14ac:dyDescent="0.3">
      <c r="B8176" s="709">
        <v>103107</v>
      </c>
      <c r="C8176" s="710" t="s">
        <v>8140</v>
      </c>
      <c r="D8176" s="709" t="s">
        <v>136</v>
      </c>
      <c r="E8176" s="711">
        <v>0.45569999999999999</v>
      </c>
    </row>
    <row r="8177" spans="2:5" x14ac:dyDescent="0.3">
      <c r="B8177" s="709">
        <v>103108</v>
      </c>
      <c r="C8177" s="710" t="s">
        <v>8141</v>
      </c>
      <c r="D8177" s="709" t="s">
        <v>136</v>
      </c>
      <c r="E8177" s="711">
        <v>0.4708</v>
      </c>
    </row>
    <row r="8178" spans="2:5" x14ac:dyDescent="0.3">
      <c r="B8178" s="709">
        <v>103109</v>
      </c>
      <c r="C8178" s="710" t="s">
        <v>8142</v>
      </c>
      <c r="D8178" s="709" t="s">
        <v>136</v>
      </c>
      <c r="E8178" s="711">
        <v>0.4914</v>
      </c>
    </row>
    <row r="8179" spans="2:5" x14ac:dyDescent="0.3">
      <c r="B8179" s="709">
        <v>103110</v>
      </c>
      <c r="C8179" s="710" t="s">
        <v>8143</v>
      </c>
      <c r="D8179" s="709" t="s">
        <v>136</v>
      </c>
      <c r="E8179" s="711">
        <v>0.49519999999999997</v>
      </c>
    </row>
    <row r="8180" spans="2:5" x14ac:dyDescent="0.3">
      <c r="B8180" s="709">
        <v>103111</v>
      </c>
      <c r="C8180" s="710" t="s">
        <v>8144</v>
      </c>
      <c r="D8180" s="709" t="s">
        <v>136</v>
      </c>
      <c r="E8180" s="711">
        <v>0.50239999999999996</v>
      </c>
    </row>
    <row r="8181" spans="2:5" x14ac:dyDescent="0.3">
      <c r="B8181" s="709">
        <v>103112</v>
      </c>
      <c r="C8181" s="710" t="s">
        <v>8145</v>
      </c>
      <c r="D8181" s="709" t="s">
        <v>136</v>
      </c>
      <c r="E8181" s="711">
        <v>0.504</v>
      </c>
    </row>
    <row r="8182" spans="2:5" x14ac:dyDescent="0.3">
      <c r="B8182" s="709">
        <v>103113</v>
      </c>
      <c r="C8182" s="710" t="s">
        <v>8146</v>
      </c>
      <c r="D8182" s="709" t="s">
        <v>136</v>
      </c>
      <c r="E8182" s="711">
        <v>0.50770000000000004</v>
      </c>
    </row>
    <row r="8183" spans="2:5" x14ac:dyDescent="0.3">
      <c r="B8183" s="709">
        <v>103114</v>
      </c>
      <c r="C8183" s="710" t="s">
        <v>8147</v>
      </c>
      <c r="D8183" s="709" t="s">
        <v>136</v>
      </c>
      <c r="E8183" s="711">
        <v>0.50860000000000005</v>
      </c>
    </row>
    <row r="8184" spans="2:5" x14ac:dyDescent="0.3">
      <c r="B8184" s="709">
        <v>103115</v>
      </c>
      <c r="C8184" s="710" t="s">
        <v>8148</v>
      </c>
      <c r="D8184" s="709" t="s">
        <v>136</v>
      </c>
      <c r="E8184" s="711">
        <v>0.51029999999999998</v>
      </c>
    </row>
    <row r="8185" spans="2:5" x14ac:dyDescent="0.3">
      <c r="B8185" s="709">
        <v>103116</v>
      </c>
      <c r="C8185" s="710" t="s">
        <v>8149</v>
      </c>
      <c r="D8185" s="709" t="s">
        <v>136</v>
      </c>
      <c r="E8185" s="711">
        <v>0.51249999999999996</v>
      </c>
    </row>
    <row r="8186" spans="2:5" x14ac:dyDescent="0.3">
      <c r="B8186" s="709">
        <v>103105</v>
      </c>
      <c r="C8186" s="710" t="s">
        <v>8150</v>
      </c>
      <c r="D8186" s="709" t="s">
        <v>136</v>
      </c>
      <c r="E8186" s="711">
        <v>0.40989999999999999</v>
      </c>
    </row>
    <row r="8187" spans="2:5" x14ac:dyDescent="0.3">
      <c r="B8187" s="709">
        <v>103117</v>
      </c>
      <c r="C8187" s="710" t="s">
        <v>8151</v>
      </c>
      <c r="D8187" s="709" t="s">
        <v>136</v>
      </c>
      <c r="E8187" s="711">
        <v>0.51339999999999997</v>
      </c>
    </row>
    <row r="8188" spans="2:5" x14ac:dyDescent="0.3">
      <c r="B8188" s="709">
        <v>103118</v>
      </c>
      <c r="C8188" s="710" t="s">
        <v>8152</v>
      </c>
      <c r="D8188" s="709" t="s">
        <v>136</v>
      </c>
      <c r="E8188" s="711">
        <v>0.51480000000000004</v>
      </c>
    </row>
    <row r="8189" spans="2:5" x14ac:dyDescent="0.3">
      <c r="B8189" s="709">
        <v>103122</v>
      </c>
      <c r="C8189" s="710" t="s">
        <v>8153</v>
      </c>
      <c r="D8189" s="709" t="s">
        <v>136</v>
      </c>
      <c r="E8189" s="711">
        <v>0.4526</v>
      </c>
    </row>
    <row r="8190" spans="2:5" x14ac:dyDescent="0.3">
      <c r="B8190" s="709">
        <v>103135</v>
      </c>
      <c r="C8190" s="710" t="s">
        <v>8154</v>
      </c>
      <c r="D8190" s="709" t="s">
        <v>136</v>
      </c>
      <c r="E8190" s="711">
        <v>0.51790000000000003</v>
      </c>
    </row>
    <row r="8191" spans="2:5" x14ac:dyDescent="0.3">
      <c r="B8191" s="709">
        <v>103136</v>
      </c>
      <c r="C8191" s="710" t="s">
        <v>8155</v>
      </c>
      <c r="D8191" s="709" t="s">
        <v>136</v>
      </c>
      <c r="E8191" s="711">
        <v>0.51880000000000004</v>
      </c>
    </row>
    <row r="8192" spans="2:5" x14ac:dyDescent="0.3">
      <c r="B8192" s="709">
        <v>103123</v>
      </c>
      <c r="C8192" s="710" t="s">
        <v>8156</v>
      </c>
      <c r="D8192" s="709" t="s">
        <v>136</v>
      </c>
      <c r="E8192" s="711">
        <v>0.47460000000000002</v>
      </c>
    </row>
    <row r="8193" spans="2:5" x14ac:dyDescent="0.3">
      <c r="B8193" s="709">
        <v>103124</v>
      </c>
      <c r="C8193" s="710" t="s">
        <v>8157</v>
      </c>
      <c r="D8193" s="709" t="s">
        <v>136</v>
      </c>
      <c r="E8193" s="711">
        <v>0.48620000000000002</v>
      </c>
    </row>
    <row r="8194" spans="2:5" x14ac:dyDescent="0.3">
      <c r="B8194" s="709">
        <v>103125</v>
      </c>
      <c r="C8194" s="710" t="s">
        <v>8158</v>
      </c>
      <c r="D8194" s="709" t="s">
        <v>136</v>
      </c>
      <c r="E8194" s="711">
        <v>0.50119999999999998</v>
      </c>
    </row>
    <row r="8195" spans="2:5" x14ac:dyDescent="0.3">
      <c r="B8195" s="709">
        <v>103126</v>
      </c>
      <c r="C8195" s="710" t="s">
        <v>8159</v>
      </c>
      <c r="D8195" s="709" t="s">
        <v>136</v>
      </c>
      <c r="E8195" s="711">
        <v>0.504</v>
      </c>
    </row>
    <row r="8196" spans="2:5" x14ac:dyDescent="0.3">
      <c r="B8196" s="709">
        <v>103127</v>
      </c>
      <c r="C8196" s="710" t="s">
        <v>8160</v>
      </c>
      <c r="D8196" s="709" t="s">
        <v>136</v>
      </c>
      <c r="E8196" s="711">
        <v>0.50900000000000001</v>
      </c>
    </row>
    <row r="8197" spans="2:5" x14ac:dyDescent="0.3">
      <c r="B8197" s="709">
        <v>103128</v>
      </c>
      <c r="C8197" s="710" t="s">
        <v>8161</v>
      </c>
      <c r="D8197" s="709" t="s">
        <v>136</v>
      </c>
      <c r="E8197" s="711">
        <v>0.5101</v>
      </c>
    </row>
    <row r="8198" spans="2:5" x14ac:dyDescent="0.3">
      <c r="B8198" s="709">
        <v>103129</v>
      </c>
      <c r="C8198" s="710" t="s">
        <v>8162</v>
      </c>
      <c r="D8198" s="709" t="s">
        <v>136</v>
      </c>
      <c r="E8198" s="711">
        <v>0.51270000000000004</v>
      </c>
    </row>
    <row r="8199" spans="2:5" x14ac:dyDescent="0.3">
      <c r="B8199" s="709">
        <v>103130</v>
      </c>
      <c r="C8199" s="710" t="s">
        <v>8163</v>
      </c>
      <c r="D8199" s="709" t="s">
        <v>136</v>
      </c>
      <c r="E8199" s="711">
        <v>0.51329999999999998</v>
      </c>
    </row>
    <row r="8200" spans="2:5" x14ac:dyDescent="0.3">
      <c r="B8200" s="709">
        <v>103131</v>
      </c>
      <c r="C8200" s="710" t="s">
        <v>8164</v>
      </c>
      <c r="D8200" s="709" t="s">
        <v>136</v>
      </c>
      <c r="E8200" s="711">
        <v>0.51439999999999997</v>
      </c>
    </row>
    <row r="8201" spans="2:5" x14ac:dyDescent="0.3">
      <c r="B8201" s="709">
        <v>103132</v>
      </c>
      <c r="C8201" s="710" t="s">
        <v>8165</v>
      </c>
      <c r="D8201" s="709" t="s">
        <v>136</v>
      </c>
      <c r="E8201" s="711">
        <v>0.51600000000000001</v>
      </c>
    </row>
    <row r="8202" spans="2:5" x14ac:dyDescent="0.3">
      <c r="B8202" s="709">
        <v>103121</v>
      </c>
      <c r="C8202" s="710" t="s">
        <v>8166</v>
      </c>
      <c r="D8202" s="709" t="s">
        <v>136</v>
      </c>
      <c r="E8202" s="711">
        <v>0.43680000000000002</v>
      </c>
    </row>
    <row r="8203" spans="2:5" x14ac:dyDescent="0.3">
      <c r="B8203" s="709">
        <v>103133</v>
      </c>
      <c r="C8203" s="710" t="s">
        <v>8167</v>
      </c>
      <c r="D8203" s="709" t="s">
        <v>136</v>
      </c>
      <c r="E8203" s="711">
        <v>0.51659999999999995</v>
      </c>
    </row>
    <row r="8204" spans="2:5" x14ac:dyDescent="0.3">
      <c r="B8204" s="709">
        <v>103134</v>
      </c>
      <c r="C8204" s="710" t="s">
        <v>8168</v>
      </c>
      <c r="D8204" s="709" t="s">
        <v>136</v>
      </c>
      <c r="E8204" s="711">
        <v>0.51749999999999996</v>
      </c>
    </row>
    <row r="8205" spans="2:5" x14ac:dyDescent="0.3">
      <c r="B8205" s="709">
        <v>103090</v>
      </c>
      <c r="C8205" s="710" t="s">
        <v>8169</v>
      </c>
      <c r="D8205" s="709" t="s">
        <v>159</v>
      </c>
      <c r="E8205" s="711">
        <v>0.51329999999999998</v>
      </c>
    </row>
    <row r="8206" spans="2:5" x14ac:dyDescent="0.3">
      <c r="B8206" s="709">
        <v>103103</v>
      </c>
      <c r="C8206" s="710" t="s">
        <v>8170</v>
      </c>
      <c r="D8206" s="709" t="s">
        <v>159</v>
      </c>
      <c r="E8206" s="711">
        <v>0.54690000000000005</v>
      </c>
    </row>
    <row r="8207" spans="2:5" x14ac:dyDescent="0.3">
      <c r="B8207" s="709">
        <v>103104</v>
      </c>
      <c r="C8207" s="710" t="s">
        <v>8171</v>
      </c>
      <c r="D8207" s="709" t="s">
        <v>159</v>
      </c>
      <c r="E8207" s="711">
        <v>0.54759999999999998</v>
      </c>
    </row>
    <row r="8208" spans="2:5" x14ac:dyDescent="0.3">
      <c r="B8208" s="709">
        <v>103091</v>
      </c>
      <c r="C8208" s="710" t="s">
        <v>8172</v>
      </c>
      <c r="D8208" s="709" t="s">
        <v>159</v>
      </c>
      <c r="E8208" s="711">
        <v>0.52559999999999996</v>
      </c>
    </row>
    <row r="8209" spans="2:5" x14ac:dyDescent="0.3">
      <c r="B8209" s="709">
        <v>103092</v>
      </c>
      <c r="C8209" s="710" t="s">
        <v>8173</v>
      </c>
      <c r="D8209" s="709" t="s">
        <v>159</v>
      </c>
      <c r="E8209" s="711">
        <v>0.53280000000000005</v>
      </c>
    </row>
    <row r="8210" spans="2:5" x14ac:dyDescent="0.3">
      <c r="B8210" s="709">
        <v>103093</v>
      </c>
      <c r="C8210" s="710" t="s">
        <v>8174</v>
      </c>
      <c r="D8210" s="709" t="s">
        <v>159</v>
      </c>
      <c r="E8210" s="711">
        <v>0.53420000000000001</v>
      </c>
    </row>
    <row r="8211" spans="2:5" x14ac:dyDescent="0.3">
      <c r="B8211" s="709">
        <v>103094</v>
      </c>
      <c r="C8211" s="710" t="s">
        <v>8175</v>
      </c>
      <c r="D8211" s="709" t="s">
        <v>159</v>
      </c>
      <c r="E8211" s="711">
        <v>0.53690000000000004</v>
      </c>
    </row>
    <row r="8212" spans="2:5" x14ac:dyDescent="0.3">
      <c r="B8212" s="709">
        <v>103095</v>
      </c>
      <c r="C8212" s="710" t="s">
        <v>8176</v>
      </c>
      <c r="D8212" s="709" t="s">
        <v>159</v>
      </c>
      <c r="E8212" s="711">
        <v>0.53720000000000001</v>
      </c>
    </row>
    <row r="8213" spans="2:5" x14ac:dyDescent="0.3">
      <c r="B8213" s="709">
        <v>103096</v>
      </c>
      <c r="C8213" s="710" t="s">
        <v>8177</v>
      </c>
      <c r="D8213" s="709" t="s">
        <v>159</v>
      </c>
      <c r="E8213" s="711">
        <v>0.53879999999999995</v>
      </c>
    </row>
    <row r="8214" spans="2:5" x14ac:dyDescent="0.3">
      <c r="B8214" s="709">
        <v>103097</v>
      </c>
      <c r="C8214" s="710" t="s">
        <v>8178</v>
      </c>
      <c r="D8214" s="709" t="s">
        <v>159</v>
      </c>
      <c r="E8214" s="711">
        <v>0.53859999999999997</v>
      </c>
    </row>
    <row r="8215" spans="2:5" x14ac:dyDescent="0.3">
      <c r="B8215" s="709">
        <v>103098</v>
      </c>
      <c r="C8215" s="710" t="s">
        <v>8179</v>
      </c>
      <c r="D8215" s="709" t="s">
        <v>159</v>
      </c>
      <c r="E8215" s="711">
        <v>0.53979999999999995</v>
      </c>
    </row>
    <row r="8216" spans="2:5" x14ac:dyDescent="0.3">
      <c r="B8216" s="709">
        <v>103099</v>
      </c>
      <c r="C8216" s="710" t="s">
        <v>8180</v>
      </c>
      <c r="D8216" s="709" t="s">
        <v>159</v>
      </c>
      <c r="E8216" s="711">
        <v>0.54179999999999995</v>
      </c>
    </row>
    <row r="8217" spans="2:5" x14ac:dyDescent="0.3">
      <c r="B8217" s="709">
        <v>103100</v>
      </c>
      <c r="C8217" s="710" t="s">
        <v>8181</v>
      </c>
      <c r="D8217" s="709" t="s">
        <v>159</v>
      </c>
      <c r="E8217" s="711">
        <v>0.5444</v>
      </c>
    </row>
    <row r="8218" spans="2:5" x14ac:dyDescent="0.3">
      <c r="B8218" s="709">
        <v>103089</v>
      </c>
      <c r="C8218" s="710" t="s">
        <v>8182</v>
      </c>
      <c r="D8218" s="709" t="s">
        <v>159</v>
      </c>
      <c r="E8218" s="711">
        <v>0.50429999999999997</v>
      </c>
    </row>
    <row r="8219" spans="2:5" x14ac:dyDescent="0.3">
      <c r="B8219" s="709">
        <v>103101</v>
      </c>
      <c r="C8219" s="710" t="s">
        <v>8183</v>
      </c>
      <c r="D8219" s="709" t="s">
        <v>159</v>
      </c>
      <c r="E8219" s="711">
        <v>0.54590000000000005</v>
      </c>
    </row>
    <row r="8220" spans="2:5" x14ac:dyDescent="0.3">
      <c r="B8220" s="709">
        <v>103102</v>
      </c>
      <c r="C8220" s="710" t="s">
        <v>8184</v>
      </c>
      <c r="D8220" s="709" t="s">
        <v>159</v>
      </c>
      <c r="E8220" s="711">
        <v>0.54590000000000005</v>
      </c>
    </row>
    <row r="8221" spans="2:5" x14ac:dyDescent="0.3">
      <c r="B8221" s="709">
        <v>101112</v>
      </c>
      <c r="C8221" s="710" t="s">
        <v>8185</v>
      </c>
      <c r="D8221" s="709" t="s">
        <v>170</v>
      </c>
      <c r="E8221" s="711">
        <v>0.45079999999999998</v>
      </c>
    </row>
    <row r="8222" spans="2:5" x14ac:dyDescent="0.3">
      <c r="B8222" s="709">
        <v>101113</v>
      </c>
      <c r="C8222" s="710" t="s">
        <v>8186</v>
      </c>
      <c r="D8222" s="709" t="s">
        <v>170</v>
      </c>
      <c r="E8222" s="711">
        <v>0.29759999999999998</v>
      </c>
    </row>
    <row r="8223" spans="2:5" x14ac:dyDescent="0.3">
      <c r="B8223" s="709">
        <v>101098</v>
      </c>
      <c r="C8223" s="710" t="s">
        <v>8187</v>
      </c>
      <c r="D8223" s="709" t="s">
        <v>170</v>
      </c>
      <c r="E8223" s="711">
        <v>0.46639999999999998</v>
      </c>
    </row>
    <row r="8224" spans="2:5" x14ac:dyDescent="0.3">
      <c r="B8224" s="709">
        <v>101106</v>
      </c>
      <c r="C8224" s="710" t="s">
        <v>8188</v>
      </c>
      <c r="D8224" s="709" t="s">
        <v>170</v>
      </c>
      <c r="E8224" s="711">
        <v>0.3402</v>
      </c>
    </row>
    <row r="8225" spans="2:5" x14ac:dyDescent="0.3">
      <c r="B8225" s="709">
        <v>101102</v>
      </c>
      <c r="C8225" s="710" t="s">
        <v>8189</v>
      </c>
      <c r="D8225" s="709" t="s">
        <v>170</v>
      </c>
      <c r="E8225" s="711">
        <v>0.22359999999999999</v>
      </c>
    </row>
    <row r="8226" spans="2:5" x14ac:dyDescent="0.3">
      <c r="B8226" s="709">
        <v>101110</v>
      </c>
      <c r="C8226" s="710" t="s">
        <v>8190</v>
      </c>
      <c r="D8226" s="709" t="s">
        <v>170</v>
      </c>
      <c r="E8226" s="711">
        <v>7.1099999999999997E-2</v>
      </c>
    </row>
    <row r="8227" spans="2:5" x14ac:dyDescent="0.3">
      <c r="B8227" s="709">
        <v>101099</v>
      </c>
      <c r="C8227" s="710" t="s">
        <v>8191</v>
      </c>
      <c r="D8227" s="709" t="s">
        <v>170</v>
      </c>
      <c r="E8227" s="711">
        <v>0.44479999999999997</v>
      </c>
    </row>
    <row r="8228" spans="2:5" x14ac:dyDescent="0.3">
      <c r="B8228" s="709">
        <v>101107</v>
      </c>
      <c r="C8228" s="710" t="s">
        <v>8192</v>
      </c>
      <c r="D8228" s="709" t="s">
        <v>170</v>
      </c>
      <c r="E8228" s="711">
        <v>0.3135</v>
      </c>
    </row>
    <row r="8229" spans="2:5" x14ac:dyDescent="0.3">
      <c r="B8229" s="709">
        <v>101103</v>
      </c>
      <c r="C8229" s="710" t="s">
        <v>8193</v>
      </c>
      <c r="D8229" s="709" t="s">
        <v>170</v>
      </c>
      <c r="E8229" s="711">
        <v>0.221</v>
      </c>
    </row>
    <row r="8230" spans="2:5" x14ac:dyDescent="0.3">
      <c r="B8230" s="709">
        <v>101111</v>
      </c>
      <c r="C8230" s="710" t="s">
        <v>8194</v>
      </c>
      <c r="D8230" s="709" t="s">
        <v>170</v>
      </c>
      <c r="E8230" s="711">
        <v>6.6699999999999995E-2</v>
      </c>
    </row>
    <row r="8231" spans="2:5" x14ac:dyDescent="0.3">
      <c r="B8231" s="709">
        <v>101096</v>
      </c>
      <c r="C8231" s="710" t="s">
        <v>8195</v>
      </c>
      <c r="D8231" s="709" t="s">
        <v>170</v>
      </c>
      <c r="E8231" s="711">
        <v>0.53510000000000002</v>
      </c>
    </row>
    <row r="8232" spans="2:5" x14ac:dyDescent="0.3">
      <c r="B8232" s="709">
        <v>101104</v>
      </c>
      <c r="C8232" s="710" t="s">
        <v>8196</v>
      </c>
      <c r="D8232" s="709" t="s">
        <v>170</v>
      </c>
      <c r="E8232" s="711">
        <v>0.41720000000000002</v>
      </c>
    </row>
    <row r="8233" spans="2:5" x14ac:dyDescent="0.3">
      <c r="B8233" s="709">
        <v>101100</v>
      </c>
      <c r="C8233" s="710" t="s">
        <v>8197</v>
      </c>
      <c r="D8233" s="709" t="s">
        <v>170</v>
      </c>
      <c r="E8233" s="711">
        <v>0.24260000000000001</v>
      </c>
    </row>
    <row r="8234" spans="2:5" x14ac:dyDescent="0.3">
      <c r="B8234" s="709">
        <v>101108</v>
      </c>
      <c r="C8234" s="710" t="s">
        <v>8198</v>
      </c>
      <c r="D8234" s="709" t="s">
        <v>170</v>
      </c>
      <c r="E8234" s="711">
        <v>8.9099999999999999E-2</v>
      </c>
    </row>
    <row r="8235" spans="2:5" x14ac:dyDescent="0.3">
      <c r="B8235" s="709">
        <v>101097</v>
      </c>
      <c r="C8235" s="710" t="s">
        <v>8199</v>
      </c>
      <c r="D8235" s="709" t="s">
        <v>170</v>
      </c>
      <c r="E8235" s="711">
        <v>0.50980000000000003</v>
      </c>
    </row>
    <row r="8236" spans="2:5" x14ac:dyDescent="0.3">
      <c r="B8236" s="709">
        <v>101105</v>
      </c>
      <c r="C8236" s="710" t="s">
        <v>8200</v>
      </c>
      <c r="D8236" s="709" t="s">
        <v>170</v>
      </c>
      <c r="E8236" s="711">
        <v>0.3881</v>
      </c>
    </row>
    <row r="8237" spans="2:5" x14ac:dyDescent="0.3">
      <c r="B8237" s="709">
        <v>101101</v>
      </c>
      <c r="C8237" s="710" t="s">
        <v>8201</v>
      </c>
      <c r="D8237" s="709" t="s">
        <v>170</v>
      </c>
      <c r="E8237" s="711">
        <v>0.2361</v>
      </c>
    </row>
    <row r="8238" spans="2:5" x14ac:dyDescent="0.3">
      <c r="B8238" s="709">
        <v>101109</v>
      </c>
      <c r="C8238" s="710" t="s">
        <v>8202</v>
      </c>
      <c r="D8238" s="709" t="s">
        <v>170</v>
      </c>
      <c r="E8238" s="711">
        <v>8.2199999999999995E-2</v>
      </c>
    </row>
    <row r="8239" spans="2:5" x14ac:dyDescent="0.3">
      <c r="B8239" s="709">
        <v>106205</v>
      </c>
      <c r="C8239" s="710" t="s">
        <v>14724</v>
      </c>
      <c r="D8239" s="709" t="s">
        <v>170</v>
      </c>
      <c r="E8239" s="711">
        <v>1</v>
      </c>
    </row>
    <row r="8240" spans="2:5" x14ac:dyDescent="0.3">
      <c r="B8240" s="709">
        <v>106206</v>
      </c>
      <c r="C8240" s="710" t="s">
        <v>14725</v>
      </c>
      <c r="D8240" s="709" t="s">
        <v>170</v>
      </c>
      <c r="E8240" s="711">
        <v>1</v>
      </c>
    </row>
    <row r="8241" spans="2:5" x14ac:dyDescent="0.3">
      <c r="B8241" s="709">
        <v>96393</v>
      </c>
      <c r="C8241" s="710" t="s">
        <v>8203</v>
      </c>
      <c r="D8241" s="709" t="s">
        <v>170</v>
      </c>
      <c r="E8241" s="711">
        <v>2.5999999999999999E-2</v>
      </c>
    </row>
    <row r="8242" spans="2:5" x14ac:dyDescent="0.3">
      <c r="B8242" s="709">
        <v>96394</v>
      </c>
      <c r="C8242" s="710" t="s">
        <v>8204</v>
      </c>
      <c r="D8242" s="709" t="s">
        <v>170</v>
      </c>
      <c r="E8242" s="711">
        <v>1.7500000000000002E-2</v>
      </c>
    </row>
    <row r="8243" spans="2:5" x14ac:dyDescent="0.3">
      <c r="B8243" s="709">
        <v>96395</v>
      </c>
      <c r="C8243" s="710" t="s">
        <v>8211</v>
      </c>
      <c r="D8243" s="709" t="s">
        <v>170</v>
      </c>
      <c r="E8243" s="711">
        <v>2.01E-2</v>
      </c>
    </row>
    <row r="8244" spans="2:5" x14ac:dyDescent="0.3">
      <c r="B8244" s="709">
        <v>105529</v>
      </c>
      <c r="C8244" s="710" t="s">
        <v>8216</v>
      </c>
      <c r="D8244" s="709" t="s">
        <v>170</v>
      </c>
      <c r="E8244" s="711">
        <v>2.0299999999999999E-2</v>
      </c>
    </row>
    <row r="8245" spans="2:5" x14ac:dyDescent="0.3">
      <c r="B8245">
        <v>105530</v>
      </c>
      <c r="C8245" t="s">
        <v>8217</v>
      </c>
      <c r="D8245" t="s">
        <v>170</v>
      </c>
      <c r="E8245" s="711">
        <v>1.7299999999999999E-2</v>
      </c>
    </row>
    <row r="8246" spans="2:5" x14ac:dyDescent="0.3">
      <c r="B8246">
        <v>105531</v>
      </c>
      <c r="C8246" t="s">
        <v>8218</v>
      </c>
      <c r="D8246" t="s">
        <v>170</v>
      </c>
      <c r="E8246" s="711">
        <v>1.4999999999999999E-2</v>
      </c>
    </row>
    <row r="8247" spans="2:5" x14ac:dyDescent="0.3">
      <c r="B8247">
        <v>105527</v>
      </c>
      <c r="C8247" t="s">
        <v>8219</v>
      </c>
      <c r="D8247" t="s">
        <v>170</v>
      </c>
      <c r="E8247" s="711">
        <v>3.1099999999999999E-2</v>
      </c>
    </row>
    <row r="8248" spans="2:5" x14ac:dyDescent="0.3">
      <c r="B8248">
        <v>105532</v>
      </c>
      <c r="C8248" t="s">
        <v>8220</v>
      </c>
      <c r="D8248" t="s">
        <v>170</v>
      </c>
      <c r="E8248" s="711">
        <v>2.24E-2</v>
      </c>
    </row>
    <row r="8249" spans="2:5" x14ac:dyDescent="0.3">
      <c r="B8249">
        <v>105533</v>
      </c>
      <c r="C8249" t="s">
        <v>8221</v>
      </c>
      <c r="D8249" t="s">
        <v>170</v>
      </c>
      <c r="E8249" s="711">
        <v>1.8800000000000001E-2</v>
      </c>
    </row>
    <row r="8250" spans="2:5" x14ac:dyDescent="0.3">
      <c r="B8250">
        <v>105534</v>
      </c>
      <c r="C8250" t="s">
        <v>8222</v>
      </c>
      <c r="D8250" t="s">
        <v>170</v>
      </c>
      <c r="E8250" s="711">
        <v>1.61E-2</v>
      </c>
    </row>
    <row r="8251" spans="2:5" x14ac:dyDescent="0.3">
      <c r="B8251">
        <v>105528</v>
      </c>
      <c r="C8251" t="s">
        <v>8223</v>
      </c>
      <c r="D8251" t="s">
        <v>170</v>
      </c>
      <c r="E8251" s="711">
        <v>3.6799999999999999E-2</v>
      </c>
    </row>
    <row r="8252" spans="2:5" x14ac:dyDescent="0.3">
      <c r="B8252">
        <v>105523</v>
      </c>
      <c r="C8252" t="s">
        <v>8224</v>
      </c>
      <c r="D8252" t="s">
        <v>170</v>
      </c>
      <c r="E8252" s="711">
        <v>8.6199999999999999E-2</v>
      </c>
    </row>
    <row r="8253" spans="2:5" x14ac:dyDescent="0.3">
      <c r="B8253">
        <v>105759</v>
      </c>
      <c r="C8253" t="s">
        <v>8225</v>
      </c>
      <c r="D8253" t="s">
        <v>170</v>
      </c>
      <c r="E8253" s="711">
        <v>6.1499999999999999E-2</v>
      </c>
    </row>
    <row r="8254" spans="2:5" x14ac:dyDescent="0.3">
      <c r="B8254">
        <v>105524</v>
      </c>
      <c r="C8254" t="s">
        <v>8226</v>
      </c>
      <c r="D8254" t="s">
        <v>170</v>
      </c>
      <c r="E8254" s="711">
        <v>4.8000000000000001E-2</v>
      </c>
    </row>
    <row r="8255" spans="2:5" x14ac:dyDescent="0.3">
      <c r="B8255">
        <v>105525</v>
      </c>
      <c r="C8255" t="s">
        <v>8227</v>
      </c>
      <c r="D8255" t="s">
        <v>170</v>
      </c>
      <c r="E8255" s="711">
        <v>3.3300000000000003E-2</v>
      </c>
    </row>
    <row r="8256" spans="2:5" x14ac:dyDescent="0.3">
      <c r="B8256">
        <v>105526</v>
      </c>
      <c r="C8256" t="s">
        <v>8228</v>
      </c>
      <c r="D8256" t="s">
        <v>170</v>
      </c>
      <c r="E8256" s="711">
        <v>2.5499999999999998E-2</v>
      </c>
    </row>
    <row r="8257" spans="2:5" x14ac:dyDescent="0.3">
      <c r="B8257">
        <v>105034</v>
      </c>
      <c r="C8257" t="s">
        <v>8229</v>
      </c>
      <c r="D8257" t="s">
        <v>159</v>
      </c>
      <c r="E8257" s="711">
        <v>0.4219</v>
      </c>
    </row>
    <row r="8258" spans="2:5" x14ac:dyDescent="0.3">
      <c r="B8258">
        <v>105033</v>
      </c>
      <c r="C8258" t="s">
        <v>8230</v>
      </c>
      <c r="D8258" t="s">
        <v>159</v>
      </c>
      <c r="E8258" s="711">
        <v>0.44159999999999999</v>
      </c>
    </row>
    <row r="8259" spans="2:5" x14ac:dyDescent="0.3">
      <c r="B8259">
        <v>93205</v>
      </c>
      <c r="C8259" t="s">
        <v>8231</v>
      </c>
      <c r="D8259" t="s">
        <v>159</v>
      </c>
      <c r="E8259" s="711">
        <v>0.4556</v>
      </c>
    </row>
    <row r="8260" spans="2:5" x14ac:dyDescent="0.3">
      <c r="B8260">
        <v>105032</v>
      </c>
      <c r="C8260" t="s">
        <v>8232</v>
      </c>
      <c r="D8260" t="s">
        <v>159</v>
      </c>
      <c r="E8260" s="711">
        <v>0.3569</v>
      </c>
    </row>
    <row r="8261" spans="2:5" x14ac:dyDescent="0.3">
      <c r="B8261">
        <v>105031</v>
      </c>
      <c r="C8261" t="s">
        <v>8233</v>
      </c>
      <c r="D8261" t="s">
        <v>159</v>
      </c>
      <c r="E8261" s="711">
        <v>0.39229999999999998</v>
      </c>
    </row>
    <row r="8262" spans="2:5" x14ac:dyDescent="0.3">
      <c r="B8262">
        <v>93199</v>
      </c>
      <c r="C8262" t="s">
        <v>8234</v>
      </c>
      <c r="D8262" t="s">
        <v>159</v>
      </c>
      <c r="E8262" s="711">
        <v>0.46629999999999999</v>
      </c>
    </row>
    <row r="8263" spans="2:5" x14ac:dyDescent="0.3">
      <c r="B8263">
        <v>105030</v>
      </c>
      <c r="C8263" t="s">
        <v>8235</v>
      </c>
      <c r="D8263" t="s">
        <v>159</v>
      </c>
      <c r="E8263" s="711">
        <v>0.35720000000000002</v>
      </c>
    </row>
    <row r="8264" spans="2:5" x14ac:dyDescent="0.3">
      <c r="B8264">
        <v>105029</v>
      </c>
      <c r="C8264" t="s">
        <v>8236</v>
      </c>
      <c r="D8264" t="s">
        <v>159</v>
      </c>
      <c r="E8264" s="711">
        <v>0.37240000000000001</v>
      </c>
    </row>
    <row r="8265" spans="2:5" x14ac:dyDescent="0.3">
      <c r="B8265">
        <v>93197</v>
      </c>
      <c r="C8265" t="s">
        <v>8237</v>
      </c>
      <c r="D8265" t="s">
        <v>159</v>
      </c>
      <c r="E8265" s="711">
        <v>0.3836</v>
      </c>
    </row>
    <row r="8266" spans="2:5" x14ac:dyDescent="0.3">
      <c r="B8266">
        <v>105040</v>
      </c>
      <c r="C8266" t="s">
        <v>8238</v>
      </c>
      <c r="D8266" t="s">
        <v>159</v>
      </c>
      <c r="E8266" s="711">
        <v>0.70979999999999999</v>
      </c>
    </row>
    <row r="8267" spans="2:5" x14ac:dyDescent="0.3">
      <c r="B8267">
        <v>105039</v>
      </c>
      <c r="C8267" t="s">
        <v>8239</v>
      </c>
      <c r="D8267" t="s">
        <v>159</v>
      </c>
      <c r="E8267" s="711">
        <v>0.70909999999999995</v>
      </c>
    </row>
    <row r="8268" spans="2:5" x14ac:dyDescent="0.3">
      <c r="B8268">
        <v>105038</v>
      </c>
      <c r="C8268" t="s">
        <v>8240</v>
      </c>
      <c r="D8268" t="s">
        <v>159</v>
      </c>
      <c r="E8268" s="711">
        <v>0.70799999999999996</v>
      </c>
    </row>
    <row r="8269" spans="2:5" x14ac:dyDescent="0.3">
      <c r="B8269">
        <v>105028</v>
      </c>
      <c r="C8269" t="s">
        <v>8241</v>
      </c>
      <c r="D8269" t="s">
        <v>159</v>
      </c>
      <c r="E8269" s="711">
        <v>0.30409999999999998</v>
      </c>
    </row>
    <row r="8270" spans="2:5" x14ac:dyDescent="0.3">
      <c r="B8270">
        <v>105027</v>
      </c>
      <c r="C8270" t="s">
        <v>8242</v>
      </c>
      <c r="D8270" t="s">
        <v>159</v>
      </c>
      <c r="E8270" s="711">
        <v>0.30149999999999999</v>
      </c>
    </row>
    <row r="8271" spans="2:5" x14ac:dyDescent="0.3">
      <c r="B8271">
        <v>93194</v>
      </c>
      <c r="C8271" t="s">
        <v>8243</v>
      </c>
      <c r="D8271" t="s">
        <v>159</v>
      </c>
      <c r="E8271" s="711">
        <v>0.29759999999999998</v>
      </c>
    </row>
    <row r="8272" spans="2:5" x14ac:dyDescent="0.3">
      <c r="B8272">
        <v>93200</v>
      </c>
      <c r="C8272" t="s">
        <v>8244</v>
      </c>
      <c r="D8272" t="s">
        <v>159</v>
      </c>
      <c r="E8272" s="711">
        <v>0.86160000000000003</v>
      </c>
    </row>
    <row r="8273" spans="2:5" x14ac:dyDescent="0.3">
      <c r="B8273">
        <v>93203</v>
      </c>
      <c r="C8273" t="s">
        <v>8245</v>
      </c>
      <c r="D8273" t="s">
        <v>159</v>
      </c>
      <c r="E8273" s="711">
        <v>0.13769999999999999</v>
      </c>
    </row>
    <row r="8274" spans="2:5" x14ac:dyDescent="0.3">
      <c r="B8274">
        <v>93202</v>
      </c>
      <c r="C8274" t="s">
        <v>8246</v>
      </c>
      <c r="D8274" t="s">
        <v>159</v>
      </c>
      <c r="E8274" s="711">
        <v>0.6865</v>
      </c>
    </row>
    <row r="8275" spans="2:5" x14ac:dyDescent="0.3">
      <c r="B8275">
        <v>105026</v>
      </c>
      <c r="C8275" t="s">
        <v>8247</v>
      </c>
      <c r="D8275" t="s">
        <v>159</v>
      </c>
      <c r="E8275" s="711">
        <v>0.28860000000000002</v>
      </c>
    </row>
    <row r="8276" spans="2:5" x14ac:dyDescent="0.3">
      <c r="B8276">
        <v>105025</v>
      </c>
      <c r="C8276" t="s">
        <v>8248</v>
      </c>
      <c r="D8276" t="s">
        <v>159</v>
      </c>
      <c r="E8276" s="711">
        <v>0.30740000000000001</v>
      </c>
    </row>
    <row r="8277" spans="2:5" x14ac:dyDescent="0.3">
      <c r="B8277">
        <v>93191</v>
      </c>
      <c r="C8277" t="s">
        <v>8249</v>
      </c>
      <c r="D8277" t="s">
        <v>159</v>
      </c>
      <c r="E8277" s="711">
        <v>0.32190000000000002</v>
      </c>
    </row>
    <row r="8278" spans="2:5" x14ac:dyDescent="0.3">
      <c r="B8278">
        <v>105024</v>
      </c>
      <c r="C8278" t="s">
        <v>8250</v>
      </c>
      <c r="D8278" t="s">
        <v>159</v>
      </c>
      <c r="E8278" s="711">
        <v>0.43090000000000001</v>
      </c>
    </row>
    <row r="8279" spans="2:5" x14ac:dyDescent="0.3">
      <c r="B8279">
        <v>105023</v>
      </c>
      <c r="C8279" t="s">
        <v>8251</v>
      </c>
      <c r="D8279" t="s">
        <v>159</v>
      </c>
      <c r="E8279" s="711">
        <v>0.44600000000000001</v>
      </c>
    </row>
    <row r="8280" spans="2:5" x14ac:dyDescent="0.3">
      <c r="B8280">
        <v>93187</v>
      </c>
      <c r="C8280" t="s">
        <v>8252</v>
      </c>
      <c r="D8280" t="s">
        <v>159</v>
      </c>
      <c r="E8280" s="711">
        <v>0.45619999999999999</v>
      </c>
    </row>
    <row r="8281" spans="2:5" x14ac:dyDescent="0.3">
      <c r="B8281">
        <v>105037</v>
      </c>
      <c r="C8281" t="s">
        <v>8253</v>
      </c>
      <c r="D8281" t="s">
        <v>159</v>
      </c>
      <c r="E8281" s="711">
        <v>0.71120000000000005</v>
      </c>
    </row>
    <row r="8282" spans="2:5" x14ac:dyDescent="0.3">
      <c r="B8282">
        <v>105036</v>
      </c>
      <c r="C8282" t="s">
        <v>8254</v>
      </c>
      <c r="D8282" t="s">
        <v>159</v>
      </c>
      <c r="E8282" s="711">
        <v>0.71040000000000003</v>
      </c>
    </row>
    <row r="8283" spans="2:5" x14ac:dyDescent="0.3">
      <c r="B8283">
        <v>105035</v>
      </c>
      <c r="C8283" t="s">
        <v>8255</v>
      </c>
      <c r="D8283" t="s">
        <v>159</v>
      </c>
      <c r="E8283" s="711">
        <v>0.70889999999999997</v>
      </c>
    </row>
    <row r="8284" spans="2:5" x14ac:dyDescent="0.3">
      <c r="B8284">
        <v>105022</v>
      </c>
      <c r="C8284" t="s">
        <v>8256</v>
      </c>
      <c r="D8284" t="s">
        <v>159</v>
      </c>
      <c r="E8284" s="711">
        <v>0.30919999999999997</v>
      </c>
    </row>
    <row r="8285" spans="2:5" x14ac:dyDescent="0.3">
      <c r="B8285">
        <v>105021</v>
      </c>
      <c r="C8285" t="s">
        <v>8257</v>
      </c>
      <c r="D8285" t="s">
        <v>159</v>
      </c>
      <c r="E8285" s="711">
        <v>0.30669999999999997</v>
      </c>
    </row>
    <row r="8286" spans="2:5" x14ac:dyDescent="0.3">
      <c r="B8286">
        <v>93184</v>
      </c>
      <c r="C8286" t="s">
        <v>8258</v>
      </c>
      <c r="D8286" t="s">
        <v>159</v>
      </c>
      <c r="E8286" s="711">
        <v>0.3019</v>
      </c>
    </row>
    <row r="8287" spans="2:5" x14ac:dyDescent="0.3">
      <c r="B8287">
        <v>102171</v>
      </c>
      <c r="C8287" t="s">
        <v>14726</v>
      </c>
      <c r="D8287" t="s">
        <v>168</v>
      </c>
      <c r="E8287" s="711">
        <v>6.3899999999999998E-2</v>
      </c>
    </row>
    <row r="8288" spans="2:5" x14ac:dyDescent="0.3">
      <c r="B8288">
        <v>102172</v>
      </c>
      <c r="C8288" t="s">
        <v>14727</v>
      </c>
      <c r="D8288" t="s">
        <v>168</v>
      </c>
      <c r="E8288" s="711">
        <v>5.1400000000000001E-2</v>
      </c>
    </row>
    <row r="8289" spans="2:5" x14ac:dyDescent="0.3">
      <c r="B8289">
        <v>102170</v>
      </c>
      <c r="C8289" t="s">
        <v>14728</v>
      </c>
      <c r="D8289" t="s">
        <v>168</v>
      </c>
      <c r="E8289" s="711">
        <v>0.13109999999999999</v>
      </c>
    </row>
    <row r="8290" spans="2:5" x14ac:dyDescent="0.3">
      <c r="B8290">
        <v>102160</v>
      </c>
      <c r="C8290" t="s">
        <v>14729</v>
      </c>
      <c r="D8290" t="s">
        <v>168</v>
      </c>
      <c r="E8290" s="711">
        <v>0.2175</v>
      </c>
    </row>
    <row r="8291" spans="2:5" x14ac:dyDescent="0.3">
      <c r="B8291">
        <v>102163</v>
      </c>
      <c r="C8291" t="s">
        <v>14730</v>
      </c>
      <c r="D8291" t="s">
        <v>168</v>
      </c>
      <c r="E8291" s="711">
        <v>0.1065</v>
      </c>
    </row>
    <row r="8292" spans="2:5" x14ac:dyDescent="0.3">
      <c r="B8292">
        <v>102153</v>
      </c>
      <c r="C8292" t="s">
        <v>14731</v>
      </c>
      <c r="D8292" t="s">
        <v>168</v>
      </c>
      <c r="E8292" s="711">
        <v>0.15409999999999999</v>
      </c>
    </row>
    <row r="8293" spans="2:5" x14ac:dyDescent="0.3">
      <c r="B8293">
        <v>102165</v>
      </c>
      <c r="C8293" t="s">
        <v>14732</v>
      </c>
      <c r="D8293" t="s">
        <v>168</v>
      </c>
      <c r="E8293" s="711">
        <v>9.0800000000000006E-2</v>
      </c>
    </row>
    <row r="8294" spans="2:5" x14ac:dyDescent="0.3">
      <c r="B8294">
        <v>102155</v>
      </c>
      <c r="C8294" t="s">
        <v>14733</v>
      </c>
      <c r="D8294" t="s">
        <v>168</v>
      </c>
      <c r="E8294" s="711">
        <v>0.121</v>
      </c>
    </row>
    <row r="8295" spans="2:5" x14ac:dyDescent="0.3">
      <c r="B8295">
        <v>102167</v>
      </c>
      <c r="C8295" t="s">
        <v>14734</v>
      </c>
      <c r="D8295" t="s">
        <v>168</v>
      </c>
      <c r="E8295" s="711">
        <v>6.2E-2</v>
      </c>
    </row>
    <row r="8296" spans="2:5" x14ac:dyDescent="0.3">
      <c r="B8296">
        <v>102157</v>
      </c>
      <c r="C8296" t="s">
        <v>14735</v>
      </c>
      <c r="D8296" t="s">
        <v>168</v>
      </c>
      <c r="E8296" s="711">
        <v>7.22E-2</v>
      </c>
    </row>
    <row r="8297" spans="2:5" x14ac:dyDescent="0.3">
      <c r="B8297">
        <v>102169</v>
      </c>
      <c r="C8297" t="s">
        <v>14736</v>
      </c>
      <c r="D8297" t="s">
        <v>168</v>
      </c>
      <c r="E8297" s="711">
        <v>3.7499999999999999E-2</v>
      </c>
    </row>
    <row r="8298" spans="2:5" x14ac:dyDescent="0.3">
      <c r="B8298">
        <v>102159</v>
      </c>
      <c r="C8298" t="s">
        <v>14737</v>
      </c>
      <c r="D8298" t="s">
        <v>168</v>
      </c>
      <c r="E8298" s="711">
        <v>3.9600000000000003E-2</v>
      </c>
    </row>
    <row r="8299" spans="2:5" x14ac:dyDescent="0.3">
      <c r="B8299">
        <v>102161</v>
      </c>
      <c r="C8299" t="s">
        <v>14738</v>
      </c>
      <c r="D8299" t="s">
        <v>168</v>
      </c>
      <c r="E8299" s="711">
        <v>0.12859999999999999</v>
      </c>
    </row>
    <row r="8300" spans="2:5" x14ac:dyDescent="0.3">
      <c r="B8300">
        <v>102151</v>
      </c>
      <c r="C8300" t="s">
        <v>14739</v>
      </c>
      <c r="D8300" t="s">
        <v>168</v>
      </c>
      <c r="E8300" s="711">
        <v>0.21029999999999999</v>
      </c>
    </row>
    <row r="8301" spans="2:5" x14ac:dyDescent="0.3">
      <c r="B8301">
        <v>102162</v>
      </c>
      <c r="C8301" t="s">
        <v>14740</v>
      </c>
      <c r="D8301" t="s">
        <v>168</v>
      </c>
      <c r="E8301" s="711">
        <v>0.1217</v>
      </c>
    </row>
    <row r="8302" spans="2:5" x14ac:dyDescent="0.3">
      <c r="B8302">
        <v>102152</v>
      </c>
      <c r="C8302" t="s">
        <v>14741</v>
      </c>
      <c r="D8302" t="s">
        <v>168</v>
      </c>
      <c r="E8302" s="711">
        <v>0.1913</v>
      </c>
    </row>
    <row r="8303" spans="2:5" x14ac:dyDescent="0.3">
      <c r="B8303">
        <v>102164</v>
      </c>
      <c r="C8303" t="s">
        <v>14742</v>
      </c>
      <c r="D8303" t="s">
        <v>168</v>
      </c>
      <c r="E8303" s="711">
        <v>0.1018</v>
      </c>
    </row>
    <row r="8304" spans="2:5" x14ac:dyDescent="0.3">
      <c r="B8304">
        <v>102154</v>
      </c>
      <c r="C8304" t="s">
        <v>14743</v>
      </c>
      <c r="D8304" t="s">
        <v>168</v>
      </c>
      <c r="E8304" s="711">
        <v>0.1434</v>
      </c>
    </row>
    <row r="8305" spans="2:5" x14ac:dyDescent="0.3">
      <c r="B8305">
        <v>102166</v>
      </c>
      <c r="C8305" t="s">
        <v>14744</v>
      </c>
      <c r="D8305" t="s">
        <v>168</v>
      </c>
      <c r="E8305" s="711">
        <v>7.8100000000000003E-2</v>
      </c>
    </row>
    <row r="8306" spans="2:5" x14ac:dyDescent="0.3">
      <c r="B8306">
        <v>102156</v>
      </c>
      <c r="C8306" t="s">
        <v>14745</v>
      </c>
      <c r="D8306" t="s">
        <v>168</v>
      </c>
      <c r="E8306" s="711">
        <v>9.7699999999999995E-2</v>
      </c>
    </row>
    <row r="8307" spans="2:5" x14ac:dyDescent="0.3">
      <c r="B8307">
        <v>102168</v>
      </c>
      <c r="C8307" t="s">
        <v>14746</v>
      </c>
      <c r="D8307" t="s">
        <v>168</v>
      </c>
      <c r="E8307" s="711">
        <v>4.8599999999999997E-2</v>
      </c>
    </row>
    <row r="8308" spans="2:5" x14ac:dyDescent="0.3">
      <c r="B8308">
        <v>102158</v>
      </c>
      <c r="C8308" t="s">
        <v>14747</v>
      </c>
      <c r="D8308" t="s">
        <v>168</v>
      </c>
      <c r="E8308" s="711">
        <v>5.3400000000000003E-2</v>
      </c>
    </row>
    <row r="8309" spans="2:5" x14ac:dyDescent="0.3">
      <c r="B8309">
        <v>102181</v>
      </c>
      <c r="C8309" t="s">
        <v>14748</v>
      </c>
      <c r="D8309" t="s">
        <v>168</v>
      </c>
      <c r="E8309" s="711">
        <v>0.1336</v>
      </c>
    </row>
    <row r="8310" spans="2:5" x14ac:dyDescent="0.3">
      <c r="B8310">
        <v>102179</v>
      </c>
      <c r="C8310" t="s">
        <v>14749</v>
      </c>
      <c r="D8310" t="s">
        <v>168</v>
      </c>
      <c r="E8310" s="711">
        <v>0.1973</v>
      </c>
    </row>
    <row r="8311" spans="2:5" x14ac:dyDescent="0.3">
      <c r="B8311">
        <v>102180</v>
      </c>
      <c r="C8311" t="s">
        <v>14750</v>
      </c>
      <c r="D8311" t="s">
        <v>168</v>
      </c>
      <c r="E8311" s="711">
        <v>0.1658</v>
      </c>
    </row>
    <row r="8312" spans="2:5" x14ac:dyDescent="0.3">
      <c r="B8312">
        <v>102189</v>
      </c>
      <c r="C8312" t="s">
        <v>14751</v>
      </c>
      <c r="D8312" t="s">
        <v>136</v>
      </c>
      <c r="E8312" s="711">
        <v>0.3049</v>
      </c>
    </row>
    <row r="8313" spans="2:5" x14ac:dyDescent="0.3">
      <c r="B8313">
        <v>102188</v>
      </c>
      <c r="C8313" t="s">
        <v>14752</v>
      </c>
      <c r="D8313" t="s">
        <v>136</v>
      </c>
      <c r="E8313" s="711">
        <v>7.3099999999999998E-2</v>
      </c>
    </row>
    <row r="8314" spans="2:5" x14ac:dyDescent="0.3">
      <c r="B8314">
        <v>106320</v>
      </c>
      <c r="C8314" t="s">
        <v>14753</v>
      </c>
      <c r="D8314" t="s">
        <v>136</v>
      </c>
      <c r="E8314" s="711">
        <v>7.2700000000000001E-2</v>
      </c>
    </row>
    <row r="8315" spans="2:5" x14ac:dyDescent="0.3">
      <c r="B8315">
        <v>102185</v>
      </c>
      <c r="C8315" t="s">
        <v>14754</v>
      </c>
      <c r="D8315" t="s">
        <v>136</v>
      </c>
      <c r="E8315" s="711">
        <v>7.6600000000000001E-2</v>
      </c>
    </row>
    <row r="8316" spans="2:5" x14ac:dyDescent="0.3">
      <c r="B8316">
        <v>106318</v>
      </c>
      <c r="C8316" t="s">
        <v>14755</v>
      </c>
      <c r="D8316" t="s">
        <v>136</v>
      </c>
      <c r="E8316" s="711">
        <v>7.4899999999999994E-2</v>
      </c>
    </row>
    <row r="8317" spans="2:5" x14ac:dyDescent="0.3">
      <c r="B8317">
        <v>106319</v>
      </c>
      <c r="C8317" t="s">
        <v>14756</v>
      </c>
      <c r="D8317" t="s">
        <v>136</v>
      </c>
      <c r="E8317" s="711">
        <v>7.4399999999999994E-2</v>
      </c>
    </row>
    <row r="8318" spans="2:5" x14ac:dyDescent="0.3">
      <c r="B8318">
        <v>102184</v>
      </c>
      <c r="C8318" t="s">
        <v>14757</v>
      </c>
      <c r="D8318" t="s">
        <v>136</v>
      </c>
      <c r="E8318" s="711">
        <v>7.3899999999999993E-2</v>
      </c>
    </row>
    <row r="8319" spans="2:5" x14ac:dyDescent="0.3">
      <c r="B8319">
        <v>102183</v>
      </c>
      <c r="C8319" t="s">
        <v>14758</v>
      </c>
      <c r="D8319" t="s">
        <v>136</v>
      </c>
      <c r="E8319" s="711">
        <v>0.1163</v>
      </c>
    </row>
    <row r="8320" spans="2:5" x14ac:dyDescent="0.3">
      <c r="B8320">
        <v>102182</v>
      </c>
      <c r="C8320" t="s">
        <v>14759</v>
      </c>
      <c r="D8320" t="s">
        <v>136</v>
      </c>
      <c r="E8320" s="711">
        <v>9.7799999999999998E-2</v>
      </c>
    </row>
    <row r="8321" spans="2:5" x14ac:dyDescent="0.3">
      <c r="B8321">
        <v>102191</v>
      </c>
      <c r="C8321" t="s">
        <v>14760</v>
      </c>
      <c r="D8321" t="s">
        <v>168</v>
      </c>
      <c r="E8321" s="711">
        <v>1</v>
      </c>
    </row>
    <row r="8322" spans="2:5" x14ac:dyDescent="0.3">
      <c r="B8322">
        <v>102190</v>
      </c>
      <c r="C8322" t="s">
        <v>14761</v>
      </c>
      <c r="D8322" t="s">
        <v>168</v>
      </c>
      <c r="E8322" s="711">
        <v>1</v>
      </c>
    </row>
    <row r="8323" spans="2:5" x14ac:dyDescent="0.3">
      <c r="B8323">
        <v>102192</v>
      </c>
      <c r="C8323" t="s">
        <v>14762</v>
      </c>
      <c r="D8323" t="s">
        <v>168</v>
      </c>
      <c r="E8323" s="711">
        <v>1</v>
      </c>
    </row>
    <row r="8324" spans="2:5" x14ac:dyDescent="0.3">
      <c r="B8324">
        <v>89354</v>
      </c>
      <c r="C8324" t="s">
        <v>8259</v>
      </c>
      <c r="D8324" t="s">
        <v>136</v>
      </c>
      <c r="E8324" s="711">
        <v>3.49E-2</v>
      </c>
    </row>
    <row r="8325" spans="2:5" x14ac:dyDescent="0.3">
      <c r="B8325">
        <v>103041</v>
      </c>
      <c r="C8325" t="s">
        <v>8260</v>
      </c>
      <c r="D8325" t="s">
        <v>136</v>
      </c>
      <c r="E8325" s="711">
        <v>0.15670000000000001</v>
      </c>
    </row>
    <row r="8326" spans="2:5" x14ac:dyDescent="0.3">
      <c r="B8326">
        <v>103042</v>
      </c>
      <c r="C8326" t="s">
        <v>8261</v>
      </c>
      <c r="D8326" t="s">
        <v>136</v>
      </c>
      <c r="E8326" s="711">
        <v>0.1951</v>
      </c>
    </row>
    <row r="8327" spans="2:5" x14ac:dyDescent="0.3">
      <c r="B8327">
        <v>103043</v>
      </c>
      <c r="C8327" t="s">
        <v>8262</v>
      </c>
      <c r="D8327" t="s">
        <v>136</v>
      </c>
      <c r="E8327" s="711">
        <v>0.13539999999999999</v>
      </c>
    </row>
    <row r="8328" spans="2:5" x14ac:dyDescent="0.3">
      <c r="B8328">
        <v>103044</v>
      </c>
      <c r="C8328" t="s">
        <v>8263</v>
      </c>
      <c r="D8328" t="s">
        <v>136</v>
      </c>
      <c r="E8328" s="711">
        <v>0.15409999999999999</v>
      </c>
    </row>
    <row r="8329" spans="2:5" x14ac:dyDescent="0.3">
      <c r="B8329">
        <v>103039</v>
      </c>
      <c r="C8329" t="s">
        <v>8264</v>
      </c>
      <c r="D8329" t="s">
        <v>136</v>
      </c>
      <c r="E8329" s="711">
        <v>0.16719999999999999</v>
      </c>
    </row>
    <row r="8330" spans="2:5" x14ac:dyDescent="0.3">
      <c r="B8330">
        <v>103038</v>
      </c>
      <c r="C8330" t="s">
        <v>8265</v>
      </c>
      <c r="D8330" t="s">
        <v>136</v>
      </c>
      <c r="E8330" s="711">
        <v>0.13930000000000001</v>
      </c>
    </row>
    <row r="8331" spans="2:5" x14ac:dyDescent="0.3">
      <c r="B8331">
        <v>103037</v>
      </c>
      <c r="C8331" t="s">
        <v>8266</v>
      </c>
      <c r="D8331" t="s">
        <v>136</v>
      </c>
      <c r="E8331" s="711">
        <v>0.13700000000000001</v>
      </c>
    </row>
    <row r="8332" spans="2:5" x14ac:dyDescent="0.3">
      <c r="B8332">
        <v>103036</v>
      </c>
      <c r="C8332" t="s">
        <v>8267</v>
      </c>
      <c r="D8332" t="s">
        <v>136</v>
      </c>
      <c r="E8332" s="711">
        <v>0.13020000000000001</v>
      </c>
    </row>
    <row r="8333" spans="2:5" x14ac:dyDescent="0.3">
      <c r="B8333">
        <v>103040</v>
      </c>
      <c r="C8333" t="s">
        <v>8268</v>
      </c>
      <c r="D8333" t="s">
        <v>136</v>
      </c>
      <c r="E8333" s="711">
        <v>0.1449</v>
      </c>
    </row>
    <row r="8334" spans="2:5" x14ac:dyDescent="0.3">
      <c r="B8334">
        <v>90371</v>
      </c>
      <c r="C8334" t="s">
        <v>8269</v>
      </c>
      <c r="D8334" t="s">
        <v>136</v>
      </c>
      <c r="E8334" s="711">
        <v>0.1608</v>
      </c>
    </row>
    <row r="8335" spans="2:5" x14ac:dyDescent="0.3">
      <c r="B8335">
        <v>103047</v>
      </c>
      <c r="C8335" t="s">
        <v>8270</v>
      </c>
      <c r="D8335" t="s">
        <v>136</v>
      </c>
      <c r="E8335" s="711">
        <v>0.153</v>
      </c>
    </row>
    <row r="8336" spans="2:5" x14ac:dyDescent="0.3">
      <c r="B8336">
        <v>94489</v>
      </c>
      <c r="C8336" t="s">
        <v>8271</v>
      </c>
      <c r="D8336" t="s">
        <v>136</v>
      </c>
      <c r="E8336" s="711">
        <v>0.1142</v>
      </c>
    </row>
    <row r="8337" spans="2:5" x14ac:dyDescent="0.3">
      <c r="B8337">
        <v>94490</v>
      </c>
      <c r="C8337" t="s">
        <v>8272</v>
      </c>
      <c r="D8337" t="s">
        <v>136</v>
      </c>
      <c r="E8337" s="711">
        <v>7.6700000000000004E-2</v>
      </c>
    </row>
    <row r="8338" spans="2:5" x14ac:dyDescent="0.3">
      <c r="B8338">
        <v>94491</v>
      </c>
      <c r="C8338" t="s">
        <v>8273</v>
      </c>
      <c r="D8338" t="s">
        <v>136</v>
      </c>
      <c r="E8338" s="711">
        <v>8.0399999999999999E-2</v>
      </c>
    </row>
    <row r="8339" spans="2:5" x14ac:dyDescent="0.3">
      <c r="B8339">
        <v>94492</v>
      </c>
      <c r="C8339" t="s">
        <v>8274</v>
      </c>
      <c r="D8339" t="s">
        <v>136</v>
      </c>
      <c r="E8339" s="711">
        <v>7.8100000000000003E-2</v>
      </c>
    </row>
    <row r="8340" spans="2:5" x14ac:dyDescent="0.3">
      <c r="B8340">
        <v>94493</v>
      </c>
      <c r="C8340" t="s">
        <v>8275</v>
      </c>
      <c r="D8340" t="s">
        <v>136</v>
      </c>
      <c r="E8340" s="711">
        <v>6.9099999999999995E-2</v>
      </c>
    </row>
    <row r="8341" spans="2:5" x14ac:dyDescent="0.3">
      <c r="B8341">
        <v>94497</v>
      </c>
      <c r="C8341" t="s">
        <v>8276</v>
      </c>
      <c r="D8341" t="s">
        <v>136</v>
      </c>
      <c r="E8341" s="711">
        <v>9.7900000000000001E-2</v>
      </c>
    </row>
    <row r="8342" spans="2:5" x14ac:dyDescent="0.3">
      <c r="B8342">
        <v>94794</v>
      </c>
      <c r="C8342" t="s">
        <v>8277</v>
      </c>
      <c r="D8342" t="s">
        <v>136</v>
      </c>
      <c r="E8342" s="711">
        <v>8.8099999999999998E-2</v>
      </c>
    </row>
    <row r="8343" spans="2:5" x14ac:dyDescent="0.3">
      <c r="B8343">
        <v>94496</v>
      </c>
      <c r="C8343" t="s">
        <v>8278</v>
      </c>
      <c r="D8343" t="s">
        <v>136</v>
      </c>
      <c r="E8343" s="711">
        <v>9.5200000000000007E-2</v>
      </c>
    </row>
    <row r="8344" spans="2:5" x14ac:dyDescent="0.3">
      <c r="B8344">
        <v>94793</v>
      </c>
      <c r="C8344" t="s">
        <v>8279</v>
      </c>
      <c r="D8344" t="s">
        <v>136</v>
      </c>
      <c r="E8344" s="711">
        <v>7.7899999999999997E-2</v>
      </c>
    </row>
    <row r="8345" spans="2:5" x14ac:dyDescent="0.3">
      <c r="B8345">
        <v>94495</v>
      </c>
      <c r="C8345" t="s">
        <v>8280</v>
      </c>
      <c r="D8345" t="s">
        <v>136</v>
      </c>
      <c r="E8345" s="711">
        <v>9.5299999999999996E-2</v>
      </c>
    </row>
    <row r="8346" spans="2:5" x14ac:dyDescent="0.3">
      <c r="B8346">
        <v>94792</v>
      </c>
      <c r="C8346" t="s">
        <v>8281</v>
      </c>
      <c r="D8346" t="s">
        <v>136</v>
      </c>
      <c r="E8346" s="711">
        <v>8.8700000000000001E-2</v>
      </c>
    </row>
    <row r="8347" spans="2:5" x14ac:dyDescent="0.3">
      <c r="B8347">
        <v>89352</v>
      </c>
      <c r="C8347" t="s">
        <v>8282</v>
      </c>
      <c r="D8347" t="s">
        <v>136</v>
      </c>
      <c r="E8347" s="711">
        <v>7.8E-2</v>
      </c>
    </row>
    <row r="8348" spans="2:5" x14ac:dyDescent="0.3">
      <c r="B8348">
        <v>89986</v>
      </c>
      <c r="C8348" t="s">
        <v>8283</v>
      </c>
      <c r="D8348" t="s">
        <v>136</v>
      </c>
      <c r="E8348" s="711">
        <v>8.6599999999999996E-2</v>
      </c>
    </row>
    <row r="8349" spans="2:5" x14ac:dyDescent="0.3">
      <c r="B8349">
        <v>94499</v>
      </c>
      <c r="C8349" t="s">
        <v>8284</v>
      </c>
      <c r="D8349" t="s">
        <v>136</v>
      </c>
      <c r="E8349" s="711">
        <v>6.0999999999999999E-2</v>
      </c>
    </row>
    <row r="8350" spans="2:5" x14ac:dyDescent="0.3">
      <c r="B8350">
        <v>94498</v>
      </c>
      <c r="C8350" t="s">
        <v>8285</v>
      </c>
      <c r="D8350" t="s">
        <v>136</v>
      </c>
      <c r="E8350" s="711">
        <v>9.1399999999999995E-2</v>
      </c>
    </row>
    <row r="8351" spans="2:5" x14ac:dyDescent="0.3">
      <c r="B8351">
        <v>94500</v>
      </c>
      <c r="C8351" t="s">
        <v>8286</v>
      </c>
      <c r="D8351" t="s">
        <v>136</v>
      </c>
      <c r="E8351" s="711">
        <v>6.3E-2</v>
      </c>
    </row>
    <row r="8352" spans="2:5" x14ac:dyDescent="0.3">
      <c r="B8352">
        <v>89353</v>
      </c>
      <c r="C8352" t="s">
        <v>8287</v>
      </c>
      <c r="D8352" t="s">
        <v>136</v>
      </c>
      <c r="E8352" s="711">
        <v>0.1096</v>
      </c>
    </row>
    <row r="8353" spans="2:5" x14ac:dyDescent="0.3">
      <c r="B8353">
        <v>89987</v>
      </c>
      <c r="C8353" t="s">
        <v>8288</v>
      </c>
      <c r="D8353" t="s">
        <v>136</v>
      </c>
      <c r="E8353" s="711">
        <v>9.2200000000000004E-2</v>
      </c>
    </row>
    <row r="8354" spans="2:5" x14ac:dyDescent="0.3">
      <c r="B8354">
        <v>94501</v>
      </c>
      <c r="C8354" t="s">
        <v>8289</v>
      </c>
      <c r="D8354" t="s">
        <v>136</v>
      </c>
      <c r="E8354" s="711">
        <v>3.9300000000000002E-2</v>
      </c>
    </row>
    <row r="8355" spans="2:5" x14ac:dyDescent="0.3">
      <c r="B8355">
        <v>89349</v>
      </c>
      <c r="C8355" t="s">
        <v>8290</v>
      </c>
      <c r="D8355" t="s">
        <v>136</v>
      </c>
      <c r="E8355" s="711">
        <v>0.1066</v>
      </c>
    </row>
    <row r="8356" spans="2:5" x14ac:dyDescent="0.3">
      <c r="B8356">
        <v>89984</v>
      </c>
      <c r="C8356" t="s">
        <v>8291</v>
      </c>
      <c r="D8356" t="s">
        <v>136</v>
      </c>
      <c r="E8356" s="711">
        <v>8.43E-2</v>
      </c>
    </row>
    <row r="8357" spans="2:5" x14ac:dyDescent="0.3">
      <c r="B8357">
        <v>89985</v>
      </c>
      <c r="C8357" t="s">
        <v>8292</v>
      </c>
      <c r="D8357" t="s">
        <v>136</v>
      </c>
      <c r="E8357" s="711">
        <v>9.7199999999999995E-2</v>
      </c>
    </row>
    <row r="8358" spans="2:5" x14ac:dyDescent="0.3">
      <c r="B8358">
        <v>89351</v>
      </c>
      <c r="C8358" t="s">
        <v>8293</v>
      </c>
      <c r="D8358" t="s">
        <v>136</v>
      </c>
      <c r="E8358" s="711">
        <v>0.13289999999999999</v>
      </c>
    </row>
    <row r="8359" spans="2:5" x14ac:dyDescent="0.3">
      <c r="B8359">
        <v>103045</v>
      </c>
      <c r="C8359" t="s">
        <v>8294</v>
      </c>
      <c r="D8359" t="s">
        <v>136</v>
      </c>
      <c r="E8359" s="711">
        <v>0.3236</v>
      </c>
    </row>
    <row r="8360" spans="2:5" x14ac:dyDescent="0.3">
      <c r="B8360">
        <v>103046</v>
      </c>
      <c r="C8360" t="s">
        <v>8295</v>
      </c>
      <c r="D8360" t="s">
        <v>136</v>
      </c>
      <c r="E8360" s="711">
        <v>0.20610000000000001</v>
      </c>
    </row>
    <row r="8361" spans="2:5" x14ac:dyDescent="0.3">
      <c r="B8361">
        <v>103048</v>
      </c>
      <c r="C8361" t="s">
        <v>8296</v>
      </c>
      <c r="D8361" t="s">
        <v>136</v>
      </c>
      <c r="E8361" s="711">
        <v>0.2051</v>
      </c>
    </row>
    <row r="8362" spans="2:5" x14ac:dyDescent="0.3">
      <c r="B8362">
        <v>103049</v>
      </c>
      <c r="C8362" t="s">
        <v>8297</v>
      </c>
      <c r="D8362" t="s">
        <v>136</v>
      </c>
      <c r="E8362" s="711">
        <v>0.1736</v>
      </c>
    </row>
    <row r="8363" spans="2:5" x14ac:dyDescent="0.3">
      <c r="B8363">
        <v>103029</v>
      </c>
      <c r="C8363" t="s">
        <v>8298</v>
      </c>
      <c r="D8363" t="s">
        <v>136</v>
      </c>
      <c r="E8363" s="711">
        <v>9.5600000000000004E-2</v>
      </c>
    </row>
    <row r="8364" spans="2:5" x14ac:dyDescent="0.3">
      <c r="B8364">
        <v>103019</v>
      </c>
      <c r="C8364" t="s">
        <v>8299</v>
      </c>
      <c r="D8364" t="s">
        <v>136</v>
      </c>
      <c r="E8364" s="711">
        <v>0.1363</v>
      </c>
    </row>
    <row r="8365" spans="2:5" x14ac:dyDescent="0.3">
      <c r="B8365">
        <v>103050</v>
      </c>
      <c r="C8365" t="s">
        <v>8300</v>
      </c>
      <c r="D8365" t="s">
        <v>136</v>
      </c>
      <c r="E8365" s="711">
        <v>0.76780000000000004</v>
      </c>
    </row>
    <row r="8366" spans="2:5" x14ac:dyDescent="0.3">
      <c r="B8366">
        <v>103051</v>
      </c>
      <c r="C8366" t="s">
        <v>8301</v>
      </c>
      <c r="D8366" t="s">
        <v>136</v>
      </c>
      <c r="E8366" s="711">
        <v>0.77380000000000004</v>
      </c>
    </row>
    <row r="8367" spans="2:5" x14ac:dyDescent="0.3">
      <c r="B8367">
        <v>103052</v>
      </c>
      <c r="C8367" t="s">
        <v>8302</v>
      </c>
      <c r="D8367" t="s">
        <v>136</v>
      </c>
      <c r="E8367" s="711">
        <v>0.71109999999999995</v>
      </c>
    </row>
    <row r="8368" spans="2:5" x14ac:dyDescent="0.3">
      <c r="B8368">
        <v>94799</v>
      </c>
      <c r="C8368" t="s">
        <v>8303</v>
      </c>
      <c r="D8368" t="s">
        <v>136</v>
      </c>
      <c r="E8368" s="711">
        <v>8.43E-2</v>
      </c>
    </row>
    <row r="8369" spans="2:5" x14ac:dyDescent="0.3">
      <c r="B8369">
        <v>94798</v>
      </c>
      <c r="C8369" t="s">
        <v>8304</v>
      </c>
      <c r="D8369" t="s">
        <v>136</v>
      </c>
      <c r="E8369" s="711">
        <v>7.9299999999999995E-2</v>
      </c>
    </row>
    <row r="8370" spans="2:5" x14ac:dyDescent="0.3">
      <c r="B8370">
        <v>94797</v>
      </c>
      <c r="C8370" t="s">
        <v>8305</v>
      </c>
      <c r="D8370" t="s">
        <v>136</v>
      </c>
      <c r="E8370" s="711">
        <v>9.7299999999999998E-2</v>
      </c>
    </row>
    <row r="8371" spans="2:5" x14ac:dyDescent="0.3">
      <c r="B8371">
        <v>94795</v>
      </c>
      <c r="C8371" t="s">
        <v>8306</v>
      </c>
      <c r="D8371" t="s">
        <v>136</v>
      </c>
      <c r="E8371" s="711">
        <v>0.1124</v>
      </c>
    </row>
    <row r="8372" spans="2:5" x14ac:dyDescent="0.3">
      <c r="B8372">
        <v>94800</v>
      </c>
      <c r="C8372" t="s">
        <v>8307</v>
      </c>
      <c r="D8372" t="s">
        <v>136</v>
      </c>
      <c r="E8372" s="711">
        <v>8.48E-2</v>
      </c>
    </row>
    <row r="8373" spans="2:5" x14ac:dyDescent="0.3">
      <c r="B8373">
        <v>94796</v>
      </c>
      <c r="C8373" t="s">
        <v>8308</v>
      </c>
      <c r="D8373" t="s">
        <v>136</v>
      </c>
      <c r="E8373" s="711">
        <v>0.1525</v>
      </c>
    </row>
    <row r="8374" spans="2:5" x14ac:dyDescent="0.3">
      <c r="B8374">
        <v>99635</v>
      </c>
      <c r="C8374" t="s">
        <v>8309</v>
      </c>
      <c r="D8374" t="s">
        <v>136</v>
      </c>
      <c r="E8374" s="711">
        <v>0.10340000000000001</v>
      </c>
    </row>
    <row r="8375" spans="2:5" x14ac:dyDescent="0.3">
      <c r="B8375">
        <v>103018</v>
      </c>
      <c r="C8375" t="s">
        <v>8310</v>
      </c>
      <c r="D8375" t="s">
        <v>136</v>
      </c>
      <c r="E8375" s="711">
        <v>0.1099</v>
      </c>
    </row>
    <row r="8376" spans="2:5" x14ac:dyDescent="0.3">
      <c r="B8376">
        <v>95252</v>
      </c>
      <c r="C8376" t="s">
        <v>8311</v>
      </c>
      <c r="D8376" t="s">
        <v>136</v>
      </c>
      <c r="E8376" s="711">
        <v>6.9099999999999995E-2</v>
      </c>
    </row>
    <row r="8377" spans="2:5" x14ac:dyDescent="0.3">
      <c r="B8377">
        <v>95251</v>
      </c>
      <c r="C8377" t="s">
        <v>8312</v>
      </c>
      <c r="D8377" t="s">
        <v>136</v>
      </c>
      <c r="E8377" s="711">
        <v>6.4199999999999993E-2</v>
      </c>
    </row>
    <row r="8378" spans="2:5" x14ac:dyDescent="0.3">
      <c r="B8378">
        <v>95250</v>
      </c>
      <c r="C8378" t="s">
        <v>8313</v>
      </c>
      <c r="D8378" t="s">
        <v>136</v>
      </c>
      <c r="E8378" s="711">
        <v>6.9800000000000001E-2</v>
      </c>
    </row>
    <row r="8379" spans="2:5" x14ac:dyDescent="0.3">
      <c r="B8379">
        <v>95248</v>
      </c>
      <c r="C8379" t="s">
        <v>8314</v>
      </c>
      <c r="D8379" t="s">
        <v>136</v>
      </c>
      <c r="E8379" s="711">
        <v>5.3499999999999999E-2</v>
      </c>
    </row>
    <row r="8380" spans="2:5" x14ac:dyDescent="0.3">
      <c r="B8380">
        <v>95253</v>
      </c>
      <c r="C8380" t="s">
        <v>8315</v>
      </c>
      <c r="D8380" t="s">
        <v>136</v>
      </c>
      <c r="E8380" s="711">
        <v>5.8500000000000003E-2</v>
      </c>
    </row>
    <row r="8381" spans="2:5" x14ac:dyDescent="0.3">
      <c r="B8381">
        <v>95249</v>
      </c>
      <c r="C8381" t="s">
        <v>8316</v>
      </c>
      <c r="D8381" t="s">
        <v>136</v>
      </c>
      <c r="E8381" s="711">
        <v>6.9900000000000004E-2</v>
      </c>
    </row>
    <row r="8382" spans="2:5" x14ac:dyDescent="0.3">
      <c r="B8382">
        <v>99622</v>
      </c>
      <c r="C8382" t="s">
        <v>8317</v>
      </c>
      <c r="D8382" t="s">
        <v>136</v>
      </c>
      <c r="E8382" s="711">
        <v>4.8300000000000003E-2</v>
      </c>
    </row>
    <row r="8383" spans="2:5" x14ac:dyDescent="0.3">
      <c r="B8383">
        <v>99621</v>
      </c>
      <c r="C8383" t="s">
        <v>8318</v>
      </c>
      <c r="D8383" t="s">
        <v>136</v>
      </c>
      <c r="E8383" s="711">
        <v>4.1700000000000001E-2</v>
      </c>
    </row>
    <row r="8384" spans="2:5" x14ac:dyDescent="0.3">
      <c r="B8384">
        <v>99620</v>
      </c>
      <c r="C8384" t="s">
        <v>8319</v>
      </c>
      <c r="D8384" t="s">
        <v>136</v>
      </c>
      <c r="E8384" s="711">
        <v>4.5600000000000002E-2</v>
      </c>
    </row>
    <row r="8385" spans="2:5" x14ac:dyDescent="0.3">
      <c r="B8385">
        <v>103008</v>
      </c>
      <c r="C8385" t="s">
        <v>8320</v>
      </c>
      <c r="D8385" t="s">
        <v>136</v>
      </c>
      <c r="E8385" s="711">
        <v>3.6700000000000003E-2</v>
      </c>
    </row>
    <row r="8386" spans="2:5" x14ac:dyDescent="0.3">
      <c r="B8386">
        <v>99624</v>
      </c>
      <c r="C8386" t="s">
        <v>8321</v>
      </c>
      <c r="D8386" t="s">
        <v>136</v>
      </c>
      <c r="E8386" s="711">
        <v>4.19E-2</v>
      </c>
    </row>
    <row r="8387" spans="2:5" x14ac:dyDescent="0.3">
      <c r="B8387">
        <v>99623</v>
      </c>
      <c r="C8387" t="s">
        <v>8322</v>
      </c>
      <c r="D8387" t="s">
        <v>136</v>
      </c>
      <c r="E8387" s="711">
        <v>4.4600000000000001E-2</v>
      </c>
    </row>
    <row r="8388" spans="2:5" x14ac:dyDescent="0.3">
      <c r="B8388">
        <v>99625</v>
      </c>
      <c r="C8388" t="s">
        <v>8323</v>
      </c>
      <c r="D8388" t="s">
        <v>136</v>
      </c>
      <c r="E8388" s="711">
        <v>3.8100000000000002E-2</v>
      </c>
    </row>
    <row r="8389" spans="2:5" x14ac:dyDescent="0.3">
      <c r="B8389">
        <v>99619</v>
      </c>
      <c r="C8389" t="s">
        <v>8324</v>
      </c>
      <c r="D8389" t="s">
        <v>136</v>
      </c>
      <c r="E8389" s="711">
        <v>4.5900000000000003E-2</v>
      </c>
    </row>
    <row r="8390" spans="2:5" x14ac:dyDescent="0.3">
      <c r="B8390">
        <v>99626</v>
      </c>
      <c r="C8390" t="s">
        <v>8325</v>
      </c>
      <c r="D8390" t="s">
        <v>136</v>
      </c>
      <c r="E8390" s="711">
        <v>3.1399999999999997E-2</v>
      </c>
    </row>
    <row r="8391" spans="2:5" x14ac:dyDescent="0.3">
      <c r="B8391">
        <v>99631</v>
      </c>
      <c r="C8391" t="s">
        <v>8326</v>
      </c>
      <c r="D8391" t="s">
        <v>136</v>
      </c>
      <c r="E8391" s="711">
        <v>8.6900000000000005E-2</v>
      </c>
    </row>
    <row r="8392" spans="2:5" x14ac:dyDescent="0.3">
      <c r="B8392">
        <v>99630</v>
      </c>
      <c r="C8392" t="s">
        <v>8327</v>
      </c>
      <c r="D8392" t="s">
        <v>136</v>
      </c>
      <c r="E8392" s="711">
        <v>7.7600000000000002E-2</v>
      </c>
    </row>
    <row r="8393" spans="2:5" x14ac:dyDescent="0.3">
      <c r="B8393">
        <v>99629</v>
      </c>
      <c r="C8393" t="s">
        <v>8328</v>
      </c>
      <c r="D8393" t="s">
        <v>136</v>
      </c>
      <c r="E8393" s="711">
        <v>8.48E-2</v>
      </c>
    </row>
    <row r="8394" spans="2:5" x14ac:dyDescent="0.3">
      <c r="B8394">
        <v>99627</v>
      </c>
      <c r="C8394" t="s">
        <v>8329</v>
      </c>
      <c r="D8394" t="s">
        <v>136</v>
      </c>
      <c r="E8394" s="711">
        <v>4.9700000000000001E-2</v>
      </c>
    </row>
    <row r="8395" spans="2:5" x14ac:dyDescent="0.3">
      <c r="B8395">
        <v>103009</v>
      </c>
      <c r="C8395" t="s">
        <v>8330</v>
      </c>
      <c r="D8395" t="s">
        <v>136</v>
      </c>
      <c r="E8395" s="711">
        <v>6.5799999999999997E-2</v>
      </c>
    </row>
    <row r="8396" spans="2:5" x14ac:dyDescent="0.3">
      <c r="B8396">
        <v>99632</v>
      </c>
      <c r="C8396" t="s">
        <v>8331</v>
      </c>
      <c r="D8396" t="s">
        <v>136</v>
      </c>
      <c r="E8396" s="711">
        <v>7.7799999999999994E-2</v>
      </c>
    </row>
    <row r="8397" spans="2:5" x14ac:dyDescent="0.3">
      <c r="B8397">
        <v>99633</v>
      </c>
      <c r="C8397" t="s">
        <v>8332</v>
      </c>
      <c r="D8397" t="s">
        <v>136</v>
      </c>
      <c r="E8397" s="711">
        <v>6.0699999999999997E-2</v>
      </c>
    </row>
    <row r="8398" spans="2:5" x14ac:dyDescent="0.3">
      <c r="B8398">
        <v>99628</v>
      </c>
      <c r="C8398" t="s">
        <v>8333</v>
      </c>
      <c r="D8398" t="s">
        <v>136</v>
      </c>
      <c r="E8398" s="711">
        <v>6.9800000000000001E-2</v>
      </c>
    </row>
    <row r="8399" spans="2:5" x14ac:dyDescent="0.3">
      <c r="B8399">
        <v>99634</v>
      </c>
      <c r="C8399" t="s">
        <v>8334</v>
      </c>
      <c r="D8399" t="s">
        <v>136</v>
      </c>
      <c r="E8399" s="711">
        <v>4.5100000000000001E-2</v>
      </c>
    </row>
    <row r="8400" spans="2:5" x14ac:dyDescent="0.3">
      <c r="B8400">
        <v>103013</v>
      </c>
      <c r="C8400" t="s">
        <v>8335</v>
      </c>
      <c r="D8400" t="s">
        <v>136</v>
      </c>
      <c r="E8400" s="711">
        <v>4.6899999999999997E-2</v>
      </c>
    </row>
    <row r="8401" spans="2:5" x14ac:dyDescent="0.3">
      <c r="B8401">
        <v>103012</v>
      </c>
      <c r="C8401" t="s">
        <v>8336</v>
      </c>
      <c r="D8401" t="s">
        <v>136</v>
      </c>
      <c r="E8401" s="711">
        <v>3.8699999999999998E-2</v>
      </c>
    </row>
    <row r="8402" spans="2:5" x14ac:dyDescent="0.3">
      <c r="B8402">
        <v>103011</v>
      </c>
      <c r="C8402" t="s">
        <v>8337</v>
      </c>
      <c r="D8402" t="s">
        <v>136</v>
      </c>
      <c r="E8402" s="711">
        <v>4.48E-2</v>
      </c>
    </row>
    <row r="8403" spans="2:5" x14ac:dyDescent="0.3">
      <c r="B8403">
        <v>103015</v>
      </c>
      <c r="C8403" t="s">
        <v>8338</v>
      </c>
      <c r="D8403" t="s">
        <v>136</v>
      </c>
      <c r="E8403" s="711">
        <v>3.04E-2</v>
      </c>
    </row>
    <row r="8404" spans="2:5" x14ac:dyDescent="0.3">
      <c r="B8404">
        <v>103014</v>
      </c>
      <c r="C8404" t="s">
        <v>8339</v>
      </c>
      <c r="D8404" t="s">
        <v>136</v>
      </c>
      <c r="E8404" s="711">
        <v>4.02E-2</v>
      </c>
    </row>
    <row r="8405" spans="2:5" x14ac:dyDescent="0.3">
      <c r="B8405">
        <v>103016</v>
      </c>
      <c r="C8405" t="s">
        <v>8340</v>
      </c>
      <c r="D8405" t="s">
        <v>136</v>
      </c>
      <c r="E8405" s="711">
        <v>2.7900000000000001E-2</v>
      </c>
    </row>
    <row r="8406" spans="2:5" x14ac:dyDescent="0.3">
      <c r="B8406">
        <v>103010</v>
      </c>
      <c r="C8406" t="s">
        <v>8341</v>
      </c>
      <c r="D8406" t="s">
        <v>136</v>
      </c>
      <c r="E8406" s="711">
        <v>3.7100000000000001E-2</v>
      </c>
    </row>
    <row r="8407" spans="2:5" x14ac:dyDescent="0.3">
      <c r="B8407">
        <v>103017</v>
      </c>
      <c r="C8407" t="s">
        <v>8342</v>
      </c>
      <c r="D8407" t="s">
        <v>136</v>
      </c>
      <c r="E8407" s="711">
        <v>2.0299999999999999E-2</v>
      </c>
    </row>
    <row r="8408" spans="2:5" x14ac:dyDescent="0.3">
      <c r="E8408" s="711"/>
    </row>
    <row r="8409" spans="2:5" x14ac:dyDescent="0.3">
      <c r="E8409" s="711"/>
    </row>
    <row r="8410" spans="2:5" x14ac:dyDescent="0.3">
      <c r="E8410" s="711"/>
    </row>
  </sheetData>
  <pageMargins left="0.51180555555555596" right="0.51180555555555596" top="0.78749999999999998" bottom="0.78749999999999998" header="0.511811023622047" footer="0.511811023622047"/>
  <pageSetup paperSize="9" orientation="portrait" horizontalDpi="300" verticalDpi="30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G854"/>
  <sheetViews>
    <sheetView zoomScale="85" zoomScaleNormal="85" workbookViewId="0">
      <selection activeCell="H24" sqref="H24"/>
    </sheetView>
  </sheetViews>
  <sheetFormatPr defaultColWidth="14.44140625" defaultRowHeight="14.4" x14ac:dyDescent="0.3"/>
  <cols>
    <col min="1" max="1" width="20.44140625" customWidth="1"/>
    <col min="2" max="2" width="53.44140625" customWidth="1"/>
    <col min="3" max="3" width="16.5546875" customWidth="1"/>
    <col min="4" max="4" width="4.5546875" customWidth="1"/>
    <col min="5" max="6" width="6.88671875" customWidth="1"/>
    <col min="7" max="7" width="18.109375" customWidth="1"/>
  </cols>
  <sheetData>
    <row r="1" spans="1:7" ht="15.6" x14ac:dyDescent="0.3">
      <c r="A1" s="810" t="s">
        <v>13211</v>
      </c>
      <c r="B1" s="810"/>
      <c r="C1" s="810"/>
      <c r="D1" s="810"/>
      <c r="E1" s="810"/>
      <c r="F1" s="810"/>
      <c r="G1" s="810"/>
    </row>
    <row r="2" spans="1:7" x14ac:dyDescent="0.3">
      <c r="A2" s="406" t="s">
        <v>13212</v>
      </c>
      <c r="B2" s="811"/>
      <c r="C2" s="811"/>
      <c r="D2" s="407" t="s">
        <v>13213</v>
      </c>
      <c r="E2" s="408"/>
      <c r="F2" s="409" t="s">
        <v>13214</v>
      </c>
      <c r="G2" s="410"/>
    </row>
    <row r="3" spans="1:7" ht="31.5" customHeight="1" x14ac:dyDescent="0.3">
      <c r="A3" s="411" t="s">
        <v>13215</v>
      </c>
      <c r="B3" s="812" t="str">
        <f>orcamento!D3</f>
        <v>Objeto: Execução de Obras de Pavimentação e Redes de Drenagem na Rua Giruá</v>
      </c>
      <c r="C3" s="812"/>
      <c r="D3" s="812"/>
      <c r="E3" s="812"/>
      <c r="F3" s="812"/>
      <c r="G3" s="812"/>
    </row>
    <row r="4" spans="1:7" x14ac:dyDescent="0.3">
      <c r="A4" s="406" t="s">
        <v>13216</v>
      </c>
      <c r="B4" s="813" t="str">
        <f>orcamento!D2</f>
        <v>SECRETARIA MUNICIPAL DE OBRAS E INFRAESTRUTURA</v>
      </c>
      <c r="C4" s="813"/>
      <c r="D4" s="813"/>
      <c r="E4" s="813"/>
      <c r="F4" s="409" t="s">
        <v>13217</v>
      </c>
      <c r="G4" s="412" t="s">
        <v>13218</v>
      </c>
    </row>
    <row r="5" spans="1:7" x14ac:dyDescent="0.3">
      <c r="A5" s="406" t="s">
        <v>13219</v>
      </c>
      <c r="B5" s="413"/>
      <c r="C5" s="406" t="s">
        <v>13220</v>
      </c>
      <c r="D5" s="406"/>
      <c r="E5" s="406"/>
      <c r="F5" s="814"/>
      <c r="G5" s="814"/>
    </row>
    <row r="6" spans="1:7" x14ac:dyDescent="0.3">
      <c r="A6" s="406" t="s">
        <v>13221</v>
      </c>
      <c r="B6" s="414">
        <v>824861.5500000004</v>
      </c>
      <c r="C6" s="415"/>
      <c r="D6" s="415"/>
      <c r="E6" s="234"/>
      <c r="F6" s="415"/>
      <c r="G6" s="416"/>
    </row>
    <row r="7" spans="1:7" x14ac:dyDescent="0.3">
      <c r="A7" s="406" t="s">
        <v>13222</v>
      </c>
      <c r="B7" s="414">
        <f>'Proposta-TCE'!C6</f>
        <v>824861.5500000004</v>
      </c>
      <c r="C7" s="417"/>
      <c r="D7" s="415"/>
      <c r="E7" s="234"/>
      <c r="F7" s="415"/>
      <c r="G7" s="416"/>
    </row>
    <row r="8" spans="1:7" x14ac:dyDescent="0.3">
      <c r="A8" s="406" t="s">
        <v>13223</v>
      </c>
      <c r="B8" s="418">
        <f>COUNT('Orçamento-TCE'!B12:B38202)</f>
        <v>160</v>
      </c>
      <c r="C8" s="415"/>
      <c r="D8" s="415"/>
      <c r="E8" s="234"/>
      <c r="F8" s="415"/>
      <c r="G8" s="416"/>
    </row>
    <row r="9" spans="1:7" x14ac:dyDescent="0.3">
      <c r="A9" s="419"/>
      <c r="B9" s="420"/>
      <c r="C9" s="415"/>
      <c r="D9" s="415"/>
      <c r="E9" s="234"/>
      <c r="F9" s="415"/>
      <c r="G9" s="416"/>
    </row>
    <row r="10" spans="1:7" x14ac:dyDescent="0.3">
      <c r="A10" s="419"/>
      <c r="B10" s="420"/>
      <c r="C10" s="415"/>
      <c r="D10" s="415"/>
      <c r="E10" s="234"/>
      <c r="F10" s="415"/>
      <c r="G10" s="416"/>
    </row>
    <row r="11" spans="1:7" ht="13.5" customHeight="1" x14ac:dyDescent="0.3">
      <c r="A11" s="808" t="s">
        <v>13224</v>
      </c>
      <c r="B11" s="809" t="s">
        <v>13225</v>
      </c>
      <c r="C11" s="422" t="s">
        <v>13226</v>
      </c>
      <c r="D11" s="423"/>
      <c r="E11" s="423"/>
      <c r="F11" s="423"/>
      <c r="G11" s="422" t="s">
        <v>13227</v>
      </c>
    </row>
    <row r="12" spans="1:7" x14ac:dyDescent="0.3">
      <c r="A12" s="808"/>
      <c r="B12" s="809"/>
      <c r="C12" s="424" t="s">
        <v>13228</v>
      </c>
      <c r="D12" s="423"/>
      <c r="E12" s="425"/>
      <c r="F12" s="425"/>
      <c r="G12" s="424" t="s">
        <v>13228</v>
      </c>
    </row>
    <row r="13" spans="1:7" ht="28.8" x14ac:dyDescent="0.3">
      <c r="A13" s="426">
        <v>1</v>
      </c>
      <c r="B13" s="427" t="str">
        <f>B3</f>
        <v>Objeto: Execução de Obras de Pavimentação e Redes de Drenagem na Rua Giruá</v>
      </c>
      <c r="C13" s="428">
        <f>B6</f>
        <v>824861.5500000004</v>
      </c>
      <c r="D13" s="429"/>
      <c r="E13" s="430"/>
      <c r="F13" s="430"/>
      <c r="G13" s="428">
        <f>SUMIF('Proposta-TCE'!$A$12:$A$38424,'Identificação-TCE'!$A13,'Proposta-TCE'!$H$12:$H$38424)</f>
        <v>824861.5500000004</v>
      </c>
    </row>
    <row r="14" spans="1:7" x14ac:dyDescent="0.3">
      <c r="A14" s="431"/>
      <c r="B14" s="427"/>
      <c r="C14" s="428"/>
      <c r="D14" s="429"/>
      <c r="E14" s="430"/>
      <c r="F14" s="430"/>
      <c r="G14" s="428"/>
    </row>
    <row r="15" spans="1:7" x14ac:dyDescent="0.3">
      <c r="A15" s="431"/>
      <c r="B15" s="427"/>
      <c r="C15" s="428"/>
      <c r="D15" s="429"/>
      <c r="E15" s="430"/>
      <c r="F15" s="430"/>
      <c r="G15" s="428"/>
    </row>
    <row r="16" spans="1:7" x14ac:dyDescent="0.3">
      <c r="A16" s="431"/>
      <c r="B16" s="427"/>
      <c r="C16" s="428"/>
      <c r="D16" s="429"/>
      <c r="E16" s="430"/>
      <c r="F16" s="430"/>
      <c r="G16" s="428"/>
    </row>
    <row r="17" spans="1:7" x14ac:dyDescent="0.3">
      <c r="A17" s="431"/>
      <c r="B17" s="427"/>
      <c r="C17" s="428"/>
      <c r="D17" s="429"/>
      <c r="E17" s="430"/>
      <c r="F17" s="430"/>
      <c r="G17" s="428"/>
    </row>
    <row r="18" spans="1:7" x14ac:dyDescent="0.3">
      <c r="A18" s="431"/>
      <c r="B18" s="427"/>
      <c r="C18" s="428"/>
      <c r="D18" s="429"/>
      <c r="E18" s="430"/>
      <c r="F18" s="430"/>
      <c r="G18" s="428"/>
    </row>
    <row r="19" spans="1:7" ht="15.75" customHeight="1" x14ac:dyDescent="0.3">
      <c r="A19" s="416"/>
      <c r="B19" s="415"/>
      <c r="C19" s="432"/>
      <c r="D19" s="432"/>
    </row>
    <row r="20" spans="1:7" ht="15.75" customHeight="1" x14ac:dyDescent="0.3">
      <c r="A20" s="416"/>
      <c r="B20" s="415"/>
      <c r="C20" s="432"/>
      <c r="D20" s="432"/>
    </row>
    <row r="21" spans="1:7" ht="15.75" customHeight="1" x14ac:dyDescent="0.3">
      <c r="A21" s="416"/>
      <c r="B21" s="415"/>
      <c r="C21" s="432"/>
      <c r="D21" s="432"/>
    </row>
    <row r="22" spans="1:7" ht="15.75" customHeight="1" x14ac:dyDescent="0.3">
      <c r="A22" s="416"/>
      <c r="B22" s="415"/>
      <c r="C22" s="432"/>
      <c r="D22" s="432"/>
    </row>
    <row r="23" spans="1:7" ht="15.75" customHeight="1" x14ac:dyDescent="0.3">
      <c r="A23" s="416"/>
      <c r="B23" s="415"/>
      <c r="C23" s="432"/>
      <c r="D23" s="432"/>
    </row>
    <row r="24" spans="1:7" ht="15.75" customHeight="1" x14ac:dyDescent="0.3">
      <c r="A24" s="416"/>
      <c r="B24" s="415"/>
      <c r="C24" s="432"/>
      <c r="D24" s="432"/>
    </row>
    <row r="25" spans="1:7" ht="15.75" customHeight="1" x14ac:dyDescent="0.3">
      <c r="A25" s="416"/>
      <c r="B25" s="415"/>
      <c r="C25" s="432"/>
      <c r="D25" s="432"/>
    </row>
    <row r="26" spans="1:7" ht="15.75" customHeight="1" x14ac:dyDescent="0.3">
      <c r="A26" s="416"/>
      <c r="B26" s="415"/>
      <c r="C26" s="432"/>
      <c r="D26" s="432"/>
    </row>
    <row r="27" spans="1:7" ht="15.75" customHeight="1" x14ac:dyDescent="0.3">
      <c r="A27" s="416"/>
      <c r="B27" s="415"/>
      <c r="C27" s="432"/>
      <c r="D27" s="432"/>
    </row>
    <row r="28" spans="1:7" ht="15.75" customHeight="1" x14ac:dyDescent="0.3">
      <c r="A28" s="416"/>
      <c r="B28" s="415"/>
      <c r="C28" s="432"/>
      <c r="D28" s="432"/>
    </row>
    <row r="29" spans="1:7" ht="15.75" customHeight="1" x14ac:dyDescent="0.3">
      <c r="A29" s="416"/>
      <c r="B29" s="415"/>
      <c r="C29" s="432"/>
      <c r="D29" s="432"/>
    </row>
    <row r="30" spans="1:7" ht="15.75" customHeight="1" x14ac:dyDescent="0.3">
      <c r="A30" s="416"/>
      <c r="B30" s="415"/>
      <c r="C30" s="432"/>
      <c r="D30" s="432"/>
    </row>
    <row r="31" spans="1:7" ht="15.75" customHeight="1" x14ac:dyDescent="0.3">
      <c r="A31" s="416"/>
      <c r="B31" s="415"/>
      <c r="C31" s="432"/>
      <c r="D31" s="432"/>
    </row>
    <row r="32" spans="1:7" ht="15.75" customHeight="1" x14ac:dyDescent="0.3">
      <c r="A32" s="416"/>
      <c r="B32" s="415"/>
      <c r="C32" s="432"/>
      <c r="D32" s="432"/>
    </row>
    <row r="33" spans="1:4" ht="15.75" customHeight="1" x14ac:dyDescent="0.3">
      <c r="A33" s="416"/>
      <c r="B33" s="415"/>
      <c r="C33" s="432"/>
      <c r="D33" s="432"/>
    </row>
    <row r="34" spans="1:4" ht="15.75" customHeight="1" x14ac:dyDescent="0.3">
      <c r="A34" s="416"/>
      <c r="B34" s="415"/>
      <c r="C34" s="432"/>
      <c r="D34" s="432"/>
    </row>
    <row r="35" spans="1:4" ht="15.75" customHeight="1" x14ac:dyDescent="0.3">
      <c r="A35" s="416"/>
      <c r="B35" s="415"/>
      <c r="C35" s="432"/>
      <c r="D35" s="432"/>
    </row>
    <row r="36" spans="1:4" ht="15.75" customHeight="1" x14ac:dyDescent="0.3">
      <c r="A36" s="416"/>
      <c r="B36" s="415"/>
      <c r="C36" s="432"/>
      <c r="D36" s="432"/>
    </row>
    <row r="37" spans="1:4" ht="15.75" customHeight="1" x14ac:dyDescent="0.3">
      <c r="A37" s="416"/>
      <c r="B37" s="415"/>
      <c r="C37" s="432"/>
      <c r="D37" s="432"/>
    </row>
    <row r="38" spans="1:4" ht="15.75" customHeight="1" x14ac:dyDescent="0.3">
      <c r="A38" s="416"/>
      <c r="B38" s="415"/>
      <c r="C38" s="432"/>
      <c r="D38" s="432"/>
    </row>
    <row r="39" spans="1:4" ht="15.75" customHeight="1" x14ac:dyDescent="0.3">
      <c r="A39" s="416"/>
      <c r="B39" s="415"/>
      <c r="C39" s="432"/>
      <c r="D39" s="432"/>
    </row>
    <row r="40" spans="1:4" ht="15.75" customHeight="1" x14ac:dyDescent="0.3">
      <c r="A40" s="416"/>
      <c r="B40" s="415"/>
      <c r="C40" s="432"/>
      <c r="D40" s="432"/>
    </row>
    <row r="41" spans="1:4" ht="15.75" customHeight="1" x14ac:dyDescent="0.3">
      <c r="A41" s="416"/>
      <c r="B41" s="415"/>
      <c r="C41" s="432"/>
      <c r="D41" s="432"/>
    </row>
    <row r="42" spans="1:4" ht="15.75" customHeight="1" x14ac:dyDescent="0.3">
      <c r="A42" s="416"/>
      <c r="B42" s="415"/>
      <c r="C42" s="432"/>
      <c r="D42" s="432"/>
    </row>
    <row r="43" spans="1:4" ht="15.75" customHeight="1" x14ac:dyDescent="0.3">
      <c r="A43" s="416"/>
      <c r="B43" s="415"/>
      <c r="C43" s="432"/>
      <c r="D43" s="432"/>
    </row>
    <row r="44" spans="1:4" ht="15.75" customHeight="1" x14ac:dyDescent="0.3">
      <c r="A44" s="416"/>
      <c r="B44" s="415"/>
      <c r="C44" s="432"/>
      <c r="D44" s="432"/>
    </row>
    <row r="45" spans="1:4" ht="15.75" customHeight="1" x14ac:dyDescent="0.3">
      <c r="A45" s="416"/>
      <c r="B45" s="415"/>
      <c r="C45" s="432"/>
      <c r="D45" s="432"/>
    </row>
    <row r="46" spans="1:4" ht="15.75" customHeight="1" x14ac:dyDescent="0.3">
      <c r="A46" s="416"/>
      <c r="B46" s="415"/>
      <c r="C46" s="432"/>
      <c r="D46" s="432"/>
    </row>
    <row r="47" spans="1:4" ht="15.75" customHeight="1" x14ac:dyDescent="0.3">
      <c r="A47" s="416"/>
      <c r="B47" s="415"/>
      <c r="C47" s="432"/>
      <c r="D47" s="432"/>
    </row>
    <row r="48" spans="1:4" ht="15.75" customHeight="1" x14ac:dyDescent="0.3">
      <c r="A48" s="416"/>
      <c r="B48" s="415"/>
      <c r="C48" s="432"/>
      <c r="D48" s="432"/>
    </row>
    <row r="49" spans="1:4" ht="15.75" customHeight="1" x14ac:dyDescent="0.3">
      <c r="A49" s="416"/>
      <c r="B49" s="415"/>
      <c r="C49" s="432"/>
      <c r="D49" s="432"/>
    </row>
    <row r="50" spans="1:4" ht="15.75" customHeight="1" x14ac:dyDescent="0.3">
      <c r="A50" s="416"/>
      <c r="B50" s="415"/>
      <c r="C50" s="432"/>
      <c r="D50" s="432"/>
    </row>
    <row r="51" spans="1:4" ht="15.75" customHeight="1" x14ac:dyDescent="0.3">
      <c r="A51" s="416"/>
      <c r="B51" s="415"/>
      <c r="C51" s="432"/>
      <c r="D51" s="432"/>
    </row>
    <row r="52" spans="1:4" ht="15.75" customHeight="1" x14ac:dyDescent="0.3">
      <c r="A52" s="416"/>
      <c r="B52" s="415"/>
      <c r="C52" s="432"/>
      <c r="D52" s="432"/>
    </row>
    <row r="53" spans="1:4" ht="15.75" customHeight="1" x14ac:dyDescent="0.3">
      <c r="A53" s="416"/>
      <c r="B53" s="415"/>
      <c r="C53" s="432"/>
      <c r="D53" s="432"/>
    </row>
    <row r="54" spans="1:4" ht="15.75" customHeight="1" x14ac:dyDescent="0.3">
      <c r="A54" s="416"/>
      <c r="B54" s="415"/>
      <c r="C54" s="432"/>
      <c r="D54" s="432"/>
    </row>
    <row r="55" spans="1:4" ht="15.75" customHeight="1" x14ac:dyDescent="0.3">
      <c r="A55" s="416"/>
      <c r="B55" s="415"/>
      <c r="C55" s="432"/>
      <c r="D55" s="432"/>
    </row>
    <row r="56" spans="1:4" ht="15.75" customHeight="1" x14ac:dyDescent="0.3">
      <c r="A56" s="416"/>
      <c r="B56" s="415"/>
      <c r="C56" s="432"/>
      <c r="D56" s="432"/>
    </row>
    <row r="57" spans="1:4" ht="15.75" customHeight="1" x14ac:dyDescent="0.3">
      <c r="A57" s="416"/>
      <c r="B57" s="415"/>
      <c r="C57" s="432"/>
      <c r="D57" s="432"/>
    </row>
    <row r="58" spans="1:4" ht="15.75" customHeight="1" x14ac:dyDescent="0.3">
      <c r="A58" s="416"/>
      <c r="B58" s="415"/>
      <c r="C58" s="432"/>
      <c r="D58" s="432"/>
    </row>
    <row r="59" spans="1:4" ht="15.75" customHeight="1" x14ac:dyDescent="0.3">
      <c r="A59" s="416"/>
      <c r="B59" s="415"/>
      <c r="C59" s="432"/>
      <c r="D59" s="432"/>
    </row>
    <row r="60" spans="1:4" ht="15.75" customHeight="1" x14ac:dyDescent="0.3">
      <c r="A60" s="416"/>
      <c r="B60" s="415"/>
      <c r="C60" s="432"/>
      <c r="D60" s="432"/>
    </row>
    <row r="61" spans="1:4" ht="15.75" customHeight="1" x14ac:dyDescent="0.3">
      <c r="A61" s="416"/>
      <c r="B61" s="415"/>
      <c r="C61" s="432"/>
      <c r="D61" s="432"/>
    </row>
    <row r="62" spans="1:4" ht="15.75" customHeight="1" x14ac:dyDescent="0.3">
      <c r="A62" s="416"/>
      <c r="B62" s="415"/>
      <c r="C62" s="432"/>
      <c r="D62" s="432"/>
    </row>
    <row r="63" spans="1:4" ht="15.75" customHeight="1" x14ac:dyDescent="0.3">
      <c r="A63" s="416"/>
      <c r="B63" s="415"/>
      <c r="C63" s="432"/>
      <c r="D63" s="432"/>
    </row>
    <row r="64" spans="1:4" ht="15.75" customHeight="1" x14ac:dyDescent="0.3">
      <c r="A64" s="416"/>
      <c r="B64" s="415"/>
      <c r="C64" s="432"/>
      <c r="D64" s="432"/>
    </row>
    <row r="65" spans="1:4" ht="15.75" customHeight="1" x14ac:dyDescent="0.3">
      <c r="A65" s="416"/>
      <c r="B65" s="415"/>
      <c r="C65" s="432"/>
      <c r="D65" s="432"/>
    </row>
    <row r="66" spans="1:4" ht="15.75" customHeight="1" x14ac:dyDescent="0.3">
      <c r="A66" s="416"/>
      <c r="B66" s="415"/>
      <c r="C66" s="432"/>
      <c r="D66" s="432"/>
    </row>
    <row r="67" spans="1:4" ht="15.75" customHeight="1" x14ac:dyDescent="0.3">
      <c r="A67" s="416"/>
      <c r="B67" s="415"/>
      <c r="C67" s="432"/>
      <c r="D67" s="432"/>
    </row>
    <row r="68" spans="1:4" ht="15.75" customHeight="1" x14ac:dyDescent="0.3">
      <c r="A68" s="416"/>
      <c r="B68" s="415"/>
      <c r="C68" s="432"/>
      <c r="D68" s="432"/>
    </row>
    <row r="69" spans="1:4" ht="15.75" customHeight="1" x14ac:dyDescent="0.3">
      <c r="A69" s="416"/>
      <c r="B69" s="415"/>
      <c r="C69" s="432"/>
      <c r="D69" s="432"/>
    </row>
    <row r="70" spans="1:4" ht="15.75" customHeight="1" x14ac:dyDescent="0.3">
      <c r="A70" s="416"/>
      <c r="B70" s="415"/>
      <c r="C70" s="432"/>
      <c r="D70" s="432"/>
    </row>
    <row r="71" spans="1:4" ht="15.75" customHeight="1" x14ac:dyDescent="0.3">
      <c r="A71" s="416"/>
      <c r="B71" s="415"/>
      <c r="C71" s="432"/>
      <c r="D71" s="432"/>
    </row>
    <row r="72" spans="1:4" ht="15.75" customHeight="1" x14ac:dyDescent="0.3">
      <c r="A72" s="416"/>
      <c r="B72" s="415"/>
      <c r="C72" s="432"/>
      <c r="D72" s="432"/>
    </row>
    <row r="73" spans="1:4" ht="15.75" customHeight="1" x14ac:dyDescent="0.3">
      <c r="A73" s="416"/>
      <c r="B73" s="415"/>
      <c r="C73" s="432"/>
      <c r="D73" s="432"/>
    </row>
    <row r="74" spans="1:4" ht="15.75" customHeight="1" x14ac:dyDescent="0.3">
      <c r="A74" s="416"/>
      <c r="B74" s="415"/>
      <c r="C74" s="432"/>
      <c r="D74" s="432"/>
    </row>
    <row r="75" spans="1:4" ht="15.75" customHeight="1" x14ac:dyDescent="0.3">
      <c r="A75" s="416"/>
      <c r="B75" s="415"/>
      <c r="C75" s="432"/>
      <c r="D75" s="432"/>
    </row>
    <row r="76" spans="1:4" ht="15.75" customHeight="1" x14ac:dyDescent="0.3">
      <c r="A76" s="416"/>
      <c r="B76" s="415"/>
      <c r="C76" s="432"/>
      <c r="D76" s="432"/>
    </row>
    <row r="77" spans="1:4" ht="15.75" customHeight="1" x14ac:dyDescent="0.3">
      <c r="A77" s="416"/>
      <c r="B77" s="415"/>
      <c r="C77" s="432"/>
      <c r="D77" s="432"/>
    </row>
    <row r="78" spans="1:4" ht="15.75" customHeight="1" x14ac:dyDescent="0.3">
      <c r="A78" s="416"/>
      <c r="B78" s="415"/>
      <c r="C78" s="432"/>
      <c r="D78" s="432"/>
    </row>
    <row r="79" spans="1:4" ht="15.75" customHeight="1" x14ac:dyDescent="0.3">
      <c r="A79" s="416"/>
      <c r="B79" s="415"/>
      <c r="C79" s="432"/>
      <c r="D79" s="432"/>
    </row>
    <row r="80" spans="1:4" ht="15.75" customHeight="1" x14ac:dyDescent="0.3">
      <c r="A80" s="416"/>
      <c r="B80" s="415"/>
      <c r="C80" s="432"/>
      <c r="D80" s="432"/>
    </row>
    <row r="81" spans="1:4" ht="15.75" customHeight="1" x14ac:dyDescent="0.3">
      <c r="A81" s="416"/>
      <c r="B81" s="415"/>
      <c r="C81" s="432"/>
      <c r="D81" s="432"/>
    </row>
    <row r="82" spans="1:4" ht="15.75" customHeight="1" x14ac:dyDescent="0.3">
      <c r="A82" s="416"/>
      <c r="B82" s="415"/>
      <c r="C82" s="432"/>
      <c r="D82" s="432"/>
    </row>
    <row r="83" spans="1:4" ht="15.75" customHeight="1" x14ac:dyDescent="0.3">
      <c r="A83" s="416"/>
      <c r="B83" s="415"/>
      <c r="C83" s="432"/>
      <c r="D83" s="432"/>
    </row>
    <row r="84" spans="1:4" ht="15.75" customHeight="1" x14ac:dyDescent="0.3">
      <c r="A84" s="416"/>
      <c r="B84" s="415"/>
      <c r="C84" s="432"/>
      <c r="D84" s="432"/>
    </row>
    <row r="85" spans="1:4" ht="15.75" customHeight="1" x14ac:dyDescent="0.3">
      <c r="A85" s="416"/>
      <c r="B85" s="415"/>
      <c r="C85" s="432"/>
      <c r="D85" s="432"/>
    </row>
    <row r="86" spans="1:4" ht="15.75" customHeight="1" x14ac:dyDescent="0.3">
      <c r="A86" s="416"/>
      <c r="B86" s="415"/>
      <c r="C86" s="432"/>
      <c r="D86" s="432"/>
    </row>
    <row r="87" spans="1:4" ht="15.75" customHeight="1" x14ac:dyDescent="0.3">
      <c r="A87" s="416"/>
      <c r="B87" s="415"/>
      <c r="C87" s="432"/>
      <c r="D87" s="432"/>
    </row>
    <row r="88" spans="1:4" ht="15.75" customHeight="1" x14ac:dyDescent="0.3">
      <c r="A88" s="416"/>
      <c r="B88" s="415"/>
      <c r="C88" s="432"/>
      <c r="D88" s="432"/>
    </row>
    <row r="89" spans="1:4" ht="15.75" customHeight="1" x14ac:dyDescent="0.3">
      <c r="A89" s="416"/>
      <c r="B89" s="415"/>
      <c r="C89" s="432"/>
      <c r="D89" s="432"/>
    </row>
    <row r="90" spans="1:4" ht="15.75" customHeight="1" x14ac:dyDescent="0.3">
      <c r="A90" s="416"/>
      <c r="B90" s="415"/>
      <c r="C90" s="432"/>
      <c r="D90" s="432"/>
    </row>
    <row r="91" spans="1:4" ht="15.75" customHeight="1" x14ac:dyDescent="0.3">
      <c r="A91" s="416"/>
      <c r="B91" s="415"/>
      <c r="C91" s="432"/>
      <c r="D91" s="432"/>
    </row>
    <row r="92" spans="1:4" ht="15.75" customHeight="1" x14ac:dyDescent="0.3">
      <c r="A92" s="416"/>
      <c r="B92" s="415"/>
      <c r="C92" s="432"/>
      <c r="D92" s="432"/>
    </row>
    <row r="93" spans="1:4" ht="15.75" customHeight="1" x14ac:dyDescent="0.3">
      <c r="A93" s="416"/>
      <c r="B93" s="415"/>
      <c r="C93" s="432"/>
      <c r="D93" s="432"/>
    </row>
    <row r="94" spans="1:4" ht="15.75" customHeight="1" x14ac:dyDescent="0.3">
      <c r="A94" s="416"/>
      <c r="B94" s="415"/>
      <c r="C94" s="432"/>
      <c r="D94" s="432"/>
    </row>
    <row r="95" spans="1:4" ht="15.75" customHeight="1" x14ac:dyDescent="0.3">
      <c r="A95" s="416"/>
      <c r="B95" s="415"/>
      <c r="C95" s="432"/>
      <c r="D95" s="432"/>
    </row>
    <row r="96" spans="1:4" ht="15.75" customHeight="1" x14ac:dyDescent="0.3">
      <c r="A96" s="416"/>
      <c r="B96" s="415"/>
      <c r="C96" s="432"/>
      <c r="D96" s="432"/>
    </row>
    <row r="97" spans="1:4" ht="15.75" customHeight="1" x14ac:dyDescent="0.3">
      <c r="A97" s="416"/>
      <c r="B97" s="415"/>
      <c r="C97" s="432"/>
      <c r="D97" s="432"/>
    </row>
    <row r="98" spans="1:4" ht="15.75" customHeight="1" x14ac:dyDescent="0.3">
      <c r="A98" s="416"/>
      <c r="B98" s="415"/>
      <c r="C98" s="432"/>
      <c r="D98" s="432"/>
    </row>
    <row r="99" spans="1:4" ht="15.75" customHeight="1" x14ac:dyDescent="0.3">
      <c r="A99" s="416"/>
      <c r="B99" s="415"/>
      <c r="C99" s="432"/>
      <c r="D99" s="432"/>
    </row>
    <row r="100" spans="1:4" ht="15.75" customHeight="1" x14ac:dyDescent="0.3">
      <c r="A100" s="416"/>
      <c r="B100" s="415"/>
      <c r="C100" s="432"/>
      <c r="D100" s="432"/>
    </row>
    <row r="101" spans="1:4" ht="15.75" customHeight="1" x14ac:dyDescent="0.3">
      <c r="A101" s="416"/>
      <c r="B101" s="415"/>
      <c r="C101" s="432"/>
      <c r="D101" s="432"/>
    </row>
    <row r="102" spans="1:4" ht="15.75" customHeight="1" x14ac:dyDescent="0.3">
      <c r="A102" s="416"/>
      <c r="B102" s="415"/>
      <c r="C102" s="432"/>
      <c r="D102" s="432"/>
    </row>
    <row r="103" spans="1:4" ht="15.75" customHeight="1" x14ac:dyDescent="0.3">
      <c r="A103" s="416"/>
      <c r="B103" s="415"/>
      <c r="C103" s="432"/>
      <c r="D103" s="432"/>
    </row>
    <row r="104" spans="1:4" ht="15.75" customHeight="1" x14ac:dyDescent="0.3">
      <c r="A104" s="416"/>
      <c r="B104" s="415"/>
      <c r="C104" s="432"/>
      <c r="D104" s="432"/>
    </row>
    <row r="105" spans="1:4" ht="15.75" customHeight="1" x14ac:dyDescent="0.3">
      <c r="A105" s="416"/>
      <c r="B105" s="415"/>
      <c r="C105" s="432"/>
      <c r="D105" s="432"/>
    </row>
    <row r="106" spans="1:4" ht="15.75" customHeight="1" x14ac:dyDescent="0.3">
      <c r="A106" s="416"/>
      <c r="B106" s="415"/>
      <c r="C106" s="432"/>
      <c r="D106" s="432"/>
    </row>
    <row r="107" spans="1:4" ht="15.75" customHeight="1" x14ac:dyDescent="0.3">
      <c r="A107" s="416"/>
      <c r="B107" s="415"/>
      <c r="C107" s="432"/>
      <c r="D107" s="432"/>
    </row>
    <row r="108" spans="1:4" ht="15.75" customHeight="1" x14ac:dyDescent="0.3">
      <c r="A108" s="416"/>
      <c r="B108" s="415"/>
      <c r="C108" s="432"/>
      <c r="D108" s="432"/>
    </row>
    <row r="109" spans="1:4" ht="15.75" customHeight="1" x14ac:dyDescent="0.3">
      <c r="A109" s="416"/>
      <c r="B109" s="415"/>
      <c r="C109" s="432"/>
      <c r="D109" s="432"/>
    </row>
    <row r="110" spans="1:4" ht="15.75" customHeight="1" x14ac:dyDescent="0.3">
      <c r="A110" s="416"/>
      <c r="B110" s="415"/>
      <c r="C110" s="432"/>
      <c r="D110" s="432"/>
    </row>
    <row r="111" spans="1:4" ht="15.75" customHeight="1" x14ac:dyDescent="0.3">
      <c r="A111" s="416"/>
      <c r="B111" s="415"/>
      <c r="C111" s="432"/>
      <c r="D111" s="432"/>
    </row>
    <row r="112" spans="1:4" ht="15.75" customHeight="1" x14ac:dyDescent="0.3">
      <c r="A112" s="416"/>
      <c r="B112" s="415"/>
      <c r="C112" s="432"/>
      <c r="D112" s="432"/>
    </row>
    <row r="113" spans="1:4" ht="15.75" customHeight="1" x14ac:dyDescent="0.3">
      <c r="A113" s="416"/>
      <c r="B113" s="415"/>
      <c r="C113" s="432"/>
      <c r="D113" s="432"/>
    </row>
    <row r="114" spans="1:4" ht="15.75" customHeight="1" x14ac:dyDescent="0.3">
      <c r="A114" s="416"/>
      <c r="B114" s="415"/>
      <c r="C114" s="432"/>
      <c r="D114" s="432"/>
    </row>
    <row r="115" spans="1:4" ht="15.75" customHeight="1" x14ac:dyDescent="0.3">
      <c r="A115" s="416"/>
      <c r="B115" s="415"/>
      <c r="C115" s="432"/>
      <c r="D115" s="432"/>
    </row>
    <row r="116" spans="1:4" ht="15.75" customHeight="1" x14ac:dyDescent="0.3">
      <c r="A116" s="416"/>
      <c r="B116" s="415"/>
      <c r="C116" s="432"/>
      <c r="D116" s="432"/>
    </row>
    <row r="117" spans="1:4" ht="15.75" customHeight="1" x14ac:dyDescent="0.3">
      <c r="A117" s="416"/>
      <c r="B117" s="415"/>
      <c r="C117" s="432"/>
      <c r="D117" s="432"/>
    </row>
    <row r="118" spans="1:4" ht="15.75" customHeight="1" x14ac:dyDescent="0.3">
      <c r="A118" s="416"/>
      <c r="B118" s="415"/>
      <c r="C118" s="432"/>
      <c r="D118" s="432"/>
    </row>
    <row r="119" spans="1:4" ht="15.75" customHeight="1" x14ac:dyDescent="0.3">
      <c r="A119" s="416"/>
      <c r="B119" s="415"/>
      <c r="C119" s="432"/>
      <c r="D119" s="432"/>
    </row>
    <row r="120" spans="1:4" ht="15.75" customHeight="1" x14ac:dyDescent="0.3">
      <c r="A120" s="416"/>
      <c r="B120" s="415"/>
      <c r="C120" s="432"/>
      <c r="D120" s="432"/>
    </row>
    <row r="121" spans="1:4" ht="15.75" customHeight="1" x14ac:dyDescent="0.3">
      <c r="A121" s="416"/>
      <c r="B121" s="415"/>
      <c r="C121" s="432"/>
      <c r="D121" s="432"/>
    </row>
    <row r="122" spans="1:4" ht="15.75" customHeight="1" x14ac:dyDescent="0.3">
      <c r="A122" s="416"/>
      <c r="B122" s="415"/>
      <c r="C122" s="432"/>
      <c r="D122" s="432"/>
    </row>
    <row r="123" spans="1:4" ht="15.75" customHeight="1" x14ac:dyDescent="0.3">
      <c r="A123" s="416"/>
      <c r="B123" s="415"/>
      <c r="C123" s="432"/>
      <c r="D123" s="432"/>
    </row>
    <row r="124" spans="1:4" ht="15.75" customHeight="1" x14ac:dyDescent="0.3">
      <c r="A124" s="416"/>
      <c r="B124" s="415"/>
      <c r="C124" s="432"/>
      <c r="D124" s="432"/>
    </row>
    <row r="125" spans="1:4" ht="15.75" customHeight="1" x14ac:dyDescent="0.3">
      <c r="A125" s="416"/>
      <c r="B125" s="415"/>
      <c r="C125" s="432"/>
      <c r="D125" s="432"/>
    </row>
    <row r="126" spans="1:4" ht="15.75" customHeight="1" x14ac:dyDescent="0.3">
      <c r="A126" s="416"/>
      <c r="B126" s="415"/>
      <c r="C126" s="432"/>
      <c r="D126" s="432"/>
    </row>
    <row r="127" spans="1:4" ht="15.75" customHeight="1" x14ac:dyDescent="0.3">
      <c r="A127" s="416"/>
      <c r="B127" s="415"/>
      <c r="C127" s="432"/>
      <c r="D127" s="432"/>
    </row>
    <row r="128" spans="1:4" ht="15.75" customHeight="1" x14ac:dyDescent="0.3">
      <c r="A128" s="416"/>
      <c r="B128" s="415"/>
      <c r="C128" s="432"/>
      <c r="D128" s="432"/>
    </row>
    <row r="129" spans="1:4" ht="15.75" customHeight="1" x14ac:dyDescent="0.3">
      <c r="A129" s="416"/>
      <c r="B129" s="415"/>
      <c r="C129" s="432"/>
      <c r="D129" s="432"/>
    </row>
    <row r="130" spans="1:4" ht="15.75" customHeight="1" x14ac:dyDescent="0.3">
      <c r="A130" s="416"/>
      <c r="B130" s="415"/>
      <c r="C130" s="432"/>
      <c r="D130" s="432"/>
    </row>
    <row r="131" spans="1:4" ht="15.75" customHeight="1" x14ac:dyDescent="0.3">
      <c r="A131" s="416"/>
      <c r="B131" s="415"/>
      <c r="C131" s="432"/>
      <c r="D131" s="432"/>
    </row>
    <row r="132" spans="1:4" ht="15.75" customHeight="1" x14ac:dyDescent="0.3">
      <c r="A132" s="416"/>
      <c r="B132" s="415"/>
      <c r="C132" s="432"/>
      <c r="D132" s="432"/>
    </row>
    <row r="133" spans="1:4" ht="15.75" customHeight="1" x14ac:dyDescent="0.3">
      <c r="A133" s="416"/>
      <c r="B133" s="415"/>
      <c r="C133" s="432"/>
      <c r="D133" s="432"/>
    </row>
    <row r="134" spans="1:4" ht="15.75" customHeight="1" x14ac:dyDescent="0.3">
      <c r="A134" s="416"/>
      <c r="B134" s="415"/>
      <c r="C134" s="432"/>
      <c r="D134" s="432"/>
    </row>
    <row r="135" spans="1:4" ht="15.75" customHeight="1" x14ac:dyDescent="0.3">
      <c r="A135" s="416"/>
      <c r="B135" s="415"/>
      <c r="C135" s="432"/>
      <c r="D135" s="432"/>
    </row>
    <row r="136" spans="1:4" ht="15.75" customHeight="1" x14ac:dyDescent="0.3">
      <c r="A136" s="416"/>
      <c r="B136" s="415"/>
      <c r="C136" s="432"/>
      <c r="D136" s="432"/>
    </row>
    <row r="137" spans="1:4" ht="15.75" customHeight="1" x14ac:dyDescent="0.3">
      <c r="A137" s="416"/>
      <c r="B137" s="415"/>
      <c r="C137" s="432"/>
      <c r="D137" s="432"/>
    </row>
    <row r="138" spans="1:4" ht="15.75" customHeight="1" x14ac:dyDescent="0.3">
      <c r="A138" s="416"/>
      <c r="B138" s="415"/>
      <c r="C138" s="432"/>
      <c r="D138" s="432"/>
    </row>
    <row r="139" spans="1:4" ht="15.75" customHeight="1" x14ac:dyDescent="0.3">
      <c r="A139" s="416"/>
      <c r="B139" s="415"/>
      <c r="C139" s="432"/>
      <c r="D139" s="432"/>
    </row>
    <row r="140" spans="1:4" ht="15.75" customHeight="1" x14ac:dyDescent="0.3">
      <c r="A140" s="416"/>
      <c r="B140" s="415"/>
      <c r="C140" s="432"/>
      <c r="D140" s="432"/>
    </row>
    <row r="141" spans="1:4" ht="15.75" customHeight="1" x14ac:dyDescent="0.3">
      <c r="A141" s="416"/>
      <c r="B141" s="415"/>
      <c r="C141" s="432"/>
      <c r="D141" s="432"/>
    </row>
    <row r="142" spans="1:4" ht="15.75" customHeight="1" x14ac:dyDescent="0.3">
      <c r="A142" s="416"/>
      <c r="B142" s="415"/>
      <c r="C142" s="432"/>
      <c r="D142" s="432"/>
    </row>
    <row r="143" spans="1:4" ht="15.75" customHeight="1" x14ac:dyDescent="0.3">
      <c r="A143" s="416"/>
      <c r="B143" s="415"/>
      <c r="C143" s="432"/>
      <c r="D143" s="432"/>
    </row>
    <row r="144" spans="1:4" ht="15.75" customHeight="1" x14ac:dyDescent="0.3">
      <c r="A144" s="416"/>
      <c r="B144" s="415"/>
      <c r="C144" s="432"/>
      <c r="D144" s="432"/>
    </row>
    <row r="145" spans="1:4" ht="15.75" customHeight="1" x14ac:dyDescent="0.3">
      <c r="A145" s="416"/>
      <c r="B145" s="415"/>
      <c r="C145" s="432"/>
      <c r="D145" s="432"/>
    </row>
    <row r="146" spans="1:4" ht="15.75" customHeight="1" x14ac:dyDescent="0.3">
      <c r="A146" s="416"/>
      <c r="B146" s="415"/>
      <c r="C146" s="432"/>
      <c r="D146" s="432"/>
    </row>
    <row r="147" spans="1:4" ht="15.75" customHeight="1" x14ac:dyDescent="0.3">
      <c r="A147" s="416"/>
      <c r="B147" s="415"/>
      <c r="C147" s="432"/>
      <c r="D147" s="432"/>
    </row>
    <row r="148" spans="1:4" ht="15.75" customHeight="1" x14ac:dyDescent="0.3">
      <c r="A148" s="416"/>
      <c r="B148" s="415"/>
      <c r="C148" s="432"/>
      <c r="D148" s="432"/>
    </row>
    <row r="149" spans="1:4" ht="15.75" customHeight="1" x14ac:dyDescent="0.3">
      <c r="A149" s="416"/>
      <c r="B149" s="415"/>
      <c r="C149" s="432"/>
      <c r="D149" s="432"/>
    </row>
    <row r="150" spans="1:4" ht="15.75" customHeight="1" x14ac:dyDescent="0.3">
      <c r="A150" s="416"/>
      <c r="B150" s="415"/>
      <c r="C150" s="432"/>
      <c r="D150" s="432"/>
    </row>
    <row r="151" spans="1:4" ht="15.75" customHeight="1" x14ac:dyDescent="0.3">
      <c r="A151" s="416"/>
      <c r="B151" s="415"/>
      <c r="C151" s="432"/>
      <c r="D151" s="432"/>
    </row>
    <row r="152" spans="1:4" ht="15.75" customHeight="1" x14ac:dyDescent="0.3">
      <c r="A152" s="416"/>
      <c r="B152" s="415"/>
      <c r="C152" s="432"/>
      <c r="D152" s="432"/>
    </row>
    <row r="153" spans="1:4" ht="15.75" customHeight="1" x14ac:dyDescent="0.3">
      <c r="A153" s="416"/>
      <c r="B153" s="415"/>
      <c r="C153" s="432"/>
      <c r="D153" s="432"/>
    </row>
    <row r="154" spans="1:4" ht="15.75" customHeight="1" x14ac:dyDescent="0.3">
      <c r="A154" s="416"/>
      <c r="B154" s="415"/>
      <c r="C154" s="432"/>
      <c r="D154" s="432"/>
    </row>
    <row r="155" spans="1:4" ht="15.75" customHeight="1" x14ac:dyDescent="0.3">
      <c r="A155" s="416"/>
      <c r="B155" s="415"/>
      <c r="C155" s="432"/>
      <c r="D155" s="432"/>
    </row>
    <row r="156" spans="1:4" ht="15.75" customHeight="1" x14ac:dyDescent="0.3">
      <c r="A156" s="416"/>
      <c r="B156" s="415"/>
      <c r="C156" s="432"/>
      <c r="D156" s="432"/>
    </row>
    <row r="157" spans="1:4" ht="15.75" customHeight="1" x14ac:dyDescent="0.3">
      <c r="A157" s="416"/>
      <c r="B157" s="415"/>
      <c r="C157" s="432"/>
      <c r="D157" s="432"/>
    </row>
    <row r="158" spans="1:4" ht="15.75" customHeight="1" x14ac:dyDescent="0.3">
      <c r="A158" s="416"/>
      <c r="B158" s="415"/>
      <c r="C158" s="432"/>
      <c r="D158" s="432"/>
    </row>
    <row r="159" spans="1:4" ht="15.75" customHeight="1" x14ac:dyDescent="0.3">
      <c r="A159" s="416"/>
      <c r="B159" s="415"/>
      <c r="C159" s="432"/>
      <c r="D159" s="432"/>
    </row>
    <row r="160" spans="1:4" ht="15.75" customHeight="1" x14ac:dyDescent="0.3">
      <c r="A160" s="416"/>
      <c r="B160" s="415"/>
      <c r="C160" s="432"/>
      <c r="D160" s="432"/>
    </row>
    <row r="161" spans="1:4" ht="15.75" customHeight="1" x14ac:dyDescent="0.3">
      <c r="A161" s="416"/>
      <c r="B161" s="415"/>
      <c r="C161" s="432"/>
      <c r="D161" s="432"/>
    </row>
    <row r="162" spans="1:4" ht="15.75" customHeight="1" x14ac:dyDescent="0.3">
      <c r="A162" s="416"/>
      <c r="B162" s="415"/>
      <c r="C162" s="432"/>
      <c r="D162" s="432"/>
    </row>
    <row r="163" spans="1:4" ht="15.75" customHeight="1" x14ac:dyDescent="0.3">
      <c r="A163" s="416"/>
      <c r="B163" s="415"/>
      <c r="C163" s="432"/>
      <c r="D163" s="432"/>
    </row>
    <row r="164" spans="1:4" ht="15.75" customHeight="1" x14ac:dyDescent="0.3">
      <c r="A164" s="416"/>
      <c r="B164" s="415"/>
      <c r="C164" s="432"/>
      <c r="D164" s="432"/>
    </row>
    <row r="165" spans="1:4" ht="15.75" customHeight="1" x14ac:dyDescent="0.3">
      <c r="A165" s="416"/>
      <c r="B165" s="415"/>
      <c r="C165" s="432"/>
      <c r="D165" s="432"/>
    </row>
    <row r="166" spans="1:4" ht="15.75" customHeight="1" x14ac:dyDescent="0.3">
      <c r="A166" s="416"/>
      <c r="B166" s="415"/>
      <c r="C166" s="432"/>
      <c r="D166" s="432"/>
    </row>
    <row r="167" spans="1:4" ht="15.75" customHeight="1" x14ac:dyDescent="0.3">
      <c r="A167" s="416"/>
      <c r="B167" s="415"/>
      <c r="C167" s="432"/>
      <c r="D167" s="432"/>
    </row>
    <row r="168" spans="1:4" ht="15.75" customHeight="1" x14ac:dyDescent="0.3">
      <c r="A168" s="416"/>
      <c r="B168" s="415"/>
      <c r="C168" s="432"/>
      <c r="D168" s="432"/>
    </row>
    <row r="169" spans="1:4" ht="15.75" customHeight="1" x14ac:dyDescent="0.3">
      <c r="A169" s="416"/>
      <c r="B169" s="415"/>
      <c r="C169" s="432"/>
      <c r="D169" s="432"/>
    </row>
    <row r="170" spans="1:4" ht="15.75" customHeight="1" x14ac:dyDescent="0.3">
      <c r="A170" s="416"/>
      <c r="B170" s="415"/>
      <c r="C170" s="432"/>
      <c r="D170" s="432"/>
    </row>
    <row r="171" spans="1:4" ht="15.75" customHeight="1" x14ac:dyDescent="0.3">
      <c r="A171" s="416"/>
      <c r="B171" s="415"/>
      <c r="C171" s="432"/>
      <c r="D171" s="432"/>
    </row>
    <row r="172" spans="1:4" ht="15.75" customHeight="1" x14ac:dyDescent="0.3">
      <c r="A172" s="416"/>
      <c r="B172" s="415"/>
      <c r="C172" s="432"/>
      <c r="D172" s="432"/>
    </row>
    <row r="173" spans="1:4" ht="15.75" customHeight="1" x14ac:dyDescent="0.3">
      <c r="A173" s="416"/>
      <c r="B173" s="415"/>
      <c r="C173" s="432"/>
      <c r="D173" s="432"/>
    </row>
    <row r="174" spans="1:4" ht="15.75" customHeight="1" x14ac:dyDescent="0.3">
      <c r="A174" s="416"/>
      <c r="B174" s="415"/>
      <c r="C174" s="432"/>
      <c r="D174" s="432"/>
    </row>
    <row r="175" spans="1:4" ht="15.75" customHeight="1" x14ac:dyDescent="0.3">
      <c r="A175" s="416"/>
      <c r="B175" s="415"/>
      <c r="C175" s="432"/>
      <c r="D175" s="432"/>
    </row>
    <row r="176" spans="1:4" ht="15.75" customHeight="1" x14ac:dyDescent="0.3">
      <c r="A176" s="416"/>
      <c r="B176" s="415"/>
      <c r="C176" s="432"/>
      <c r="D176" s="432"/>
    </row>
    <row r="177" spans="1:4" ht="15.75" customHeight="1" x14ac:dyDescent="0.3">
      <c r="A177" s="416"/>
      <c r="B177" s="415"/>
      <c r="C177" s="432"/>
      <c r="D177" s="432"/>
    </row>
    <row r="178" spans="1:4" ht="15.75" customHeight="1" x14ac:dyDescent="0.3">
      <c r="A178" s="416"/>
      <c r="B178" s="415"/>
      <c r="C178" s="432"/>
      <c r="D178" s="432"/>
    </row>
    <row r="179" spans="1:4" ht="15.75" customHeight="1" x14ac:dyDescent="0.3">
      <c r="A179" s="416"/>
      <c r="B179" s="415"/>
      <c r="C179" s="432"/>
      <c r="D179" s="432"/>
    </row>
    <row r="180" spans="1:4" ht="15.75" customHeight="1" x14ac:dyDescent="0.3">
      <c r="A180" s="416"/>
      <c r="B180" s="415"/>
      <c r="C180" s="432"/>
      <c r="D180" s="432"/>
    </row>
    <row r="181" spans="1:4" ht="15.75" customHeight="1" x14ac:dyDescent="0.3">
      <c r="A181" s="416"/>
      <c r="B181" s="415"/>
      <c r="C181" s="432"/>
      <c r="D181" s="432"/>
    </row>
    <row r="182" spans="1:4" ht="15.75" customHeight="1" x14ac:dyDescent="0.3">
      <c r="A182" s="416"/>
      <c r="B182" s="415"/>
      <c r="C182" s="432"/>
      <c r="D182" s="432"/>
    </row>
    <row r="183" spans="1:4" ht="15.75" customHeight="1" x14ac:dyDescent="0.3">
      <c r="A183" s="416"/>
      <c r="B183" s="415"/>
      <c r="C183" s="432"/>
      <c r="D183" s="432"/>
    </row>
    <row r="184" spans="1:4" ht="15.75" customHeight="1" x14ac:dyDescent="0.3">
      <c r="A184" s="416"/>
      <c r="B184" s="415"/>
      <c r="C184" s="432"/>
      <c r="D184" s="432"/>
    </row>
    <row r="185" spans="1:4" ht="15.75" customHeight="1" x14ac:dyDescent="0.3">
      <c r="A185" s="416"/>
      <c r="B185" s="415"/>
      <c r="C185" s="432"/>
      <c r="D185" s="432"/>
    </row>
    <row r="186" spans="1:4" ht="15.75" customHeight="1" x14ac:dyDescent="0.3">
      <c r="A186" s="416"/>
      <c r="B186" s="415"/>
      <c r="C186" s="432"/>
      <c r="D186" s="432"/>
    </row>
    <row r="187" spans="1:4" ht="15.75" customHeight="1" x14ac:dyDescent="0.3">
      <c r="A187" s="416"/>
      <c r="B187" s="415"/>
      <c r="C187" s="432"/>
      <c r="D187" s="432"/>
    </row>
    <row r="188" spans="1:4" ht="15.75" customHeight="1" x14ac:dyDescent="0.3">
      <c r="A188" s="416"/>
      <c r="B188" s="415"/>
      <c r="C188" s="432"/>
      <c r="D188" s="432"/>
    </row>
    <row r="189" spans="1:4" ht="15.75" customHeight="1" x14ac:dyDescent="0.3">
      <c r="A189" s="416"/>
      <c r="B189" s="415"/>
      <c r="C189" s="432"/>
      <c r="D189" s="432"/>
    </row>
    <row r="190" spans="1:4" ht="15.75" customHeight="1" x14ac:dyDescent="0.3">
      <c r="A190" s="416"/>
      <c r="B190" s="415"/>
      <c r="C190" s="432"/>
      <c r="D190" s="432"/>
    </row>
    <row r="191" spans="1:4" ht="15.75" customHeight="1" x14ac:dyDescent="0.3">
      <c r="A191" s="416"/>
      <c r="B191" s="415"/>
      <c r="C191" s="432"/>
      <c r="D191" s="432"/>
    </row>
    <row r="192" spans="1:4" ht="15.75" customHeight="1" x14ac:dyDescent="0.3">
      <c r="A192" s="416"/>
      <c r="B192" s="415"/>
      <c r="C192" s="432"/>
      <c r="D192" s="432"/>
    </row>
    <row r="193" spans="1:4" ht="15.75" customHeight="1" x14ac:dyDescent="0.3">
      <c r="A193" s="416"/>
      <c r="B193" s="415"/>
      <c r="C193" s="432"/>
      <c r="D193" s="432"/>
    </row>
    <row r="194" spans="1:4" ht="15.75" customHeight="1" x14ac:dyDescent="0.3">
      <c r="A194" s="416"/>
      <c r="B194" s="415"/>
      <c r="C194" s="432"/>
      <c r="D194" s="432"/>
    </row>
    <row r="195" spans="1:4" ht="15.75" customHeight="1" x14ac:dyDescent="0.3">
      <c r="A195" s="416"/>
      <c r="B195" s="415"/>
      <c r="C195" s="432"/>
      <c r="D195" s="432"/>
    </row>
    <row r="196" spans="1:4" ht="15.75" customHeight="1" x14ac:dyDescent="0.3">
      <c r="A196" s="416"/>
      <c r="B196" s="415"/>
      <c r="C196" s="432"/>
      <c r="D196" s="432"/>
    </row>
    <row r="197" spans="1:4" ht="15.75" customHeight="1" x14ac:dyDescent="0.3">
      <c r="A197" s="416"/>
      <c r="B197" s="415"/>
      <c r="C197" s="432"/>
      <c r="D197" s="432"/>
    </row>
    <row r="198" spans="1:4" ht="15.75" customHeight="1" x14ac:dyDescent="0.3">
      <c r="A198" s="416"/>
      <c r="B198" s="415"/>
      <c r="C198" s="432"/>
      <c r="D198" s="432"/>
    </row>
    <row r="199" spans="1:4" ht="15.75" customHeight="1" x14ac:dyDescent="0.3">
      <c r="A199" s="416"/>
      <c r="B199" s="415"/>
      <c r="C199" s="432"/>
      <c r="D199" s="432"/>
    </row>
    <row r="200" spans="1:4" ht="15.75" customHeight="1" x14ac:dyDescent="0.3">
      <c r="A200" s="416"/>
      <c r="B200" s="415"/>
      <c r="C200" s="432"/>
      <c r="D200" s="432"/>
    </row>
    <row r="201" spans="1:4" ht="15.75" customHeight="1" x14ac:dyDescent="0.3">
      <c r="A201" s="416"/>
      <c r="B201" s="415"/>
      <c r="C201" s="432"/>
      <c r="D201" s="432"/>
    </row>
    <row r="202" spans="1:4" ht="15.75" customHeight="1" x14ac:dyDescent="0.3">
      <c r="A202" s="416"/>
      <c r="B202" s="415"/>
      <c r="C202" s="432"/>
      <c r="D202" s="432"/>
    </row>
    <row r="203" spans="1:4" ht="15.75" customHeight="1" x14ac:dyDescent="0.3">
      <c r="A203" s="416"/>
      <c r="B203" s="415"/>
      <c r="C203" s="432"/>
      <c r="D203" s="432"/>
    </row>
    <row r="204" spans="1:4" ht="15.75" customHeight="1" x14ac:dyDescent="0.3">
      <c r="A204" s="416"/>
      <c r="B204" s="415"/>
      <c r="C204" s="432"/>
      <c r="D204" s="432"/>
    </row>
    <row r="205" spans="1:4" ht="15.75" customHeight="1" x14ac:dyDescent="0.3">
      <c r="A205" s="416"/>
      <c r="B205" s="415"/>
      <c r="C205" s="432"/>
      <c r="D205" s="432"/>
    </row>
    <row r="206" spans="1:4" ht="15.75" customHeight="1" x14ac:dyDescent="0.3">
      <c r="A206" s="416"/>
      <c r="B206" s="415"/>
      <c r="C206" s="432"/>
      <c r="D206" s="432"/>
    </row>
    <row r="207" spans="1:4" ht="15.75" customHeight="1" x14ac:dyDescent="0.3">
      <c r="A207" s="416"/>
      <c r="B207" s="415"/>
      <c r="C207" s="432"/>
      <c r="D207" s="432"/>
    </row>
    <row r="208" spans="1:4" ht="15.75" customHeight="1" x14ac:dyDescent="0.3">
      <c r="A208" s="416"/>
      <c r="B208" s="415"/>
      <c r="C208" s="432"/>
      <c r="D208" s="432"/>
    </row>
    <row r="209" spans="1:4" ht="15.75" customHeight="1" x14ac:dyDescent="0.3">
      <c r="A209" s="416"/>
      <c r="B209" s="415"/>
      <c r="C209" s="432"/>
      <c r="D209" s="432"/>
    </row>
    <row r="210" spans="1:4" ht="15.75" customHeight="1" x14ac:dyDescent="0.3">
      <c r="A210" s="416"/>
      <c r="B210" s="415"/>
      <c r="C210" s="432"/>
      <c r="D210" s="432"/>
    </row>
    <row r="211" spans="1:4" ht="15.75" customHeight="1" x14ac:dyDescent="0.3">
      <c r="A211" s="416"/>
      <c r="B211" s="415"/>
      <c r="C211" s="432"/>
      <c r="D211" s="432"/>
    </row>
    <row r="212" spans="1:4" ht="15.75" customHeight="1" x14ac:dyDescent="0.3">
      <c r="A212" s="416"/>
      <c r="B212" s="415"/>
      <c r="C212" s="432"/>
      <c r="D212" s="432"/>
    </row>
    <row r="213" spans="1:4" ht="15.75" customHeight="1" x14ac:dyDescent="0.3">
      <c r="A213" s="416"/>
      <c r="B213" s="415"/>
      <c r="C213" s="432"/>
      <c r="D213" s="432"/>
    </row>
    <row r="214" spans="1:4" ht="15.75" customHeight="1" x14ac:dyDescent="0.3">
      <c r="A214" s="416"/>
      <c r="B214" s="415"/>
      <c r="C214" s="432"/>
      <c r="D214" s="432"/>
    </row>
    <row r="215" spans="1:4" ht="15.75" customHeight="1" x14ac:dyDescent="0.3">
      <c r="A215" s="416"/>
      <c r="B215" s="415"/>
      <c r="C215" s="432"/>
      <c r="D215" s="432"/>
    </row>
    <row r="216" spans="1:4" ht="15.75" customHeight="1" x14ac:dyDescent="0.3">
      <c r="A216" s="416"/>
      <c r="B216" s="415"/>
      <c r="C216" s="432"/>
      <c r="D216" s="432"/>
    </row>
    <row r="217" spans="1:4" ht="15.75" customHeight="1" x14ac:dyDescent="0.3">
      <c r="A217" s="416"/>
      <c r="B217" s="415"/>
      <c r="C217" s="432"/>
      <c r="D217" s="432"/>
    </row>
    <row r="218" spans="1:4" ht="15.75" customHeight="1" x14ac:dyDescent="0.3">
      <c r="A218" s="416"/>
      <c r="B218" s="415"/>
      <c r="C218" s="432"/>
      <c r="D218" s="432"/>
    </row>
    <row r="219" spans="1:4" ht="15.75" customHeight="1" x14ac:dyDescent="0.3">
      <c r="A219" s="416"/>
      <c r="B219" s="415"/>
      <c r="C219" s="432"/>
      <c r="D219" s="432"/>
    </row>
    <row r="220" spans="1:4" ht="15.75" customHeight="1" x14ac:dyDescent="0.3">
      <c r="A220" s="416"/>
      <c r="B220" s="415"/>
      <c r="C220" s="432"/>
      <c r="D220" s="432"/>
    </row>
    <row r="221" spans="1:4" ht="15.75" customHeight="1" x14ac:dyDescent="0.3">
      <c r="A221" s="416"/>
      <c r="B221" s="415"/>
      <c r="C221" s="432"/>
      <c r="D221" s="432"/>
    </row>
    <row r="222" spans="1:4" ht="15.75" customHeight="1" x14ac:dyDescent="0.3">
      <c r="A222" s="416"/>
      <c r="B222" s="415"/>
      <c r="C222" s="432"/>
      <c r="D222" s="432"/>
    </row>
    <row r="223" spans="1:4" ht="15.75" customHeight="1" x14ac:dyDescent="0.3">
      <c r="A223" s="416"/>
      <c r="B223" s="415"/>
      <c r="C223" s="432"/>
      <c r="D223" s="432"/>
    </row>
    <row r="224" spans="1:4" ht="15.75" customHeight="1" x14ac:dyDescent="0.3">
      <c r="A224" s="416"/>
      <c r="B224" s="415"/>
      <c r="C224" s="432"/>
      <c r="D224" s="432"/>
    </row>
    <row r="225" spans="1:4" ht="15.75" customHeight="1" x14ac:dyDescent="0.3">
      <c r="A225" s="416"/>
      <c r="B225" s="415"/>
      <c r="C225" s="432"/>
      <c r="D225" s="432"/>
    </row>
    <row r="226" spans="1:4" ht="15.75" customHeight="1" x14ac:dyDescent="0.3">
      <c r="A226" s="416"/>
      <c r="B226" s="415"/>
      <c r="C226" s="432"/>
      <c r="D226" s="432"/>
    </row>
    <row r="227" spans="1:4" ht="15.75" customHeight="1" x14ac:dyDescent="0.3">
      <c r="A227" s="416"/>
      <c r="B227" s="415"/>
      <c r="C227" s="432"/>
      <c r="D227" s="432"/>
    </row>
    <row r="228" spans="1:4" ht="15.75" customHeight="1" x14ac:dyDescent="0.3">
      <c r="A228" s="416"/>
      <c r="B228" s="415"/>
      <c r="C228" s="432"/>
      <c r="D228" s="432"/>
    </row>
    <row r="229" spans="1:4" ht="15.75" customHeight="1" x14ac:dyDescent="0.3">
      <c r="A229" s="416"/>
      <c r="B229" s="415"/>
      <c r="C229" s="432"/>
      <c r="D229" s="432"/>
    </row>
    <row r="230" spans="1:4" ht="15.75" customHeight="1" x14ac:dyDescent="0.3">
      <c r="A230" s="416"/>
      <c r="B230" s="415"/>
      <c r="C230" s="432"/>
      <c r="D230" s="432"/>
    </row>
    <row r="231" spans="1:4" ht="15.75" customHeight="1" x14ac:dyDescent="0.3">
      <c r="A231" s="416"/>
      <c r="B231" s="415"/>
      <c r="C231" s="432"/>
      <c r="D231" s="432"/>
    </row>
    <row r="232" spans="1:4" ht="15.75" customHeight="1" x14ac:dyDescent="0.3">
      <c r="A232" s="416"/>
      <c r="B232" s="415"/>
      <c r="C232" s="432"/>
      <c r="D232" s="432"/>
    </row>
    <row r="233" spans="1:4" ht="15.75" customHeight="1" x14ac:dyDescent="0.3">
      <c r="A233" s="416"/>
      <c r="B233" s="415"/>
      <c r="C233" s="432"/>
      <c r="D233" s="432"/>
    </row>
    <row r="234" spans="1:4" ht="15.75" customHeight="1" x14ac:dyDescent="0.3">
      <c r="A234" s="416"/>
      <c r="B234" s="415"/>
      <c r="C234" s="432"/>
      <c r="D234" s="432"/>
    </row>
    <row r="235" spans="1:4" ht="15.75" customHeight="1" x14ac:dyDescent="0.3">
      <c r="A235" s="416"/>
      <c r="B235" s="415"/>
      <c r="C235" s="432"/>
      <c r="D235" s="432"/>
    </row>
    <row r="236" spans="1:4" ht="15.75" customHeight="1" x14ac:dyDescent="0.3">
      <c r="A236" s="416"/>
      <c r="B236" s="415"/>
      <c r="C236" s="432"/>
      <c r="D236" s="432"/>
    </row>
    <row r="237" spans="1:4" ht="15.75" customHeight="1" x14ac:dyDescent="0.3">
      <c r="A237" s="416"/>
      <c r="B237" s="415"/>
      <c r="C237" s="432"/>
      <c r="D237" s="432"/>
    </row>
    <row r="238" spans="1:4" ht="15.75" customHeight="1" x14ac:dyDescent="0.3">
      <c r="A238" s="416"/>
      <c r="B238" s="415"/>
      <c r="C238" s="432"/>
      <c r="D238" s="432"/>
    </row>
    <row r="239" spans="1:4" ht="15.75" customHeight="1" x14ac:dyDescent="0.3">
      <c r="A239" s="416"/>
      <c r="B239" s="415"/>
      <c r="C239" s="432"/>
      <c r="D239" s="432"/>
    </row>
    <row r="240" spans="1:4" ht="15.75" customHeight="1" x14ac:dyDescent="0.3">
      <c r="A240" s="416"/>
      <c r="B240" s="415"/>
      <c r="C240" s="432"/>
      <c r="D240" s="432"/>
    </row>
    <row r="241" spans="1:4" ht="15.75" customHeight="1" x14ac:dyDescent="0.3">
      <c r="A241" s="416"/>
      <c r="B241" s="415"/>
      <c r="C241" s="432"/>
      <c r="D241" s="432"/>
    </row>
    <row r="242" spans="1:4" ht="15.75" customHeight="1" x14ac:dyDescent="0.3">
      <c r="A242" s="416"/>
      <c r="B242" s="415"/>
      <c r="C242" s="432"/>
      <c r="D242" s="432"/>
    </row>
    <row r="243" spans="1:4" ht="15.75" customHeight="1" x14ac:dyDescent="0.3">
      <c r="A243" s="416"/>
      <c r="B243" s="415"/>
      <c r="C243" s="432"/>
      <c r="D243" s="432"/>
    </row>
    <row r="244" spans="1:4" ht="15.75" customHeight="1" x14ac:dyDescent="0.3">
      <c r="A244" s="416"/>
      <c r="B244" s="415"/>
      <c r="C244" s="432"/>
      <c r="D244" s="432"/>
    </row>
    <row r="245" spans="1:4" ht="15.75" customHeight="1" x14ac:dyDescent="0.3">
      <c r="A245" s="416"/>
      <c r="B245" s="415"/>
      <c r="C245" s="432"/>
      <c r="D245" s="432"/>
    </row>
    <row r="246" spans="1:4" ht="15.75" customHeight="1" x14ac:dyDescent="0.3">
      <c r="A246" s="416"/>
      <c r="B246" s="415"/>
      <c r="C246" s="432"/>
      <c r="D246" s="432"/>
    </row>
    <row r="247" spans="1:4" ht="15.75" customHeight="1" x14ac:dyDescent="0.3">
      <c r="A247" s="416"/>
      <c r="B247" s="415"/>
      <c r="C247" s="432"/>
      <c r="D247" s="432"/>
    </row>
    <row r="248" spans="1:4" ht="15.75" customHeight="1" x14ac:dyDescent="0.3">
      <c r="A248" s="416"/>
      <c r="B248" s="415"/>
      <c r="C248" s="432"/>
      <c r="D248" s="432"/>
    </row>
    <row r="249" spans="1:4" ht="15.75" customHeight="1" x14ac:dyDescent="0.3">
      <c r="A249" s="416"/>
      <c r="B249" s="415"/>
      <c r="C249" s="432"/>
      <c r="D249" s="432"/>
    </row>
    <row r="250" spans="1:4" ht="15.75" customHeight="1" x14ac:dyDescent="0.3">
      <c r="A250" s="416"/>
      <c r="B250" s="415"/>
      <c r="C250" s="432"/>
      <c r="D250" s="432"/>
    </row>
    <row r="251" spans="1:4" ht="15.75" customHeight="1" x14ac:dyDescent="0.3">
      <c r="A251" s="416"/>
      <c r="B251" s="415"/>
      <c r="C251" s="432"/>
      <c r="D251" s="432"/>
    </row>
    <row r="252" spans="1:4" ht="15.75" customHeight="1" x14ac:dyDescent="0.3">
      <c r="A252" s="416"/>
      <c r="B252" s="415"/>
      <c r="C252" s="432"/>
      <c r="D252" s="432"/>
    </row>
    <row r="253" spans="1:4" ht="15.75" customHeight="1" x14ac:dyDescent="0.3">
      <c r="A253" s="416"/>
      <c r="B253" s="415"/>
      <c r="C253" s="432"/>
      <c r="D253" s="432"/>
    </row>
    <row r="254" spans="1:4" ht="15.75" customHeight="1" x14ac:dyDescent="0.3">
      <c r="A254" s="416"/>
      <c r="B254" s="415"/>
      <c r="C254" s="432"/>
      <c r="D254" s="432"/>
    </row>
    <row r="255" spans="1:4" ht="15.75" customHeight="1" x14ac:dyDescent="0.3">
      <c r="A255" s="416"/>
      <c r="B255" s="415"/>
      <c r="C255" s="432"/>
      <c r="D255" s="432"/>
    </row>
    <row r="256" spans="1:4" ht="15.75" customHeight="1" x14ac:dyDescent="0.3">
      <c r="A256" s="416"/>
      <c r="B256" s="415"/>
      <c r="C256" s="432"/>
      <c r="D256" s="432"/>
    </row>
    <row r="257" spans="1:4" ht="15.75" customHeight="1" x14ac:dyDescent="0.3">
      <c r="A257" s="416"/>
      <c r="B257" s="415"/>
      <c r="C257" s="432"/>
      <c r="D257" s="432"/>
    </row>
    <row r="258" spans="1:4" ht="15.75" customHeight="1" x14ac:dyDescent="0.3">
      <c r="A258" s="416"/>
      <c r="B258" s="415"/>
      <c r="C258" s="432"/>
      <c r="D258" s="432"/>
    </row>
    <row r="259" spans="1:4" ht="15.75" customHeight="1" x14ac:dyDescent="0.3">
      <c r="A259" s="416"/>
      <c r="B259" s="415"/>
      <c r="C259" s="432"/>
      <c r="D259" s="432"/>
    </row>
    <row r="260" spans="1:4" ht="15.75" customHeight="1" x14ac:dyDescent="0.3">
      <c r="A260" s="416"/>
      <c r="B260" s="415"/>
      <c r="C260" s="432"/>
      <c r="D260" s="432"/>
    </row>
    <row r="261" spans="1:4" ht="15.75" customHeight="1" x14ac:dyDescent="0.3">
      <c r="A261" s="416"/>
      <c r="B261" s="415"/>
      <c r="C261" s="432"/>
      <c r="D261" s="432"/>
    </row>
    <row r="262" spans="1:4" ht="15.75" customHeight="1" x14ac:dyDescent="0.3">
      <c r="A262" s="416"/>
      <c r="B262" s="415"/>
      <c r="C262" s="432"/>
      <c r="D262" s="432"/>
    </row>
    <row r="263" spans="1:4" ht="15.75" customHeight="1" x14ac:dyDescent="0.3">
      <c r="A263" s="416"/>
      <c r="B263" s="415"/>
      <c r="C263" s="432"/>
      <c r="D263" s="432"/>
    </row>
    <row r="264" spans="1:4" ht="15.75" customHeight="1" x14ac:dyDescent="0.3">
      <c r="A264" s="416"/>
      <c r="B264" s="415"/>
      <c r="C264" s="432"/>
      <c r="D264" s="432"/>
    </row>
    <row r="265" spans="1:4" ht="15.75" customHeight="1" x14ac:dyDescent="0.3">
      <c r="A265" s="416"/>
      <c r="B265" s="415"/>
      <c r="C265" s="432"/>
      <c r="D265" s="432"/>
    </row>
    <row r="266" spans="1:4" ht="15.75" customHeight="1" x14ac:dyDescent="0.3">
      <c r="A266" s="416"/>
      <c r="B266" s="415"/>
      <c r="C266" s="432"/>
      <c r="D266" s="432"/>
    </row>
    <row r="267" spans="1:4" ht="15.75" customHeight="1" x14ac:dyDescent="0.3">
      <c r="A267" s="416"/>
      <c r="B267" s="415"/>
      <c r="C267" s="432"/>
      <c r="D267" s="432"/>
    </row>
    <row r="268" spans="1:4" ht="15.75" customHeight="1" x14ac:dyDescent="0.3">
      <c r="A268" s="416"/>
      <c r="B268" s="415"/>
      <c r="C268" s="432"/>
      <c r="D268" s="432"/>
    </row>
    <row r="269" spans="1:4" ht="15.75" customHeight="1" x14ac:dyDescent="0.3">
      <c r="A269" s="416"/>
      <c r="B269" s="415"/>
      <c r="C269" s="432"/>
      <c r="D269" s="432"/>
    </row>
    <row r="270" spans="1:4" ht="15.75" customHeight="1" x14ac:dyDescent="0.3">
      <c r="A270" s="416"/>
      <c r="B270" s="415"/>
      <c r="C270" s="432"/>
      <c r="D270" s="432"/>
    </row>
    <row r="271" spans="1:4" ht="15.75" customHeight="1" x14ac:dyDescent="0.3">
      <c r="A271" s="416"/>
      <c r="B271" s="415"/>
      <c r="C271" s="432"/>
      <c r="D271" s="432"/>
    </row>
    <row r="272" spans="1:4" ht="15.75" customHeight="1" x14ac:dyDescent="0.3">
      <c r="A272" s="416"/>
      <c r="B272" s="415"/>
      <c r="C272" s="432"/>
      <c r="D272" s="432"/>
    </row>
    <row r="273" spans="1:4" ht="15.75" customHeight="1" x14ac:dyDescent="0.3">
      <c r="A273" s="416"/>
      <c r="B273" s="415"/>
      <c r="C273" s="432"/>
      <c r="D273" s="432"/>
    </row>
    <row r="274" spans="1:4" ht="15.75" customHeight="1" x14ac:dyDescent="0.3">
      <c r="A274" s="416"/>
      <c r="B274" s="415"/>
      <c r="C274" s="432"/>
      <c r="D274" s="432"/>
    </row>
    <row r="275" spans="1:4" ht="15.75" customHeight="1" x14ac:dyDescent="0.3">
      <c r="A275" s="416"/>
      <c r="B275" s="415"/>
      <c r="C275" s="432"/>
      <c r="D275" s="432"/>
    </row>
    <row r="276" spans="1:4" ht="15.75" customHeight="1" x14ac:dyDescent="0.3">
      <c r="A276" s="416"/>
      <c r="B276" s="415"/>
      <c r="C276" s="432"/>
      <c r="D276" s="432"/>
    </row>
    <row r="277" spans="1:4" ht="15.75" customHeight="1" x14ac:dyDescent="0.3">
      <c r="A277" s="416"/>
      <c r="B277" s="415"/>
      <c r="C277" s="432"/>
      <c r="D277" s="432"/>
    </row>
    <row r="278" spans="1:4" ht="15.75" customHeight="1" x14ac:dyDescent="0.3">
      <c r="A278" s="416"/>
      <c r="B278" s="415"/>
      <c r="C278" s="432"/>
      <c r="D278" s="432"/>
    </row>
    <row r="279" spans="1:4" ht="15.75" customHeight="1" x14ac:dyDescent="0.3">
      <c r="A279" s="416"/>
      <c r="B279" s="415"/>
      <c r="C279" s="432"/>
      <c r="D279" s="432"/>
    </row>
    <row r="280" spans="1:4" ht="15.75" customHeight="1" x14ac:dyDescent="0.3">
      <c r="A280" s="416"/>
      <c r="B280" s="415"/>
      <c r="C280" s="432"/>
      <c r="D280" s="432"/>
    </row>
    <row r="281" spans="1:4" ht="15.75" customHeight="1" x14ac:dyDescent="0.3">
      <c r="A281" s="416"/>
      <c r="B281" s="415"/>
      <c r="C281" s="432"/>
      <c r="D281" s="432"/>
    </row>
    <row r="282" spans="1:4" ht="15.75" customHeight="1" x14ac:dyDescent="0.3">
      <c r="A282" s="416"/>
      <c r="B282" s="415"/>
      <c r="C282" s="432"/>
      <c r="D282" s="432"/>
    </row>
    <row r="283" spans="1:4" ht="15.75" customHeight="1" x14ac:dyDescent="0.3">
      <c r="A283" s="416"/>
      <c r="B283" s="415"/>
      <c r="C283" s="432"/>
      <c r="D283" s="432"/>
    </row>
    <row r="284" spans="1:4" ht="15.75" customHeight="1" x14ac:dyDescent="0.3">
      <c r="A284" s="416"/>
      <c r="B284" s="415"/>
      <c r="C284" s="432"/>
      <c r="D284" s="432"/>
    </row>
    <row r="285" spans="1:4" ht="15.75" customHeight="1" x14ac:dyDescent="0.3">
      <c r="A285" s="416"/>
      <c r="B285" s="415"/>
      <c r="C285" s="432"/>
      <c r="D285" s="432"/>
    </row>
    <row r="286" spans="1:4" ht="15.75" customHeight="1" x14ac:dyDescent="0.3">
      <c r="A286" s="416"/>
      <c r="B286" s="415"/>
      <c r="C286" s="432"/>
      <c r="D286" s="432"/>
    </row>
    <row r="287" spans="1:4" ht="15.75" customHeight="1" x14ac:dyDescent="0.3">
      <c r="A287" s="416"/>
      <c r="B287" s="415"/>
      <c r="C287" s="432"/>
      <c r="D287" s="432"/>
    </row>
    <row r="288" spans="1:4" ht="15.75" customHeight="1" x14ac:dyDescent="0.3">
      <c r="A288" s="416"/>
      <c r="B288" s="415"/>
      <c r="C288" s="432"/>
      <c r="D288" s="432"/>
    </row>
    <row r="289" spans="1:4" ht="15.75" customHeight="1" x14ac:dyDescent="0.3">
      <c r="A289" s="416"/>
      <c r="B289" s="415"/>
      <c r="C289" s="432"/>
      <c r="D289" s="432"/>
    </row>
    <row r="290" spans="1:4" ht="15.75" customHeight="1" x14ac:dyDescent="0.3">
      <c r="A290" s="416"/>
      <c r="B290" s="415"/>
      <c r="C290" s="432"/>
      <c r="D290" s="432"/>
    </row>
    <row r="291" spans="1:4" ht="15.75" customHeight="1" x14ac:dyDescent="0.3">
      <c r="A291" s="416"/>
      <c r="B291" s="415"/>
      <c r="C291" s="432"/>
      <c r="D291" s="432"/>
    </row>
    <row r="292" spans="1:4" ht="15.75" customHeight="1" x14ac:dyDescent="0.3">
      <c r="A292" s="416"/>
      <c r="B292" s="415"/>
      <c r="C292" s="432"/>
      <c r="D292" s="432"/>
    </row>
    <row r="293" spans="1:4" ht="15.75" customHeight="1" x14ac:dyDescent="0.3">
      <c r="A293" s="416"/>
      <c r="B293" s="415"/>
      <c r="C293" s="432"/>
      <c r="D293" s="432"/>
    </row>
    <row r="294" spans="1:4" ht="15.75" customHeight="1" x14ac:dyDescent="0.3">
      <c r="A294" s="416"/>
      <c r="B294" s="415"/>
      <c r="C294" s="432"/>
      <c r="D294" s="432"/>
    </row>
    <row r="295" spans="1:4" ht="15.75" customHeight="1" x14ac:dyDescent="0.3">
      <c r="A295" s="416"/>
      <c r="B295" s="415"/>
      <c r="C295" s="432"/>
      <c r="D295" s="432"/>
    </row>
    <row r="296" spans="1:4" ht="15.75" customHeight="1" x14ac:dyDescent="0.3">
      <c r="A296" s="416"/>
      <c r="B296" s="415"/>
      <c r="C296" s="432"/>
      <c r="D296" s="432"/>
    </row>
    <row r="297" spans="1:4" ht="15.75" customHeight="1" x14ac:dyDescent="0.3">
      <c r="A297" s="416"/>
      <c r="B297" s="415"/>
      <c r="C297" s="432"/>
      <c r="D297" s="432"/>
    </row>
    <row r="298" spans="1:4" ht="15.75" customHeight="1" x14ac:dyDescent="0.3">
      <c r="A298" s="416"/>
      <c r="B298" s="415"/>
      <c r="C298" s="432"/>
      <c r="D298" s="432"/>
    </row>
    <row r="299" spans="1:4" ht="15.75" customHeight="1" x14ac:dyDescent="0.3">
      <c r="A299" s="416"/>
      <c r="B299" s="415"/>
      <c r="C299" s="432"/>
      <c r="D299" s="432"/>
    </row>
    <row r="300" spans="1:4" ht="15.75" customHeight="1" x14ac:dyDescent="0.3">
      <c r="A300" s="416"/>
      <c r="B300" s="415"/>
      <c r="C300" s="432"/>
      <c r="D300" s="432"/>
    </row>
    <row r="301" spans="1:4" ht="15.75" customHeight="1" x14ac:dyDescent="0.3">
      <c r="A301" s="416"/>
      <c r="B301" s="415"/>
      <c r="C301" s="432"/>
      <c r="D301" s="432"/>
    </row>
    <row r="302" spans="1:4" ht="15.75" customHeight="1" x14ac:dyDescent="0.3">
      <c r="A302" s="416"/>
      <c r="B302" s="415"/>
      <c r="C302" s="432"/>
      <c r="D302" s="432"/>
    </row>
    <row r="303" spans="1:4" ht="15.75" customHeight="1" x14ac:dyDescent="0.3">
      <c r="A303" s="416"/>
      <c r="B303" s="415"/>
      <c r="C303" s="432"/>
      <c r="D303" s="432"/>
    </row>
    <row r="304" spans="1:4" ht="15.75" customHeight="1" x14ac:dyDescent="0.3">
      <c r="A304" s="416"/>
      <c r="B304" s="415"/>
      <c r="C304" s="432"/>
      <c r="D304" s="432"/>
    </row>
    <row r="305" spans="1:4" ht="15.75" customHeight="1" x14ac:dyDescent="0.3">
      <c r="A305" s="416"/>
      <c r="B305" s="415"/>
      <c r="C305" s="432"/>
      <c r="D305" s="432"/>
    </row>
    <row r="306" spans="1:4" ht="15.75" customHeight="1" x14ac:dyDescent="0.3">
      <c r="A306" s="416"/>
      <c r="B306" s="415"/>
      <c r="C306" s="432"/>
      <c r="D306" s="432"/>
    </row>
    <row r="307" spans="1:4" ht="15.75" customHeight="1" x14ac:dyDescent="0.3">
      <c r="A307" s="416"/>
      <c r="B307" s="415"/>
      <c r="C307" s="432"/>
      <c r="D307" s="432"/>
    </row>
    <row r="308" spans="1:4" ht="15.75" customHeight="1" x14ac:dyDescent="0.3">
      <c r="A308" s="416"/>
      <c r="B308" s="415"/>
      <c r="C308" s="432"/>
      <c r="D308" s="432"/>
    </row>
    <row r="309" spans="1:4" ht="15.75" customHeight="1" x14ac:dyDescent="0.3">
      <c r="A309" s="416"/>
      <c r="B309" s="415"/>
      <c r="C309" s="432"/>
      <c r="D309" s="432"/>
    </row>
    <row r="310" spans="1:4" ht="15.75" customHeight="1" x14ac:dyDescent="0.3">
      <c r="A310" s="416"/>
      <c r="B310" s="415"/>
      <c r="C310" s="432"/>
      <c r="D310" s="432"/>
    </row>
    <row r="311" spans="1:4" ht="15.75" customHeight="1" x14ac:dyDescent="0.3">
      <c r="A311" s="416"/>
      <c r="B311" s="415"/>
      <c r="C311" s="432"/>
      <c r="D311" s="432"/>
    </row>
    <row r="312" spans="1:4" ht="15.75" customHeight="1" x14ac:dyDescent="0.3">
      <c r="A312" s="416"/>
      <c r="B312" s="415"/>
      <c r="C312" s="432"/>
      <c r="D312" s="432"/>
    </row>
    <row r="313" spans="1:4" ht="15.75" customHeight="1" x14ac:dyDescent="0.3">
      <c r="A313" s="416"/>
      <c r="B313" s="415"/>
      <c r="C313" s="432"/>
      <c r="D313" s="432"/>
    </row>
    <row r="314" spans="1:4" ht="15.75" customHeight="1" x14ac:dyDescent="0.3">
      <c r="A314" s="416"/>
      <c r="B314" s="415"/>
      <c r="C314" s="432"/>
      <c r="D314" s="432"/>
    </row>
    <row r="315" spans="1:4" ht="15.75" customHeight="1" x14ac:dyDescent="0.3">
      <c r="A315" s="416"/>
      <c r="B315" s="415"/>
      <c r="C315" s="432"/>
      <c r="D315" s="432"/>
    </row>
    <row r="316" spans="1:4" ht="15.75" customHeight="1" x14ac:dyDescent="0.3">
      <c r="A316" s="416"/>
      <c r="B316" s="415"/>
      <c r="C316" s="432"/>
      <c r="D316" s="432"/>
    </row>
    <row r="317" spans="1:4" ht="15.75" customHeight="1" x14ac:dyDescent="0.3">
      <c r="A317" s="416"/>
      <c r="B317" s="415"/>
      <c r="C317" s="432"/>
      <c r="D317" s="432"/>
    </row>
    <row r="318" spans="1:4" ht="15.75" customHeight="1" x14ac:dyDescent="0.3">
      <c r="A318" s="416"/>
      <c r="B318" s="415"/>
      <c r="C318" s="432"/>
      <c r="D318" s="432"/>
    </row>
    <row r="319" spans="1:4" ht="15.75" customHeight="1" x14ac:dyDescent="0.3">
      <c r="A319" s="416"/>
      <c r="B319" s="415"/>
      <c r="C319" s="432"/>
      <c r="D319" s="432"/>
    </row>
    <row r="320" spans="1:4" ht="15.75" customHeight="1" x14ac:dyDescent="0.3">
      <c r="A320" s="416"/>
      <c r="B320" s="415"/>
      <c r="C320" s="432"/>
      <c r="D320" s="432"/>
    </row>
    <row r="321" spans="1:4" ht="15.75" customHeight="1" x14ac:dyDescent="0.3">
      <c r="A321" s="416"/>
      <c r="B321" s="415"/>
      <c r="C321" s="432"/>
      <c r="D321" s="432"/>
    </row>
    <row r="322" spans="1:4" ht="15.75" customHeight="1" x14ac:dyDescent="0.3">
      <c r="A322" s="416"/>
      <c r="B322" s="415"/>
      <c r="C322" s="432"/>
      <c r="D322" s="432"/>
    </row>
    <row r="323" spans="1:4" ht="15.75" customHeight="1" x14ac:dyDescent="0.3">
      <c r="A323" s="416"/>
      <c r="B323" s="415"/>
      <c r="C323" s="432"/>
      <c r="D323" s="432"/>
    </row>
    <row r="324" spans="1:4" ht="15.75" customHeight="1" x14ac:dyDescent="0.3">
      <c r="A324" s="416"/>
      <c r="B324" s="415"/>
      <c r="C324" s="432"/>
      <c r="D324" s="432"/>
    </row>
    <row r="325" spans="1:4" ht="15.75" customHeight="1" x14ac:dyDescent="0.3">
      <c r="A325" s="416"/>
      <c r="B325" s="415"/>
      <c r="C325" s="432"/>
      <c r="D325" s="432"/>
    </row>
    <row r="326" spans="1:4" ht="15.75" customHeight="1" x14ac:dyDescent="0.3">
      <c r="A326" s="416"/>
      <c r="B326" s="415"/>
      <c r="C326" s="432"/>
      <c r="D326" s="432"/>
    </row>
    <row r="327" spans="1:4" ht="15.75" customHeight="1" x14ac:dyDescent="0.3">
      <c r="A327" s="416"/>
      <c r="B327" s="415"/>
      <c r="C327" s="432"/>
      <c r="D327" s="432"/>
    </row>
    <row r="328" spans="1:4" ht="15.75" customHeight="1" x14ac:dyDescent="0.3">
      <c r="A328" s="416"/>
      <c r="B328" s="415"/>
      <c r="C328" s="432"/>
      <c r="D328" s="432"/>
    </row>
    <row r="329" spans="1:4" ht="15.75" customHeight="1" x14ac:dyDescent="0.3">
      <c r="A329" s="416"/>
      <c r="B329" s="415"/>
      <c r="C329" s="432"/>
      <c r="D329" s="432"/>
    </row>
    <row r="330" spans="1:4" ht="15.75" customHeight="1" x14ac:dyDescent="0.3">
      <c r="A330" s="416"/>
      <c r="B330" s="415"/>
      <c r="C330" s="432"/>
      <c r="D330" s="432"/>
    </row>
    <row r="331" spans="1:4" ht="15.75" customHeight="1" x14ac:dyDescent="0.3">
      <c r="A331" s="416"/>
      <c r="B331" s="415"/>
      <c r="C331" s="432"/>
      <c r="D331" s="432"/>
    </row>
    <row r="332" spans="1:4" ht="15.75" customHeight="1" x14ac:dyDescent="0.3">
      <c r="A332" s="416"/>
      <c r="B332" s="415"/>
      <c r="C332" s="432"/>
      <c r="D332" s="432"/>
    </row>
    <row r="333" spans="1:4" ht="15.75" customHeight="1" x14ac:dyDescent="0.3">
      <c r="A333" s="416"/>
      <c r="B333" s="415"/>
      <c r="C333" s="432"/>
      <c r="D333" s="432"/>
    </row>
    <row r="334" spans="1:4" ht="15.75" customHeight="1" x14ac:dyDescent="0.3">
      <c r="A334" s="416"/>
      <c r="B334" s="415"/>
      <c r="C334" s="432"/>
      <c r="D334" s="432"/>
    </row>
    <row r="335" spans="1:4" ht="15.75" customHeight="1" x14ac:dyDescent="0.3">
      <c r="A335" s="416"/>
      <c r="B335" s="415"/>
      <c r="C335" s="432"/>
      <c r="D335" s="432"/>
    </row>
    <row r="336" spans="1:4" ht="15.75" customHeight="1" x14ac:dyDescent="0.3">
      <c r="A336" s="416"/>
      <c r="B336" s="415"/>
      <c r="C336" s="432"/>
      <c r="D336" s="432"/>
    </row>
    <row r="337" spans="1:4" ht="15.75" customHeight="1" x14ac:dyDescent="0.3">
      <c r="A337" s="416"/>
      <c r="B337" s="415"/>
      <c r="C337" s="432"/>
      <c r="D337" s="432"/>
    </row>
    <row r="338" spans="1:4" ht="15.75" customHeight="1" x14ac:dyDescent="0.3">
      <c r="A338" s="416"/>
      <c r="B338" s="415"/>
      <c r="C338" s="432"/>
      <c r="D338" s="432"/>
    </row>
    <row r="339" spans="1:4" ht="15.75" customHeight="1" x14ac:dyDescent="0.3">
      <c r="A339" s="416"/>
      <c r="B339" s="415"/>
      <c r="C339" s="432"/>
      <c r="D339" s="432"/>
    </row>
    <row r="340" spans="1:4" ht="15.75" customHeight="1" x14ac:dyDescent="0.3">
      <c r="A340" s="416"/>
      <c r="B340" s="415"/>
      <c r="C340" s="432"/>
      <c r="D340" s="432"/>
    </row>
    <row r="341" spans="1:4" ht="15.75" customHeight="1" x14ac:dyDescent="0.3">
      <c r="A341" s="416"/>
      <c r="B341" s="415"/>
      <c r="C341" s="432"/>
      <c r="D341" s="432"/>
    </row>
    <row r="342" spans="1:4" ht="15.75" customHeight="1" x14ac:dyDescent="0.3">
      <c r="A342" s="416"/>
      <c r="B342" s="415"/>
      <c r="C342" s="432"/>
      <c r="D342" s="432"/>
    </row>
    <row r="343" spans="1:4" ht="15.75" customHeight="1" x14ac:dyDescent="0.3">
      <c r="A343" s="416"/>
      <c r="B343" s="415"/>
      <c r="C343" s="432"/>
      <c r="D343" s="432"/>
    </row>
    <row r="344" spans="1:4" ht="15.75" customHeight="1" x14ac:dyDescent="0.3">
      <c r="A344" s="416"/>
      <c r="B344" s="415"/>
      <c r="C344" s="432"/>
      <c r="D344" s="432"/>
    </row>
    <row r="345" spans="1:4" ht="15.75" customHeight="1" x14ac:dyDescent="0.3">
      <c r="A345" s="416"/>
      <c r="B345" s="415"/>
      <c r="C345" s="432"/>
      <c r="D345" s="432"/>
    </row>
    <row r="346" spans="1:4" ht="15.75" customHeight="1" x14ac:dyDescent="0.3">
      <c r="A346" s="416"/>
      <c r="B346" s="415"/>
      <c r="C346" s="432"/>
      <c r="D346" s="432"/>
    </row>
    <row r="347" spans="1:4" ht="15.75" customHeight="1" x14ac:dyDescent="0.3">
      <c r="A347" s="416"/>
      <c r="B347" s="415"/>
      <c r="C347" s="432"/>
      <c r="D347" s="432"/>
    </row>
    <row r="348" spans="1:4" ht="15.75" customHeight="1" x14ac:dyDescent="0.3">
      <c r="A348" s="416"/>
      <c r="B348" s="415"/>
      <c r="C348" s="432"/>
      <c r="D348" s="432"/>
    </row>
    <row r="349" spans="1:4" ht="15.75" customHeight="1" x14ac:dyDescent="0.3">
      <c r="A349" s="416"/>
      <c r="B349" s="415"/>
      <c r="C349" s="432"/>
      <c r="D349" s="432"/>
    </row>
    <row r="350" spans="1:4" ht="15.75" customHeight="1" x14ac:dyDescent="0.3">
      <c r="A350" s="416"/>
      <c r="B350" s="415"/>
      <c r="C350" s="432"/>
      <c r="D350" s="432"/>
    </row>
    <row r="351" spans="1:4" ht="15.75" customHeight="1" x14ac:dyDescent="0.3">
      <c r="A351" s="416"/>
      <c r="B351" s="415"/>
      <c r="C351" s="432"/>
      <c r="D351" s="432"/>
    </row>
    <row r="352" spans="1:4" ht="15.75" customHeight="1" x14ac:dyDescent="0.3">
      <c r="A352" s="416"/>
      <c r="B352" s="415"/>
      <c r="C352" s="432"/>
      <c r="D352" s="432"/>
    </row>
    <row r="353" spans="1:4" ht="15.75" customHeight="1" x14ac:dyDescent="0.3">
      <c r="A353" s="416"/>
      <c r="B353" s="415"/>
      <c r="C353" s="432"/>
      <c r="D353" s="432"/>
    </row>
    <row r="354" spans="1:4" ht="15.75" customHeight="1" x14ac:dyDescent="0.3">
      <c r="A354" s="416"/>
      <c r="B354" s="415"/>
      <c r="C354" s="432"/>
      <c r="D354" s="432"/>
    </row>
    <row r="355" spans="1:4" ht="15.75" customHeight="1" x14ac:dyDescent="0.3">
      <c r="A355" s="416"/>
      <c r="B355" s="415"/>
      <c r="C355" s="432"/>
      <c r="D355" s="432"/>
    </row>
    <row r="356" spans="1:4" ht="15.75" customHeight="1" x14ac:dyDescent="0.3">
      <c r="A356" s="416"/>
      <c r="B356" s="415"/>
      <c r="C356" s="432"/>
      <c r="D356" s="432"/>
    </row>
    <row r="357" spans="1:4" ht="15.75" customHeight="1" x14ac:dyDescent="0.3">
      <c r="A357" s="416"/>
      <c r="B357" s="415"/>
      <c r="C357" s="432"/>
      <c r="D357" s="432"/>
    </row>
    <row r="358" spans="1:4" ht="15.75" customHeight="1" x14ac:dyDescent="0.3">
      <c r="A358" s="416"/>
      <c r="B358" s="415"/>
      <c r="C358" s="432"/>
      <c r="D358" s="432"/>
    </row>
    <row r="359" spans="1:4" ht="15.75" customHeight="1" x14ac:dyDescent="0.3">
      <c r="A359" s="416"/>
      <c r="B359" s="415"/>
      <c r="C359" s="432"/>
      <c r="D359" s="432"/>
    </row>
    <row r="360" spans="1:4" ht="15.75" customHeight="1" x14ac:dyDescent="0.3">
      <c r="A360" s="416"/>
      <c r="B360" s="415"/>
      <c r="C360" s="432"/>
      <c r="D360" s="432"/>
    </row>
    <row r="361" spans="1:4" ht="15.75" customHeight="1" x14ac:dyDescent="0.3">
      <c r="A361" s="416"/>
      <c r="B361" s="415"/>
      <c r="C361" s="432"/>
      <c r="D361" s="432"/>
    </row>
    <row r="362" spans="1:4" ht="15.75" customHeight="1" x14ac:dyDescent="0.3">
      <c r="A362" s="416"/>
      <c r="B362" s="415"/>
      <c r="C362" s="432"/>
      <c r="D362" s="432"/>
    </row>
    <row r="363" spans="1:4" ht="15.75" customHeight="1" x14ac:dyDescent="0.3">
      <c r="A363" s="416"/>
      <c r="B363" s="415"/>
      <c r="C363" s="432"/>
      <c r="D363" s="432"/>
    </row>
    <row r="364" spans="1:4" ht="15.75" customHeight="1" x14ac:dyDescent="0.3">
      <c r="A364" s="416"/>
      <c r="B364" s="415"/>
      <c r="C364" s="432"/>
      <c r="D364" s="432"/>
    </row>
    <row r="365" spans="1:4" ht="15.75" customHeight="1" x14ac:dyDescent="0.3">
      <c r="A365" s="416"/>
      <c r="B365" s="415"/>
      <c r="C365" s="432"/>
      <c r="D365" s="432"/>
    </row>
    <row r="366" spans="1:4" ht="15.75" customHeight="1" x14ac:dyDescent="0.3">
      <c r="A366" s="416"/>
      <c r="B366" s="415"/>
      <c r="C366" s="432"/>
      <c r="D366" s="432"/>
    </row>
    <row r="367" spans="1:4" ht="15.75" customHeight="1" x14ac:dyDescent="0.3">
      <c r="A367" s="416"/>
      <c r="B367" s="415"/>
      <c r="C367" s="432"/>
      <c r="D367" s="432"/>
    </row>
    <row r="368" spans="1:4" ht="15.75" customHeight="1" x14ac:dyDescent="0.3">
      <c r="A368" s="416"/>
      <c r="B368" s="415"/>
      <c r="C368" s="432"/>
      <c r="D368" s="432"/>
    </row>
    <row r="369" spans="1:4" ht="15.75" customHeight="1" x14ac:dyDescent="0.3">
      <c r="A369" s="416"/>
      <c r="B369" s="415"/>
      <c r="C369" s="432"/>
      <c r="D369" s="432"/>
    </row>
    <row r="370" spans="1:4" ht="15.75" customHeight="1" x14ac:dyDescent="0.3">
      <c r="A370" s="416"/>
      <c r="B370" s="415"/>
      <c r="C370" s="432"/>
      <c r="D370" s="432"/>
    </row>
    <row r="371" spans="1:4" ht="15.75" customHeight="1" x14ac:dyDescent="0.3">
      <c r="A371" s="416"/>
      <c r="B371" s="415"/>
      <c r="C371" s="432"/>
      <c r="D371" s="432"/>
    </row>
    <row r="372" spans="1:4" ht="15.75" customHeight="1" x14ac:dyDescent="0.3">
      <c r="A372" s="416"/>
      <c r="B372" s="415"/>
      <c r="C372" s="432"/>
      <c r="D372" s="432"/>
    </row>
    <row r="373" spans="1:4" ht="15.75" customHeight="1" x14ac:dyDescent="0.3">
      <c r="A373" s="416"/>
      <c r="B373" s="415"/>
      <c r="C373" s="432"/>
      <c r="D373" s="432"/>
    </row>
    <row r="374" spans="1:4" ht="15.75" customHeight="1" x14ac:dyDescent="0.3">
      <c r="A374" s="416"/>
      <c r="B374" s="415"/>
      <c r="C374" s="432"/>
      <c r="D374" s="432"/>
    </row>
    <row r="375" spans="1:4" ht="15.75" customHeight="1" x14ac:dyDescent="0.3">
      <c r="A375" s="416"/>
      <c r="B375" s="415"/>
      <c r="C375" s="432"/>
      <c r="D375" s="432"/>
    </row>
    <row r="376" spans="1:4" ht="15.75" customHeight="1" x14ac:dyDescent="0.3">
      <c r="A376" s="416"/>
      <c r="B376" s="415"/>
      <c r="C376" s="432"/>
      <c r="D376" s="432"/>
    </row>
    <row r="377" spans="1:4" ht="15.75" customHeight="1" x14ac:dyDescent="0.3">
      <c r="A377" s="416"/>
      <c r="B377" s="415"/>
      <c r="C377" s="432"/>
      <c r="D377" s="432"/>
    </row>
    <row r="378" spans="1:4" ht="15.75" customHeight="1" x14ac:dyDescent="0.3">
      <c r="A378" s="416"/>
      <c r="B378" s="415"/>
      <c r="C378" s="432"/>
      <c r="D378" s="432"/>
    </row>
    <row r="379" spans="1:4" ht="15.75" customHeight="1" x14ac:dyDescent="0.3">
      <c r="A379" s="416"/>
      <c r="B379" s="415"/>
      <c r="C379" s="432"/>
      <c r="D379" s="432"/>
    </row>
    <row r="380" spans="1:4" ht="15.75" customHeight="1" x14ac:dyDescent="0.3">
      <c r="A380" s="416"/>
      <c r="B380" s="415"/>
      <c r="C380" s="432"/>
      <c r="D380" s="432"/>
    </row>
    <row r="381" spans="1:4" ht="15.75" customHeight="1" x14ac:dyDescent="0.3">
      <c r="A381" s="416"/>
      <c r="B381" s="415"/>
      <c r="C381" s="432"/>
      <c r="D381" s="432"/>
    </row>
    <row r="382" spans="1:4" ht="15.75" customHeight="1" x14ac:dyDescent="0.3">
      <c r="A382" s="416"/>
      <c r="B382" s="415"/>
      <c r="C382" s="432"/>
      <c r="D382" s="432"/>
    </row>
    <row r="383" spans="1:4" ht="15.75" customHeight="1" x14ac:dyDescent="0.3">
      <c r="A383" s="416"/>
      <c r="B383" s="415"/>
      <c r="C383" s="432"/>
      <c r="D383" s="432"/>
    </row>
    <row r="384" spans="1:4" ht="15.75" customHeight="1" x14ac:dyDescent="0.3">
      <c r="A384" s="416"/>
      <c r="B384" s="415"/>
      <c r="C384" s="432"/>
      <c r="D384" s="432"/>
    </row>
    <row r="385" spans="1:4" ht="15.75" customHeight="1" x14ac:dyDescent="0.3">
      <c r="A385" s="416"/>
      <c r="B385" s="415"/>
      <c r="C385" s="432"/>
      <c r="D385" s="432"/>
    </row>
    <row r="386" spans="1:4" ht="15.75" customHeight="1" x14ac:dyDescent="0.3">
      <c r="A386" s="416"/>
      <c r="B386" s="415"/>
      <c r="C386" s="432"/>
      <c r="D386" s="432"/>
    </row>
    <row r="387" spans="1:4" ht="15.75" customHeight="1" x14ac:dyDescent="0.3">
      <c r="A387" s="416"/>
      <c r="B387" s="415"/>
      <c r="C387" s="432"/>
      <c r="D387" s="432"/>
    </row>
    <row r="388" spans="1:4" ht="15.75" customHeight="1" x14ac:dyDescent="0.3">
      <c r="A388" s="416"/>
      <c r="B388" s="415"/>
      <c r="C388" s="432"/>
      <c r="D388" s="432"/>
    </row>
    <row r="389" spans="1:4" ht="15.75" customHeight="1" x14ac:dyDescent="0.3">
      <c r="A389" s="416"/>
      <c r="B389" s="415"/>
      <c r="C389" s="432"/>
      <c r="D389" s="432"/>
    </row>
    <row r="390" spans="1:4" ht="15.75" customHeight="1" x14ac:dyDescent="0.3">
      <c r="A390" s="416"/>
      <c r="B390" s="415"/>
      <c r="C390" s="432"/>
      <c r="D390" s="432"/>
    </row>
    <row r="391" spans="1:4" ht="15.75" customHeight="1" x14ac:dyDescent="0.3">
      <c r="A391" s="416"/>
      <c r="B391" s="415"/>
      <c r="C391" s="432"/>
      <c r="D391" s="432"/>
    </row>
    <row r="392" spans="1:4" ht="15.75" customHeight="1" x14ac:dyDescent="0.3">
      <c r="A392" s="416"/>
      <c r="B392" s="415"/>
      <c r="C392" s="432"/>
      <c r="D392" s="432"/>
    </row>
    <row r="393" spans="1:4" ht="15.75" customHeight="1" x14ac:dyDescent="0.3">
      <c r="A393" s="416"/>
      <c r="B393" s="415"/>
      <c r="C393" s="432"/>
      <c r="D393" s="432"/>
    </row>
    <row r="394" spans="1:4" ht="15.75" customHeight="1" x14ac:dyDescent="0.3">
      <c r="A394" s="416"/>
      <c r="B394" s="415"/>
      <c r="C394" s="432"/>
      <c r="D394" s="432"/>
    </row>
    <row r="395" spans="1:4" ht="15.75" customHeight="1" x14ac:dyDescent="0.3">
      <c r="A395" s="416"/>
      <c r="B395" s="415"/>
      <c r="C395" s="432"/>
      <c r="D395" s="432"/>
    </row>
    <row r="396" spans="1:4" ht="15.75" customHeight="1" x14ac:dyDescent="0.3">
      <c r="A396" s="416"/>
      <c r="B396" s="415"/>
      <c r="C396" s="432"/>
      <c r="D396" s="432"/>
    </row>
    <row r="397" spans="1:4" ht="15.75" customHeight="1" x14ac:dyDescent="0.3">
      <c r="A397" s="416"/>
      <c r="B397" s="415"/>
      <c r="C397" s="432"/>
      <c r="D397" s="432"/>
    </row>
    <row r="398" spans="1:4" ht="15.75" customHeight="1" x14ac:dyDescent="0.3">
      <c r="A398" s="416"/>
      <c r="B398" s="415"/>
      <c r="C398" s="432"/>
      <c r="D398" s="432"/>
    </row>
    <row r="399" spans="1:4" ht="15.75" customHeight="1" x14ac:dyDescent="0.3">
      <c r="A399" s="416"/>
      <c r="B399" s="415"/>
      <c r="C399" s="432"/>
      <c r="D399" s="432"/>
    </row>
    <row r="400" spans="1:4" ht="15.75" customHeight="1" x14ac:dyDescent="0.3">
      <c r="A400" s="416"/>
      <c r="B400" s="415"/>
      <c r="C400" s="432"/>
      <c r="D400" s="432"/>
    </row>
    <row r="401" spans="1:4" ht="15.75" customHeight="1" x14ac:dyDescent="0.3">
      <c r="A401" s="416"/>
      <c r="B401" s="415"/>
      <c r="C401" s="432"/>
      <c r="D401" s="432"/>
    </row>
    <row r="402" spans="1:4" ht="15.75" customHeight="1" x14ac:dyDescent="0.3">
      <c r="A402" s="416"/>
      <c r="B402" s="415"/>
      <c r="C402" s="432"/>
      <c r="D402" s="432"/>
    </row>
    <row r="403" spans="1:4" ht="15.75" customHeight="1" x14ac:dyDescent="0.3">
      <c r="A403" s="416"/>
      <c r="B403" s="415"/>
      <c r="C403" s="432"/>
      <c r="D403" s="432"/>
    </row>
    <row r="404" spans="1:4" ht="15.75" customHeight="1" x14ac:dyDescent="0.3">
      <c r="A404" s="416"/>
      <c r="B404" s="415"/>
      <c r="C404" s="432"/>
      <c r="D404" s="432"/>
    </row>
    <row r="405" spans="1:4" ht="15.75" customHeight="1" x14ac:dyDescent="0.3">
      <c r="A405" s="416"/>
      <c r="B405" s="415"/>
      <c r="C405" s="432"/>
      <c r="D405" s="432"/>
    </row>
    <row r="406" spans="1:4" ht="15.75" customHeight="1" x14ac:dyDescent="0.3">
      <c r="A406" s="416"/>
      <c r="B406" s="415"/>
      <c r="C406" s="432"/>
      <c r="D406" s="432"/>
    </row>
    <row r="407" spans="1:4" ht="15.75" customHeight="1" x14ac:dyDescent="0.3">
      <c r="A407" s="416"/>
      <c r="B407" s="415"/>
      <c r="C407" s="432"/>
      <c r="D407" s="432"/>
    </row>
    <row r="408" spans="1:4" ht="15.75" customHeight="1" x14ac:dyDescent="0.3">
      <c r="A408" s="416"/>
      <c r="B408" s="415"/>
      <c r="C408" s="432"/>
      <c r="D408" s="432"/>
    </row>
    <row r="409" spans="1:4" ht="15.75" customHeight="1" x14ac:dyDescent="0.3">
      <c r="A409" s="416"/>
      <c r="B409" s="415"/>
      <c r="C409" s="432"/>
      <c r="D409" s="432"/>
    </row>
    <row r="410" spans="1:4" ht="15.75" customHeight="1" x14ac:dyDescent="0.3">
      <c r="A410" s="416"/>
      <c r="B410" s="415"/>
      <c r="C410" s="432"/>
      <c r="D410" s="432"/>
    </row>
    <row r="411" spans="1:4" ht="15.75" customHeight="1" x14ac:dyDescent="0.3">
      <c r="A411" s="416"/>
      <c r="B411" s="415"/>
      <c r="C411" s="432"/>
      <c r="D411" s="432"/>
    </row>
    <row r="412" spans="1:4" ht="15.75" customHeight="1" x14ac:dyDescent="0.3">
      <c r="A412" s="416"/>
      <c r="B412" s="415"/>
      <c r="C412" s="432"/>
      <c r="D412" s="432"/>
    </row>
    <row r="413" spans="1:4" ht="15.75" customHeight="1" x14ac:dyDescent="0.3">
      <c r="A413" s="416"/>
      <c r="B413" s="415"/>
      <c r="C413" s="432"/>
      <c r="D413" s="432"/>
    </row>
    <row r="414" spans="1:4" ht="15.75" customHeight="1" x14ac:dyDescent="0.3">
      <c r="A414" s="416"/>
      <c r="B414" s="415"/>
      <c r="C414" s="432"/>
      <c r="D414" s="432"/>
    </row>
    <row r="415" spans="1:4" ht="15.75" customHeight="1" x14ac:dyDescent="0.3">
      <c r="A415" s="416"/>
      <c r="B415" s="415"/>
      <c r="C415" s="432"/>
      <c r="D415" s="432"/>
    </row>
    <row r="416" spans="1:4" ht="15.75" customHeight="1" x14ac:dyDescent="0.3">
      <c r="A416" s="416"/>
      <c r="B416" s="415"/>
      <c r="C416" s="432"/>
      <c r="D416" s="432"/>
    </row>
    <row r="417" spans="1:4" ht="15.75" customHeight="1" x14ac:dyDescent="0.3">
      <c r="A417" s="416"/>
      <c r="B417" s="415"/>
      <c r="C417" s="432"/>
      <c r="D417" s="432"/>
    </row>
    <row r="418" spans="1:4" ht="15.75" customHeight="1" x14ac:dyDescent="0.3">
      <c r="A418" s="416"/>
      <c r="B418" s="415"/>
      <c r="C418" s="432"/>
      <c r="D418" s="432"/>
    </row>
    <row r="419" spans="1:4" ht="15.75" customHeight="1" x14ac:dyDescent="0.3">
      <c r="A419" s="416"/>
      <c r="B419" s="415"/>
      <c r="C419" s="432"/>
      <c r="D419" s="432"/>
    </row>
    <row r="420" spans="1:4" ht="15.75" customHeight="1" x14ac:dyDescent="0.3">
      <c r="A420" s="416"/>
      <c r="B420" s="415"/>
      <c r="C420" s="432"/>
      <c r="D420" s="432"/>
    </row>
    <row r="421" spans="1:4" ht="15.75" customHeight="1" x14ac:dyDescent="0.3">
      <c r="A421" s="416"/>
      <c r="B421" s="415"/>
      <c r="C421" s="432"/>
      <c r="D421" s="432"/>
    </row>
    <row r="422" spans="1:4" ht="15.75" customHeight="1" x14ac:dyDescent="0.3">
      <c r="A422" s="416"/>
      <c r="B422" s="415"/>
      <c r="C422" s="432"/>
      <c r="D422" s="432"/>
    </row>
    <row r="423" spans="1:4" ht="15.75" customHeight="1" x14ac:dyDescent="0.3">
      <c r="A423" s="416"/>
      <c r="B423" s="415"/>
      <c r="C423" s="432"/>
      <c r="D423" s="432"/>
    </row>
    <row r="424" spans="1:4" ht="15.75" customHeight="1" x14ac:dyDescent="0.3">
      <c r="A424" s="416"/>
      <c r="B424" s="415"/>
      <c r="C424" s="432"/>
      <c r="D424" s="432"/>
    </row>
    <row r="425" spans="1:4" ht="15.75" customHeight="1" x14ac:dyDescent="0.3">
      <c r="A425" s="416"/>
      <c r="B425" s="415"/>
      <c r="C425" s="432"/>
      <c r="D425" s="432"/>
    </row>
    <row r="426" spans="1:4" ht="15.75" customHeight="1" x14ac:dyDescent="0.3">
      <c r="A426" s="416"/>
      <c r="B426" s="415"/>
      <c r="C426" s="432"/>
      <c r="D426" s="432"/>
    </row>
    <row r="427" spans="1:4" ht="15.75" customHeight="1" x14ac:dyDescent="0.3">
      <c r="A427" s="416"/>
      <c r="B427" s="415"/>
      <c r="C427" s="432"/>
      <c r="D427" s="432"/>
    </row>
    <row r="428" spans="1:4" ht="15.75" customHeight="1" x14ac:dyDescent="0.3">
      <c r="A428" s="416"/>
      <c r="B428" s="415"/>
      <c r="C428" s="432"/>
      <c r="D428" s="432"/>
    </row>
    <row r="429" spans="1:4" ht="15.75" customHeight="1" x14ac:dyDescent="0.3">
      <c r="A429" s="416"/>
      <c r="B429" s="415"/>
      <c r="C429" s="432"/>
      <c r="D429" s="432"/>
    </row>
    <row r="430" spans="1:4" ht="15.75" customHeight="1" x14ac:dyDescent="0.3">
      <c r="A430" s="416"/>
      <c r="B430" s="415"/>
      <c r="C430" s="432"/>
      <c r="D430" s="432"/>
    </row>
    <row r="431" spans="1:4" ht="15.75" customHeight="1" x14ac:dyDescent="0.3">
      <c r="A431" s="416"/>
      <c r="B431" s="415"/>
      <c r="C431" s="432"/>
      <c r="D431" s="432"/>
    </row>
    <row r="432" spans="1:4" ht="15.75" customHeight="1" x14ac:dyDescent="0.3">
      <c r="A432" s="416"/>
      <c r="B432" s="415"/>
      <c r="C432" s="432"/>
      <c r="D432" s="432"/>
    </row>
    <row r="433" spans="1:4" ht="15.75" customHeight="1" x14ac:dyDescent="0.3">
      <c r="A433" s="416"/>
      <c r="B433" s="415"/>
      <c r="C433" s="432"/>
      <c r="D433" s="432"/>
    </row>
    <row r="434" spans="1:4" ht="15.75" customHeight="1" x14ac:dyDescent="0.3">
      <c r="A434" s="416"/>
      <c r="B434" s="415"/>
      <c r="C434" s="432"/>
      <c r="D434" s="432"/>
    </row>
    <row r="435" spans="1:4" ht="15.75" customHeight="1" x14ac:dyDescent="0.3">
      <c r="A435" s="416"/>
      <c r="B435" s="415"/>
      <c r="C435" s="432"/>
      <c r="D435" s="432"/>
    </row>
    <row r="436" spans="1:4" ht="15.75" customHeight="1" x14ac:dyDescent="0.3">
      <c r="A436" s="416"/>
      <c r="B436" s="415"/>
      <c r="C436" s="432"/>
      <c r="D436" s="432"/>
    </row>
    <row r="437" spans="1:4" ht="15.75" customHeight="1" x14ac:dyDescent="0.3">
      <c r="A437" s="416"/>
      <c r="B437" s="415"/>
      <c r="C437" s="432"/>
      <c r="D437" s="432"/>
    </row>
    <row r="438" spans="1:4" ht="15.75" customHeight="1" x14ac:dyDescent="0.3">
      <c r="A438" s="416"/>
      <c r="B438" s="415"/>
      <c r="C438" s="432"/>
      <c r="D438" s="432"/>
    </row>
    <row r="439" spans="1:4" ht="15.75" customHeight="1" x14ac:dyDescent="0.3">
      <c r="A439" s="416"/>
      <c r="B439" s="415"/>
      <c r="C439" s="432"/>
      <c r="D439" s="432"/>
    </row>
    <row r="440" spans="1:4" ht="15.75" customHeight="1" x14ac:dyDescent="0.3">
      <c r="A440" s="416"/>
      <c r="B440" s="415"/>
      <c r="C440" s="432"/>
      <c r="D440" s="432"/>
    </row>
    <row r="441" spans="1:4" ht="15.75" customHeight="1" x14ac:dyDescent="0.3">
      <c r="A441" s="416"/>
      <c r="B441" s="415"/>
      <c r="C441" s="432"/>
      <c r="D441" s="432"/>
    </row>
    <row r="442" spans="1:4" ht="15.75" customHeight="1" x14ac:dyDescent="0.3">
      <c r="A442" s="416"/>
      <c r="B442" s="415"/>
      <c r="C442" s="432"/>
      <c r="D442" s="432"/>
    </row>
    <row r="443" spans="1:4" ht="15.75" customHeight="1" x14ac:dyDescent="0.3">
      <c r="A443" s="416"/>
      <c r="B443" s="415"/>
      <c r="C443" s="432"/>
      <c r="D443" s="432"/>
    </row>
    <row r="444" spans="1:4" ht="15.75" customHeight="1" x14ac:dyDescent="0.3">
      <c r="A444" s="416"/>
      <c r="B444" s="415"/>
      <c r="C444" s="432"/>
      <c r="D444" s="432"/>
    </row>
    <row r="445" spans="1:4" ht="15.75" customHeight="1" x14ac:dyDescent="0.3">
      <c r="A445" s="416"/>
      <c r="B445" s="415"/>
      <c r="C445" s="432"/>
      <c r="D445" s="432"/>
    </row>
    <row r="446" spans="1:4" ht="15.75" customHeight="1" x14ac:dyDescent="0.3">
      <c r="A446" s="416"/>
      <c r="B446" s="415"/>
      <c r="C446" s="432"/>
      <c r="D446" s="432"/>
    </row>
    <row r="447" spans="1:4" ht="15.75" customHeight="1" x14ac:dyDescent="0.3">
      <c r="A447" s="416"/>
      <c r="B447" s="415"/>
      <c r="C447" s="432"/>
      <c r="D447" s="432"/>
    </row>
    <row r="448" spans="1:4" ht="15.75" customHeight="1" x14ac:dyDescent="0.3">
      <c r="A448" s="416"/>
      <c r="B448" s="415"/>
      <c r="C448" s="432"/>
      <c r="D448" s="432"/>
    </row>
    <row r="449" spans="1:4" ht="15.75" customHeight="1" x14ac:dyDescent="0.3">
      <c r="A449" s="416"/>
      <c r="B449" s="415"/>
      <c r="C449" s="432"/>
      <c r="D449" s="432"/>
    </row>
    <row r="450" spans="1:4" ht="15.75" customHeight="1" x14ac:dyDescent="0.3">
      <c r="A450" s="416"/>
      <c r="B450" s="415"/>
      <c r="C450" s="432"/>
      <c r="D450" s="432"/>
    </row>
    <row r="451" spans="1:4" ht="15.75" customHeight="1" x14ac:dyDescent="0.3">
      <c r="A451" s="416"/>
      <c r="B451" s="415"/>
      <c r="C451" s="432"/>
      <c r="D451" s="432"/>
    </row>
    <row r="452" spans="1:4" ht="15.75" customHeight="1" x14ac:dyDescent="0.3">
      <c r="A452" s="416"/>
      <c r="B452" s="415"/>
      <c r="C452" s="432"/>
      <c r="D452" s="432"/>
    </row>
    <row r="453" spans="1:4" ht="15.75" customHeight="1" x14ac:dyDescent="0.3">
      <c r="A453" s="416"/>
      <c r="B453" s="415"/>
      <c r="C453" s="432"/>
      <c r="D453" s="432"/>
    </row>
    <row r="454" spans="1:4" ht="15.75" customHeight="1" x14ac:dyDescent="0.3">
      <c r="A454" s="416"/>
      <c r="B454" s="415"/>
      <c r="C454" s="432"/>
      <c r="D454" s="432"/>
    </row>
    <row r="455" spans="1:4" ht="15.75" customHeight="1" x14ac:dyDescent="0.3">
      <c r="A455" s="416"/>
      <c r="B455" s="415"/>
      <c r="C455" s="432"/>
      <c r="D455" s="432"/>
    </row>
    <row r="456" spans="1:4" ht="15.75" customHeight="1" x14ac:dyDescent="0.3">
      <c r="A456" s="416"/>
      <c r="B456" s="415"/>
      <c r="C456" s="432"/>
      <c r="D456" s="432"/>
    </row>
    <row r="457" spans="1:4" ht="15.75" customHeight="1" x14ac:dyDescent="0.3">
      <c r="A457" s="416"/>
      <c r="B457" s="415"/>
      <c r="C457" s="432"/>
      <c r="D457" s="432"/>
    </row>
    <row r="458" spans="1:4" ht="15.75" customHeight="1" x14ac:dyDescent="0.3">
      <c r="A458" s="416"/>
      <c r="B458" s="415"/>
      <c r="C458" s="432"/>
      <c r="D458" s="432"/>
    </row>
    <row r="459" spans="1:4" ht="15.75" customHeight="1" x14ac:dyDescent="0.3">
      <c r="A459" s="416"/>
      <c r="B459" s="415"/>
      <c r="C459" s="432"/>
      <c r="D459" s="432"/>
    </row>
    <row r="460" spans="1:4" ht="15.75" customHeight="1" x14ac:dyDescent="0.3">
      <c r="A460" s="416"/>
      <c r="B460" s="415"/>
      <c r="C460" s="432"/>
      <c r="D460" s="432"/>
    </row>
    <row r="461" spans="1:4" ht="15.75" customHeight="1" x14ac:dyDescent="0.3">
      <c r="A461" s="416"/>
      <c r="B461" s="415"/>
      <c r="C461" s="432"/>
      <c r="D461" s="432"/>
    </row>
    <row r="462" spans="1:4" ht="15.75" customHeight="1" x14ac:dyDescent="0.3">
      <c r="A462" s="416"/>
      <c r="B462" s="415"/>
      <c r="C462" s="432"/>
      <c r="D462" s="432"/>
    </row>
    <row r="463" spans="1:4" ht="15.75" customHeight="1" x14ac:dyDescent="0.3">
      <c r="A463" s="416"/>
      <c r="B463" s="415"/>
      <c r="C463" s="432"/>
      <c r="D463" s="432"/>
    </row>
    <row r="464" spans="1:4" ht="15.75" customHeight="1" x14ac:dyDescent="0.3">
      <c r="A464" s="416"/>
      <c r="B464" s="415"/>
      <c r="C464" s="432"/>
      <c r="D464" s="432"/>
    </row>
    <row r="465" spans="1:4" ht="15.75" customHeight="1" x14ac:dyDescent="0.3">
      <c r="A465" s="416"/>
      <c r="B465" s="415"/>
      <c r="C465" s="432"/>
      <c r="D465" s="432"/>
    </row>
    <row r="466" spans="1:4" ht="15.75" customHeight="1" x14ac:dyDescent="0.3">
      <c r="A466" s="416"/>
      <c r="B466" s="415"/>
      <c r="C466" s="432"/>
      <c r="D466" s="432"/>
    </row>
    <row r="467" spans="1:4" ht="15.75" customHeight="1" x14ac:dyDescent="0.3">
      <c r="A467" s="416"/>
      <c r="B467" s="415"/>
      <c r="C467" s="432"/>
      <c r="D467" s="432"/>
    </row>
    <row r="468" spans="1:4" ht="15.75" customHeight="1" x14ac:dyDescent="0.3">
      <c r="A468" s="416"/>
      <c r="B468" s="415"/>
      <c r="C468" s="432"/>
      <c r="D468" s="432"/>
    </row>
    <row r="469" spans="1:4" ht="15.75" customHeight="1" x14ac:dyDescent="0.3">
      <c r="A469" s="416"/>
      <c r="B469" s="415"/>
      <c r="C469" s="432"/>
      <c r="D469" s="432"/>
    </row>
    <row r="470" spans="1:4" ht="15.75" customHeight="1" x14ac:dyDescent="0.3">
      <c r="A470" s="416"/>
      <c r="B470" s="415"/>
      <c r="C470" s="432"/>
      <c r="D470" s="432"/>
    </row>
    <row r="471" spans="1:4" ht="15.75" customHeight="1" x14ac:dyDescent="0.3">
      <c r="A471" s="416"/>
      <c r="B471" s="415"/>
      <c r="C471" s="432"/>
      <c r="D471" s="432"/>
    </row>
    <row r="472" spans="1:4" ht="15.75" customHeight="1" x14ac:dyDescent="0.3">
      <c r="A472" s="416"/>
      <c r="B472" s="415"/>
      <c r="C472" s="432"/>
      <c r="D472" s="432"/>
    </row>
    <row r="473" spans="1:4" ht="15.75" customHeight="1" x14ac:dyDescent="0.3">
      <c r="A473" s="416"/>
      <c r="B473" s="415"/>
      <c r="C473" s="432"/>
      <c r="D473" s="432"/>
    </row>
    <row r="474" spans="1:4" ht="15.75" customHeight="1" x14ac:dyDescent="0.3">
      <c r="A474" s="416"/>
      <c r="B474" s="415"/>
      <c r="C474" s="432"/>
      <c r="D474" s="432"/>
    </row>
    <row r="475" spans="1:4" ht="15.75" customHeight="1" x14ac:dyDescent="0.3">
      <c r="A475" s="416"/>
      <c r="B475" s="415"/>
      <c r="C475" s="432"/>
      <c r="D475" s="432"/>
    </row>
    <row r="476" spans="1:4" ht="15.75" customHeight="1" x14ac:dyDescent="0.3">
      <c r="A476" s="416"/>
      <c r="B476" s="415"/>
      <c r="C476" s="432"/>
      <c r="D476" s="432"/>
    </row>
    <row r="477" spans="1:4" ht="15.75" customHeight="1" x14ac:dyDescent="0.3">
      <c r="A477" s="416"/>
      <c r="B477" s="415"/>
      <c r="C477" s="432"/>
      <c r="D477" s="432"/>
    </row>
    <row r="478" spans="1:4" ht="15.75" customHeight="1" x14ac:dyDescent="0.3">
      <c r="A478" s="416"/>
      <c r="B478" s="415"/>
      <c r="C478" s="432"/>
      <c r="D478" s="432"/>
    </row>
    <row r="479" spans="1:4" ht="15.75" customHeight="1" x14ac:dyDescent="0.3">
      <c r="A479" s="416"/>
      <c r="B479" s="415"/>
      <c r="C479" s="432"/>
      <c r="D479" s="432"/>
    </row>
    <row r="480" spans="1:4" ht="15.75" customHeight="1" x14ac:dyDescent="0.3">
      <c r="A480" s="416"/>
      <c r="B480" s="415"/>
      <c r="C480" s="432"/>
      <c r="D480" s="432"/>
    </row>
    <row r="481" spans="1:4" ht="15.75" customHeight="1" x14ac:dyDescent="0.3">
      <c r="A481" s="416"/>
      <c r="B481" s="415"/>
      <c r="C481" s="432"/>
      <c r="D481" s="432"/>
    </row>
    <row r="482" spans="1:4" ht="15.75" customHeight="1" x14ac:dyDescent="0.3">
      <c r="A482" s="416"/>
      <c r="B482" s="415"/>
      <c r="C482" s="432"/>
      <c r="D482" s="432"/>
    </row>
    <row r="483" spans="1:4" ht="15.75" customHeight="1" x14ac:dyDescent="0.3">
      <c r="A483" s="416"/>
      <c r="B483" s="415"/>
      <c r="C483" s="432"/>
      <c r="D483" s="432"/>
    </row>
    <row r="484" spans="1:4" ht="15.75" customHeight="1" x14ac:dyDescent="0.3">
      <c r="A484" s="416"/>
      <c r="B484" s="415"/>
      <c r="C484" s="432"/>
      <c r="D484" s="432"/>
    </row>
    <row r="485" spans="1:4" ht="15.75" customHeight="1" x14ac:dyDescent="0.3">
      <c r="A485" s="416"/>
      <c r="B485" s="415"/>
      <c r="C485" s="432"/>
      <c r="D485" s="432"/>
    </row>
    <row r="486" spans="1:4" ht="15.75" customHeight="1" x14ac:dyDescent="0.3">
      <c r="A486" s="416"/>
      <c r="B486" s="415"/>
      <c r="C486" s="432"/>
      <c r="D486" s="432"/>
    </row>
    <row r="487" spans="1:4" ht="15.75" customHeight="1" x14ac:dyDescent="0.3">
      <c r="A487" s="416"/>
      <c r="B487" s="415"/>
      <c r="C487" s="432"/>
      <c r="D487" s="432"/>
    </row>
    <row r="488" spans="1:4" ht="15.75" customHeight="1" x14ac:dyDescent="0.3">
      <c r="A488" s="416"/>
      <c r="B488" s="415"/>
      <c r="C488" s="432"/>
      <c r="D488" s="432"/>
    </row>
    <row r="489" spans="1:4" ht="15.75" customHeight="1" x14ac:dyDescent="0.3">
      <c r="A489" s="416"/>
      <c r="B489" s="415"/>
      <c r="C489" s="432"/>
      <c r="D489" s="432"/>
    </row>
    <row r="490" spans="1:4" ht="15.75" customHeight="1" x14ac:dyDescent="0.3">
      <c r="A490" s="416"/>
      <c r="B490" s="415"/>
      <c r="C490" s="432"/>
      <c r="D490" s="432"/>
    </row>
    <row r="491" spans="1:4" ht="15.75" customHeight="1" x14ac:dyDescent="0.3">
      <c r="A491" s="416"/>
      <c r="B491" s="415"/>
      <c r="C491" s="432"/>
      <c r="D491" s="432"/>
    </row>
    <row r="492" spans="1:4" ht="15.75" customHeight="1" x14ac:dyDescent="0.3">
      <c r="A492" s="416"/>
      <c r="B492" s="415"/>
      <c r="C492" s="432"/>
      <c r="D492" s="432"/>
    </row>
    <row r="493" spans="1:4" ht="15.75" customHeight="1" x14ac:dyDescent="0.3">
      <c r="A493" s="416"/>
      <c r="B493" s="415"/>
      <c r="C493" s="432"/>
      <c r="D493" s="432"/>
    </row>
    <row r="494" spans="1:4" ht="15.75" customHeight="1" x14ac:dyDescent="0.3">
      <c r="A494" s="416"/>
      <c r="B494" s="415"/>
      <c r="C494" s="432"/>
      <c r="D494" s="432"/>
    </row>
    <row r="495" spans="1:4" ht="15.75" customHeight="1" x14ac:dyDescent="0.3">
      <c r="A495" s="416"/>
      <c r="B495" s="415"/>
      <c r="C495" s="432"/>
      <c r="D495" s="432"/>
    </row>
    <row r="496" spans="1:4" ht="15.75" customHeight="1" x14ac:dyDescent="0.3">
      <c r="A496" s="416"/>
      <c r="B496" s="415"/>
      <c r="C496" s="432"/>
      <c r="D496" s="432"/>
    </row>
    <row r="497" spans="1:4" ht="15.75" customHeight="1" x14ac:dyDescent="0.3">
      <c r="A497" s="416"/>
      <c r="B497" s="415"/>
      <c r="C497" s="432"/>
      <c r="D497" s="432"/>
    </row>
    <row r="498" spans="1:4" ht="15.75" customHeight="1" x14ac:dyDescent="0.3">
      <c r="A498" s="416"/>
      <c r="B498" s="415"/>
      <c r="C498" s="432"/>
      <c r="D498" s="432"/>
    </row>
    <row r="499" spans="1:4" ht="15.75" customHeight="1" x14ac:dyDescent="0.3">
      <c r="A499" s="416"/>
      <c r="B499" s="415"/>
      <c r="C499" s="432"/>
      <c r="D499" s="432"/>
    </row>
    <row r="500" spans="1:4" ht="15.75" customHeight="1" x14ac:dyDescent="0.3">
      <c r="A500" s="416"/>
      <c r="B500" s="415"/>
      <c r="C500" s="432"/>
      <c r="D500" s="432"/>
    </row>
    <row r="501" spans="1:4" ht="15.75" customHeight="1" x14ac:dyDescent="0.3">
      <c r="A501" s="416"/>
      <c r="B501" s="415"/>
      <c r="C501" s="432"/>
      <c r="D501" s="432"/>
    </row>
    <row r="502" spans="1:4" ht="15.75" customHeight="1" x14ac:dyDescent="0.3">
      <c r="A502" s="416"/>
      <c r="B502" s="415"/>
      <c r="C502" s="432"/>
      <c r="D502" s="432"/>
    </row>
    <row r="503" spans="1:4" ht="15.75" customHeight="1" x14ac:dyDescent="0.3">
      <c r="A503" s="416"/>
      <c r="B503" s="415"/>
      <c r="C503" s="432"/>
      <c r="D503" s="432"/>
    </row>
    <row r="504" spans="1:4" ht="15.75" customHeight="1" x14ac:dyDescent="0.3">
      <c r="A504" s="416"/>
      <c r="B504" s="415"/>
      <c r="C504" s="432"/>
      <c r="D504" s="432"/>
    </row>
    <row r="505" spans="1:4" ht="15.75" customHeight="1" x14ac:dyDescent="0.3">
      <c r="A505" s="416"/>
      <c r="B505" s="415"/>
      <c r="C505" s="432"/>
      <c r="D505" s="432"/>
    </row>
    <row r="506" spans="1:4" ht="15.75" customHeight="1" x14ac:dyDescent="0.3">
      <c r="A506" s="416"/>
      <c r="B506" s="415"/>
      <c r="C506" s="432"/>
      <c r="D506" s="432"/>
    </row>
    <row r="507" spans="1:4" ht="15.75" customHeight="1" x14ac:dyDescent="0.3">
      <c r="A507" s="416"/>
      <c r="B507" s="415"/>
      <c r="C507" s="432"/>
      <c r="D507" s="432"/>
    </row>
    <row r="508" spans="1:4" ht="15.75" customHeight="1" x14ac:dyDescent="0.3">
      <c r="A508" s="416"/>
      <c r="B508" s="415"/>
      <c r="C508" s="432"/>
      <c r="D508" s="432"/>
    </row>
    <row r="509" spans="1:4" ht="15.75" customHeight="1" x14ac:dyDescent="0.3">
      <c r="A509" s="416"/>
      <c r="B509" s="415"/>
      <c r="C509" s="432"/>
      <c r="D509" s="432"/>
    </row>
    <row r="510" spans="1:4" ht="15.75" customHeight="1" x14ac:dyDescent="0.3">
      <c r="A510" s="416"/>
      <c r="B510" s="415"/>
      <c r="C510" s="432"/>
      <c r="D510" s="432"/>
    </row>
    <row r="511" spans="1:4" ht="15.75" customHeight="1" x14ac:dyDescent="0.3">
      <c r="A511" s="416"/>
      <c r="B511" s="415"/>
      <c r="C511" s="432"/>
      <c r="D511" s="432"/>
    </row>
    <row r="512" spans="1:4" ht="15.75" customHeight="1" x14ac:dyDescent="0.3">
      <c r="A512" s="416"/>
      <c r="B512" s="415"/>
      <c r="C512" s="432"/>
      <c r="D512" s="432"/>
    </row>
    <row r="513" spans="1:4" ht="15.75" customHeight="1" x14ac:dyDescent="0.3">
      <c r="A513" s="416"/>
      <c r="B513" s="415"/>
      <c r="C513" s="432"/>
      <c r="D513" s="432"/>
    </row>
    <row r="514" spans="1:4" ht="15.75" customHeight="1" x14ac:dyDescent="0.3">
      <c r="A514" s="416"/>
      <c r="B514" s="415"/>
      <c r="C514" s="432"/>
      <c r="D514" s="432"/>
    </row>
    <row r="515" spans="1:4" ht="15.75" customHeight="1" x14ac:dyDescent="0.3">
      <c r="A515" s="416"/>
      <c r="B515" s="415"/>
      <c r="C515" s="432"/>
      <c r="D515" s="432"/>
    </row>
    <row r="516" spans="1:4" ht="15.75" customHeight="1" x14ac:dyDescent="0.3">
      <c r="A516" s="416"/>
      <c r="B516" s="415"/>
      <c r="C516" s="432"/>
      <c r="D516" s="432"/>
    </row>
    <row r="517" spans="1:4" ht="15.75" customHeight="1" x14ac:dyDescent="0.3">
      <c r="A517" s="416"/>
      <c r="B517" s="415"/>
      <c r="C517" s="432"/>
      <c r="D517" s="432"/>
    </row>
    <row r="518" spans="1:4" ht="15.75" customHeight="1" x14ac:dyDescent="0.3">
      <c r="A518" s="416"/>
      <c r="B518" s="415"/>
      <c r="C518" s="432"/>
      <c r="D518" s="432"/>
    </row>
    <row r="519" spans="1:4" ht="15.75" customHeight="1" x14ac:dyDescent="0.3">
      <c r="A519" s="416"/>
      <c r="B519" s="415"/>
      <c r="C519" s="432"/>
      <c r="D519" s="432"/>
    </row>
    <row r="520" spans="1:4" ht="15.75" customHeight="1" x14ac:dyDescent="0.3">
      <c r="A520" s="416"/>
      <c r="B520" s="415"/>
      <c r="C520" s="432"/>
      <c r="D520" s="432"/>
    </row>
    <row r="521" spans="1:4" ht="15.75" customHeight="1" x14ac:dyDescent="0.3">
      <c r="A521" s="416"/>
      <c r="B521" s="415"/>
      <c r="C521" s="432"/>
      <c r="D521" s="432"/>
    </row>
    <row r="522" spans="1:4" ht="15.75" customHeight="1" x14ac:dyDescent="0.3">
      <c r="A522" s="416"/>
      <c r="B522" s="415"/>
      <c r="C522" s="432"/>
      <c r="D522" s="432"/>
    </row>
    <row r="523" spans="1:4" ht="15.75" customHeight="1" x14ac:dyDescent="0.3">
      <c r="A523" s="416"/>
      <c r="B523" s="415"/>
      <c r="C523" s="432"/>
      <c r="D523" s="432"/>
    </row>
    <row r="524" spans="1:4" ht="15.75" customHeight="1" x14ac:dyDescent="0.3">
      <c r="A524" s="416"/>
      <c r="B524" s="415"/>
      <c r="C524" s="432"/>
      <c r="D524" s="432"/>
    </row>
    <row r="525" spans="1:4" ht="15.75" customHeight="1" x14ac:dyDescent="0.3">
      <c r="A525" s="416"/>
      <c r="B525" s="415"/>
      <c r="C525" s="432"/>
      <c r="D525" s="432"/>
    </row>
    <row r="526" spans="1:4" ht="15.75" customHeight="1" x14ac:dyDescent="0.3">
      <c r="A526" s="416"/>
      <c r="B526" s="415"/>
      <c r="C526" s="432"/>
      <c r="D526" s="432"/>
    </row>
    <row r="527" spans="1:4" ht="15.75" customHeight="1" x14ac:dyDescent="0.3">
      <c r="A527" s="416"/>
      <c r="B527" s="415"/>
      <c r="C527" s="432"/>
      <c r="D527" s="432"/>
    </row>
    <row r="528" spans="1:4" ht="15.75" customHeight="1" x14ac:dyDescent="0.3">
      <c r="A528" s="416"/>
      <c r="B528" s="415"/>
      <c r="C528" s="432"/>
      <c r="D528" s="432"/>
    </row>
    <row r="529" spans="1:4" ht="15.75" customHeight="1" x14ac:dyDescent="0.3">
      <c r="A529" s="416"/>
      <c r="B529" s="415"/>
      <c r="C529" s="432"/>
      <c r="D529" s="432"/>
    </row>
    <row r="530" spans="1:4" ht="15.75" customHeight="1" x14ac:dyDescent="0.3">
      <c r="A530" s="416"/>
      <c r="B530" s="415"/>
      <c r="C530" s="432"/>
      <c r="D530" s="432"/>
    </row>
    <row r="531" spans="1:4" ht="15.75" customHeight="1" x14ac:dyDescent="0.3">
      <c r="A531" s="416"/>
      <c r="B531" s="415"/>
      <c r="C531" s="432"/>
      <c r="D531" s="432"/>
    </row>
    <row r="532" spans="1:4" ht="15.75" customHeight="1" x14ac:dyDescent="0.3">
      <c r="A532" s="416"/>
      <c r="B532" s="415"/>
      <c r="C532" s="432"/>
      <c r="D532" s="432"/>
    </row>
    <row r="533" spans="1:4" ht="15.75" customHeight="1" x14ac:dyDescent="0.3">
      <c r="A533" s="416"/>
      <c r="B533" s="415"/>
      <c r="C533" s="432"/>
      <c r="D533" s="432"/>
    </row>
    <row r="534" spans="1:4" ht="15.75" customHeight="1" x14ac:dyDescent="0.3">
      <c r="A534" s="416"/>
      <c r="B534" s="415"/>
      <c r="C534" s="432"/>
      <c r="D534" s="432"/>
    </row>
    <row r="535" spans="1:4" ht="15.75" customHeight="1" x14ac:dyDescent="0.3">
      <c r="A535" s="416"/>
      <c r="B535" s="415"/>
      <c r="C535" s="432"/>
      <c r="D535" s="432"/>
    </row>
    <row r="536" spans="1:4" ht="15.75" customHeight="1" x14ac:dyDescent="0.3">
      <c r="A536" s="416"/>
      <c r="B536" s="415"/>
      <c r="C536" s="432"/>
      <c r="D536" s="432"/>
    </row>
    <row r="537" spans="1:4" ht="15.75" customHeight="1" x14ac:dyDescent="0.3">
      <c r="A537" s="416"/>
      <c r="B537" s="415"/>
      <c r="C537" s="432"/>
      <c r="D537" s="432"/>
    </row>
    <row r="538" spans="1:4" ht="15.75" customHeight="1" x14ac:dyDescent="0.3">
      <c r="A538" s="416"/>
      <c r="B538" s="415"/>
      <c r="C538" s="432"/>
      <c r="D538" s="432"/>
    </row>
    <row r="539" spans="1:4" ht="15.75" customHeight="1" x14ac:dyDescent="0.3">
      <c r="A539" s="416"/>
      <c r="B539" s="415"/>
      <c r="C539" s="432"/>
      <c r="D539" s="432"/>
    </row>
    <row r="540" spans="1:4" ht="15.75" customHeight="1" x14ac:dyDescent="0.3">
      <c r="A540" s="416"/>
      <c r="B540" s="415"/>
      <c r="C540" s="432"/>
      <c r="D540" s="432"/>
    </row>
    <row r="541" spans="1:4" ht="15.75" customHeight="1" x14ac:dyDescent="0.3">
      <c r="A541" s="416"/>
      <c r="B541" s="415"/>
      <c r="C541" s="432"/>
      <c r="D541" s="432"/>
    </row>
    <row r="542" spans="1:4" ht="15.75" customHeight="1" x14ac:dyDescent="0.3">
      <c r="A542" s="416"/>
      <c r="B542" s="415"/>
      <c r="C542" s="432"/>
      <c r="D542" s="432"/>
    </row>
    <row r="543" spans="1:4" ht="15.75" customHeight="1" x14ac:dyDescent="0.3">
      <c r="A543" s="416"/>
      <c r="B543" s="415"/>
      <c r="C543" s="432"/>
      <c r="D543" s="432"/>
    </row>
    <row r="544" spans="1:4" ht="15.75" customHeight="1" x14ac:dyDescent="0.3">
      <c r="A544" s="416"/>
      <c r="B544" s="415"/>
      <c r="C544" s="432"/>
      <c r="D544" s="432"/>
    </row>
    <row r="545" spans="1:4" ht="15.75" customHeight="1" x14ac:dyDescent="0.3">
      <c r="A545" s="416"/>
      <c r="B545" s="415"/>
      <c r="C545" s="432"/>
      <c r="D545" s="432"/>
    </row>
    <row r="546" spans="1:4" ht="15.75" customHeight="1" x14ac:dyDescent="0.3">
      <c r="A546" s="416"/>
      <c r="B546" s="415"/>
      <c r="C546" s="432"/>
      <c r="D546" s="432"/>
    </row>
    <row r="547" spans="1:4" ht="15.75" customHeight="1" x14ac:dyDescent="0.3">
      <c r="A547" s="416"/>
      <c r="B547" s="415"/>
      <c r="C547" s="432"/>
      <c r="D547" s="432"/>
    </row>
    <row r="548" spans="1:4" ht="15.75" customHeight="1" x14ac:dyDescent="0.3">
      <c r="A548" s="416"/>
      <c r="B548" s="415"/>
      <c r="C548" s="432"/>
      <c r="D548" s="432"/>
    </row>
    <row r="549" spans="1:4" ht="15.75" customHeight="1" x14ac:dyDescent="0.3">
      <c r="A549" s="416"/>
      <c r="B549" s="415"/>
      <c r="C549" s="432"/>
      <c r="D549" s="432"/>
    </row>
    <row r="550" spans="1:4" ht="15.75" customHeight="1" x14ac:dyDescent="0.3">
      <c r="A550" s="416"/>
      <c r="B550" s="415"/>
      <c r="C550" s="432"/>
      <c r="D550" s="432"/>
    </row>
    <row r="551" spans="1:4" ht="15.75" customHeight="1" x14ac:dyDescent="0.3">
      <c r="A551" s="416"/>
      <c r="B551" s="415"/>
      <c r="C551" s="432"/>
      <c r="D551" s="432"/>
    </row>
    <row r="552" spans="1:4" ht="15.75" customHeight="1" x14ac:dyDescent="0.3">
      <c r="A552" s="416"/>
      <c r="B552" s="415"/>
      <c r="C552" s="432"/>
      <c r="D552" s="432"/>
    </row>
    <row r="553" spans="1:4" ht="15.75" customHeight="1" x14ac:dyDescent="0.3">
      <c r="A553" s="416"/>
      <c r="B553" s="415"/>
      <c r="C553" s="432"/>
      <c r="D553" s="432"/>
    </row>
    <row r="554" spans="1:4" ht="15.75" customHeight="1" x14ac:dyDescent="0.3">
      <c r="A554" s="416"/>
      <c r="B554" s="415"/>
      <c r="C554" s="432"/>
      <c r="D554" s="432"/>
    </row>
    <row r="555" spans="1:4" ht="15.75" customHeight="1" x14ac:dyDescent="0.3">
      <c r="A555" s="416"/>
      <c r="B555" s="415"/>
      <c r="C555" s="432"/>
      <c r="D555" s="432"/>
    </row>
    <row r="556" spans="1:4" ht="15.75" customHeight="1" x14ac:dyDescent="0.3">
      <c r="A556" s="416"/>
      <c r="B556" s="415"/>
      <c r="C556" s="432"/>
      <c r="D556" s="432"/>
    </row>
    <row r="557" spans="1:4" ht="15.75" customHeight="1" x14ac:dyDescent="0.3">
      <c r="A557" s="416"/>
      <c r="B557" s="415"/>
      <c r="C557" s="432"/>
      <c r="D557" s="432"/>
    </row>
    <row r="558" spans="1:4" ht="15.75" customHeight="1" x14ac:dyDescent="0.3">
      <c r="A558" s="416"/>
      <c r="B558" s="415"/>
      <c r="C558" s="432"/>
      <c r="D558" s="432"/>
    </row>
    <row r="559" spans="1:4" ht="15.75" customHeight="1" x14ac:dyDescent="0.3">
      <c r="A559" s="416"/>
      <c r="B559" s="415"/>
      <c r="C559" s="432"/>
      <c r="D559" s="432"/>
    </row>
    <row r="560" spans="1:4" ht="15.75" customHeight="1" x14ac:dyDescent="0.3">
      <c r="A560" s="416"/>
      <c r="B560" s="415"/>
      <c r="C560" s="432"/>
      <c r="D560" s="432"/>
    </row>
    <row r="561" spans="1:4" ht="15.75" customHeight="1" x14ac:dyDescent="0.3">
      <c r="A561" s="416"/>
      <c r="B561" s="415"/>
      <c r="C561" s="432"/>
      <c r="D561" s="432"/>
    </row>
    <row r="562" spans="1:4" ht="15.75" customHeight="1" x14ac:dyDescent="0.3">
      <c r="A562" s="416"/>
      <c r="B562" s="415"/>
      <c r="C562" s="432"/>
      <c r="D562" s="432"/>
    </row>
    <row r="563" spans="1:4" ht="15.75" customHeight="1" x14ac:dyDescent="0.3">
      <c r="A563" s="416"/>
      <c r="B563" s="415"/>
      <c r="C563" s="432"/>
      <c r="D563" s="432"/>
    </row>
    <row r="564" spans="1:4" ht="15.75" customHeight="1" x14ac:dyDescent="0.3">
      <c r="A564" s="416"/>
      <c r="B564" s="415"/>
      <c r="C564" s="432"/>
      <c r="D564" s="432"/>
    </row>
    <row r="565" spans="1:4" ht="15.75" customHeight="1" x14ac:dyDescent="0.3">
      <c r="A565" s="416"/>
      <c r="B565" s="415"/>
      <c r="C565" s="432"/>
      <c r="D565" s="432"/>
    </row>
    <row r="566" spans="1:4" ht="15.75" customHeight="1" x14ac:dyDescent="0.3">
      <c r="A566" s="416"/>
      <c r="B566" s="415"/>
      <c r="C566" s="432"/>
      <c r="D566" s="432"/>
    </row>
    <row r="567" spans="1:4" ht="15.75" customHeight="1" x14ac:dyDescent="0.3">
      <c r="A567" s="416"/>
      <c r="B567" s="415"/>
      <c r="C567" s="432"/>
      <c r="D567" s="432"/>
    </row>
    <row r="568" spans="1:4" ht="15.75" customHeight="1" x14ac:dyDescent="0.3">
      <c r="A568" s="416"/>
      <c r="B568" s="415"/>
      <c r="C568" s="432"/>
      <c r="D568" s="432"/>
    </row>
    <row r="569" spans="1:4" ht="15.75" customHeight="1" x14ac:dyDescent="0.3">
      <c r="A569" s="416"/>
      <c r="B569" s="415"/>
      <c r="C569" s="432"/>
      <c r="D569" s="432"/>
    </row>
    <row r="570" spans="1:4" ht="15.75" customHeight="1" x14ac:dyDescent="0.3">
      <c r="A570" s="416"/>
      <c r="B570" s="415"/>
      <c r="C570" s="432"/>
      <c r="D570" s="432"/>
    </row>
    <row r="571" spans="1:4" ht="15.75" customHeight="1" x14ac:dyDescent="0.3">
      <c r="A571" s="416"/>
      <c r="B571" s="415"/>
      <c r="C571" s="432"/>
      <c r="D571" s="432"/>
    </row>
    <row r="572" spans="1:4" ht="15.75" customHeight="1" x14ac:dyDescent="0.3">
      <c r="A572" s="416"/>
      <c r="B572" s="415"/>
      <c r="C572" s="432"/>
      <c r="D572" s="432"/>
    </row>
    <row r="573" spans="1:4" ht="15.75" customHeight="1" x14ac:dyDescent="0.3">
      <c r="A573" s="416"/>
      <c r="B573" s="415"/>
      <c r="C573" s="432"/>
      <c r="D573" s="432"/>
    </row>
    <row r="574" spans="1:4" ht="15.75" customHeight="1" x14ac:dyDescent="0.3">
      <c r="A574" s="416"/>
      <c r="B574" s="415"/>
      <c r="C574" s="432"/>
      <c r="D574" s="432"/>
    </row>
    <row r="575" spans="1:4" ht="15.75" customHeight="1" x14ac:dyDescent="0.3">
      <c r="A575" s="416"/>
      <c r="B575" s="415"/>
      <c r="C575" s="432"/>
      <c r="D575" s="432"/>
    </row>
    <row r="576" spans="1:4" ht="15.75" customHeight="1" x14ac:dyDescent="0.3">
      <c r="A576" s="416"/>
      <c r="B576" s="415"/>
      <c r="C576" s="432"/>
      <c r="D576" s="432"/>
    </row>
    <row r="577" spans="1:4" ht="15.75" customHeight="1" x14ac:dyDescent="0.3">
      <c r="A577" s="416"/>
      <c r="B577" s="415"/>
      <c r="C577" s="432"/>
      <c r="D577" s="432"/>
    </row>
    <row r="578" spans="1:4" ht="15.75" customHeight="1" x14ac:dyDescent="0.3">
      <c r="A578" s="416"/>
      <c r="B578" s="415"/>
      <c r="C578" s="432"/>
      <c r="D578" s="432"/>
    </row>
    <row r="579" spans="1:4" ht="15.75" customHeight="1" x14ac:dyDescent="0.3">
      <c r="A579" s="416"/>
      <c r="B579" s="415"/>
      <c r="C579" s="432"/>
      <c r="D579" s="432"/>
    </row>
    <row r="580" spans="1:4" ht="15.75" customHeight="1" x14ac:dyDescent="0.3">
      <c r="A580" s="416"/>
      <c r="B580" s="415"/>
      <c r="C580" s="432"/>
      <c r="D580" s="432"/>
    </row>
    <row r="581" spans="1:4" ht="15.75" customHeight="1" x14ac:dyDescent="0.3">
      <c r="A581" s="416"/>
      <c r="B581" s="415"/>
      <c r="C581" s="432"/>
      <c r="D581" s="432"/>
    </row>
    <row r="582" spans="1:4" ht="15.75" customHeight="1" x14ac:dyDescent="0.3">
      <c r="A582" s="416"/>
      <c r="B582" s="415"/>
      <c r="C582" s="432"/>
      <c r="D582" s="432"/>
    </row>
    <row r="583" spans="1:4" ht="15.75" customHeight="1" x14ac:dyDescent="0.3">
      <c r="A583" s="416"/>
      <c r="B583" s="415"/>
      <c r="C583" s="432"/>
      <c r="D583" s="432"/>
    </row>
    <row r="584" spans="1:4" ht="15.75" customHeight="1" x14ac:dyDescent="0.3">
      <c r="A584" s="416"/>
      <c r="B584" s="415"/>
      <c r="C584" s="432"/>
      <c r="D584" s="432"/>
    </row>
    <row r="585" spans="1:4" ht="15.75" customHeight="1" x14ac:dyDescent="0.3">
      <c r="A585" s="416"/>
      <c r="B585" s="415"/>
      <c r="C585" s="432"/>
      <c r="D585" s="432"/>
    </row>
    <row r="586" spans="1:4" ht="15.75" customHeight="1" x14ac:dyDescent="0.3">
      <c r="A586" s="416"/>
      <c r="B586" s="415"/>
      <c r="C586" s="432"/>
      <c r="D586" s="432"/>
    </row>
    <row r="587" spans="1:4" ht="15.75" customHeight="1" x14ac:dyDescent="0.3">
      <c r="A587" s="416"/>
      <c r="B587" s="415"/>
      <c r="C587" s="432"/>
      <c r="D587" s="432"/>
    </row>
    <row r="588" spans="1:4" ht="15.75" customHeight="1" x14ac:dyDescent="0.3">
      <c r="A588" s="416"/>
      <c r="B588" s="415"/>
      <c r="C588" s="432"/>
      <c r="D588" s="432"/>
    </row>
    <row r="589" spans="1:4" ht="15.75" customHeight="1" x14ac:dyDescent="0.3">
      <c r="A589" s="416"/>
      <c r="B589" s="415"/>
      <c r="C589" s="432"/>
      <c r="D589" s="432"/>
    </row>
    <row r="590" spans="1:4" ht="15.75" customHeight="1" x14ac:dyDescent="0.3">
      <c r="A590" s="416"/>
      <c r="B590" s="415"/>
      <c r="C590" s="432"/>
      <c r="D590" s="432"/>
    </row>
    <row r="591" spans="1:4" ht="15.75" customHeight="1" x14ac:dyDescent="0.3">
      <c r="A591" s="416"/>
      <c r="B591" s="415"/>
      <c r="C591" s="432"/>
      <c r="D591" s="432"/>
    </row>
    <row r="592" spans="1:4" ht="15.75" customHeight="1" x14ac:dyDescent="0.3">
      <c r="A592" s="416"/>
      <c r="B592" s="415"/>
      <c r="C592" s="432"/>
      <c r="D592" s="432"/>
    </row>
    <row r="593" spans="1:4" ht="15.75" customHeight="1" x14ac:dyDescent="0.3">
      <c r="A593" s="416"/>
      <c r="B593" s="415"/>
      <c r="C593" s="432"/>
      <c r="D593" s="432"/>
    </row>
    <row r="594" spans="1:4" ht="15.75" customHeight="1" x14ac:dyDescent="0.3">
      <c r="A594" s="416"/>
      <c r="B594" s="415"/>
      <c r="C594" s="432"/>
      <c r="D594" s="432"/>
    </row>
    <row r="595" spans="1:4" ht="15.75" customHeight="1" x14ac:dyDescent="0.3">
      <c r="A595" s="416"/>
      <c r="B595" s="415"/>
      <c r="C595" s="432"/>
      <c r="D595" s="432"/>
    </row>
    <row r="596" spans="1:4" ht="15.75" customHeight="1" x14ac:dyDescent="0.3">
      <c r="A596" s="416"/>
      <c r="B596" s="415"/>
      <c r="C596" s="432"/>
      <c r="D596" s="432"/>
    </row>
    <row r="597" spans="1:4" ht="15.75" customHeight="1" x14ac:dyDescent="0.3">
      <c r="A597" s="416"/>
      <c r="B597" s="415"/>
      <c r="C597" s="432"/>
      <c r="D597" s="432"/>
    </row>
    <row r="598" spans="1:4" ht="15.75" customHeight="1" x14ac:dyDescent="0.3">
      <c r="A598" s="416"/>
      <c r="B598" s="415"/>
      <c r="C598" s="432"/>
      <c r="D598" s="432"/>
    </row>
    <row r="599" spans="1:4" ht="15.75" customHeight="1" x14ac:dyDescent="0.3">
      <c r="A599" s="416"/>
      <c r="B599" s="415"/>
      <c r="C599" s="432"/>
      <c r="D599" s="432"/>
    </row>
    <row r="600" spans="1:4" ht="15.75" customHeight="1" x14ac:dyDescent="0.3">
      <c r="A600" s="416"/>
      <c r="B600" s="415"/>
      <c r="C600" s="432"/>
      <c r="D600" s="432"/>
    </row>
    <row r="601" spans="1:4" ht="15.75" customHeight="1" x14ac:dyDescent="0.3">
      <c r="A601" s="416"/>
      <c r="B601" s="415"/>
      <c r="C601" s="432"/>
      <c r="D601" s="432"/>
    </row>
    <row r="602" spans="1:4" ht="15.75" customHeight="1" x14ac:dyDescent="0.3">
      <c r="A602" s="416"/>
      <c r="B602" s="415"/>
      <c r="C602" s="432"/>
      <c r="D602" s="432"/>
    </row>
    <row r="603" spans="1:4" ht="15.75" customHeight="1" x14ac:dyDescent="0.3">
      <c r="A603" s="416"/>
      <c r="B603" s="415"/>
      <c r="C603" s="432"/>
      <c r="D603" s="432"/>
    </row>
    <row r="604" spans="1:4" ht="15.75" customHeight="1" x14ac:dyDescent="0.3">
      <c r="A604" s="416"/>
      <c r="B604" s="415"/>
      <c r="C604" s="432"/>
      <c r="D604" s="432"/>
    </row>
    <row r="605" spans="1:4" ht="15.75" customHeight="1" x14ac:dyDescent="0.3">
      <c r="A605" s="416"/>
      <c r="B605" s="415"/>
      <c r="C605" s="432"/>
      <c r="D605" s="432"/>
    </row>
    <row r="606" spans="1:4" ht="15.75" customHeight="1" x14ac:dyDescent="0.3">
      <c r="A606" s="416"/>
      <c r="B606" s="415"/>
      <c r="C606" s="432"/>
      <c r="D606" s="432"/>
    </row>
    <row r="607" spans="1:4" ht="15.75" customHeight="1" x14ac:dyDescent="0.3">
      <c r="A607" s="416"/>
      <c r="B607" s="415"/>
      <c r="C607" s="432"/>
      <c r="D607" s="432"/>
    </row>
    <row r="608" spans="1:4" ht="15.75" customHeight="1" x14ac:dyDescent="0.3">
      <c r="A608" s="416"/>
      <c r="B608" s="415"/>
      <c r="C608" s="432"/>
      <c r="D608" s="432"/>
    </row>
    <row r="609" spans="1:4" ht="15.75" customHeight="1" x14ac:dyDescent="0.3">
      <c r="A609" s="416"/>
      <c r="B609" s="415"/>
      <c r="C609" s="432"/>
      <c r="D609" s="432"/>
    </row>
    <row r="610" spans="1:4" ht="15.75" customHeight="1" x14ac:dyDescent="0.3">
      <c r="A610" s="416"/>
      <c r="B610" s="415"/>
      <c r="C610" s="432"/>
      <c r="D610" s="432"/>
    </row>
    <row r="611" spans="1:4" ht="15.75" customHeight="1" x14ac:dyDescent="0.3">
      <c r="A611" s="416"/>
      <c r="B611" s="415"/>
      <c r="C611" s="432"/>
      <c r="D611" s="432"/>
    </row>
    <row r="612" spans="1:4" ht="15.75" customHeight="1" x14ac:dyDescent="0.3">
      <c r="A612" s="416"/>
      <c r="B612" s="415"/>
      <c r="C612" s="432"/>
      <c r="D612" s="432"/>
    </row>
    <row r="613" spans="1:4" ht="15.75" customHeight="1" x14ac:dyDescent="0.3">
      <c r="A613" s="416"/>
      <c r="B613" s="415"/>
      <c r="C613" s="432"/>
      <c r="D613" s="432"/>
    </row>
    <row r="614" spans="1:4" ht="15.75" customHeight="1" x14ac:dyDescent="0.3">
      <c r="A614" s="416"/>
      <c r="B614" s="415"/>
      <c r="C614" s="432"/>
      <c r="D614" s="432"/>
    </row>
    <row r="615" spans="1:4" ht="15.75" customHeight="1" x14ac:dyDescent="0.3">
      <c r="A615" s="416"/>
      <c r="B615" s="415"/>
      <c r="C615" s="432"/>
      <c r="D615" s="432"/>
    </row>
    <row r="616" spans="1:4" ht="15.75" customHeight="1" x14ac:dyDescent="0.3">
      <c r="A616" s="416"/>
      <c r="B616" s="415"/>
      <c r="C616" s="432"/>
      <c r="D616" s="432"/>
    </row>
    <row r="617" spans="1:4" ht="15.75" customHeight="1" x14ac:dyDescent="0.3">
      <c r="A617" s="416"/>
      <c r="B617" s="415"/>
      <c r="C617" s="432"/>
      <c r="D617" s="432"/>
    </row>
    <row r="618" spans="1:4" ht="15.75" customHeight="1" x14ac:dyDescent="0.3">
      <c r="A618" s="416"/>
      <c r="B618" s="415"/>
      <c r="C618" s="432"/>
      <c r="D618" s="432"/>
    </row>
    <row r="619" spans="1:4" ht="15.75" customHeight="1" x14ac:dyDescent="0.3">
      <c r="A619" s="416"/>
      <c r="B619" s="415"/>
      <c r="C619" s="432"/>
      <c r="D619" s="432"/>
    </row>
    <row r="620" spans="1:4" ht="15.75" customHeight="1" x14ac:dyDescent="0.3">
      <c r="A620" s="416"/>
      <c r="B620" s="415"/>
      <c r="C620" s="432"/>
      <c r="D620" s="432"/>
    </row>
    <row r="621" spans="1:4" ht="15.75" customHeight="1" x14ac:dyDescent="0.3">
      <c r="A621" s="416"/>
      <c r="B621" s="415"/>
      <c r="C621" s="432"/>
      <c r="D621" s="432"/>
    </row>
    <row r="622" spans="1:4" ht="15.75" customHeight="1" x14ac:dyDescent="0.3">
      <c r="A622" s="416"/>
      <c r="B622" s="415"/>
      <c r="C622" s="432"/>
      <c r="D622" s="432"/>
    </row>
    <row r="623" spans="1:4" ht="15.75" customHeight="1" x14ac:dyDescent="0.3">
      <c r="A623" s="416"/>
      <c r="B623" s="415"/>
      <c r="C623" s="432"/>
      <c r="D623" s="432"/>
    </row>
    <row r="624" spans="1:4" ht="15.75" customHeight="1" x14ac:dyDescent="0.3">
      <c r="A624" s="416"/>
      <c r="B624" s="415"/>
      <c r="C624" s="432"/>
      <c r="D624" s="432"/>
    </row>
    <row r="625" spans="1:4" ht="15.75" customHeight="1" x14ac:dyDescent="0.3">
      <c r="A625" s="416"/>
      <c r="B625" s="415"/>
      <c r="C625" s="432"/>
      <c r="D625" s="432"/>
    </row>
    <row r="626" spans="1:4" ht="15.75" customHeight="1" x14ac:dyDescent="0.3">
      <c r="A626" s="416"/>
      <c r="B626" s="415"/>
      <c r="C626" s="432"/>
      <c r="D626" s="432"/>
    </row>
    <row r="627" spans="1:4" ht="15.75" customHeight="1" x14ac:dyDescent="0.3">
      <c r="A627" s="416"/>
      <c r="B627" s="415"/>
      <c r="C627" s="432"/>
      <c r="D627" s="432"/>
    </row>
    <row r="628" spans="1:4" ht="15.75" customHeight="1" x14ac:dyDescent="0.3">
      <c r="A628" s="416"/>
      <c r="B628" s="415"/>
      <c r="C628" s="432"/>
      <c r="D628" s="432"/>
    </row>
    <row r="629" spans="1:4" ht="15.75" customHeight="1" x14ac:dyDescent="0.3">
      <c r="A629" s="416"/>
      <c r="B629" s="415"/>
      <c r="C629" s="432"/>
      <c r="D629" s="432"/>
    </row>
    <row r="630" spans="1:4" ht="15.75" customHeight="1" x14ac:dyDescent="0.3">
      <c r="A630" s="416"/>
      <c r="B630" s="415"/>
      <c r="C630" s="432"/>
      <c r="D630" s="432"/>
    </row>
    <row r="631" spans="1:4" ht="15.75" customHeight="1" x14ac:dyDescent="0.3">
      <c r="A631" s="416"/>
      <c r="B631" s="415"/>
      <c r="C631" s="432"/>
      <c r="D631" s="432"/>
    </row>
    <row r="632" spans="1:4" ht="15.75" customHeight="1" x14ac:dyDescent="0.3">
      <c r="A632" s="416"/>
      <c r="B632" s="415"/>
      <c r="C632" s="432"/>
      <c r="D632" s="432"/>
    </row>
    <row r="633" spans="1:4" ht="15.75" customHeight="1" x14ac:dyDescent="0.3">
      <c r="A633" s="416"/>
      <c r="B633" s="415"/>
      <c r="C633" s="432"/>
      <c r="D633" s="432"/>
    </row>
    <row r="634" spans="1:4" ht="15.75" customHeight="1" x14ac:dyDescent="0.3">
      <c r="A634" s="416"/>
      <c r="B634" s="415"/>
      <c r="C634" s="432"/>
      <c r="D634" s="432"/>
    </row>
    <row r="635" spans="1:4" ht="15.75" customHeight="1" x14ac:dyDescent="0.3">
      <c r="A635" s="416"/>
      <c r="B635" s="415"/>
      <c r="C635" s="432"/>
      <c r="D635" s="432"/>
    </row>
    <row r="636" spans="1:4" ht="15.75" customHeight="1" x14ac:dyDescent="0.3">
      <c r="A636" s="416"/>
      <c r="B636" s="415"/>
      <c r="C636" s="432"/>
      <c r="D636" s="432"/>
    </row>
    <row r="637" spans="1:4" ht="15.75" customHeight="1" x14ac:dyDescent="0.3">
      <c r="A637" s="416"/>
      <c r="B637" s="415"/>
      <c r="C637" s="432"/>
      <c r="D637" s="432"/>
    </row>
    <row r="638" spans="1:4" ht="15.75" customHeight="1" x14ac:dyDescent="0.3">
      <c r="A638" s="416"/>
      <c r="B638" s="415"/>
      <c r="C638" s="432"/>
      <c r="D638" s="432"/>
    </row>
    <row r="639" spans="1:4" ht="15.75" customHeight="1" x14ac:dyDescent="0.3">
      <c r="A639" s="416"/>
      <c r="B639" s="415"/>
      <c r="C639" s="432"/>
      <c r="D639" s="432"/>
    </row>
    <row r="640" spans="1:4" ht="15.75" customHeight="1" x14ac:dyDescent="0.3">
      <c r="A640" s="416"/>
      <c r="B640" s="415"/>
      <c r="C640" s="432"/>
      <c r="D640" s="432"/>
    </row>
    <row r="641" spans="1:4" ht="15.75" customHeight="1" x14ac:dyDescent="0.3">
      <c r="A641" s="416"/>
      <c r="B641" s="415"/>
      <c r="C641" s="432"/>
      <c r="D641" s="432"/>
    </row>
    <row r="642" spans="1:4" ht="15.75" customHeight="1" x14ac:dyDescent="0.3">
      <c r="A642" s="416"/>
      <c r="B642" s="415"/>
      <c r="C642" s="432"/>
      <c r="D642" s="432"/>
    </row>
    <row r="643" spans="1:4" ht="15.75" customHeight="1" x14ac:dyDescent="0.3">
      <c r="A643" s="416"/>
      <c r="B643" s="415"/>
      <c r="C643" s="432"/>
      <c r="D643" s="432"/>
    </row>
    <row r="644" spans="1:4" ht="15.75" customHeight="1" x14ac:dyDescent="0.3">
      <c r="A644" s="416"/>
      <c r="B644" s="415"/>
      <c r="C644" s="432"/>
      <c r="D644" s="432"/>
    </row>
    <row r="645" spans="1:4" ht="15.75" customHeight="1" x14ac:dyDescent="0.3">
      <c r="A645" s="416"/>
      <c r="B645" s="415"/>
      <c r="C645" s="432"/>
      <c r="D645" s="432"/>
    </row>
    <row r="646" spans="1:4" ht="15.75" customHeight="1" x14ac:dyDescent="0.3">
      <c r="A646" s="416"/>
      <c r="B646" s="415"/>
      <c r="C646" s="432"/>
      <c r="D646" s="432"/>
    </row>
    <row r="647" spans="1:4" ht="15.75" customHeight="1" x14ac:dyDescent="0.3">
      <c r="A647" s="416"/>
      <c r="B647" s="415"/>
      <c r="C647" s="432"/>
      <c r="D647" s="432"/>
    </row>
    <row r="648" spans="1:4" ht="15.75" customHeight="1" x14ac:dyDescent="0.3">
      <c r="A648" s="416"/>
      <c r="B648" s="415"/>
      <c r="C648" s="432"/>
      <c r="D648" s="432"/>
    </row>
    <row r="649" spans="1:4" ht="15.75" customHeight="1" x14ac:dyDescent="0.3">
      <c r="A649" s="416"/>
      <c r="B649" s="415"/>
      <c r="C649" s="432"/>
      <c r="D649" s="432"/>
    </row>
    <row r="650" spans="1:4" ht="15.75" customHeight="1" x14ac:dyDescent="0.3">
      <c r="A650" s="416"/>
      <c r="B650" s="415"/>
      <c r="C650" s="432"/>
      <c r="D650" s="432"/>
    </row>
    <row r="651" spans="1:4" ht="15.75" customHeight="1" x14ac:dyDescent="0.3">
      <c r="A651" s="416"/>
      <c r="B651" s="415"/>
      <c r="C651" s="432"/>
      <c r="D651" s="432"/>
    </row>
    <row r="652" spans="1:4" ht="15.75" customHeight="1" x14ac:dyDescent="0.3">
      <c r="A652" s="416"/>
      <c r="B652" s="415"/>
      <c r="C652" s="432"/>
      <c r="D652" s="432"/>
    </row>
    <row r="653" spans="1:4" ht="15.75" customHeight="1" x14ac:dyDescent="0.3">
      <c r="A653" s="416"/>
      <c r="B653" s="415"/>
      <c r="C653" s="432"/>
      <c r="D653" s="432"/>
    </row>
    <row r="654" spans="1:4" ht="15.75" customHeight="1" x14ac:dyDescent="0.3">
      <c r="A654" s="416"/>
      <c r="B654" s="415"/>
      <c r="C654" s="432"/>
      <c r="D654" s="432"/>
    </row>
    <row r="655" spans="1:4" ht="15.75" customHeight="1" x14ac:dyDescent="0.3">
      <c r="A655" s="416"/>
      <c r="B655" s="415"/>
      <c r="C655" s="432"/>
      <c r="D655" s="432"/>
    </row>
    <row r="656" spans="1:4" ht="15.75" customHeight="1" x14ac:dyDescent="0.3">
      <c r="A656" s="416"/>
      <c r="B656" s="415"/>
      <c r="C656" s="432"/>
      <c r="D656" s="432"/>
    </row>
    <row r="657" spans="1:4" ht="15.75" customHeight="1" x14ac:dyDescent="0.3">
      <c r="A657" s="416"/>
      <c r="B657" s="415"/>
      <c r="C657" s="432"/>
      <c r="D657" s="432"/>
    </row>
    <row r="658" spans="1:4" ht="15.75" customHeight="1" x14ac:dyDescent="0.3">
      <c r="A658" s="416"/>
      <c r="B658" s="415"/>
      <c r="C658" s="432"/>
      <c r="D658" s="432"/>
    </row>
    <row r="659" spans="1:4" ht="15.75" customHeight="1" x14ac:dyDescent="0.3">
      <c r="A659" s="416"/>
      <c r="B659" s="415"/>
      <c r="C659" s="432"/>
      <c r="D659" s="432"/>
    </row>
    <row r="660" spans="1:4" ht="15.75" customHeight="1" x14ac:dyDescent="0.3">
      <c r="A660" s="416"/>
      <c r="B660" s="415"/>
      <c r="C660" s="432"/>
      <c r="D660" s="432"/>
    </row>
    <row r="661" spans="1:4" ht="15.75" customHeight="1" x14ac:dyDescent="0.3">
      <c r="A661" s="416"/>
      <c r="B661" s="415"/>
      <c r="C661" s="432"/>
      <c r="D661" s="432"/>
    </row>
    <row r="662" spans="1:4" ht="15.75" customHeight="1" x14ac:dyDescent="0.3">
      <c r="A662" s="416"/>
      <c r="B662" s="415"/>
      <c r="C662" s="432"/>
      <c r="D662" s="432"/>
    </row>
    <row r="663" spans="1:4" ht="15.75" customHeight="1" x14ac:dyDescent="0.3">
      <c r="A663" s="416"/>
      <c r="B663" s="415"/>
      <c r="C663" s="432"/>
      <c r="D663" s="432"/>
    </row>
    <row r="664" spans="1:4" ht="15.75" customHeight="1" x14ac:dyDescent="0.3">
      <c r="A664" s="416"/>
      <c r="B664" s="415"/>
      <c r="C664" s="432"/>
      <c r="D664" s="432"/>
    </row>
    <row r="665" spans="1:4" ht="15.75" customHeight="1" x14ac:dyDescent="0.3">
      <c r="A665" s="416"/>
      <c r="B665" s="415"/>
      <c r="C665" s="432"/>
      <c r="D665" s="432"/>
    </row>
    <row r="666" spans="1:4" ht="15.75" customHeight="1" x14ac:dyDescent="0.3">
      <c r="A666" s="416"/>
      <c r="B666" s="415"/>
      <c r="C666" s="432"/>
      <c r="D666" s="432"/>
    </row>
    <row r="667" spans="1:4" ht="15.75" customHeight="1" x14ac:dyDescent="0.3">
      <c r="A667" s="416"/>
      <c r="B667" s="415"/>
      <c r="C667" s="432"/>
      <c r="D667" s="432"/>
    </row>
    <row r="668" spans="1:4" ht="15.75" customHeight="1" x14ac:dyDescent="0.3">
      <c r="A668" s="416"/>
      <c r="B668" s="415"/>
      <c r="C668" s="432"/>
      <c r="D668" s="432"/>
    </row>
    <row r="669" spans="1:4" ht="15.75" customHeight="1" x14ac:dyDescent="0.3">
      <c r="A669" s="416"/>
      <c r="B669" s="415"/>
      <c r="C669" s="432"/>
      <c r="D669" s="432"/>
    </row>
    <row r="670" spans="1:4" ht="15.75" customHeight="1" x14ac:dyDescent="0.3">
      <c r="A670" s="416"/>
      <c r="B670" s="415"/>
      <c r="C670" s="432"/>
      <c r="D670" s="432"/>
    </row>
    <row r="671" spans="1:4" ht="15.75" customHeight="1" x14ac:dyDescent="0.3">
      <c r="A671" s="416"/>
      <c r="B671" s="415"/>
      <c r="C671" s="432"/>
      <c r="D671" s="432"/>
    </row>
    <row r="672" spans="1:4" ht="15.75" customHeight="1" x14ac:dyDescent="0.3">
      <c r="A672" s="416"/>
      <c r="B672" s="415"/>
      <c r="C672" s="432"/>
      <c r="D672" s="432"/>
    </row>
    <row r="673" spans="1:4" ht="15.75" customHeight="1" x14ac:dyDescent="0.3">
      <c r="A673" s="416"/>
      <c r="B673" s="415"/>
      <c r="C673" s="432"/>
      <c r="D673" s="432"/>
    </row>
    <row r="674" spans="1:4" ht="15.75" customHeight="1" x14ac:dyDescent="0.3">
      <c r="A674" s="416"/>
      <c r="B674" s="415"/>
      <c r="C674" s="432"/>
      <c r="D674" s="432"/>
    </row>
    <row r="675" spans="1:4" ht="15.75" customHeight="1" x14ac:dyDescent="0.3">
      <c r="A675" s="416"/>
      <c r="B675" s="415"/>
      <c r="C675" s="432"/>
      <c r="D675" s="432"/>
    </row>
    <row r="676" spans="1:4" ht="15.75" customHeight="1" x14ac:dyDescent="0.3">
      <c r="A676" s="416"/>
      <c r="B676" s="415"/>
      <c r="C676" s="432"/>
      <c r="D676" s="432"/>
    </row>
    <row r="677" spans="1:4" ht="15.75" customHeight="1" x14ac:dyDescent="0.3">
      <c r="A677" s="416"/>
      <c r="B677" s="415"/>
      <c r="C677" s="432"/>
      <c r="D677" s="432"/>
    </row>
    <row r="678" spans="1:4" ht="15.75" customHeight="1" x14ac:dyDescent="0.3">
      <c r="A678" s="416"/>
      <c r="B678" s="415"/>
      <c r="C678" s="432"/>
      <c r="D678" s="432"/>
    </row>
    <row r="679" spans="1:4" ht="15.75" customHeight="1" x14ac:dyDescent="0.3">
      <c r="A679" s="416"/>
      <c r="B679" s="415"/>
      <c r="C679" s="432"/>
      <c r="D679" s="432"/>
    </row>
    <row r="680" spans="1:4" ht="15.75" customHeight="1" x14ac:dyDescent="0.3">
      <c r="A680" s="416"/>
      <c r="B680" s="415"/>
      <c r="C680" s="432"/>
      <c r="D680" s="432"/>
    </row>
    <row r="681" spans="1:4" ht="15.75" customHeight="1" x14ac:dyDescent="0.3">
      <c r="A681" s="416"/>
      <c r="B681" s="415"/>
      <c r="C681" s="432"/>
      <c r="D681" s="432"/>
    </row>
    <row r="682" spans="1:4" ht="15.75" customHeight="1" x14ac:dyDescent="0.3">
      <c r="A682" s="416"/>
      <c r="B682" s="415"/>
      <c r="C682" s="432"/>
      <c r="D682" s="432"/>
    </row>
    <row r="683" spans="1:4" ht="15.75" customHeight="1" x14ac:dyDescent="0.3">
      <c r="A683" s="416"/>
      <c r="B683" s="415"/>
      <c r="C683" s="432"/>
      <c r="D683" s="432"/>
    </row>
    <row r="684" spans="1:4" ht="15.75" customHeight="1" x14ac:dyDescent="0.3">
      <c r="A684" s="416"/>
      <c r="B684" s="415"/>
      <c r="C684" s="432"/>
      <c r="D684" s="432"/>
    </row>
    <row r="685" spans="1:4" ht="15.75" customHeight="1" x14ac:dyDescent="0.3">
      <c r="A685" s="416"/>
      <c r="B685" s="415"/>
      <c r="C685" s="432"/>
      <c r="D685" s="432"/>
    </row>
    <row r="686" spans="1:4" ht="15.75" customHeight="1" x14ac:dyDescent="0.3">
      <c r="A686" s="416"/>
      <c r="B686" s="415"/>
      <c r="C686" s="432"/>
      <c r="D686" s="432"/>
    </row>
    <row r="687" spans="1:4" ht="15.75" customHeight="1" x14ac:dyDescent="0.3">
      <c r="A687" s="416"/>
      <c r="B687" s="415"/>
      <c r="C687" s="432"/>
      <c r="D687" s="432"/>
    </row>
    <row r="688" spans="1:4" ht="15.75" customHeight="1" x14ac:dyDescent="0.3">
      <c r="A688" s="416"/>
      <c r="B688" s="415"/>
      <c r="C688" s="432"/>
      <c r="D688" s="432"/>
    </row>
    <row r="689" spans="1:4" ht="15.75" customHeight="1" x14ac:dyDescent="0.3">
      <c r="A689" s="416"/>
      <c r="B689" s="415"/>
      <c r="C689" s="432"/>
      <c r="D689" s="432"/>
    </row>
    <row r="690" spans="1:4" ht="15.75" customHeight="1" x14ac:dyDescent="0.3">
      <c r="A690" s="416"/>
      <c r="B690" s="415"/>
      <c r="C690" s="432"/>
      <c r="D690" s="432"/>
    </row>
    <row r="691" spans="1:4" ht="15.75" customHeight="1" x14ac:dyDescent="0.3">
      <c r="A691" s="416"/>
      <c r="B691" s="415"/>
      <c r="C691" s="432"/>
      <c r="D691" s="432"/>
    </row>
    <row r="692" spans="1:4" ht="15.75" customHeight="1" x14ac:dyDescent="0.3">
      <c r="A692" s="416"/>
      <c r="B692" s="415"/>
      <c r="C692" s="432"/>
      <c r="D692" s="432"/>
    </row>
    <row r="693" spans="1:4" ht="15.75" customHeight="1" x14ac:dyDescent="0.3">
      <c r="A693" s="416"/>
      <c r="B693" s="415"/>
      <c r="C693" s="432"/>
      <c r="D693" s="432"/>
    </row>
    <row r="694" spans="1:4" ht="15.75" customHeight="1" x14ac:dyDescent="0.3">
      <c r="A694" s="416"/>
      <c r="B694" s="415"/>
      <c r="C694" s="432"/>
      <c r="D694" s="432"/>
    </row>
    <row r="695" spans="1:4" ht="15.75" customHeight="1" x14ac:dyDescent="0.3">
      <c r="A695" s="416"/>
      <c r="B695" s="415"/>
      <c r="C695" s="432"/>
      <c r="D695" s="432"/>
    </row>
    <row r="696" spans="1:4" ht="15.75" customHeight="1" x14ac:dyDescent="0.3">
      <c r="A696" s="416"/>
      <c r="B696" s="415"/>
      <c r="C696" s="432"/>
      <c r="D696" s="432"/>
    </row>
    <row r="697" spans="1:4" ht="15.75" customHeight="1" x14ac:dyDescent="0.3">
      <c r="A697" s="416"/>
      <c r="B697" s="415"/>
      <c r="C697" s="432"/>
      <c r="D697" s="432"/>
    </row>
    <row r="698" spans="1:4" ht="15.75" customHeight="1" x14ac:dyDescent="0.3">
      <c r="A698" s="416"/>
      <c r="B698" s="415"/>
      <c r="C698" s="432"/>
      <c r="D698" s="432"/>
    </row>
    <row r="699" spans="1:4" ht="15.75" customHeight="1" x14ac:dyDescent="0.3">
      <c r="A699" s="416"/>
      <c r="B699" s="415"/>
      <c r="C699" s="432"/>
      <c r="D699" s="432"/>
    </row>
    <row r="700" spans="1:4" ht="15.75" customHeight="1" x14ac:dyDescent="0.3">
      <c r="A700" s="416"/>
      <c r="B700" s="415"/>
      <c r="C700" s="432"/>
      <c r="D700" s="432"/>
    </row>
    <row r="701" spans="1:4" ht="15.75" customHeight="1" x14ac:dyDescent="0.3">
      <c r="A701" s="416"/>
      <c r="B701" s="415"/>
      <c r="C701" s="432"/>
      <c r="D701" s="432"/>
    </row>
    <row r="702" spans="1:4" ht="15.75" customHeight="1" x14ac:dyDescent="0.3">
      <c r="A702" s="416"/>
      <c r="B702" s="415"/>
      <c r="C702" s="432"/>
      <c r="D702" s="432"/>
    </row>
    <row r="703" spans="1:4" ht="15.75" customHeight="1" x14ac:dyDescent="0.3">
      <c r="A703" s="416"/>
      <c r="B703" s="415"/>
      <c r="C703" s="432"/>
      <c r="D703" s="432"/>
    </row>
    <row r="704" spans="1:4" ht="15.75" customHeight="1" x14ac:dyDescent="0.3">
      <c r="A704" s="416"/>
      <c r="B704" s="415"/>
      <c r="C704" s="432"/>
      <c r="D704" s="432"/>
    </row>
    <row r="705" spans="1:4" ht="15.75" customHeight="1" x14ac:dyDescent="0.3">
      <c r="A705" s="416"/>
      <c r="B705" s="415"/>
      <c r="C705" s="432"/>
      <c r="D705" s="432"/>
    </row>
    <row r="706" spans="1:4" ht="15.75" customHeight="1" x14ac:dyDescent="0.3">
      <c r="A706" s="416"/>
      <c r="B706" s="415"/>
      <c r="C706" s="432"/>
      <c r="D706" s="432"/>
    </row>
    <row r="707" spans="1:4" ht="15.75" customHeight="1" x14ac:dyDescent="0.3">
      <c r="A707" s="416"/>
      <c r="B707" s="415"/>
      <c r="C707" s="432"/>
      <c r="D707" s="432"/>
    </row>
    <row r="708" spans="1:4" ht="15.75" customHeight="1" x14ac:dyDescent="0.3">
      <c r="A708" s="416"/>
      <c r="B708" s="415"/>
      <c r="C708" s="432"/>
      <c r="D708" s="432"/>
    </row>
    <row r="709" spans="1:4" ht="15.75" customHeight="1" x14ac:dyDescent="0.3">
      <c r="A709" s="416"/>
      <c r="B709" s="415"/>
      <c r="C709" s="432"/>
      <c r="D709" s="432"/>
    </row>
    <row r="710" spans="1:4" ht="15.75" customHeight="1" x14ac:dyDescent="0.3">
      <c r="A710" s="416"/>
      <c r="B710" s="415"/>
      <c r="C710" s="432"/>
      <c r="D710" s="432"/>
    </row>
    <row r="711" spans="1:4" ht="15.75" customHeight="1" x14ac:dyDescent="0.3">
      <c r="A711" s="416"/>
      <c r="B711" s="415"/>
      <c r="C711" s="432"/>
      <c r="D711" s="432"/>
    </row>
    <row r="712" spans="1:4" ht="15.75" customHeight="1" x14ac:dyDescent="0.3">
      <c r="A712" s="416"/>
      <c r="B712" s="415"/>
      <c r="C712" s="432"/>
      <c r="D712" s="432"/>
    </row>
    <row r="713" spans="1:4" ht="15.75" customHeight="1" x14ac:dyDescent="0.3">
      <c r="A713" s="416"/>
      <c r="B713" s="415"/>
      <c r="C713" s="432"/>
      <c r="D713" s="432"/>
    </row>
    <row r="714" spans="1:4" ht="15.75" customHeight="1" x14ac:dyDescent="0.3">
      <c r="A714" s="416"/>
      <c r="B714" s="415"/>
      <c r="C714" s="432"/>
      <c r="D714" s="432"/>
    </row>
    <row r="715" spans="1:4" ht="15.75" customHeight="1" x14ac:dyDescent="0.3">
      <c r="A715" s="416"/>
      <c r="B715" s="415"/>
      <c r="C715" s="432"/>
      <c r="D715" s="432"/>
    </row>
    <row r="716" spans="1:4" ht="15.75" customHeight="1" x14ac:dyDescent="0.3">
      <c r="A716" s="416"/>
      <c r="B716" s="415"/>
      <c r="C716" s="432"/>
      <c r="D716" s="432"/>
    </row>
    <row r="717" spans="1:4" ht="15.75" customHeight="1" x14ac:dyDescent="0.3">
      <c r="A717" s="416"/>
      <c r="B717" s="415"/>
      <c r="C717" s="432"/>
      <c r="D717" s="432"/>
    </row>
    <row r="718" spans="1:4" ht="15.75" customHeight="1" x14ac:dyDescent="0.3">
      <c r="A718" s="416"/>
      <c r="B718" s="415"/>
      <c r="C718" s="432"/>
      <c r="D718" s="432"/>
    </row>
    <row r="719" spans="1:4" ht="15.75" customHeight="1" x14ac:dyDescent="0.3">
      <c r="A719" s="416"/>
      <c r="B719" s="415"/>
      <c r="C719" s="432"/>
      <c r="D719" s="432"/>
    </row>
    <row r="720" spans="1:4" ht="15.75" customHeight="1" x14ac:dyDescent="0.3">
      <c r="A720" s="416"/>
      <c r="B720" s="415"/>
      <c r="C720" s="432"/>
      <c r="D720" s="432"/>
    </row>
    <row r="721" spans="1:4" ht="15.75" customHeight="1" x14ac:dyDescent="0.3">
      <c r="A721" s="416"/>
      <c r="B721" s="415"/>
      <c r="C721" s="432"/>
      <c r="D721" s="432"/>
    </row>
    <row r="722" spans="1:4" ht="15.75" customHeight="1" x14ac:dyDescent="0.3">
      <c r="A722" s="416"/>
      <c r="B722" s="415"/>
      <c r="C722" s="432"/>
      <c r="D722" s="432"/>
    </row>
    <row r="723" spans="1:4" ht="15.75" customHeight="1" x14ac:dyDescent="0.3">
      <c r="A723" s="416"/>
      <c r="B723" s="415"/>
      <c r="C723" s="432"/>
      <c r="D723" s="432"/>
    </row>
    <row r="724" spans="1:4" ht="15.75" customHeight="1" x14ac:dyDescent="0.3">
      <c r="A724" s="416"/>
      <c r="B724" s="415"/>
      <c r="C724" s="432"/>
      <c r="D724" s="432"/>
    </row>
    <row r="725" spans="1:4" ht="15.75" customHeight="1" x14ac:dyDescent="0.3">
      <c r="A725" s="416"/>
      <c r="B725" s="415"/>
      <c r="C725" s="432"/>
      <c r="D725" s="432"/>
    </row>
    <row r="726" spans="1:4" ht="15.75" customHeight="1" x14ac:dyDescent="0.3">
      <c r="A726" s="416"/>
      <c r="B726" s="415"/>
      <c r="C726" s="432"/>
      <c r="D726" s="432"/>
    </row>
    <row r="727" spans="1:4" ht="15.75" customHeight="1" x14ac:dyDescent="0.3">
      <c r="A727" s="416"/>
      <c r="B727" s="415"/>
      <c r="C727" s="432"/>
      <c r="D727" s="432"/>
    </row>
    <row r="728" spans="1:4" ht="15.75" customHeight="1" x14ac:dyDescent="0.3">
      <c r="A728" s="416"/>
      <c r="B728" s="415"/>
      <c r="C728" s="432"/>
      <c r="D728" s="432"/>
    </row>
    <row r="729" spans="1:4" ht="15.75" customHeight="1" x14ac:dyDescent="0.3">
      <c r="A729" s="416"/>
      <c r="B729" s="415"/>
      <c r="C729" s="432"/>
      <c r="D729" s="432"/>
    </row>
    <row r="730" spans="1:4" ht="15.75" customHeight="1" x14ac:dyDescent="0.3">
      <c r="A730" s="416"/>
      <c r="B730" s="415"/>
      <c r="C730" s="432"/>
      <c r="D730" s="432"/>
    </row>
    <row r="731" spans="1:4" ht="15.75" customHeight="1" x14ac:dyDescent="0.3">
      <c r="A731" s="416"/>
      <c r="B731" s="415"/>
      <c r="C731" s="432"/>
      <c r="D731" s="432"/>
    </row>
    <row r="732" spans="1:4" ht="15.75" customHeight="1" x14ac:dyDescent="0.3">
      <c r="A732" s="416"/>
      <c r="B732" s="415"/>
      <c r="C732" s="432"/>
      <c r="D732" s="432"/>
    </row>
    <row r="733" spans="1:4" ht="15.75" customHeight="1" x14ac:dyDescent="0.3">
      <c r="A733" s="416"/>
      <c r="B733" s="415"/>
      <c r="C733" s="432"/>
      <c r="D733" s="432"/>
    </row>
    <row r="734" spans="1:4" ht="15.75" customHeight="1" x14ac:dyDescent="0.3">
      <c r="A734" s="416"/>
      <c r="B734" s="415"/>
      <c r="C734" s="432"/>
      <c r="D734" s="432"/>
    </row>
    <row r="735" spans="1:4" ht="15.75" customHeight="1" x14ac:dyDescent="0.3">
      <c r="A735" s="416"/>
      <c r="B735" s="415"/>
      <c r="C735" s="432"/>
      <c r="D735" s="432"/>
    </row>
    <row r="736" spans="1:4" ht="15.75" customHeight="1" x14ac:dyDescent="0.3">
      <c r="A736" s="416"/>
      <c r="B736" s="415"/>
      <c r="C736" s="432"/>
      <c r="D736" s="432"/>
    </row>
    <row r="737" spans="1:4" ht="15.75" customHeight="1" x14ac:dyDescent="0.3">
      <c r="A737" s="416"/>
      <c r="B737" s="415"/>
      <c r="C737" s="432"/>
      <c r="D737" s="432"/>
    </row>
    <row r="738" spans="1:4" ht="15.75" customHeight="1" x14ac:dyDescent="0.3">
      <c r="A738" s="416"/>
      <c r="B738" s="415"/>
      <c r="C738" s="432"/>
      <c r="D738" s="432"/>
    </row>
    <row r="739" spans="1:4" ht="15.75" customHeight="1" x14ac:dyDescent="0.3">
      <c r="A739" s="416"/>
      <c r="B739" s="415"/>
      <c r="C739" s="432"/>
      <c r="D739" s="432"/>
    </row>
    <row r="740" spans="1:4" ht="15.75" customHeight="1" x14ac:dyDescent="0.3">
      <c r="A740" s="416"/>
      <c r="B740" s="415"/>
      <c r="C740" s="432"/>
      <c r="D740" s="432"/>
    </row>
    <row r="741" spans="1:4" ht="15.75" customHeight="1" x14ac:dyDescent="0.3">
      <c r="A741" s="416"/>
      <c r="B741" s="415"/>
      <c r="C741" s="432"/>
      <c r="D741" s="432"/>
    </row>
    <row r="742" spans="1:4" ht="15.75" customHeight="1" x14ac:dyDescent="0.3">
      <c r="A742" s="416"/>
      <c r="B742" s="415"/>
      <c r="C742" s="432"/>
      <c r="D742" s="432"/>
    </row>
    <row r="743" spans="1:4" ht="15.75" customHeight="1" x14ac:dyDescent="0.3">
      <c r="A743" s="416"/>
      <c r="B743" s="415"/>
      <c r="C743" s="432"/>
      <c r="D743" s="432"/>
    </row>
    <row r="744" spans="1:4" ht="15.75" customHeight="1" x14ac:dyDescent="0.3">
      <c r="A744" s="416"/>
      <c r="B744" s="415"/>
      <c r="C744" s="432"/>
      <c r="D744" s="432"/>
    </row>
    <row r="745" spans="1:4" ht="15.75" customHeight="1" x14ac:dyDescent="0.3">
      <c r="A745" s="416"/>
      <c r="B745" s="415"/>
      <c r="C745" s="432"/>
      <c r="D745" s="432"/>
    </row>
    <row r="746" spans="1:4" ht="15.75" customHeight="1" x14ac:dyDescent="0.3">
      <c r="A746" s="416"/>
      <c r="B746" s="415"/>
      <c r="C746" s="432"/>
      <c r="D746" s="432"/>
    </row>
    <row r="747" spans="1:4" ht="15.75" customHeight="1" x14ac:dyDescent="0.3">
      <c r="A747" s="416"/>
      <c r="B747" s="415"/>
      <c r="C747" s="432"/>
      <c r="D747" s="432"/>
    </row>
    <row r="748" spans="1:4" ht="15.75" customHeight="1" x14ac:dyDescent="0.3">
      <c r="A748" s="416"/>
      <c r="B748" s="415"/>
      <c r="C748" s="432"/>
      <c r="D748" s="432"/>
    </row>
    <row r="749" spans="1:4" ht="15.75" customHeight="1" x14ac:dyDescent="0.3">
      <c r="A749" s="416"/>
      <c r="B749" s="415"/>
      <c r="C749" s="432"/>
      <c r="D749" s="432"/>
    </row>
    <row r="750" spans="1:4" ht="15.75" customHeight="1" x14ac:dyDescent="0.3">
      <c r="A750" s="416"/>
      <c r="B750" s="415"/>
      <c r="C750" s="432"/>
      <c r="D750" s="432"/>
    </row>
    <row r="751" spans="1:4" ht="15.75" customHeight="1" x14ac:dyDescent="0.3">
      <c r="A751" s="416"/>
      <c r="B751" s="415"/>
      <c r="C751" s="432"/>
      <c r="D751" s="432"/>
    </row>
    <row r="752" spans="1:4" ht="15.75" customHeight="1" x14ac:dyDescent="0.3">
      <c r="A752" s="416"/>
      <c r="B752" s="415"/>
      <c r="C752" s="432"/>
      <c r="D752" s="432"/>
    </row>
    <row r="753" spans="1:4" ht="15.75" customHeight="1" x14ac:dyDescent="0.3">
      <c r="A753" s="416"/>
      <c r="B753" s="415"/>
      <c r="C753" s="432"/>
      <c r="D753" s="432"/>
    </row>
    <row r="754" spans="1:4" ht="15.75" customHeight="1" x14ac:dyDescent="0.3">
      <c r="A754" s="416"/>
      <c r="B754" s="415"/>
      <c r="C754" s="432"/>
      <c r="D754" s="432"/>
    </row>
    <row r="755" spans="1:4" ht="15.75" customHeight="1" x14ac:dyDescent="0.3">
      <c r="A755" s="416"/>
      <c r="B755" s="415"/>
      <c r="C755" s="432"/>
      <c r="D755" s="432"/>
    </row>
    <row r="756" spans="1:4" ht="15.75" customHeight="1" x14ac:dyDescent="0.3">
      <c r="A756" s="416"/>
      <c r="B756" s="415"/>
      <c r="C756" s="432"/>
      <c r="D756" s="432"/>
    </row>
    <row r="757" spans="1:4" ht="15.75" customHeight="1" x14ac:dyDescent="0.3">
      <c r="A757" s="416"/>
      <c r="B757" s="415"/>
      <c r="C757" s="432"/>
      <c r="D757" s="432"/>
    </row>
    <row r="758" spans="1:4" ht="15.75" customHeight="1" x14ac:dyDescent="0.3">
      <c r="A758" s="416"/>
      <c r="B758" s="415"/>
      <c r="C758" s="432"/>
      <c r="D758" s="432"/>
    </row>
    <row r="759" spans="1:4" ht="15.75" customHeight="1" x14ac:dyDescent="0.3">
      <c r="A759" s="416"/>
      <c r="B759" s="415"/>
      <c r="C759" s="432"/>
      <c r="D759" s="432"/>
    </row>
    <row r="760" spans="1:4" ht="15.75" customHeight="1" x14ac:dyDescent="0.3">
      <c r="A760" s="416"/>
      <c r="B760" s="415"/>
      <c r="C760" s="432"/>
      <c r="D760" s="432"/>
    </row>
    <row r="761" spans="1:4" ht="15.75" customHeight="1" x14ac:dyDescent="0.3">
      <c r="A761" s="416"/>
      <c r="B761" s="415"/>
      <c r="C761" s="432"/>
      <c r="D761" s="432"/>
    </row>
    <row r="762" spans="1:4" ht="15.75" customHeight="1" x14ac:dyDescent="0.3">
      <c r="A762" s="416"/>
      <c r="B762" s="415"/>
      <c r="C762" s="432"/>
      <c r="D762" s="432"/>
    </row>
    <row r="763" spans="1:4" ht="15.75" customHeight="1" x14ac:dyDescent="0.3">
      <c r="A763" s="416"/>
      <c r="B763" s="415"/>
      <c r="C763" s="432"/>
      <c r="D763" s="432"/>
    </row>
    <row r="764" spans="1:4" ht="15.75" customHeight="1" x14ac:dyDescent="0.3">
      <c r="A764" s="416"/>
      <c r="B764" s="415"/>
      <c r="C764" s="432"/>
      <c r="D764" s="432"/>
    </row>
    <row r="765" spans="1:4" ht="15.75" customHeight="1" x14ac:dyDescent="0.3">
      <c r="A765" s="416"/>
      <c r="B765" s="415"/>
      <c r="C765" s="432"/>
      <c r="D765" s="432"/>
    </row>
    <row r="766" spans="1:4" ht="15.75" customHeight="1" x14ac:dyDescent="0.3">
      <c r="A766" s="416"/>
      <c r="B766" s="415"/>
      <c r="C766" s="432"/>
      <c r="D766" s="432"/>
    </row>
    <row r="767" spans="1:4" ht="15.75" customHeight="1" x14ac:dyDescent="0.3">
      <c r="A767" s="416"/>
      <c r="B767" s="415"/>
      <c r="C767" s="432"/>
      <c r="D767" s="432"/>
    </row>
    <row r="768" spans="1:4" ht="15.75" customHeight="1" x14ac:dyDescent="0.3">
      <c r="A768" s="416"/>
      <c r="B768" s="415"/>
      <c r="C768" s="432"/>
      <c r="D768" s="432"/>
    </row>
    <row r="769" spans="1:4" ht="15.75" customHeight="1" x14ac:dyDescent="0.3">
      <c r="A769" s="416"/>
      <c r="B769" s="415"/>
      <c r="C769" s="432"/>
      <c r="D769" s="432"/>
    </row>
    <row r="770" spans="1:4" ht="15.75" customHeight="1" x14ac:dyDescent="0.3">
      <c r="A770" s="416"/>
      <c r="B770" s="415"/>
      <c r="C770" s="432"/>
      <c r="D770" s="432"/>
    </row>
    <row r="771" spans="1:4" ht="15.75" customHeight="1" x14ac:dyDescent="0.3">
      <c r="A771" s="416"/>
      <c r="B771" s="415"/>
      <c r="C771" s="432"/>
      <c r="D771" s="432"/>
    </row>
    <row r="772" spans="1:4" ht="15.75" customHeight="1" x14ac:dyDescent="0.3">
      <c r="A772" s="416"/>
      <c r="B772" s="415"/>
      <c r="C772" s="432"/>
      <c r="D772" s="432"/>
    </row>
    <row r="773" spans="1:4" ht="15.75" customHeight="1" x14ac:dyDescent="0.3">
      <c r="A773" s="416"/>
      <c r="B773" s="415"/>
      <c r="C773" s="432"/>
      <c r="D773" s="432"/>
    </row>
    <row r="774" spans="1:4" ht="15.75" customHeight="1" x14ac:dyDescent="0.3">
      <c r="A774" s="416"/>
      <c r="B774" s="415"/>
      <c r="C774" s="432"/>
      <c r="D774" s="432"/>
    </row>
    <row r="775" spans="1:4" ht="15.75" customHeight="1" x14ac:dyDescent="0.3">
      <c r="A775" s="416"/>
      <c r="B775" s="415"/>
      <c r="C775" s="432"/>
      <c r="D775" s="432"/>
    </row>
    <row r="776" spans="1:4" ht="15.75" customHeight="1" x14ac:dyDescent="0.3">
      <c r="A776" s="416"/>
      <c r="B776" s="415"/>
      <c r="C776" s="432"/>
      <c r="D776" s="432"/>
    </row>
    <row r="777" spans="1:4" ht="15.75" customHeight="1" x14ac:dyDescent="0.3">
      <c r="A777" s="416"/>
      <c r="B777" s="415"/>
      <c r="C777" s="432"/>
      <c r="D777" s="432"/>
    </row>
    <row r="778" spans="1:4" ht="15.75" customHeight="1" x14ac:dyDescent="0.3">
      <c r="A778" s="416"/>
      <c r="B778" s="415"/>
      <c r="C778" s="432"/>
      <c r="D778" s="432"/>
    </row>
    <row r="779" spans="1:4" ht="15.75" customHeight="1" x14ac:dyDescent="0.3">
      <c r="A779" s="416"/>
      <c r="B779" s="415"/>
      <c r="C779" s="432"/>
      <c r="D779" s="432"/>
    </row>
    <row r="780" spans="1:4" ht="15.75" customHeight="1" x14ac:dyDescent="0.3">
      <c r="A780" s="416"/>
      <c r="B780" s="415"/>
      <c r="C780" s="432"/>
      <c r="D780" s="432"/>
    </row>
    <row r="781" spans="1:4" ht="15.75" customHeight="1" x14ac:dyDescent="0.3">
      <c r="A781" s="416"/>
      <c r="B781" s="415"/>
      <c r="C781" s="432"/>
      <c r="D781" s="432"/>
    </row>
    <row r="782" spans="1:4" ht="15.75" customHeight="1" x14ac:dyDescent="0.3">
      <c r="A782" s="416"/>
      <c r="B782" s="415"/>
      <c r="C782" s="432"/>
      <c r="D782" s="432"/>
    </row>
    <row r="783" spans="1:4" ht="15.75" customHeight="1" x14ac:dyDescent="0.3">
      <c r="A783" s="416"/>
      <c r="B783" s="415"/>
      <c r="C783" s="432"/>
      <c r="D783" s="432"/>
    </row>
    <row r="784" spans="1:4" ht="15.75" customHeight="1" x14ac:dyDescent="0.3">
      <c r="A784" s="416"/>
      <c r="B784" s="415"/>
      <c r="C784" s="432"/>
      <c r="D784" s="432"/>
    </row>
    <row r="785" spans="1:4" ht="15.75" customHeight="1" x14ac:dyDescent="0.3">
      <c r="A785" s="416"/>
      <c r="B785" s="415"/>
      <c r="C785" s="432"/>
      <c r="D785" s="432"/>
    </row>
    <row r="786" spans="1:4" ht="15.75" customHeight="1" x14ac:dyDescent="0.3">
      <c r="A786" s="416"/>
      <c r="B786" s="415"/>
      <c r="C786" s="432"/>
      <c r="D786" s="432"/>
    </row>
    <row r="787" spans="1:4" ht="15.75" customHeight="1" x14ac:dyDescent="0.3">
      <c r="A787" s="416"/>
      <c r="B787" s="415"/>
      <c r="C787" s="432"/>
      <c r="D787" s="432"/>
    </row>
    <row r="788" spans="1:4" ht="15.75" customHeight="1" x14ac:dyDescent="0.3">
      <c r="A788" s="416"/>
      <c r="B788" s="415"/>
      <c r="C788" s="432"/>
      <c r="D788" s="432"/>
    </row>
    <row r="789" spans="1:4" ht="15.75" customHeight="1" x14ac:dyDescent="0.3">
      <c r="A789" s="416"/>
      <c r="B789" s="415"/>
      <c r="C789" s="432"/>
      <c r="D789" s="432"/>
    </row>
    <row r="790" spans="1:4" ht="15.75" customHeight="1" x14ac:dyDescent="0.3">
      <c r="A790" s="416"/>
      <c r="B790" s="415"/>
      <c r="C790" s="432"/>
      <c r="D790" s="432"/>
    </row>
    <row r="791" spans="1:4" ht="15.75" customHeight="1" x14ac:dyDescent="0.3">
      <c r="A791" s="416"/>
      <c r="B791" s="415"/>
      <c r="C791" s="432"/>
      <c r="D791" s="432"/>
    </row>
    <row r="792" spans="1:4" ht="15.75" customHeight="1" x14ac:dyDescent="0.3">
      <c r="A792" s="416"/>
      <c r="B792" s="415"/>
      <c r="C792" s="432"/>
      <c r="D792" s="432"/>
    </row>
    <row r="793" spans="1:4" ht="15.75" customHeight="1" x14ac:dyDescent="0.3">
      <c r="A793" s="416"/>
      <c r="B793" s="415"/>
      <c r="C793" s="432"/>
      <c r="D793" s="432"/>
    </row>
    <row r="794" spans="1:4" ht="15.75" customHeight="1" x14ac:dyDescent="0.3">
      <c r="A794" s="416"/>
      <c r="B794" s="415"/>
      <c r="C794" s="432"/>
      <c r="D794" s="432"/>
    </row>
    <row r="795" spans="1:4" ht="15.75" customHeight="1" x14ac:dyDescent="0.3">
      <c r="A795" s="416"/>
      <c r="B795" s="415"/>
      <c r="C795" s="432"/>
      <c r="D795" s="432"/>
    </row>
    <row r="796" spans="1:4" ht="15.75" customHeight="1" x14ac:dyDescent="0.3">
      <c r="A796" s="416"/>
      <c r="B796" s="415"/>
      <c r="C796" s="432"/>
      <c r="D796" s="432"/>
    </row>
    <row r="797" spans="1:4" ht="15.75" customHeight="1" x14ac:dyDescent="0.3">
      <c r="A797" s="416"/>
      <c r="B797" s="415"/>
      <c r="C797" s="432"/>
      <c r="D797" s="432"/>
    </row>
    <row r="798" spans="1:4" ht="15.75" customHeight="1" x14ac:dyDescent="0.3">
      <c r="A798" s="416"/>
      <c r="B798" s="415"/>
      <c r="C798" s="432"/>
      <c r="D798" s="432"/>
    </row>
    <row r="799" spans="1:4" ht="15.75" customHeight="1" x14ac:dyDescent="0.3">
      <c r="A799" s="416"/>
      <c r="B799" s="415"/>
      <c r="C799" s="432"/>
      <c r="D799" s="432"/>
    </row>
    <row r="800" spans="1:4" ht="15.75" customHeight="1" x14ac:dyDescent="0.3">
      <c r="A800" s="416"/>
      <c r="B800" s="415"/>
      <c r="C800" s="432"/>
      <c r="D800" s="432"/>
    </row>
    <row r="801" spans="1:4" ht="15.75" customHeight="1" x14ac:dyDescent="0.3">
      <c r="A801" s="416"/>
      <c r="B801" s="415"/>
      <c r="C801" s="432"/>
      <c r="D801" s="432"/>
    </row>
    <row r="802" spans="1:4" ht="15.75" customHeight="1" x14ac:dyDescent="0.3">
      <c r="A802" s="416"/>
      <c r="B802" s="415"/>
      <c r="C802" s="432"/>
      <c r="D802" s="432"/>
    </row>
    <row r="803" spans="1:4" ht="15.75" customHeight="1" x14ac:dyDescent="0.3">
      <c r="A803" s="416"/>
      <c r="B803" s="415"/>
      <c r="C803" s="432"/>
      <c r="D803" s="432"/>
    </row>
    <row r="804" spans="1:4" ht="15.75" customHeight="1" x14ac:dyDescent="0.3">
      <c r="A804" s="416"/>
      <c r="B804" s="415"/>
      <c r="C804" s="432"/>
      <c r="D804" s="432"/>
    </row>
    <row r="805" spans="1:4" ht="15.75" customHeight="1" x14ac:dyDescent="0.3">
      <c r="A805" s="416"/>
      <c r="B805" s="415"/>
      <c r="C805" s="432"/>
      <c r="D805" s="432"/>
    </row>
    <row r="806" spans="1:4" ht="15.75" customHeight="1" x14ac:dyDescent="0.3">
      <c r="A806" s="416"/>
      <c r="B806" s="415"/>
      <c r="C806" s="432"/>
      <c r="D806" s="432"/>
    </row>
    <row r="807" spans="1:4" ht="15.75" customHeight="1" x14ac:dyDescent="0.3">
      <c r="A807" s="416"/>
      <c r="B807" s="415"/>
      <c r="C807" s="432"/>
      <c r="D807" s="432"/>
    </row>
    <row r="808" spans="1:4" ht="15.75" customHeight="1" x14ac:dyDescent="0.3">
      <c r="A808" s="416"/>
      <c r="B808" s="415"/>
      <c r="C808" s="432"/>
      <c r="D808" s="432"/>
    </row>
    <row r="809" spans="1:4" ht="15.75" customHeight="1" x14ac:dyDescent="0.3">
      <c r="A809" s="416"/>
      <c r="B809" s="415"/>
      <c r="C809" s="432"/>
      <c r="D809" s="432"/>
    </row>
    <row r="810" spans="1:4" ht="15.75" customHeight="1" x14ac:dyDescent="0.3">
      <c r="A810" s="416"/>
      <c r="B810" s="415"/>
      <c r="C810" s="432"/>
      <c r="D810" s="432"/>
    </row>
    <row r="811" spans="1:4" ht="15.75" customHeight="1" x14ac:dyDescent="0.3">
      <c r="A811" s="416"/>
      <c r="B811" s="415"/>
      <c r="C811" s="432"/>
      <c r="D811" s="432"/>
    </row>
    <row r="812" spans="1:4" ht="15.75" customHeight="1" x14ac:dyDescent="0.3">
      <c r="A812" s="416"/>
      <c r="B812" s="415"/>
      <c r="C812" s="432"/>
      <c r="D812" s="432"/>
    </row>
    <row r="813" spans="1:4" ht="15.75" customHeight="1" x14ac:dyDescent="0.3">
      <c r="A813" s="416"/>
      <c r="B813" s="415"/>
      <c r="C813" s="432"/>
      <c r="D813" s="432"/>
    </row>
    <row r="814" spans="1:4" ht="15.75" customHeight="1" x14ac:dyDescent="0.3">
      <c r="A814" s="416"/>
      <c r="B814" s="415"/>
      <c r="C814" s="432"/>
      <c r="D814" s="432"/>
    </row>
    <row r="815" spans="1:4" ht="15.75" customHeight="1" x14ac:dyDescent="0.3">
      <c r="A815" s="416"/>
      <c r="B815" s="415"/>
      <c r="C815" s="432"/>
      <c r="D815" s="432"/>
    </row>
    <row r="816" spans="1:4" ht="15.75" customHeight="1" x14ac:dyDescent="0.3">
      <c r="A816" s="416"/>
      <c r="B816" s="415"/>
      <c r="C816" s="432"/>
      <c r="D816" s="432"/>
    </row>
    <row r="817" spans="1:4" ht="15.75" customHeight="1" x14ac:dyDescent="0.3">
      <c r="A817" s="416"/>
      <c r="B817" s="415"/>
      <c r="C817" s="432"/>
      <c r="D817" s="432"/>
    </row>
    <row r="818" spans="1:4" ht="15.75" customHeight="1" x14ac:dyDescent="0.3">
      <c r="A818" s="416"/>
      <c r="B818" s="415"/>
      <c r="C818" s="432"/>
      <c r="D818" s="432"/>
    </row>
    <row r="819" spans="1:4" ht="15.75" customHeight="1" x14ac:dyDescent="0.3">
      <c r="A819" s="416"/>
      <c r="B819" s="415"/>
      <c r="C819" s="432"/>
      <c r="D819" s="432"/>
    </row>
    <row r="820" spans="1:4" ht="15.75" customHeight="1" x14ac:dyDescent="0.3">
      <c r="A820" s="416"/>
      <c r="B820" s="415"/>
      <c r="C820" s="432"/>
      <c r="D820" s="432"/>
    </row>
    <row r="821" spans="1:4" ht="15.75" customHeight="1" x14ac:dyDescent="0.3">
      <c r="A821" s="416"/>
      <c r="B821" s="415"/>
      <c r="C821" s="432"/>
      <c r="D821" s="432"/>
    </row>
    <row r="822" spans="1:4" ht="15.75" customHeight="1" x14ac:dyDescent="0.3">
      <c r="A822" s="416"/>
      <c r="B822" s="415"/>
      <c r="C822" s="432"/>
      <c r="D822" s="432"/>
    </row>
    <row r="823" spans="1:4" ht="15.75" customHeight="1" x14ac:dyDescent="0.3">
      <c r="A823" s="416"/>
      <c r="B823" s="415"/>
      <c r="C823" s="432"/>
      <c r="D823" s="432"/>
    </row>
    <row r="824" spans="1:4" ht="15.75" customHeight="1" x14ac:dyDescent="0.3">
      <c r="A824" s="416"/>
      <c r="B824" s="415"/>
      <c r="C824" s="432"/>
      <c r="D824" s="432"/>
    </row>
    <row r="825" spans="1:4" ht="15.75" customHeight="1" x14ac:dyDescent="0.3">
      <c r="A825" s="416"/>
      <c r="B825" s="415"/>
      <c r="C825" s="432"/>
      <c r="D825" s="432"/>
    </row>
    <row r="826" spans="1:4" ht="15.75" customHeight="1" x14ac:dyDescent="0.3">
      <c r="A826" s="416"/>
      <c r="B826" s="415"/>
      <c r="C826" s="432"/>
      <c r="D826" s="432"/>
    </row>
    <row r="827" spans="1:4" ht="15.75" customHeight="1" x14ac:dyDescent="0.3">
      <c r="A827" s="416"/>
      <c r="B827" s="415"/>
      <c r="C827" s="432"/>
      <c r="D827" s="432"/>
    </row>
    <row r="828" spans="1:4" ht="15.75" customHeight="1" x14ac:dyDescent="0.3">
      <c r="A828" s="416"/>
      <c r="B828" s="415"/>
      <c r="C828" s="432"/>
      <c r="D828" s="432"/>
    </row>
    <row r="829" spans="1:4" ht="15.75" customHeight="1" x14ac:dyDescent="0.3">
      <c r="A829" s="416"/>
      <c r="B829" s="415"/>
      <c r="C829" s="432"/>
      <c r="D829" s="432"/>
    </row>
    <row r="830" spans="1:4" ht="15.75" customHeight="1" x14ac:dyDescent="0.3">
      <c r="A830" s="416"/>
      <c r="B830" s="415"/>
      <c r="C830" s="432"/>
      <c r="D830" s="432"/>
    </row>
    <row r="831" spans="1:4" ht="15.75" customHeight="1" x14ac:dyDescent="0.3">
      <c r="A831" s="416"/>
      <c r="B831" s="415"/>
      <c r="C831" s="432"/>
      <c r="D831" s="432"/>
    </row>
    <row r="832" spans="1:4" ht="15.75" customHeight="1" x14ac:dyDescent="0.3">
      <c r="A832" s="416"/>
      <c r="B832" s="415"/>
      <c r="C832" s="432"/>
      <c r="D832" s="432"/>
    </row>
    <row r="833" spans="1:4" ht="15.75" customHeight="1" x14ac:dyDescent="0.3">
      <c r="A833" s="416"/>
      <c r="B833" s="415"/>
      <c r="C833" s="432"/>
      <c r="D833" s="432"/>
    </row>
    <row r="834" spans="1:4" ht="15.75" customHeight="1" x14ac:dyDescent="0.3">
      <c r="A834" s="416"/>
      <c r="B834" s="415"/>
      <c r="C834" s="432"/>
      <c r="D834" s="432"/>
    </row>
    <row r="835" spans="1:4" ht="15.75" customHeight="1" x14ac:dyDescent="0.3">
      <c r="A835" s="416"/>
      <c r="B835" s="415"/>
      <c r="C835" s="432"/>
      <c r="D835" s="432"/>
    </row>
    <row r="836" spans="1:4" ht="15.75" customHeight="1" x14ac:dyDescent="0.3">
      <c r="A836" s="416"/>
      <c r="B836" s="415"/>
      <c r="C836" s="432"/>
      <c r="D836" s="432"/>
    </row>
    <row r="837" spans="1:4" ht="15.75" customHeight="1" x14ac:dyDescent="0.3">
      <c r="A837" s="416"/>
      <c r="B837" s="415"/>
      <c r="C837" s="432"/>
      <c r="D837" s="432"/>
    </row>
    <row r="838" spans="1:4" ht="15.75" customHeight="1" x14ac:dyDescent="0.3">
      <c r="A838" s="416"/>
      <c r="B838" s="415"/>
      <c r="C838" s="432"/>
      <c r="D838" s="432"/>
    </row>
    <row r="839" spans="1:4" ht="15.75" customHeight="1" x14ac:dyDescent="0.3">
      <c r="A839" s="416"/>
      <c r="B839" s="415"/>
      <c r="C839" s="432"/>
      <c r="D839" s="432"/>
    </row>
    <row r="840" spans="1:4" ht="15.75" customHeight="1" x14ac:dyDescent="0.3">
      <c r="A840" s="416"/>
      <c r="B840" s="415"/>
      <c r="C840" s="432"/>
      <c r="D840" s="432"/>
    </row>
    <row r="841" spans="1:4" ht="15.75" customHeight="1" x14ac:dyDescent="0.3">
      <c r="A841" s="416"/>
      <c r="B841" s="415"/>
      <c r="C841" s="432"/>
      <c r="D841" s="432"/>
    </row>
    <row r="842" spans="1:4" ht="15.75" customHeight="1" x14ac:dyDescent="0.3">
      <c r="A842" s="416"/>
      <c r="B842" s="415"/>
      <c r="C842" s="432"/>
      <c r="D842" s="432"/>
    </row>
    <row r="843" spans="1:4" ht="15.75" customHeight="1" x14ac:dyDescent="0.3">
      <c r="A843" s="416"/>
      <c r="B843" s="415"/>
      <c r="C843" s="432"/>
      <c r="D843" s="432"/>
    </row>
    <row r="844" spans="1:4" ht="15.75" customHeight="1" x14ac:dyDescent="0.3">
      <c r="A844" s="416"/>
      <c r="B844" s="415"/>
      <c r="C844" s="432"/>
      <c r="D844" s="432"/>
    </row>
    <row r="845" spans="1:4" ht="15.75" customHeight="1" x14ac:dyDescent="0.3">
      <c r="A845" s="416"/>
      <c r="B845" s="415"/>
      <c r="C845" s="432"/>
      <c r="D845" s="432"/>
    </row>
    <row r="846" spans="1:4" ht="15.75" customHeight="1" x14ac:dyDescent="0.3">
      <c r="A846" s="416"/>
      <c r="B846" s="415"/>
      <c r="C846" s="432"/>
      <c r="D846" s="432"/>
    </row>
    <row r="847" spans="1:4" ht="15.75" customHeight="1" x14ac:dyDescent="0.3">
      <c r="A847" s="416"/>
      <c r="B847" s="415"/>
      <c r="C847" s="432"/>
      <c r="D847" s="432"/>
    </row>
    <row r="848" spans="1:4" ht="15.75" customHeight="1" x14ac:dyDescent="0.3">
      <c r="A848" s="416"/>
      <c r="B848" s="415"/>
      <c r="C848" s="432"/>
      <c r="D848" s="432"/>
    </row>
    <row r="849" spans="1:4" ht="15.75" customHeight="1" x14ac:dyDescent="0.3">
      <c r="A849" s="416"/>
      <c r="B849" s="415"/>
      <c r="C849" s="432"/>
      <c r="D849" s="432"/>
    </row>
    <row r="850" spans="1:4" ht="15.75" customHeight="1" x14ac:dyDescent="0.3">
      <c r="A850" s="416"/>
      <c r="B850" s="415"/>
      <c r="C850" s="432"/>
      <c r="D850" s="432"/>
    </row>
    <row r="851" spans="1:4" ht="15.75" customHeight="1" x14ac:dyDescent="0.3">
      <c r="A851" s="416"/>
      <c r="B851" s="415"/>
      <c r="C851" s="432"/>
      <c r="D851" s="432"/>
    </row>
    <row r="852" spans="1:4" ht="15.75" customHeight="1" x14ac:dyDescent="0.3">
      <c r="A852" s="416"/>
      <c r="B852" s="415"/>
      <c r="C852" s="432"/>
      <c r="D852" s="432"/>
    </row>
    <row r="853" spans="1:4" ht="15.75" customHeight="1" x14ac:dyDescent="0.3">
      <c r="A853" s="416"/>
      <c r="B853" s="415"/>
      <c r="C853" s="432"/>
      <c r="D853" s="432"/>
    </row>
    <row r="854" spans="1:4" ht="15.75" customHeight="1" x14ac:dyDescent="0.3">
      <c r="A854" s="416"/>
      <c r="B854" s="415"/>
      <c r="C854" s="432"/>
      <c r="D854" s="432"/>
    </row>
  </sheetData>
  <mergeCells count="7">
    <mergeCell ref="A11:A12"/>
    <mergeCell ref="B11:B12"/>
    <mergeCell ref="A1:G1"/>
    <mergeCell ref="B2:C2"/>
    <mergeCell ref="B3:G3"/>
    <mergeCell ref="B4:E4"/>
    <mergeCell ref="F5:G5"/>
  </mergeCells>
  <pageMargins left="0.51180555555555596" right="0.51180555555555596" top="0.78749999999999998" bottom="0.78749999999999998" header="0.511811023622047" footer="0.511811023622047"/>
  <pageSetup paperSize="9" orientation="portrait" horizontalDpi="300" verticalDpi="30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Z193"/>
  <sheetViews>
    <sheetView zoomScale="85" zoomScaleNormal="85" workbookViewId="0">
      <selection activeCell="X12" sqref="X12"/>
    </sheetView>
  </sheetViews>
  <sheetFormatPr defaultColWidth="14.44140625" defaultRowHeight="14.4" x14ac:dyDescent="0.3"/>
  <cols>
    <col min="1" max="1" width="8.33203125" customWidth="1"/>
    <col min="2" max="2" width="8.5546875" customWidth="1"/>
    <col min="3" max="3" width="8.44140625" customWidth="1"/>
    <col min="4" max="4" width="13.33203125" customWidth="1"/>
    <col min="5" max="5" width="12.5546875" style="433" customWidth="1"/>
    <col min="6" max="6" width="12.88671875" customWidth="1"/>
    <col min="7" max="7" width="58.44140625" customWidth="1"/>
    <col min="8" max="8" width="11.109375" customWidth="1"/>
    <col min="9" max="9" width="9.6640625" customWidth="1"/>
    <col min="11" max="11" width="17.44140625" customWidth="1"/>
    <col min="12" max="12" width="8" customWidth="1"/>
    <col min="13" max="13" width="12.6640625" customWidth="1"/>
    <col min="14" max="14" width="7.109375" hidden="1" customWidth="1"/>
    <col min="15" max="15" width="57.33203125" hidden="1" customWidth="1"/>
    <col min="16" max="16" width="7.109375" hidden="1" customWidth="1"/>
    <col min="17" max="17" width="47.6640625" hidden="1" customWidth="1"/>
    <col min="18" max="18" width="26.88671875" hidden="1" customWidth="1"/>
    <col min="19" max="26" width="8.6640625" customWidth="1"/>
  </cols>
  <sheetData>
    <row r="1" spans="1:26" ht="15.6" x14ac:dyDescent="0.3">
      <c r="A1" s="820" t="s">
        <v>13229</v>
      </c>
      <c r="B1" s="820"/>
      <c r="C1" s="820"/>
      <c r="D1" s="820"/>
      <c r="E1" s="820"/>
      <c r="F1" s="820"/>
      <c r="G1" s="820"/>
      <c r="H1" s="820"/>
      <c r="I1" s="820"/>
      <c r="J1" s="820"/>
      <c r="K1" s="820"/>
      <c r="L1" s="434"/>
      <c r="M1" s="435"/>
      <c r="N1" s="432"/>
      <c r="O1" s="435"/>
      <c r="P1" s="435"/>
      <c r="Q1" s="435"/>
    </row>
    <row r="2" spans="1:26" x14ac:dyDescent="0.3">
      <c r="A2" s="411" t="s">
        <v>13230</v>
      </c>
      <c r="B2" s="436"/>
      <c r="C2" s="821" t="str">
        <f>IF('Identificação-TCE'!B2=0,"",'Identificação-TCE'!B2)</f>
        <v/>
      </c>
      <c r="D2" s="821"/>
      <c r="E2" s="821"/>
      <c r="F2" s="821"/>
      <c r="G2" s="821"/>
      <c r="H2" s="437" t="s">
        <v>13231</v>
      </c>
      <c r="I2" s="438" t="str">
        <f>IF('Identificação-TCE'!E2=0,"",'Identificação-TCE'!E2)</f>
        <v/>
      </c>
      <c r="J2" s="437" t="s">
        <v>13232</v>
      </c>
      <c r="K2" s="438" t="str">
        <f>IF('Identificação-TCE'!G2=0,"",'Identificação-TCE'!G2)</f>
        <v/>
      </c>
      <c r="L2" s="439"/>
      <c r="M2" s="439"/>
      <c r="N2" s="440"/>
      <c r="O2" s="440"/>
      <c r="P2" s="440"/>
      <c r="Q2" s="440"/>
      <c r="R2" s="440"/>
      <c r="S2" s="440"/>
      <c r="T2" s="440"/>
      <c r="U2" s="440"/>
      <c r="V2" s="440"/>
      <c r="W2" s="440"/>
      <c r="X2" s="440"/>
      <c r="Y2" s="440"/>
      <c r="Z2" s="440"/>
    </row>
    <row r="3" spans="1:26" ht="32.25" customHeight="1" x14ac:dyDescent="0.3">
      <c r="A3" s="822" t="s">
        <v>13215</v>
      </c>
      <c r="B3" s="822"/>
      <c r="C3" s="823" t="str">
        <f>'Identificação-TCE'!B3</f>
        <v>Objeto: Execução de Obras de Pavimentação e Redes de Drenagem na Rua Giruá</v>
      </c>
      <c r="D3" s="823"/>
      <c r="E3" s="823"/>
      <c r="F3" s="823"/>
      <c r="G3" s="823"/>
      <c r="H3" s="823"/>
      <c r="I3" s="823"/>
      <c r="J3" s="823"/>
      <c r="K3" s="823"/>
      <c r="L3" s="439"/>
      <c r="M3" s="439"/>
      <c r="N3" s="440"/>
      <c r="O3" s="440"/>
      <c r="P3" s="440"/>
      <c r="Q3" s="440"/>
      <c r="R3" s="440"/>
      <c r="S3" s="440"/>
      <c r="T3" s="440"/>
      <c r="U3" s="440"/>
      <c r="V3" s="440"/>
      <c r="W3" s="440"/>
      <c r="X3" s="440"/>
      <c r="Y3" s="440"/>
      <c r="Z3" s="440"/>
    </row>
    <row r="4" spans="1:26" x14ac:dyDescent="0.3">
      <c r="A4" s="406" t="s">
        <v>13233</v>
      </c>
      <c r="B4" s="409"/>
      <c r="C4" s="824" t="str">
        <f>'Identificação-TCE'!B4</f>
        <v>SECRETARIA MUNICIPAL DE OBRAS E INFRAESTRUTURA</v>
      </c>
      <c r="D4" s="824"/>
      <c r="E4" s="824"/>
      <c r="F4" s="824"/>
      <c r="G4" s="824"/>
      <c r="H4" s="824"/>
      <c r="I4" s="824"/>
      <c r="J4" s="407" t="s">
        <v>13234</v>
      </c>
      <c r="K4" s="441" t="str">
        <f>IF('Identificação-TCE'!G4=0,"",'Identificação-TCE'!G4)</f>
        <v>92.963.560/0001-60</v>
      </c>
      <c r="L4" s="439"/>
      <c r="M4" s="439"/>
      <c r="N4" s="440"/>
      <c r="O4" s="440"/>
      <c r="P4" s="440"/>
      <c r="Q4" s="440"/>
      <c r="R4" s="440"/>
      <c r="S4" s="440"/>
      <c r="T4" s="440"/>
      <c r="U4" s="440"/>
      <c r="V4" s="440"/>
      <c r="W4" s="440"/>
      <c r="X4" s="440"/>
      <c r="Y4" s="440"/>
      <c r="Z4" s="440"/>
    </row>
    <row r="5" spans="1:26" x14ac:dyDescent="0.3">
      <c r="A5" s="406" t="s">
        <v>13235</v>
      </c>
      <c r="B5" s="409"/>
      <c r="C5" s="817" t="str">
        <f>IF('Identificação-TCE'!B5=0,"",'Identificação-TCE'!B5)</f>
        <v/>
      </c>
      <c r="D5" s="817"/>
      <c r="E5" s="817"/>
      <c r="F5" s="817"/>
      <c r="G5" s="817"/>
      <c r="H5" s="440"/>
      <c r="I5" s="442"/>
      <c r="J5" s="433"/>
      <c r="K5" s="443"/>
      <c r="L5" s="444"/>
      <c r="M5" s="439"/>
      <c r="N5" s="440"/>
      <c r="O5" s="440"/>
      <c r="P5" s="440"/>
      <c r="Q5" s="440"/>
      <c r="R5" s="440"/>
      <c r="S5" s="440"/>
      <c r="T5" s="440"/>
      <c r="U5" s="440"/>
      <c r="V5" s="440"/>
      <c r="W5" s="440"/>
      <c r="X5" s="440"/>
      <c r="Y5" s="440"/>
      <c r="Z5" s="440"/>
    </row>
    <row r="6" spans="1:26" x14ac:dyDescent="0.3">
      <c r="A6" s="406" t="s">
        <v>13236</v>
      </c>
      <c r="B6" s="445"/>
      <c r="C6" s="818">
        <f>SUMIFS(K12:K38176,B12:B38176,"&gt;0",K12:K38176,"&lt;&gt;0")</f>
        <v>824861.5500000004</v>
      </c>
      <c r="D6" s="818"/>
      <c r="E6" s="818"/>
      <c r="F6" s="818"/>
      <c r="G6" s="818"/>
      <c r="H6" s="440"/>
      <c r="I6" s="446"/>
      <c r="J6" s="446"/>
      <c r="K6" s="447"/>
      <c r="L6" s="439"/>
      <c r="M6" s="439"/>
      <c r="N6" s="440"/>
      <c r="O6" s="440"/>
      <c r="P6" s="440"/>
      <c r="Q6" s="440"/>
      <c r="R6" s="440"/>
      <c r="S6" s="440"/>
      <c r="T6" s="440"/>
      <c r="U6" s="440"/>
      <c r="V6" s="440"/>
      <c r="W6" s="440"/>
      <c r="X6" s="440"/>
      <c r="Y6" s="440"/>
      <c r="Z6" s="440"/>
    </row>
    <row r="7" spans="1:26" x14ac:dyDescent="0.3">
      <c r="A7" s="448"/>
      <c r="B7" s="448"/>
      <c r="C7" s="448"/>
      <c r="D7" s="440"/>
      <c r="E7" s="449"/>
      <c r="F7" s="440"/>
      <c r="G7" s="450"/>
      <c r="H7" s="450"/>
      <c r="I7" s="446"/>
      <c r="J7" s="446"/>
      <c r="K7" s="447"/>
      <c r="L7" s="439"/>
      <c r="M7" s="439"/>
      <c r="N7" s="440"/>
      <c r="O7" s="440"/>
      <c r="P7" s="440"/>
      <c r="Q7" s="440"/>
      <c r="R7" s="440"/>
      <c r="S7" s="440"/>
      <c r="T7" s="440"/>
      <c r="U7" s="440"/>
      <c r="V7" s="440"/>
      <c r="W7" s="440"/>
      <c r="X7" s="440"/>
      <c r="Y7" s="440"/>
      <c r="Z7" s="440"/>
    </row>
    <row r="8" spans="1:26" x14ac:dyDescent="0.3">
      <c r="A8" s="448"/>
      <c r="B8" s="448"/>
      <c r="C8" s="448"/>
      <c r="D8" s="440"/>
      <c r="E8" s="449"/>
      <c r="F8" s="440"/>
      <c r="G8" s="450"/>
      <c r="H8" s="450"/>
      <c r="I8" s="446"/>
      <c r="J8" s="446"/>
      <c r="K8" s="447"/>
      <c r="L8" s="439"/>
      <c r="M8" s="439"/>
      <c r="N8" s="440"/>
      <c r="O8" s="440"/>
      <c r="P8" s="440"/>
      <c r="Q8" s="440"/>
      <c r="R8" s="440"/>
      <c r="S8" s="440"/>
      <c r="T8" s="440"/>
      <c r="U8" s="440"/>
      <c r="V8" s="440"/>
      <c r="W8" s="440"/>
      <c r="X8" s="440"/>
      <c r="Y8" s="440"/>
      <c r="Z8" s="440"/>
    </row>
    <row r="9" spans="1:26" x14ac:dyDescent="0.3">
      <c r="A9" s="448"/>
      <c r="B9" s="448"/>
      <c r="C9" s="448"/>
      <c r="D9" s="440"/>
      <c r="E9" s="449"/>
      <c r="F9" s="440"/>
      <c r="G9" s="450"/>
      <c r="H9" s="450"/>
      <c r="I9" s="446"/>
      <c r="J9" s="446"/>
      <c r="K9" s="447"/>
      <c r="L9" s="439"/>
      <c r="M9" s="439"/>
      <c r="N9" s="440"/>
      <c r="O9" s="440"/>
      <c r="P9" s="440"/>
      <c r="Q9" s="440"/>
      <c r="R9" s="440"/>
      <c r="S9" s="440"/>
      <c r="T9" s="440"/>
      <c r="U9" s="440"/>
      <c r="V9" s="440"/>
      <c r="W9" s="440"/>
      <c r="X9" s="440"/>
      <c r="Y9" s="440"/>
      <c r="Z9" s="440"/>
    </row>
    <row r="10" spans="1:26" ht="15" customHeight="1" x14ac:dyDescent="0.3">
      <c r="A10" s="808" t="s">
        <v>13237</v>
      </c>
      <c r="B10" s="808" t="s">
        <v>13238</v>
      </c>
      <c r="C10" s="808" t="s">
        <v>13239</v>
      </c>
      <c r="D10" s="816" t="s">
        <v>13240</v>
      </c>
      <c r="E10" s="819" t="s">
        <v>13241</v>
      </c>
      <c r="F10" s="815" t="s">
        <v>13242</v>
      </c>
      <c r="G10" s="816" t="s">
        <v>13243</v>
      </c>
      <c r="H10" s="808" t="s">
        <v>13226</v>
      </c>
      <c r="I10" s="808"/>
      <c r="J10" s="808"/>
      <c r="K10" s="808"/>
      <c r="L10" s="808"/>
      <c r="M10" s="808"/>
      <c r="N10" s="815" t="s">
        <v>13244</v>
      </c>
      <c r="O10" s="815"/>
      <c r="P10" s="816" t="s">
        <v>13245</v>
      </c>
      <c r="Q10" s="816"/>
      <c r="R10" s="816" t="s">
        <v>13246</v>
      </c>
    </row>
    <row r="11" spans="1:26" ht="28.8" x14ac:dyDescent="0.3">
      <c r="A11" s="808"/>
      <c r="B11" s="808"/>
      <c r="C11" s="808"/>
      <c r="D11" s="808"/>
      <c r="E11" s="819"/>
      <c r="F11" s="815"/>
      <c r="G11" s="815"/>
      <c r="H11" s="421" t="s">
        <v>13247</v>
      </c>
      <c r="I11" s="422" t="s">
        <v>13248</v>
      </c>
      <c r="J11" s="452" t="s">
        <v>13249</v>
      </c>
      <c r="K11" s="452" t="s">
        <v>13250</v>
      </c>
      <c r="L11" s="453" t="s">
        <v>13251</v>
      </c>
      <c r="M11" s="453" t="s">
        <v>13252</v>
      </c>
      <c r="N11" s="451" t="s">
        <v>13253</v>
      </c>
      <c r="O11" s="422" t="s">
        <v>416</v>
      </c>
      <c r="P11" s="451" t="s">
        <v>13253</v>
      </c>
      <c r="Q11" s="422" t="s">
        <v>416</v>
      </c>
      <c r="R11" s="816"/>
    </row>
    <row r="12" spans="1:26" ht="15.75" customHeight="1" x14ac:dyDescent="0.3">
      <c r="A12" s="392">
        <v>1</v>
      </c>
      <c r="B12" s="454">
        <f>IF(AND(G12&lt;&gt;"",H12&gt;0,I12&lt;&gt;"",J12&lt;&gt;0,K12&lt;&gt;0),COUNT($B$11:B11)+1,"")</f>
        <v>1</v>
      </c>
      <c r="C12" s="455" t="str">
        <f>orcamento!A11</f>
        <v>1.1</v>
      </c>
      <c r="D12" s="456" t="str">
        <f>orcamento!C11</f>
        <v>COMPOSICAO_PROPRIA</v>
      </c>
      <c r="E12" s="457" t="str">
        <f>orcamento!B11</f>
        <v>CCU 01</v>
      </c>
      <c r="F12" s="458">
        <v>46204</v>
      </c>
      <c r="G12" s="459" t="str">
        <f>orcamento!D11</f>
        <v>EQUIPE E CONSUMOS DE ADMINISTRAÇÃO LOCAL</v>
      </c>
      <c r="H12" s="460">
        <f>orcamento!F11</f>
        <v>1</v>
      </c>
      <c r="I12" s="460" t="str">
        <f>orcamento!E11</f>
        <v>UN</v>
      </c>
      <c r="J12" s="460">
        <f>orcamento!K11</f>
        <v>159651.45000000001</v>
      </c>
      <c r="K12" s="461">
        <f>IFERROR(IF(H12*J12&lt;&gt;0,ROUND(ROUND(H12,4)*ROUND(J12,4),2),""),"")</f>
        <v>159651.45000000001</v>
      </c>
      <c r="L12" s="462">
        <f>orcamento!J11</f>
        <v>0.24229999999999999</v>
      </c>
      <c r="M12" s="462">
        <v>1.1194999999999999</v>
      </c>
      <c r="N12" s="455"/>
      <c r="O12" s="463"/>
      <c r="P12" s="222"/>
      <c r="Q12" s="463"/>
      <c r="R12" s="222"/>
    </row>
    <row r="13" spans="1:26" x14ac:dyDescent="0.3">
      <c r="A13" s="392">
        <v>1</v>
      </c>
      <c r="B13" s="454">
        <f>IF(AND(G13&lt;&gt;"",H13&gt;0,I13&lt;&gt;"",J13&lt;&gt;0,K13&lt;&gt;0),COUNT($B$11:B12)+1,"")</f>
        <v>2</v>
      </c>
      <c r="C13" s="455" t="str">
        <f>orcamento!A12</f>
        <v>1.2</v>
      </c>
      <c r="D13" s="456" t="str">
        <f>orcamento!C12</f>
        <v>COMPOSICAO_PROPRIA</v>
      </c>
      <c r="E13" s="457" t="str">
        <f>orcamento!B12</f>
        <v>CCU 02</v>
      </c>
      <c r="F13" s="458">
        <v>46204</v>
      </c>
      <c r="G13" s="459" t="str">
        <f>orcamento!D12</f>
        <v>SERVIÇO DE VIGILÂNCIA NOTURNO (DIÁRIO) E DIURNO (FINAIS DE SEMANA E FERIADO)</v>
      </c>
      <c r="H13" s="460">
        <f>orcamento!F12</f>
        <v>1</v>
      </c>
      <c r="I13" s="460" t="str">
        <f>orcamento!E12</f>
        <v>UN</v>
      </c>
      <c r="J13" s="460">
        <f>orcamento!K12</f>
        <v>44037.88</v>
      </c>
      <c r="K13" s="461">
        <f t="shared" ref="K13:K76" si="0">IFERROR(IF(H13*J13&lt;&gt;0,ROUND(ROUND(H13,4)*ROUND(J13,4),2),""),"")</f>
        <v>44037.88</v>
      </c>
      <c r="L13" s="462">
        <f>orcamento!J12</f>
        <v>0.24229999999999999</v>
      </c>
      <c r="M13" s="462">
        <v>1.1194999999999999</v>
      </c>
      <c r="N13" s="455"/>
      <c r="O13" s="463"/>
      <c r="P13" s="222"/>
      <c r="Q13" s="463"/>
      <c r="R13" s="222"/>
    </row>
    <row r="14" spans="1:26" ht="15.75" customHeight="1" x14ac:dyDescent="0.3">
      <c r="A14" s="392">
        <v>1</v>
      </c>
      <c r="B14" s="454">
        <f>IF(AND(G14&lt;&gt;"",H14&gt;0,I14&lt;&gt;"",J14&lt;&gt;0,K14&lt;&gt;0),COUNT($B$11:B13)+1,"")</f>
        <v>3</v>
      </c>
      <c r="C14" s="455" t="str">
        <f>orcamento!A13</f>
        <v>1.3</v>
      </c>
      <c r="D14" s="456" t="str">
        <f>orcamento!C13</f>
        <v>COTACAO</v>
      </c>
      <c r="E14" s="457" t="str">
        <f>orcamento!B13</f>
        <v>TAB 01</v>
      </c>
      <c r="F14" s="458">
        <v>46204</v>
      </c>
      <c r="G14" s="459" t="str">
        <f>orcamento!D13</f>
        <v>DOCUMENTO DE RESPONSABILIDADE TÉCNICA</v>
      </c>
      <c r="H14" s="460">
        <f>orcamento!F13</f>
        <v>1</v>
      </c>
      <c r="I14" s="460" t="str">
        <f>orcamento!E13</f>
        <v>UN</v>
      </c>
      <c r="J14" s="460">
        <f>orcamento!K13</f>
        <v>354.78999999999996</v>
      </c>
      <c r="K14" s="461">
        <f t="shared" si="0"/>
        <v>354.79</v>
      </c>
      <c r="L14" s="462">
        <f>orcamento!J13</f>
        <v>0.24229999999999999</v>
      </c>
      <c r="M14" s="462">
        <v>1.1194999999999999</v>
      </c>
      <c r="N14" s="455"/>
      <c r="O14" s="463"/>
      <c r="P14" s="222"/>
      <c r="Q14" s="463"/>
      <c r="R14" s="222"/>
    </row>
    <row r="15" spans="1:26" ht="15.75" customHeight="1" x14ac:dyDescent="0.3">
      <c r="A15" s="392">
        <v>1</v>
      </c>
      <c r="B15" s="454">
        <f>IF(AND(G15&lt;&gt;"",H15&gt;0,I15&lt;&gt;"",J15&lt;&gt;0,K15&lt;&gt;0),COUNT($B$11:B14)+1,"")</f>
        <v>4</v>
      </c>
      <c r="C15" s="455" t="str">
        <f>orcamento!A14</f>
        <v>1.4</v>
      </c>
      <c r="D15" s="456" t="str">
        <f>orcamento!C14</f>
        <v>COMPOSICAO_PROPRIA</v>
      </c>
      <c r="E15" s="457" t="str">
        <f>orcamento!B14</f>
        <v>CCU 03</v>
      </c>
      <c r="F15" s="458">
        <v>46204</v>
      </c>
      <c r="G15" s="459" t="str">
        <f>orcamento!D14</f>
        <v>PROJETO AS BUILT (1.550m2 DE ÁREA CONSTRUÍDA)</v>
      </c>
      <c r="H15" s="460">
        <f>orcamento!F14</f>
        <v>1</v>
      </c>
      <c r="I15" s="460" t="str">
        <f>orcamento!E14</f>
        <v>UN</v>
      </c>
      <c r="J15" s="460">
        <f>orcamento!K14</f>
        <v>1973.2800000000002</v>
      </c>
      <c r="K15" s="461">
        <f t="shared" si="0"/>
        <v>1973.28</v>
      </c>
      <c r="L15" s="462">
        <f>orcamento!J14</f>
        <v>0.24229999999999999</v>
      </c>
      <c r="M15" s="462">
        <v>1.1194999999999999</v>
      </c>
      <c r="N15" s="455"/>
      <c r="O15" s="463"/>
      <c r="P15" s="222"/>
      <c r="Q15" s="463"/>
      <c r="R15" s="222"/>
    </row>
    <row r="16" spans="1:26" ht="15.75" customHeight="1" x14ac:dyDescent="0.3">
      <c r="A16" s="392">
        <v>1</v>
      </c>
      <c r="B16" s="454">
        <f>IF(AND(G16&lt;&gt;"",H16&gt;0,I16&lt;&gt;"",J16&lt;&gt;0,K16&lt;&gt;0),COUNT($B$11:B15)+1,"")</f>
        <v>5</v>
      </c>
      <c r="C16" s="455" t="str">
        <f>orcamento!A15</f>
        <v>1.5</v>
      </c>
      <c r="D16" s="456" t="str">
        <f>orcamento!C15</f>
        <v>COMPOSICAO_PROPRIA</v>
      </c>
      <c r="E16" s="457" t="str">
        <f>orcamento!B15</f>
        <v>CCU 04</v>
      </c>
      <c r="F16" s="458">
        <v>46204</v>
      </c>
      <c r="G16" s="459" t="str">
        <f>orcamento!D15</f>
        <v>CADASTRO DE REDES (210m DE REDE DE DRENAGEM)</v>
      </c>
      <c r="H16" s="460">
        <f>orcamento!F15</f>
        <v>1</v>
      </c>
      <c r="I16" s="460" t="str">
        <f>orcamento!E15</f>
        <v>UN</v>
      </c>
      <c r="J16" s="460">
        <f>orcamento!K15</f>
        <v>1973.2800000000002</v>
      </c>
      <c r="K16" s="461">
        <f t="shared" si="0"/>
        <v>1973.28</v>
      </c>
      <c r="L16" s="462">
        <f>orcamento!J15</f>
        <v>0.24229999999999999</v>
      </c>
      <c r="M16" s="462">
        <v>1.1194999999999999</v>
      </c>
      <c r="N16" s="455"/>
      <c r="O16" s="463"/>
      <c r="P16" s="222"/>
      <c r="Q16" s="463"/>
      <c r="R16" s="222"/>
    </row>
    <row r="17" spans="1:18" ht="15.75" customHeight="1" x14ac:dyDescent="0.3">
      <c r="A17" s="392">
        <v>1</v>
      </c>
      <c r="B17" s="454">
        <f>IF(AND(G17&lt;&gt;"",H17&gt;0,I17&lt;&gt;"",J17&lt;&gt;0,K17&lt;&gt;0),COUNT($B$11:B16)+1,"")</f>
        <v>6</v>
      </c>
      <c r="C17" s="455" t="str">
        <f>orcamento!A16</f>
        <v>1.6</v>
      </c>
      <c r="D17" s="456" t="str">
        <f>orcamento!C16</f>
        <v>COMPOSICAO_PROPRIA</v>
      </c>
      <c r="E17" s="457" t="str">
        <f>orcamento!B16</f>
        <v>CCU 05</v>
      </c>
      <c r="F17" s="458">
        <v>46204</v>
      </c>
      <c r="G17" s="459" t="str">
        <f>orcamento!D16</f>
        <v>SERVIÇO DE LOCAÇÃO/TOPOGRAFIA (115M PAVIMENTO E 210M REDE DRENAGEM)</v>
      </c>
      <c r="H17" s="460">
        <f>orcamento!F16</f>
        <v>1</v>
      </c>
      <c r="I17" s="460" t="str">
        <f>orcamento!E16</f>
        <v>UN</v>
      </c>
      <c r="J17" s="460">
        <f>orcamento!K16</f>
        <v>6023.03</v>
      </c>
      <c r="K17" s="461">
        <f t="shared" si="0"/>
        <v>6023.03</v>
      </c>
      <c r="L17" s="462">
        <f>orcamento!J16</f>
        <v>0.24229999999999999</v>
      </c>
      <c r="M17" s="462">
        <v>1.1194999999999999</v>
      </c>
      <c r="N17" s="455"/>
      <c r="O17" s="463"/>
      <c r="P17" s="222"/>
      <c r="Q17" s="463"/>
      <c r="R17" s="222"/>
    </row>
    <row r="18" spans="1:18" ht="15.75" customHeight="1" x14ac:dyDescent="0.3">
      <c r="A18" s="392"/>
      <c r="B18" s="454"/>
      <c r="C18" s="455"/>
      <c r="D18" s="456"/>
      <c r="E18" s="457"/>
      <c r="F18" s="458"/>
      <c r="G18" s="459"/>
      <c r="H18" s="460"/>
      <c r="I18" s="460"/>
      <c r="J18" s="460"/>
      <c r="K18" s="461"/>
      <c r="L18" s="462"/>
      <c r="M18" s="462"/>
      <c r="N18" s="455"/>
      <c r="O18" s="463"/>
      <c r="P18" s="222"/>
      <c r="Q18" s="463"/>
      <c r="R18" s="222"/>
    </row>
    <row r="19" spans="1:18" ht="15.75" customHeight="1" x14ac:dyDescent="0.3">
      <c r="A19" s="392"/>
      <c r="B19" s="454"/>
      <c r="C19" s="455"/>
      <c r="D19" s="456"/>
      <c r="E19" s="457"/>
      <c r="F19" s="458"/>
      <c r="G19" s="459"/>
      <c r="H19" s="460"/>
      <c r="I19" s="460"/>
      <c r="J19" s="460"/>
      <c r="K19" s="461"/>
      <c r="L19" s="462"/>
      <c r="M19" s="462"/>
      <c r="N19" s="455"/>
      <c r="O19" s="463"/>
      <c r="P19" s="222"/>
      <c r="Q19" s="463"/>
      <c r="R19" s="222"/>
    </row>
    <row r="20" spans="1:18" ht="15.75" customHeight="1" x14ac:dyDescent="0.3">
      <c r="A20" s="392">
        <v>1</v>
      </c>
      <c r="B20" s="454">
        <f>IF(AND(G20&lt;&gt;"",H20&gt;0,I20&lt;&gt;"",J20&lt;&gt;0,K20&lt;&gt;0),COUNT($B$11:B19)+1,"")</f>
        <v>7</v>
      </c>
      <c r="C20" s="455" t="str">
        <f>orcamento!A19</f>
        <v>2.1.1</v>
      </c>
      <c r="D20" s="456" t="str">
        <f>orcamento!C19</f>
        <v>COMPOSICAO_PROPRIA</v>
      </c>
      <c r="E20" s="457" t="str">
        <f>orcamento!B19</f>
        <v>CCU 08.a</v>
      </c>
      <c r="F20" s="458">
        <v>46204</v>
      </c>
      <c r="G20" s="459" t="str">
        <f>orcamento!D19</f>
        <v>ENSAIO DE ÍNDICE SUPORTE CALIFORNIA</v>
      </c>
      <c r="H20" s="460">
        <f>orcamento!F19</f>
        <v>1</v>
      </c>
      <c r="I20" s="460" t="str">
        <f>orcamento!E19</f>
        <v>UN</v>
      </c>
      <c r="J20" s="460">
        <f>orcamento!K19</f>
        <v>383.40999999999997</v>
      </c>
      <c r="K20" s="461">
        <f t="shared" si="0"/>
        <v>383.41</v>
      </c>
      <c r="L20" s="462">
        <f>orcamento!J19</f>
        <v>0.24229999999999999</v>
      </c>
      <c r="M20" s="462">
        <v>1.1194999999999999</v>
      </c>
      <c r="N20" s="455"/>
      <c r="O20" s="463"/>
      <c r="P20" s="222"/>
      <c r="Q20" s="463"/>
      <c r="R20" s="222"/>
    </row>
    <row r="21" spans="1:18" ht="15.75" customHeight="1" x14ac:dyDescent="0.3">
      <c r="A21" s="392">
        <v>1</v>
      </c>
      <c r="B21" s="454">
        <f>IF(AND(G21&lt;&gt;"",H21&gt;0,I21&lt;&gt;"",J21&lt;&gt;0,K21&lt;&gt;0),COUNT($B$11:B20)+1,"")</f>
        <v>8</v>
      </c>
      <c r="C21" s="455" t="str">
        <f>orcamento!A20</f>
        <v>2.1.2</v>
      </c>
      <c r="D21" s="456" t="str">
        <f>orcamento!C20</f>
        <v>COMPOSICAO_PROPRIA</v>
      </c>
      <c r="E21" s="457" t="str">
        <f>orcamento!B20</f>
        <v>CCU 08.b</v>
      </c>
      <c r="F21" s="458">
        <v>46204</v>
      </c>
      <c r="G21" s="459" t="str">
        <f>orcamento!D20</f>
        <v>ENSAIO DE DENSIDADE / UMIDADE</v>
      </c>
      <c r="H21" s="460">
        <f>orcamento!F20</f>
        <v>3</v>
      </c>
      <c r="I21" s="460" t="str">
        <f>orcamento!E20</f>
        <v>UN</v>
      </c>
      <c r="J21" s="460">
        <f>orcamento!K20</f>
        <v>265.99</v>
      </c>
      <c r="K21" s="461">
        <f t="shared" si="0"/>
        <v>797.97</v>
      </c>
      <c r="L21" s="462">
        <f>orcamento!J20</f>
        <v>0.24229999999999999</v>
      </c>
      <c r="M21" s="462">
        <v>1.1194999999999999</v>
      </c>
      <c r="N21" s="455"/>
      <c r="O21" s="463"/>
      <c r="P21" s="222"/>
      <c r="Q21" s="463"/>
      <c r="R21" s="222"/>
    </row>
    <row r="22" spans="1:18" ht="15.75" customHeight="1" x14ac:dyDescent="0.3">
      <c r="A22" s="392">
        <v>1</v>
      </c>
      <c r="B22" s="454">
        <f>IF(AND(G22&lt;&gt;"",H22&gt;0,I22&lt;&gt;"",J22&lt;&gt;0,K22&lt;&gt;0),COUNT($B$11:B21)+1,"")</f>
        <v>9</v>
      </c>
      <c r="C22" s="455" t="str">
        <f>orcamento!A21</f>
        <v>2.1.3</v>
      </c>
      <c r="D22" s="456" t="str">
        <f>orcamento!C21</f>
        <v>COMPOSICAO_PROPRIA</v>
      </c>
      <c r="E22" s="457" t="str">
        <f>orcamento!B21</f>
        <v>CCU 08.c</v>
      </c>
      <c r="F22" s="458">
        <v>46204</v>
      </c>
      <c r="G22" s="459" t="str">
        <f>orcamento!D21</f>
        <v>ENSAIO DE GRANULOMETRIA POR PENEIRAMENTO E SEDIMENTAÇÃO</v>
      </c>
      <c r="H22" s="460">
        <f>orcamento!F21</f>
        <v>2</v>
      </c>
      <c r="I22" s="460" t="str">
        <f>orcamento!E21</f>
        <v>UN</v>
      </c>
      <c r="J22" s="460">
        <f>orcamento!K21</f>
        <v>316.54000000000002</v>
      </c>
      <c r="K22" s="461">
        <f t="shared" si="0"/>
        <v>633.08000000000004</v>
      </c>
      <c r="L22" s="462">
        <f>orcamento!J21</f>
        <v>0.24229999999999999</v>
      </c>
      <c r="M22" s="462">
        <v>1.1194999999999999</v>
      </c>
      <c r="N22" s="455"/>
      <c r="O22" s="463"/>
      <c r="P22" s="222"/>
      <c r="Q22" s="463"/>
      <c r="R22" s="222"/>
    </row>
    <row r="23" spans="1:18" ht="15.75" customHeight="1" x14ac:dyDescent="0.3">
      <c r="A23" s="392">
        <v>1</v>
      </c>
      <c r="B23" s="454">
        <f>IF(AND(G23&lt;&gt;"",H23&gt;0,I23&lt;&gt;"",J23&lt;&gt;0,K23&lt;&gt;0),COUNT($B$11:B22)+1,"")</f>
        <v>10</v>
      </c>
      <c r="C23" s="455" t="str">
        <f>orcamento!A22</f>
        <v>2.1.4</v>
      </c>
      <c r="D23" s="456" t="str">
        <f>orcamento!C22</f>
        <v>COMPOSICAO_PROPRIA</v>
      </c>
      <c r="E23" s="457" t="str">
        <f>orcamento!B22</f>
        <v>CCU 08.d</v>
      </c>
      <c r="F23" s="458">
        <v>46204</v>
      </c>
      <c r="G23" s="459" t="str">
        <f>orcamento!D22</f>
        <v>ENSAIO DE LIMITE DE LIQUIDEZ / LIMITE DE PLASTICIDADE</v>
      </c>
      <c r="H23" s="460">
        <f>orcamento!F22</f>
        <v>1</v>
      </c>
      <c r="I23" s="460" t="str">
        <f>orcamento!E22</f>
        <v>UN</v>
      </c>
      <c r="J23" s="460">
        <f>orcamento!K22</f>
        <v>316.54000000000002</v>
      </c>
      <c r="K23" s="461">
        <f t="shared" si="0"/>
        <v>316.54000000000002</v>
      </c>
      <c r="L23" s="462">
        <f>orcamento!J22</f>
        <v>0.24229999999999999</v>
      </c>
      <c r="M23" s="462">
        <v>1.1194999999999999</v>
      </c>
      <c r="N23" s="455"/>
      <c r="O23" s="463"/>
      <c r="P23" s="222"/>
      <c r="Q23" s="463"/>
      <c r="R23" s="222"/>
    </row>
    <row r="24" spans="1:18" ht="15.75" customHeight="1" x14ac:dyDescent="0.3">
      <c r="A24" s="392">
        <v>1</v>
      </c>
      <c r="B24" s="454">
        <f>IF(AND(G24&lt;&gt;"",H24&gt;0,I24&lt;&gt;"",J24&lt;&gt;0,K24&lt;&gt;0),COUNT($B$11:B23)+1,"")</f>
        <v>11</v>
      </c>
      <c r="C24" s="455" t="str">
        <f>orcamento!A23</f>
        <v>2.1.5</v>
      </c>
      <c r="D24" s="456" t="str">
        <f>orcamento!C23</f>
        <v>COMPOSICAO_PROPRIA</v>
      </c>
      <c r="E24" s="457" t="str">
        <f>orcamento!B23</f>
        <v>CCU 08.e</v>
      </c>
      <c r="F24" s="458">
        <v>46204</v>
      </c>
      <c r="G24" s="459" t="str">
        <f>orcamento!D23</f>
        <v>ENSAIO DE COMPACTAÇÃO MÉTODO NORMAL</v>
      </c>
      <c r="H24" s="460">
        <f>orcamento!F23</f>
        <v>3</v>
      </c>
      <c r="I24" s="460" t="str">
        <f>orcamento!E23</f>
        <v>UN</v>
      </c>
      <c r="J24" s="460">
        <f>orcamento!K23</f>
        <v>316.54000000000002</v>
      </c>
      <c r="K24" s="461">
        <f t="shared" si="0"/>
        <v>949.62</v>
      </c>
      <c r="L24" s="462">
        <f>orcamento!J23</f>
        <v>0.24229999999999999</v>
      </c>
      <c r="M24" s="462">
        <v>1.1194999999999999</v>
      </c>
      <c r="N24" s="455"/>
      <c r="O24" s="463"/>
      <c r="P24" s="222"/>
      <c r="Q24" s="463"/>
      <c r="R24" s="222"/>
    </row>
    <row r="25" spans="1:18" ht="15.75" customHeight="1" x14ac:dyDescent="0.3">
      <c r="A25" s="392"/>
      <c r="B25" s="454"/>
      <c r="C25" s="455"/>
      <c r="D25" s="456"/>
      <c r="E25" s="457"/>
      <c r="F25" s="458"/>
      <c r="G25" s="459"/>
      <c r="H25" s="460"/>
      <c r="I25" s="460"/>
      <c r="J25" s="460"/>
      <c r="K25" s="461"/>
      <c r="L25" s="462"/>
      <c r="M25" s="462"/>
      <c r="N25" s="455"/>
      <c r="O25" s="463"/>
      <c r="P25" s="222"/>
      <c r="Q25" s="463"/>
      <c r="R25" s="222"/>
    </row>
    <row r="26" spans="1:18" x14ac:dyDescent="0.3">
      <c r="A26" s="392">
        <v>1</v>
      </c>
      <c r="B26" s="454">
        <f>IF(AND(G26&lt;&gt;"",H26&gt;0,I26&lt;&gt;"",J26&lt;&gt;0,K26&lt;&gt;0),COUNT($B$11:B25)+1,"")</f>
        <v>12</v>
      </c>
      <c r="C26" s="455" t="str">
        <f>orcamento!A25</f>
        <v>2.2.1</v>
      </c>
      <c r="D26" s="456" t="str">
        <f>orcamento!C25</f>
        <v>COMPOSICAO_PROPRIA</v>
      </c>
      <c r="E26" s="457" t="str">
        <f>orcamento!B25</f>
        <v>CCU 08.f</v>
      </c>
      <c r="F26" s="458">
        <v>46204</v>
      </c>
      <c r="G26" s="459" t="str">
        <f>orcamento!D25</f>
        <v>ENSAIO DE UMIDADE ANTES DA COMPACTAÇÃO</v>
      </c>
      <c r="H26" s="460">
        <f>orcamento!F25</f>
        <v>2</v>
      </c>
      <c r="I26" s="460" t="str">
        <f>orcamento!E25</f>
        <v>UN</v>
      </c>
      <c r="J26" s="460">
        <f>orcamento!K25</f>
        <v>130.93</v>
      </c>
      <c r="K26" s="461">
        <f t="shared" si="0"/>
        <v>261.86</v>
      </c>
      <c r="L26" s="462">
        <f>orcamento!J25</f>
        <v>0.24229999999999999</v>
      </c>
      <c r="M26" s="462">
        <v>1.1194999999999999</v>
      </c>
    </row>
    <row r="27" spans="1:18" x14ac:dyDescent="0.3">
      <c r="A27" s="392">
        <v>1</v>
      </c>
      <c r="B27" s="454">
        <f>IF(AND(G27&lt;&gt;"",H27&gt;0,I27&lt;&gt;"",J27&lt;&gt;0,K27&lt;&gt;0),COUNT($B$11:B26)+1,"")</f>
        <v>13</v>
      </c>
      <c r="C27" s="455" t="str">
        <f>orcamento!A26</f>
        <v>2.2.2</v>
      </c>
      <c r="D27" s="456" t="str">
        <f>orcamento!C26</f>
        <v>COMPOSICAO_PROPRIA</v>
      </c>
      <c r="E27" s="457" t="str">
        <f>orcamento!B26</f>
        <v>CCU 08.a</v>
      </c>
      <c r="F27" s="458">
        <v>46204</v>
      </c>
      <c r="G27" s="459" t="str">
        <f>orcamento!D26</f>
        <v>ENSAIO DE ÍNDICE SUPORTE CALIFORNIA</v>
      </c>
      <c r="H27" s="460">
        <f>orcamento!F26</f>
        <v>1</v>
      </c>
      <c r="I27" s="460" t="str">
        <f>orcamento!E26</f>
        <v>UN</v>
      </c>
      <c r="J27" s="460">
        <f>orcamento!K26</f>
        <v>383.40999999999997</v>
      </c>
      <c r="K27" s="461">
        <f t="shared" si="0"/>
        <v>383.41</v>
      </c>
      <c r="L27" s="462">
        <f>orcamento!J26</f>
        <v>0.24229999999999999</v>
      </c>
      <c r="M27" s="462">
        <v>1.1194999999999999</v>
      </c>
    </row>
    <row r="28" spans="1:18" x14ac:dyDescent="0.3">
      <c r="A28" s="392">
        <v>1</v>
      </c>
      <c r="B28" s="454">
        <f>IF(AND(G28&lt;&gt;"",H28&gt;0,I28&lt;&gt;"",J28&lt;&gt;0,K28&lt;&gt;0),COUNT($B$11:B27)+1,"")</f>
        <v>14</v>
      </c>
      <c r="C28" s="455" t="str">
        <f>orcamento!A27</f>
        <v>2.2.3</v>
      </c>
      <c r="D28" s="456" t="str">
        <f>orcamento!C27</f>
        <v>COMPOSICAO_PROPRIA</v>
      </c>
      <c r="E28" s="457" t="str">
        <f>orcamento!B27</f>
        <v>CCU 08.g</v>
      </c>
      <c r="F28" s="458">
        <v>46204</v>
      </c>
      <c r="G28" s="459" t="str">
        <f>orcamento!D27</f>
        <v>ENSAIO DE EQUIVALENTE AREIA</v>
      </c>
      <c r="H28" s="460">
        <f>orcamento!F27</f>
        <v>1</v>
      </c>
      <c r="I28" s="460" t="str">
        <f>orcamento!E27</f>
        <v>UN</v>
      </c>
      <c r="J28" s="460">
        <f>orcamento!K27</f>
        <v>150.08000000000001</v>
      </c>
      <c r="K28" s="461">
        <f t="shared" si="0"/>
        <v>150.08000000000001</v>
      </c>
      <c r="L28" s="462">
        <f>orcamento!J27</f>
        <v>0.24229999999999999</v>
      </c>
      <c r="M28" s="462">
        <v>1.1194999999999999</v>
      </c>
    </row>
    <row r="29" spans="1:18" x14ac:dyDescent="0.3">
      <c r="A29" s="392">
        <v>1</v>
      </c>
      <c r="B29" s="454">
        <f>IF(AND(G29&lt;&gt;"",H29&gt;0,I29&lt;&gt;"",J29&lt;&gt;0,K29&lt;&gt;0),COUNT($B$11:B28)+1,"")</f>
        <v>15</v>
      </c>
      <c r="C29" s="455" t="str">
        <f>orcamento!A28</f>
        <v>2.2.4</v>
      </c>
      <c r="D29" s="456" t="str">
        <f>orcamento!C28</f>
        <v>COMPOSICAO_PROPRIA</v>
      </c>
      <c r="E29" s="457" t="str">
        <f>orcamento!B28</f>
        <v>CCU 08.h</v>
      </c>
      <c r="F29" s="458">
        <v>46204</v>
      </c>
      <c r="G29" s="459" t="str">
        <f>orcamento!D28</f>
        <v>ENSAIO DE MASSA ESPECÍFICA APARENTE</v>
      </c>
      <c r="H29" s="460">
        <f>orcamento!F28</f>
        <v>4</v>
      </c>
      <c r="I29" s="460" t="str">
        <f>orcamento!E28</f>
        <v>UN</v>
      </c>
      <c r="J29" s="460">
        <f>orcamento!K28</f>
        <v>116.39999999999999</v>
      </c>
      <c r="K29" s="461">
        <f t="shared" si="0"/>
        <v>465.6</v>
      </c>
      <c r="L29" s="462">
        <f>orcamento!J28</f>
        <v>0.24229999999999999</v>
      </c>
      <c r="M29" s="462">
        <v>1.1194999999999999</v>
      </c>
    </row>
    <row r="30" spans="1:18" x14ac:dyDescent="0.3">
      <c r="A30" s="392">
        <v>1</v>
      </c>
      <c r="B30" s="454">
        <f>IF(AND(G30&lt;&gt;"",H30&gt;0,I30&lt;&gt;"",J30&lt;&gt;0,K30&lt;&gt;0),COUNT($B$11:B29)+1,"")</f>
        <v>16</v>
      </c>
      <c r="C30" s="455" t="str">
        <f>orcamento!A29</f>
        <v>2.2.5</v>
      </c>
      <c r="D30" s="456" t="str">
        <f>orcamento!C29</f>
        <v>COMPOSICAO_PROPRIA</v>
      </c>
      <c r="E30" s="457" t="str">
        <f>orcamento!B29</f>
        <v>CCU 08.d</v>
      </c>
      <c r="F30" s="458">
        <v>46204</v>
      </c>
      <c r="G30" s="459" t="str">
        <f>orcamento!D29</f>
        <v>ENSAIO DE LIMITE DE LIQUIDEZ / LIMITE DE PLASTICIDADE</v>
      </c>
      <c r="H30" s="460">
        <f>orcamento!F29</f>
        <v>2</v>
      </c>
      <c r="I30" s="460" t="str">
        <f>orcamento!E29</f>
        <v>UN</v>
      </c>
      <c r="J30" s="460">
        <f>orcamento!K29</f>
        <v>316.54000000000002</v>
      </c>
      <c r="K30" s="461">
        <f t="shared" si="0"/>
        <v>633.08000000000004</v>
      </c>
      <c r="L30" s="462">
        <f>orcamento!J29</f>
        <v>0.24229999999999999</v>
      </c>
      <c r="M30" s="462">
        <v>1.1194999999999999</v>
      </c>
    </row>
    <row r="31" spans="1:18" x14ac:dyDescent="0.3">
      <c r="A31" s="392">
        <v>1</v>
      </c>
      <c r="B31" s="454">
        <f>IF(AND(G31&lt;&gt;"",H31&gt;0,I31&lt;&gt;"",J31&lt;&gt;0,K31&lt;&gt;0),COUNT($B$11:B30)+1,"")</f>
        <v>17</v>
      </c>
      <c r="C31" s="455" t="str">
        <f>orcamento!A30</f>
        <v>2.2.6</v>
      </c>
      <c r="D31" s="456" t="str">
        <f>orcamento!C30</f>
        <v>COMPOSICAO_PROPRIA</v>
      </c>
      <c r="E31" s="457" t="str">
        <f>orcamento!B30</f>
        <v>CCU 08.i</v>
      </c>
      <c r="F31" s="458">
        <v>46204</v>
      </c>
      <c r="G31" s="459" t="str">
        <f>orcamento!D30</f>
        <v>ENSAIO DE COMPACTAÇÃO MÉTODO MODIFICADO</v>
      </c>
      <c r="H31" s="460">
        <f>orcamento!F30</f>
        <v>2</v>
      </c>
      <c r="I31" s="460" t="str">
        <f>orcamento!E30</f>
        <v>UN</v>
      </c>
      <c r="J31" s="460">
        <f>orcamento!K30</f>
        <v>633.59</v>
      </c>
      <c r="K31" s="461">
        <f t="shared" si="0"/>
        <v>1267.18</v>
      </c>
      <c r="L31" s="462">
        <f>orcamento!J30</f>
        <v>0.24229999999999999</v>
      </c>
      <c r="M31" s="462">
        <v>1.1194999999999999</v>
      </c>
    </row>
    <row r="32" spans="1:18" x14ac:dyDescent="0.3">
      <c r="A32" s="392"/>
      <c r="B32" s="454"/>
      <c r="C32" s="455"/>
      <c r="D32" s="456"/>
      <c r="E32" s="457"/>
      <c r="F32" s="458"/>
      <c r="G32" s="459"/>
      <c r="H32" s="460"/>
      <c r="I32" s="460"/>
      <c r="J32" s="460"/>
      <c r="K32" s="461"/>
      <c r="L32" s="462"/>
      <c r="M32" s="462"/>
    </row>
    <row r="33" spans="1:13" x14ac:dyDescent="0.3">
      <c r="A33" s="392">
        <v>1</v>
      </c>
      <c r="B33" s="454">
        <f>IF(AND(G33&lt;&gt;"",H33&gt;0,I33&lt;&gt;"",J33&lt;&gt;0,K33&lt;&gt;0),COUNT($B$11:B32)+1,"")</f>
        <v>18</v>
      </c>
      <c r="C33" s="455" t="str">
        <f>orcamento!A32</f>
        <v>2.3.1</v>
      </c>
      <c r="D33" s="456" t="str">
        <f>orcamento!C32</f>
        <v>COMPOSICAO_PROPRIA</v>
      </c>
      <c r="E33" s="457" t="str">
        <f>orcamento!B32</f>
        <v>CCU 08.k</v>
      </c>
      <c r="F33" s="458">
        <v>46204</v>
      </c>
      <c r="G33" s="459" t="str">
        <f>orcamento!D32</f>
        <v>ENSAIO DE TAXA APLICAÇÃO IMPRIMAÇÃO</v>
      </c>
      <c r="H33" s="460">
        <f>orcamento!F32</f>
        <v>1</v>
      </c>
      <c r="I33" s="460" t="str">
        <f>orcamento!E32</f>
        <v>UN</v>
      </c>
      <c r="J33" s="460">
        <f>orcamento!K32</f>
        <v>125.46</v>
      </c>
      <c r="K33" s="461">
        <f t="shared" si="0"/>
        <v>125.46</v>
      </c>
      <c r="L33" s="462">
        <f>orcamento!J32</f>
        <v>0.24229999999999999</v>
      </c>
      <c r="M33" s="462">
        <v>1.1194999999999999</v>
      </c>
    </row>
    <row r="34" spans="1:13" x14ac:dyDescent="0.3">
      <c r="A34" s="392"/>
      <c r="B34" s="454"/>
      <c r="C34" s="455"/>
      <c r="D34" s="456"/>
      <c r="E34" s="457"/>
      <c r="F34" s="458"/>
      <c r="G34" s="459"/>
      <c r="H34" s="460"/>
      <c r="I34" s="460"/>
      <c r="J34" s="460"/>
      <c r="K34" s="461"/>
      <c r="L34" s="462"/>
      <c r="M34" s="462"/>
    </row>
    <row r="35" spans="1:13" x14ac:dyDescent="0.3">
      <c r="A35" s="392">
        <v>1</v>
      </c>
      <c r="B35" s="454">
        <f>IF(AND(G35&lt;&gt;"",H35&gt;0,I35&lt;&gt;"",J35&lt;&gt;0,K35&lt;&gt;0),COUNT($B$11:B34)+1,"")</f>
        <v>19</v>
      </c>
      <c r="C35" s="455" t="str">
        <f>orcamento!A34</f>
        <v>2.4.1</v>
      </c>
      <c r="D35" s="456" t="str">
        <f>orcamento!C34</f>
        <v>COMPOSICAO_PROPRIA</v>
      </c>
      <c r="E35" s="457" t="str">
        <f>orcamento!B34</f>
        <v>CCU 08.l</v>
      </c>
      <c r="F35" s="458">
        <v>46204</v>
      </c>
      <c r="G35" s="459" t="str">
        <f>orcamento!D34</f>
        <v>ENSAIO DE DESGASTE E RESISTENCIA</v>
      </c>
      <c r="H35" s="460">
        <f>orcamento!F34</f>
        <v>2</v>
      </c>
      <c r="I35" s="460" t="str">
        <f>orcamento!E34</f>
        <v>UN</v>
      </c>
      <c r="J35" s="460">
        <f>orcamento!K34</f>
        <v>226.76999999999998</v>
      </c>
      <c r="K35" s="461">
        <f t="shared" si="0"/>
        <v>453.54</v>
      </c>
      <c r="L35" s="462">
        <f>orcamento!J34</f>
        <v>0.24229999999999999</v>
      </c>
      <c r="M35" s="462">
        <v>1.1194999999999999</v>
      </c>
    </row>
    <row r="36" spans="1:13" x14ac:dyDescent="0.3">
      <c r="A36" s="392"/>
      <c r="B36" s="454"/>
      <c r="C36" s="455"/>
      <c r="D36" s="456"/>
      <c r="E36" s="457"/>
      <c r="F36" s="458"/>
      <c r="G36" s="459"/>
      <c r="H36" s="460"/>
      <c r="I36" s="460"/>
      <c r="J36" s="460"/>
      <c r="K36" s="461"/>
      <c r="L36" s="462"/>
      <c r="M36" s="462"/>
    </row>
    <row r="37" spans="1:13" x14ac:dyDescent="0.3">
      <c r="A37" s="392">
        <v>1</v>
      </c>
      <c r="B37" s="454">
        <f>IF(AND(G37&lt;&gt;"",H37&gt;0,I37&lt;&gt;"",J37&lt;&gt;0,K37&lt;&gt;0),COUNT($B$11:B36)+1,"")</f>
        <v>20</v>
      </c>
      <c r="C37" s="455" t="str">
        <f>orcamento!A36</f>
        <v>2.5.1</v>
      </c>
      <c r="D37" s="456" t="str">
        <f>orcamento!C36</f>
        <v>COMPOSICAO_PROPRIA</v>
      </c>
      <c r="E37" s="457" t="str">
        <f>orcamento!B36</f>
        <v>CCU 08.m</v>
      </c>
      <c r="F37" s="458">
        <v>46204</v>
      </c>
      <c r="G37" s="459" t="str">
        <f>orcamento!D36</f>
        <v>ENSAIO DE EXTRAÇÃO DE BETUME / GRANULAMETRIA / MARSHALL</v>
      </c>
      <c r="H37" s="460">
        <f>orcamento!F36</f>
        <v>2</v>
      </c>
      <c r="I37" s="460" t="str">
        <f>orcamento!E36</f>
        <v>UN</v>
      </c>
      <c r="J37" s="460">
        <f>orcamento!K36</f>
        <v>988.39</v>
      </c>
      <c r="K37" s="461">
        <f t="shared" si="0"/>
        <v>1976.78</v>
      </c>
      <c r="L37" s="462">
        <f>orcamento!J36</f>
        <v>0.24229999999999999</v>
      </c>
      <c r="M37" s="462">
        <v>1.1194999999999999</v>
      </c>
    </row>
    <row r="38" spans="1:13" x14ac:dyDescent="0.3">
      <c r="A38" s="392">
        <v>1</v>
      </c>
      <c r="B38" s="454">
        <f>IF(AND(G38&lt;&gt;"",H38&gt;0,I38&lt;&gt;"",J38&lt;&gt;0,K38&lt;&gt;0),COUNT($B$11:B37)+1,"")</f>
        <v>21</v>
      </c>
      <c r="C38" s="455" t="str">
        <f>orcamento!A37</f>
        <v>2.5.2</v>
      </c>
      <c r="D38" s="456" t="str">
        <f>orcamento!C37</f>
        <v>COMPOSICAO_PROPRIA</v>
      </c>
      <c r="E38" s="457" t="str">
        <f>orcamento!B37</f>
        <v>CCU 08.n</v>
      </c>
      <c r="F38" s="458">
        <v>46204</v>
      </c>
      <c r="G38" s="459" t="str">
        <f>orcamento!D37</f>
        <v>ENSAIO DE TEMPERATURA INICIO ESPALHAMENTO</v>
      </c>
      <c r="H38" s="460">
        <f>orcamento!F37</f>
        <v>4</v>
      </c>
      <c r="I38" s="460" t="str">
        <f>orcamento!E37</f>
        <v>UN</v>
      </c>
      <c r="J38" s="460">
        <f>orcamento!K37</f>
        <v>89.71</v>
      </c>
      <c r="K38" s="461">
        <f t="shared" si="0"/>
        <v>358.84</v>
      </c>
      <c r="L38" s="462">
        <f>orcamento!J37</f>
        <v>0.24229999999999999</v>
      </c>
      <c r="M38" s="462">
        <v>1.1194999999999999</v>
      </c>
    </row>
    <row r="39" spans="1:13" x14ac:dyDescent="0.3">
      <c r="A39" s="392">
        <v>1</v>
      </c>
      <c r="B39" s="454">
        <f>IF(AND(G39&lt;&gt;"",H39&gt;0,I39&lt;&gt;"",J39&lt;&gt;0,K39&lt;&gt;0),COUNT($B$11:B38)+1,"")</f>
        <v>22</v>
      </c>
      <c r="C39" s="455" t="str">
        <f>orcamento!A38</f>
        <v>2.5.3</v>
      </c>
      <c r="D39" s="456" t="str">
        <f>orcamento!C38</f>
        <v>COMPOSICAO_PROPRIA</v>
      </c>
      <c r="E39" s="457" t="str">
        <f>orcamento!B38</f>
        <v>CCU 08.o</v>
      </c>
      <c r="F39" s="458">
        <v>46204</v>
      </c>
      <c r="G39" s="459" t="str">
        <f>orcamento!D38</f>
        <v>ENSAIO DE COMPRESSÃO</v>
      </c>
      <c r="H39" s="460">
        <f>orcamento!F38</f>
        <v>2</v>
      </c>
      <c r="I39" s="460" t="str">
        <f>orcamento!E38</f>
        <v>UN</v>
      </c>
      <c r="J39" s="460">
        <f>orcamento!K38</f>
        <v>157.28</v>
      </c>
      <c r="K39" s="461">
        <f t="shared" si="0"/>
        <v>314.56</v>
      </c>
      <c r="L39" s="462">
        <f>orcamento!J38</f>
        <v>0.24229999999999999</v>
      </c>
      <c r="M39" s="462">
        <v>1.1194999999999999</v>
      </c>
    </row>
    <row r="40" spans="1:13" x14ac:dyDescent="0.3">
      <c r="A40" s="392"/>
      <c r="B40" s="454"/>
      <c r="C40" s="455"/>
      <c r="D40" s="456"/>
      <c r="E40" s="457"/>
      <c r="F40" s="458"/>
      <c r="G40" s="459"/>
      <c r="H40" s="460"/>
      <c r="I40" s="460"/>
      <c r="J40" s="460"/>
      <c r="K40" s="461"/>
      <c r="L40" s="462"/>
      <c r="M40" s="462"/>
    </row>
    <row r="41" spans="1:13" x14ac:dyDescent="0.3">
      <c r="A41" s="392">
        <v>1</v>
      </c>
      <c r="B41" s="454">
        <f>IF(AND(G41&lt;&gt;"",H41&gt;0,I41&lt;&gt;"",J41&lt;&gt;0,K41&lt;&gt;0),COUNT($B$11:B40)+1,"")</f>
        <v>23</v>
      </c>
      <c r="C41" s="455" t="str">
        <f>orcamento!A40</f>
        <v>2.6.1</v>
      </c>
      <c r="D41" s="456" t="str">
        <f>orcamento!C40</f>
        <v>COMPOSICAO_PROPRIA</v>
      </c>
      <c r="E41" s="457" t="str">
        <f>orcamento!B40</f>
        <v>CCU 08.p</v>
      </c>
      <c r="F41" s="458">
        <v>46204</v>
      </c>
      <c r="G41" s="459" t="str">
        <f>orcamento!D40</f>
        <v>COLETA CONJUNTO DE AMOSTRAS</v>
      </c>
      <c r="H41" s="460">
        <f>orcamento!F40</f>
        <v>9</v>
      </c>
      <c r="I41" s="460" t="str">
        <f>orcamento!E40</f>
        <v>UN</v>
      </c>
      <c r="J41" s="460">
        <f>orcamento!K40</f>
        <v>71.3</v>
      </c>
      <c r="K41" s="461">
        <f t="shared" si="0"/>
        <v>641.70000000000005</v>
      </c>
      <c r="L41" s="462">
        <f>orcamento!J40</f>
        <v>0.24229999999999999</v>
      </c>
      <c r="M41" s="462">
        <v>1.1194999999999999</v>
      </c>
    </row>
    <row r="42" spans="1:13" x14ac:dyDescent="0.3">
      <c r="A42" s="392"/>
      <c r="B42" s="454"/>
      <c r="C42" s="455"/>
      <c r="D42" s="456"/>
      <c r="E42" s="457"/>
      <c r="F42" s="458"/>
      <c r="G42" s="459"/>
      <c r="H42" s="460"/>
      <c r="I42" s="460"/>
      <c r="J42" s="460"/>
      <c r="K42" s="461"/>
      <c r="L42" s="462"/>
      <c r="M42" s="462"/>
    </row>
    <row r="43" spans="1:13" x14ac:dyDescent="0.3">
      <c r="A43" s="392">
        <v>1</v>
      </c>
      <c r="B43" s="454">
        <f>IF(AND(G43&lt;&gt;"",H43&gt;0,I43&lt;&gt;"",J43&lt;&gt;0,K43&lt;&gt;0),COUNT($B$11:B42)+1,"")</f>
        <v>24</v>
      </c>
      <c r="C43" s="455" t="str">
        <f>orcamento!A42</f>
        <v>3.1</v>
      </c>
      <c r="D43" s="456" t="str">
        <f>orcamento!C42</f>
        <v>SINAPI</v>
      </c>
      <c r="E43" s="457">
        <f>orcamento!B42</f>
        <v>10776</v>
      </c>
      <c r="F43" s="458">
        <v>46204</v>
      </c>
      <c r="G43" s="459" t="str">
        <f>orcamento!D42</f>
        <v>LOCACAO DE CONTAINER 2,30 X 6,00 M, ALT. 2,50 M, PARA ESCRITORIO, SEM DIVISORIAS INTERNAS E SEM SANITARIO (NAO INCLUI MOBILIZACAO/DESMOBILIZACAO)</v>
      </c>
      <c r="H43" s="460">
        <f>orcamento!F42</f>
        <v>4</v>
      </c>
      <c r="I43" s="460" t="str">
        <f>orcamento!E42</f>
        <v>MES</v>
      </c>
      <c r="J43" s="460">
        <f>orcamento!K42</f>
        <v>1062.4100000000001</v>
      </c>
      <c r="K43" s="461">
        <f t="shared" si="0"/>
        <v>4249.6400000000003</v>
      </c>
      <c r="L43" s="462">
        <f>orcamento!J42</f>
        <v>0.16980000000000001</v>
      </c>
      <c r="M43" s="462">
        <v>1.1194999999999999</v>
      </c>
    </row>
    <row r="44" spans="1:13" x14ac:dyDescent="0.3">
      <c r="A44" s="392">
        <v>1</v>
      </c>
      <c r="B44" s="454">
        <f>IF(AND(G44&lt;&gt;"",H44&gt;0,I44&lt;&gt;"",J44&lt;&gt;0,K44&lt;&gt;0),COUNT($B$11:B43)+1,"")</f>
        <v>25</v>
      </c>
      <c r="C44" s="455" t="str">
        <f>orcamento!A43</f>
        <v>3.2</v>
      </c>
      <c r="D44" s="456" t="str">
        <f>orcamento!C43</f>
        <v>COTACAO</v>
      </c>
      <c r="E44" s="457" t="str">
        <f>orcamento!B43</f>
        <v>TAB 04.02</v>
      </c>
      <c r="F44" s="458">
        <v>46204</v>
      </c>
      <c r="G44" s="459" t="str">
        <f>orcamento!D43</f>
        <v>LOCAÇÃO DE BANHEIRO QUÍMICO INDIVIDUAL, INCLUSO TRANSPORTE, LIMPEZA E REPOSIÇÃO DE PAPEL HIGIENICO</v>
      </c>
      <c r="H44" s="460">
        <f>orcamento!F43</f>
        <v>4</v>
      </c>
      <c r="I44" s="460" t="str">
        <f>orcamento!E43</f>
        <v>MES</v>
      </c>
      <c r="J44" s="460">
        <f>orcamento!K43</f>
        <v>1859.98</v>
      </c>
      <c r="K44" s="461">
        <f t="shared" si="0"/>
        <v>7439.92</v>
      </c>
      <c r="L44" s="462">
        <f>orcamento!J43</f>
        <v>0.16980000000000001</v>
      </c>
      <c r="M44" s="462">
        <v>1.1194999999999999</v>
      </c>
    </row>
    <row r="45" spans="1:13" x14ac:dyDescent="0.3">
      <c r="A45" s="392"/>
      <c r="B45" s="454"/>
      <c r="C45" s="455"/>
      <c r="D45" s="456"/>
      <c r="E45" s="457"/>
      <c r="F45" s="458"/>
      <c r="G45" s="459"/>
      <c r="H45" s="460"/>
      <c r="I45" s="460"/>
      <c r="J45" s="460"/>
      <c r="K45" s="461"/>
      <c r="L45" s="462"/>
      <c r="M45" s="462"/>
    </row>
    <row r="46" spans="1:13" x14ac:dyDescent="0.3">
      <c r="A46" s="392">
        <v>1</v>
      </c>
      <c r="B46" s="454">
        <f>IF(AND(G46&lt;&gt;"",H46&gt;0,I46&lt;&gt;"",J46&lt;&gt;0,K46&lt;&gt;0),COUNT($B$11:B45)+1,"")</f>
        <v>26</v>
      </c>
      <c r="C46" s="455" t="str">
        <f>orcamento!A45</f>
        <v>4.1</v>
      </c>
      <c r="D46" s="456" t="str">
        <f>orcamento!C45</f>
        <v>COMPOSICAO_PROPRIA</v>
      </c>
      <c r="E46" s="457" t="str">
        <f>orcamento!B45</f>
        <v>CCU 06</v>
      </c>
      <c r="F46" s="458">
        <v>46204</v>
      </c>
      <c r="G46" s="459" t="str">
        <f>orcamento!D45</f>
        <v>MOBILIZAÇÃO EQUIPAMENTOS AUTOPROPELIDOS E LEVES</v>
      </c>
      <c r="H46" s="460">
        <f>orcamento!F45</f>
        <v>1</v>
      </c>
      <c r="I46" s="460" t="str">
        <f>orcamento!E45</f>
        <v>UN</v>
      </c>
      <c r="J46" s="460">
        <f>orcamento!K45</f>
        <v>4261.45</v>
      </c>
      <c r="K46" s="461">
        <f t="shared" si="0"/>
        <v>4261.45</v>
      </c>
      <c r="L46" s="462">
        <f>orcamento!J45</f>
        <v>0.24229999999999999</v>
      </c>
      <c r="M46" s="462">
        <v>1.1194999999999999</v>
      </c>
    </row>
    <row r="47" spans="1:13" x14ac:dyDescent="0.3">
      <c r="A47" s="392">
        <v>1</v>
      </c>
      <c r="B47" s="454">
        <f>IF(AND(G47&lt;&gt;"",H47&gt;0,I47&lt;&gt;"",J47&lt;&gt;0,K47&lt;&gt;0),COUNT($B$11:B46)+1,"")</f>
        <v>27</v>
      </c>
      <c r="C47" s="455" t="str">
        <f>orcamento!A46</f>
        <v>4.2</v>
      </c>
      <c r="D47" s="456" t="str">
        <f>orcamento!C46</f>
        <v>COMPOSICAO_PROPRIA</v>
      </c>
      <c r="E47" s="457" t="str">
        <f>orcamento!B46</f>
        <v>CCU 09</v>
      </c>
      <c r="F47" s="458">
        <v>46204</v>
      </c>
      <c r="G47" s="459" t="str">
        <f>orcamento!D46</f>
        <v>FRETE CONTAINER</v>
      </c>
      <c r="H47" s="460">
        <f>orcamento!F46</f>
        <v>1</v>
      </c>
      <c r="I47" s="460" t="str">
        <f>orcamento!E46</f>
        <v>UN</v>
      </c>
      <c r="J47" s="460">
        <f>orcamento!K46</f>
        <v>780.95</v>
      </c>
      <c r="K47" s="461">
        <f t="shared" si="0"/>
        <v>780.95</v>
      </c>
      <c r="L47" s="462">
        <f>orcamento!J46</f>
        <v>0.24229999999999999</v>
      </c>
      <c r="M47" s="462">
        <v>1.1194999999999999</v>
      </c>
    </row>
    <row r="48" spans="1:13" x14ac:dyDescent="0.3">
      <c r="A48" s="392">
        <v>1</v>
      </c>
      <c r="B48" s="454">
        <f>IF(AND(G48&lt;&gt;"",H48&gt;0,I48&lt;&gt;"",J48&lt;&gt;0,K48&lt;&gt;0),COUNT($B$11:B47)+1,"")</f>
        <v>28</v>
      </c>
      <c r="C48" s="455" t="str">
        <f>orcamento!A47</f>
        <v>4.3</v>
      </c>
      <c r="D48" s="456" t="str">
        <f>orcamento!C47</f>
        <v>SINAPI</v>
      </c>
      <c r="E48" s="457">
        <f>orcamento!B47</f>
        <v>105115</v>
      </c>
      <c r="F48" s="458">
        <v>46204</v>
      </c>
      <c r="G48" s="459" t="str">
        <f>orcamento!D47</f>
        <v>INSTALAÇÃO E DESINSTALAÇÃO MECANIZADA DE CONTÊINER OU MÓDULO HABITÁVEL DE USOS DIVERSOS. AF_03/2024</v>
      </c>
      <c r="H48" s="460">
        <f>orcamento!F47</f>
        <v>1</v>
      </c>
      <c r="I48" s="460" t="str">
        <f>orcamento!E47</f>
        <v>UN</v>
      </c>
      <c r="J48" s="460">
        <f>orcamento!K47</f>
        <v>162.83999999999997</v>
      </c>
      <c r="K48" s="461">
        <f t="shared" si="0"/>
        <v>162.84</v>
      </c>
      <c r="L48" s="462">
        <f>orcamento!J47</f>
        <v>0.16980000000000001</v>
      </c>
      <c r="M48" s="462">
        <v>1.1194999999999999</v>
      </c>
    </row>
    <row r="49" spans="1:13" x14ac:dyDescent="0.3">
      <c r="A49" s="392"/>
      <c r="B49" s="454"/>
      <c r="C49" s="455"/>
      <c r="D49" s="456"/>
      <c r="E49" s="457"/>
      <c r="F49" s="458"/>
      <c r="G49" s="459"/>
      <c r="H49" s="460"/>
      <c r="I49" s="460"/>
      <c r="J49" s="460"/>
      <c r="K49" s="461"/>
      <c r="L49" s="462"/>
      <c r="M49" s="462"/>
    </row>
    <row r="50" spans="1:13" x14ac:dyDescent="0.3">
      <c r="A50" s="392">
        <v>1</v>
      </c>
      <c r="B50" s="454">
        <f>IF(AND(G50&lt;&gt;"",H50&gt;0,I50&lt;&gt;"",J50&lt;&gt;0,K50&lt;&gt;0),COUNT($B$11:B49)+1,"")</f>
        <v>29</v>
      </c>
      <c r="C50" s="455" t="str">
        <f>orcamento!A49</f>
        <v>5.1</v>
      </c>
      <c r="D50" s="456" t="str">
        <f>orcamento!C49</f>
        <v>COMPOSICAO_PROPRIA</v>
      </c>
      <c r="E50" s="457" t="str">
        <f>orcamento!B49</f>
        <v>CCU 11</v>
      </c>
      <c r="F50" s="458">
        <v>46204</v>
      </c>
      <c r="G50" s="459" t="str">
        <f>orcamento!D49</f>
        <v>CONE DE SINALIZACAO EM PVC FLEXIVEL, H = 70 / 76 CM - FORNECIMENTO E INSTALAÇÃO</v>
      </c>
      <c r="H50" s="460">
        <f>orcamento!F49</f>
        <v>9</v>
      </c>
      <c r="I50" s="460" t="str">
        <f>orcamento!E49</f>
        <v>UN</v>
      </c>
      <c r="J50" s="460">
        <f>orcamento!K49</f>
        <v>156.37</v>
      </c>
      <c r="K50" s="461">
        <f t="shared" si="0"/>
        <v>1407.33</v>
      </c>
      <c r="L50" s="462">
        <f>orcamento!J49</f>
        <v>0.24229999999999999</v>
      </c>
      <c r="M50" s="462">
        <v>1.1194999999999999</v>
      </c>
    </row>
    <row r="51" spans="1:13" x14ac:dyDescent="0.3">
      <c r="A51" s="392">
        <v>1</v>
      </c>
      <c r="B51" s="454">
        <f>IF(AND(G51&lt;&gt;"",H51&gt;0,I51&lt;&gt;"",J51&lt;&gt;0,K51&lt;&gt;0),COUNT($B$11:B50)+1,"")</f>
        <v>30</v>
      </c>
      <c r="C51" s="455" t="str">
        <f>orcamento!A50</f>
        <v>5.2</v>
      </c>
      <c r="D51" s="456" t="str">
        <f>orcamento!C50</f>
        <v>COMPOSICAO_PROPRIA</v>
      </c>
      <c r="E51" s="457" t="str">
        <f>orcamento!B50</f>
        <v>CCU 12</v>
      </c>
      <c r="F51" s="458">
        <v>46204</v>
      </c>
      <c r="G51" s="459" t="str">
        <f>orcamento!D50</f>
        <v>TELA TAPUME LARANJA - FORNECIMENTO E INSTALAÇÃO COM MADEIRA</v>
      </c>
      <c r="H51" s="460">
        <f>orcamento!F50</f>
        <v>300</v>
      </c>
      <c r="I51" s="460" t="str">
        <f>orcamento!E50</f>
        <v>M</v>
      </c>
      <c r="J51" s="460">
        <f>orcamento!K50</f>
        <v>23.14</v>
      </c>
      <c r="K51" s="461">
        <f t="shared" si="0"/>
        <v>6942</v>
      </c>
      <c r="L51" s="462">
        <f>orcamento!J50</f>
        <v>0.24229999999999999</v>
      </c>
      <c r="M51" s="462">
        <v>1.1194999999999999</v>
      </c>
    </row>
    <row r="52" spans="1:13" x14ac:dyDescent="0.3">
      <c r="A52" s="392">
        <v>1</v>
      </c>
      <c r="B52" s="454">
        <f>IF(AND(G52&lt;&gt;"",H52&gt;0,I52&lt;&gt;"",J52&lt;&gt;0,K52&lt;&gt;0),COUNT($B$11:B51)+1,"")</f>
        <v>31</v>
      </c>
      <c r="C52" s="455" t="str">
        <f>orcamento!A51</f>
        <v>5.3</v>
      </c>
      <c r="D52" s="456" t="str">
        <f>orcamento!C51</f>
        <v>COMPOSICAO_PROPRIA</v>
      </c>
      <c r="E52" s="457" t="str">
        <f>orcamento!B51</f>
        <v>CCU 13</v>
      </c>
      <c r="F52" s="458">
        <v>46204</v>
      </c>
      <c r="G52" s="459" t="str">
        <f>orcamento!D51</f>
        <v>BALIZADOR REFLETIVO - FORNECIMENTO E MANUTENÇÃO</v>
      </c>
      <c r="H52" s="460">
        <f>orcamento!F51</f>
        <v>9</v>
      </c>
      <c r="I52" s="460" t="str">
        <f>orcamento!E51</f>
        <v>UN</v>
      </c>
      <c r="J52" s="460">
        <f>orcamento!K51</f>
        <v>253.89000000000001</v>
      </c>
      <c r="K52" s="461">
        <f t="shared" si="0"/>
        <v>2285.0100000000002</v>
      </c>
      <c r="L52" s="462">
        <f>orcamento!J51</f>
        <v>0.24229999999999999</v>
      </c>
      <c r="M52" s="462">
        <v>1.1194999999999999</v>
      </c>
    </row>
    <row r="53" spans="1:13" x14ac:dyDescent="0.3">
      <c r="A53" s="392">
        <v>1</v>
      </c>
      <c r="B53" s="454">
        <f>IF(AND(G53&lt;&gt;"",H53&gt;0,I53&lt;&gt;"",J53&lt;&gt;0,K53&lt;&gt;0),COUNT($B$11:B52)+1,"")</f>
        <v>32</v>
      </c>
      <c r="C53" s="455" t="str">
        <f>orcamento!A52</f>
        <v>5.4</v>
      </c>
      <c r="D53" s="456" t="str">
        <f>orcamento!C52</f>
        <v>COMPOSICAO_PROPRIA</v>
      </c>
      <c r="E53" s="457" t="str">
        <f>orcamento!B52</f>
        <v>CCU 14</v>
      </c>
      <c r="F53" s="458">
        <v>46204</v>
      </c>
      <c r="G53" s="459" t="str">
        <f>orcamento!D52</f>
        <v>PASSADICOS C/ TÁBUAS DE MADEIRA P/ PEDESTRES - FORNEC., INST. E DESLOCAMENTOS AO LONGO DA OBRA</v>
      </c>
      <c r="H53" s="460">
        <f>orcamento!F52</f>
        <v>20</v>
      </c>
      <c r="I53" s="460" t="str">
        <f>orcamento!E52</f>
        <v>M2</v>
      </c>
      <c r="J53" s="460">
        <f>orcamento!K52</f>
        <v>119.75</v>
      </c>
      <c r="K53" s="461">
        <f t="shared" si="0"/>
        <v>2395</v>
      </c>
      <c r="L53" s="462">
        <f>orcamento!J52</f>
        <v>0.24229999999999999</v>
      </c>
      <c r="M53" s="462">
        <v>1.1194999999999999</v>
      </c>
    </row>
    <row r="54" spans="1:13" x14ac:dyDescent="0.3">
      <c r="A54" s="392"/>
      <c r="B54" s="454"/>
      <c r="C54" s="455"/>
      <c r="D54" s="456"/>
      <c r="E54" s="457"/>
      <c r="F54" s="458"/>
      <c r="G54" s="459"/>
      <c r="H54" s="460"/>
      <c r="I54" s="460"/>
      <c r="J54" s="460"/>
      <c r="K54" s="461"/>
      <c r="L54" s="462"/>
      <c r="M54" s="462"/>
    </row>
    <row r="55" spans="1:13" x14ac:dyDescent="0.3">
      <c r="A55" s="392">
        <v>1</v>
      </c>
      <c r="B55" s="454">
        <f>IF(AND(G55&lt;&gt;"",H55&gt;0,I55&lt;&gt;"",J55&lt;&gt;0,K55&lt;&gt;0),COUNT($B$11:B54)+1,"")</f>
        <v>33</v>
      </c>
      <c r="C55" s="455" t="str">
        <f>orcamento!A54</f>
        <v>6.1</v>
      </c>
      <c r="D55" s="456" t="str">
        <f>orcamento!C54</f>
        <v>SINAPI</v>
      </c>
      <c r="E55" s="457">
        <f>orcamento!B54</f>
        <v>103689</v>
      </c>
      <c r="F55" s="458">
        <v>46204</v>
      </c>
      <c r="G55" s="459" t="str">
        <f>orcamento!D54</f>
        <v>FORNECIMENTO E INSTALAÇÃO DE PLACA DE OBRA COM CHAPA GALVANIZADA E ESTRUTURA DE MADEIRA. AF_03/2022_PS</v>
      </c>
      <c r="H55" s="460">
        <f>orcamento!F54</f>
        <v>6.96</v>
      </c>
      <c r="I55" s="460" t="str">
        <f>orcamento!E54</f>
        <v>M2</v>
      </c>
      <c r="J55" s="460">
        <f>orcamento!K54</f>
        <v>617.16000000000008</v>
      </c>
      <c r="K55" s="461">
        <f t="shared" si="0"/>
        <v>4295.43</v>
      </c>
      <c r="L55" s="462">
        <f>orcamento!J54</f>
        <v>0.24229999999999999</v>
      </c>
      <c r="M55" s="462">
        <v>1.1194999999999999</v>
      </c>
    </row>
    <row r="56" spans="1:13" x14ac:dyDescent="0.3">
      <c r="A56" s="392">
        <v>1</v>
      </c>
      <c r="B56" s="454">
        <f>IF(AND(G56&lt;&gt;"",H56&gt;0,I56&lt;&gt;"",J56&lt;&gt;0,K56&lt;&gt;0),COUNT($B$11:B55)+1,"")</f>
        <v>34</v>
      </c>
      <c r="C56" s="455" t="str">
        <f>orcamento!A55</f>
        <v>6.2</v>
      </c>
      <c r="D56" s="456" t="str">
        <f>orcamento!C55</f>
        <v>SINAPI</v>
      </c>
      <c r="E56" s="457">
        <f>orcamento!B55</f>
        <v>101905</v>
      </c>
      <c r="F56" s="458">
        <v>46204</v>
      </c>
      <c r="G56" s="459" t="str">
        <f>orcamento!D55</f>
        <v>EXTINTOR DE INCÊNDIO PORTÁTIL COM CARGA DE ÁGUA PRESSURIZADA DE 10 L, CLASSE A - FORNECIMENTO E INSTALAÇÃO. AF_01/2026_PE</v>
      </c>
      <c r="H56" s="460">
        <f>orcamento!F55</f>
        <v>1</v>
      </c>
      <c r="I56" s="460" t="str">
        <f>orcamento!E55</f>
        <v>UN</v>
      </c>
      <c r="J56" s="460">
        <f>orcamento!K55</f>
        <v>279.63</v>
      </c>
      <c r="K56" s="461">
        <f t="shared" si="0"/>
        <v>279.63</v>
      </c>
      <c r="L56" s="462">
        <f>orcamento!J55</f>
        <v>0.24229999999999999</v>
      </c>
      <c r="M56" s="462">
        <v>1.1194999999999999</v>
      </c>
    </row>
    <row r="57" spans="1:13" x14ac:dyDescent="0.3">
      <c r="A57" s="392">
        <v>1</v>
      </c>
      <c r="B57" s="454">
        <f>IF(AND(G57&lt;&gt;"",H57&gt;0,I57&lt;&gt;"",J57&lt;&gt;0,K57&lt;&gt;0),COUNT($B$11:B56)+1,"")</f>
        <v>35</v>
      </c>
      <c r="C57" s="455" t="str">
        <f>orcamento!A56</f>
        <v>6.3</v>
      </c>
      <c r="D57" s="456" t="str">
        <f>orcamento!C56</f>
        <v>SINAPI</v>
      </c>
      <c r="E57" s="457">
        <f>orcamento!B56</f>
        <v>101910</v>
      </c>
      <c r="F57" s="458">
        <v>46204</v>
      </c>
      <c r="G57" s="459" t="str">
        <f>orcamento!D56</f>
        <v>EXTINTOR DE INCÊNDIO PORTÁTIL COM CARGA DE PQS DE 8 KG, CLASSE BC - FORNECIMENTO E INSTALAÇÃO. AF_01/2026_PE</v>
      </c>
      <c r="H57" s="460">
        <f>orcamento!F56</f>
        <v>1</v>
      </c>
      <c r="I57" s="460" t="str">
        <f>orcamento!E56</f>
        <v>UN</v>
      </c>
      <c r="J57" s="460">
        <f>orcamento!K56</f>
        <v>369.34000000000003</v>
      </c>
      <c r="K57" s="461">
        <f t="shared" si="0"/>
        <v>369.34</v>
      </c>
      <c r="L57" s="462">
        <f>orcamento!J56</f>
        <v>0.24229999999999999</v>
      </c>
      <c r="M57" s="462">
        <v>1.1194999999999999</v>
      </c>
    </row>
    <row r="58" spans="1:13" x14ac:dyDescent="0.3">
      <c r="A58" s="392">
        <v>1</v>
      </c>
      <c r="B58" s="454">
        <f>IF(AND(G58&lt;&gt;"",H58&gt;0,I58&lt;&gt;"",J58&lt;&gt;0,K58&lt;&gt;0),COUNT($B$11:B57)+1,"")</f>
        <v>36</v>
      </c>
      <c r="C58" s="455" t="str">
        <f>orcamento!A57</f>
        <v>6.4</v>
      </c>
      <c r="D58" s="456" t="str">
        <f>orcamento!C57</f>
        <v>SINAPI</v>
      </c>
      <c r="E58" s="457">
        <f>orcamento!B57</f>
        <v>98525</v>
      </c>
      <c r="F58" s="458">
        <v>46204</v>
      </c>
      <c r="G58" s="459" t="str">
        <f>orcamento!D57</f>
        <v>LIMPEZA MECANIZADA DE CAMADA VEGETAL, VEGETAÇÃO E PEQUENAS ÁRVORES (DIÂMETRO DE TRONCO MENOR QUE 0,20 M), COM TRATOR DE ESTEIRAS. AF_03/2024</v>
      </c>
      <c r="H58" s="460">
        <f>orcamento!F57</f>
        <v>165</v>
      </c>
      <c r="I58" s="460" t="str">
        <f>orcamento!E57</f>
        <v>M2</v>
      </c>
      <c r="J58" s="460">
        <f>orcamento!K57</f>
        <v>0.87</v>
      </c>
      <c r="K58" s="461">
        <f t="shared" si="0"/>
        <v>143.55000000000001</v>
      </c>
      <c r="L58" s="462">
        <f>orcamento!J57</f>
        <v>0.24229999999999999</v>
      </c>
      <c r="M58" s="462">
        <v>1.1194999999999999</v>
      </c>
    </row>
    <row r="59" spans="1:13" x14ac:dyDescent="0.3">
      <c r="A59" s="392">
        <v>1</v>
      </c>
      <c r="B59" s="454">
        <f>IF(AND(G59&lt;&gt;"",H59&gt;0,I59&lt;&gt;"",J59&lt;&gt;0,K59&lt;&gt;0),COUNT($B$11:B58)+1,"")</f>
        <v>37</v>
      </c>
      <c r="C59" s="455" t="str">
        <f>orcamento!A58</f>
        <v>6.5</v>
      </c>
      <c r="D59" s="456" t="str">
        <f>orcamento!C58</f>
        <v>COMPOSICAO_PROPRIA</v>
      </c>
      <c r="E59" s="457" t="str">
        <f>orcamento!B58</f>
        <v>CCU 15</v>
      </c>
      <c r="F59" s="458">
        <v>46204</v>
      </c>
      <c r="G59" s="459" t="str">
        <f>orcamento!D58</f>
        <v>FORNECIMENTO DE ENERGIA PARA INÍCIO DE INSTALAÇÃO DE CANTEIRO POR MEIO DE GRUPO GERADOR REBOCÁVEL, POTÊNCIA 66 KVA, MOTOR A DIESEL</v>
      </c>
      <c r="H59" s="460">
        <f>orcamento!F58</f>
        <v>1</v>
      </c>
      <c r="I59" s="460" t="str">
        <f>orcamento!E58</f>
        <v>UN</v>
      </c>
      <c r="J59" s="460">
        <f>orcamento!K58</f>
        <v>2056.5</v>
      </c>
      <c r="K59" s="461">
        <f t="shared" si="0"/>
        <v>2056.5</v>
      </c>
      <c r="L59" s="462">
        <f>orcamento!J58</f>
        <v>0.24229999999999999</v>
      </c>
      <c r="M59" s="462">
        <v>1.1194999999999999</v>
      </c>
    </row>
    <row r="60" spans="1:13" x14ac:dyDescent="0.3">
      <c r="A60" s="392">
        <v>1</v>
      </c>
      <c r="B60" s="454">
        <f>IF(AND(G60&lt;&gt;"",H60&gt;0,I60&lt;&gt;"",J60&lt;&gt;0,K60&lt;&gt;0),COUNT($B$11:B59)+1,"")</f>
        <v>38</v>
      </c>
      <c r="C60" s="455" t="str">
        <f>orcamento!A59</f>
        <v>6.7</v>
      </c>
      <c r="D60" s="456" t="str">
        <f>orcamento!C59</f>
        <v>SINAPI</v>
      </c>
      <c r="E60" s="457">
        <f>orcamento!B59</f>
        <v>100604</v>
      </c>
      <c r="F60" s="458">
        <v>46204</v>
      </c>
      <c r="G60" s="459" t="str">
        <f>orcamento!D59</f>
        <v>ASSENTAMENTO DE POSTE DE CONCRETO COM COMPRIMENTO NOMINAL DE 10 M, CARGA NOMINAL DE 300 DAN, ENGASTAMENTO BASE CONCRETADA COM 1 M DE CONCRETO E 0,6 M DE SOLO (NÃO INCLUI FORNECIMENTO). AF_04/2025</v>
      </c>
      <c r="H60" s="460">
        <f>orcamento!F59</f>
        <v>1</v>
      </c>
      <c r="I60" s="460" t="str">
        <f>orcamento!E59</f>
        <v>UN</v>
      </c>
      <c r="J60" s="460">
        <f>orcamento!K59</f>
        <v>1017.48</v>
      </c>
      <c r="K60" s="461">
        <f t="shared" si="0"/>
        <v>1017.48</v>
      </c>
      <c r="L60" s="462">
        <f>orcamento!J59</f>
        <v>0.24229999999999999</v>
      </c>
      <c r="M60" s="462">
        <v>1.1194999999999999</v>
      </c>
    </row>
    <row r="61" spans="1:13" x14ac:dyDescent="0.3">
      <c r="A61" s="392">
        <v>1</v>
      </c>
      <c r="B61" s="454">
        <f>IF(AND(G61&lt;&gt;"",H61&gt;0,I61&lt;&gt;"",J61&lt;&gt;0,K61&lt;&gt;0),COUNT($B$11:B60)+1,"")</f>
        <v>39</v>
      </c>
      <c r="C61" s="455" t="str">
        <f>orcamento!A60</f>
        <v>6.8</v>
      </c>
      <c r="D61" s="456" t="str">
        <f>orcamento!C60</f>
        <v>SINAPI</v>
      </c>
      <c r="E61" s="457">
        <f>orcamento!B60</f>
        <v>12366</v>
      </c>
      <c r="F61" s="458">
        <v>46204</v>
      </c>
      <c r="G61" s="459" t="str">
        <f>orcamento!D60</f>
        <v>POSTE DE CONCRETO ARMADO DE SECAO CIRCULAR, EXTENSAO DE 10,00 M, RESISTENCIA DE 150 A 200 DAN, TIPO C-14</v>
      </c>
      <c r="H61" s="460">
        <f>orcamento!F60</f>
        <v>1</v>
      </c>
      <c r="I61" s="460" t="str">
        <f>orcamento!E60</f>
        <v>UN</v>
      </c>
      <c r="J61" s="460">
        <f>orcamento!K60</f>
        <v>1793.35</v>
      </c>
      <c r="K61" s="461">
        <f t="shared" si="0"/>
        <v>1793.35</v>
      </c>
      <c r="L61" s="462">
        <f>orcamento!J60</f>
        <v>0.24229999999999999</v>
      </c>
      <c r="M61" s="462">
        <v>1.1194999999999999</v>
      </c>
    </row>
    <row r="62" spans="1:13" x14ac:dyDescent="0.3">
      <c r="A62" s="392">
        <v>1</v>
      </c>
      <c r="B62" s="454">
        <f>IF(AND(G62&lt;&gt;"",H62&gt;0,I62&lt;&gt;"",J62&lt;&gt;0,K62&lt;&gt;0),COUNT($B$11:B61)+1,"")</f>
        <v>40</v>
      </c>
      <c r="C62" s="455" t="str">
        <f>orcamento!A61</f>
        <v>6.9</v>
      </c>
      <c r="D62" s="456" t="str">
        <f>orcamento!C61</f>
        <v>SINAPI</v>
      </c>
      <c r="E62" s="457">
        <f>orcamento!B61</f>
        <v>101497</v>
      </c>
      <c r="F62" s="458">
        <v>46204</v>
      </c>
      <c r="G62" s="459" t="str">
        <f>orcamento!D61</f>
        <v>ENTRADA DE ENERGIA ELÉTRICA, AÉREA, BIFÁSICA, COM CAIXA DE SOBREPOR, CABO DE 10 MM2 E DISJUNTOR DIN 50A (NÃO INCLUSO O POSTE DE CONCRETO). AF_12/2025</v>
      </c>
      <c r="H62" s="460">
        <f>orcamento!F61</f>
        <v>1</v>
      </c>
      <c r="I62" s="460" t="str">
        <f>orcamento!E61</f>
        <v>UN</v>
      </c>
      <c r="J62" s="460">
        <f>orcamento!K61</f>
        <v>2495.25</v>
      </c>
      <c r="K62" s="461">
        <f t="shared" si="0"/>
        <v>2495.25</v>
      </c>
      <c r="L62" s="462">
        <f>orcamento!J61</f>
        <v>0.24229999999999999</v>
      </c>
      <c r="M62" s="462">
        <v>1.1194999999999999</v>
      </c>
    </row>
    <row r="63" spans="1:13" x14ac:dyDescent="0.3">
      <c r="A63" s="392">
        <v>1</v>
      </c>
      <c r="B63" s="454">
        <f>IF(AND(G63&lt;&gt;"",H63&gt;0,I63&lt;&gt;"",J63&lt;&gt;0,K63&lt;&gt;0),COUNT($B$11:B62)+1,"")</f>
        <v>41</v>
      </c>
      <c r="C63" s="455" t="str">
        <f>orcamento!A62</f>
        <v>6.10</v>
      </c>
      <c r="D63" s="456" t="str">
        <f>orcamento!C62</f>
        <v>SINAPI</v>
      </c>
      <c r="E63" s="457">
        <f>orcamento!B62</f>
        <v>91933</v>
      </c>
      <c r="F63" s="458">
        <v>46204</v>
      </c>
      <c r="G63" s="459" t="str">
        <f>orcamento!D62</f>
        <v>CABO DE COBRE FLEXÍVEL ISOLADO, 10 MM², ANTI-CHAMA 0,6/1,0 KV, PARA CIRCUITOS TERMINAIS - FORNECIMENTO E INSTALAÇÃO. AF_03/2023</v>
      </c>
      <c r="H63" s="460">
        <f>orcamento!F62</f>
        <v>180</v>
      </c>
      <c r="I63" s="460" t="str">
        <f>orcamento!E62</f>
        <v>M</v>
      </c>
      <c r="J63" s="460">
        <f>orcamento!K62</f>
        <v>23.130000000000003</v>
      </c>
      <c r="K63" s="461">
        <f t="shared" si="0"/>
        <v>4163.3999999999996</v>
      </c>
      <c r="L63" s="462">
        <f>orcamento!J62</f>
        <v>0.24229999999999999</v>
      </c>
      <c r="M63" s="462">
        <v>1.1194999999999999</v>
      </c>
    </row>
    <row r="64" spans="1:13" x14ac:dyDescent="0.3">
      <c r="A64" s="392">
        <v>1</v>
      </c>
      <c r="B64" s="454">
        <f>IF(AND(G64&lt;&gt;"",H64&gt;0,I64&lt;&gt;"",J64&lt;&gt;0,K64&lt;&gt;0),COUNT($B$11:B63)+1,"")</f>
        <v>42</v>
      </c>
      <c r="C64" s="455" t="str">
        <f>orcamento!A63</f>
        <v>6.11</v>
      </c>
      <c r="D64" s="456" t="str">
        <f>orcamento!C63</f>
        <v>SINAPI</v>
      </c>
      <c r="E64" s="457">
        <f>orcamento!B63</f>
        <v>91929</v>
      </c>
      <c r="F64" s="458">
        <v>46204</v>
      </c>
      <c r="G64" s="459" t="str">
        <f>orcamento!D63</f>
        <v>CABO DE COBRE FLEXÍVEL ISOLADO, 4 MM², ANTI-CHAMA 0,6/1,0 KV, PARA CIRCUITOS TERMINAIS - FORNECIMENTO E INSTALAÇÃO. AF_03/2023</v>
      </c>
      <c r="H64" s="460">
        <f>orcamento!F63</f>
        <v>15</v>
      </c>
      <c r="I64" s="460" t="str">
        <f>orcamento!E63</f>
        <v>M</v>
      </c>
      <c r="J64" s="460">
        <f>orcamento!K63</f>
        <v>10.27</v>
      </c>
      <c r="K64" s="461">
        <f t="shared" si="0"/>
        <v>154.05000000000001</v>
      </c>
      <c r="L64" s="462">
        <f>orcamento!J63</f>
        <v>0.24229999999999999</v>
      </c>
      <c r="M64" s="462">
        <v>1.1194999999999999</v>
      </c>
    </row>
    <row r="65" spans="1:13" x14ac:dyDescent="0.3">
      <c r="A65" s="392">
        <v>1</v>
      </c>
      <c r="B65" s="454">
        <f>IF(AND(G65&lt;&gt;"",H65&gt;0,I65&lt;&gt;"",J65&lt;&gt;0,K65&lt;&gt;0),COUNT($B$11:B64)+1,"")</f>
        <v>43</v>
      </c>
      <c r="C65" s="455" t="str">
        <f>orcamento!A64</f>
        <v>6.12</v>
      </c>
      <c r="D65" s="456" t="str">
        <f>orcamento!C64</f>
        <v>SINAPI</v>
      </c>
      <c r="E65" s="457">
        <f>orcamento!B64</f>
        <v>91927</v>
      </c>
      <c r="F65" s="458">
        <v>46204</v>
      </c>
      <c r="G65" s="459" t="str">
        <f>orcamento!D64</f>
        <v>CABO DE COBRE FLEXÍVEL ISOLADO, 2,5 MM², ANTI-CHAMA 0,6/1,0 KV, PARA CIRCUITOS TERMINAIS - FORNECIMENTO E INSTALAÇÃO. AF_03/2023</v>
      </c>
      <c r="H65" s="460">
        <f>orcamento!F64</f>
        <v>60</v>
      </c>
      <c r="I65" s="460" t="str">
        <f>orcamento!E64</f>
        <v>M</v>
      </c>
      <c r="J65" s="460">
        <f>orcamento!K64</f>
        <v>6.98</v>
      </c>
      <c r="K65" s="461">
        <f t="shared" si="0"/>
        <v>418.8</v>
      </c>
      <c r="L65" s="462">
        <f>orcamento!J64</f>
        <v>0.24229999999999999</v>
      </c>
      <c r="M65" s="462">
        <v>1.1194999999999999</v>
      </c>
    </row>
    <row r="66" spans="1:13" x14ac:dyDescent="0.3">
      <c r="A66" s="392">
        <v>1</v>
      </c>
      <c r="B66" s="454">
        <f>IF(AND(G66&lt;&gt;"",H66&gt;0,I66&lt;&gt;"",J66&lt;&gt;0,K66&lt;&gt;0),COUNT($B$11:B65)+1,"")</f>
        <v>44</v>
      </c>
      <c r="C66" s="455" t="str">
        <f>orcamento!A65</f>
        <v>6.13</v>
      </c>
      <c r="D66" s="456" t="str">
        <f>orcamento!C65</f>
        <v>SINAPI</v>
      </c>
      <c r="E66" s="457">
        <f>orcamento!B65</f>
        <v>91839</v>
      </c>
      <c r="F66" s="458">
        <v>46204</v>
      </c>
      <c r="G66" s="459" t="str">
        <f>orcamento!D65</f>
        <v>ELETRODUTO FLEXÍVEL LISO, PEAD, DN 32 MM (1"), PARA CIRCUITOS TERMINAIS, INSTALADO EM FORRO - FORNECIMENTO E INSTALAÇÃO. AF_03/2023</v>
      </c>
      <c r="H66" s="460">
        <f>orcamento!F65</f>
        <v>25</v>
      </c>
      <c r="I66" s="460" t="str">
        <f>orcamento!E65</f>
        <v>M</v>
      </c>
      <c r="J66" s="460">
        <f>orcamento!K65</f>
        <v>25.73</v>
      </c>
      <c r="K66" s="461">
        <f t="shared" si="0"/>
        <v>643.25</v>
      </c>
      <c r="L66" s="462">
        <f>orcamento!J65</f>
        <v>0.24229999999999999</v>
      </c>
      <c r="M66" s="462">
        <v>1.1194999999999999</v>
      </c>
    </row>
    <row r="67" spans="1:13" x14ac:dyDescent="0.3">
      <c r="A67" s="392">
        <v>1</v>
      </c>
      <c r="B67" s="454">
        <f>IF(AND(G67&lt;&gt;"",H67&gt;0,I67&lt;&gt;"",J67&lt;&gt;0,K67&lt;&gt;0),COUNT($B$11:B66)+1,"")</f>
        <v>45</v>
      </c>
      <c r="C67" s="455" t="str">
        <f>orcamento!A66</f>
        <v>6.14</v>
      </c>
      <c r="D67" s="456" t="str">
        <f>orcamento!C66</f>
        <v>SINAPI</v>
      </c>
      <c r="E67" s="457">
        <f>orcamento!B66</f>
        <v>101875</v>
      </c>
      <c r="F67" s="458">
        <v>46204</v>
      </c>
      <c r="G67" s="459" t="str">
        <f>orcamento!D66</f>
        <v>QUADRO DE DISTRIBUIÇÃO DE ENERGIA EM CHAPA DE AÇO GALVANIZADO, DE EMBUTIR, COM BARRAMENTO TRIFÁSICO, PARA 12 DISJUNTORES DIN 100A - FORNECIMENTO E INSTALAÇÃO. AF_07/2025</v>
      </c>
      <c r="H67" s="460">
        <f>orcamento!F66</f>
        <v>1</v>
      </c>
      <c r="I67" s="460" t="str">
        <f>orcamento!E66</f>
        <v>UN</v>
      </c>
      <c r="J67" s="460">
        <f>orcamento!K66</f>
        <v>541.52</v>
      </c>
      <c r="K67" s="461">
        <f t="shared" si="0"/>
        <v>541.52</v>
      </c>
      <c r="L67" s="462">
        <f>orcamento!J66</f>
        <v>0.24229999999999999</v>
      </c>
      <c r="M67" s="462">
        <v>1.1194999999999999</v>
      </c>
    </row>
    <row r="68" spans="1:13" x14ac:dyDescent="0.3">
      <c r="A68" s="392">
        <v>1</v>
      </c>
      <c r="B68" s="454">
        <f>IF(AND(G68&lt;&gt;"",H68&gt;0,I68&lt;&gt;"",J68&lt;&gt;0,K68&lt;&gt;0),COUNT($B$11:B67)+1,"")</f>
        <v>46</v>
      </c>
      <c r="C68" s="455" t="str">
        <f>orcamento!A67</f>
        <v>6.15</v>
      </c>
      <c r="D68" s="456" t="str">
        <f>orcamento!C67</f>
        <v>SINAPI</v>
      </c>
      <c r="E68" s="457">
        <f>orcamento!B67</f>
        <v>93659</v>
      </c>
      <c r="F68" s="458">
        <v>46204</v>
      </c>
      <c r="G68" s="459" t="str">
        <f>orcamento!D67</f>
        <v>DISJUNTOR MONOPOLAR TIPO DIN, CORRENTE NOMINAL DE 50A - FORNECIMENTO E INSTALAÇÃO. AF_07/2025</v>
      </c>
      <c r="H68" s="460">
        <f>orcamento!F67</f>
        <v>1</v>
      </c>
      <c r="I68" s="460" t="str">
        <f>orcamento!E67</f>
        <v>UN</v>
      </c>
      <c r="J68" s="460">
        <f>orcamento!K67</f>
        <v>29.94</v>
      </c>
      <c r="K68" s="461">
        <f t="shared" si="0"/>
        <v>29.94</v>
      </c>
      <c r="L68" s="462">
        <f>orcamento!J67</f>
        <v>0.24229999999999999</v>
      </c>
      <c r="M68" s="462">
        <v>1.1194999999999999</v>
      </c>
    </row>
    <row r="69" spans="1:13" x14ac:dyDescent="0.3">
      <c r="A69" s="392">
        <v>1</v>
      </c>
      <c r="B69" s="454">
        <f>IF(AND(G69&lt;&gt;"",H69&gt;0,I69&lt;&gt;"",J69&lt;&gt;0,K69&lt;&gt;0),COUNT($B$11:B68)+1,"")</f>
        <v>47</v>
      </c>
      <c r="C69" s="455" t="str">
        <f>orcamento!A68</f>
        <v>6.16</v>
      </c>
      <c r="D69" s="456" t="str">
        <f>orcamento!C68</f>
        <v>SINAPI</v>
      </c>
      <c r="E69" s="457">
        <f>orcamento!B68</f>
        <v>93657</v>
      </c>
      <c r="F69" s="458">
        <v>46204</v>
      </c>
      <c r="G69" s="459" t="str">
        <f>orcamento!D68</f>
        <v>DISJUNTOR MONOPOLAR TIPO DIN, CORRENTE NOMINAL DE 32A - FORNECIMENTO E INSTALAÇÃO. AF_07/2025</v>
      </c>
      <c r="H69" s="460">
        <f>orcamento!F68</f>
        <v>4</v>
      </c>
      <c r="I69" s="460" t="str">
        <f>orcamento!E68</f>
        <v>UN</v>
      </c>
      <c r="J69" s="460">
        <f>orcamento!K68</f>
        <v>18.190000000000001</v>
      </c>
      <c r="K69" s="461">
        <f t="shared" si="0"/>
        <v>72.760000000000005</v>
      </c>
      <c r="L69" s="462">
        <f>orcamento!J68</f>
        <v>0.24229999999999999</v>
      </c>
      <c r="M69" s="462">
        <v>1.1194999999999999</v>
      </c>
    </row>
    <row r="70" spans="1:13" x14ac:dyDescent="0.3">
      <c r="A70" s="392">
        <v>1</v>
      </c>
      <c r="B70" s="454">
        <f>IF(AND(G70&lt;&gt;"",H70&gt;0,I70&lt;&gt;"",J70&lt;&gt;0,K70&lt;&gt;0),COUNT($B$11:B69)+1,"")</f>
        <v>48</v>
      </c>
      <c r="C70" s="455" t="str">
        <f>orcamento!A69</f>
        <v>6.17</v>
      </c>
      <c r="D70" s="456" t="str">
        <f>orcamento!C69</f>
        <v>SINAPI</v>
      </c>
      <c r="E70" s="457">
        <f>orcamento!B69</f>
        <v>91953</v>
      </c>
      <c r="F70" s="458">
        <v>46204</v>
      </c>
      <c r="G70" s="459" t="str">
        <f>orcamento!D69</f>
        <v>INTERRUPTOR SIMPLES (1 MÓDULO), 10A/250V, INCLUINDO SUPORTE E PLACA - FORNECIMENTO E INSTALAÇÃO. AF_03/2023</v>
      </c>
      <c r="H70" s="460">
        <f>orcamento!F69</f>
        <v>3</v>
      </c>
      <c r="I70" s="460" t="str">
        <f>orcamento!E69</f>
        <v>UN</v>
      </c>
      <c r="J70" s="460">
        <f>orcamento!K69</f>
        <v>42.5</v>
      </c>
      <c r="K70" s="461">
        <f t="shared" si="0"/>
        <v>127.5</v>
      </c>
      <c r="L70" s="462">
        <f>orcamento!J69</f>
        <v>0.24229999999999999</v>
      </c>
      <c r="M70" s="462">
        <v>1.1194999999999999</v>
      </c>
    </row>
    <row r="71" spans="1:13" x14ac:dyDescent="0.3">
      <c r="A71" s="392">
        <v>1</v>
      </c>
      <c r="B71" s="454">
        <f>IF(AND(G71&lt;&gt;"",H71&gt;0,I71&lt;&gt;"",J71&lt;&gt;0,K71&lt;&gt;0),COUNT($B$11:B70)+1,"")</f>
        <v>49</v>
      </c>
      <c r="C71" s="455" t="str">
        <f>orcamento!A70</f>
        <v>6.18</v>
      </c>
      <c r="D71" s="456" t="str">
        <f>orcamento!C70</f>
        <v>SINAPI</v>
      </c>
      <c r="E71" s="457">
        <f>orcamento!B70</f>
        <v>91997</v>
      </c>
      <c r="F71" s="458">
        <v>46204</v>
      </c>
      <c r="G71" s="459" t="str">
        <f>orcamento!D70</f>
        <v>TOMADA MÉDIA DE EMBUTIR (1 MÓDULO), 2P+T 20 A, INCLUINDO SUPORTE E PLACA - FORNECIMENTO E INSTALAÇÃO. AF_03/2023</v>
      </c>
      <c r="H71" s="460">
        <f>orcamento!F70</f>
        <v>1</v>
      </c>
      <c r="I71" s="460" t="str">
        <f>orcamento!E70</f>
        <v>UN</v>
      </c>
      <c r="J71" s="460">
        <f>orcamento!K70</f>
        <v>53.2</v>
      </c>
      <c r="K71" s="461">
        <f t="shared" si="0"/>
        <v>53.2</v>
      </c>
      <c r="L71" s="462">
        <f>orcamento!J70</f>
        <v>0.24229999999999999</v>
      </c>
      <c r="M71" s="462">
        <v>1.1194999999999999</v>
      </c>
    </row>
    <row r="72" spans="1:13" x14ac:dyDescent="0.3">
      <c r="A72" s="392">
        <v>1</v>
      </c>
      <c r="B72" s="454">
        <f>IF(AND(G72&lt;&gt;"",H72&gt;0,I72&lt;&gt;"",J72&lt;&gt;0,K72&lt;&gt;0),COUNT($B$11:B71)+1,"")</f>
        <v>50</v>
      </c>
      <c r="C72" s="455" t="str">
        <f>orcamento!A71</f>
        <v>6.19</v>
      </c>
      <c r="D72" s="456" t="str">
        <f>orcamento!C71</f>
        <v>SINAPI</v>
      </c>
      <c r="E72" s="457">
        <f>orcamento!B71</f>
        <v>91996</v>
      </c>
      <c r="F72" s="458">
        <v>46204</v>
      </c>
      <c r="G72" s="459" t="str">
        <f>orcamento!D71</f>
        <v>TOMADA MÉDIA DE EMBUTIR (1 MÓDULO), 2P+T 10 A, INCLUINDO SUPORTE E PLACA - FORNECIMENTO E INSTALAÇÃO. AF_03/2023</v>
      </c>
      <c r="H72" s="460">
        <f>orcamento!F71</f>
        <v>6</v>
      </c>
      <c r="I72" s="460" t="str">
        <f>orcamento!E71</f>
        <v>UN</v>
      </c>
      <c r="J72" s="460">
        <f>orcamento!K71</f>
        <v>50.14</v>
      </c>
      <c r="K72" s="461">
        <f t="shared" si="0"/>
        <v>300.83999999999997</v>
      </c>
      <c r="L72" s="462">
        <f>orcamento!J71</f>
        <v>0.24229999999999999</v>
      </c>
      <c r="M72" s="462">
        <v>1.1194999999999999</v>
      </c>
    </row>
    <row r="73" spans="1:13" x14ac:dyDescent="0.3">
      <c r="A73" s="392">
        <v>1</v>
      </c>
      <c r="B73" s="454">
        <f>IF(AND(G73&lt;&gt;"",H73&gt;0,I73&lt;&gt;"",J73&lt;&gt;0,K73&lt;&gt;0),COUNT($B$11:B72)+1,"")</f>
        <v>51</v>
      </c>
      <c r="C73" s="455" t="str">
        <f>orcamento!A72</f>
        <v>6.20</v>
      </c>
      <c r="D73" s="456" t="str">
        <f>orcamento!C72</f>
        <v>SINAPI</v>
      </c>
      <c r="E73" s="457">
        <f>orcamento!B72</f>
        <v>103782</v>
      </c>
      <c r="F73" s="458">
        <v>46204</v>
      </c>
      <c r="G73" s="459" t="str">
        <f>orcamento!D72</f>
        <v>LUMINÁRIA TIPO PLAFON CIRCULAR, DE SOBREPOR, COM LED DE 12/13 W - FORNECIMENTO E INSTALAÇÃO. AF_09/2024</v>
      </c>
      <c r="H73" s="460">
        <f>orcamento!F72</f>
        <v>4</v>
      </c>
      <c r="I73" s="460" t="str">
        <f>orcamento!E72</f>
        <v>UN</v>
      </c>
      <c r="J73" s="460">
        <f>orcamento!K72</f>
        <v>36.619999999999997</v>
      </c>
      <c r="K73" s="461">
        <f t="shared" si="0"/>
        <v>146.47999999999999</v>
      </c>
      <c r="L73" s="462">
        <f>orcamento!J72</f>
        <v>0.24229999999999999</v>
      </c>
      <c r="M73" s="462">
        <v>1.1194999999999999</v>
      </c>
    </row>
    <row r="74" spans="1:13" x14ac:dyDescent="0.3">
      <c r="A74" s="392">
        <v>1</v>
      </c>
      <c r="B74" s="454">
        <f>IF(AND(G74&lt;&gt;"",H74&gt;0,I74&lt;&gt;"",J74&lt;&gt;0,K74&lt;&gt;0),COUNT($B$11:B73)+1,"")</f>
        <v>52</v>
      </c>
      <c r="C74" s="455" t="str">
        <f>orcamento!A73</f>
        <v>6.21</v>
      </c>
      <c r="D74" s="456" t="str">
        <f>orcamento!C73</f>
        <v>SINAPI</v>
      </c>
      <c r="E74" s="457">
        <f>orcamento!B73</f>
        <v>102608</v>
      </c>
      <c r="F74" s="458">
        <v>46204</v>
      </c>
      <c r="G74" s="459" t="str">
        <f>orcamento!D73</f>
        <v>CAIXA D´ÁGUA EM POLIETILENO, 1500 LITROS - FORNECIMENTO E INSTALAÇÃO. AF_06/2021</v>
      </c>
      <c r="H74" s="460">
        <f>orcamento!F73</f>
        <v>1</v>
      </c>
      <c r="I74" s="460" t="str">
        <f>orcamento!E73</f>
        <v>UN</v>
      </c>
      <c r="J74" s="460">
        <f>orcamento!K73</f>
        <v>1447.7800000000002</v>
      </c>
      <c r="K74" s="461">
        <f t="shared" si="0"/>
        <v>1447.78</v>
      </c>
      <c r="L74" s="462">
        <f>orcamento!J73</f>
        <v>0.24229999999999999</v>
      </c>
      <c r="M74" s="462">
        <v>1.1194999999999999</v>
      </c>
    </row>
    <row r="75" spans="1:13" x14ac:dyDescent="0.3">
      <c r="A75" s="392">
        <v>1</v>
      </c>
      <c r="B75" s="454">
        <f>IF(AND(G75&lt;&gt;"",H75&gt;0,I75&lt;&gt;"",J75&lt;&gt;0,K75&lt;&gt;0),COUNT($B$11:B74)+1,"")</f>
        <v>53</v>
      </c>
      <c r="C75" s="455" t="str">
        <f>orcamento!A74</f>
        <v>6.22</v>
      </c>
      <c r="D75" s="456" t="str">
        <f>orcamento!C74</f>
        <v>SINAPI</v>
      </c>
      <c r="E75" s="457">
        <f>orcamento!B74</f>
        <v>37460</v>
      </c>
      <c r="F75" s="458">
        <v>46204</v>
      </c>
      <c r="G75" s="459" t="str">
        <f>orcamento!D74</f>
        <v>MANGUEIRA CRISTAL TRANCADA, PVC COM REFORCO, PRESSAO DE TRABALHO (PT) 250 LBS/POL2, DE 1" X *3,1* MM</v>
      </c>
      <c r="H75" s="460">
        <f>orcamento!F74</f>
        <v>30</v>
      </c>
      <c r="I75" s="460" t="str">
        <f>orcamento!E74</f>
        <v>M</v>
      </c>
      <c r="J75" s="460">
        <f>orcamento!K74</f>
        <v>26.779999999999998</v>
      </c>
      <c r="K75" s="461">
        <f t="shared" si="0"/>
        <v>803.4</v>
      </c>
      <c r="L75" s="462">
        <f>orcamento!J74</f>
        <v>0.24229999999999999</v>
      </c>
      <c r="M75" s="462">
        <v>1.1194999999999999</v>
      </c>
    </row>
    <row r="76" spans="1:13" x14ac:dyDescent="0.3">
      <c r="A76" s="392">
        <v>1</v>
      </c>
      <c r="B76" s="454">
        <f>IF(AND(G76&lt;&gt;"",H76&gt;0,I76&lt;&gt;"",J76&lt;&gt;0,K76&lt;&gt;0),COUNT($B$11:B75)+1,"")</f>
        <v>54</v>
      </c>
      <c r="C76" s="455" t="str">
        <f>orcamento!A75</f>
        <v>6.23</v>
      </c>
      <c r="D76" s="456" t="str">
        <f>orcamento!C75</f>
        <v>SINAPI</v>
      </c>
      <c r="E76" s="457">
        <f>orcamento!B75</f>
        <v>89357</v>
      </c>
      <c r="F76" s="458">
        <v>46204</v>
      </c>
      <c r="G76" s="459" t="str">
        <f>orcamento!D75</f>
        <v>TUBO, PVC, SOLDÁVEL, DE 32MM, INSTALADO EM RAMAL OU SUB-RAMAL DE ÁGUA - FORNECIMENTO E INSTALAÇÃO. AF_06/2022</v>
      </c>
      <c r="H76" s="460">
        <f>orcamento!F75</f>
        <v>12</v>
      </c>
      <c r="I76" s="460" t="str">
        <f>orcamento!E75</f>
        <v>M</v>
      </c>
      <c r="J76" s="460">
        <f>orcamento!K75</f>
        <v>47.05</v>
      </c>
      <c r="K76" s="461">
        <f t="shared" si="0"/>
        <v>564.6</v>
      </c>
      <c r="L76" s="462">
        <f>orcamento!J75</f>
        <v>0.24229999999999999</v>
      </c>
      <c r="M76" s="462">
        <v>1.1194999999999999</v>
      </c>
    </row>
    <row r="77" spans="1:13" x14ac:dyDescent="0.3">
      <c r="A77" s="392">
        <v>1</v>
      </c>
      <c r="B77" s="454">
        <f>IF(AND(G77&lt;&gt;"",H77&gt;0,I77&lt;&gt;"",J77&lt;&gt;0,K77&lt;&gt;0),COUNT($B$11:B76)+1,"")</f>
        <v>55</v>
      </c>
      <c r="C77" s="455" t="str">
        <f>orcamento!A76</f>
        <v>6.24</v>
      </c>
      <c r="D77" s="456" t="str">
        <f>orcamento!C76</f>
        <v>SINAPI</v>
      </c>
      <c r="E77" s="457">
        <f>orcamento!B76</f>
        <v>89356</v>
      </c>
      <c r="F77" s="458">
        <v>46204</v>
      </c>
      <c r="G77" s="459" t="str">
        <f>orcamento!D76</f>
        <v>TUBO, PVC, SOLDÁVEL, DE 25MM, INSTALADO EM RAMAL OU SUB-RAMAL DE ÁGUA - FORNECIMENTO E INSTALAÇÃO. AF_06/2022</v>
      </c>
      <c r="H77" s="460">
        <f>orcamento!F76</f>
        <v>12</v>
      </c>
      <c r="I77" s="460" t="str">
        <f>orcamento!E76</f>
        <v>M</v>
      </c>
      <c r="J77" s="460">
        <f>orcamento!K76</f>
        <v>34.04</v>
      </c>
      <c r="K77" s="461">
        <f t="shared" ref="K77:K140" si="1">IFERROR(IF(H77*J77&lt;&gt;0,ROUND(ROUND(H77,4)*ROUND(J77,4),2),""),"")</f>
        <v>408.48</v>
      </c>
      <c r="L77" s="462">
        <f>orcamento!J76</f>
        <v>0.24229999999999999</v>
      </c>
      <c r="M77" s="462">
        <v>1.1194999999999999</v>
      </c>
    </row>
    <row r="78" spans="1:13" x14ac:dyDescent="0.3">
      <c r="A78" s="392">
        <v>1</v>
      </c>
      <c r="B78" s="454">
        <f>IF(AND(G78&lt;&gt;"",H78&gt;0,I78&lt;&gt;"",J78&lt;&gt;0,K78&lt;&gt;0),COUNT($B$11:B77)+1,"")</f>
        <v>56</v>
      </c>
      <c r="C78" s="455" t="str">
        <f>orcamento!A77</f>
        <v>6.25</v>
      </c>
      <c r="D78" s="456" t="str">
        <f>orcamento!C77</f>
        <v>SINAPI</v>
      </c>
      <c r="E78" s="457">
        <f>orcamento!B77</f>
        <v>89364</v>
      </c>
      <c r="F78" s="458">
        <v>46204</v>
      </c>
      <c r="G78" s="459" t="str">
        <f>orcamento!D77</f>
        <v>CURVA 90 GRAUS, PVC, SOLDÁVEL, DN 25MM, INSTALADO EM RAMAL OU SUB-RAMAL DE ÁGUA - FORNECIMENTO E INSTALAÇÃO. AF_06/2022</v>
      </c>
      <c r="H78" s="460">
        <f>orcamento!F77</f>
        <v>3</v>
      </c>
      <c r="I78" s="460" t="str">
        <f>orcamento!E77</f>
        <v>UN</v>
      </c>
      <c r="J78" s="460">
        <f>orcamento!K77</f>
        <v>17.260000000000002</v>
      </c>
      <c r="K78" s="461">
        <f t="shared" si="1"/>
        <v>51.78</v>
      </c>
      <c r="L78" s="462">
        <f>orcamento!J77</f>
        <v>0.24229999999999999</v>
      </c>
      <c r="M78" s="462">
        <v>1.1194999999999999</v>
      </c>
    </row>
    <row r="79" spans="1:13" x14ac:dyDescent="0.3">
      <c r="A79" s="392">
        <v>1</v>
      </c>
      <c r="B79" s="454">
        <f>IF(AND(G79&lt;&gt;"",H79&gt;0,I79&lt;&gt;"",J79&lt;&gt;0,K79&lt;&gt;0),COUNT($B$11:B78)+1,"")</f>
        <v>57</v>
      </c>
      <c r="C79" s="455" t="str">
        <f>orcamento!A78</f>
        <v>6.26</v>
      </c>
      <c r="D79" s="456" t="str">
        <f>orcamento!C78</f>
        <v>SINAPI</v>
      </c>
      <c r="E79" s="457">
        <f>orcamento!B78</f>
        <v>94490</v>
      </c>
      <c r="F79" s="458">
        <v>46204</v>
      </c>
      <c r="G79" s="459" t="str">
        <f>orcamento!D78</f>
        <v>REGISTRO DE ESFERA, PVC, SOLDÁVEL, COM VOLANTE, DN 32 MM - FORNECIMENTO E INSTALAÇÃO. AF_08/2021</v>
      </c>
      <c r="H79" s="460">
        <f>orcamento!F78</f>
        <v>1</v>
      </c>
      <c r="I79" s="460" t="str">
        <f>orcamento!E78</f>
        <v>UN</v>
      </c>
      <c r="J79" s="460">
        <f>orcamento!K78</f>
        <v>73.89</v>
      </c>
      <c r="K79" s="461">
        <f t="shared" si="1"/>
        <v>73.89</v>
      </c>
      <c r="L79" s="462">
        <f>orcamento!J78</f>
        <v>0.24229999999999999</v>
      </c>
      <c r="M79" s="462">
        <v>1.1194999999999999</v>
      </c>
    </row>
    <row r="80" spans="1:13" x14ac:dyDescent="0.3">
      <c r="A80" s="392">
        <v>1</v>
      </c>
      <c r="B80" s="454">
        <f>IF(AND(G80&lt;&gt;"",H80&gt;0,I80&lt;&gt;"",J80&lt;&gt;0,K80&lt;&gt;0),COUNT($B$11:B79)+1,"")</f>
        <v>58</v>
      </c>
      <c r="C80" s="455" t="str">
        <f>orcamento!A79</f>
        <v>6.27</v>
      </c>
      <c r="D80" s="456" t="str">
        <f>orcamento!C79</f>
        <v>SINAPI</v>
      </c>
      <c r="E80" s="457">
        <f>orcamento!B79</f>
        <v>89369</v>
      </c>
      <c r="F80" s="458">
        <v>46204</v>
      </c>
      <c r="G80" s="459" t="str">
        <f>orcamento!D79</f>
        <v>CURVA 90 GRAUS, PVC, SOLDÁVEL, DN 32MM, INSTALADO EM RAMAL OU SUB-RAMAL DE ÁGUA - FORNECIMENTO E INSTALAÇÃO. AF_06/2022</v>
      </c>
      <c r="H80" s="460">
        <f>orcamento!F79</f>
        <v>8</v>
      </c>
      <c r="I80" s="460" t="str">
        <f>orcamento!E79</f>
        <v>UN</v>
      </c>
      <c r="J80" s="460">
        <f>orcamento!K79</f>
        <v>25.29</v>
      </c>
      <c r="K80" s="461">
        <f t="shared" si="1"/>
        <v>202.32</v>
      </c>
      <c r="L80" s="462">
        <f>orcamento!J79</f>
        <v>0.24229999999999999</v>
      </c>
      <c r="M80" s="462">
        <v>1.1194999999999999</v>
      </c>
    </row>
    <row r="81" spans="1:13" x14ac:dyDescent="0.3">
      <c r="A81" s="392">
        <v>1</v>
      </c>
      <c r="B81" s="454">
        <f>IF(AND(G81&lt;&gt;"",H81&gt;0,I81&lt;&gt;"",J81&lt;&gt;0,K81&lt;&gt;0),COUNT($B$11:B80)+1,"")</f>
        <v>59</v>
      </c>
      <c r="C81" s="455" t="str">
        <f>orcamento!A80</f>
        <v>6.28</v>
      </c>
      <c r="D81" s="456" t="str">
        <f>orcamento!C80</f>
        <v>SINAPI</v>
      </c>
      <c r="E81" s="457">
        <f>orcamento!B80</f>
        <v>86916</v>
      </c>
      <c r="F81" s="458">
        <v>46204</v>
      </c>
      <c r="G81" s="459" t="str">
        <f>orcamento!D80</f>
        <v>TORNEIRA PLÁSTICA 3/4" PARA TANQUE - FORNECIMENTO E INSTALAÇÃO. AF_02/2026</v>
      </c>
      <c r="H81" s="460">
        <f>orcamento!F80</f>
        <v>2</v>
      </c>
      <c r="I81" s="460" t="str">
        <f>orcamento!E80</f>
        <v>UN</v>
      </c>
      <c r="J81" s="460">
        <f>orcamento!K80</f>
        <v>34.56</v>
      </c>
      <c r="K81" s="461">
        <f t="shared" si="1"/>
        <v>69.12</v>
      </c>
      <c r="L81" s="462">
        <f>orcamento!J80</f>
        <v>0.24229999999999999</v>
      </c>
      <c r="M81" s="462">
        <v>1.1194999999999999</v>
      </c>
    </row>
    <row r="82" spans="1:13" x14ac:dyDescent="0.3">
      <c r="A82" s="392">
        <v>1</v>
      </c>
      <c r="B82" s="454">
        <f>IF(AND(G82&lt;&gt;"",H82&gt;0,I82&lt;&gt;"",J82&lt;&gt;0,K82&lt;&gt;0),COUNT($B$11:B81)+1,"")</f>
        <v>60</v>
      </c>
      <c r="C82" s="455" t="str">
        <f>orcamento!A81</f>
        <v>6.29</v>
      </c>
      <c r="D82" s="456" t="str">
        <f>orcamento!C81</f>
        <v>SINAPI</v>
      </c>
      <c r="E82" s="457">
        <f>orcamento!B81</f>
        <v>93358</v>
      </c>
      <c r="F82" s="458">
        <v>46204</v>
      </c>
      <c r="G82" s="459" t="str">
        <f>orcamento!D81</f>
        <v>ESCAVAÇÃO MANUAL DE VALA. AF_09/2024</v>
      </c>
      <c r="H82" s="460">
        <f>orcamento!F81</f>
        <v>1.7999999999999998</v>
      </c>
      <c r="I82" s="460" t="str">
        <f>orcamento!E81</f>
        <v>M3</v>
      </c>
      <c r="J82" s="460">
        <f>orcamento!K81</f>
        <v>126.83</v>
      </c>
      <c r="K82" s="461">
        <f t="shared" si="1"/>
        <v>228.29</v>
      </c>
      <c r="L82" s="462">
        <f>orcamento!J81</f>
        <v>0.24229999999999999</v>
      </c>
      <c r="M82" s="462">
        <v>1.1194999999999999</v>
      </c>
    </row>
    <row r="83" spans="1:13" x14ac:dyDescent="0.3">
      <c r="A83" s="392">
        <v>1</v>
      </c>
      <c r="B83" s="454">
        <f>IF(AND(G83&lt;&gt;"",H83&gt;0,I83&lt;&gt;"",J83&lt;&gt;0,K83&lt;&gt;0),COUNT($B$11:B82)+1,"")</f>
        <v>61</v>
      </c>
      <c r="C83" s="455" t="str">
        <f>orcamento!A82</f>
        <v>6.30</v>
      </c>
      <c r="D83" s="456" t="str">
        <f>orcamento!C82</f>
        <v>SINAPI</v>
      </c>
      <c r="E83" s="457">
        <f>orcamento!B82</f>
        <v>104737</v>
      </c>
      <c r="F83" s="458">
        <v>46204</v>
      </c>
      <c r="G83" s="459" t="str">
        <f>orcamento!D82</f>
        <v>REATERRO MANUAL DE VALAS, COM PLACA VIBRATÓRIA. AF_08/2023</v>
      </c>
      <c r="H83" s="460">
        <f>orcamento!F82</f>
        <v>1.7999999999999998</v>
      </c>
      <c r="I83" s="460" t="str">
        <f>orcamento!E82</f>
        <v>M3</v>
      </c>
      <c r="J83" s="460">
        <f>orcamento!K82</f>
        <v>31.85</v>
      </c>
      <c r="K83" s="461">
        <f t="shared" si="1"/>
        <v>57.33</v>
      </c>
      <c r="L83" s="462">
        <f>orcamento!J82</f>
        <v>0.24229999999999999</v>
      </c>
      <c r="M83" s="462">
        <v>1.1194999999999999</v>
      </c>
    </row>
    <row r="84" spans="1:13" x14ac:dyDescent="0.3">
      <c r="A84" s="392">
        <v>1</v>
      </c>
      <c r="B84" s="454">
        <f>IF(AND(G84&lt;&gt;"",H84&gt;0,I84&lt;&gt;"",J84&lt;&gt;0,K84&lt;&gt;0),COUNT($B$11:B83)+1,"")</f>
        <v>62</v>
      </c>
      <c r="C84" s="455" t="str">
        <f>orcamento!A83</f>
        <v>6.31</v>
      </c>
      <c r="D84" s="456" t="str">
        <f>orcamento!C83</f>
        <v>SINAPI</v>
      </c>
      <c r="E84" s="457">
        <f>orcamento!B83</f>
        <v>89714</v>
      </c>
      <c r="F84" s="458">
        <v>46204</v>
      </c>
      <c r="G84" s="459" t="str">
        <f>orcamento!D83</f>
        <v>TUBO PVC, SERIE NORMAL, ESGOTO PREDIAL, DN 100 MM, FORNECIDO E INSTALADO EM RAMAL DE DESCARGA OU RAMAL DE ESGOTO SANITÁRIO. AF_08/2022</v>
      </c>
      <c r="H84" s="460">
        <f>orcamento!F83</f>
        <v>6</v>
      </c>
      <c r="I84" s="460" t="str">
        <f>orcamento!E83</f>
        <v>M</v>
      </c>
      <c r="J84" s="460">
        <f>orcamento!K83</f>
        <v>57.51</v>
      </c>
      <c r="K84" s="461">
        <f t="shared" si="1"/>
        <v>345.06</v>
      </c>
      <c r="L84" s="462">
        <f>orcamento!J83</f>
        <v>0.24229999999999999</v>
      </c>
      <c r="M84" s="462">
        <v>1.1194999999999999</v>
      </c>
    </row>
    <row r="85" spans="1:13" x14ac:dyDescent="0.3">
      <c r="A85" s="392">
        <v>1</v>
      </c>
      <c r="B85" s="454">
        <f>IF(AND(G85&lt;&gt;"",H85&gt;0,I85&lt;&gt;"",J85&lt;&gt;0,K85&lt;&gt;0),COUNT($B$11:B84)+1,"")</f>
        <v>63</v>
      </c>
      <c r="C85" s="455" t="str">
        <f>orcamento!A84</f>
        <v>6.32</v>
      </c>
      <c r="D85" s="456" t="str">
        <f>orcamento!C84</f>
        <v>SINAPI</v>
      </c>
      <c r="E85" s="457">
        <f>orcamento!B84</f>
        <v>89712</v>
      </c>
      <c r="F85" s="458">
        <v>46204</v>
      </c>
      <c r="G85" s="459" t="str">
        <f>orcamento!D84</f>
        <v>TUBO PVC, SERIE NORMAL, ESGOTO PREDIAL, DN 50 MM, FORNECIDO E INSTALADO EM RAMAL DE DESCARGA OU RAMAL DE ESGOTO SANITÁRIO. AF_08/2022</v>
      </c>
      <c r="H85" s="460">
        <f>orcamento!F84</f>
        <v>8</v>
      </c>
      <c r="I85" s="460" t="str">
        <f>orcamento!E84</f>
        <v>M</v>
      </c>
      <c r="J85" s="460">
        <f>orcamento!K84</f>
        <v>41.31</v>
      </c>
      <c r="K85" s="461">
        <f t="shared" si="1"/>
        <v>330.48</v>
      </c>
      <c r="L85" s="462">
        <f>orcamento!J84</f>
        <v>0.24229999999999999</v>
      </c>
      <c r="M85" s="462">
        <v>1.1194999999999999</v>
      </c>
    </row>
    <row r="86" spans="1:13" x14ac:dyDescent="0.3">
      <c r="A86" s="392">
        <v>1</v>
      </c>
      <c r="B86" s="454">
        <f>IF(AND(G86&lt;&gt;"",H86&gt;0,I86&lt;&gt;"",J86&lt;&gt;0,K86&lt;&gt;0),COUNT($B$11:B85)+1,"")</f>
        <v>64</v>
      </c>
      <c r="C86" s="455" t="str">
        <f>orcamento!A85</f>
        <v>6.33</v>
      </c>
      <c r="D86" s="456" t="str">
        <f>orcamento!C85</f>
        <v>SINAPI</v>
      </c>
      <c r="E86" s="457">
        <f>orcamento!B85</f>
        <v>89809</v>
      </c>
      <c r="F86" s="458">
        <v>46204</v>
      </c>
      <c r="G86" s="459" t="str">
        <f>orcamento!D85</f>
        <v>JOELHO 90 GRAUS, PVC, SERIE NORMAL, ESGOTO PREDIAL, DN 100 MM, JUNTA ELÁSTICA, FORNECIDO E INSTALADO EM PRUMADA DE ESGOTO SANITÁRIO OU VENTILAÇÃO. AF_08/2022</v>
      </c>
      <c r="H86" s="460">
        <f>orcamento!F85</f>
        <v>4</v>
      </c>
      <c r="I86" s="460" t="str">
        <f>orcamento!E85</f>
        <v>UN</v>
      </c>
      <c r="J86" s="460">
        <f>orcamento!K85</f>
        <v>41.21</v>
      </c>
      <c r="K86" s="461">
        <f t="shared" si="1"/>
        <v>164.84</v>
      </c>
      <c r="L86" s="462">
        <f>orcamento!J85</f>
        <v>0.24229999999999999</v>
      </c>
      <c r="M86" s="462">
        <v>1.1194999999999999</v>
      </c>
    </row>
    <row r="87" spans="1:13" x14ac:dyDescent="0.3">
      <c r="A87" s="392">
        <v>1</v>
      </c>
      <c r="B87" s="454">
        <f>IF(AND(G87&lt;&gt;"",H87&gt;0,I87&lt;&gt;"",J87&lt;&gt;0,K87&lt;&gt;0),COUNT($B$11:B86)+1,"")</f>
        <v>65</v>
      </c>
      <c r="C87" s="455" t="str">
        <f>orcamento!A86</f>
        <v>6.34</v>
      </c>
      <c r="D87" s="456" t="str">
        <f>orcamento!C86</f>
        <v>SINAPI</v>
      </c>
      <c r="E87" s="457">
        <f>orcamento!B86</f>
        <v>89801</v>
      </c>
      <c r="F87" s="458">
        <v>46204</v>
      </c>
      <c r="G87" s="459" t="str">
        <f>orcamento!D86</f>
        <v>JOELHO 90 GRAUS, PVC, SERIE NORMAL, ESGOTO PREDIAL, DN 50 MM, JUNTA ELÁSTICA, FORNECIDO E INSTALADO EM PRUMADA DE ESGOTO SANITÁRIO OU VENTILAÇÃO. AF_08/2022</v>
      </c>
      <c r="H87" s="460">
        <f>orcamento!F86</f>
        <v>6</v>
      </c>
      <c r="I87" s="460" t="str">
        <f>orcamento!E86</f>
        <v>UN</v>
      </c>
      <c r="J87" s="460">
        <f>orcamento!K86</f>
        <v>13.6</v>
      </c>
      <c r="K87" s="461">
        <f t="shared" si="1"/>
        <v>81.599999999999994</v>
      </c>
      <c r="L87" s="462">
        <f>orcamento!J86</f>
        <v>0.24229999999999999</v>
      </c>
      <c r="M87" s="462">
        <v>1.1194999999999999</v>
      </c>
    </row>
    <row r="88" spans="1:13" x14ac:dyDescent="0.3">
      <c r="A88" s="392">
        <v>1</v>
      </c>
      <c r="B88" s="454">
        <f>IF(AND(G88&lt;&gt;"",H88&gt;0,I88&lt;&gt;"",J88&lt;&gt;0,K88&lt;&gt;0),COUNT($B$11:B87)+1,"")</f>
        <v>66</v>
      </c>
      <c r="C88" s="455" t="str">
        <f>orcamento!A87</f>
        <v>6.35</v>
      </c>
      <c r="D88" s="456" t="str">
        <f>orcamento!C87</f>
        <v>SINAPI</v>
      </c>
      <c r="E88" s="457">
        <f>orcamento!B87</f>
        <v>93358</v>
      </c>
      <c r="F88" s="458">
        <v>46204</v>
      </c>
      <c r="G88" s="459" t="str">
        <f>orcamento!D87</f>
        <v>ESCAVAÇÃO MANUAL DE VALA. AF_09/2024</v>
      </c>
      <c r="H88" s="460">
        <f>orcamento!F87</f>
        <v>0.89999999999999991</v>
      </c>
      <c r="I88" s="460" t="str">
        <f>orcamento!E87</f>
        <v>M3</v>
      </c>
      <c r="J88" s="460">
        <f>orcamento!K87</f>
        <v>126.83</v>
      </c>
      <c r="K88" s="461">
        <f t="shared" si="1"/>
        <v>114.15</v>
      </c>
      <c r="L88" s="462">
        <f>orcamento!J87</f>
        <v>0.24229999999999999</v>
      </c>
      <c r="M88" s="462">
        <v>1.1194999999999999</v>
      </c>
    </row>
    <row r="89" spans="1:13" x14ac:dyDescent="0.3">
      <c r="A89" s="392">
        <v>1</v>
      </c>
      <c r="B89" s="454">
        <f>IF(AND(G89&lt;&gt;"",H89&gt;0,I89&lt;&gt;"",J89&lt;&gt;0,K89&lt;&gt;0),COUNT($B$11:B88)+1,"")</f>
        <v>67</v>
      </c>
      <c r="C89" s="455" t="str">
        <f>orcamento!A88</f>
        <v>6.36</v>
      </c>
      <c r="D89" s="456" t="str">
        <f>orcamento!C88</f>
        <v>SINAPI</v>
      </c>
      <c r="E89" s="457">
        <f>orcamento!B88</f>
        <v>104737</v>
      </c>
      <c r="F89" s="458">
        <v>46204</v>
      </c>
      <c r="G89" s="459" t="str">
        <f>orcamento!D88</f>
        <v>REATERRO MANUAL DE VALAS, COM PLACA VIBRATÓRIA. AF_08/2023</v>
      </c>
      <c r="H89" s="460">
        <f>orcamento!F88</f>
        <v>0.89999999999999991</v>
      </c>
      <c r="I89" s="460" t="str">
        <f>orcamento!E88</f>
        <v>M3</v>
      </c>
      <c r="J89" s="460">
        <f>orcamento!K88</f>
        <v>31.85</v>
      </c>
      <c r="K89" s="461">
        <f t="shared" si="1"/>
        <v>28.67</v>
      </c>
      <c r="L89" s="462">
        <f>orcamento!J88</f>
        <v>0.24229999999999999</v>
      </c>
      <c r="M89" s="462">
        <v>1.1194999999999999</v>
      </c>
    </row>
    <row r="90" spans="1:13" x14ac:dyDescent="0.3">
      <c r="A90" s="392"/>
      <c r="B90" s="454"/>
      <c r="C90" s="455"/>
      <c r="D90" s="456"/>
      <c r="E90" s="457"/>
      <c r="F90" s="458"/>
      <c r="G90" s="459"/>
      <c r="H90" s="460"/>
      <c r="I90" s="460"/>
      <c r="J90" s="460"/>
      <c r="K90" s="461"/>
      <c r="L90" s="462"/>
      <c r="M90" s="462"/>
    </row>
    <row r="91" spans="1:13" x14ac:dyDescent="0.3">
      <c r="A91" s="392">
        <v>1</v>
      </c>
      <c r="B91" s="454">
        <f>IF(AND(G91&lt;&gt;"",H91&gt;0,I91&lt;&gt;"",J91&lt;&gt;0,K91&lt;&gt;0),COUNT($B$11:B90)+1,"")</f>
        <v>68</v>
      </c>
      <c r="C91" s="455" t="str">
        <f>orcamento!A90</f>
        <v>7.1</v>
      </c>
      <c r="D91" s="456" t="str">
        <f>orcamento!C90</f>
        <v>SINAPI</v>
      </c>
      <c r="E91" s="457">
        <f>orcamento!B90</f>
        <v>98525</v>
      </c>
      <c r="F91" s="458">
        <v>46204</v>
      </c>
      <c r="G91" s="459" t="str">
        <f>orcamento!D90</f>
        <v>LIMPEZA MECANIZADA DE CAMADA VEGETAL, VEGETAÇÃO E PEQUENAS ÁRVORES (DIÂMETRO DE TRONCO MENOR QUE 0,20 M), COM TRATOR DE ESTEIRAS. AF_03/2024</v>
      </c>
      <c r="H91" s="460">
        <f>orcamento!F90</f>
        <v>1287.1999999999998</v>
      </c>
      <c r="I91" s="460" t="str">
        <f>orcamento!E90</f>
        <v>M2</v>
      </c>
      <c r="J91" s="460">
        <f>orcamento!K90</f>
        <v>0.87</v>
      </c>
      <c r="K91" s="461">
        <f t="shared" si="1"/>
        <v>1119.8599999999999</v>
      </c>
      <c r="L91" s="462">
        <f>orcamento!J90</f>
        <v>0.24229999999999999</v>
      </c>
      <c r="M91" s="462">
        <v>1.1194999999999999</v>
      </c>
    </row>
    <row r="92" spans="1:13" x14ac:dyDescent="0.3">
      <c r="A92" s="392">
        <v>1</v>
      </c>
      <c r="B92" s="454">
        <f>IF(AND(G92&lt;&gt;"",H92&gt;0,I92&lt;&gt;"",J92&lt;&gt;0,K92&lt;&gt;0),COUNT($B$11:B91)+1,"")</f>
        <v>69</v>
      </c>
      <c r="C92" s="455" t="str">
        <f>orcamento!A91</f>
        <v>7.2</v>
      </c>
      <c r="D92" s="456" t="str">
        <f>orcamento!C91</f>
        <v>SINAPI</v>
      </c>
      <c r="E92" s="457">
        <f>orcamento!B91</f>
        <v>104790</v>
      </c>
      <c r="F92" s="458">
        <v>46204</v>
      </c>
      <c r="G92" s="459" t="str">
        <f>orcamento!D91</f>
        <v>DEMOLIÇÃO DE PISO DE CONCRETO SIMPLES, DE FORMA MECANIZADA COM MARTELETE, SEM REAPROVEITAMENTO. AF_09/2023</v>
      </c>
      <c r="H92" s="460">
        <f>orcamento!F91</f>
        <v>5.62</v>
      </c>
      <c r="I92" s="460" t="str">
        <f>orcamento!E91</f>
        <v>M3</v>
      </c>
      <c r="J92" s="460">
        <f>orcamento!K91</f>
        <v>152.31</v>
      </c>
      <c r="K92" s="461">
        <f t="shared" si="1"/>
        <v>855.98</v>
      </c>
      <c r="L92" s="462">
        <f>orcamento!J91</f>
        <v>0.24229999999999999</v>
      </c>
      <c r="M92" s="462">
        <v>1.1194999999999999</v>
      </c>
    </row>
    <row r="93" spans="1:13" x14ac:dyDescent="0.3">
      <c r="A93" s="392">
        <v>1</v>
      </c>
      <c r="B93" s="454">
        <f>IF(AND(G93&lt;&gt;"",H93&gt;0,I93&lt;&gt;"",J93&lt;&gt;0,K93&lt;&gt;0),COUNT($B$11:B92)+1,"")</f>
        <v>70</v>
      </c>
      <c r="C93" s="455" t="str">
        <f>orcamento!A92</f>
        <v>7.3</v>
      </c>
      <c r="D93" s="456" t="str">
        <f>orcamento!C92</f>
        <v>SINAPI</v>
      </c>
      <c r="E93" s="457">
        <f>orcamento!B92</f>
        <v>97636</v>
      </c>
      <c r="F93" s="458">
        <v>46204</v>
      </c>
      <c r="G93" s="459" t="str">
        <f>orcamento!D92</f>
        <v>DEMOLIÇÃO PARCIAL DE PAVIMENTO ASFÁLTICO, DE FORMA MECANIZADA, SEM REAPROVEITAMENTO. AF_09/2023</v>
      </c>
      <c r="H93" s="460">
        <f>orcamento!F92</f>
        <v>31.56</v>
      </c>
      <c r="I93" s="460" t="str">
        <f>orcamento!E92</f>
        <v>M2</v>
      </c>
      <c r="J93" s="460">
        <f>orcamento!K92</f>
        <v>29.08</v>
      </c>
      <c r="K93" s="461">
        <f t="shared" si="1"/>
        <v>917.76</v>
      </c>
      <c r="L93" s="462">
        <f>orcamento!J92</f>
        <v>0.24229999999999999</v>
      </c>
      <c r="M93" s="462">
        <v>1.1194999999999999</v>
      </c>
    </row>
    <row r="94" spans="1:13" x14ac:dyDescent="0.3">
      <c r="A94" s="392">
        <v>1</v>
      </c>
      <c r="B94" s="454">
        <f>IF(AND(G94&lt;&gt;"",H94&gt;0,I94&lt;&gt;"",J94&lt;&gt;0,K94&lt;&gt;0),COUNT($B$11:B93)+1,"")</f>
        <v>71</v>
      </c>
      <c r="C94" s="455" t="str">
        <f>orcamento!A93</f>
        <v>7.4</v>
      </c>
      <c r="D94" s="456" t="str">
        <f>orcamento!C93</f>
        <v>SINAPI</v>
      </c>
      <c r="E94" s="457">
        <f>orcamento!B93</f>
        <v>104796</v>
      </c>
      <c r="F94" s="458">
        <v>46204</v>
      </c>
      <c r="G94" s="459" t="str">
        <f>orcamento!D93</f>
        <v>DEMOLIÇÃO DE GUIAS, SARJETAS OU SARJETÕES, DE FORMA MECANIZADA, SEM REAPROVEITAMENTO. AF_09/2023</v>
      </c>
      <c r="H94" s="460">
        <f>orcamento!F93</f>
        <v>9.44</v>
      </c>
      <c r="I94" s="460" t="str">
        <f>orcamento!E93</f>
        <v>M</v>
      </c>
      <c r="J94" s="460">
        <f>orcamento!K93</f>
        <v>19.68</v>
      </c>
      <c r="K94" s="461">
        <f t="shared" si="1"/>
        <v>185.78</v>
      </c>
      <c r="L94" s="462">
        <f>orcamento!J93</f>
        <v>0.24229999999999999</v>
      </c>
      <c r="M94" s="462">
        <v>1.1194999999999999</v>
      </c>
    </row>
    <row r="95" spans="1:13" x14ac:dyDescent="0.3">
      <c r="A95" s="392">
        <v>1</v>
      </c>
      <c r="B95" s="454">
        <f>IF(AND(G95&lt;&gt;"",H95&gt;0,I95&lt;&gt;"",J95&lt;&gt;0,K95&lt;&gt;0),COUNT($B$11:B94)+1,"")</f>
        <v>72</v>
      </c>
      <c r="C95" s="455" t="str">
        <f>orcamento!A94</f>
        <v>7.5</v>
      </c>
      <c r="D95" s="456" t="str">
        <f>orcamento!C94</f>
        <v>SINAPI</v>
      </c>
      <c r="E95" s="457">
        <f>orcamento!B94</f>
        <v>100982</v>
      </c>
      <c r="F95" s="458">
        <v>46204</v>
      </c>
      <c r="G95" s="459" t="str">
        <f>orcamento!D94</f>
        <v>CARGA, MANOBRA E DESCARGA DE ENTULHO EM CAMINHÃO BASCULANTE 10 M³ - CARGA COM ESCAVADEIRA HIDRÁULICA (CAÇAMBA DE 0,80 M³ / 111 HP) E DESCARGA LIVRE (UNIDADE: M3). AF_02/2026</v>
      </c>
      <c r="H95" s="460">
        <f>orcamento!F94</f>
        <v>171.37</v>
      </c>
      <c r="I95" s="460" t="str">
        <f>orcamento!E94</f>
        <v>M3</v>
      </c>
      <c r="J95" s="460">
        <f>orcamento!K94</f>
        <v>12.01</v>
      </c>
      <c r="K95" s="461">
        <f t="shared" si="1"/>
        <v>2058.15</v>
      </c>
      <c r="L95" s="462">
        <f>orcamento!J94</f>
        <v>0.24229999999999999</v>
      </c>
      <c r="M95" s="462">
        <v>1.1194999999999999</v>
      </c>
    </row>
    <row r="96" spans="1:13" x14ac:dyDescent="0.3">
      <c r="A96" s="392">
        <v>1</v>
      </c>
      <c r="B96" s="454">
        <f>IF(AND(G96&lt;&gt;"",H96&gt;0,I96&lt;&gt;"",J96&lt;&gt;0,K96&lt;&gt;0),COUNT($B$11:B95)+1,"")</f>
        <v>73</v>
      </c>
      <c r="C96" s="455" t="str">
        <f>orcamento!A95</f>
        <v>7.6</v>
      </c>
      <c r="D96" s="456" t="str">
        <f>orcamento!C95</f>
        <v>SINAPI</v>
      </c>
      <c r="E96" s="457">
        <f>orcamento!B95</f>
        <v>95875</v>
      </c>
      <c r="F96" s="458">
        <v>46204</v>
      </c>
      <c r="G96" s="459" t="str">
        <f>orcamento!D95</f>
        <v>TRANSPORTE COM CAMINHÃO BASCULANTE DE 10 M³, EM VIA URBANA PAVIMENTADA, DMT ATÉ 30 KM (UNIDADE: M3XKM). AF_02/2026</v>
      </c>
      <c r="H96" s="460">
        <f>orcamento!F95</f>
        <v>1131.04</v>
      </c>
      <c r="I96" s="460" t="str">
        <f>orcamento!E95</f>
        <v>M3XKM</v>
      </c>
      <c r="J96" s="460">
        <f>orcamento!K95</f>
        <v>3.52</v>
      </c>
      <c r="K96" s="461">
        <f t="shared" si="1"/>
        <v>3981.26</v>
      </c>
      <c r="L96" s="462">
        <f>orcamento!J95</f>
        <v>0.24229999999999999</v>
      </c>
      <c r="M96" s="462">
        <v>1.1194999999999999</v>
      </c>
    </row>
    <row r="97" spans="1:13" x14ac:dyDescent="0.3">
      <c r="A97" s="392">
        <v>1</v>
      </c>
      <c r="B97" s="454">
        <f>IF(AND(G97&lt;&gt;"",H97&gt;0,I97&lt;&gt;"",J97&lt;&gt;0,K97&lt;&gt;0),COUNT($B$11:B96)+1,"")</f>
        <v>74</v>
      </c>
      <c r="C97" s="455" t="str">
        <f>orcamento!A96</f>
        <v>7.7</v>
      </c>
      <c r="D97" s="456" t="str">
        <f>orcamento!C96</f>
        <v>COTACAO</v>
      </c>
      <c r="E97" s="457" t="str">
        <f>orcamento!B96</f>
        <v>TAB 04.01</v>
      </c>
      <c r="F97" s="458">
        <v>46204</v>
      </c>
      <c r="G97" s="459" t="str">
        <f>orcamento!D96</f>
        <v>TAXA PARA BOTA FORA</v>
      </c>
      <c r="H97" s="460">
        <f>orcamento!F96</f>
        <v>171.37</v>
      </c>
      <c r="I97" s="460" t="str">
        <f>orcamento!E96</f>
        <v>M3</v>
      </c>
      <c r="J97" s="460">
        <f>orcamento!K96</f>
        <v>11.5</v>
      </c>
      <c r="K97" s="461">
        <f t="shared" si="1"/>
        <v>1970.76</v>
      </c>
      <c r="L97" s="462">
        <f>orcamento!J96</f>
        <v>0.16980000000000001</v>
      </c>
      <c r="M97" s="462">
        <v>1.1194999999999999</v>
      </c>
    </row>
    <row r="98" spans="1:13" x14ac:dyDescent="0.3">
      <c r="A98" s="392"/>
      <c r="B98" s="454"/>
      <c r="C98" s="455"/>
      <c r="D98" s="456"/>
      <c r="E98" s="457"/>
      <c r="F98" s="458"/>
      <c r="G98" s="459"/>
      <c r="H98" s="460"/>
      <c r="I98" s="460"/>
      <c r="J98" s="460"/>
      <c r="K98" s="461"/>
      <c r="L98" s="462"/>
      <c r="M98" s="462"/>
    </row>
    <row r="99" spans="1:13" x14ac:dyDescent="0.3">
      <c r="A99" s="392">
        <v>1</v>
      </c>
      <c r="B99" s="454">
        <f>IF(AND(G99&lt;&gt;"",H99&gt;0,I99&lt;&gt;"",J99&lt;&gt;0,K99&lt;&gt;0),COUNT($B$11:B98)+1,"")</f>
        <v>75</v>
      </c>
      <c r="C99" s="455" t="str">
        <f>orcamento!A98</f>
        <v>8.1</v>
      </c>
      <c r="D99" s="456" t="str">
        <f>orcamento!C98</f>
        <v>SINAPI</v>
      </c>
      <c r="E99" s="457">
        <f>orcamento!B98</f>
        <v>101138</v>
      </c>
      <c r="F99" s="458">
        <v>46204</v>
      </c>
      <c r="G99" s="459" t="str">
        <f>orcamento!D98</f>
        <v>ESCAVAÇÃO HORIZONTAL, INCLUINDO CARGA, DESCARGA E TRANSPORTE EM SOLO DE 1A CATEGORIA COM TRATOR DE ESTEIRAS (125HP/LÂMINA: 2,70M3) E CAMINHÃO BASCULANTE DE 10M3, DMT ATÉ 200M. AF_07/2020</v>
      </c>
      <c r="H99" s="460">
        <f>orcamento!F98</f>
        <v>229.7</v>
      </c>
      <c r="I99" s="460" t="str">
        <f>orcamento!E98</f>
        <v>M3</v>
      </c>
      <c r="J99" s="460">
        <f>orcamento!K98</f>
        <v>19.47</v>
      </c>
      <c r="K99" s="461">
        <f t="shared" si="1"/>
        <v>4472.26</v>
      </c>
      <c r="L99" s="462">
        <f>orcamento!J98</f>
        <v>0.24229999999999999</v>
      </c>
      <c r="M99" s="462">
        <v>1.1194999999999999</v>
      </c>
    </row>
    <row r="100" spans="1:13" x14ac:dyDescent="0.3">
      <c r="A100" s="392">
        <v>1</v>
      </c>
      <c r="B100" s="454">
        <f>IF(AND(G100&lt;&gt;"",H100&gt;0,I100&lt;&gt;"",J100&lt;&gt;0,K100&lt;&gt;0),COUNT($B$11:B99)+1,"")</f>
        <v>76</v>
      </c>
      <c r="C100" s="455" t="str">
        <f>orcamento!A99</f>
        <v>8.2</v>
      </c>
      <c r="D100" s="456" t="str">
        <f>orcamento!C99</f>
        <v>SINAPI</v>
      </c>
      <c r="E100" s="457">
        <f>orcamento!B99</f>
        <v>96386</v>
      </c>
      <c r="F100" s="458">
        <v>46204</v>
      </c>
      <c r="G100" s="459" t="str">
        <f>orcamento!D99</f>
        <v>EXECUÇÃO E COMPACTAÇÃO DE CORPO DE ATERRO (95% DE ENERGIA DO PROCTOR NORMAL) COM SOLO PREDOMINANTEMENTE ARENOSO ESPESSURA 15CM - EXCLUSIVE MATERIAL, ESCAVAÇÃO, CARGA E TRANSPORTE. AF_09/2024</v>
      </c>
      <c r="H100" s="460">
        <f>orcamento!F99</f>
        <v>53.29</v>
      </c>
      <c r="I100" s="460" t="str">
        <f>orcamento!E99</f>
        <v>M3</v>
      </c>
      <c r="J100" s="460">
        <f>orcamento!K99</f>
        <v>8.7199999999999989</v>
      </c>
      <c r="K100" s="461">
        <f t="shared" si="1"/>
        <v>464.69</v>
      </c>
      <c r="L100" s="462">
        <f>orcamento!J99</f>
        <v>0.24229999999999999</v>
      </c>
      <c r="M100" s="462">
        <v>1.1194999999999999</v>
      </c>
    </row>
    <row r="101" spans="1:13" x14ac:dyDescent="0.3">
      <c r="A101" s="392">
        <v>1</v>
      </c>
      <c r="B101" s="454">
        <f>IF(AND(G101&lt;&gt;"",H101&gt;0,I101&lt;&gt;"",J101&lt;&gt;0,K101&lt;&gt;0),COUNT($B$11:B100)+1,"")</f>
        <v>77</v>
      </c>
      <c r="C101" s="455" t="str">
        <f>orcamento!A100</f>
        <v>8.3</v>
      </c>
      <c r="D101" s="456" t="str">
        <f>orcamento!C100</f>
        <v>SINAPI</v>
      </c>
      <c r="E101" s="457">
        <f>orcamento!B100</f>
        <v>100978</v>
      </c>
      <c r="F101" s="458">
        <v>46204</v>
      </c>
      <c r="G101" s="459" t="str">
        <f>orcamento!D100</f>
        <v>CARGA, MANOBRA E DESCARGA DE SOLOS E MATERIAIS GRANULARES EM CAMINHÃO BASCULANTE 10 M³ - CARGA COM ESCAVADEIRA HIDRÁULICA (CAÇAMBA DE 1,20 M³ / 155 HP) E DESCARGA LIVRE (UNIDADE: M3). AF_02/2026</v>
      </c>
      <c r="H101" s="460">
        <f>orcamento!F100</f>
        <v>66.61</v>
      </c>
      <c r="I101" s="460" t="str">
        <f>orcamento!E100</f>
        <v>M3</v>
      </c>
      <c r="J101" s="460">
        <f>orcamento!K100</f>
        <v>9.2200000000000006</v>
      </c>
      <c r="K101" s="461">
        <f t="shared" si="1"/>
        <v>614.14</v>
      </c>
      <c r="L101" s="462">
        <f>orcamento!J100</f>
        <v>0.24229999999999999</v>
      </c>
      <c r="M101" s="462">
        <v>1.1194999999999999</v>
      </c>
    </row>
    <row r="102" spans="1:13" x14ac:dyDescent="0.3">
      <c r="A102" s="392">
        <v>1</v>
      </c>
      <c r="B102" s="454">
        <f>IF(AND(G102&lt;&gt;"",H102&gt;0,I102&lt;&gt;"",J102&lt;&gt;0,K102&lt;&gt;0),COUNT($B$11:B101)+1,"")</f>
        <v>78</v>
      </c>
      <c r="C102" s="455" t="str">
        <f>orcamento!A101</f>
        <v>8.4</v>
      </c>
      <c r="D102" s="456" t="str">
        <f>orcamento!C101</f>
        <v>SINAPI</v>
      </c>
      <c r="E102" s="457">
        <f>orcamento!B101</f>
        <v>95875</v>
      </c>
      <c r="F102" s="458">
        <v>46204</v>
      </c>
      <c r="G102" s="459" t="str">
        <f>orcamento!D101</f>
        <v>TRANSPORTE COM CAMINHÃO BASCULANTE DE 10 M³, EM VIA URBANA PAVIMENTADA, DMT ATÉ 30 KM (UNIDADE: M3XKM). AF_02/2026</v>
      </c>
      <c r="H102" s="460">
        <f>orcamento!F101</f>
        <v>1455.38</v>
      </c>
      <c r="I102" s="460" t="str">
        <f>orcamento!E101</f>
        <v>M3XKM</v>
      </c>
      <c r="J102" s="460">
        <f>orcamento!K101</f>
        <v>3.52</v>
      </c>
      <c r="K102" s="461">
        <f t="shared" si="1"/>
        <v>5122.9399999999996</v>
      </c>
      <c r="L102" s="462">
        <f>orcamento!J101</f>
        <v>0.24229999999999999</v>
      </c>
      <c r="M102" s="462">
        <v>1.1194999999999999</v>
      </c>
    </row>
    <row r="103" spans="1:13" x14ac:dyDescent="0.3">
      <c r="A103" s="392">
        <v>1</v>
      </c>
      <c r="B103" s="454">
        <f>IF(AND(G103&lt;&gt;"",H103&gt;0,I103&lt;&gt;"",J103&lt;&gt;0,K103&lt;&gt;0),COUNT($B$11:B102)+1,"")</f>
        <v>79</v>
      </c>
      <c r="C103" s="455" t="str">
        <f>orcamento!A102</f>
        <v>8.5</v>
      </c>
      <c r="D103" s="456" t="str">
        <f>orcamento!C102</f>
        <v>COTACAO</v>
      </c>
      <c r="E103" s="457" t="str">
        <f>orcamento!B102</f>
        <v>TAB 04.01</v>
      </c>
      <c r="F103" s="458">
        <v>46204</v>
      </c>
      <c r="G103" s="459" t="str">
        <f>orcamento!D102</f>
        <v>TAXA PARA BOTA FORA</v>
      </c>
      <c r="H103" s="460">
        <f>orcamento!F102</f>
        <v>220.51</v>
      </c>
      <c r="I103" s="460" t="str">
        <f>orcamento!E102</f>
        <v>M3</v>
      </c>
      <c r="J103" s="460">
        <f>orcamento!K102</f>
        <v>11.5</v>
      </c>
      <c r="K103" s="461">
        <f t="shared" si="1"/>
        <v>2535.87</v>
      </c>
      <c r="L103" s="462">
        <f>orcamento!J102</f>
        <v>0.16980000000000001</v>
      </c>
      <c r="M103" s="462">
        <v>1.1194999999999999</v>
      </c>
    </row>
    <row r="104" spans="1:13" x14ac:dyDescent="0.3">
      <c r="A104" s="392"/>
      <c r="B104" s="454"/>
      <c r="C104" s="455"/>
      <c r="D104" s="456"/>
      <c r="E104" s="457"/>
      <c r="F104" s="458"/>
      <c r="G104" s="459"/>
      <c r="H104" s="460"/>
      <c r="I104" s="460"/>
      <c r="J104" s="460"/>
      <c r="K104" s="461"/>
      <c r="L104" s="462"/>
      <c r="M104" s="462"/>
    </row>
    <row r="105" spans="1:13" x14ac:dyDescent="0.3">
      <c r="A105" s="392">
        <v>1</v>
      </c>
      <c r="B105" s="454">
        <f>IF(AND(G105&lt;&gt;"",H105&gt;0,I105&lt;&gt;"",J105&lt;&gt;0,K105&lt;&gt;0),COUNT($B$11:B104)+1,"")</f>
        <v>80</v>
      </c>
      <c r="C105" s="455" t="str">
        <f>orcamento!A104</f>
        <v>9.1</v>
      </c>
      <c r="D105" s="456" t="str">
        <f>orcamento!C104</f>
        <v>SINAPI</v>
      </c>
      <c r="E105" s="457">
        <f>orcamento!B104</f>
        <v>100576</v>
      </c>
      <c r="F105" s="458">
        <v>46204</v>
      </c>
      <c r="G105" s="459" t="str">
        <f>orcamento!D104</f>
        <v>REGULARIZAÇÃO E COMPACTAÇÃO DE SUBLEITO DE SOLO PREDOMINANTEMENTE ARGILOSO, PARA OBRAS DE CONSTRUÇÃO DE PAVIMENTOS. AF_09/2024</v>
      </c>
      <c r="H105" s="460">
        <f>orcamento!F104</f>
        <v>702.65</v>
      </c>
      <c r="I105" s="460" t="str">
        <f>orcamento!E104</f>
        <v>M2</v>
      </c>
      <c r="J105" s="460">
        <f>orcamento!K104</f>
        <v>3.76</v>
      </c>
      <c r="K105" s="461">
        <f t="shared" si="1"/>
        <v>2641.96</v>
      </c>
      <c r="L105" s="462">
        <f>orcamento!J104</f>
        <v>0.24229999999999999</v>
      </c>
      <c r="M105" s="462">
        <v>1.1194999999999999</v>
      </c>
    </row>
    <row r="106" spans="1:13" x14ac:dyDescent="0.3">
      <c r="A106" s="392">
        <v>1</v>
      </c>
      <c r="B106" s="454">
        <f>IF(AND(G106&lt;&gt;"",H106&gt;0,I106&lt;&gt;"",J106&lt;&gt;0,K106&lt;&gt;0),COUNT($B$11:B105)+1,"")</f>
        <v>81</v>
      </c>
      <c r="C106" s="455" t="str">
        <f>orcamento!A105</f>
        <v>9.2</v>
      </c>
      <c r="D106" s="456" t="str">
        <f>orcamento!C105</f>
        <v>SINAPI</v>
      </c>
      <c r="E106" s="457">
        <f>orcamento!B105</f>
        <v>105742</v>
      </c>
      <c r="F106" s="458">
        <v>46204</v>
      </c>
      <c r="G106" s="459" t="str">
        <f>orcamento!D105</f>
        <v>CONSTRUÇÃO DE BASE E SUB-BASE PARA PAVIMENTAÇÃO DE RACHÃO, COM ESPESSURA DE 30 CM - EXCLUSIVE CARGA E TRANSPORTE. AF_09/2024</v>
      </c>
      <c r="H106" s="460">
        <f>orcamento!F105</f>
        <v>140.53</v>
      </c>
      <c r="I106" s="460" t="str">
        <f>orcamento!E105</f>
        <v>M3</v>
      </c>
      <c r="J106" s="460">
        <f>orcamento!K105</f>
        <v>154.91</v>
      </c>
      <c r="K106" s="461">
        <f t="shared" si="1"/>
        <v>21769.5</v>
      </c>
      <c r="L106" s="462">
        <f>orcamento!J105</f>
        <v>0.24229999999999999</v>
      </c>
      <c r="M106" s="462">
        <v>1.1194999999999999</v>
      </c>
    </row>
    <row r="107" spans="1:13" x14ac:dyDescent="0.3">
      <c r="A107" s="392">
        <v>1</v>
      </c>
      <c r="B107" s="454">
        <f>IF(AND(G107&lt;&gt;"",H107&gt;0,I107&lt;&gt;"",J107&lt;&gt;0,K107&lt;&gt;0),COUNT($B$11:B106)+1,"")</f>
        <v>82</v>
      </c>
      <c r="C107" s="455" t="str">
        <f>orcamento!A106</f>
        <v>9.3</v>
      </c>
      <c r="D107" s="456" t="str">
        <f>orcamento!C106</f>
        <v>SINAPI</v>
      </c>
      <c r="E107" s="457">
        <f>orcamento!B106</f>
        <v>105730</v>
      </c>
      <c r="F107" s="458">
        <v>46204</v>
      </c>
      <c r="G107" s="459" t="str">
        <f>orcamento!D106</f>
        <v>CONSTRUÇÃO DE BASE E SUB-BASE PARA PAVIMENTAÇÃO DE BRITA GRADUADA SIMPLES, COM ESPESSURA DE 20 CM - EXCLUSIVE CARGA E TRANSPORTE. AF_09/2024</v>
      </c>
      <c r="H107" s="460">
        <f>orcamento!F106</f>
        <v>140.53</v>
      </c>
      <c r="I107" s="460" t="str">
        <f>orcamento!E106</f>
        <v>M3</v>
      </c>
      <c r="J107" s="460">
        <f>orcamento!K106</f>
        <v>221.79</v>
      </c>
      <c r="K107" s="461">
        <f t="shared" si="1"/>
        <v>31168.15</v>
      </c>
      <c r="L107" s="462">
        <f>orcamento!J106</f>
        <v>0.24229999999999999</v>
      </c>
      <c r="M107" s="462">
        <v>1.1194999999999999</v>
      </c>
    </row>
    <row r="108" spans="1:13" x14ac:dyDescent="0.3">
      <c r="A108" s="392">
        <v>1</v>
      </c>
      <c r="B108" s="454">
        <f>IF(AND(G108&lt;&gt;"",H108&gt;0,I108&lt;&gt;"",J108&lt;&gt;0,K108&lt;&gt;0),COUNT($B$11:B107)+1,"")</f>
        <v>83</v>
      </c>
      <c r="C108" s="455" t="str">
        <f>orcamento!A107</f>
        <v>9.4</v>
      </c>
      <c r="D108" s="456" t="str">
        <f>orcamento!C107</f>
        <v>COMPOSICAO_PROPRIA</v>
      </c>
      <c r="E108" s="457" t="str">
        <f>orcamento!B107</f>
        <v>CCU 23</v>
      </c>
      <c r="F108" s="458">
        <v>46204</v>
      </c>
      <c r="G108" s="459" t="str">
        <f>orcamento!D107</f>
        <v>MEIO-FIO EM TRECHO RETO, CONFECCIONADA EM CONCRETO PRÉ-FABRICADO, DIMENSÕES 100X15X13X30 CM , PARA VIAS URBANAS - FORNECIMENTO</v>
      </c>
      <c r="H108" s="460">
        <f>orcamento!F107</f>
        <v>239.93</v>
      </c>
      <c r="I108" s="460" t="str">
        <f>orcamento!E107</f>
        <v>M</v>
      </c>
      <c r="J108" s="460">
        <f>orcamento!K107</f>
        <v>44.53</v>
      </c>
      <c r="K108" s="461">
        <f t="shared" si="1"/>
        <v>10684.08</v>
      </c>
      <c r="L108" s="462">
        <f>orcamento!J107</f>
        <v>0.16980000000000001</v>
      </c>
      <c r="M108" s="462">
        <v>1.1194999999999999</v>
      </c>
    </row>
    <row r="109" spans="1:13" x14ac:dyDescent="0.3">
      <c r="A109" s="392">
        <v>1</v>
      </c>
      <c r="B109" s="454">
        <f>IF(AND(G109&lt;&gt;"",H109&gt;0,I109&lt;&gt;"",J109&lt;&gt;0,K109&lt;&gt;0),COUNT($B$11:B108)+1,"")</f>
        <v>84</v>
      </c>
      <c r="C109" s="455" t="str">
        <f>orcamento!A108</f>
        <v>9.5</v>
      </c>
      <c r="D109" s="456" t="str">
        <f>orcamento!C108</f>
        <v>COMPOSICAO_PROPRIA</v>
      </c>
      <c r="E109" s="457" t="str">
        <f>orcamento!B108</f>
        <v>CCU 24</v>
      </c>
      <c r="F109" s="458">
        <v>46204</v>
      </c>
      <c r="G109" s="459" t="str">
        <f>orcamento!D108</f>
        <v>MEIO-FIO EM TRECHO RETO, CONFECCIONADA EM CONCRETO PRÉ-FABRICADO, DIMENSÕES 100X15X13X30 CM , PARA VIAS URBANAS - EXECUÇÃO</v>
      </c>
      <c r="H109" s="460">
        <f>orcamento!F108</f>
        <v>239.93</v>
      </c>
      <c r="I109" s="460" t="str">
        <f>orcamento!E108</f>
        <v>M</v>
      </c>
      <c r="J109" s="460">
        <f>orcamento!K108</f>
        <v>18.990000000000002</v>
      </c>
      <c r="K109" s="461">
        <f t="shared" si="1"/>
        <v>4556.2700000000004</v>
      </c>
      <c r="L109" s="462">
        <f>orcamento!J108</f>
        <v>0.24229999999999999</v>
      </c>
      <c r="M109" s="462">
        <v>1.1194999999999999</v>
      </c>
    </row>
    <row r="110" spans="1:13" x14ac:dyDescent="0.3">
      <c r="A110" s="392">
        <v>1</v>
      </c>
      <c r="B110" s="454">
        <f>IF(AND(G110&lt;&gt;"",H110&gt;0,I110&lt;&gt;"",J110&lt;&gt;0,K110&lt;&gt;0),COUNT($B$11:B109)+1,"")</f>
        <v>85</v>
      </c>
      <c r="C110" s="455" t="str">
        <f>orcamento!A109</f>
        <v>9.6</v>
      </c>
      <c r="D110" s="456" t="str">
        <f>orcamento!C109</f>
        <v>COMPOSICAO_PROPRIA</v>
      </c>
      <c r="E110" s="457" t="str">
        <f>orcamento!B109</f>
        <v>CCU 46</v>
      </c>
      <c r="F110" s="458">
        <v>46204</v>
      </c>
      <c r="G110" s="459" t="str">
        <f>orcamento!D109</f>
        <v>IMPRIMAÇÃO ASFÁLTICA - FORNECIMENTO</v>
      </c>
      <c r="H110" s="460">
        <f>orcamento!F109</f>
        <v>0.77</v>
      </c>
      <c r="I110" s="460" t="str">
        <f>orcamento!E109</f>
        <v>T</v>
      </c>
      <c r="J110" s="460">
        <f>orcamento!K109</f>
        <v>5076.9800000000005</v>
      </c>
      <c r="K110" s="461">
        <f t="shared" si="1"/>
        <v>3909.27</v>
      </c>
      <c r="L110" s="462">
        <f>orcamento!J109</f>
        <v>0.24229999999999999</v>
      </c>
      <c r="M110" s="462">
        <v>1.1194999999999999</v>
      </c>
    </row>
    <row r="111" spans="1:13" x14ac:dyDescent="0.3">
      <c r="A111" s="392">
        <v>1</v>
      </c>
      <c r="B111" s="454">
        <f>IF(AND(G111&lt;&gt;"",H111&gt;0,I111&lt;&gt;"",J111&lt;&gt;0,K111&lt;&gt;0),COUNT($B$11:B110)+1,"")</f>
        <v>86</v>
      </c>
      <c r="C111" s="455" t="str">
        <f>orcamento!A110</f>
        <v>9.7</v>
      </c>
      <c r="D111" s="456" t="str">
        <f>orcamento!C110</f>
        <v>COMPOSICAO_PROPRIA</v>
      </c>
      <c r="E111" s="457" t="str">
        <f>orcamento!B110</f>
        <v>CCU 47</v>
      </c>
      <c r="F111" s="458">
        <v>46204</v>
      </c>
      <c r="G111" s="459" t="str">
        <f>orcamento!D110</f>
        <v>IMPRIMAÇÃO ASFALTICA - TRANSPORTE</v>
      </c>
      <c r="H111" s="460">
        <f>orcamento!F110</f>
        <v>0.77</v>
      </c>
      <c r="I111" s="460" t="str">
        <f>orcamento!E110</f>
        <v>T</v>
      </c>
      <c r="J111" s="460">
        <f>orcamento!K110</f>
        <v>123.69999999999999</v>
      </c>
      <c r="K111" s="461">
        <f t="shared" si="1"/>
        <v>95.25</v>
      </c>
      <c r="L111" s="462">
        <f>orcamento!J110</f>
        <v>0.24229999999999999</v>
      </c>
      <c r="M111" s="462">
        <v>1.1194999999999999</v>
      </c>
    </row>
    <row r="112" spans="1:13" x14ac:dyDescent="0.3">
      <c r="A112" s="392">
        <v>1</v>
      </c>
      <c r="B112" s="454">
        <f>IF(AND(G112&lt;&gt;"",H112&gt;0,I112&lt;&gt;"",J112&lt;&gt;0,K112&lt;&gt;0),COUNT($B$11:B111)+1,"")</f>
        <v>87</v>
      </c>
      <c r="C112" s="455" t="str">
        <f>orcamento!A111</f>
        <v>9.8</v>
      </c>
      <c r="D112" s="456" t="str">
        <f>orcamento!C111</f>
        <v>COMPOSICAO_PROPRIA</v>
      </c>
      <c r="E112" s="457" t="str">
        <f>orcamento!B111</f>
        <v>CCU 48</v>
      </c>
      <c r="F112" s="458">
        <v>46204</v>
      </c>
      <c r="G112" s="459" t="str">
        <f>orcamento!D111</f>
        <v>IMPRIMAÇÃO ASFÁLTICA - APLICAÇÃO</v>
      </c>
      <c r="H112" s="460">
        <f>orcamento!F111</f>
        <v>645.63</v>
      </c>
      <c r="I112" s="460" t="str">
        <f>orcamento!E111</f>
        <v>M2</v>
      </c>
      <c r="J112" s="460">
        <f>orcamento!K111</f>
        <v>1.61</v>
      </c>
      <c r="K112" s="461">
        <f t="shared" si="1"/>
        <v>1039.46</v>
      </c>
      <c r="L112" s="462">
        <f>orcamento!J111</f>
        <v>0.24229999999999999</v>
      </c>
      <c r="M112" s="462">
        <v>1.1194999999999999</v>
      </c>
    </row>
    <row r="113" spans="1:13" x14ac:dyDescent="0.3">
      <c r="A113" s="392">
        <v>1</v>
      </c>
      <c r="B113" s="454">
        <f>IF(AND(G113&lt;&gt;"",H113&gt;0,I113&lt;&gt;"",J113&lt;&gt;0,K113&lt;&gt;0),COUNT($B$11:B112)+1,"")</f>
        <v>88</v>
      </c>
      <c r="C113" s="455" t="str">
        <f>orcamento!A112</f>
        <v>9.9</v>
      </c>
      <c r="D113" s="456" t="str">
        <f>orcamento!C112</f>
        <v>COMPOSICAO_PROPRIA</v>
      </c>
      <c r="E113" s="457" t="str">
        <f>orcamento!B112</f>
        <v>CCU 43</v>
      </c>
      <c r="F113" s="458">
        <v>46204</v>
      </c>
      <c r="G113" s="459" t="str">
        <f>orcamento!D112</f>
        <v>USINAGEM CBUQ, INCLUSO FORNECIMENTO DE CONCRETO ASFALTICO (EXCETO CAP) E TRANSPORTE DA JAZIDA ATE PAVIMENTADORA, EXCLUSIVE TRANSPORTE ATE OBRA</v>
      </c>
      <c r="H113" s="460">
        <f>orcamento!F112</f>
        <v>73.08</v>
      </c>
      <c r="I113" s="460" t="str">
        <f>orcamento!E112</f>
        <v>T</v>
      </c>
      <c r="J113" s="460">
        <f>orcamento!K112</f>
        <v>307.23</v>
      </c>
      <c r="K113" s="461">
        <f t="shared" si="1"/>
        <v>22452.37</v>
      </c>
      <c r="L113" s="462">
        <f>orcamento!J112</f>
        <v>0.24229999999999999</v>
      </c>
      <c r="M113" s="462">
        <v>1.1194999999999999</v>
      </c>
    </row>
    <row r="114" spans="1:13" x14ac:dyDescent="0.3">
      <c r="A114" s="392">
        <v>1</v>
      </c>
      <c r="B114" s="454">
        <f>IF(AND(G114&lt;&gt;"",H114&gt;0,I114&lt;&gt;"",J114&lt;&gt;0,K114&lt;&gt;0),COUNT($B$11:B113)+1,"")</f>
        <v>89</v>
      </c>
      <c r="C114" s="455" t="str">
        <f>orcamento!A113</f>
        <v>9.10</v>
      </c>
      <c r="D114" s="456" t="str">
        <f>orcamento!C113</f>
        <v>COMPOSICAO_PROPRIA</v>
      </c>
      <c r="E114" s="457" t="str">
        <f>orcamento!B113</f>
        <v>CCU 44</v>
      </c>
      <c r="F114" s="458">
        <v>46204</v>
      </c>
      <c r="G114" s="459" t="str">
        <f>orcamento!D113</f>
        <v>FORNECIMENTO DE CAP PARA PAVIMENTO DE CONCRETO ASFÁLTICO, INCLUSIVE TRANSPORTE ATE PAVIMENTADORA</v>
      </c>
      <c r="H114" s="460">
        <f>orcamento!F113</f>
        <v>4.38</v>
      </c>
      <c r="I114" s="460" t="str">
        <f>orcamento!E113</f>
        <v>T</v>
      </c>
      <c r="J114" s="460">
        <f>orcamento!K113</f>
        <v>7434.92</v>
      </c>
      <c r="K114" s="461">
        <f t="shared" si="1"/>
        <v>32564.95</v>
      </c>
      <c r="L114" s="462">
        <f>orcamento!J113</f>
        <v>0.24229999999999999</v>
      </c>
      <c r="M114" s="462">
        <v>1.1194999999999999</v>
      </c>
    </row>
    <row r="115" spans="1:13" x14ac:dyDescent="0.3">
      <c r="A115" s="392">
        <v>1</v>
      </c>
      <c r="B115" s="454">
        <f>IF(AND(G115&lt;&gt;"",H115&gt;0,I115&lt;&gt;"",J115&lt;&gt;0,K115&lt;&gt;0),COUNT($B$11:B114)+1,"")</f>
        <v>90</v>
      </c>
      <c r="C115" s="455" t="str">
        <f>orcamento!A114</f>
        <v>9.11</v>
      </c>
      <c r="D115" s="456" t="str">
        <f>orcamento!C114</f>
        <v>COMPOSICAO_PROPRIA</v>
      </c>
      <c r="E115" s="457" t="str">
        <f>orcamento!B114</f>
        <v>CCU 45</v>
      </c>
      <c r="F115" s="458">
        <v>46204</v>
      </c>
      <c r="G115" s="459" t="str">
        <f>orcamento!D114</f>
        <v>EXECUÇÃO DE PAVIMENTO COM APLICAÇÃO DE CONCRETO ASFÁLTICO, CAMADA DE ROLAMENTO, EXCLUSIVE CARGA E TRANSPORTE</v>
      </c>
      <c r="H115" s="460">
        <f>orcamento!F114</f>
        <v>32.28</v>
      </c>
      <c r="I115" s="460" t="str">
        <f>orcamento!E114</f>
        <v>M3</v>
      </c>
      <c r="J115" s="460">
        <f>orcamento!K114</f>
        <v>163.09</v>
      </c>
      <c r="K115" s="461">
        <f t="shared" si="1"/>
        <v>5264.55</v>
      </c>
      <c r="L115" s="462">
        <f>orcamento!J114</f>
        <v>0.24229999999999999</v>
      </c>
      <c r="M115" s="462">
        <v>1.1194999999999999</v>
      </c>
    </row>
    <row r="116" spans="1:13" x14ac:dyDescent="0.3">
      <c r="A116" s="392">
        <v>1</v>
      </c>
      <c r="B116" s="454">
        <f>IF(AND(G116&lt;&gt;"",H116&gt;0,I116&lt;&gt;"",J116&lt;&gt;0,K116&lt;&gt;0),COUNT($B$11:B115)+1,"")</f>
        <v>91</v>
      </c>
      <c r="C116" s="455" t="str">
        <f>orcamento!A115</f>
        <v>9.12</v>
      </c>
      <c r="D116" s="456" t="str">
        <f>orcamento!C115</f>
        <v>COMPOSICAO_PROPRIA</v>
      </c>
      <c r="E116" s="457" t="str">
        <f>orcamento!B115</f>
        <v>CCU 29</v>
      </c>
      <c r="F116" s="458">
        <v>46204</v>
      </c>
      <c r="G116" s="459" t="str">
        <f>orcamento!D115</f>
        <v>CARGA, MANOBRA E DESCARGA DE PRÉ-MOLDADOS DE CONCRETO, EM CAMINHÃO CARROCERIA COM GUINDAUTO (MUNCK) 11,7 TM</v>
      </c>
      <c r="H116" s="460">
        <f>orcamento!F115</f>
        <v>24.18</v>
      </c>
      <c r="I116" s="460" t="str">
        <f>orcamento!E115</f>
        <v>T</v>
      </c>
      <c r="J116" s="460">
        <f>orcamento!K115</f>
        <v>62.46</v>
      </c>
      <c r="K116" s="461">
        <f t="shared" si="1"/>
        <v>1510.28</v>
      </c>
      <c r="L116" s="462">
        <f>orcamento!J115</f>
        <v>0.24229999999999999</v>
      </c>
      <c r="M116" s="462">
        <v>1.1194999999999999</v>
      </c>
    </row>
    <row r="117" spans="1:13" x14ac:dyDescent="0.3">
      <c r="A117" s="392">
        <v>1</v>
      </c>
      <c r="B117" s="454">
        <f>IF(AND(G117&lt;&gt;"",H117&gt;0,I117&lt;&gt;"",J117&lt;&gt;0,K117&lt;&gt;0),COUNT($B$11:B116)+1,"")</f>
        <v>92</v>
      </c>
      <c r="C117" s="455" t="str">
        <f>orcamento!A116</f>
        <v>9.13</v>
      </c>
      <c r="D117" s="456" t="str">
        <f>orcamento!C116</f>
        <v>SINAPI</v>
      </c>
      <c r="E117" s="457">
        <f>orcamento!B116</f>
        <v>100978</v>
      </c>
      <c r="F117" s="458">
        <v>46204</v>
      </c>
      <c r="G117" s="459" t="str">
        <f>orcamento!D116</f>
        <v>CARGA, MANOBRA E DESCARGA DE SOLOS E MATERIAIS GRANULARES EM CAMINHÃO BASCULANTE 10 M³ - CARGA COM ESCAVADEIRA HIDRÁULICA (CAÇAMBA DE 1,20 M³ / 155 HP) E DESCARGA LIVRE (UNIDADE: M3). AF_02/2026</v>
      </c>
      <c r="H117" s="460">
        <f>orcamento!F116</f>
        <v>376</v>
      </c>
      <c r="I117" s="460" t="str">
        <f>orcamento!E116</f>
        <v>M3</v>
      </c>
      <c r="J117" s="460">
        <f>orcamento!K116</f>
        <v>9.2200000000000006</v>
      </c>
      <c r="K117" s="461">
        <f t="shared" si="1"/>
        <v>3466.72</v>
      </c>
      <c r="L117" s="462">
        <f>orcamento!J116</f>
        <v>0.24229999999999999</v>
      </c>
      <c r="M117" s="462">
        <v>1.1194999999999999</v>
      </c>
    </row>
    <row r="118" spans="1:13" x14ac:dyDescent="0.3">
      <c r="A118" s="392">
        <v>1</v>
      </c>
      <c r="B118" s="454">
        <f>IF(AND(G118&lt;&gt;"",H118&gt;0,I118&lt;&gt;"",J118&lt;&gt;0,K118&lt;&gt;0),COUNT($B$11:B117)+1,"")</f>
        <v>93</v>
      </c>
      <c r="C118" s="455" t="str">
        <f>orcamento!A117</f>
        <v>9.14</v>
      </c>
      <c r="D118" s="456" t="str">
        <f>orcamento!C117</f>
        <v>SINAPI</v>
      </c>
      <c r="E118" s="457">
        <f>orcamento!B117</f>
        <v>100952</v>
      </c>
      <c r="F118" s="458">
        <v>46204</v>
      </c>
      <c r="G118" s="459" t="str">
        <f>orcamento!D117</f>
        <v>TRANSPORTE COM CAMINHÃO CARROCERIA COM GUINDAUTO (MUNCK), MOMENTO MÁXIMO DE CARGA 11,7 TM, EM VIA URBANA PAVIMENTADA, DMT ATÉ 30KM (UNIDADE: TXKM). AF_02/2026</v>
      </c>
      <c r="H118" s="460">
        <f>orcamento!F117</f>
        <v>389.29</v>
      </c>
      <c r="I118" s="460" t="str">
        <f>orcamento!E117</f>
        <v>TXKM</v>
      </c>
      <c r="J118" s="460">
        <f>orcamento!K117</f>
        <v>3.96</v>
      </c>
      <c r="K118" s="461">
        <f t="shared" si="1"/>
        <v>1541.59</v>
      </c>
      <c r="L118" s="462">
        <f>orcamento!J117</f>
        <v>0.24229999999999999</v>
      </c>
      <c r="M118" s="462">
        <v>1.1194999999999999</v>
      </c>
    </row>
    <row r="119" spans="1:13" x14ac:dyDescent="0.3">
      <c r="A119" s="392">
        <v>1</v>
      </c>
      <c r="B119" s="454">
        <f>IF(AND(G119&lt;&gt;"",H119&gt;0,I119&lt;&gt;"",J119&lt;&gt;0,K119&lt;&gt;0),COUNT($B$11:B118)+1,"")</f>
        <v>94</v>
      </c>
      <c r="C119" s="455" t="str">
        <f>orcamento!A118</f>
        <v>9.15</v>
      </c>
      <c r="D119" s="456" t="str">
        <f>orcamento!C118</f>
        <v>SINAPI</v>
      </c>
      <c r="E119" s="457">
        <f>orcamento!B118</f>
        <v>95875</v>
      </c>
      <c r="F119" s="458">
        <v>46204</v>
      </c>
      <c r="G119" s="459" t="str">
        <f>orcamento!D118</f>
        <v>TRANSPORTE COM CAMINHÃO BASCULANTE DE 10 M³, EM VIA URBANA PAVIMENTADA, DMT ATÉ 30 KM (UNIDADE: M3XKM). AF_02/2026</v>
      </c>
      <c r="H119" s="460">
        <f>orcamento!F118</f>
        <v>2068.04</v>
      </c>
      <c r="I119" s="460" t="str">
        <f>orcamento!E118</f>
        <v>M3XKM</v>
      </c>
      <c r="J119" s="460">
        <f>orcamento!K118</f>
        <v>3.52</v>
      </c>
      <c r="K119" s="461">
        <f t="shared" si="1"/>
        <v>7279.5</v>
      </c>
      <c r="L119" s="462">
        <f>orcamento!J118</f>
        <v>0.24229999999999999</v>
      </c>
      <c r="M119" s="462">
        <v>1.1194999999999999</v>
      </c>
    </row>
    <row r="120" spans="1:13" x14ac:dyDescent="0.3">
      <c r="A120" s="392"/>
      <c r="B120" s="454"/>
      <c r="C120" s="455"/>
      <c r="D120" s="456"/>
      <c r="E120" s="457"/>
      <c r="F120" s="458"/>
      <c r="G120" s="459"/>
      <c r="H120" s="460"/>
      <c r="I120" s="460"/>
      <c r="J120" s="460"/>
      <c r="K120" s="461"/>
      <c r="L120" s="462"/>
      <c r="M120" s="462"/>
    </row>
    <row r="121" spans="1:13" x14ac:dyDescent="0.3">
      <c r="A121" s="392">
        <v>1</v>
      </c>
      <c r="B121" s="454">
        <f>IF(AND(G121&lt;&gt;"",H121&gt;0,I121&lt;&gt;"",J121&lt;&gt;0,K121&lt;&gt;0),COUNT($B$11:B120)+1,"")</f>
        <v>95</v>
      </c>
      <c r="C121" s="455" t="str">
        <f>orcamento!A120</f>
        <v>10.1</v>
      </c>
      <c r="D121" s="456" t="str">
        <f>orcamento!C120</f>
        <v>SINAPI</v>
      </c>
      <c r="E121" s="457">
        <f>orcamento!B120</f>
        <v>100576</v>
      </c>
      <c r="F121" s="458">
        <v>46204</v>
      </c>
      <c r="G121" s="459" t="str">
        <f>orcamento!D120</f>
        <v>REGULARIZAÇÃO E COMPACTAÇÃO DE SUBLEITO DE SOLO PREDOMINANTEMENTE ARGILOSO, PARA OBRAS DE CONSTRUÇÃO DE PAVIMENTOS. AF_09/2024</v>
      </c>
      <c r="H121" s="460">
        <f>orcamento!F120</f>
        <v>427.66999999999996</v>
      </c>
      <c r="I121" s="460" t="str">
        <f>orcamento!E120</f>
        <v>M2</v>
      </c>
      <c r="J121" s="460">
        <f>orcamento!K120</f>
        <v>3.76</v>
      </c>
      <c r="K121" s="461">
        <f t="shared" si="1"/>
        <v>1608.04</v>
      </c>
      <c r="L121" s="462">
        <f>orcamento!J120</f>
        <v>0.24229999999999999</v>
      </c>
      <c r="M121" s="462">
        <v>1.1194999999999999</v>
      </c>
    </row>
    <row r="122" spans="1:13" x14ac:dyDescent="0.3">
      <c r="A122" s="392">
        <v>1</v>
      </c>
      <c r="B122" s="454">
        <f>IF(AND(G122&lt;&gt;"",H122&gt;0,I122&lt;&gt;"",J122&lt;&gt;0,K122&lt;&gt;0),COUNT($B$11:B121)+1,"")</f>
        <v>96</v>
      </c>
      <c r="C122" s="455" t="str">
        <f>orcamento!A121</f>
        <v>10.2</v>
      </c>
      <c r="D122" s="456" t="str">
        <f>orcamento!C121</f>
        <v>SINAPI</v>
      </c>
      <c r="E122" s="457">
        <f>orcamento!B121</f>
        <v>96624</v>
      </c>
      <c r="F122" s="458">
        <v>46204</v>
      </c>
      <c r="G122" s="459" t="str">
        <f>orcamento!D121</f>
        <v>LASTRO COM MATERIAL GRANULAR (PEDRA BRITADA N.2), APLICADO EM PISOS OU LAJES SOBRE SOLO, ESPESSURA DE *10 CM*. AF_01/2024</v>
      </c>
      <c r="H122" s="460">
        <f>orcamento!F121</f>
        <v>26.66</v>
      </c>
      <c r="I122" s="460" t="str">
        <f>orcamento!E121</f>
        <v>M3</v>
      </c>
      <c r="J122" s="460">
        <f>orcamento!K121</f>
        <v>233.61</v>
      </c>
      <c r="K122" s="461">
        <f t="shared" si="1"/>
        <v>6228.04</v>
      </c>
      <c r="L122" s="462">
        <f>orcamento!J121</f>
        <v>0.24229999999999999</v>
      </c>
      <c r="M122" s="462">
        <v>1.1194999999999999</v>
      </c>
    </row>
    <row r="123" spans="1:13" x14ac:dyDescent="0.3">
      <c r="A123" s="392">
        <v>1</v>
      </c>
      <c r="B123" s="454">
        <f>IF(AND(G123&lt;&gt;"",H123&gt;0,I123&lt;&gt;"",J123&lt;&gt;0,K123&lt;&gt;0),COUNT($B$11:B122)+1,"")</f>
        <v>97</v>
      </c>
      <c r="C123" s="455" t="str">
        <f>orcamento!A122</f>
        <v>10.3</v>
      </c>
      <c r="D123" s="456" t="str">
        <f>orcamento!C122</f>
        <v>SINAPI</v>
      </c>
      <c r="E123" s="457">
        <f>orcamento!B122</f>
        <v>94991</v>
      </c>
      <c r="F123" s="458">
        <v>46204</v>
      </c>
      <c r="G123" s="459" t="str">
        <f>orcamento!D122</f>
        <v>EXECUÇÃO DE PASSEIO (CALÇADA) OU PISO DE CONCRETO COM CONCRETO MOLDADO IN LOCO, USINADO C20, ACABAMENTO CONVENCIONAL, NÃO ARMADO. AF_08/2022</v>
      </c>
      <c r="H123" s="460">
        <f>orcamento!F122</f>
        <v>29.81</v>
      </c>
      <c r="I123" s="460" t="str">
        <f>orcamento!E122</f>
        <v>M3</v>
      </c>
      <c r="J123" s="460">
        <f>orcamento!K122</f>
        <v>1116.01</v>
      </c>
      <c r="K123" s="461">
        <f t="shared" si="1"/>
        <v>33268.26</v>
      </c>
      <c r="L123" s="462">
        <f>orcamento!J122</f>
        <v>0.24229999999999999</v>
      </c>
      <c r="M123" s="462">
        <v>1.1194999999999999</v>
      </c>
    </row>
    <row r="124" spans="1:13" x14ac:dyDescent="0.3">
      <c r="A124" s="392">
        <v>1</v>
      </c>
      <c r="B124" s="454">
        <f>IF(AND(G124&lt;&gt;"",H124&gt;0,I124&lt;&gt;"",J124&lt;&gt;0,K124&lt;&gt;0),COUNT($B$11:B123)+1,"")</f>
        <v>98</v>
      </c>
      <c r="C124" s="455" t="str">
        <f>orcamento!A123</f>
        <v>10.4</v>
      </c>
      <c r="D124" s="456" t="str">
        <f>orcamento!C123</f>
        <v>SINAPI</v>
      </c>
      <c r="E124" s="457">
        <f>orcamento!B123</f>
        <v>97088</v>
      </c>
      <c r="F124" s="458">
        <v>46204</v>
      </c>
      <c r="G124" s="459" t="str">
        <f>orcamento!D123</f>
        <v>ARMAÇÃO PARA EXECUÇÃO DE RADIER, PISO DE CONCRETO OU LAJE SOBRE SOLO, COM USO DE TELA Q-92. AF_07/2026</v>
      </c>
      <c r="H124" s="460">
        <f>orcamento!F123</f>
        <v>206.63</v>
      </c>
      <c r="I124" s="460" t="str">
        <f>orcamento!E123</f>
        <v>KG</v>
      </c>
      <c r="J124" s="460">
        <f>orcamento!K123</f>
        <v>21.34</v>
      </c>
      <c r="K124" s="461">
        <f t="shared" si="1"/>
        <v>4409.4799999999996</v>
      </c>
      <c r="L124" s="462">
        <f>orcamento!J123</f>
        <v>0.24229999999999999</v>
      </c>
      <c r="M124" s="462">
        <v>1.1194999999999999</v>
      </c>
    </row>
    <row r="125" spans="1:13" x14ac:dyDescent="0.3">
      <c r="A125" s="392">
        <v>1</v>
      </c>
      <c r="B125" s="454">
        <f>IF(AND(G125&lt;&gt;"",H125&gt;0,I125&lt;&gt;"",J125&lt;&gt;0,K125&lt;&gt;0),COUNT($B$11:B124)+1,"")</f>
        <v>99</v>
      </c>
      <c r="C125" s="455" t="str">
        <f>orcamento!A124</f>
        <v>10.5</v>
      </c>
      <c r="D125" s="456" t="str">
        <f>orcamento!C124</f>
        <v>SINAPI</v>
      </c>
      <c r="E125" s="457">
        <f>orcamento!B124</f>
        <v>104658</v>
      </c>
      <c r="F125" s="458">
        <v>46204</v>
      </c>
      <c r="G125" s="459" t="str">
        <f>orcamento!D124</f>
        <v>PISO PODOTÁTIL DE ALERTA OU DIRECIONAL, DE CONCRETO, ASSENTADO SOBRE ARGAMASSA. AF_03/2024</v>
      </c>
      <c r="H125" s="460">
        <f>orcamento!F124</f>
        <v>70.400000000000006</v>
      </c>
      <c r="I125" s="460" t="str">
        <f>orcamento!E124</f>
        <v>M2</v>
      </c>
      <c r="J125" s="460">
        <f>orcamento!K124</f>
        <v>193.31</v>
      </c>
      <c r="K125" s="461">
        <f t="shared" si="1"/>
        <v>13609.02</v>
      </c>
      <c r="L125" s="462">
        <f>orcamento!J124</f>
        <v>0.24229999999999999</v>
      </c>
      <c r="M125" s="462">
        <v>1.1194999999999999</v>
      </c>
    </row>
    <row r="126" spans="1:13" x14ac:dyDescent="0.3">
      <c r="A126" s="392">
        <v>1</v>
      </c>
      <c r="B126" s="454">
        <f>IF(AND(G126&lt;&gt;"",H126&gt;0,I126&lt;&gt;"",J126&lt;&gt;0,K126&lt;&gt;0),COUNT($B$11:B125)+1,"")</f>
        <v>100</v>
      </c>
      <c r="C126" s="455" t="str">
        <f>orcamento!A125</f>
        <v>10.6</v>
      </c>
      <c r="D126" s="456" t="str">
        <f>orcamento!C125</f>
        <v>SINAPI</v>
      </c>
      <c r="E126" s="457">
        <f>orcamento!B125</f>
        <v>105521</v>
      </c>
      <c r="F126" s="458">
        <v>46204</v>
      </c>
      <c r="G126" s="459" t="str">
        <f>orcamento!D125</f>
        <v>ESPALHAMENTO DE TERRA VEGETAL PARA O PLANTIO. AF_07/2024</v>
      </c>
      <c r="H126" s="460">
        <f>orcamento!F125</f>
        <v>120.23</v>
      </c>
      <c r="I126" s="460" t="str">
        <f>orcamento!E125</f>
        <v>M2</v>
      </c>
      <c r="J126" s="460">
        <f>orcamento!K125</f>
        <v>5.33</v>
      </c>
      <c r="K126" s="461">
        <f t="shared" si="1"/>
        <v>640.83000000000004</v>
      </c>
      <c r="L126" s="462">
        <f>orcamento!J125</f>
        <v>0.24229999999999999</v>
      </c>
      <c r="M126" s="462">
        <v>1.1194999999999999</v>
      </c>
    </row>
    <row r="127" spans="1:13" x14ac:dyDescent="0.3">
      <c r="A127" s="392">
        <v>1</v>
      </c>
      <c r="B127" s="454">
        <f>IF(AND(G127&lt;&gt;"",H127&gt;0,I127&lt;&gt;"",J127&lt;&gt;0,K127&lt;&gt;0),COUNT($B$11:B126)+1,"")</f>
        <v>101</v>
      </c>
      <c r="C127" s="455" t="str">
        <f>orcamento!A126</f>
        <v>10.7</v>
      </c>
      <c r="D127" s="456" t="str">
        <f>orcamento!C126</f>
        <v>SINAPI</v>
      </c>
      <c r="E127" s="457">
        <f>orcamento!B126</f>
        <v>98504</v>
      </c>
      <c r="F127" s="458">
        <v>46204</v>
      </c>
      <c r="G127" s="459" t="str">
        <f>orcamento!D126</f>
        <v>PLANTIO DE GRAMA BATATAIS EM PLACAS. AF_07/2024</v>
      </c>
      <c r="H127" s="460">
        <f>orcamento!F126</f>
        <v>120.23</v>
      </c>
      <c r="I127" s="460" t="str">
        <f>orcamento!E126</f>
        <v>M2</v>
      </c>
      <c r="J127" s="460">
        <f>orcamento!K126</f>
        <v>29.26</v>
      </c>
      <c r="K127" s="461">
        <f t="shared" si="1"/>
        <v>3517.93</v>
      </c>
      <c r="L127" s="462">
        <f>orcamento!J126</f>
        <v>0.24229999999999999</v>
      </c>
      <c r="M127" s="462">
        <v>1.1194999999999999</v>
      </c>
    </row>
    <row r="128" spans="1:13" x14ac:dyDescent="0.3">
      <c r="A128" s="392">
        <v>1</v>
      </c>
      <c r="B128" s="454">
        <f>IF(AND(G128&lt;&gt;"",H128&gt;0,I128&lt;&gt;"",J128&lt;&gt;0,K128&lt;&gt;0),COUNT($B$11:B127)+1,"")</f>
        <v>102</v>
      </c>
      <c r="C128" s="455" t="str">
        <f>orcamento!A127</f>
        <v>10.8</v>
      </c>
      <c r="D128" s="456" t="str">
        <f>orcamento!C127</f>
        <v>SINAPI</v>
      </c>
      <c r="E128" s="457">
        <f>orcamento!B127</f>
        <v>100978</v>
      </c>
      <c r="F128" s="458">
        <v>46204</v>
      </c>
      <c r="G128" s="459" t="str">
        <f>orcamento!D127</f>
        <v>CARGA, MANOBRA E DESCARGA DE SOLOS E MATERIAIS GRANULARES EM CAMINHÃO BASCULANTE 10 M³ - CARGA COM ESCAVADEIRA HIDRÁULICA (CAÇAMBA DE 1,20 M³ / 155 HP) E DESCARGA LIVRE (UNIDADE: M3). AF_02/2026</v>
      </c>
      <c r="H128" s="460">
        <f>orcamento!F127</f>
        <v>29.32</v>
      </c>
      <c r="I128" s="460" t="str">
        <f>orcamento!E127</f>
        <v>M3</v>
      </c>
      <c r="J128" s="460">
        <f>orcamento!K127</f>
        <v>9.2200000000000006</v>
      </c>
      <c r="K128" s="461">
        <f t="shared" si="1"/>
        <v>270.33</v>
      </c>
      <c r="L128" s="462">
        <f>orcamento!J127</f>
        <v>0.24229999999999999</v>
      </c>
      <c r="M128" s="462">
        <v>1.1194999999999999</v>
      </c>
    </row>
    <row r="129" spans="1:13" x14ac:dyDescent="0.3">
      <c r="A129" s="392">
        <v>1</v>
      </c>
      <c r="B129" s="454">
        <f>IF(AND(G129&lt;&gt;"",H129&gt;0,I129&lt;&gt;"",J129&lt;&gt;0,K129&lt;&gt;0),COUNT($B$11:B128)+1,"")</f>
        <v>103</v>
      </c>
      <c r="C129" s="455" t="str">
        <f>orcamento!A128</f>
        <v>10.9</v>
      </c>
      <c r="D129" s="456" t="str">
        <f>orcamento!C128</f>
        <v>SINAPI</v>
      </c>
      <c r="E129" s="457">
        <f>orcamento!B128</f>
        <v>95875</v>
      </c>
      <c r="F129" s="458">
        <v>46204</v>
      </c>
      <c r="G129" s="459" t="str">
        <f>orcamento!D128</f>
        <v>TRANSPORTE COM CAMINHÃO BASCULANTE DE 10 M³, EM VIA URBANA PAVIMENTADA, DMT ATÉ 30 KM (UNIDADE: M3XKM). AF_02/2026</v>
      </c>
      <c r="H129" s="460">
        <f>orcamento!F128</f>
        <v>756.45</v>
      </c>
      <c r="I129" s="460" t="str">
        <f>orcamento!E128</f>
        <v>M3XKM</v>
      </c>
      <c r="J129" s="460">
        <f>orcamento!K128</f>
        <v>3.52</v>
      </c>
      <c r="K129" s="461">
        <f t="shared" si="1"/>
        <v>2662.7</v>
      </c>
      <c r="L129" s="462">
        <f>orcamento!J128</f>
        <v>0.24229999999999999</v>
      </c>
      <c r="M129" s="462">
        <v>1.1194999999999999</v>
      </c>
    </row>
    <row r="130" spans="1:13" x14ac:dyDescent="0.3">
      <c r="A130" s="392"/>
      <c r="B130" s="454"/>
      <c r="C130" s="455"/>
      <c r="D130" s="456"/>
      <c r="E130" s="457"/>
      <c r="F130" s="458"/>
      <c r="G130" s="459"/>
      <c r="H130" s="460"/>
      <c r="I130" s="460"/>
      <c r="J130" s="460"/>
      <c r="K130" s="461"/>
      <c r="L130" s="462"/>
      <c r="M130" s="462"/>
    </row>
    <row r="131" spans="1:13" x14ac:dyDescent="0.3">
      <c r="A131" s="392">
        <v>1</v>
      </c>
      <c r="B131" s="454">
        <f>IF(AND(G131&lt;&gt;"",H131&gt;0,I131&lt;&gt;"",J131&lt;&gt;0,K131&lt;&gt;0),COUNT($B$11:B130)+1,"")</f>
        <v>104</v>
      </c>
      <c r="C131" s="455" t="str">
        <f>orcamento!A130</f>
        <v>11.1</v>
      </c>
      <c r="D131" s="456" t="str">
        <f>orcamento!C130</f>
        <v>COMPOSICAO_PROPRIA</v>
      </c>
      <c r="E131" s="457" t="str">
        <f>orcamento!B130</f>
        <v>CCU 75</v>
      </c>
      <c r="F131" s="458">
        <v>46204</v>
      </c>
      <c r="G131" s="459" t="str">
        <f>orcamento!D130</f>
        <v>CORTE MEÂNICO DE ASFALTO</v>
      </c>
      <c r="H131" s="460">
        <f>orcamento!F130</f>
        <v>80</v>
      </c>
      <c r="I131" s="460" t="str">
        <f>orcamento!E130</f>
        <v>M</v>
      </c>
      <c r="J131" s="460">
        <f>orcamento!K130</f>
        <v>3.39</v>
      </c>
      <c r="K131" s="461">
        <f t="shared" si="1"/>
        <v>271.2</v>
      </c>
      <c r="L131" s="462">
        <f>orcamento!J130</f>
        <v>0.24229999999999999</v>
      </c>
      <c r="M131" s="462">
        <v>1.1194999999999999</v>
      </c>
    </row>
    <row r="132" spans="1:13" x14ac:dyDescent="0.3">
      <c r="A132" s="392">
        <v>1</v>
      </c>
      <c r="B132" s="454">
        <f>IF(AND(G132&lt;&gt;"",H132&gt;0,I132&lt;&gt;"",J132&lt;&gt;0,K132&lt;&gt;0),COUNT($B$11:B131)+1,"")</f>
        <v>105</v>
      </c>
      <c r="C132" s="455" t="str">
        <f>orcamento!A131</f>
        <v>11.2</v>
      </c>
      <c r="D132" s="456" t="str">
        <f>orcamento!C131</f>
        <v>SINAPI</v>
      </c>
      <c r="E132" s="457">
        <f>orcamento!B131</f>
        <v>97636</v>
      </c>
      <c r="F132" s="458">
        <v>46204</v>
      </c>
      <c r="G132" s="459" t="str">
        <f>orcamento!D131</f>
        <v>DEMOLIÇÃO PARCIAL DE PAVIMENTO ASFÁLTICO, DE FORMA MECANIZADA, SEM REAPROVEITAMENTO. AF_09/2023</v>
      </c>
      <c r="H132" s="460">
        <f>orcamento!F131</f>
        <v>317.2</v>
      </c>
      <c r="I132" s="460" t="str">
        <f>orcamento!E131</f>
        <v>M2</v>
      </c>
      <c r="J132" s="460">
        <f>orcamento!K131</f>
        <v>29.08</v>
      </c>
      <c r="K132" s="461">
        <f t="shared" si="1"/>
        <v>9224.18</v>
      </c>
      <c r="L132" s="462">
        <f>orcamento!J131</f>
        <v>0.24229999999999999</v>
      </c>
      <c r="M132" s="462">
        <v>1.1194999999999999</v>
      </c>
    </row>
    <row r="133" spans="1:13" x14ac:dyDescent="0.3">
      <c r="A133" s="392">
        <v>1</v>
      </c>
      <c r="B133" s="454">
        <f>IF(AND(G133&lt;&gt;"",H133&gt;0,I133&lt;&gt;"",J133&lt;&gt;0,K133&lt;&gt;0),COUNT($B$11:B132)+1,"")</f>
        <v>106</v>
      </c>
      <c r="C133" s="455" t="str">
        <f>orcamento!A132</f>
        <v>11.3</v>
      </c>
      <c r="D133" s="456" t="str">
        <f>orcamento!C132</f>
        <v>SINAPI</v>
      </c>
      <c r="E133" s="457">
        <f>orcamento!B132</f>
        <v>97624</v>
      </c>
      <c r="F133" s="458">
        <v>46204</v>
      </c>
      <c r="G133" s="459" t="str">
        <f>orcamento!D132</f>
        <v>DEMOLIÇÃO DE ALVENARIA DE TIJOLO MACIÇO, DE FORMA MANUAL, SEM REAPROVEITAMENTO. AF_09/2023</v>
      </c>
      <c r="H133" s="460">
        <f>orcamento!F132</f>
        <v>3.48</v>
      </c>
      <c r="I133" s="460" t="str">
        <f>orcamento!E132</f>
        <v>M3</v>
      </c>
      <c r="J133" s="460">
        <f>orcamento!K132</f>
        <v>158.07</v>
      </c>
      <c r="K133" s="461">
        <f t="shared" si="1"/>
        <v>550.08000000000004</v>
      </c>
      <c r="L133" s="462">
        <f>orcamento!J132</f>
        <v>0.24229999999999999</v>
      </c>
      <c r="M133" s="462">
        <v>1.1194999999999999</v>
      </c>
    </row>
    <row r="134" spans="1:13" x14ac:dyDescent="0.3">
      <c r="A134" s="392">
        <v>1</v>
      </c>
      <c r="B134" s="454">
        <f>IF(AND(G134&lt;&gt;"",H134&gt;0,I134&lt;&gt;"",J134&lt;&gt;0,K134&lt;&gt;0),COUNT($B$11:B133)+1,"")</f>
        <v>107</v>
      </c>
      <c r="C134" s="455" t="str">
        <f>orcamento!A133</f>
        <v>11.4</v>
      </c>
      <c r="D134" s="456" t="str">
        <f>orcamento!C133</f>
        <v>COMPOSICAO_PROPRIA</v>
      </c>
      <c r="E134" s="457" t="str">
        <f>orcamento!B133</f>
        <v>CCU 72</v>
      </c>
      <c r="F134" s="458">
        <v>46204</v>
      </c>
      <c r="G134" s="459" t="str">
        <f>orcamento!D133</f>
        <v>REMOÇÃO TUBO CONCRETO ARMADO AGUAS PLUVIAIS, DN 300 MM</v>
      </c>
      <c r="H134" s="460">
        <f>orcamento!F133</f>
        <v>59.84</v>
      </c>
      <c r="I134" s="460" t="str">
        <f>orcamento!E133</f>
        <v>M</v>
      </c>
      <c r="J134" s="460">
        <f>orcamento!K133</f>
        <v>30.009999999999998</v>
      </c>
      <c r="K134" s="461">
        <f t="shared" si="1"/>
        <v>1795.8</v>
      </c>
      <c r="L134" s="462">
        <f>orcamento!J133</f>
        <v>0.24229999999999999</v>
      </c>
      <c r="M134" s="462">
        <v>1.1194999999999999</v>
      </c>
    </row>
    <row r="135" spans="1:13" x14ac:dyDescent="0.3">
      <c r="A135" s="392">
        <v>1</v>
      </c>
      <c r="B135" s="454">
        <f>IF(AND(G135&lt;&gt;"",H135&gt;0,I135&lt;&gt;"",J135&lt;&gt;0,K135&lt;&gt;0),COUNT($B$11:B134)+1,"")</f>
        <v>108</v>
      </c>
      <c r="C135" s="455" t="str">
        <f>orcamento!A134</f>
        <v>11.5</v>
      </c>
      <c r="D135" s="456" t="str">
        <f>orcamento!C134</f>
        <v>SINAPI</v>
      </c>
      <c r="E135" s="457">
        <f>orcamento!B134</f>
        <v>100982</v>
      </c>
      <c r="F135" s="458">
        <v>46204</v>
      </c>
      <c r="G135" s="459" t="str">
        <f>orcamento!D134</f>
        <v>CARGA, MANOBRA E DESCARGA DE ENTULHO EM CAMINHÃO BASCULANTE 10 M³ - CARGA COM ESCAVADEIRA HIDRÁULICA (CAÇAMBA DE 0,80 M³ / 111 HP) E DESCARGA LIVRE (UNIDADE: M3). AF_02/2026</v>
      </c>
      <c r="H135" s="460">
        <f>orcamento!F134</f>
        <v>32.46</v>
      </c>
      <c r="I135" s="460" t="str">
        <f>orcamento!E134</f>
        <v>M3</v>
      </c>
      <c r="J135" s="460">
        <f>orcamento!K134</f>
        <v>12.01</v>
      </c>
      <c r="K135" s="461">
        <f t="shared" si="1"/>
        <v>389.84</v>
      </c>
      <c r="L135" s="462">
        <f>orcamento!J134</f>
        <v>0.24229999999999999</v>
      </c>
      <c r="M135" s="462">
        <v>1.1194999999999999</v>
      </c>
    </row>
    <row r="136" spans="1:13" x14ac:dyDescent="0.3">
      <c r="A136" s="392">
        <v>1</v>
      </c>
      <c r="B136" s="454">
        <f>IF(AND(G136&lt;&gt;"",H136&gt;0,I136&lt;&gt;"",J136&lt;&gt;0,K136&lt;&gt;0),COUNT($B$11:B135)+1,"")</f>
        <v>109</v>
      </c>
      <c r="C136" s="455" t="str">
        <f>orcamento!A135</f>
        <v>11.6</v>
      </c>
      <c r="D136" s="456" t="str">
        <f>orcamento!C135</f>
        <v>SINAPI</v>
      </c>
      <c r="E136" s="457">
        <f>orcamento!B135</f>
        <v>95875</v>
      </c>
      <c r="F136" s="458">
        <v>46204</v>
      </c>
      <c r="G136" s="459" t="str">
        <f>orcamento!D135</f>
        <v>TRANSPORTE COM CAMINHÃO BASCULANTE DE 10 M³, EM VIA URBANA PAVIMENTADA, DMT ATÉ 30 KM (UNIDADE: M3XKM). AF_02/2026</v>
      </c>
      <c r="H136" s="460">
        <f>orcamento!F135</f>
        <v>214.23</v>
      </c>
      <c r="I136" s="460" t="str">
        <f>orcamento!E135</f>
        <v>M3XKM</v>
      </c>
      <c r="J136" s="460">
        <f>orcamento!K135</f>
        <v>3.52</v>
      </c>
      <c r="K136" s="461">
        <f t="shared" si="1"/>
        <v>754.09</v>
      </c>
      <c r="L136" s="462">
        <f>orcamento!J135</f>
        <v>0.24229999999999999</v>
      </c>
      <c r="M136" s="462">
        <v>1.1194999999999999</v>
      </c>
    </row>
    <row r="137" spans="1:13" x14ac:dyDescent="0.3">
      <c r="A137" s="392">
        <v>1</v>
      </c>
      <c r="B137" s="454">
        <f>IF(AND(G137&lt;&gt;"",H137&gt;0,I137&lt;&gt;"",J137&lt;&gt;0,K137&lt;&gt;0),COUNT($B$11:B136)+1,"")</f>
        <v>110</v>
      </c>
      <c r="C137" s="455" t="str">
        <f>orcamento!A136</f>
        <v>11.7</v>
      </c>
      <c r="D137" s="456" t="str">
        <f>orcamento!C136</f>
        <v>COTACAO</v>
      </c>
      <c r="E137" s="457" t="str">
        <f>orcamento!B136</f>
        <v>TAB 04.01</v>
      </c>
      <c r="F137" s="458">
        <v>46204</v>
      </c>
      <c r="G137" s="459" t="str">
        <f>orcamento!D136</f>
        <v>TAXA PARA BOTA FORA</v>
      </c>
      <c r="H137" s="460">
        <f>orcamento!F136</f>
        <v>32.46</v>
      </c>
      <c r="I137" s="460" t="str">
        <f>orcamento!E136</f>
        <v>M3</v>
      </c>
      <c r="J137" s="460">
        <f>orcamento!K136</f>
        <v>11.5</v>
      </c>
      <c r="K137" s="461">
        <f t="shared" si="1"/>
        <v>373.29</v>
      </c>
      <c r="L137" s="462">
        <f>orcamento!J136</f>
        <v>0.16980000000000001</v>
      </c>
      <c r="M137" s="462">
        <v>1.1194999999999999</v>
      </c>
    </row>
    <row r="138" spans="1:13" x14ac:dyDescent="0.3">
      <c r="A138" s="392"/>
      <c r="B138" s="454"/>
      <c r="C138" s="455"/>
      <c r="D138" s="456"/>
      <c r="E138" s="457"/>
      <c r="F138" s="458"/>
      <c r="G138" s="459"/>
      <c r="H138" s="460"/>
      <c r="I138" s="460"/>
      <c r="J138" s="460"/>
      <c r="K138" s="461"/>
      <c r="L138" s="462"/>
      <c r="M138" s="462"/>
    </row>
    <row r="139" spans="1:13" x14ac:dyDescent="0.3">
      <c r="A139" s="392">
        <v>1</v>
      </c>
      <c r="B139" s="454">
        <f>IF(AND(G139&lt;&gt;"",H139&gt;0,I139&lt;&gt;"",J139&lt;&gt;0,K139&lt;&gt;0),COUNT($B$11:B138)+1,"")</f>
        <v>111</v>
      </c>
      <c r="C139" s="455" t="str">
        <f>orcamento!A138</f>
        <v>12.1</v>
      </c>
      <c r="D139" s="456" t="str">
        <f>orcamento!C138</f>
        <v>SINAPI</v>
      </c>
      <c r="E139" s="457">
        <f>orcamento!B138</f>
        <v>90106</v>
      </c>
      <c r="F139" s="458">
        <v>46204</v>
      </c>
      <c r="G139" s="459" t="str">
        <f>orcamento!D138</f>
        <v>ESCAVAÇÃO MECANIZADA DE VALA COM PROFUNDIDADE ATÉ 1,5 M (MÉDIA MONTANTE E JUSANTE/UMA COMPOSIÇÃO POR TRECHO), RETROESCAV. (0,26 M3), LARGURA DE 0,8 M A 1,5 M, EM SOLO DE 1A CATEGORIA, LOCAIS COM BAIXO NÍVEL DE INTERFERÊNCIA. AF_09/2024</v>
      </c>
      <c r="H139" s="460">
        <f>orcamento!F138</f>
        <v>389.52</v>
      </c>
      <c r="I139" s="460" t="str">
        <f>orcamento!E138</f>
        <v>M3</v>
      </c>
      <c r="J139" s="460">
        <f>orcamento!K138</f>
        <v>10.78</v>
      </c>
      <c r="K139" s="461">
        <f t="shared" si="1"/>
        <v>4199.03</v>
      </c>
      <c r="L139" s="462">
        <f>orcamento!J138</f>
        <v>0.24229999999999999</v>
      </c>
      <c r="M139" s="462">
        <v>1.1194999999999999</v>
      </c>
    </row>
    <row r="140" spans="1:13" x14ac:dyDescent="0.3">
      <c r="A140" s="392">
        <v>1</v>
      </c>
      <c r="B140" s="454">
        <f>IF(AND(G140&lt;&gt;"",H140&gt;0,I140&lt;&gt;"",J140&lt;&gt;0,K140&lt;&gt;0),COUNT($B$11:B139)+1,"")</f>
        <v>112</v>
      </c>
      <c r="C140" s="455" t="str">
        <f>orcamento!A139</f>
        <v>12.2</v>
      </c>
      <c r="D140" s="456" t="str">
        <f>orcamento!C139</f>
        <v>SINAPI</v>
      </c>
      <c r="E140" s="457">
        <f>orcamento!B139</f>
        <v>101582</v>
      </c>
      <c r="F140" s="458">
        <v>46204</v>
      </c>
      <c r="G140" s="459" t="str">
        <f>orcamento!D139</f>
        <v>ESCORAMENTO DE VALA, TIPO CONTÍNUO, COM PROFUNDIDADE DE 0 A 1,5 M, LARGURA MENOR QUE 1,5 M. AF_01/2026</v>
      </c>
      <c r="H140" s="460">
        <f>orcamento!F139</f>
        <v>98.36</v>
      </c>
      <c r="I140" s="460" t="str">
        <f>orcamento!E139</f>
        <v>M2</v>
      </c>
      <c r="J140" s="460">
        <f>orcamento!K139</f>
        <v>91.25</v>
      </c>
      <c r="K140" s="461">
        <f t="shared" si="1"/>
        <v>8975.35</v>
      </c>
      <c r="L140" s="462">
        <f>orcamento!J139</f>
        <v>0.24229999999999999</v>
      </c>
      <c r="M140" s="462">
        <v>1.1194999999999999</v>
      </c>
    </row>
    <row r="141" spans="1:13" x14ac:dyDescent="0.3">
      <c r="A141" s="392">
        <v>1</v>
      </c>
      <c r="B141" s="454">
        <f>IF(AND(G141&lt;&gt;"",H141&gt;0,I141&lt;&gt;"",J141&lt;&gt;0,K141&lt;&gt;0),COUNT($B$11:B140)+1,"")</f>
        <v>113</v>
      </c>
      <c r="C141" s="455" t="str">
        <f>orcamento!A140</f>
        <v>12.3</v>
      </c>
      <c r="D141" s="456" t="str">
        <f>orcamento!C140</f>
        <v>SINAPI</v>
      </c>
      <c r="E141" s="457">
        <f>orcamento!B140</f>
        <v>101623</v>
      </c>
      <c r="F141" s="458">
        <v>46204</v>
      </c>
      <c r="G141" s="459" t="str">
        <f>orcamento!D140</f>
        <v>PREPARO DE FUNDO DE VALA COM LARGURA MENOR QUE 1,5 M, COM CAMADA DE BRITA, LANÇAMENTO MECANIZADO. AF_01/2026</v>
      </c>
      <c r="H141" s="460">
        <f>orcamento!F140</f>
        <v>26.810000000000002</v>
      </c>
      <c r="I141" s="460" t="str">
        <f>orcamento!E140</f>
        <v>M3</v>
      </c>
      <c r="J141" s="460">
        <f>orcamento!K140</f>
        <v>372.17999999999995</v>
      </c>
      <c r="K141" s="461">
        <f t="shared" ref="K141:K193" si="2">IFERROR(IF(H141*J141&lt;&gt;0,ROUND(ROUND(H141,4)*ROUND(J141,4),2),""),"")</f>
        <v>9978.15</v>
      </c>
      <c r="L141" s="462">
        <f>orcamento!J140</f>
        <v>0.24229999999999999</v>
      </c>
      <c r="M141" s="462">
        <v>1.1194999999999999</v>
      </c>
    </row>
    <row r="142" spans="1:13" x14ac:dyDescent="0.3">
      <c r="A142" s="392">
        <v>1</v>
      </c>
      <c r="B142" s="454">
        <f>IF(AND(G142&lt;&gt;"",H142&gt;0,I142&lt;&gt;"",J142&lt;&gt;0,K142&lt;&gt;0),COUNT($B$11:B141)+1,"")</f>
        <v>114</v>
      </c>
      <c r="C142" s="455" t="str">
        <f>orcamento!A141</f>
        <v>12.4</v>
      </c>
      <c r="D142" s="456" t="str">
        <f>orcamento!C141</f>
        <v>COMPOSICAO_PROPRIA</v>
      </c>
      <c r="E142" s="457" t="str">
        <f>orcamento!B141</f>
        <v>CCU 33</v>
      </c>
      <c r="F142" s="458">
        <v>46204</v>
      </c>
      <c r="G142" s="459" t="str">
        <f>orcamento!D141</f>
        <v>EXECUÇÃO DE RADIER, ESPESSURA DE 10 CM, FCK = 30 MPA, COM USO DE FORMAS EM MADEIRA SERRADA</v>
      </c>
      <c r="H142" s="460">
        <f>orcamento!F141</f>
        <v>10.220000000000001</v>
      </c>
      <c r="I142" s="460" t="str">
        <f>orcamento!E141</f>
        <v>M2</v>
      </c>
      <c r="J142" s="460">
        <f>orcamento!K141</f>
        <v>220.48000000000002</v>
      </c>
      <c r="K142" s="461">
        <f t="shared" si="2"/>
        <v>2253.31</v>
      </c>
      <c r="L142" s="462">
        <f>orcamento!J141</f>
        <v>0.24229999999999999</v>
      </c>
      <c r="M142" s="462">
        <v>1.1194999999999999</v>
      </c>
    </row>
    <row r="143" spans="1:13" x14ac:dyDescent="0.3">
      <c r="A143" s="392">
        <v>1</v>
      </c>
      <c r="B143" s="454">
        <f>IF(AND(G143&lt;&gt;"",H143&gt;0,I143&lt;&gt;"",J143&lt;&gt;0,K143&lt;&gt;0),COUNT($B$11:B142)+1,"")</f>
        <v>115</v>
      </c>
      <c r="C143" s="455" t="str">
        <f>orcamento!A142</f>
        <v>12.5</v>
      </c>
      <c r="D143" s="456" t="str">
        <f>orcamento!C142</f>
        <v>COMPOSICAO_PROPRIA</v>
      </c>
      <c r="E143" s="457" t="str">
        <f>orcamento!B142</f>
        <v>CCU 34</v>
      </c>
      <c r="F143" s="458">
        <v>46204</v>
      </c>
      <c r="G143" s="459" t="str">
        <f>orcamento!D142</f>
        <v>ATERRO MECANIZADO DE VALA COM RETROESCAVADEIRA, COM BRITA, EXCLUSO CARGA/DESCARGA E TRANSPORTE</v>
      </c>
      <c r="H143" s="460">
        <f>orcamento!F142</f>
        <v>46.92</v>
      </c>
      <c r="I143" s="460" t="str">
        <f>orcamento!E142</f>
        <v>M3</v>
      </c>
      <c r="J143" s="460">
        <f>orcamento!K142</f>
        <v>183.74</v>
      </c>
      <c r="K143" s="461">
        <f t="shared" si="2"/>
        <v>8621.08</v>
      </c>
      <c r="L143" s="462">
        <f>orcamento!J142</f>
        <v>0.24229999999999999</v>
      </c>
      <c r="M143" s="462">
        <v>1.1194999999999999</v>
      </c>
    </row>
    <row r="144" spans="1:13" x14ac:dyDescent="0.3">
      <c r="A144" s="392">
        <v>1</v>
      </c>
      <c r="B144" s="454">
        <f>IF(AND(G144&lt;&gt;"",H144&gt;0,I144&lt;&gt;"",J144&lt;&gt;0,K144&lt;&gt;0),COUNT($B$11:B143)+1,"")</f>
        <v>116</v>
      </c>
      <c r="C144" s="455" t="str">
        <f>orcamento!A143</f>
        <v>12.6</v>
      </c>
      <c r="D144" s="456" t="str">
        <f>orcamento!C143</f>
        <v>SINAPI</v>
      </c>
      <c r="E144" s="457">
        <f>orcamento!B143</f>
        <v>104734</v>
      </c>
      <c r="F144" s="458">
        <v>46204</v>
      </c>
      <c r="G144" s="459" t="str">
        <f>orcamento!D143</f>
        <v>REATERRO MECANIZADO DE VALA COM RETROESCAVADEIRA (CAPACIDADE DA CAÇAMBA DA RETRO: 0,26 M³/POTÊNCIA: 88 HP), LARGURA DE 0,8 A 1,5 M, PROFUNDIDADE ATÉ 1,5 M, COM SOLO (SEM SUBSTITUIÇÃO) DE 1ª CATEGORIA, COM PLACA VIBRATÓRIA. AF_08/2023</v>
      </c>
      <c r="H144" s="460">
        <f>orcamento!F143</f>
        <v>239.43</v>
      </c>
      <c r="I144" s="460" t="str">
        <f>orcamento!E143</f>
        <v>M3</v>
      </c>
      <c r="J144" s="460">
        <f>orcamento!K143</f>
        <v>18.62</v>
      </c>
      <c r="K144" s="461">
        <f t="shared" si="2"/>
        <v>4458.1899999999996</v>
      </c>
      <c r="L144" s="462">
        <f>orcamento!J143</f>
        <v>0.24229999999999999</v>
      </c>
      <c r="M144" s="462">
        <v>1.1194999999999999</v>
      </c>
    </row>
    <row r="145" spans="1:13" x14ac:dyDescent="0.3">
      <c r="A145" s="392">
        <v>1</v>
      </c>
      <c r="B145" s="454">
        <f>IF(AND(G145&lt;&gt;"",H145&gt;0,I145&lt;&gt;"",J145&lt;&gt;0,K145&lt;&gt;0),COUNT($B$11:B144)+1,"")</f>
        <v>117</v>
      </c>
      <c r="C145" s="455" t="str">
        <f>orcamento!A144</f>
        <v>12.7</v>
      </c>
      <c r="D145" s="456" t="str">
        <f>orcamento!C144</f>
        <v>SINAPI</v>
      </c>
      <c r="E145" s="457">
        <f>orcamento!B144</f>
        <v>100978</v>
      </c>
      <c r="F145" s="458">
        <v>46204</v>
      </c>
      <c r="G145" s="459" t="str">
        <f>orcamento!D144</f>
        <v>CARGA, MANOBRA E DESCARGA DE SOLOS E MATERIAIS GRANULARES EM CAMINHÃO BASCULANTE 10 M³ - CARGA COM ESCAVADEIRA HIDRÁULICA (CAÇAMBA DE 1,20 M³ / 155 HP) E DESCARGA LIVRE (UNIDADE: M3). AF_02/2026</v>
      </c>
      <c r="H145" s="460">
        <f>orcamento!F144</f>
        <v>568</v>
      </c>
      <c r="I145" s="460" t="str">
        <f>orcamento!E144</f>
        <v>M3</v>
      </c>
      <c r="J145" s="460">
        <f>orcamento!K144</f>
        <v>9.2200000000000006</v>
      </c>
      <c r="K145" s="461">
        <f t="shared" si="2"/>
        <v>5236.96</v>
      </c>
      <c r="L145" s="462">
        <f>orcamento!J144</f>
        <v>0.24229999999999999</v>
      </c>
      <c r="M145" s="462">
        <v>1.1194999999999999</v>
      </c>
    </row>
    <row r="146" spans="1:13" x14ac:dyDescent="0.3">
      <c r="A146" s="392">
        <v>1</v>
      </c>
      <c r="B146" s="454">
        <f>IF(AND(G146&lt;&gt;"",H146&gt;0,I146&lt;&gt;"",J146&lt;&gt;0,K146&lt;&gt;0),COUNT($B$11:B145)+1,"")</f>
        <v>118</v>
      </c>
      <c r="C146" s="455" t="str">
        <f>orcamento!A145</f>
        <v>12.8</v>
      </c>
      <c r="D146" s="456" t="str">
        <f>orcamento!C145</f>
        <v>SINAPI</v>
      </c>
      <c r="E146" s="457">
        <f>orcamento!B145</f>
        <v>95875</v>
      </c>
      <c r="F146" s="458">
        <v>46204</v>
      </c>
      <c r="G146" s="459" t="str">
        <f>orcamento!D145</f>
        <v>TRANSPORTE COM CAMINHÃO BASCULANTE DE 10 M³, EM VIA URBANA PAVIMENTADA, DMT ATÉ 30 KM (UNIDADE: M3XKM). AF_02/2026</v>
      </c>
      <c r="H146" s="460">
        <f>orcamento!F145</f>
        <v>1773.52</v>
      </c>
      <c r="I146" s="460" t="str">
        <f>orcamento!E145</f>
        <v>M3XKM</v>
      </c>
      <c r="J146" s="460">
        <f>orcamento!K145</f>
        <v>3.52</v>
      </c>
      <c r="K146" s="461">
        <f t="shared" si="2"/>
        <v>6242.79</v>
      </c>
      <c r="L146" s="462">
        <f>orcamento!J145</f>
        <v>0.24229999999999999</v>
      </c>
      <c r="M146" s="462">
        <v>1.1194999999999999</v>
      </c>
    </row>
    <row r="147" spans="1:13" x14ac:dyDescent="0.3">
      <c r="A147" s="392">
        <v>1</v>
      </c>
      <c r="B147" s="454">
        <f>IF(AND(G147&lt;&gt;"",H147&gt;0,I147&lt;&gt;"",J147&lt;&gt;0,K147&lt;&gt;0),COUNT($B$11:B146)+1,"")</f>
        <v>119</v>
      </c>
      <c r="C147" s="455" t="str">
        <f>orcamento!A146</f>
        <v>12.9</v>
      </c>
      <c r="D147" s="456" t="str">
        <f>orcamento!C146</f>
        <v>COTACAO</v>
      </c>
      <c r="E147" s="457" t="str">
        <f>orcamento!B146</f>
        <v>TAB 04.01</v>
      </c>
      <c r="F147" s="458">
        <v>46204</v>
      </c>
      <c r="G147" s="459" t="str">
        <f>orcamento!D146</f>
        <v>TAXA PARA BOTA FORA</v>
      </c>
      <c r="H147" s="460">
        <f>orcamento!F146</f>
        <v>187.61</v>
      </c>
      <c r="I147" s="460" t="str">
        <f>orcamento!E146</f>
        <v>M3</v>
      </c>
      <c r="J147" s="460">
        <f>orcamento!K146</f>
        <v>11.5</v>
      </c>
      <c r="K147" s="461">
        <f t="shared" si="2"/>
        <v>2157.52</v>
      </c>
      <c r="L147" s="462">
        <f>orcamento!J146</f>
        <v>0.16980000000000001</v>
      </c>
      <c r="M147" s="462">
        <v>1.1194999999999999</v>
      </c>
    </row>
    <row r="148" spans="1:13" x14ac:dyDescent="0.3">
      <c r="A148" s="392"/>
      <c r="B148" s="454"/>
      <c r="C148" s="455"/>
      <c r="D148" s="456"/>
      <c r="E148" s="457"/>
      <c r="F148" s="458"/>
      <c r="G148" s="459"/>
      <c r="H148" s="460"/>
      <c r="I148" s="460"/>
      <c r="J148" s="460"/>
      <c r="K148" s="461"/>
      <c r="L148" s="462"/>
      <c r="M148" s="462"/>
    </row>
    <row r="149" spans="1:13" x14ac:dyDescent="0.3">
      <c r="A149" s="392">
        <v>1</v>
      </c>
      <c r="B149" s="454">
        <f>IF(AND(G149&lt;&gt;"",H149&gt;0,I149&lt;&gt;"",J149&lt;&gt;0,K149&lt;&gt;0),COUNT($B$11:B148)+1,"")</f>
        <v>120</v>
      </c>
      <c r="C149" s="455" t="str">
        <f>orcamento!A148</f>
        <v>13.1</v>
      </c>
      <c r="D149" s="456" t="str">
        <f>orcamento!C148</f>
        <v>COMPOSICAO_PROPRIA</v>
      </c>
      <c r="E149" s="457" t="str">
        <f>orcamento!B148</f>
        <v>CCU 50</v>
      </c>
      <c r="F149" s="458">
        <v>46204</v>
      </c>
      <c r="G149" s="459" t="str">
        <f>orcamento!D148</f>
        <v>TUBO DE CONCRETO ARMADO PARA AGUAS PLUVIAIS, CLASSE PA-3, COM ENCAIXE PONTA E BOLSA, COM ENCAIXE PARA ANEL DE VEDAÇÃO, DIAMETRO NOMINAL DE 300 MM - FORNECIMENTO</v>
      </c>
      <c r="H149" s="460">
        <f>orcamento!F148</f>
        <v>22.71</v>
      </c>
      <c r="I149" s="460" t="str">
        <f>orcamento!E148</f>
        <v>M</v>
      </c>
      <c r="J149" s="460">
        <f>orcamento!K148</f>
        <v>232.76</v>
      </c>
      <c r="K149" s="461">
        <f t="shared" si="2"/>
        <v>5285.98</v>
      </c>
      <c r="L149" s="462">
        <f>orcamento!J148</f>
        <v>0.16980000000000001</v>
      </c>
      <c r="M149" s="462">
        <v>1.1194999999999999</v>
      </c>
    </row>
    <row r="150" spans="1:13" x14ac:dyDescent="0.3">
      <c r="A150" s="392">
        <v>1</v>
      </c>
      <c r="B150" s="454">
        <f>IF(AND(G150&lt;&gt;"",H150&gt;0,I150&lt;&gt;"",J150&lt;&gt;0,K150&lt;&gt;0),COUNT($B$11:B149)+1,"")</f>
        <v>121</v>
      </c>
      <c r="C150" s="455" t="str">
        <f>orcamento!A149</f>
        <v>13.2</v>
      </c>
      <c r="D150" s="456" t="str">
        <f>orcamento!C149</f>
        <v>COMPOSICAO_PROPRIA</v>
      </c>
      <c r="E150" s="457" t="str">
        <f>orcamento!B149</f>
        <v>CCU 51</v>
      </c>
      <c r="F150" s="458">
        <v>46204</v>
      </c>
      <c r="G150" s="459" t="str">
        <f>orcamento!D149</f>
        <v>TUBO DE CONCRETO ARMADO PARA AGUAS PLUVIAIS, CLASSE PA-3, COM ENCAIXE PONTA E BOLSA, COM ENCAIXE PARA ANEL DE VEDAÇÃO, DIAMETRO NOMINAL DE 400 MM - FORNECIMENTO</v>
      </c>
      <c r="H150" s="460">
        <f>orcamento!F149</f>
        <v>71.430000000000007</v>
      </c>
      <c r="I150" s="460" t="str">
        <f>orcamento!E149</f>
        <v>M</v>
      </c>
      <c r="J150" s="460">
        <f>orcamento!K149</f>
        <v>259.14999999999998</v>
      </c>
      <c r="K150" s="461">
        <f t="shared" si="2"/>
        <v>18511.080000000002</v>
      </c>
      <c r="L150" s="462">
        <f>orcamento!J149</f>
        <v>0.16980000000000001</v>
      </c>
      <c r="M150" s="462">
        <v>1.1194999999999999</v>
      </c>
    </row>
    <row r="151" spans="1:13" x14ac:dyDescent="0.3">
      <c r="A151" s="392">
        <v>1</v>
      </c>
      <c r="B151" s="454">
        <f>IF(AND(G151&lt;&gt;"",H151&gt;0,I151&lt;&gt;"",J151&lt;&gt;0,K151&lt;&gt;0),COUNT($B$11:B150)+1,"")</f>
        <v>122</v>
      </c>
      <c r="C151" s="455" t="str">
        <f>orcamento!A150</f>
        <v>13.3</v>
      </c>
      <c r="D151" s="456" t="str">
        <f>orcamento!C150</f>
        <v>COMPOSICAO_PROPRIA</v>
      </c>
      <c r="E151" s="457" t="str">
        <f>orcamento!B150</f>
        <v>CCU 52</v>
      </c>
      <c r="F151" s="458">
        <v>46204</v>
      </c>
      <c r="G151" s="459" t="str">
        <f>orcamento!D150</f>
        <v>TUBO DE CONCRETO ARMADO PARA AGUAS PLUVIAIS, CLASSE PA-3, COM ENCAIXE PONTA E BOLSA, COM ENCAIXE PARA ANEL DE VEDAÇÃO, DIAMETRO NOMINAL DE 500 MM - FORNECIMENTO</v>
      </c>
      <c r="H151" s="460">
        <f>orcamento!F150</f>
        <v>27.7</v>
      </c>
      <c r="I151" s="460" t="str">
        <f>orcamento!E150</f>
        <v>M</v>
      </c>
      <c r="J151" s="460">
        <f>orcamento!K150</f>
        <v>349.16</v>
      </c>
      <c r="K151" s="461">
        <f t="shared" si="2"/>
        <v>9671.73</v>
      </c>
      <c r="L151" s="462">
        <f>orcamento!J150</f>
        <v>0.16980000000000001</v>
      </c>
      <c r="M151" s="462">
        <v>1.1194999999999999</v>
      </c>
    </row>
    <row r="152" spans="1:13" x14ac:dyDescent="0.3">
      <c r="A152" s="392">
        <v>1</v>
      </c>
      <c r="B152" s="454">
        <f>IF(AND(G152&lt;&gt;"",H152&gt;0,I152&lt;&gt;"",J152&lt;&gt;0,K152&lt;&gt;0),COUNT($B$11:B151)+1,"")</f>
        <v>123</v>
      </c>
      <c r="C152" s="455" t="str">
        <f>orcamento!A151</f>
        <v>13.4</v>
      </c>
      <c r="D152" s="456" t="str">
        <f>orcamento!C151</f>
        <v>COMPOSICAO_PROPRIA</v>
      </c>
      <c r="E152" s="457" t="str">
        <f>orcamento!B151</f>
        <v>CCU 53</v>
      </c>
      <c r="F152" s="458">
        <v>46204</v>
      </c>
      <c r="G152" s="459" t="str">
        <f>orcamento!D151</f>
        <v>TUBO DE CONCRETO ARMADO PARA AGUAS PLUVIAIS, CLASSE PA-3, COM ENCAIXE PONTA E BOLSA, COM ENCAIXE PARA ANEL DE VEDAÇÃO, DIAMETRO NOMINAL DE 800 MM - FORNECIMENTO</v>
      </c>
      <c r="H152" s="460">
        <f>orcamento!F151</f>
        <v>88.1</v>
      </c>
      <c r="I152" s="460" t="str">
        <f>orcamento!E151</f>
        <v>M</v>
      </c>
      <c r="J152" s="460">
        <f>orcamento!K151</f>
        <v>758.9</v>
      </c>
      <c r="K152" s="461">
        <f t="shared" si="2"/>
        <v>66859.09</v>
      </c>
      <c r="L152" s="462">
        <f>orcamento!J151</f>
        <v>0.16980000000000001</v>
      </c>
      <c r="M152" s="462">
        <v>1.1194999999999999</v>
      </c>
    </row>
    <row r="153" spans="1:13" x14ac:dyDescent="0.3">
      <c r="A153" s="392">
        <v>1</v>
      </c>
      <c r="B153" s="454">
        <f>IF(AND(G153&lt;&gt;"",H153&gt;0,I153&lt;&gt;"",J153&lt;&gt;0,K153&lt;&gt;0),COUNT($B$11:B152)+1,"")</f>
        <v>124</v>
      </c>
      <c r="C153" s="455" t="str">
        <f>orcamento!A152</f>
        <v>13.5</v>
      </c>
      <c r="D153" s="456" t="str">
        <f>orcamento!C152</f>
        <v>SINAPI</v>
      </c>
      <c r="E153" s="457">
        <f>orcamento!B152</f>
        <v>101013</v>
      </c>
      <c r="F153" s="458">
        <v>46204</v>
      </c>
      <c r="G153" s="459" t="str">
        <f>orcamento!D152</f>
        <v>CARGA, MANOBRA E DESCARGA DE TUBOS DE CONCRETO, DN MENOR OU IGUAL A 300 MM, EM CAMINHÃO CARROCERIA COM GUINDAUTO (MUNCK) 11,7 TM. AF_02/2026</v>
      </c>
      <c r="H153" s="460">
        <f>orcamento!F152</f>
        <v>2.95</v>
      </c>
      <c r="I153" s="460" t="str">
        <f>orcamento!E152</f>
        <v>T</v>
      </c>
      <c r="J153" s="460">
        <f>orcamento!K152</f>
        <v>68.91</v>
      </c>
      <c r="K153" s="461">
        <f t="shared" si="2"/>
        <v>203.28</v>
      </c>
      <c r="L153" s="462">
        <f>orcamento!J152</f>
        <v>0.24229999999999999</v>
      </c>
      <c r="M153" s="462">
        <v>1.1194999999999999</v>
      </c>
    </row>
    <row r="154" spans="1:13" x14ac:dyDescent="0.3">
      <c r="A154" s="392">
        <v>1</v>
      </c>
      <c r="B154" s="454">
        <f>IF(AND(G154&lt;&gt;"",H154&gt;0,I154&lt;&gt;"",J154&lt;&gt;0,K154&lt;&gt;0),COUNT($B$11:B153)+1,"")</f>
        <v>125</v>
      </c>
      <c r="C154" s="455" t="str">
        <f>orcamento!A153</f>
        <v>13.6</v>
      </c>
      <c r="D154" s="456" t="str">
        <f>orcamento!C153</f>
        <v>SINAPI</v>
      </c>
      <c r="E154" s="457">
        <f>orcamento!B153</f>
        <v>101014</v>
      </c>
      <c r="F154" s="458">
        <v>46204</v>
      </c>
      <c r="G154" s="459" t="str">
        <f>orcamento!D153</f>
        <v>CARGA, MANOBRA E DESCARGA DE TUBOS DE CONCRETO, DN 400 MM, EM CAMINHÃO CARROCERIA COM GUINDAUTO (MUNCK) 11,7 TM. AF_02/2026</v>
      </c>
      <c r="H154" s="460">
        <f>orcamento!F153</f>
        <v>10.92</v>
      </c>
      <c r="I154" s="460" t="str">
        <f>orcamento!E153</f>
        <v>T</v>
      </c>
      <c r="J154" s="460">
        <f>orcamento!K153</f>
        <v>63.05</v>
      </c>
      <c r="K154" s="461">
        <f t="shared" si="2"/>
        <v>688.51</v>
      </c>
      <c r="L154" s="462">
        <f>orcamento!J153</f>
        <v>0.24229999999999999</v>
      </c>
      <c r="M154" s="462">
        <v>1.1194999999999999</v>
      </c>
    </row>
    <row r="155" spans="1:13" x14ac:dyDescent="0.3">
      <c r="A155" s="392">
        <v>1</v>
      </c>
      <c r="B155" s="454">
        <f>IF(AND(G155&lt;&gt;"",H155&gt;0,I155&lt;&gt;"",J155&lt;&gt;0,K155&lt;&gt;0),COUNT($B$11:B154)+1,"")</f>
        <v>126</v>
      </c>
      <c r="C155" s="455" t="str">
        <f>orcamento!A154</f>
        <v>13.7</v>
      </c>
      <c r="D155" s="456" t="str">
        <f>orcamento!C154</f>
        <v>SINAPI</v>
      </c>
      <c r="E155" s="457">
        <f>orcamento!B154</f>
        <v>101015</v>
      </c>
      <c r="F155" s="458">
        <v>46204</v>
      </c>
      <c r="G155" s="459" t="str">
        <f>orcamento!D154</f>
        <v>CARGA, MANOBRA E DESCARGA DE TUBOS DE CONCRETO, DN 500 MM, EM CAMINHÃO CARROCERIA COM GUINDAUTO (MUNCK) 11,7 TM. AF_02/2026</v>
      </c>
      <c r="H155" s="460">
        <f>orcamento!F154</f>
        <v>6.64</v>
      </c>
      <c r="I155" s="460" t="str">
        <f>orcamento!E154</f>
        <v>T</v>
      </c>
      <c r="J155" s="460">
        <f>orcamento!K154</f>
        <v>51.68</v>
      </c>
      <c r="K155" s="461">
        <f t="shared" si="2"/>
        <v>343.16</v>
      </c>
      <c r="L155" s="462">
        <f>orcamento!J154</f>
        <v>0.24229999999999999</v>
      </c>
      <c r="M155" s="462">
        <v>1.1194999999999999</v>
      </c>
    </row>
    <row r="156" spans="1:13" x14ac:dyDescent="0.3">
      <c r="A156" s="392">
        <v>1</v>
      </c>
      <c r="B156" s="454">
        <f>IF(AND(G156&lt;&gt;"",H156&gt;0,I156&lt;&gt;"",J156&lt;&gt;0,K156&lt;&gt;0),COUNT($B$11:B155)+1,"")</f>
        <v>127</v>
      </c>
      <c r="C156" s="455" t="str">
        <f>orcamento!A155</f>
        <v>13.8</v>
      </c>
      <c r="D156" s="456" t="str">
        <f>orcamento!C155</f>
        <v>SINAPI</v>
      </c>
      <c r="E156" s="457">
        <f>orcamento!B155</f>
        <v>101465</v>
      </c>
      <c r="F156" s="458">
        <v>46204</v>
      </c>
      <c r="G156" s="459" t="str">
        <f>orcamento!D155</f>
        <v>CARGA, MANOBRA E DESCARGA DE TUBOS DE CONCRETO, DN 800 MM, EM CAMINHÃO CARROCERIA COM GUINDAUTO (MUNCK) 11,7 TM. AF_02/2026</v>
      </c>
      <c r="H156" s="460">
        <f>orcamento!F155</f>
        <v>39.200000000000003</v>
      </c>
      <c r="I156" s="460" t="str">
        <f>orcamento!E155</f>
        <v>T</v>
      </c>
      <c r="J156" s="460">
        <f>orcamento!K155</f>
        <v>40.28</v>
      </c>
      <c r="K156" s="461">
        <f t="shared" si="2"/>
        <v>1578.98</v>
      </c>
      <c r="L156" s="462">
        <f>orcamento!J155</f>
        <v>0.24229999999999999</v>
      </c>
      <c r="M156" s="462">
        <v>1.1194999999999999</v>
      </c>
    </row>
    <row r="157" spans="1:13" x14ac:dyDescent="0.3">
      <c r="A157" s="392">
        <v>1</v>
      </c>
      <c r="B157" s="454">
        <f>IF(AND(G157&lt;&gt;"",H157&gt;0,I157&lt;&gt;"",J157&lt;&gt;0,K157&lt;&gt;0),COUNT($B$11:B156)+1,"")</f>
        <v>128</v>
      </c>
      <c r="C157" s="455" t="str">
        <f>orcamento!A156</f>
        <v>13.9</v>
      </c>
      <c r="D157" s="456" t="str">
        <f>orcamento!C156</f>
        <v>SINAPI</v>
      </c>
      <c r="E157" s="457">
        <f>orcamento!B156</f>
        <v>100952</v>
      </c>
      <c r="F157" s="458">
        <v>46204</v>
      </c>
      <c r="G157" s="459" t="str">
        <f>orcamento!D156</f>
        <v>TRANSPORTE COM CAMINHÃO CARROCERIA COM GUINDAUTO (MUNCK), MOMENTO MÁXIMO DE CARGA 11,7 TM, EM VIA URBANA PAVIMENTADA, DMT ATÉ 30KM (UNIDADE: TXKM). AF_02/2026</v>
      </c>
      <c r="H157" s="460">
        <f>orcamento!F156</f>
        <v>961.33</v>
      </c>
      <c r="I157" s="460" t="str">
        <f>orcamento!E156</f>
        <v>TXKM</v>
      </c>
      <c r="J157" s="460">
        <f>orcamento!K156</f>
        <v>3.96</v>
      </c>
      <c r="K157" s="461">
        <f t="shared" si="2"/>
        <v>3806.87</v>
      </c>
      <c r="L157" s="462">
        <f>orcamento!J156</f>
        <v>0.24229999999999999</v>
      </c>
      <c r="M157" s="462">
        <v>1.1194999999999999</v>
      </c>
    </row>
    <row r="158" spans="1:13" x14ac:dyDescent="0.3">
      <c r="A158" s="392"/>
      <c r="B158" s="454"/>
      <c r="C158" s="455"/>
      <c r="D158" s="456"/>
      <c r="E158" s="457"/>
      <c r="F158" s="458"/>
      <c r="G158" s="459"/>
      <c r="H158" s="460"/>
      <c r="I158" s="460"/>
      <c r="J158" s="460"/>
      <c r="K158" s="461"/>
      <c r="L158" s="462"/>
      <c r="M158" s="462"/>
    </row>
    <row r="159" spans="1:13" x14ac:dyDescent="0.3">
      <c r="A159" s="392">
        <v>1</v>
      </c>
      <c r="B159" s="454">
        <f>IF(AND(G159&lt;&gt;"",H159&gt;0,I159&lt;&gt;"",J159&lt;&gt;0,K159&lt;&gt;0),COUNT($B$11:B158)+1,"")</f>
        <v>129</v>
      </c>
      <c r="C159" s="455" t="str">
        <f>orcamento!A158</f>
        <v>14.1</v>
      </c>
      <c r="D159" s="456" t="str">
        <f>orcamento!C158</f>
        <v>COMPOSICAO_PROPRIA</v>
      </c>
      <c r="E159" s="457" t="str">
        <f>orcamento!B158</f>
        <v>CCU 39</v>
      </c>
      <c r="F159" s="458">
        <v>46204</v>
      </c>
      <c r="G159" s="459" t="str">
        <f>orcamento!D158</f>
        <v>TUBO CONCRETO ARMADO AGUAS PLUVIAIS, CLASSE PA-3, ENCAIXE PONTA E BOLSA, DN 300 MM - ASSENAMENTO, INCLUSO ANEL DE VEDAÇÃO</v>
      </c>
      <c r="H159" s="460">
        <f>orcamento!F158</f>
        <v>22.71</v>
      </c>
      <c r="I159" s="460" t="str">
        <f>orcamento!E158</f>
        <v>M</v>
      </c>
      <c r="J159" s="460">
        <f>orcamento!K158</f>
        <v>60.570000000000007</v>
      </c>
      <c r="K159" s="461">
        <f t="shared" si="2"/>
        <v>1375.54</v>
      </c>
      <c r="L159" s="462">
        <f>orcamento!J158</f>
        <v>0.24229999999999999</v>
      </c>
      <c r="M159" s="462">
        <v>1.1194999999999999</v>
      </c>
    </row>
    <row r="160" spans="1:13" x14ac:dyDescent="0.3">
      <c r="A160" s="392">
        <v>1</v>
      </c>
      <c r="B160" s="454">
        <f>IF(AND(G160&lt;&gt;"",H160&gt;0,I160&lt;&gt;"",J160&lt;&gt;0,K160&lt;&gt;0),COUNT($B$11:B159)+1,"")</f>
        <v>130</v>
      </c>
      <c r="C160" s="455" t="str">
        <f>orcamento!A159</f>
        <v>14.2</v>
      </c>
      <c r="D160" s="456" t="str">
        <f>orcamento!C159</f>
        <v>COMPOSICAO_PROPRIA</v>
      </c>
      <c r="E160" s="457" t="str">
        <f>orcamento!B159</f>
        <v>CCU 40</v>
      </c>
      <c r="F160" s="458">
        <v>46204</v>
      </c>
      <c r="G160" s="459" t="str">
        <f>orcamento!D159</f>
        <v>TUBO CONCRETO ARMADO AGUAS PLUVIAIS, CLASSE PA-3, ENCAIXE PONTA E BOLSA, DN 400 MM - ASSENTAMENTO, INCLUSO ANEL DE VEDAÇÃO</v>
      </c>
      <c r="H160" s="460">
        <f>orcamento!F159</f>
        <v>71.430000000000007</v>
      </c>
      <c r="I160" s="460" t="str">
        <f>orcamento!E159</f>
        <v>M</v>
      </c>
      <c r="J160" s="460">
        <f>orcamento!K159</f>
        <v>79.429999999999993</v>
      </c>
      <c r="K160" s="461">
        <f t="shared" si="2"/>
        <v>5673.68</v>
      </c>
      <c r="L160" s="462">
        <f>orcamento!J159</f>
        <v>0.24229999999999999</v>
      </c>
      <c r="M160" s="462">
        <v>1.1194999999999999</v>
      </c>
    </row>
    <row r="161" spans="1:13" x14ac:dyDescent="0.3">
      <c r="A161" s="392">
        <v>1</v>
      </c>
      <c r="B161" s="454">
        <f>IF(AND(G161&lt;&gt;"",H161&gt;0,I161&lt;&gt;"",J161&lt;&gt;0,K161&lt;&gt;0),COUNT($B$11:B160)+1,"")</f>
        <v>131</v>
      </c>
      <c r="C161" s="455" t="str">
        <f>orcamento!A160</f>
        <v>14.3</v>
      </c>
      <c r="D161" s="456" t="str">
        <f>orcamento!C160</f>
        <v>COMPOSICAO_PROPRIA</v>
      </c>
      <c r="E161" s="457" t="str">
        <f>orcamento!B160</f>
        <v>CCU 41</v>
      </c>
      <c r="F161" s="458">
        <v>46204</v>
      </c>
      <c r="G161" s="459" t="str">
        <f>orcamento!D160</f>
        <v>TUBO CONCRETO ARMADO AGUAS PLUVIAIS, CLASSE PA-3, ENCAIXE PONTA E BOLSA, DN 500 MM - ASSENTAMENTO, INCLUSO ANEL DE VEDAÇÃO</v>
      </c>
      <c r="H161" s="460">
        <f>orcamento!F160</f>
        <v>27.7</v>
      </c>
      <c r="I161" s="460" t="str">
        <f>orcamento!E160</f>
        <v>M</v>
      </c>
      <c r="J161" s="460">
        <f>orcamento!K160</f>
        <v>99.789999999999992</v>
      </c>
      <c r="K161" s="461">
        <f t="shared" si="2"/>
        <v>2764.18</v>
      </c>
      <c r="L161" s="462">
        <f>orcamento!J160</f>
        <v>0.24229999999999999</v>
      </c>
      <c r="M161" s="462">
        <v>1.1194999999999999</v>
      </c>
    </row>
    <row r="162" spans="1:13" x14ac:dyDescent="0.3">
      <c r="A162" s="392">
        <v>1</v>
      </c>
      <c r="B162" s="454">
        <f>IF(AND(G162&lt;&gt;"",H162&gt;0,I162&lt;&gt;"",J162&lt;&gt;0,K162&lt;&gt;0),COUNT($B$11:B161)+1,"")</f>
        <v>132</v>
      </c>
      <c r="C162" s="455" t="str">
        <f>orcamento!A161</f>
        <v>14.4</v>
      </c>
      <c r="D162" s="456" t="str">
        <f>orcamento!C161</f>
        <v>COMPOSICAO_PROPRIA</v>
      </c>
      <c r="E162" s="457" t="str">
        <f>orcamento!B161</f>
        <v>CCU 42</v>
      </c>
      <c r="F162" s="458">
        <v>46204</v>
      </c>
      <c r="G162" s="459" t="str">
        <f>orcamento!D161</f>
        <v>TUBO CONCRETO ARMADO AGUAS PLUVIAIS, CLASSE PA-3, ENCAIXE PONTA E BOLSA, DN 800 MM - ASSENTAMENTO, INCLUSO ANEL DE VEDAÇÃO</v>
      </c>
      <c r="H162" s="460">
        <f>orcamento!F161</f>
        <v>88.1</v>
      </c>
      <c r="I162" s="460" t="str">
        <f>orcamento!E161</f>
        <v>M</v>
      </c>
      <c r="J162" s="460">
        <f>orcamento!K161</f>
        <v>181.58999999999997</v>
      </c>
      <c r="K162" s="461">
        <f t="shared" si="2"/>
        <v>15998.08</v>
      </c>
      <c r="L162" s="462">
        <f>orcamento!J161</f>
        <v>0.24229999999999999</v>
      </c>
      <c r="M162" s="462">
        <v>1.1194999999999999</v>
      </c>
    </row>
    <row r="163" spans="1:13" x14ac:dyDescent="0.3">
      <c r="A163" s="392"/>
      <c r="B163" s="454"/>
      <c r="C163" s="455"/>
      <c r="D163" s="456"/>
      <c r="E163" s="457"/>
      <c r="F163" s="458"/>
      <c r="G163" s="459"/>
      <c r="H163" s="460"/>
      <c r="I163" s="460"/>
      <c r="J163" s="460"/>
      <c r="K163" s="461"/>
      <c r="L163" s="462"/>
      <c r="M163" s="462"/>
    </row>
    <row r="164" spans="1:13" x14ac:dyDescent="0.3">
      <c r="A164" s="392">
        <v>1</v>
      </c>
      <c r="B164" s="454">
        <f>IF(AND(G164&lt;&gt;"",H164&gt;0,I164&lt;&gt;"",J164&lt;&gt;0,K164&lt;&gt;0),COUNT($B$11:B163)+1,"")</f>
        <v>133</v>
      </c>
      <c r="C164" s="455" t="str">
        <f>orcamento!A163</f>
        <v>15.1</v>
      </c>
      <c r="D164" s="456" t="str">
        <f>orcamento!C163</f>
        <v>SINAPI</v>
      </c>
      <c r="E164" s="457">
        <f>orcamento!B163</f>
        <v>97949</v>
      </c>
      <c r="F164" s="458">
        <v>46204</v>
      </c>
      <c r="G164" s="459" t="str">
        <f>orcamento!D163</f>
        <v>CAIXA PARA BOCA DE LOBO SIMPLES RETANGULAR, EM ALVENARIA COM TIJOLOS CERÂMICOS MACIÇOS, DIMENSÕES INTERNAS: 0,6X1X1,2 M. AF_12/2020</v>
      </c>
      <c r="H164" s="460">
        <f>orcamento!F163</f>
        <v>2</v>
      </c>
      <c r="I164" s="460" t="str">
        <f>orcamento!E163</f>
        <v>UN</v>
      </c>
      <c r="J164" s="460">
        <f>orcamento!K163</f>
        <v>2497.27</v>
      </c>
      <c r="K164" s="461">
        <f t="shared" si="2"/>
        <v>4994.54</v>
      </c>
      <c r="L164" s="462">
        <f>orcamento!J163</f>
        <v>0.24229999999999999</v>
      </c>
      <c r="M164" s="462">
        <v>1.1194999999999999</v>
      </c>
    </row>
    <row r="165" spans="1:13" x14ac:dyDescent="0.3">
      <c r="A165" s="392">
        <v>1</v>
      </c>
      <c r="B165" s="454">
        <f>IF(AND(G165&lt;&gt;"",H165&gt;0,I165&lt;&gt;"",J165&lt;&gt;0,K165&lt;&gt;0),COUNT($B$11:B164)+1,"")</f>
        <v>134</v>
      </c>
      <c r="C165" s="455" t="str">
        <f>orcamento!A164</f>
        <v>15.2</v>
      </c>
      <c r="D165" s="456" t="str">
        <f>orcamento!C164</f>
        <v>SINAPI</v>
      </c>
      <c r="E165" s="457">
        <f>orcamento!B164</f>
        <v>97951</v>
      </c>
      <c r="F165" s="458">
        <v>46204</v>
      </c>
      <c r="G165" s="459" t="str">
        <f>orcamento!D164</f>
        <v>CAIXA PARA BOCA DE LOBO COMBINADA COM GRELHA RETANGULAR, EM ALVENARIA COM TIJOLOS CERÂMICOS MACIÇOS, DIMENSÕES INTERNAS: 1,3X1X1,2 M. AF_12/2020</v>
      </c>
      <c r="H165" s="460">
        <f>orcamento!F164</f>
        <v>1</v>
      </c>
      <c r="I165" s="460" t="str">
        <f>orcamento!E164</f>
        <v>UN</v>
      </c>
      <c r="J165" s="460">
        <f>orcamento!K164</f>
        <v>4072.16</v>
      </c>
      <c r="K165" s="461">
        <f t="shared" si="2"/>
        <v>4072.16</v>
      </c>
      <c r="L165" s="462">
        <f>orcamento!J164</f>
        <v>0.24229999999999999</v>
      </c>
      <c r="M165" s="462">
        <v>1.1194999999999999</v>
      </c>
    </row>
    <row r="166" spans="1:13" x14ac:dyDescent="0.3">
      <c r="A166" s="392">
        <v>1</v>
      </c>
      <c r="B166" s="454">
        <f>IF(AND(G166&lt;&gt;"",H166&gt;0,I166&lt;&gt;"",J166&lt;&gt;0,K166&lt;&gt;0),COUNT($B$11:B165)+1,"")</f>
        <v>135</v>
      </c>
      <c r="C166" s="455" t="str">
        <f>orcamento!A165</f>
        <v>15.3</v>
      </c>
      <c r="D166" s="456" t="str">
        <f>orcamento!C165</f>
        <v>COMPOSICAO_PROPRIA</v>
      </c>
      <c r="E166" s="457" t="str">
        <f>orcamento!B165</f>
        <v>CCU 61</v>
      </c>
      <c r="F166" s="458">
        <v>46204</v>
      </c>
      <c r="G166" s="459" t="str">
        <f>orcamento!D165</f>
        <v>POÇO DE VISITA TIPO A, 0,80x0,80x1,00m EM TIJOLO MACIÇO, SEM TAMPA</v>
      </c>
      <c r="H166" s="460">
        <f>orcamento!F165</f>
        <v>2</v>
      </c>
      <c r="I166" s="460" t="str">
        <f>orcamento!E165</f>
        <v>UN</v>
      </c>
      <c r="J166" s="460">
        <f>orcamento!K165</f>
        <v>1548.79</v>
      </c>
      <c r="K166" s="461">
        <f t="shared" si="2"/>
        <v>3097.58</v>
      </c>
      <c r="L166" s="462">
        <f>orcamento!J165</f>
        <v>0.24229999999999999</v>
      </c>
      <c r="M166" s="462">
        <v>1.1194999999999999</v>
      </c>
    </row>
    <row r="167" spans="1:13" x14ac:dyDescent="0.3">
      <c r="A167" s="392">
        <v>1</v>
      </c>
      <c r="B167" s="454">
        <f>IF(AND(G167&lt;&gt;"",H167&gt;0,I167&lt;&gt;"",J167&lt;&gt;0,K167&lt;&gt;0),COUNT($B$11:B166)+1,"")</f>
        <v>136</v>
      </c>
      <c r="C167" s="455" t="str">
        <f>orcamento!A166</f>
        <v>15.4</v>
      </c>
      <c r="D167" s="456" t="str">
        <f>orcamento!C166</f>
        <v>COMPOSICAO_PROPRIA</v>
      </c>
      <c r="E167" s="457" t="str">
        <f>orcamento!B166</f>
        <v>CCU 62</v>
      </c>
      <c r="F167" s="458">
        <v>46204</v>
      </c>
      <c r="G167" s="459" t="str">
        <f>orcamento!D166</f>
        <v>METRO ADICIONAL POÇO DE VISITA TIPO A, 0,80x0,80m EM TIJOLO MACIÇO</v>
      </c>
      <c r="H167" s="460">
        <f>orcamento!F166</f>
        <v>0.59</v>
      </c>
      <c r="I167" s="460" t="str">
        <f>orcamento!E166</f>
        <v>M</v>
      </c>
      <c r="J167" s="460">
        <f>orcamento!K166</f>
        <v>1470.57</v>
      </c>
      <c r="K167" s="461">
        <f t="shared" si="2"/>
        <v>867.64</v>
      </c>
      <c r="L167" s="462">
        <f>orcamento!J166</f>
        <v>0.24229999999999999</v>
      </c>
      <c r="M167" s="462">
        <v>1.1194999999999999</v>
      </c>
    </row>
    <row r="168" spans="1:13" x14ac:dyDescent="0.3">
      <c r="A168" s="392">
        <v>1</v>
      </c>
      <c r="B168" s="454">
        <f>IF(AND(G168&lt;&gt;"",H168&gt;0,I168&lt;&gt;"",J168&lt;&gt;0,K168&lt;&gt;0),COUNT($B$11:B167)+1,"")</f>
        <v>137</v>
      </c>
      <c r="C168" s="455" t="str">
        <f>orcamento!A167</f>
        <v>15.5</v>
      </c>
      <c r="D168" s="456" t="str">
        <f>orcamento!C167</f>
        <v>COMPOSICAO_PROPRIA</v>
      </c>
      <c r="E168" s="457" t="str">
        <f>orcamento!B167</f>
        <v>CCU 63</v>
      </c>
      <c r="F168" s="458">
        <v>46204</v>
      </c>
      <c r="G168" s="459" t="str">
        <f>orcamento!D167</f>
        <v>POÇO DE VISITA TIPO B, 1,00x1,00x1,50m EM TIJOLO MACIÇO, SEM TAMPA (PV 03)</v>
      </c>
      <c r="H168" s="460">
        <f>orcamento!F167</f>
        <v>1</v>
      </c>
      <c r="I168" s="460" t="str">
        <f>orcamento!E167</f>
        <v>UN</v>
      </c>
      <c r="J168" s="460">
        <f>orcamento!K167</f>
        <v>2879.5</v>
      </c>
      <c r="K168" s="461">
        <f t="shared" si="2"/>
        <v>2879.5</v>
      </c>
      <c r="L168" s="462">
        <f>orcamento!J167</f>
        <v>0.24229999999999999</v>
      </c>
      <c r="M168" s="462">
        <v>1.1194999999999999</v>
      </c>
    </row>
    <row r="169" spans="1:13" x14ac:dyDescent="0.3">
      <c r="A169" s="392">
        <v>1</v>
      </c>
      <c r="B169" s="454">
        <f>IF(AND(G169&lt;&gt;"",H169&gt;0,I169&lt;&gt;"",J169&lt;&gt;0,K169&lt;&gt;0),COUNT($B$11:B168)+1,"")</f>
        <v>138</v>
      </c>
      <c r="C169" s="455" t="str">
        <f>orcamento!A168</f>
        <v>15.6</v>
      </c>
      <c r="D169" s="456" t="str">
        <f>orcamento!C168</f>
        <v>COMPOSICAO_PROPRIA</v>
      </c>
      <c r="E169" s="457" t="str">
        <f>orcamento!B168</f>
        <v>CCU 64</v>
      </c>
      <c r="F169" s="458">
        <v>46204</v>
      </c>
      <c r="G169" s="459" t="str">
        <f>orcamento!D168</f>
        <v>POÇO DE VISITA TIPO E, 1,50x1,50x2,30m EM TIJOLO MACIÇO, SEM TAMPA (PV 04)</v>
      </c>
      <c r="H169" s="460">
        <f>orcamento!F168</f>
        <v>1</v>
      </c>
      <c r="I169" s="460" t="str">
        <f>orcamento!E168</f>
        <v>UN</v>
      </c>
      <c r="J169" s="460">
        <f>orcamento!K168</f>
        <v>3008.4000000000005</v>
      </c>
      <c r="K169" s="461">
        <f t="shared" si="2"/>
        <v>3008.4</v>
      </c>
      <c r="L169" s="462">
        <f>orcamento!J168</f>
        <v>0.24229999999999999</v>
      </c>
      <c r="M169" s="462">
        <v>1.1194999999999999</v>
      </c>
    </row>
    <row r="170" spans="1:13" x14ac:dyDescent="0.3">
      <c r="A170" s="392">
        <v>1</v>
      </c>
      <c r="B170" s="454">
        <f>IF(AND(G170&lt;&gt;"",H170&gt;0,I170&lt;&gt;"",J170&lt;&gt;0,K170&lt;&gt;0),COUNT($B$11:B169)+1,"")</f>
        <v>139</v>
      </c>
      <c r="C170" s="455" t="str">
        <f>orcamento!A169</f>
        <v>15.7</v>
      </c>
      <c r="D170" s="456" t="str">
        <f>orcamento!C169</f>
        <v>COMPOSICAO_PROPRIA</v>
      </c>
      <c r="E170" s="457" t="str">
        <f>orcamento!B169</f>
        <v>CCU 65</v>
      </c>
      <c r="F170" s="458">
        <v>46204</v>
      </c>
      <c r="G170" s="459" t="str">
        <f>orcamento!D169</f>
        <v>POÇO DE VISITA TIPO E, 1,20x1,20x1,49m EM TIJOLO MACIÇO, SEM TAMPA (PV 05)</v>
      </c>
      <c r="H170" s="460">
        <f>orcamento!F169</f>
        <v>1</v>
      </c>
      <c r="I170" s="460" t="str">
        <f>orcamento!E169</f>
        <v>UN</v>
      </c>
      <c r="J170" s="460">
        <f>orcamento!K169</f>
        <v>1251.0700000000002</v>
      </c>
      <c r="K170" s="461">
        <f t="shared" si="2"/>
        <v>1251.07</v>
      </c>
      <c r="L170" s="462">
        <f>orcamento!J169</f>
        <v>0.24229999999999999</v>
      </c>
      <c r="M170" s="462">
        <v>1.1194999999999999</v>
      </c>
    </row>
    <row r="171" spans="1:13" x14ac:dyDescent="0.3">
      <c r="A171" s="392">
        <v>1</v>
      </c>
      <c r="B171" s="454">
        <f>IF(AND(G171&lt;&gt;"",H171&gt;0,I171&lt;&gt;"",J171&lt;&gt;0,K171&lt;&gt;0),COUNT($B$11:B170)+1,"")</f>
        <v>140</v>
      </c>
      <c r="C171" s="455" t="str">
        <f>orcamento!A170</f>
        <v>15.8</v>
      </c>
      <c r="D171" s="456" t="str">
        <f>orcamento!C170</f>
        <v>COMPOSICAO_PROPRIA</v>
      </c>
      <c r="E171" s="457" t="str">
        <f>orcamento!B170</f>
        <v>CCU 66</v>
      </c>
      <c r="F171" s="458">
        <v>46204</v>
      </c>
      <c r="G171" s="459" t="str">
        <f>orcamento!D170</f>
        <v>POÇO DE VISITA TIPO E, 1,20x1,20x1,33m EM TIJOLO MACIÇO, SEM TAMPA (PV 06)</v>
      </c>
      <c r="H171" s="460">
        <f>orcamento!F170</f>
        <v>1</v>
      </c>
      <c r="I171" s="460" t="str">
        <f>orcamento!E170</f>
        <v>UN</v>
      </c>
      <c r="J171" s="460">
        <f>orcamento!K170</f>
        <v>1117.24</v>
      </c>
      <c r="K171" s="461">
        <f t="shared" si="2"/>
        <v>1117.24</v>
      </c>
      <c r="L171" s="462">
        <f>orcamento!J170</f>
        <v>0.24229999999999999</v>
      </c>
      <c r="M171" s="462">
        <v>1.1194999999999999</v>
      </c>
    </row>
    <row r="172" spans="1:13" x14ac:dyDescent="0.3">
      <c r="A172" s="392">
        <v>1</v>
      </c>
      <c r="B172" s="454">
        <f>IF(AND(G172&lt;&gt;"",H172&gt;0,I172&lt;&gt;"",J172&lt;&gt;0,K172&lt;&gt;0),COUNT($B$11:B171)+1,"")</f>
        <v>141</v>
      </c>
      <c r="C172" s="455" t="str">
        <f>orcamento!A171</f>
        <v>15.9</v>
      </c>
      <c r="D172" s="456" t="str">
        <f>orcamento!C171</f>
        <v>COMPOSICAO_PROPRIA</v>
      </c>
      <c r="E172" s="457" t="str">
        <f>orcamento!B171</f>
        <v>CCU 67</v>
      </c>
      <c r="F172" s="458">
        <v>46204</v>
      </c>
      <c r="G172" s="459" t="str">
        <f>orcamento!D171</f>
        <v>POÇO DE VISITA TIPO E, 1,20x1,20x1,59m EM TIJOLO MACIÇO, SEM TAMPA (PV 07)</v>
      </c>
      <c r="H172" s="460">
        <f>orcamento!F171</f>
        <v>1</v>
      </c>
      <c r="I172" s="460" t="str">
        <f>orcamento!E171</f>
        <v>UN</v>
      </c>
      <c r="J172" s="460">
        <f>orcamento!K171</f>
        <v>1332.54</v>
      </c>
      <c r="K172" s="461">
        <f t="shared" si="2"/>
        <v>1332.54</v>
      </c>
      <c r="L172" s="462">
        <f>orcamento!J171</f>
        <v>0.24229999999999999</v>
      </c>
      <c r="M172" s="462">
        <v>1.1194999999999999</v>
      </c>
    </row>
    <row r="173" spans="1:13" x14ac:dyDescent="0.3">
      <c r="A173" s="392">
        <v>1</v>
      </c>
      <c r="B173" s="454">
        <f>IF(AND(G173&lt;&gt;"",H173&gt;0,I173&lt;&gt;"",J173&lt;&gt;0,K173&lt;&gt;0),COUNT($B$11:B172)+1,"")</f>
        <v>142</v>
      </c>
      <c r="C173" s="455" t="str">
        <f>orcamento!A172</f>
        <v>15.10</v>
      </c>
      <c r="D173" s="456" t="str">
        <f>orcamento!C172</f>
        <v>COMPOSICAO_PROPRIA</v>
      </c>
      <c r="E173" s="457" t="str">
        <f>orcamento!B172</f>
        <v>CCU 68</v>
      </c>
      <c r="F173" s="458">
        <v>46204</v>
      </c>
      <c r="G173" s="459" t="str">
        <f>orcamento!D172</f>
        <v>TAMPA FOFO ARTICULADO, COM BASE / REQUADRO, CLASSE D400 CARGA MAX 40 T, REDONDO, Ø600 MM (COM INSCRICAO EM RELEVO DO TIPO DE REDE)</v>
      </c>
      <c r="H173" s="460">
        <f>orcamento!F172</f>
        <v>1</v>
      </c>
      <c r="I173" s="460" t="str">
        <f>orcamento!E172</f>
        <v>UN</v>
      </c>
      <c r="J173" s="460">
        <f>orcamento!K172</f>
        <v>845.8</v>
      </c>
      <c r="K173" s="461">
        <f t="shared" si="2"/>
        <v>845.8</v>
      </c>
      <c r="L173" s="462">
        <f>orcamento!J172</f>
        <v>0.24229999999999999</v>
      </c>
      <c r="M173" s="462">
        <v>1.1194999999999999</v>
      </c>
    </row>
    <row r="174" spans="1:13" x14ac:dyDescent="0.3">
      <c r="A174" s="392">
        <v>1</v>
      </c>
      <c r="B174" s="454">
        <f>IF(AND(G174&lt;&gt;"",H174&gt;0,I174&lt;&gt;"",J174&lt;&gt;0,K174&lt;&gt;0),COUNT($B$11:B173)+1,"")</f>
        <v>143</v>
      </c>
      <c r="C174" s="455" t="str">
        <f>orcamento!A173</f>
        <v>15.11</v>
      </c>
      <c r="D174" s="456" t="str">
        <f>orcamento!C173</f>
        <v>COMPOSICAO_PROPRIA</v>
      </c>
      <c r="E174" s="457" t="str">
        <f>orcamento!B173</f>
        <v>CCU 60</v>
      </c>
      <c r="F174" s="458">
        <v>46204</v>
      </c>
      <c r="G174" s="459" t="str">
        <f>orcamento!D173</f>
        <v>TAMPA EM CONCRETO PRÉ-MOLDADO FCK = 30MPA PARA ESGOTO E DRENAGEM</v>
      </c>
      <c r="H174" s="460">
        <f>orcamento!F173</f>
        <v>1.22</v>
      </c>
      <c r="I174" s="460" t="str">
        <f>orcamento!E173</f>
        <v>M3</v>
      </c>
      <c r="J174" s="460">
        <f>orcamento!K173</f>
        <v>2987.0499999999997</v>
      </c>
      <c r="K174" s="461">
        <f t="shared" si="2"/>
        <v>3644.2</v>
      </c>
      <c r="L174" s="462">
        <f>orcamento!J173</f>
        <v>0.24229999999999999</v>
      </c>
      <c r="M174" s="462">
        <v>1.1194999999999999</v>
      </c>
    </row>
    <row r="175" spans="1:13" x14ac:dyDescent="0.3">
      <c r="A175" s="392"/>
      <c r="B175" s="454"/>
      <c r="C175" s="455"/>
      <c r="D175" s="456"/>
      <c r="E175" s="457"/>
      <c r="F175" s="458"/>
      <c r="G175" s="459"/>
      <c r="H175" s="460"/>
      <c r="I175" s="460"/>
      <c r="J175" s="460"/>
      <c r="K175" s="461"/>
      <c r="L175" s="462"/>
      <c r="M175" s="462"/>
    </row>
    <row r="176" spans="1:13" x14ac:dyDescent="0.3">
      <c r="A176" s="392">
        <v>1</v>
      </c>
      <c r="B176" s="454">
        <f>IF(AND(G176&lt;&gt;"",H176&gt;0,I176&lt;&gt;"",J176&lt;&gt;0,K176&lt;&gt;0),COUNT($B$11:B175)+1,"")</f>
        <v>144</v>
      </c>
      <c r="C176" s="455" t="str">
        <f>orcamento!A175</f>
        <v>16.1</v>
      </c>
      <c r="D176" s="456" t="str">
        <f>orcamento!C175</f>
        <v>COMPOSICAO_PROPRIA</v>
      </c>
      <c r="E176" s="457" t="str">
        <f>orcamento!B175</f>
        <v>CCU 71</v>
      </c>
      <c r="F176" s="458">
        <v>46204</v>
      </c>
      <c r="G176" s="459" t="str">
        <f>orcamento!D175</f>
        <v>ENVELOPAMENTO EM CONCRETO USINADO FCK = 20MPA</v>
      </c>
      <c r="H176" s="460">
        <f>orcamento!F175</f>
        <v>14.09</v>
      </c>
      <c r="I176" s="460" t="str">
        <f>orcamento!E175</f>
        <v>M3</v>
      </c>
      <c r="J176" s="460">
        <f>orcamento!K175</f>
        <v>1026.3100000000002</v>
      </c>
      <c r="K176" s="461">
        <f t="shared" si="2"/>
        <v>14460.71</v>
      </c>
      <c r="L176" s="462">
        <f>orcamento!J175</f>
        <v>0.24229999999999999</v>
      </c>
      <c r="M176" s="462">
        <v>1.1194999999999999</v>
      </c>
    </row>
    <row r="177" spans="1:13" x14ac:dyDescent="0.3">
      <c r="A177" s="392">
        <v>1</v>
      </c>
      <c r="B177" s="454">
        <f>IF(AND(G177&lt;&gt;"",H177&gt;0,I177&lt;&gt;"",J177&lt;&gt;0,K177&lt;&gt;0),COUNT($B$11:B176)+1,"")</f>
        <v>145</v>
      </c>
      <c r="C177" s="455" t="str">
        <f>orcamento!A176</f>
        <v>16.2</v>
      </c>
      <c r="D177" s="456" t="str">
        <f>orcamento!C176</f>
        <v>COMPOSICAO_PROPRIA</v>
      </c>
      <c r="E177" s="457" t="str">
        <f>orcamento!B176</f>
        <v>CCU 69</v>
      </c>
      <c r="F177" s="458">
        <v>46204</v>
      </c>
      <c r="G177" s="459" t="str">
        <f>orcamento!D176</f>
        <v>CONCRETO ARMADO PARA ALA DE DRENAGEM, INCLUSO FORMA</v>
      </c>
      <c r="H177" s="460">
        <f>orcamento!F176</f>
        <v>0.57999999999999996</v>
      </c>
      <c r="I177" s="460" t="str">
        <f>orcamento!E176</f>
        <v>M3</v>
      </c>
      <c r="J177" s="460">
        <f>orcamento!K176</f>
        <v>3287.49</v>
      </c>
      <c r="K177" s="461">
        <f t="shared" si="2"/>
        <v>1906.74</v>
      </c>
      <c r="L177" s="462">
        <f>orcamento!J176</f>
        <v>0.24229999999999999</v>
      </c>
      <c r="M177" s="462">
        <v>1.1194999999999999</v>
      </c>
    </row>
    <row r="178" spans="1:13" x14ac:dyDescent="0.3">
      <c r="A178" s="392">
        <v>1</v>
      </c>
      <c r="B178" s="454">
        <f>IF(AND(G178&lt;&gt;"",H178&gt;0,I178&lt;&gt;"",J178&lt;&gt;0,K178&lt;&gt;0),COUNT($B$11:B177)+1,"")</f>
        <v>146</v>
      </c>
      <c r="C178" s="455" t="str">
        <f>orcamento!A177</f>
        <v>16.3</v>
      </c>
      <c r="D178" s="456" t="str">
        <f>orcamento!C177</f>
        <v>COMPOSICAO_PROPRIA</v>
      </c>
      <c r="E178" s="457" t="str">
        <f>orcamento!B177</f>
        <v>CCU 70</v>
      </c>
      <c r="F178" s="458">
        <v>46204</v>
      </c>
      <c r="G178" s="459" t="str">
        <f>orcamento!D177</f>
        <v>ALVENARIA DE PEDRA GRANITICA, E=25CM</v>
      </c>
      <c r="H178" s="460">
        <f>orcamento!F177</f>
        <v>2.78</v>
      </c>
      <c r="I178" s="460" t="str">
        <f>orcamento!E177</f>
        <v>M2</v>
      </c>
      <c r="J178" s="460">
        <f>orcamento!K177</f>
        <v>131.04</v>
      </c>
      <c r="K178" s="461">
        <f t="shared" si="2"/>
        <v>364.29</v>
      </c>
      <c r="L178" s="462">
        <f>orcamento!J177</f>
        <v>0.24229999999999999</v>
      </c>
      <c r="M178" s="462">
        <v>1.1194999999999999</v>
      </c>
    </row>
    <row r="179" spans="1:13" x14ac:dyDescent="0.3">
      <c r="A179" s="392">
        <v>1</v>
      </c>
      <c r="B179" s="454">
        <f>IF(AND(G179&lt;&gt;"",H179&gt;0,I179&lt;&gt;"",J179&lt;&gt;0,K179&lt;&gt;0),COUNT($B$11:B178)+1,"")</f>
        <v>147</v>
      </c>
      <c r="C179" s="455" t="str">
        <f>orcamento!A178</f>
        <v>16.4</v>
      </c>
      <c r="D179" s="456" t="str">
        <f>orcamento!C178</f>
        <v>SINAPI</v>
      </c>
      <c r="E179" s="457">
        <f>orcamento!B178</f>
        <v>105742</v>
      </c>
      <c r="F179" s="458">
        <v>46204</v>
      </c>
      <c r="G179" s="459" t="str">
        <f>orcamento!D178</f>
        <v>CONSTRUÇÃO DE BASE E SUB-BASE PARA PAVIMENTAÇÃO DE RACHÃO, COM ESPESSURA DE 30 CM - EXCLUSIVE CARGA E TRANSPORTE. AF_09/2024</v>
      </c>
      <c r="H179" s="460">
        <f>orcamento!F178</f>
        <v>47.58</v>
      </c>
      <c r="I179" s="460" t="str">
        <f>orcamento!E178</f>
        <v>M3</v>
      </c>
      <c r="J179" s="460">
        <f>orcamento!K178</f>
        <v>154.91</v>
      </c>
      <c r="K179" s="461">
        <f t="shared" si="2"/>
        <v>7370.62</v>
      </c>
      <c r="L179" s="462">
        <f>orcamento!J178</f>
        <v>0.24229999999999999</v>
      </c>
      <c r="M179" s="462">
        <v>1.1194999999999999</v>
      </c>
    </row>
    <row r="180" spans="1:13" x14ac:dyDescent="0.3">
      <c r="A180" s="392">
        <v>1</v>
      </c>
      <c r="B180" s="454">
        <f>IF(AND(G180&lt;&gt;"",H180&gt;0,I180&lt;&gt;"",J180&lt;&gt;0,K180&lt;&gt;0),COUNT($B$11:B179)+1,"")</f>
        <v>148</v>
      </c>
      <c r="C180" s="455" t="str">
        <f>orcamento!A179</f>
        <v>16.5</v>
      </c>
      <c r="D180" s="456" t="str">
        <f>orcamento!C179</f>
        <v>SINAPI</v>
      </c>
      <c r="E180" s="457">
        <f>orcamento!B179</f>
        <v>105730</v>
      </c>
      <c r="F180" s="458">
        <v>46204</v>
      </c>
      <c r="G180" s="459" t="str">
        <f>orcamento!D179</f>
        <v>CONSTRUÇÃO DE BASE E SUB-BASE PARA PAVIMENTAÇÃO DE BRITA GRADUADA SIMPLES, COM ESPESSURA DE 20 CM - EXCLUSIVE CARGA E TRANSPORTE. AF_09/2024</v>
      </c>
      <c r="H180" s="460">
        <f>orcamento!F179</f>
        <v>47.58</v>
      </c>
      <c r="I180" s="460" t="str">
        <f>orcamento!E179</f>
        <v>M3</v>
      </c>
      <c r="J180" s="460">
        <f>orcamento!K179</f>
        <v>221.79</v>
      </c>
      <c r="K180" s="461">
        <f t="shared" si="2"/>
        <v>10552.77</v>
      </c>
      <c r="L180" s="462">
        <f>orcamento!J179</f>
        <v>0.24229999999999999</v>
      </c>
      <c r="M180" s="462">
        <v>1.1194999999999999</v>
      </c>
    </row>
    <row r="181" spans="1:13" x14ac:dyDescent="0.3">
      <c r="A181" s="392">
        <v>1</v>
      </c>
      <c r="B181" s="454">
        <f>IF(AND(G181&lt;&gt;"",H181&gt;0,I181&lt;&gt;"",J181&lt;&gt;0,K181&lt;&gt;0),COUNT($B$11:B180)+1,"")</f>
        <v>149</v>
      </c>
      <c r="C181" s="455" t="str">
        <f>orcamento!A180</f>
        <v>16.6</v>
      </c>
      <c r="D181" s="456" t="str">
        <f>orcamento!C180</f>
        <v>COMPOSICAO_PROPRIA</v>
      </c>
      <c r="E181" s="457" t="str">
        <f>orcamento!B180</f>
        <v>CCU 46</v>
      </c>
      <c r="F181" s="458">
        <v>46204</v>
      </c>
      <c r="G181" s="459" t="str">
        <f>orcamento!D180</f>
        <v>IMPRIMAÇÃO ASFÁLTICA - FORNECIMENTO</v>
      </c>
      <c r="H181" s="460">
        <f>orcamento!F180</f>
        <v>0.38</v>
      </c>
      <c r="I181" s="460" t="str">
        <f>orcamento!E180</f>
        <v>T</v>
      </c>
      <c r="J181" s="460">
        <f>orcamento!K180</f>
        <v>5076.9800000000005</v>
      </c>
      <c r="K181" s="461">
        <f t="shared" si="2"/>
        <v>1929.25</v>
      </c>
      <c r="L181" s="462">
        <f>orcamento!J180</f>
        <v>0.24229999999999999</v>
      </c>
      <c r="M181" s="462">
        <v>1.1194999999999999</v>
      </c>
    </row>
    <row r="182" spans="1:13" x14ac:dyDescent="0.3">
      <c r="A182" s="392">
        <v>1</v>
      </c>
      <c r="B182" s="454">
        <f>IF(AND(G182&lt;&gt;"",H182&gt;0,I182&lt;&gt;"",J182&lt;&gt;0,K182&lt;&gt;0),COUNT($B$11:B181)+1,"")</f>
        <v>150</v>
      </c>
      <c r="C182" s="455" t="str">
        <f>orcamento!A181</f>
        <v>16.7</v>
      </c>
      <c r="D182" s="456" t="str">
        <f>orcamento!C181</f>
        <v>COMPOSICAO_PROPRIA</v>
      </c>
      <c r="E182" s="457" t="str">
        <f>orcamento!B181</f>
        <v>CCU 47</v>
      </c>
      <c r="F182" s="458">
        <v>46204</v>
      </c>
      <c r="G182" s="459" t="str">
        <f>orcamento!D181</f>
        <v>IMPRIMAÇÃO ASFALTICA - TRANSPORTE</v>
      </c>
      <c r="H182" s="460">
        <f>orcamento!F181</f>
        <v>0.38</v>
      </c>
      <c r="I182" s="460" t="str">
        <f>orcamento!E181</f>
        <v>T</v>
      </c>
      <c r="J182" s="460">
        <f>orcamento!K181</f>
        <v>123.69999999999999</v>
      </c>
      <c r="K182" s="461">
        <f t="shared" si="2"/>
        <v>47.01</v>
      </c>
      <c r="L182" s="462">
        <f>orcamento!J181</f>
        <v>0.24229999999999999</v>
      </c>
      <c r="M182" s="462">
        <v>1.1194999999999999</v>
      </c>
    </row>
    <row r="183" spans="1:13" x14ac:dyDescent="0.3">
      <c r="A183" s="392">
        <v>1</v>
      </c>
      <c r="B183" s="454">
        <f>IF(AND(G183&lt;&gt;"",H183&gt;0,I183&lt;&gt;"",J183&lt;&gt;0,K183&lt;&gt;0),COUNT($B$11:B182)+1,"")</f>
        <v>151</v>
      </c>
      <c r="C183" s="455" t="str">
        <f>orcamento!A182</f>
        <v>16.8</v>
      </c>
      <c r="D183" s="456" t="str">
        <f>orcamento!C182</f>
        <v>COMPOSICAO_PROPRIA</v>
      </c>
      <c r="E183" s="457" t="str">
        <f>orcamento!B182</f>
        <v>CCU 48</v>
      </c>
      <c r="F183" s="458">
        <v>46204</v>
      </c>
      <c r="G183" s="459" t="str">
        <f>orcamento!D182</f>
        <v>IMPRIMAÇÃO ASFÁLTICA - APLICAÇÃO</v>
      </c>
      <c r="H183" s="460">
        <f>orcamento!F182</f>
        <v>317.17</v>
      </c>
      <c r="I183" s="460" t="str">
        <f>orcamento!E182</f>
        <v>M2</v>
      </c>
      <c r="J183" s="460">
        <f>orcamento!K182</f>
        <v>1.61</v>
      </c>
      <c r="K183" s="461">
        <f t="shared" si="2"/>
        <v>510.64</v>
      </c>
      <c r="L183" s="462">
        <f>orcamento!J182</f>
        <v>0.24229999999999999</v>
      </c>
      <c r="M183" s="462">
        <v>1.1194999999999999</v>
      </c>
    </row>
    <row r="184" spans="1:13" x14ac:dyDescent="0.3">
      <c r="A184" s="392">
        <v>1</v>
      </c>
      <c r="B184" s="454">
        <f>IF(AND(G184&lt;&gt;"",H184&gt;0,I184&lt;&gt;"",J184&lt;&gt;0,K184&lt;&gt;0),COUNT($B$11:B183)+1,"")</f>
        <v>152</v>
      </c>
      <c r="C184" s="455" t="str">
        <f>orcamento!A183</f>
        <v>16.9</v>
      </c>
      <c r="D184" s="456" t="str">
        <f>orcamento!C183</f>
        <v>COMPOSICAO_PROPRIA</v>
      </c>
      <c r="E184" s="457" t="str">
        <f>orcamento!B183</f>
        <v>CCU 43</v>
      </c>
      <c r="F184" s="458">
        <v>46204</v>
      </c>
      <c r="G184" s="459" t="str">
        <f>orcamento!D183</f>
        <v>USINAGEM CBUQ, INCLUSO FORNECIMENTO DE CONCRETO ASFALTICO (EXCETO CAP) E TRANSPORTE DA JAZIDA ATE PAVIMENTADORA, EXCLUSIVE TRANSPORTE ATE OBRA</v>
      </c>
      <c r="H184" s="460">
        <f>orcamento!F183</f>
        <v>35.9</v>
      </c>
      <c r="I184" s="460" t="str">
        <f>orcamento!E183</f>
        <v>T</v>
      </c>
      <c r="J184" s="460">
        <f>orcamento!K183</f>
        <v>307.23</v>
      </c>
      <c r="K184" s="461">
        <f t="shared" si="2"/>
        <v>11029.56</v>
      </c>
      <c r="L184" s="462">
        <f>orcamento!J183</f>
        <v>0.24229999999999999</v>
      </c>
      <c r="M184" s="462">
        <v>1.1194999999999999</v>
      </c>
    </row>
    <row r="185" spans="1:13" x14ac:dyDescent="0.3">
      <c r="A185" s="392">
        <v>1</v>
      </c>
      <c r="B185" s="454">
        <f>IF(AND(G185&lt;&gt;"",H185&gt;0,I185&lt;&gt;"",J185&lt;&gt;0,K185&lt;&gt;0),COUNT($B$11:B184)+1,"")</f>
        <v>153</v>
      </c>
      <c r="C185" s="455" t="str">
        <f>orcamento!A184</f>
        <v>16.10</v>
      </c>
      <c r="D185" s="456" t="str">
        <f>orcamento!C184</f>
        <v>COMPOSICAO_PROPRIA</v>
      </c>
      <c r="E185" s="457" t="str">
        <f>orcamento!B184</f>
        <v>CCU 44</v>
      </c>
      <c r="F185" s="458">
        <v>46204</v>
      </c>
      <c r="G185" s="459" t="str">
        <f>orcamento!D184</f>
        <v>FORNECIMENTO DE CAP PARA PAVIMENTO DE CONCRETO ASFÁLTICO, INCLUSIVE TRANSPORTE ATE PAVIMENTADORA</v>
      </c>
      <c r="H185" s="460">
        <f>orcamento!F184</f>
        <v>2.15</v>
      </c>
      <c r="I185" s="460" t="str">
        <f>orcamento!E184</f>
        <v>T</v>
      </c>
      <c r="J185" s="460">
        <f>orcamento!K184</f>
        <v>7434.92</v>
      </c>
      <c r="K185" s="461">
        <f t="shared" si="2"/>
        <v>15985.08</v>
      </c>
      <c r="L185" s="462">
        <f>orcamento!J184</f>
        <v>0.24229999999999999</v>
      </c>
      <c r="M185" s="462">
        <v>1.1194999999999999</v>
      </c>
    </row>
    <row r="186" spans="1:13" x14ac:dyDescent="0.3">
      <c r="A186" s="392">
        <v>1</v>
      </c>
      <c r="B186" s="454">
        <f>IF(AND(G186&lt;&gt;"",H186&gt;0,I186&lt;&gt;"",J186&lt;&gt;0,K186&lt;&gt;0),COUNT($B$11:B185)+1,"")</f>
        <v>154</v>
      </c>
      <c r="C186" s="455" t="str">
        <f>orcamento!A185</f>
        <v>16.11</v>
      </c>
      <c r="D186" s="456" t="str">
        <f>orcamento!C185</f>
        <v>COMPOSICAO_PROPRIA</v>
      </c>
      <c r="E186" s="457" t="str">
        <f>orcamento!B185</f>
        <v>CCU 45</v>
      </c>
      <c r="F186" s="458">
        <v>46204</v>
      </c>
      <c r="G186" s="459" t="str">
        <f>orcamento!D185</f>
        <v>EXECUÇÃO DE PAVIMENTO COM APLICAÇÃO DE CONCRETO ASFÁLTICO, CAMADA DE ROLAMENTO, EXCLUSIVE CARGA E TRANSPORTE</v>
      </c>
      <c r="H186" s="460">
        <f>orcamento!F185</f>
        <v>15.86</v>
      </c>
      <c r="I186" s="460" t="str">
        <f>orcamento!E185</f>
        <v>M3</v>
      </c>
      <c r="J186" s="460">
        <f>orcamento!K185</f>
        <v>163.09</v>
      </c>
      <c r="K186" s="461">
        <f t="shared" si="2"/>
        <v>2586.61</v>
      </c>
      <c r="L186" s="462">
        <f>orcamento!J185</f>
        <v>0.24229999999999999</v>
      </c>
      <c r="M186" s="462">
        <v>1.1194999999999999</v>
      </c>
    </row>
    <row r="187" spans="1:13" x14ac:dyDescent="0.3">
      <c r="A187" s="392">
        <v>1</v>
      </c>
      <c r="B187" s="454">
        <f>IF(AND(G187&lt;&gt;"",H187&gt;0,I187&lt;&gt;"",J187&lt;&gt;0,K187&lt;&gt;0),COUNT($B$11:B186)+1,"")</f>
        <v>155</v>
      </c>
      <c r="C187" s="455" t="str">
        <f>orcamento!A186</f>
        <v>16.12</v>
      </c>
      <c r="D187" s="456" t="str">
        <f>orcamento!C186</f>
        <v>SINAPI</v>
      </c>
      <c r="E187" s="457">
        <f>orcamento!B186</f>
        <v>100978</v>
      </c>
      <c r="F187" s="458">
        <v>46204</v>
      </c>
      <c r="G187" s="459" t="str">
        <f>orcamento!D186</f>
        <v>CARGA, MANOBRA E DESCARGA DE SOLOS E MATERIAIS GRANULARES EM CAMINHÃO BASCULANTE 10 M³ - CARGA COM ESCAVADEIRA HIDRÁULICA (CAÇAMBA DE 1,20 M³ / 155 HP) E DESCARGA LIVRE (UNIDADE: M3). AF_02/2026</v>
      </c>
      <c r="H187" s="460">
        <f>orcamento!F186</f>
        <v>158.6</v>
      </c>
      <c r="I187" s="460" t="str">
        <f>orcamento!E186</f>
        <v>M3</v>
      </c>
      <c r="J187" s="460">
        <f>orcamento!K186</f>
        <v>9.2200000000000006</v>
      </c>
      <c r="K187" s="461">
        <f t="shared" si="2"/>
        <v>1462.29</v>
      </c>
      <c r="L187" s="462">
        <f>orcamento!J186</f>
        <v>0.24229999999999999</v>
      </c>
      <c r="M187" s="462">
        <v>1.1194999999999999</v>
      </c>
    </row>
    <row r="188" spans="1:13" x14ac:dyDescent="0.3">
      <c r="A188" s="392">
        <v>1</v>
      </c>
      <c r="B188" s="454">
        <f>IF(AND(G188&lt;&gt;"",H188&gt;0,I188&lt;&gt;"",J188&lt;&gt;0,K188&lt;&gt;0),COUNT($B$11:B187)+1,"")</f>
        <v>156</v>
      </c>
      <c r="C188" s="455" t="str">
        <f>orcamento!A187</f>
        <v>16.13</v>
      </c>
      <c r="D188" s="456" t="str">
        <f>orcamento!C187</f>
        <v>SINAPI</v>
      </c>
      <c r="E188" s="457">
        <f>orcamento!B187</f>
        <v>95875</v>
      </c>
      <c r="F188" s="458">
        <v>46204</v>
      </c>
      <c r="G188" s="459" t="str">
        <f>orcamento!D187</f>
        <v>TRANSPORTE COM CAMINHÃO BASCULANTE DE 10 M³, EM VIA URBANA PAVIMENTADA, DMT ATÉ 30 KM (UNIDADE: M3XKM). AF_02/2026</v>
      </c>
      <c r="H188" s="460">
        <f>orcamento!F187</f>
        <v>1046.76</v>
      </c>
      <c r="I188" s="460" t="str">
        <f>orcamento!E187</f>
        <v>M3XKM</v>
      </c>
      <c r="J188" s="460">
        <f>orcamento!K187</f>
        <v>3.52</v>
      </c>
      <c r="K188" s="461">
        <f t="shared" si="2"/>
        <v>3684.6</v>
      </c>
      <c r="L188" s="462">
        <f>orcamento!J187</f>
        <v>0.24229999999999999</v>
      </c>
      <c r="M188" s="462">
        <v>1.1194999999999999</v>
      </c>
    </row>
    <row r="189" spans="1:13" x14ac:dyDescent="0.3">
      <c r="A189" s="392"/>
      <c r="B189" s="454"/>
      <c r="C189" s="455"/>
      <c r="D189" s="456"/>
      <c r="E189" s="457"/>
      <c r="F189" s="458"/>
      <c r="G189" s="459"/>
      <c r="H189" s="460"/>
      <c r="I189" s="460"/>
      <c r="J189" s="460"/>
      <c r="K189" s="461"/>
      <c r="L189" s="462"/>
      <c r="M189" s="462"/>
    </row>
    <row r="190" spans="1:13" x14ac:dyDescent="0.3">
      <c r="A190" s="392">
        <v>1</v>
      </c>
      <c r="B190" s="454">
        <f>IF(AND(G190&lt;&gt;"",H190&gt;0,I190&lt;&gt;"",J190&lt;&gt;0,K190&lt;&gt;0),COUNT($B$11:B189)+1,"")</f>
        <v>157</v>
      </c>
      <c r="C190" s="455" t="str">
        <f>orcamento!A189</f>
        <v>17.1</v>
      </c>
      <c r="D190" s="456" t="str">
        <f>orcamento!C189</f>
        <v>COMPOSICAO_PROPRIA</v>
      </c>
      <c r="E190" s="457" t="str">
        <f>orcamento!B189</f>
        <v>CCU 73</v>
      </c>
      <c r="F190" s="458">
        <v>46204</v>
      </c>
      <c r="G190" s="459" t="str">
        <f>orcamento!D189</f>
        <v>LIMPEZA FINAL DE PAVIMENTOS</v>
      </c>
      <c r="H190" s="460">
        <f>orcamento!F189</f>
        <v>1320.07</v>
      </c>
      <c r="I190" s="460" t="str">
        <f>orcamento!E189</f>
        <v>M2</v>
      </c>
      <c r="J190" s="460">
        <f>orcamento!K189</f>
        <v>0.88</v>
      </c>
      <c r="K190" s="461">
        <f t="shared" si="2"/>
        <v>1161.6600000000001</v>
      </c>
      <c r="L190" s="462">
        <f>orcamento!J189</f>
        <v>0.24229999999999999</v>
      </c>
      <c r="M190" s="462">
        <v>1.1194999999999999</v>
      </c>
    </row>
    <row r="191" spans="1:13" x14ac:dyDescent="0.3">
      <c r="A191" s="392">
        <v>1</v>
      </c>
      <c r="B191" s="454">
        <f>IF(AND(G191&lt;&gt;"",H191&gt;0,I191&lt;&gt;"",J191&lt;&gt;0,K191&lt;&gt;0),COUNT($B$11:B190)+1,"")</f>
        <v>158</v>
      </c>
      <c r="C191" s="455" t="str">
        <f>orcamento!A190</f>
        <v>17.2</v>
      </c>
      <c r="D191" s="456" t="str">
        <f>orcamento!C190</f>
        <v>COMPOSICAO_PROPRIA</v>
      </c>
      <c r="E191" s="457" t="str">
        <f>orcamento!B190</f>
        <v>CCU 07</v>
      </c>
      <c r="F191" s="458">
        <v>46204</v>
      </c>
      <c r="G191" s="459" t="str">
        <f>orcamento!D190</f>
        <v>DESMOBILIZAÇÃO EQUIPAMENTOS AUTOPROPELIDOS E LEVES</v>
      </c>
      <c r="H191" s="460">
        <f>orcamento!F190</f>
        <v>1</v>
      </c>
      <c r="I191" s="460" t="str">
        <f>orcamento!E190</f>
        <v>UN</v>
      </c>
      <c r="J191" s="460">
        <f>orcamento!K190</f>
        <v>4261.45</v>
      </c>
      <c r="K191" s="461">
        <f t="shared" si="2"/>
        <v>4261.45</v>
      </c>
      <c r="L191" s="462">
        <f>orcamento!J190</f>
        <v>0.24229999999999999</v>
      </c>
      <c r="M191" s="462">
        <v>1.1194999999999999</v>
      </c>
    </row>
    <row r="192" spans="1:13" x14ac:dyDescent="0.3">
      <c r="A192" s="392">
        <v>1</v>
      </c>
      <c r="B192" s="454">
        <f>IF(AND(G192&lt;&gt;"",H192&gt;0,I192&lt;&gt;"",J192&lt;&gt;0,K192&lt;&gt;0),COUNT($B$11:B191)+1,"")</f>
        <v>159</v>
      </c>
      <c r="C192" s="455" t="str">
        <f>orcamento!A191</f>
        <v>17.3</v>
      </c>
      <c r="D192" s="456" t="str">
        <f>orcamento!C191</f>
        <v>COMPOSICAO_PROPRIA</v>
      </c>
      <c r="E192" s="457" t="str">
        <f>orcamento!B191</f>
        <v>CCU 09</v>
      </c>
      <c r="F192" s="458">
        <v>46204</v>
      </c>
      <c r="G192" s="459" t="str">
        <f>orcamento!D191</f>
        <v>FRETE CONTAINER</v>
      </c>
      <c r="H192" s="460">
        <f>orcamento!F191</f>
        <v>2</v>
      </c>
      <c r="I192" s="460" t="str">
        <f>orcamento!E191</f>
        <v>UN</v>
      </c>
      <c r="J192" s="460">
        <f>orcamento!K191</f>
        <v>780.95</v>
      </c>
      <c r="K192" s="461">
        <f t="shared" si="2"/>
        <v>1561.9</v>
      </c>
      <c r="L192" s="462">
        <f>orcamento!J191</f>
        <v>0.24229999999999999</v>
      </c>
      <c r="M192" s="462">
        <v>1.1194999999999999</v>
      </c>
    </row>
    <row r="193" spans="1:13" x14ac:dyDescent="0.3">
      <c r="A193" s="392">
        <v>1</v>
      </c>
      <c r="B193" s="454">
        <f>IF(AND(G193&lt;&gt;"",H193&gt;0,I193&lt;&gt;"",J193&lt;&gt;0,K193&lt;&gt;0),COUNT($B$11:B192)+1,"")</f>
        <v>160</v>
      </c>
      <c r="C193" s="455" t="str">
        <f>orcamento!A192</f>
        <v>17.4</v>
      </c>
      <c r="D193" s="456" t="str">
        <f>orcamento!C192</f>
        <v>COMPOSICAO_PROPRIA</v>
      </c>
      <c r="E193" s="457" t="str">
        <f>orcamento!B192</f>
        <v>CCU 74</v>
      </c>
      <c r="F193" s="458">
        <v>46204</v>
      </c>
      <c r="G193" s="459" t="str">
        <f>orcamento!D192</f>
        <v>DESMONTAGEM DO CANTEIRO</v>
      </c>
      <c r="H193" s="460">
        <f>orcamento!F192</f>
        <v>1</v>
      </c>
      <c r="I193" s="460" t="str">
        <f>orcamento!E192</f>
        <v>UN</v>
      </c>
      <c r="J193" s="460">
        <f>orcamento!K192</f>
        <v>2052.08</v>
      </c>
      <c r="K193" s="461">
        <f t="shared" si="2"/>
        <v>2052.08</v>
      </c>
      <c r="L193" s="462">
        <f>orcamento!J192</f>
        <v>0.24229999999999999</v>
      </c>
      <c r="M193" s="462">
        <v>1.1194999999999999</v>
      </c>
    </row>
  </sheetData>
  <mergeCells count="18">
    <mergeCell ref="A1:K1"/>
    <mergeCell ref="C2:G2"/>
    <mergeCell ref="A3:B3"/>
    <mergeCell ref="C3:K3"/>
    <mergeCell ref="C4:I4"/>
    <mergeCell ref="A10:A11"/>
    <mergeCell ref="B10:B11"/>
    <mergeCell ref="C10:C11"/>
    <mergeCell ref="D10:D11"/>
    <mergeCell ref="E10:E11"/>
    <mergeCell ref="H10:M10"/>
    <mergeCell ref="N10:O10"/>
    <mergeCell ref="P10:Q10"/>
    <mergeCell ref="R10:R11"/>
    <mergeCell ref="C5:G5"/>
    <mergeCell ref="C6:G6"/>
    <mergeCell ref="F10:F11"/>
    <mergeCell ref="G10:G11"/>
  </mergeCells>
  <dataValidations disablePrompts="1" count="1">
    <dataValidation type="list" allowBlank="1" showInputMessage="1" showErrorMessage="1" prompt="Código de Subfamília Inválido - O código de Subfamília informado é inválido. _x000a_Selecione o código na lista suspensa. Para pesquisar Subfamília, utilize a planilha Pesquisa Familia e Subfamilia. _x000a_Informe a Subfamília de acordo com a Família." sqref="P12:P25" xr:uid="{00000000-0002-0000-1800-000000000000}">
      <formula1>INDIRECT(CONCATENATE("F_",N12))</formula1>
      <formula2>0</formula2>
    </dataValidation>
  </dataValidations>
  <pageMargins left="0.51180555555555596" right="0.51180555555555596" top="0.78749999999999998" bottom="0.78749999999999998" header="0.511811023622047" footer="0.511811023622047"/>
  <pageSetup paperSize="9" orientation="portrait" horizontalDpi="300" verticalDpi="30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Z193"/>
  <sheetViews>
    <sheetView zoomScale="85" zoomScaleNormal="85" workbookViewId="0">
      <selection activeCell="R18" sqref="R18"/>
    </sheetView>
  </sheetViews>
  <sheetFormatPr defaultColWidth="14.44140625" defaultRowHeight="14.4" x14ac:dyDescent="0.3"/>
  <cols>
    <col min="1" max="1" width="9" customWidth="1"/>
    <col min="2" max="2" width="10.5546875" customWidth="1"/>
    <col min="3" max="3" width="9" customWidth="1"/>
    <col min="4" max="4" width="55.109375" customWidth="1"/>
    <col min="5" max="5" width="11.109375" customWidth="1"/>
    <col min="6" max="6" width="13.109375" customWidth="1"/>
    <col min="7" max="7" width="13.44140625" customWidth="1"/>
    <col min="8" max="8" width="15.109375" customWidth="1"/>
    <col min="9" max="9" width="8" customWidth="1"/>
    <col min="10" max="10" width="11.109375" customWidth="1"/>
    <col min="11" max="11" width="12.44140625" customWidth="1"/>
    <col min="12" max="12" width="17.6640625" customWidth="1"/>
    <col min="13" max="13" width="20.44140625" customWidth="1"/>
    <col min="14" max="26" width="8.6640625" customWidth="1"/>
  </cols>
  <sheetData>
    <row r="1" spans="1:26" ht="15.6" x14ac:dyDescent="0.3">
      <c r="A1" s="820" t="s">
        <v>13254</v>
      </c>
      <c r="B1" s="820"/>
      <c r="C1" s="820"/>
      <c r="D1" s="820"/>
      <c r="E1" s="820"/>
      <c r="F1" s="820"/>
      <c r="G1" s="820"/>
      <c r="H1" s="820"/>
      <c r="I1" s="434"/>
      <c r="J1" s="435"/>
      <c r="K1" s="416"/>
      <c r="L1" s="435"/>
    </row>
    <row r="2" spans="1:26" x14ac:dyDescent="0.3">
      <c r="A2" s="464" t="s">
        <v>13230</v>
      </c>
      <c r="B2" s="465"/>
      <c r="C2" s="828" t="str">
        <f>IF('Identificação-TCE'!B2=0,"",'Identificação-TCE'!B2)</f>
        <v/>
      </c>
      <c r="D2" s="828"/>
      <c r="E2" s="466" t="s">
        <v>13231</v>
      </c>
      <c r="F2" s="467" t="str">
        <f>IF('Identificação-TCE'!E2=0,"",'Identificação-TCE'!E2)</f>
        <v/>
      </c>
      <c r="G2" s="466" t="s">
        <v>13232</v>
      </c>
      <c r="H2" s="468" t="str">
        <f>IF('Identificação-TCE'!G2=0,"",'Identificação-TCE'!G2)</f>
        <v/>
      </c>
      <c r="I2" s="439"/>
      <c r="J2" s="439"/>
      <c r="K2" s="416"/>
      <c r="L2" s="440"/>
      <c r="M2" s="440"/>
      <c r="N2" s="440"/>
      <c r="O2" s="440"/>
      <c r="P2" s="440"/>
      <c r="Q2" s="440"/>
      <c r="R2" s="440"/>
      <c r="S2" s="440"/>
      <c r="T2" s="440"/>
      <c r="U2" s="440"/>
      <c r="V2" s="440"/>
      <c r="W2" s="440"/>
      <c r="X2" s="440"/>
      <c r="Y2" s="440"/>
      <c r="Z2" s="440"/>
    </row>
    <row r="3" spans="1:26" ht="15.75" customHeight="1" x14ac:dyDescent="0.3">
      <c r="A3" s="822" t="s">
        <v>13215</v>
      </c>
      <c r="B3" s="822"/>
      <c r="C3" s="823" t="str">
        <f>'Identificação-TCE'!B3</f>
        <v>Objeto: Execução de Obras de Pavimentação e Redes de Drenagem na Rua Giruá</v>
      </c>
      <c r="D3" s="823"/>
      <c r="E3" s="823"/>
      <c r="F3" s="823"/>
      <c r="G3" s="823"/>
      <c r="H3" s="823"/>
      <c r="I3" s="439"/>
      <c r="J3" s="439"/>
      <c r="K3" s="440"/>
      <c r="L3" s="440"/>
      <c r="M3" s="440"/>
      <c r="N3" s="440"/>
      <c r="O3" s="440"/>
      <c r="P3" s="440"/>
      <c r="Q3" s="440"/>
      <c r="R3" s="440"/>
      <c r="S3" s="440"/>
      <c r="T3" s="440"/>
      <c r="U3" s="440"/>
      <c r="V3" s="440"/>
      <c r="W3" s="440"/>
      <c r="X3" s="440"/>
      <c r="Y3" s="440"/>
      <c r="Z3" s="440"/>
    </row>
    <row r="4" spans="1:26" x14ac:dyDescent="0.3">
      <c r="A4" s="411" t="s">
        <v>13255</v>
      </c>
      <c r="B4" s="436"/>
      <c r="C4" s="829"/>
      <c r="D4" s="829"/>
      <c r="E4" s="829"/>
      <c r="F4" s="829"/>
      <c r="G4" s="409" t="s">
        <v>13256</v>
      </c>
      <c r="H4" s="469"/>
      <c r="I4" s="439"/>
      <c r="J4" s="439"/>
      <c r="K4" s="440"/>
      <c r="L4" s="440"/>
      <c r="M4" s="440"/>
      <c r="N4" s="440"/>
      <c r="O4" s="440"/>
      <c r="P4" s="440"/>
      <c r="Q4" s="440"/>
      <c r="R4" s="440"/>
      <c r="S4" s="440"/>
      <c r="T4" s="440"/>
      <c r="U4" s="440"/>
      <c r="V4" s="440"/>
      <c r="W4" s="440"/>
      <c r="X4" s="440"/>
      <c r="Y4" s="440"/>
      <c r="Z4" s="440"/>
    </row>
    <row r="5" spans="1:26" x14ac:dyDescent="0.3">
      <c r="A5" s="406" t="s">
        <v>13235</v>
      </c>
      <c r="B5" s="409"/>
      <c r="C5" s="826" t="str">
        <f>IF('Identificação-TCE'!B5=0,"",'Identificação-TCE'!B5)</f>
        <v/>
      </c>
      <c r="D5" s="826"/>
      <c r="E5" s="442"/>
      <c r="F5" s="433"/>
      <c r="G5" s="443"/>
      <c r="H5" s="470"/>
      <c r="I5" s="439"/>
      <c r="J5" s="439"/>
      <c r="K5" s="440"/>
      <c r="L5" s="440"/>
      <c r="M5" s="440"/>
      <c r="N5" s="440"/>
      <c r="O5" s="440"/>
      <c r="P5" s="440"/>
      <c r="Q5" s="440"/>
      <c r="R5" s="440"/>
      <c r="S5" s="440"/>
      <c r="T5" s="440"/>
      <c r="U5" s="440"/>
      <c r="V5" s="440"/>
      <c r="W5" s="440"/>
      <c r="X5" s="440"/>
      <c r="Y5" s="440"/>
      <c r="Z5" s="440"/>
    </row>
    <row r="6" spans="1:26" x14ac:dyDescent="0.3">
      <c r="A6" s="471" t="s">
        <v>13222</v>
      </c>
      <c r="B6" s="445"/>
      <c r="C6" s="827">
        <f>SUMIFS(H12:H38350,B12:B38350,"&gt;0",H12:H38350,"&lt;&gt;0")</f>
        <v>824861.5500000004</v>
      </c>
      <c r="D6" s="827"/>
      <c r="E6" s="446"/>
      <c r="F6" s="446"/>
      <c r="G6" s="447"/>
      <c r="H6" s="440"/>
      <c r="I6" s="439"/>
      <c r="J6" s="439"/>
      <c r="K6" s="440"/>
      <c r="L6" s="440"/>
      <c r="M6" s="440"/>
      <c r="N6" s="440"/>
      <c r="O6" s="440"/>
      <c r="P6" s="440"/>
      <c r="Q6" s="440"/>
      <c r="R6" s="440"/>
      <c r="S6" s="440"/>
      <c r="T6" s="440"/>
      <c r="U6" s="440"/>
      <c r="V6" s="440"/>
      <c r="W6" s="440"/>
      <c r="X6" s="440"/>
      <c r="Y6" s="440"/>
      <c r="Z6" s="440"/>
    </row>
    <row r="7" spans="1:26" x14ac:dyDescent="0.3">
      <c r="A7" s="472"/>
      <c r="B7" s="448"/>
      <c r="C7" s="448"/>
      <c r="D7" s="450"/>
      <c r="E7" s="450"/>
      <c r="F7" s="446"/>
      <c r="G7" s="446"/>
      <c r="H7" s="447"/>
      <c r="I7" s="439"/>
      <c r="J7" s="439"/>
      <c r="K7" s="440"/>
      <c r="L7" s="440"/>
      <c r="M7" s="440"/>
      <c r="N7" s="440"/>
      <c r="O7" s="440"/>
      <c r="P7" s="440"/>
      <c r="Q7" s="440"/>
      <c r="R7" s="440"/>
      <c r="S7" s="440"/>
      <c r="T7" s="440"/>
      <c r="U7" s="440"/>
      <c r="V7" s="440"/>
      <c r="W7" s="440"/>
      <c r="X7" s="440"/>
      <c r="Y7" s="440"/>
      <c r="Z7" s="440"/>
    </row>
    <row r="8" spans="1:26" x14ac:dyDescent="0.3">
      <c r="A8" s="472"/>
      <c r="B8" s="448"/>
      <c r="C8" s="448"/>
      <c r="D8" s="450"/>
      <c r="E8" s="450"/>
      <c r="F8" s="446"/>
      <c r="G8" s="446"/>
      <c r="H8" s="447"/>
      <c r="I8" s="439"/>
      <c r="J8" s="439"/>
      <c r="K8" s="440"/>
      <c r="L8" s="440"/>
      <c r="M8" s="440"/>
      <c r="N8" s="440"/>
      <c r="O8" s="440"/>
      <c r="P8" s="440"/>
      <c r="Q8" s="440"/>
      <c r="R8" s="440"/>
      <c r="S8" s="440"/>
      <c r="T8" s="440"/>
      <c r="U8" s="440"/>
      <c r="V8" s="440"/>
      <c r="W8" s="440"/>
      <c r="X8" s="440"/>
      <c r="Y8" s="440"/>
      <c r="Z8" s="440"/>
    </row>
    <row r="9" spans="1:26" x14ac:dyDescent="0.3">
      <c r="A9" s="472"/>
      <c r="B9" s="448"/>
      <c r="C9" s="448"/>
      <c r="D9" s="450"/>
      <c r="E9" s="450"/>
      <c r="F9" s="446"/>
      <c r="G9" s="446"/>
      <c r="H9" s="447"/>
      <c r="I9" s="439"/>
      <c r="J9" s="439"/>
      <c r="K9" s="440"/>
      <c r="L9" s="440"/>
      <c r="M9" s="440"/>
      <c r="N9" s="440"/>
      <c r="O9" s="440"/>
      <c r="P9" s="440"/>
      <c r="Q9" s="440"/>
      <c r="R9" s="440"/>
      <c r="S9" s="440"/>
      <c r="T9" s="440"/>
      <c r="U9" s="440"/>
      <c r="V9" s="440"/>
      <c r="W9" s="440"/>
      <c r="X9" s="440"/>
      <c r="Y9" s="440"/>
      <c r="Z9" s="440"/>
    </row>
    <row r="10" spans="1:26" ht="15" customHeight="1" x14ac:dyDescent="0.3">
      <c r="A10" s="808" t="s">
        <v>13257</v>
      </c>
      <c r="B10" s="808" t="s">
        <v>13258</v>
      </c>
      <c r="C10" s="808" t="s">
        <v>13259</v>
      </c>
      <c r="D10" s="816" t="s">
        <v>13260</v>
      </c>
      <c r="E10" s="825" t="s">
        <v>13227</v>
      </c>
      <c r="F10" s="825"/>
      <c r="G10" s="825"/>
      <c r="H10" s="825"/>
      <c r="I10" s="825"/>
      <c r="J10" s="825"/>
      <c r="K10" s="825"/>
      <c r="L10" s="825"/>
      <c r="M10" s="825"/>
    </row>
    <row r="11" spans="1:26" ht="28.8" x14ac:dyDescent="0.3">
      <c r="A11" s="808"/>
      <c r="B11" s="808"/>
      <c r="C11" s="808"/>
      <c r="D11" s="808"/>
      <c r="E11" s="421" t="s">
        <v>427</v>
      </c>
      <c r="F11" s="422" t="s">
        <v>13261</v>
      </c>
      <c r="G11" s="452" t="s">
        <v>13249</v>
      </c>
      <c r="H11" s="452" t="s">
        <v>13250</v>
      </c>
      <c r="I11" s="453" t="s">
        <v>13251</v>
      </c>
      <c r="J11" s="453" t="s">
        <v>13252</v>
      </c>
      <c r="K11" s="453" t="s">
        <v>13262</v>
      </c>
      <c r="L11" s="422" t="s">
        <v>13263</v>
      </c>
      <c r="M11" s="473" t="s">
        <v>13264</v>
      </c>
    </row>
    <row r="12" spans="1:26" x14ac:dyDescent="0.3">
      <c r="A12" s="474">
        <f>IF('Orçamento-TCE'!A12&gt;0,'Orçamento-TCE'!A12,"")</f>
        <v>1</v>
      </c>
      <c r="B12" s="475">
        <f>'Orçamento-TCE'!B12</f>
        <v>1</v>
      </c>
      <c r="C12" s="475" t="str">
        <f>IF('Orçamento-TCE'!C12&gt;0,'Orçamento-TCE'!C12,"")</f>
        <v>1.1</v>
      </c>
      <c r="D12" s="461" t="str">
        <f>IF('Orçamento-TCE'!G12&gt;0,'Orçamento-TCE'!G12,"")</f>
        <v>EQUIPE E CONSUMOS DE ADMINISTRAÇÃO LOCAL</v>
      </c>
      <c r="E12" s="461">
        <f>IF('Orçamento-TCE'!H12&gt;0,'Orçamento-TCE'!H12,"")</f>
        <v>1</v>
      </c>
      <c r="F12" s="461" t="str">
        <f>IF('Orçamento-TCE'!I12&gt;0,'Orçamento-TCE'!I12,"")</f>
        <v>UN</v>
      </c>
      <c r="G12" s="460">
        <f>orcamento!K11</f>
        <v>159651.45000000001</v>
      </c>
      <c r="H12" s="461">
        <f>IFERROR(IF(E12*G12&lt;&gt;0,ROUND(ROUND(E12,4)*ROUND(G12,4),2),""),"")</f>
        <v>159651.45000000001</v>
      </c>
      <c r="I12" s="462">
        <f>orcamento!J11</f>
        <v>0.24229999999999999</v>
      </c>
      <c r="J12" s="462">
        <v>1.1194999999999999</v>
      </c>
      <c r="K12" s="462"/>
      <c r="L12" s="476">
        <f>orcamento!M11</f>
        <v>8735.1600000000035</v>
      </c>
      <c r="M12" s="476">
        <f>orcamento!L11</f>
        <v>150916.29</v>
      </c>
    </row>
    <row r="13" spans="1:26" x14ac:dyDescent="0.3">
      <c r="A13" s="474">
        <f>IF('Orçamento-TCE'!A13&gt;0,'Orçamento-TCE'!A13,"")</f>
        <v>1</v>
      </c>
      <c r="B13" s="475">
        <f>'Orçamento-TCE'!B13</f>
        <v>2</v>
      </c>
      <c r="C13" s="475" t="str">
        <f>IF('Orçamento-TCE'!C13&gt;0,'Orçamento-TCE'!C13,"")</f>
        <v>1.2</v>
      </c>
      <c r="D13" s="461" t="str">
        <f>IF('Orçamento-TCE'!G13&gt;0,'Orçamento-TCE'!G13,"")</f>
        <v>SERVIÇO DE VIGILÂNCIA NOTURNO (DIÁRIO) E DIURNO (FINAIS DE SEMANA E FERIADO)</v>
      </c>
      <c r="E13" s="461">
        <f>IF('Orçamento-TCE'!H13&gt;0,'Orçamento-TCE'!H13,"")</f>
        <v>1</v>
      </c>
      <c r="F13" s="461" t="str">
        <f>IF('Orçamento-TCE'!I13&gt;0,'Orçamento-TCE'!I13,"")</f>
        <v>UN</v>
      </c>
      <c r="G13" s="460">
        <f>orcamento!K12</f>
        <v>44037.88</v>
      </c>
      <c r="H13" s="461">
        <f t="shared" ref="H13:H76" si="0">IFERROR(IF(E13*G13&lt;&gt;0,ROUND(ROUND(E13,4)*ROUND(G13,4),2),""),"")</f>
        <v>44037.88</v>
      </c>
      <c r="I13" s="462">
        <f>orcamento!J12</f>
        <v>0.24229999999999999</v>
      </c>
      <c r="J13" s="462">
        <v>1.1194999999999999</v>
      </c>
      <c r="K13" s="462"/>
      <c r="L13" s="476">
        <f>orcamento!M12</f>
        <v>5466.57</v>
      </c>
      <c r="M13" s="476">
        <f>orcamento!L12</f>
        <v>38571.31</v>
      </c>
    </row>
    <row r="14" spans="1:26" x14ac:dyDescent="0.3">
      <c r="A14" s="474">
        <f>IF('Orçamento-TCE'!A14&gt;0,'Orçamento-TCE'!A14,"")</f>
        <v>1</v>
      </c>
      <c r="B14" s="475">
        <f>'Orçamento-TCE'!B14</f>
        <v>3</v>
      </c>
      <c r="C14" s="475" t="str">
        <f>IF('Orçamento-TCE'!C14&gt;0,'Orçamento-TCE'!C14,"")</f>
        <v>1.3</v>
      </c>
      <c r="D14" s="461" t="str">
        <f>IF('Orçamento-TCE'!G14&gt;0,'Orçamento-TCE'!G14,"")</f>
        <v>DOCUMENTO DE RESPONSABILIDADE TÉCNICA</v>
      </c>
      <c r="E14" s="461">
        <f>IF('Orçamento-TCE'!H14&gt;0,'Orçamento-TCE'!H14,"")</f>
        <v>1</v>
      </c>
      <c r="F14" s="461" t="str">
        <f>IF('Orçamento-TCE'!I14&gt;0,'Orçamento-TCE'!I14,"")</f>
        <v>UN</v>
      </c>
      <c r="G14" s="460">
        <f>orcamento!K13</f>
        <v>354.78999999999996</v>
      </c>
      <c r="H14" s="461">
        <f t="shared" si="0"/>
        <v>354.79</v>
      </c>
      <c r="I14" s="462">
        <f>orcamento!J13</f>
        <v>0.24229999999999999</v>
      </c>
      <c r="J14" s="462">
        <v>1.1194999999999999</v>
      </c>
      <c r="K14" s="462"/>
      <c r="L14" s="476">
        <f>orcamento!M13</f>
        <v>354.79</v>
      </c>
      <c r="M14" s="476">
        <f>orcamento!L13</f>
        <v>0</v>
      </c>
    </row>
    <row r="15" spans="1:26" x14ac:dyDescent="0.3">
      <c r="A15" s="474">
        <f>IF('Orçamento-TCE'!A15&gt;0,'Orçamento-TCE'!A15,"")</f>
        <v>1</v>
      </c>
      <c r="B15" s="475">
        <f>'Orçamento-TCE'!B15</f>
        <v>4</v>
      </c>
      <c r="C15" s="475" t="str">
        <f>IF('Orçamento-TCE'!C15&gt;0,'Orçamento-TCE'!C15,"")</f>
        <v>1.4</v>
      </c>
      <c r="D15" s="461" t="str">
        <f>IF('Orçamento-TCE'!G15&gt;0,'Orçamento-TCE'!G15,"")</f>
        <v>PROJETO AS BUILT (1.550m2 DE ÁREA CONSTRUÍDA)</v>
      </c>
      <c r="E15" s="461">
        <f>IF('Orçamento-TCE'!H15&gt;0,'Orçamento-TCE'!H15,"")</f>
        <v>1</v>
      </c>
      <c r="F15" s="461" t="str">
        <f>IF('Orçamento-TCE'!I15&gt;0,'Orçamento-TCE'!I15,"")</f>
        <v>UN</v>
      </c>
      <c r="G15" s="460">
        <f>orcamento!K14</f>
        <v>1973.2800000000002</v>
      </c>
      <c r="H15" s="461">
        <f t="shared" si="0"/>
        <v>1973.28</v>
      </c>
      <c r="I15" s="462">
        <f>orcamento!J14</f>
        <v>0.24229999999999999</v>
      </c>
      <c r="J15" s="462">
        <v>1.1194999999999999</v>
      </c>
      <c r="K15" s="462"/>
      <c r="L15" s="476">
        <f>orcamento!M14</f>
        <v>0</v>
      </c>
      <c r="M15" s="476">
        <f>orcamento!L14</f>
        <v>1973.28</v>
      </c>
    </row>
    <row r="16" spans="1:26" x14ac:dyDescent="0.3">
      <c r="A16" s="474">
        <f>IF('Orçamento-TCE'!A16&gt;0,'Orçamento-TCE'!A16,"")</f>
        <v>1</v>
      </c>
      <c r="B16" s="475">
        <f>'Orçamento-TCE'!B16</f>
        <v>5</v>
      </c>
      <c r="C16" s="475" t="str">
        <f>IF('Orçamento-TCE'!C16&gt;0,'Orçamento-TCE'!C16,"")</f>
        <v>1.5</v>
      </c>
      <c r="D16" s="461" t="str">
        <f>IF('Orçamento-TCE'!G16&gt;0,'Orçamento-TCE'!G16,"")</f>
        <v>CADASTRO DE REDES (210m DE REDE DE DRENAGEM)</v>
      </c>
      <c r="E16" s="461">
        <f>IF('Orçamento-TCE'!H16&gt;0,'Orçamento-TCE'!H16,"")</f>
        <v>1</v>
      </c>
      <c r="F16" s="461" t="str">
        <f>IF('Orçamento-TCE'!I16&gt;0,'Orçamento-TCE'!I16,"")</f>
        <v>UN</v>
      </c>
      <c r="G16" s="460">
        <f>orcamento!K15</f>
        <v>1973.2800000000002</v>
      </c>
      <c r="H16" s="461">
        <f t="shared" si="0"/>
        <v>1973.28</v>
      </c>
      <c r="I16" s="462">
        <f>orcamento!J15</f>
        <v>0.24229999999999999</v>
      </c>
      <c r="J16" s="462">
        <v>1.1194999999999999</v>
      </c>
      <c r="K16" s="462"/>
      <c r="L16" s="476">
        <f>orcamento!M15</f>
        <v>0</v>
      </c>
      <c r="M16" s="476">
        <f>orcamento!L15</f>
        <v>1973.28</v>
      </c>
    </row>
    <row r="17" spans="1:13" x14ac:dyDescent="0.3">
      <c r="A17" s="474">
        <f>IF('Orçamento-TCE'!A17&gt;0,'Orçamento-TCE'!A17,"")</f>
        <v>1</v>
      </c>
      <c r="B17" s="475">
        <f>'Orçamento-TCE'!B17</f>
        <v>6</v>
      </c>
      <c r="C17" s="475" t="str">
        <f>IF('Orçamento-TCE'!C17&gt;0,'Orçamento-TCE'!C17,"")</f>
        <v>1.6</v>
      </c>
      <c r="D17" s="461" t="str">
        <f>IF('Orçamento-TCE'!G17&gt;0,'Orçamento-TCE'!G17,"")</f>
        <v>SERVIÇO DE LOCAÇÃO/TOPOGRAFIA (115M PAVIMENTO E 210M REDE DRENAGEM)</v>
      </c>
      <c r="E17" s="461">
        <f>IF('Orçamento-TCE'!H17&gt;0,'Orçamento-TCE'!H17,"")</f>
        <v>1</v>
      </c>
      <c r="F17" s="461" t="str">
        <f>IF('Orçamento-TCE'!I17&gt;0,'Orçamento-TCE'!I17,"")</f>
        <v>UN</v>
      </c>
      <c r="G17" s="460">
        <f>orcamento!K16</f>
        <v>6023.03</v>
      </c>
      <c r="H17" s="461">
        <f t="shared" si="0"/>
        <v>6023.03</v>
      </c>
      <c r="I17" s="462">
        <f>orcamento!J16</f>
        <v>0.24229999999999999</v>
      </c>
      <c r="J17" s="462">
        <v>1.1194999999999999</v>
      </c>
      <c r="K17" s="462"/>
      <c r="L17" s="476">
        <f>orcamento!M16</f>
        <v>283.40999999999985</v>
      </c>
      <c r="M17" s="476">
        <f>orcamento!L16</f>
        <v>5739.62</v>
      </c>
    </row>
    <row r="18" spans="1:13" x14ac:dyDescent="0.3">
      <c r="A18" s="474"/>
      <c r="B18" s="475"/>
      <c r="C18" s="475"/>
      <c r="D18" s="461"/>
      <c r="E18" s="461"/>
      <c r="F18" s="461"/>
      <c r="G18" s="460"/>
      <c r="H18" s="461"/>
      <c r="I18" s="462"/>
      <c r="J18" s="462"/>
      <c r="K18" s="462"/>
      <c r="L18" s="476"/>
      <c r="M18" s="476"/>
    </row>
    <row r="19" spans="1:13" x14ac:dyDescent="0.3">
      <c r="A19" s="474"/>
      <c r="B19" s="475"/>
      <c r="C19" s="475"/>
      <c r="D19" s="461"/>
      <c r="E19" s="461"/>
      <c r="F19" s="461"/>
      <c r="G19" s="460"/>
      <c r="H19" s="461"/>
      <c r="I19" s="462"/>
      <c r="J19" s="462"/>
      <c r="K19" s="462"/>
      <c r="L19" s="476"/>
      <c r="M19" s="476"/>
    </row>
    <row r="20" spans="1:13" ht="15.75" customHeight="1" x14ac:dyDescent="0.3">
      <c r="A20" s="474">
        <f>IF('Orçamento-TCE'!A20&gt;0,'Orçamento-TCE'!A20,"")</f>
        <v>1</v>
      </c>
      <c r="B20" s="475">
        <f>'Orçamento-TCE'!B20</f>
        <v>7</v>
      </c>
      <c r="C20" s="475" t="str">
        <f>IF('Orçamento-TCE'!C20&gt;0,'Orçamento-TCE'!C20,"")</f>
        <v>2.1.1</v>
      </c>
      <c r="D20" s="461" t="str">
        <f>IF('Orçamento-TCE'!G20&gt;0,'Orçamento-TCE'!G20,"")</f>
        <v>ENSAIO DE ÍNDICE SUPORTE CALIFORNIA</v>
      </c>
      <c r="E20" s="461">
        <f>IF('Orçamento-TCE'!H20&gt;0,'Orçamento-TCE'!H20,"")</f>
        <v>1</v>
      </c>
      <c r="F20" s="461" t="str">
        <f>IF('Orçamento-TCE'!I20&gt;0,'Orçamento-TCE'!I20,"")</f>
        <v>UN</v>
      </c>
      <c r="G20" s="460">
        <f>orcamento!K19</f>
        <v>383.40999999999997</v>
      </c>
      <c r="H20" s="461">
        <f t="shared" si="0"/>
        <v>383.41</v>
      </c>
      <c r="I20" s="462">
        <f>orcamento!J19</f>
        <v>0.24229999999999999</v>
      </c>
      <c r="J20" s="462">
        <v>1.1194999999999999</v>
      </c>
      <c r="K20" s="462"/>
      <c r="L20" s="476">
        <f>orcamento!M19</f>
        <v>62.69</v>
      </c>
      <c r="M20" s="476">
        <f>orcamento!L19</f>
        <v>320.72000000000003</v>
      </c>
    </row>
    <row r="21" spans="1:13" ht="15.75" customHeight="1" x14ac:dyDescent="0.3">
      <c r="A21" s="474">
        <f>IF('Orçamento-TCE'!A21&gt;0,'Orçamento-TCE'!A21,"")</f>
        <v>1</v>
      </c>
      <c r="B21" s="475">
        <f>'Orçamento-TCE'!B21</f>
        <v>8</v>
      </c>
      <c r="C21" s="475" t="str">
        <f>IF('Orçamento-TCE'!C21&gt;0,'Orçamento-TCE'!C21,"")</f>
        <v>2.1.2</v>
      </c>
      <c r="D21" s="461" t="str">
        <f>IF('Orçamento-TCE'!G21&gt;0,'Orçamento-TCE'!G21,"")</f>
        <v>ENSAIO DE DENSIDADE / UMIDADE</v>
      </c>
      <c r="E21" s="461">
        <f>IF('Orçamento-TCE'!H21&gt;0,'Orçamento-TCE'!H21,"")</f>
        <v>3</v>
      </c>
      <c r="F21" s="461" t="str">
        <f>IF('Orçamento-TCE'!I21&gt;0,'Orçamento-TCE'!I21,"")</f>
        <v>UN</v>
      </c>
      <c r="G21" s="460">
        <f>orcamento!K20</f>
        <v>265.99</v>
      </c>
      <c r="H21" s="461">
        <f t="shared" si="0"/>
        <v>797.97</v>
      </c>
      <c r="I21" s="462">
        <f>orcamento!J20</f>
        <v>0.24229999999999999</v>
      </c>
      <c r="J21" s="462">
        <v>1.1194999999999999</v>
      </c>
      <c r="K21" s="462"/>
      <c r="L21" s="476">
        <f>orcamento!M20</f>
        <v>86.82000000000005</v>
      </c>
      <c r="M21" s="476">
        <f>orcamento!L20</f>
        <v>711.15</v>
      </c>
    </row>
    <row r="22" spans="1:13" ht="15.75" customHeight="1" x14ac:dyDescent="0.3">
      <c r="A22" s="474">
        <f>IF('Orçamento-TCE'!A22&gt;0,'Orçamento-TCE'!A22,"")</f>
        <v>1</v>
      </c>
      <c r="B22" s="475">
        <f>'Orçamento-TCE'!B22</f>
        <v>9</v>
      </c>
      <c r="C22" s="475" t="str">
        <f>IF('Orçamento-TCE'!C22&gt;0,'Orçamento-TCE'!C22,"")</f>
        <v>2.1.3</v>
      </c>
      <c r="D22" s="461" t="str">
        <f>IF('Orçamento-TCE'!G22&gt;0,'Orçamento-TCE'!G22,"")</f>
        <v>ENSAIO DE GRANULOMETRIA POR PENEIRAMENTO E SEDIMENTAÇÃO</v>
      </c>
      <c r="E22" s="461">
        <f>IF('Orçamento-TCE'!H22&gt;0,'Orçamento-TCE'!H22,"")</f>
        <v>2</v>
      </c>
      <c r="F22" s="461" t="str">
        <f>IF('Orçamento-TCE'!I22&gt;0,'Orçamento-TCE'!I22,"")</f>
        <v>UN</v>
      </c>
      <c r="G22" s="460">
        <f>orcamento!K21</f>
        <v>316.54000000000002</v>
      </c>
      <c r="H22" s="461">
        <f t="shared" si="0"/>
        <v>633.08000000000004</v>
      </c>
      <c r="I22" s="462">
        <f>orcamento!J21</f>
        <v>0.24229999999999999</v>
      </c>
      <c r="J22" s="462">
        <v>1.1194999999999999</v>
      </c>
      <c r="K22" s="462"/>
      <c r="L22" s="476">
        <f>orcamento!M21</f>
        <v>103.20000000000005</v>
      </c>
      <c r="M22" s="476">
        <f>orcamento!L21</f>
        <v>529.88</v>
      </c>
    </row>
    <row r="23" spans="1:13" ht="15.75" customHeight="1" x14ac:dyDescent="0.3">
      <c r="A23" s="474">
        <f>IF('Orçamento-TCE'!A23&gt;0,'Orçamento-TCE'!A23,"")</f>
        <v>1</v>
      </c>
      <c r="B23" s="475">
        <f>'Orçamento-TCE'!B23</f>
        <v>10</v>
      </c>
      <c r="C23" s="475" t="str">
        <f>IF('Orçamento-TCE'!C23&gt;0,'Orçamento-TCE'!C23,"")</f>
        <v>2.1.4</v>
      </c>
      <c r="D23" s="461" t="str">
        <f>IF('Orçamento-TCE'!G23&gt;0,'Orçamento-TCE'!G23,"")</f>
        <v>ENSAIO DE LIMITE DE LIQUIDEZ / LIMITE DE PLASTICIDADE</v>
      </c>
      <c r="E23" s="461">
        <f>IF('Orçamento-TCE'!H23&gt;0,'Orçamento-TCE'!H23,"")</f>
        <v>1</v>
      </c>
      <c r="F23" s="461" t="str">
        <f>IF('Orçamento-TCE'!I23&gt;0,'Orçamento-TCE'!I23,"")</f>
        <v>UN</v>
      </c>
      <c r="G23" s="460">
        <f>orcamento!K22</f>
        <v>316.54000000000002</v>
      </c>
      <c r="H23" s="461">
        <f t="shared" si="0"/>
        <v>316.54000000000002</v>
      </c>
      <c r="I23" s="462">
        <f>orcamento!J22</f>
        <v>0.24229999999999999</v>
      </c>
      <c r="J23" s="462">
        <v>1.1194999999999999</v>
      </c>
      <c r="K23" s="462"/>
      <c r="L23" s="476">
        <f>orcamento!M22</f>
        <v>51.600000000000023</v>
      </c>
      <c r="M23" s="476">
        <f>orcamento!L22</f>
        <v>264.94</v>
      </c>
    </row>
    <row r="24" spans="1:13" ht="15.75" customHeight="1" x14ac:dyDescent="0.3">
      <c r="A24" s="474">
        <f>IF('Orçamento-TCE'!A24&gt;0,'Orçamento-TCE'!A24,"")</f>
        <v>1</v>
      </c>
      <c r="B24" s="475">
        <f>'Orçamento-TCE'!B24</f>
        <v>11</v>
      </c>
      <c r="C24" s="475" t="str">
        <f>IF('Orçamento-TCE'!C24&gt;0,'Orçamento-TCE'!C24,"")</f>
        <v>2.1.5</v>
      </c>
      <c r="D24" s="461" t="str">
        <f>IF('Orçamento-TCE'!G24&gt;0,'Orçamento-TCE'!G24,"")</f>
        <v>ENSAIO DE COMPACTAÇÃO MÉTODO NORMAL</v>
      </c>
      <c r="E24" s="461">
        <f>IF('Orçamento-TCE'!H24&gt;0,'Orçamento-TCE'!H24,"")</f>
        <v>3</v>
      </c>
      <c r="F24" s="461" t="str">
        <f>IF('Orçamento-TCE'!I24&gt;0,'Orçamento-TCE'!I24,"")</f>
        <v>UN</v>
      </c>
      <c r="G24" s="460">
        <f>orcamento!K23</f>
        <v>316.54000000000002</v>
      </c>
      <c r="H24" s="461">
        <f t="shared" si="0"/>
        <v>949.62</v>
      </c>
      <c r="I24" s="462">
        <f>orcamento!J23</f>
        <v>0.24229999999999999</v>
      </c>
      <c r="J24" s="462">
        <v>1.1194999999999999</v>
      </c>
      <c r="K24" s="462"/>
      <c r="L24" s="476">
        <f>orcamento!M23</f>
        <v>154.79999999999995</v>
      </c>
      <c r="M24" s="476">
        <f>orcamento!L23</f>
        <v>794.82</v>
      </c>
    </row>
    <row r="25" spans="1:13" ht="15.75" customHeight="1" x14ac:dyDescent="0.3">
      <c r="A25" s="474"/>
      <c r="B25" s="475"/>
      <c r="C25" s="475"/>
      <c r="D25" s="461"/>
      <c r="E25" s="461"/>
      <c r="F25" s="461"/>
      <c r="G25" s="460"/>
      <c r="H25" s="461"/>
      <c r="I25" s="462"/>
      <c r="J25" s="462"/>
      <c r="K25" s="462"/>
      <c r="L25" s="476"/>
      <c r="M25" s="476"/>
    </row>
    <row r="26" spans="1:13" x14ac:dyDescent="0.3">
      <c r="A26" s="474">
        <f>IF('Orçamento-TCE'!A26&gt;0,'Orçamento-TCE'!A26,"")</f>
        <v>1</v>
      </c>
      <c r="B26" s="475">
        <f>'Orçamento-TCE'!B26</f>
        <v>12</v>
      </c>
      <c r="C26" s="475" t="str">
        <f>IF('Orçamento-TCE'!C26&gt;0,'Orçamento-TCE'!C26,"")</f>
        <v>2.2.1</v>
      </c>
      <c r="D26" s="461" t="str">
        <f>IF('Orçamento-TCE'!G26&gt;0,'Orçamento-TCE'!G26,"")</f>
        <v>ENSAIO DE UMIDADE ANTES DA COMPACTAÇÃO</v>
      </c>
      <c r="E26" s="461">
        <f>IF('Orçamento-TCE'!H26&gt;0,'Orçamento-TCE'!H26,"")</f>
        <v>2</v>
      </c>
      <c r="F26" s="461" t="str">
        <f>IF('Orçamento-TCE'!I26&gt;0,'Orçamento-TCE'!I26,"")</f>
        <v>UN</v>
      </c>
      <c r="G26" s="460">
        <f>orcamento!K25</f>
        <v>130.93</v>
      </c>
      <c r="H26" s="461">
        <f t="shared" si="0"/>
        <v>261.86</v>
      </c>
      <c r="I26" s="462">
        <f>orcamento!J25</f>
        <v>0.24229999999999999</v>
      </c>
      <c r="J26" s="462">
        <v>1.1194999999999999</v>
      </c>
      <c r="K26" s="462"/>
      <c r="L26" s="476">
        <f>orcamento!M25</f>
        <v>32.78</v>
      </c>
      <c r="M26" s="476">
        <f>orcamento!L25</f>
        <v>229.08</v>
      </c>
    </row>
    <row r="27" spans="1:13" x14ac:dyDescent="0.3">
      <c r="A27" s="474">
        <f>IF('Orçamento-TCE'!A27&gt;0,'Orçamento-TCE'!A27,"")</f>
        <v>1</v>
      </c>
      <c r="B27" s="475">
        <f>'Orçamento-TCE'!B27</f>
        <v>13</v>
      </c>
      <c r="C27" s="475" t="str">
        <f>IF('Orçamento-TCE'!C27&gt;0,'Orçamento-TCE'!C27,"")</f>
        <v>2.2.2</v>
      </c>
      <c r="D27" s="461" t="str">
        <f>IF('Orçamento-TCE'!G27&gt;0,'Orçamento-TCE'!G27,"")</f>
        <v>ENSAIO DE ÍNDICE SUPORTE CALIFORNIA</v>
      </c>
      <c r="E27" s="461">
        <f>IF('Orçamento-TCE'!H27&gt;0,'Orçamento-TCE'!H27,"")</f>
        <v>1</v>
      </c>
      <c r="F27" s="461" t="str">
        <f>IF('Orçamento-TCE'!I27&gt;0,'Orçamento-TCE'!I27,"")</f>
        <v>UN</v>
      </c>
      <c r="G27" s="460">
        <f>orcamento!K26</f>
        <v>383.40999999999997</v>
      </c>
      <c r="H27" s="461">
        <f t="shared" si="0"/>
        <v>383.41</v>
      </c>
      <c r="I27" s="462">
        <f>orcamento!J26</f>
        <v>0.24229999999999999</v>
      </c>
      <c r="J27" s="462">
        <v>1.1194999999999999</v>
      </c>
      <c r="K27" s="462"/>
      <c r="L27" s="476">
        <f>orcamento!M26</f>
        <v>62.69</v>
      </c>
      <c r="M27" s="476">
        <f>orcamento!L26</f>
        <v>320.72000000000003</v>
      </c>
    </row>
    <row r="28" spans="1:13" x14ac:dyDescent="0.3">
      <c r="A28" s="474">
        <f>IF('Orçamento-TCE'!A28&gt;0,'Orçamento-TCE'!A28,"")</f>
        <v>1</v>
      </c>
      <c r="B28" s="475">
        <f>'Orçamento-TCE'!B28</f>
        <v>14</v>
      </c>
      <c r="C28" s="475" t="str">
        <f>IF('Orçamento-TCE'!C28&gt;0,'Orçamento-TCE'!C28,"")</f>
        <v>2.2.3</v>
      </c>
      <c r="D28" s="461" t="str">
        <f>IF('Orçamento-TCE'!G28&gt;0,'Orçamento-TCE'!G28,"")</f>
        <v>ENSAIO DE EQUIVALENTE AREIA</v>
      </c>
      <c r="E28" s="461">
        <f>IF('Orçamento-TCE'!H28&gt;0,'Orçamento-TCE'!H28,"")</f>
        <v>1</v>
      </c>
      <c r="F28" s="461" t="str">
        <f>IF('Orçamento-TCE'!I28&gt;0,'Orçamento-TCE'!I28,"")</f>
        <v>UN</v>
      </c>
      <c r="G28" s="460">
        <f>orcamento!K27</f>
        <v>150.08000000000001</v>
      </c>
      <c r="H28" s="461">
        <f t="shared" si="0"/>
        <v>150.08000000000001</v>
      </c>
      <c r="I28" s="462">
        <f>orcamento!J27</f>
        <v>0.24229999999999999</v>
      </c>
      <c r="J28" s="462">
        <v>1.1194999999999999</v>
      </c>
      <c r="K28" s="462"/>
      <c r="L28" s="476">
        <f>orcamento!M27</f>
        <v>24.590000000000018</v>
      </c>
      <c r="M28" s="476">
        <f>orcamento!L27</f>
        <v>125.49</v>
      </c>
    </row>
    <row r="29" spans="1:13" x14ac:dyDescent="0.3">
      <c r="A29" s="474">
        <f>IF('Orçamento-TCE'!A29&gt;0,'Orçamento-TCE'!A29,"")</f>
        <v>1</v>
      </c>
      <c r="B29" s="475">
        <f>'Orçamento-TCE'!B29</f>
        <v>15</v>
      </c>
      <c r="C29" s="475" t="str">
        <f>IF('Orçamento-TCE'!C29&gt;0,'Orçamento-TCE'!C29,"")</f>
        <v>2.2.4</v>
      </c>
      <c r="D29" s="461" t="str">
        <f>IF('Orçamento-TCE'!G29&gt;0,'Orçamento-TCE'!G29,"")</f>
        <v>ENSAIO DE MASSA ESPECÍFICA APARENTE</v>
      </c>
      <c r="E29" s="461">
        <f>IF('Orçamento-TCE'!H29&gt;0,'Orçamento-TCE'!H29,"")</f>
        <v>4</v>
      </c>
      <c r="F29" s="461" t="str">
        <f>IF('Orçamento-TCE'!I29&gt;0,'Orçamento-TCE'!I29,"")</f>
        <v>UN</v>
      </c>
      <c r="G29" s="460">
        <f>orcamento!K28</f>
        <v>116.39999999999999</v>
      </c>
      <c r="H29" s="461">
        <f t="shared" si="0"/>
        <v>465.6</v>
      </c>
      <c r="I29" s="462">
        <f>orcamento!J28</f>
        <v>0.24229999999999999</v>
      </c>
      <c r="J29" s="462">
        <v>1.1194999999999999</v>
      </c>
      <c r="K29" s="462"/>
      <c r="L29" s="476">
        <f>orcamento!M28</f>
        <v>75.200000000000045</v>
      </c>
      <c r="M29" s="476">
        <f>orcamento!L28</f>
        <v>390.4</v>
      </c>
    </row>
    <row r="30" spans="1:13" x14ac:dyDescent="0.3">
      <c r="A30" s="474">
        <f>IF('Orçamento-TCE'!A30&gt;0,'Orçamento-TCE'!A30,"")</f>
        <v>1</v>
      </c>
      <c r="B30" s="475">
        <f>'Orçamento-TCE'!B30</f>
        <v>16</v>
      </c>
      <c r="C30" s="475" t="str">
        <f>IF('Orçamento-TCE'!C30&gt;0,'Orçamento-TCE'!C30,"")</f>
        <v>2.2.5</v>
      </c>
      <c r="D30" s="461" t="str">
        <f>IF('Orçamento-TCE'!G30&gt;0,'Orçamento-TCE'!G30,"")</f>
        <v>ENSAIO DE LIMITE DE LIQUIDEZ / LIMITE DE PLASTICIDADE</v>
      </c>
      <c r="E30" s="461">
        <f>IF('Orçamento-TCE'!H30&gt;0,'Orçamento-TCE'!H30,"")</f>
        <v>2</v>
      </c>
      <c r="F30" s="461" t="str">
        <f>IF('Orçamento-TCE'!I30&gt;0,'Orçamento-TCE'!I30,"")</f>
        <v>UN</v>
      </c>
      <c r="G30" s="460">
        <f>orcamento!K29</f>
        <v>316.54000000000002</v>
      </c>
      <c r="H30" s="461">
        <f t="shared" si="0"/>
        <v>633.08000000000004</v>
      </c>
      <c r="I30" s="462">
        <f>orcamento!J29</f>
        <v>0.24229999999999999</v>
      </c>
      <c r="J30" s="462">
        <v>1.1194999999999999</v>
      </c>
      <c r="K30" s="462"/>
      <c r="L30" s="476">
        <f>orcamento!M29</f>
        <v>103.20000000000005</v>
      </c>
      <c r="M30" s="476">
        <f>orcamento!L29</f>
        <v>529.88</v>
      </c>
    </row>
    <row r="31" spans="1:13" x14ac:dyDescent="0.3">
      <c r="A31" s="474">
        <f>IF('Orçamento-TCE'!A31&gt;0,'Orçamento-TCE'!A31,"")</f>
        <v>1</v>
      </c>
      <c r="B31" s="475">
        <f>'Orçamento-TCE'!B31</f>
        <v>17</v>
      </c>
      <c r="C31" s="475" t="str">
        <f>IF('Orçamento-TCE'!C31&gt;0,'Orçamento-TCE'!C31,"")</f>
        <v>2.2.6</v>
      </c>
      <c r="D31" s="461" t="str">
        <f>IF('Orçamento-TCE'!G31&gt;0,'Orçamento-TCE'!G31,"")</f>
        <v>ENSAIO DE COMPACTAÇÃO MÉTODO MODIFICADO</v>
      </c>
      <c r="E31" s="461">
        <f>IF('Orçamento-TCE'!H31&gt;0,'Orçamento-TCE'!H31,"")</f>
        <v>2</v>
      </c>
      <c r="F31" s="461" t="str">
        <f>IF('Orçamento-TCE'!I31&gt;0,'Orçamento-TCE'!I31,"")</f>
        <v>UN</v>
      </c>
      <c r="G31" s="460">
        <f>orcamento!K30</f>
        <v>633.59</v>
      </c>
      <c r="H31" s="461">
        <f t="shared" si="0"/>
        <v>1267.18</v>
      </c>
      <c r="I31" s="462">
        <f>orcamento!J30</f>
        <v>0.24229999999999999</v>
      </c>
      <c r="J31" s="462">
        <v>1.1194999999999999</v>
      </c>
      <c r="K31" s="462"/>
      <c r="L31" s="476">
        <f>orcamento!M30</f>
        <v>207.38000000000011</v>
      </c>
      <c r="M31" s="476">
        <f>orcamento!L30</f>
        <v>1059.8</v>
      </c>
    </row>
    <row r="32" spans="1:13" x14ac:dyDescent="0.3">
      <c r="A32" s="474"/>
      <c r="B32" s="475"/>
      <c r="C32" s="475"/>
      <c r="D32" s="461"/>
      <c r="E32" s="461"/>
      <c r="F32" s="461"/>
      <c r="G32" s="460"/>
      <c r="H32" s="461"/>
      <c r="I32" s="462"/>
      <c r="J32" s="462"/>
      <c r="K32" s="462"/>
      <c r="L32" s="476"/>
      <c r="M32" s="476"/>
    </row>
    <row r="33" spans="1:13" x14ac:dyDescent="0.3">
      <c r="A33" s="474">
        <f>IF('Orçamento-TCE'!A33&gt;0,'Orçamento-TCE'!A33,"")</f>
        <v>1</v>
      </c>
      <c r="B33" s="475">
        <f>'Orçamento-TCE'!B33</f>
        <v>18</v>
      </c>
      <c r="C33" s="475" t="str">
        <f>IF('Orçamento-TCE'!C33&gt;0,'Orçamento-TCE'!C33,"")</f>
        <v>2.3.1</v>
      </c>
      <c r="D33" s="461" t="str">
        <f>IF('Orçamento-TCE'!G33&gt;0,'Orçamento-TCE'!G33,"")</f>
        <v>ENSAIO DE TAXA APLICAÇÃO IMPRIMAÇÃO</v>
      </c>
      <c r="E33" s="461">
        <f>IF('Orçamento-TCE'!H33&gt;0,'Orçamento-TCE'!H33,"")</f>
        <v>1</v>
      </c>
      <c r="F33" s="461" t="str">
        <f>IF('Orçamento-TCE'!I33&gt;0,'Orçamento-TCE'!I33,"")</f>
        <v>UN</v>
      </c>
      <c r="G33" s="460">
        <f>orcamento!K32</f>
        <v>125.46</v>
      </c>
      <c r="H33" s="461">
        <f t="shared" si="0"/>
        <v>125.46</v>
      </c>
      <c r="I33" s="462">
        <f>orcamento!J32</f>
        <v>0.24229999999999999</v>
      </c>
      <c r="J33" s="462">
        <v>1.1194999999999999</v>
      </c>
      <c r="K33" s="462"/>
      <c r="L33" s="476">
        <f>orcamento!M32</f>
        <v>27.86</v>
      </c>
      <c r="M33" s="476">
        <f>orcamento!L32</f>
        <v>97.6</v>
      </c>
    </row>
    <row r="34" spans="1:13" x14ac:dyDescent="0.3">
      <c r="A34" s="474"/>
      <c r="B34" s="475"/>
      <c r="C34" s="475"/>
      <c r="D34" s="461"/>
      <c r="E34" s="461"/>
      <c r="F34" s="461"/>
      <c r="G34" s="460"/>
      <c r="H34" s="461"/>
      <c r="I34" s="462"/>
      <c r="J34" s="462"/>
      <c r="K34" s="462"/>
      <c r="L34" s="476"/>
      <c r="M34" s="476"/>
    </row>
    <row r="35" spans="1:13" x14ac:dyDescent="0.3">
      <c r="A35" s="474">
        <f>IF('Orçamento-TCE'!A35&gt;0,'Orçamento-TCE'!A35,"")</f>
        <v>1</v>
      </c>
      <c r="B35" s="475">
        <f>'Orçamento-TCE'!B35</f>
        <v>19</v>
      </c>
      <c r="C35" s="475" t="str">
        <f>IF('Orçamento-TCE'!C35&gt;0,'Orçamento-TCE'!C35,"")</f>
        <v>2.4.1</v>
      </c>
      <c r="D35" s="461" t="str">
        <f>IF('Orçamento-TCE'!G35&gt;0,'Orçamento-TCE'!G35,"")</f>
        <v>ENSAIO DE DESGASTE E RESISTENCIA</v>
      </c>
      <c r="E35" s="461">
        <f>IF('Orçamento-TCE'!H35&gt;0,'Orçamento-TCE'!H35,"")</f>
        <v>2</v>
      </c>
      <c r="F35" s="461" t="str">
        <f>IF('Orçamento-TCE'!I35&gt;0,'Orçamento-TCE'!I35,"")</f>
        <v>UN</v>
      </c>
      <c r="G35" s="460">
        <f>orcamento!K34</f>
        <v>226.76999999999998</v>
      </c>
      <c r="H35" s="461">
        <f t="shared" si="0"/>
        <v>453.54</v>
      </c>
      <c r="I35" s="462">
        <f>orcamento!J34</f>
        <v>0.24229999999999999</v>
      </c>
      <c r="J35" s="462">
        <v>1.1194999999999999</v>
      </c>
      <c r="K35" s="462"/>
      <c r="L35" s="476">
        <f>orcamento!M34</f>
        <v>91</v>
      </c>
      <c r="M35" s="476">
        <f>orcamento!L34</f>
        <v>362.54</v>
      </c>
    </row>
    <row r="36" spans="1:13" x14ac:dyDescent="0.3">
      <c r="A36" s="474"/>
      <c r="B36" s="475"/>
      <c r="C36" s="475"/>
      <c r="D36" s="461"/>
      <c r="E36" s="461"/>
      <c r="F36" s="461"/>
      <c r="G36" s="460"/>
      <c r="H36" s="461"/>
      <c r="I36" s="462"/>
      <c r="J36" s="462"/>
      <c r="K36" s="462"/>
      <c r="L36" s="476"/>
      <c r="M36" s="476"/>
    </row>
    <row r="37" spans="1:13" x14ac:dyDescent="0.3">
      <c r="A37" s="474">
        <f>IF('Orçamento-TCE'!A37&gt;0,'Orçamento-TCE'!A37,"")</f>
        <v>1</v>
      </c>
      <c r="B37" s="475">
        <f>'Orçamento-TCE'!B37</f>
        <v>20</v>
      </c>
      <c r="C37" s="475" t="str">
        <f>IF('Orçamento-TCE'!C37&gt;0,'Orçamento-TCE'!C37,"")</f>
        <v>2.5.1</v>
      </c>
      <c r="D37" s="461" t="str">
        <f>IF('Orçamento-TCE'!G37&gt;0,'Orçamento-TCE'!G37,"")</f>
        <v>ENSAIO DE EXTRAÇÃO DE BETUME / GRANULAMETRIA / MARSHALL</v>
      </c>
      <c r="E37" s="461">
        <f>IF('Orçamento-TCE'!H37&gt;0,'Orçamento-TCE'!H37,"")</f>
        <v>2</v>
      </c>
      <c r="F37" s="461" t="str">
        <f>IF('Orçamento-TCE'!I37&gt;0,'Orçamento-TCE'!I37,"")</f>
        <v>UN</v>
      </c>
      <c r="G37" s="460">
        <f>orcamento!K36</f>
        <v>988.39</v>
      </c>
      <c r="H37" s="461">
        <f t="shared" si="0"/>
        <v>1976.78</v>
      </c>
      <c r="I37" s="462">
        <f>orcamento!J36</f>
        <v>0.24229999999999999</v>
      </c>
      <c r="J37" s="462">
        <v>1.1194999999999999</v>
      </c>
      <c r="K37" s="462"/>
      <c r="L37" s="476">
        <f>orcamento!M36</f>
        <v>442.87999999999988</v>
      </c>
      <c r="M37" s="476">
        <f>orcamento!L36</f>
        <v>1533.9</v>
      </c>
    </row>
    <row r="38" spans="1:13" x14ac:dyDescent="0.3">
      <c r="A38" s="474">
        <f>IF('Orçamento-TCE'!A38&gt;0,'Orçamento-TCE'!A38,"")</f>
        <v>1</v>
      </c>
      <c r="B38" s="475">
        <f>'Orçamento-TCE'!B38</f>
        <v>21</v>
      </c>
      <c r="C38" s="475" t="str">
        <f>IF('Orçamento-TCE'!C38&gt;0,'Orçamento-TCE'!C38,"")</f>
        <v>2.5.2</v>
      </c>
      <c r="D38" s="461" t="str">
        <f>IF('Orçamento-TCE'!G38&gt;0,'Orçamento-TCE'!G38,"")</f>
        <v>ENSAIO DE TEMPERATURA INICIO ESPALHAMENTO</v>
      </c>
      <c r="E38" s="461">
        <f>IF('Orçamento-TCE'!H38&gt;0,'Orçamento-TCE'!H38,"")</f>
        <v>4</v>
      </c>
      <c r="F38" s="461" t="str">
        <f>IF('Orçamento-TCE'!I38&gt;0,'Orçamento-TCE'!I38,"")</f>
        <v>UN</v>
      </c>
      <c r="G38" s="460">
        <f>orcamento!K37</f>
        <v>89.71</v>
      </c>
      <c r="H38" s="461">
        <f t="shared" si="0"/>
        <v>358.84</v>
      </c>
      <c r="I38" s="462">
        <f>orcamento!J37</f>
        <v>0.24229999999999999</v>
      </c>
      <c r="J38" s="462">
        <v>1.1194999999999999</v>
      </c>
      <c r="K38" s="462"/>
      <c r="L38" s="476">
        <f>orcamento!M37</f>
        <v>80</v>
      </c>
      <c r="M38" s="476">
        <f>orcamento!L37</f>
        <v>278.83999999999997</v>
      </c>
    </row>
    <row r="39" spans="1:13" x14ac:dyDescent="0.3">
      <c r="A39" s="474">
        <f>IF('Orçamento-TCE'!A39&gt;0,'Orçamento-TCE'!A39,"")</f>
        <v>1</v>
      </c>
      <c r="B39" s="475">
        <f>'Orçamento-TCE'!B39</f>
        <v>22</v>
      </c>
      <c r="C39" s="475" t="str">
        <f>IF('Orçamento-TCE'!C39&gt;0,'Orçamento-TCE'!C39,"")</f>
        <v>2.5.3</v>
      </c>
      <c r="D39" s="461" t="str">
        <f>IF('Orçamento-TCE'!G39&gt;0,'Orçamento-TCE'!G39,"")</f>
        <v>ENSAIO DE COMPRESSÃO</v>
      </c>
      <c r="E39" s="461">
        <f>IF('Orçamento-TCE'!H39&gt;0,'Orçamento-TCE'!H39,"")</f>
        <v>2</v>
      </c>
      <c r="F39" s="461" t="str">
        <f>IF('Orçamento-TCE'!I39&gt;0,'Orçamento-TCE'!I39,"")</f>
        <v>UN</v>
      </c>
      <c r="G39" s="460">
        <f>orcamento!K38</f>
        <v>157.28</v>
      </c>
      <c r="H39" s="461">
        <f t="shared" si="0"/>
        <v>314.56</v>
      </c>
      <c r="I39" s="462">
        <f>orcamento!J38</f>
        <v>0.24229999999999999</v>
      </c>
      <c r="J39" s="462">
        <v>1.1194999999999999</v>
      </c>
      <c r="K39" s="462"/>
      <c r="L39" s="476">
        <f>orcamento!M38</f>
        <v>63.580000000000013</v>
      </c>
      <c r="M39" s="476">
        <f>orcamento!L38</f>
        <v>250.98</v>
      </c>
    </row>
    <row r="40" spans="1:13" x14ac:dyDescent="0.3">
      <c r="A40" s="474"/>
      <c r="B40" s="475"/>
      <c r="C40" s="475"/>
      <c r="D40" s="461"/>
      <c r="E40" s="461"/>
      <c r="F40" s="461"/>
      <c r="G40" s="460"/>
      <c r="H40" s="461"/>
      <c r="I40" s="462"/>
      <c r="J40" s="462"/>
      <c r="K40" s="462"/>
      <c r="L40" s="476"/>
      <c r="M40" s="476"/>
    </row>
    <row r="41" spans="1:13" x14ac:dyDescent="0.3">
      <c r="A41" s="474">
        <f>IF('Orçamento-TCE'!A41&gt;0,'Orçamento-TCE'!A41,"")</f>
        <v>1</v>
      </c>
      <c r="B41" s="475">
        <f>'Orçamento-TCE'!B41</f>
        <v>23</v>
      </c>
      <c r="C41" s="475" t="str">
        <f>IF('Orçamento-TCE'!C41&gt;0,'Orçamento-TCE'!C41,"")</f>
        <v>2.6.1</v>
      </c>
      <c r="D41" s="461" t="str">
        <f>IF('Orçamento-TCE'!G41&gt;0,'Orçamento-TCE'!G41,"")</f>
        <v>COLETA CONJUNTO DE AMOSTRAS</v>
      </c>
      <c r="E41" s="461">
        <f>IF('Orçamento-TCE'!H41&gt;0,'Orçamento-TCE'!H41,"")</f>
        <v>9</v>
      </c>
      <c r="F41" s="461" t="str">
        <f>IF('Orçamento-TCE'!I41&gt;0,'Orçamento-TCE'!I41,"")</f>
        <v>UN</v>
      </c>
      <c r="G41" s="460">
        <f>orcamento!K40</f>
        <v>71.3</v>
      </c>
      <c r="H41" s="461">
        <f t="shared" si="0"/>
        <v>641.70000000000005</v>
      </c>
      <c r="I41" s="462">
        <f>orcamento!J40</f>
        <v>0.24229999999999999</v>
      </c>
      <c r="J41" s="462">
        <v>1.1194999999999999</v>
      </c>
      <c r="K41" s="462"/>
      <c r="L41" s="476">
        <f>orcamento!M40</f>
        <v>126.2700000000001</v>
      </c>
      <c r="M41" s="476">
        <f>orcamento!L40</f>
        <v>515.42999999999995</v>
      </c>
    </row>
    <row r="42" spans="1:13" x14ac:dyDescent="0.3">
      <c r="A42" s="474"/>
      <c r="B42" s="475"/>
      <c r="C42" s="475"/>
      <c r="D42" s="461"/>
      <c r="E42" s="461"/>
      <c r="F42" s="461"/>
      <c r="G42" s="460"/>
      <c r="H42" s="461"/>
      <c r="I42" s="462"/>
      <c r="J42" s="462"/>
      <c r="K42" s="462"/>
      <c r="L42" s="476"/>
      <c r="M42" s="476"/>
    </row>
    <row r="43" spans="1:13" x14ac:dyDescent="0.3">
      <c r="A43" s="474">
        <f>IF('Orçamento-TCE'!A43&gt;0,'Orçamento-TCE'!A43,"")</f>
        <v>1</v>
      </c>
      <c r="B43" s="475">
        <f>'Orçamento-TCE'!B43</f>
        <v>24</v>
      </c>
      <c r="C43" s="475" t="str">
        <f>IF('Orçamento-TCE'!C43&gt;0,'Orçamento-TCE'!C43,"")</f>
        <v>3.1</v>
      </c>
      <c r="D43" s="461" t="str">
        <f>IF('Orçamento-TCE'!G43&gt;0,'Orçamento-TCE'!G43,"")</f>
        <v>LOCACAO DE CONTAINER 2,30 X 6,00 M, ALT. 2,50 M, PARA ESCRITORIO, SEM DIVISORIAS INTERNAS E SEM SANITARIO (NAO INCLUI MOBILIZACAO/DESMOBILIZACAO)</v>
      </c>
      <c r="E43" s="461">
        <f>IF('Orçamento-TCE'!H43&gt;0,'Orçamento-TCE'!H43,"")</f>
        <v>4</v>
      </c>
      <c r="F43" s="461" t="str">
        <f>IF('Orçamento-TCE'!I43&gt;0,'Orçamento-TCE'!I43,"")</f>
        <v>MES</v>
      </c>
      <c r="G43" s="460">
        <f>orcamento!K42</f>
        <v>1062.4100000000001</v>
      </c>
      <c r="H43" s="461">
        <f t="shared" si="0"/>
        <v>4249.6400000000003</v>
      </c>
      <c r="I43" s="462">
        <f>orcamento!J42</f>
        <v>0.16980000000000001</v>
      </c>
      <c r="J43" s="462">
        <v>1.1194999999999999</v>
      </c>
      <c r="K43" s="462"/>
      <c r="L43" s="476">
        <f>orcamento!M42</f>
        <v>4249.6400000000003</v>
      </c>
      <c r="M43" s="476">
        <f>orcamento!L42</f>
        <v>0</v>
      </c>
    </row>
    <row r="44" spans="1:13" x14ac:dyDescent="0.3">
      <c r="A44" s="474">
        <f>IF('Orçamento-TCE'!A44&gt;0,'Orçamento-TCE'!A44,"")</f>
        <v>1</v>
      </c>
      <c r="B44" s="475">
        <f>'Orçamento-TCE'!B44</f>
        <v>25</v>
      </c>
      <c r="C44" s="475" t="str">
        <f>IF('Orçamento-TCE'!C44&gt;0,'Orçamento-TCE'!C44,"")</f>
        <v>3.2</v>
      </c>
      <c r="D44" s="461" t="str">
        <f>IF('Orçamento-TCE'!G44&gt;0,'Orçamento-TCE'!G44,"")</f>
        <v>LOCAÇÃO DE BANHEIRO QUÍMICO INDIVIDUAL, INCLUSO TRANSPORTE, LIMPEZA E REPOSIÇÃO DE PAPEL HIGIENICO</v>
      </c>
      <c r="E44" s="461">
        <f>IF('Orçamento-TCE'!H44&gt;0,'Orçamento-TCE'!H44,"")</f>
        <v>4</v>
      </c>
      <c r="F44" s="461" t="str">
        <f>IF('Orçamento-TCE'!I44&gt;0,'Orçamento-TCE'!I44,"")</f>
        <v>MES</v>
      </c>
      <c r="G44" s="460">
        <f>orcamento!K43</f>
        <v>1859.98</v>
      </c>
      <c r="H44" s="461">
        <f t="shared" si="0"/>
        <v>7439.92</v>
      </c>
      <c r="I44" s="462">
        <f>orcamento!J43</f>
        <v>0.16980000000000001</v>
      </c>
      <c r="J44" s="462">
        <v>1.1194999999999999</v>
      </c>
      <c r="K44" s="462"/>
      <c r="L44" s="476">
        <f>orcamento!M43</f>
        <v>7439.92</v>
      </c>
      <c r="M44" s="476">
        <f>orcamento!L43</f>
        <v>0</v>
      </c>
    </row>
    <row r="45" spans="1:13" x14ac:dyDescent="0.3">
      <c r="A45" s="474"/>
      <c r="B45" s="475"/>
      <c r="C45" s="475"/>
      <c r="D45" s="461"/>
      <c r="E45" s="461"/>
      <c r="F45" s="461"/>
      <c r="G45" s="460"/>
      <c r="H45" s="461"/>
      <c r="I45" s="462"/>
      <c r="J45" s="462"/>
      <c r="K45" s="462"/>
      <c r="L45" s="476"/>
      <c r="M45" s="476"/>
    </row>
    <row r="46" spans="1:13" x14ac:dyDescent="0.3">
      <c r="A46" s="474">
        <f>IF('Orçamento-TCE'!A46&gt;0,'Orçamento-TCE'!A46,"")</f>
        <v>1</v>
      </c>
      <c r="B46" s="475">
        <f>'Orçamento-TCE'!B46</f>
        <v>26</v>
      </c>
      <c r="C46" s="475" t="str">
        <f>IF('Orçamento-TCE'!C46&gt;0,'Orçamento-TCE'!C46,"")</f>
        <v>4.1</v>
      </c>
      <c r="D46" s="461" t="str">
        <f>IF('Orçamento-TCE'!G46&gt;0,'Orçamento-TCE'!G46,"")</f>
        <v>MOBILIZAÇÃO EQUIPAMENTOS AUTOPROPELIDOS E LEVES</v>
      </c>
      <c r="E46" s="461">
        <f>IF('Orçamento-TCE'!H46&gt;0,'Orçamento-TCE'!H46,"")</f>
        <v>1</v>
      </c>
      <c r="F46" s="461" t="str">
        <f>IF('Orçamento-TCE'!I46&gt;0,'Orçamento-TCE'!I46,"")</f>
        <v>UN</v>
      </c>
      <c r="G46" s="460">
        <f>orcamento!K45</f>
        <v>4261.45</v>
      </c>
      <c r="H46" s="461">
        <f t="shared" si="0"/>
        <v>4261.45</v>
      </c>
      <c r="I46" s="462">
        <f>orcamento!J45</f>
        <v>0.24229999999999999</v>
      </c>
      <c r="J46" s="462">
        <v>1.1194999999999999</v>
      </c>
      <c r="K46" s="462"/>
      <c r="L46" s="476">
        <f>orcamento!M45</f>
        <v>3608.37</v>
      </c>
      <c r="M46" s="476">
        <f>orcamento!L45</f>
        <v>653.08000000000004</v>
      </c>
    </row>
    <row r="47" spans="1:13" x14ac:dyDescent="0.3">
      <c r="A47" s="474">
        <f>IF('Orçamento-TCE'!A47&gt;0,'Orçamento-TCE'!A47,"")</f>
        <v>1</v>
      </c>
      <c r="B47" s="475">
        <f>'Orçamento-TCE'!B47</f>
        <v>27</v>
      </c>
      <c r="C47" s="475" t="str">
        <f>IF('Orçamento-TCE'!C47&gt;0,'Orçamento-TCE'!C47,"")</f>
        <v>4.2</v>
      </c>
      <c r="D47" s="461" t="str">
        <f>IF('Orçamento-TCE'!G47&gt;0,'Orçamento-TCE'!G47,"")</f>
        <v>FRETE CONTAINER</v>
      </c>
      <c r="E47" s="461">
        <f>IF('Orçamento-TCE'!H47&gt;0,'Orçamento-TCE'!H47,"")</f>
        <v>1</v>
      </c>
      <c r="F47" s="461" t="str">
        <f>IF('Orçamento-TCE'!I47&gt;0,'Orçamento-TCE'!I47,"")</f>
        <v>UN</v>
      </c>
      <c r="G47" s="460">
        <f>orcamento!K46</f>
        <v>780.95</v>
      </c>
      <c r="H47" s="461">
        <f t="shared" si="0"/>
        <v>780.95</v>
      </c>
      <c r="I47" s="462">
        <f>orcamento!J46</f>
        <v>0.24229999999999999</v>
      </c>
      <c r="J47" s="462">
        <v>1.1194999999999999</v>
      </c>
      <c r="K47" s="462"/>
      <c r="L47" s="476">
        <f>orcamento!M46</f>
        <v>666.2</v>
      </c>
      <c r="M47" s="476">
        <f>orcamento!L46</f>
        <v>114.75</v>
      </c>
    </row>
    <row r="48" spans="1:13" x14ac:dyDescent="0.3">
      <c r="A48" s="474">
        <f>IF('Orçamento-TCE'!A48&gt;0,'Orçamento-TCE'!A48,"")</f>
        <v>1</v>
      </c>
      <c r="B48" s="475">
        <f>'Orçamento-TCE'!B48</f>
        <v>28</v>
      </c>
      <c r="C48" s="475" t="str">
        <f>IF('Orçamento-TCE'!C48&gt;0,'Orçamento-TCE'!C48,"")</f>
        <v>4.3</v>
      </c>
      <c r="D48" s="461" t="str">
        <f>IF('Orçamento-TCE'!G48&gt;0,'Orçamento-TCE'!G48,"")</f>
        <v>INSTALAÇÃO E DESINSTALAÇÃO MECANIZADA DE CONTÊINER OU MÓDULO HABITÁVEL DE USOS DIVERSOS. AF_03/2024</v>
      </c>
      <c r="E48" s="461">
        <f>IF('Orçamento-TCE'!H48&gt;0,'Orçamento-TCE'!H48,"")</f>
        <v>1</v>
      </c>
      <c r="F48" s="461" t="str">
        <f>IF('Orçamento-TCE'!I48&gt;0,'Orçamento-TCE'!I48,"")</f>
        <v>UN</v>
      </c>
      <c r="G48" s="460">
        <f>orcamento!K47</f>
        <v>162.83999999999997</v>
      </c>
      <c r="H48" s="461">
        <f t="shared" si="0"/>
        <v>162.84</v>
      </c>
      <c r="I48" s="462">
        <f>orcamento!J47</f>
        <v>0.16980000000000001</v>
      </c>
      <c r="J48" s="462">
        <v>1.1194999999999999</v>
      </c>
      <c r="K48" s="462"/>
      <c r="L48" s="476">
        <f>orcamento!M47</f>
        <v>76.62</v>
      </c>
      <c r="M48" s="476">
        <f>orcamento!L47</f>
        <v>86.22</v>
      </c>
    </row>
    <row r="49" spans="1:13" x14ac:dyDescent="0.3">
      <c r="A49" s="474"/>
      <c r="B49" s="475"/>
      <c r="C49" s="475"/>
      <c r="D49" s="461"/>
      <c r="E49" s="461"/>
      <c r="F49" s="461"/>
      <c r="G49" s="460"/>
      <c r="H49" s="461"/>
      <c r="I49" s="462"/>
      <c r="J49" s="462"/>
      <c r="K49" s="462"/>
      <c r="L49" s="476"/>
      <c r="M49" s="476"/>
    </row>
    <row r="50" spans="1:13" x14ac:dyDescent="0.3">
      <c r="A50" s="474">
        <f>IF('Orçamento-TCE'!A50&gt;0,'Orçamento-TCE'!A50,"")</f>
        <v>1</v>
      </c>
      <c r="B50" s="475">
        <f>'Orçamento-TCE'!B50</f>
        <v>29</v>
      </c>
      <c r="C50" s="475" t="str">
        <f>IF('Orçamento-TCE'!C50&gt;0,'Orçamento-TCE'!C50,"")</f>
        <v>5.1</v>
      </c>
      <c r="D50" s="461" t="str">
        <f>IF('Orçamento-TCE'!G50&gt;0,'Orçamento-TCE'!G50,"")</f>
        <v>CONE DE SINALIZACAO EM PVC FLEXIVEL, H = 70 / 76 CM - FORNECIMENTO E INSTALAÇÃO</v>
      </c>
      <c r="E50" s="461">
        <f>IF('Orçamento-TCE'!H50&gt;0,'Orçamento-TCE'!H50,"")</f>
        <v>9</v>
      </c>
      <c r="F50" s="461" t="str">
        <f>IF('Orçamento-TCE'!I50&gt;0,'Orçamento-TCE'!I50,"")</f>
        <v>UN</v>
      </c>
      <c r="G50" s="460">
        <f>orcamento!K49</f>
        <v>156.37</v>
      </c>
      <c r="H50" s="461">
        <f t="shared" si="0"/>
        <v>1407.33</v>
      </c>
      <c r="I50" s="462">
        <f>orcamento!J49</f>
        <v>0.24229999999999999</v>
      </c>
      <c r="J50" s="462">
        <v>1.1194999999999999</v>
      </c>
      <c r="K50" s="462"/>
      <c r="L50" s="476">
        <f>orcamento!M49</f>
        <v>1378.53</v>
      </c>
      <c r="M50" s="476">
        <f>orcamento!L49</f>
        <v>28.8</v>
      </c>
    </row>
    <row r="51" spans="1:13" x14ac:dyDescent="0.3">
      <c r="A51" s="474">
        <f>IF('Orçamento-TCE'!A51&gt;0,'Orçamento-TCE'!A51,"")</f>
        <v>1</v>
      </c>
      <c r="B51" s="475">
        <f>'Orçamento-TCE'!B51</f>
        <v>30</v>
      </c>
      <c r="C51" s="475" t="str">
        <f>IF('Orçamento-TCE'!C51&gt;0,'Orçamento-TCE'!C51,"")</f>
        <v>5.2</v>
      </c>
      <c r="D51" s="461" t="str">
        <f>IF('Orçamento-TCE'!G51&gt;0,'Orçamento-TCE'!G51,"")</f>
        <v>TELA TAPUME LARANJA - FORNECIMENTO E INSTALAÇÃO COM MADEIRA</v>
      </c>
      <c r="E51" s="461">
        <f>IF('Orçamento-TCE'!H51&gt;0,'Orçamento-TCE'!H51,"")</f>
        <v>300</v>
      </c>
      <c r="F51" s="461" t="str">
        <f>IF('Orçamento-TCE'!I51&gt;0,'Orçamento-TCE'!I51,"")</f>
        <v>M</v>
      </c>
      <c r="G51" s="460">
        <f>orcamento!K50</f>
        <v>23.14</v>
      </c>
      <c r="H51" s="461">
        <f t="shared" si="0"/>
        <v>6942</v>
      </c>
      <c r="I51" s="462">
        <f>orcamento!J50</f>
        <v>0.24229999999999999</v>
      </c>
      <c r="J51" s="462">
        <v>1.1194999999999999</v>
      </c>
      <c r="K51" s="462"/>
      <c r="L51" s="476">
        <f>orcamento!M50</f>
        <v>4023</v>
      </c>
      <c r="M51" s="476">
        <f>orcamento!L50</f>
        <v>2919</v>
      </c>
    </row>
    <row r="52" spans="1:13" x14ac:dyDescent="0.3">
      <c r="A52" s="474">
        <f>IF('Orçamento-TCE'!A52&gt;0,'Orçamento-TCE'!A52,"")</f>
        <v>1</v>
      </c>
      <c r="B52" s="475">
        <f>'Orçamento-TCE'!B52</f>
        <v>31</v>
      </c>
      <c r="C52" s="475" t="str">
        <f>IF('Orçamento-TCE'!C52&gt;0,'Orçamento-TCE'!C52,"")</f>
        <v>5.3</v>
      </c>
      <c r="D52" s="461" t="str">
        <f>IF('Orçamento-TCE'!G52&gt;0,'Orçamento-TCE'!G52,"")</f>
        <v>BALIZADOR REFLETIVO - FORNECIMENTO E MANUTENÇÃO</v>
      </c>
      <c r="E52" s="461">
        <f>IF('Orçamento-TCE'!H52&gt;0,'Orçamento-TCE'!H52,"")</f>
        <v>9</v>
      </c>
      <c r="F52" s="461" t="str">
        <f>IF('Orçamento-TCE'!I52&gt;0,'Orçamento-TCE'!I52,"")</f>
        <v>UN</v>
      </c>
      <c r="G52" s="460">
        <f>orcamento!K51</f>
        <v>253.89000000000001</v>
      </c>
      <c r="H52" s="461">
        <f t="shared" si="0"/>
        <v>2285.0100000000002</v>
      </c>
      <c r="I52" s="462">
        <f>orcamento!J51</f>
        <v>0.24229999999999999</v>
      </c>
      <c r="J52" s="462">
        <v>1.1194999999999999</v>
      </c>
      <c r="K52" s="462"/>
      <c r="L52" s="476">
        <f>orcamento!M51</f>
        <v>2228.67</v>
      </c>
      <c r="M52" s="476">
        <f>orcamento!L51</f>
        <v>56.34</v>
      </c>
    </row>
    <row r="53" spans="1:13" x14ac:dyDescent="0.3">
      <c r="A53" s="474">
        <f>IF('Orçamento-TCE'!A53&gt;0,'Orçamento-TCE'!A53,"")</f>
        <v>1</v>
      </c>
      <c r="B53" s="475">
        <f>'Orçamento-TCE'!B53</f>
        <v>32</v>
      </c>
      <c r="C53" s="475" t="str">
        <f>IF('Orçamento-TCE'!C53&gt;0,'Orçamento-TCE'!C53,"")</f>
        <v>5.4</v>
      </c>
      <c r="D53" s="461" t="str">
        <f>IF('Orçamento-TCE'!G53&gt;0,'Orçamento-TCE'!G53,"")</f>
        <v>PASSADICOS C/ TÁBUAS DE MADEIRA P/ PEDESTRES - FORNEC., INST. E DESLOCAMENTOS AO LONGO DA OBRA</v>
      </c>
      <c r="E53" s="461">
        <f>IF('Orçamento-TCE'!H53&gt;0,'Orçamento-TCE'!H53,"")</f>
        <v>20</v>
      </c>
      <c r="F53" s="461" t="str">
        <f>IF('Orçamento-TCE'!I53&gt;0,'Orçamento-TCE'!I53,"")</f>
        <v>M2</v>
      </c>
      <c r="G53" s="460">
        <f>orcamento!K52</f>
        <v>119.75</v>
      </c>
      <c r="H53" s="461">
        <f t="shared" si="0"/>
        <v>2395</v>
      </c>
      <c r="I53" s="462">
        <f>orcamento!J52</f>
        <v>0.24229999999999999</v>
      </c>
      <c r="J53" s="462">
        <v>1.1194999999999999</v>
      </c>
      <c r="K53" s="462"/>
      <c r="L53" s="476">
        <f>orcamento!M52</f>
        <v>1055</v>
      </c>
      <c r="M53" s="476">
        <f>orcamento!L52</f>
        <v>1340</v>
      </c>
    </row>
    <row r="54" spans="1:13" x14ac:dyDescent="0.3">
      <c r="A54" s="474"/>
      <c r="B54" s="475"/>
      <c r="C54" s="475"/>
      <c r="D54" s="461"/>
      <c r="E54" s="461"/>
      <c r="F54" s="461"/>
      <c r="G54" s="460"/>
      <c r="H54" s="461"/>
      <c r="I54" s="462"/>
      <c r="J54" s="462"/>
      <c r="K54" s="462"/>
      <c r="L54" s="476"/>
      <c r="M54" s="476"/>
    </row>
    <row r="55" spans="1:13" x14ac:dyDescent="0.3">
      <c r="A55" s="474">
        <f>IF('Orçamento-TCE'!A55&gt;0,'Orçamento-TCE'!A55,"")</f>
        <v>1</v>
      </c>
      <c r="B55" s="475">
        <f>'Orçamento-TCE'!B55</f>
        <v>33</v>
      </c>
      <c r="C55" s="475" t="str">
        <f>IF('Orçamento-TCE'!C55&gt;0,'Orçamento-TCE'!C55,"")</f>
        <v>6.1</v>
      </c>
      <c r="D55" s="461" t="str">
        <f>IF('Orçamento-TCE'!G55&gt;0,'Orçamento-TCE'!G55,"")</f>
        <v>FORNECIMENTO E INSTALAÇÃO DE PLACA DE OBRA COM CHAPA GALVANIZADA E ESTRUTURA DE MADEIRA. AF_03/2022_PS</v>
      </c>
      <c r="E55" s="461">
        <f>IF('Orçamento-TCE'!H55&gt;0,'Orçamento-TCE'!H55,"")</f>
        <v>6.96</v>
      </c>
      <c r="F55" s="461" t="str">
        <f>IF('Orçamento-TCE'!I55&gt;0,'Orçamento-TCE'!I55,"")</f>
        <v>M2</v>
      </c>
      <c r="G55" s="460">
        <f>orcamento!K54</f>
        <v>617.16000000000008</v>
      </c>
      <c r="H55" s="461">
        <f t="shared" si="0"/>
        <v>4295.43</v>
      </c>
      <c r="I55" s="462">
        <f>orcamento!J54</f>
        <v>0.24229999999999999</v>
      </c>
      <c r="J55" s="462">
        <v>1.1194999999999999</v>
      </c>
      <c r="K55" s="462"/>
      <c r="L55" s="476">
        <f>orcamento!M54</f>
        <v>3883.4700000000003</v>
      </c>
      <c r="M55" s="476">
        <f>orcamento!L54</f>
        <v>411.96</v>
      </c>
    </row>
    <row r="56" spans="1:13" x14ac:dyDescent="0.3">
      <c r="A56" s="474">
        <f>IF('Orçamento-TCE'!A56&gt;0,'Orçamento-TCE'!A56,"")</f>
        <v>1</v>
      </c>
      <c r="B56" s="475">
        <f>'Orçamento-TCE'!B56</f>
        <v>34</v>
      </c>
      <c r="C56" s="475" t="str">
        <f>IF('Orçamento-TCE'!C56&gt;0,'Orçamento-TCE'!C56,"")</f>
        <v>6.2</v>
      </c>
      <c r="D56" s="461" t="str">
        <f>IF('Orçamento-TCE'!G56&gt;0,'Orçamento-TCE'!G56,"")</f>
        <v>EXTINTOR DE INCÊNDIO PORTÁTIL COM CARGA DE ÁGUA PRESSURIZADA DE 10 L, CLASSE A - FORNECIMENTO E INSTALAÇÃO. AF_01/2026_PE</v>
      </c>
      <c r="E56" s="461">
        <f>IF('Orçamento-TCE'!H56&gt;0,'Orçamento-TCE'!H56,"")</f>
        <v>1</v>
      </c>
      <c r="F56" s="461" t="str">
        <f>IF('Orçamento-TCE'!I56&gt;0,'Orçamento-TCE'!I56,"")</f>
        <v>UN</v>
      </c>
      <c r="G56" s="460">
        <f>orcamento!K55</f>
        <v>279.63</v>
      </c>
      <c r="H56" s="461">
        <f t="shared" si="0"/>
        <v>279.63</v>
      </c>
      <c r="I56" s="462">
        <f>orcamento!J55</f>
        <v>0.24229999999999999</v>
      </c>
      <c r="J56" s="462">
        <v>1.1194999999999999</v>
      </c>
      <c r="K56" s="462"/>
      <c r="L56" s="476">
        <f>orcamento!M55</f>
        <v>248.88</v>
      </c>
      <c r="M56" s="476">
        <f>orcamento!L55</f>
        <v>30.75</v>
      </c>
    </row>
    <row r="57" spans="1:13" x14ac:dyDescent="0.3">
      <c r="A57" s="474">
        <f>IF('Orçamento-TCE'!A57&gt;0,'Orçamento-TCE'!A57,"")</f>
        <v>1</v>
      </c>
      <c r="B57" s="475">
        <f>'Orçamento-TCE'!B57</f>
        <v>35</v>
      </c>
      <c r="C57" s="475" t="str">
        <f>IF('Orçamento-TCE'!C57&gt;0,'Orçamento-TCE'!C57,"")</f>
        <v>6.3</v>
      </c>
      <c r="D57" s="461" t="str">
        <f>IF('Orçamento-TCE'!G57&gt;0,'Orçamento-TCE'!G57,"")</f>
        <v>EXTINTOR DE INCÊNDIO PORTÁTIL COM CARGA DE PQS DE 8 KG, CLASSE BC - FORNECIMENTO E INSTALAÇÃO. AF_01/2026_PE</v>
      </c>
      <c r="E57" s="461">
        <f>IF('Orçamento-TCE'!H57&gt;0,'Orçamento-TCE'!H57,"")</f>
        <v>1</v>
      </c>
      <c r="F57" s="461" t="str">
        <f>IF('Orçamento-TCE'!I57&gt;0,'Orçamento-TCE'!I57,"")</f>
        <v>UN</v>
      </c>
      <c r="G57" s="460">
        <f>orcamento!K56</f>
        <v>369.34000000000003</v>
      </c>
      <c r="H57" s="461">
        <f t="shared" si="0"/>
        <v>369.34</v>
      </c>
      <c r="I57" s="462">
        <f>orcamento!J56</f>
        <v>0.24229999999999999</v>
      </c>
      <c r="J57" s="462">
        <v>1.1194999999999999</v>
      </c>
      <c r="K57" s="462"/>
      <c r="L57" s="476">
        <f>orcamento!M56</f>
        <v>338.57</v>
      </c>
      <c r="M57" s="476">
        <f>orcamento!L56</f>
        <v>30.77</v>
      </c>
    </row>
    <row r="58" spans="1:13" x14ac:dyDescent="0.3">
      <c r="A58" s="474">
        <f>IF('Orçamento-TCE'!A58&gt;0,'Orçamento-TCE'!A58,"")</f>
        <v>1</v>
      </c>
      <c r="B58" s="475">
        <f>'Orçamento-TCE'!B58</f>
        <v>36</v>
      </c>
      <c r="C58" s="475" t="str">
        <f>IF('Orçamento-TCE'!C58&gt;0,'Orçamento-TCE'!C58,"")</f>
        <v>6.4</v>
      </c>
      <c r="D58" s="461" t="str">
        <f>IF('Orçamento-TCE'!G58&gt;0,'Orçamento-TCE'!G58,"")</f>
        <v>LIMPEZA MECANIZADA DE CAMADA VEGETAL, VEGETAÇÃO E PEQUENAS ÁRVORES (DIÂMETRO DE TRONCO MENOR QUE 0,20 M), COM TRATOR DE ESTEIRAS. AF_03/2024</v>
      </c>
      <c r="E58" s="461">
        <f>IF('Orçamento-TCE'!H58&gt;0,'Orçamento-TCE'!H58,"")</f>
        <v>165</v>
      </c>
      <c r="F58" s="461" t="str">
        <f>IF('Orçamento-TCE'!I58&gt;0,'Orçamento-TCE'!I58,"")</f>
        <v>M2</v>
      </c>
      <c r="G58" s="460">
        <f>orcamento!K57</f>
        <v>0.87</v>
      </c>
      <c r="H58" s="461">
        <f t="shared" si="0"/>
        <v>143.55000000000001</v>
      </c>
      <c r="I58" s="462">
        <f>orcamento!J57</f>
        <v>0.24229999999999999</v>
      </c>
      <c r="J58" s="462">
        <v>1.1194999999999999</v>
      </c>
      <c r="K58" s="462"/>
      <c r="L58" s="476">
        <f>orcamento!M57</f>
        <v>87.450000000000017</v>
      </c>
      <c r="M58" s="476">
        <f>orcamento!L57</f>
        <v>56.1</v>
      </c>
    </row>
    <row r="59" spans="1:13" x14ac:dyDescent="0.3">
      <c r="A59" s="474">
        <f>IF('Orçamento-TCE'!A59&gt;0,'Orçamento-TCE'!A59,"")</f>
        <v>1</v>
      </c>
      <c r="B59" s="475">
        <f>'Orçamento-TCE'!B59</f>
        <v>37</v>
      </c>
      <c r="C59" s="475" t="str">
        <f>IF('Orçamento-TCE'!C59&gt;0,'Orçamento-TCE'!C59,"")</f>
        <v>6.5</v>
      </c>
      <c r="D59" s="461" t="str">
        <f>IF('Orçamento-TCE'!G59&gt;0,'Orçamento-TCE'!G59,"")</f>
        <v>FORNECIMENTO DE ENERGIA PARA INÍCIO DE INSTALAÇÃO DE CANTEIRO POR MEIO DE GRUPO GERADOR REBOCÁVEL, POTÊNCIA 66 KVA, MOTOR A DIESEL</v>
      </c>
      <c r="E59" s="461">
        <f>IF('Orçamento-TCE'!H59&gt;0,'Orçamento-TCE'!H59,"")</f>
        <v>1</v>
      </c>
      <c r="F59" s="461" t="str">
        <f>IF('Orçamento-TCE'!I59&gt;0,'Orçamento-TCE'!I59,"")</f>
        <v>UN</v>
      </c>
      <c r="G59" s="460">
        <f>orcamento!K58</f>
        <v>2056.5</v>
      </c>
      <c r="H59" s="461">
        <f t="shared" si="0"/>
        <v>2056.5</v>
      </c>
      <c r="I59" s="462">
        <f>orcamento!J58</f>
        <v>0.24229999999999999</v>
      </c>
      <c r="J59" s="462">
        <v>1.1194999999999999</v>
      </c>
      <c r="K59" s="462"/>
      <c r="L59" s="476">
        <f>orcamento!M58</f>
        <v>2056.5</v>
      </c>
      <c r="M59" s="476">
        <f>orcamento!L58</f>
        <v>0</v>
      </c>
    </row>
    <row r="60" spans="1:13" x14ac:dyDescent="0.3">
      <c r="A60" s="474">
        <f>IF('Orçamento-TCE'!A60&gt;0,'Orçamento-TCE'!A60,"")</f>
        <v>1</v>
      </c>
      <c r="B60" s="475">
        <f>'Orçamento-TCE'!B60</f>
        <v>38</v>
      </c>
      <c r="C60" s="475" t="str">
        <f>IF('Orçamento-TCE'!C60&gt;0,'Orçamento-TCE'!C60,"")</f>
        <v>6.7</v>
      </c>
      <c r="D60" s="461" t="str">
        <f>IF('Orçamento-TCE'!G60&gt;0,'Orçamento-TCE'!G60,"")</f>
        <v>ASSENTAMENTO DE POSTE DE CONCRETO COM COMPRIMENTO NOMINAL DE 10 M, CARGA NOMINAL DE 300 DAN, ENGASTAMENTO BASE CONCRETADA COM 1 M DE CONCRETO E 0,6 M DE SOLO (NÃO INCLUI FORNECIMENTO). AF_04/2025</v>
      </c>
      <c r="E60" s="461">
        <f>IF('Orçamento-TCE'!H60&gt;0,'Orçamento-TCE'!H60,"")</f>
        <v>1</v>
      </c>
      <c r="F60" s="461" t="str">
        <f>IF('Orçamento-TCE'!I60&gt;0,'Orçamento-TCE'!I60,"")</f>
        <v>UN</v>
      </c>
      <c r="G60" s="460">
        <f>orcamento!K59</f>
        <v>1017.48</v>
      </c>
      <c r="H60" s="461">
        <f t="shared" si="0"/>
        <v>1017.48</v>
      </c>
      <c r="I60" s="462">
        <f>orcamento!J59</f>
        <v>0.24229999999999999</v>
      </c>
      <c r="J60" s="462">
        <v>1.1194999999999999</v>
      </c>
      <c r="K60" s="462"/>
      <c r="L60" s="476">
        <f>orcamento!M59</f>
        <v>724.44</v>
      </c>
      <c r="M60" s="476">
        <f>orcamento!L59</f>
        <v>293.04000000000002</v>
      </c>
    </row>
    <row r="61" spans="1:13" x14ac:dyDescent="0.3">
      <c r="A61" s="474">
        <f>IF('Orçamento-TCE'!A61&gt;0,'Orçamento-TCE'!A61,"")</f>
        <v>1</v>
      </c>
      <c r="B61" s="475">
        <f>'Orçamento-TCE'!B61</f>
        <v>39</v>
      </c>
      <c r="C61" s="475" t="str">
        <f>IF('Orçamento-TCE'!C61&gt;0,'Orçamento-TCE'!C61,"")</f>
        <v>6.8</v>
      </c>
      <c r="D61" s="461" t="str">
        <f>IF('Orçamento-TCE'!G61&gt;0,'Orçamento-TCE'!G61,"")</f>
        <v>POSTE DE CONCRETO ARMADO DE SECAO CIRCULAR, EXTENSAO DE 10,00 M, RESISTENCIA DE 150 A 200 DAN, TIPO C-14</v>
      </c>
      <c r="E61" s="461">
        <f>IF('Orçamento-TCE'!H61&gt;0,'Orçamento-TCE'!H61,"")</f>
        <v>1</v>
      </c>
      <c r="F61" s="461" t="str">
        <f>IF('Orçamento-TCE'!I61&gt;0,'Orçamento-TCE'!I61,"")</f>
        <v>UN</v>
      </c>
      <c r="G61" s="460">
        <f>orcamento!K60</f>
        <v>1793.35</v>
      </c>
      <c r="H61" s="461">
        <f t="shared" si="0"/>
        <v>1793.35</v>
      </c>
      <c r="I61" s="462">
        <f>orcamento!J60</f>
        <v>0.24229999999999999</v>
      </c>
      <c r="J61" s="462">
        <v>1.1194999999999999</v>
      </c>
      <c r="K61" s="462"/>
      <c r="L61" s="476">
        <f>orcamento!M60</f>
        <v>1793.35</v>
      </c>
      <c r="M61" s="476">
        <f>orcamento!L60</f>
        <v>0</v>
      </c>
    </row>
    <row r="62" spans="1:13" x14ac:dyDescent="0.3">
      <c r="A62" s="474">
        <f>IF('Orçamento-TCE'!A62&gt;0,'Orçamento-TCE'!A62,"")</f>
        <v>1</v>
      </c>
      <c r="B62" s="475">
        <f>'Orçamento-TCE'!B62</f>
        <v>40</v>
      </c>
      <c r="C62" s="475" t="str">
        <f>IF('Orçamento-TCE'!C62&gt;0,'Orçamento-TCE'!C62,"")</f>
        <v>6.9</v>
      </c>
      <c r="D62" s="461" t="str">
        <f>IF('Orçamento-TCE'!G62&gt;0,'Orçamento-TCE'!G62,"")</f>
        <v>ENTRADA DE ENERGIA ELÉTRICA, AÉREA, BIFÁSICA, COM CAIXA DE SOBREPOR, CABO DE 10 MM2 E DISJUNTOR DIN 50A (NÃO INCLUSO O POSTE DE CONCRETO). AF_12/2025</v>
      </c>
      <c r="E62" s="461">
        <f>IF('Orçamento-TCE'!H62&gt;0,'Orçamento-TCE'!H62,"")</f>
        <v>1</v>
      </c>
      <c r="F62" s="461" t="str">
        <f>IF('Orçamento-TCE'!I62&gt;0,'Orçamento-TCE'!I62,"")</f>
        <v>UN</v>
      </c>
      <c r="G62" s="460">
        <f>orcamento!K61</f>
        <v>2495.25</v>
      </c>
      <c r="H62" s="461">
        <f t="shared" si="0"/>
        <v>2495.25</v>
      </c>
      <c r="I62" s="462">
        <f>orcamento!J61</f>
        <v>0.24229999999999999</v>
      </c>
      <c r="J62" s="462">
        <v>1.1194999999999999</v>
      </c>
      <c r="K62" s="462"/>
      <c r="L62" s="476">
        <f>orcamento!M61</f>
        <v>1788.6</v>
      </c>
      <c r="M62" s="476">
        <f>orcamento!L61</f>
        <v>706.65</v>
      </c>
    </row>
    <row r="63" spans="1:13" x14ac:dyDescent="0.3">
      <c r="A63" s="474">
        <f>IF('Orçamento-TCE'!A63&gt;0,'Orçamento-TCE'!A63,"")</f>
        <v>1</v>
      </c>
      <c r="B63" s="475">
        <f>'Orçamento-TCE'!B63</f>
        <v>41</v>
      </c>
      <c r="C63" s="475" t="str">
        <f>IF('Orçamento-TCE'!C63&gt;0,'Orçamento-TCE'!C63,"")</f>
        <v>6.10</v>
      </c>
      <c r="D63" s="461" t="str">
        <f>IF('Orçamento-TCE'!G63&gt;0,'Orçamento-TCE'!G63,"")</f>
        <v>CABO DE COBRE FLEXÍVEL ISOLADO, 10 MM², ANTI-CHAMA 0,6/1,0 KV, PARA CIRCUITOS TERMINAIS - FORNECIMENTO E INSTALAÇÃO. AF_03/2023</v>
      </c>
      <c r="E63" s="461">
        <f>IF('Orçamento-TCE'!H63&gt;0,'Orçamento-TCE'!H63,"")</f>
        <v>180</v>
      </c>
      <c r="F63" s="461" t="str">
        <f>IF('Orçamento-TCE'!I63&gt;0,'Orçamento-TCE'!I63,"")</f>
        <v>M</v>
      </c>
      <c r="G63" s="460">
        <f>orcamento!K62</f>
        <v>23.130000000000003</v>
      </c>
      <c r="H63" s="461">
        <f t="shared" si="0"/>
        <v>4163.3999999999996</v>
      </c>
      <c r="I63" s="462">
        <f>orcamento!J62</f>
        <v>0.24229999999999999</v>
      </c>
      <c r="J63" s="462">
        <v>1.1194999999999999</v>
      </c>
      <c r="K63" s="462"/>
      <c r="L63" s="476">
        <f>orcamento!M62</f>
        <v>3148.2</v>
      </c>
      <c r="M63" s="476">
        <f>orcamento!L62</f>
        <v>1015.2</v>
      </c>
    </row>
    <row r="64" spans="1:13" x14ac:dyDescent="0.3">
      <c r="A64" s="474">
        <f>IF('Orçamento-TCE'!A64&gt;0,'Orçamento-TCE'!A64,"")</f>
        <v>1</v>
      </c>
      <c r="B64" s="475">
        <f>'Orçamento-TCE'!B64</f>
        <v>42</v>
      </c>
      <c r="C64" s="475" t="str">
        <f>IF('Orçamento-TCE'!C64&gt;0,'Orçamento-TCE'!C64,"")</f>
        <v>6.11</v>
      </c>
      <c r="D64" s="461" t="str">
        <f>IF('Orçamento-TCE'!G64&gt;0,'Orçamento-TCE'!G64,"")</f>
        <v>CABO DE COBRE FLEXÍVEL ISOLADO, 4 MM², ANTI-CHAMA 0,6/1,0 KV, PARA CIRCUITOS TERMINAIS - FORNECIMENTO E INSTALAÇÃO. AF_03/2023</v>
      </c>
      <c r="E64" s="461">
        <f>IF('Orçamento-TCE'!H64&gt;0,'Orçamento-TCE'!H64,"")</f>
        <v>15</v>
      </c>
      <c r="F64" s="461" t="str">
        <f>IF('Orçamento-TCE'!I64&gt;0,'Orçamento-TCE'!I64,"")</f>
        <v>M</v>
      </c>
      <c r="G64" s="460">
        <f>orcamento!K63</f>
        <v>10.27</v>
      </c>
      <c r="H64" s="461">
        <f t="shared" si="0"/>
        <v>154.05000000000001</v>
      </c>
      <c r="I64" s="462">
        <f>orcamento!J63</f>
        <v>0.24229999999999999</v>
      </c>
      <c r="J64" s="462">
        <v>1.1194999999999999</v>
      </c>
      <c r="K64" s="462"/>
      <c r="L64" s="476">
        <f>orcamento!M63</f>
        <v>110.85000000000001</v>
      </c>
      <c r="M64" s="476">
        <f>orcamento!L63</f>
        <v>43.2</v>
      </c>
    </row>
    <row r="65" spans="1:13" x14ac:dyDescent="0.3">
      <c r="A65" s="474">
        <f>IF('Orçamento-TCE'!A65&gt;0,'Orçamento-TCE'!A65,"")</f>
        <v>1</v>
      </c>
      <c r="B65" s="475">
        <f>'Orçamento-TCE'!B65</f>
        <v>43</v>
      </c>
      <c r="C65" s="475" t="str">
        <f>IF('Orçamento-TCE'!C65&gt;0,'Orçamento-TCE'!C65,"")</f>
        <v>6.12</v>
      </c>
      <c r="D65" s="461" t="str">
        <f>IF('Orçamento-TCE'!G65&gt;0,'Orçamento-TCE'!G65,"")</f>
        <v>CABO DE COBRE FLEXÍVEL ISOLADO, 2,5 MM², ANTI-CHAMA 0,6/1,0 KV, PARA CIRCUITOS TERMINAIS - FORNECIMENTO E INSTALAÇÃO. AF_03/2023</v>
      </c>
      <c r="E65" s="461">
        <f>IF('Orçamento-TCE'!H65&gt;0,'Orçamento-TCE'!H65,"")</f>
        <v>60</v>
      </c>
      <c r="F65" s="461" t="str">
        <f>IF('Orçamento-TCE'!I65&gt;0,'Orçamento-TCE'!I65,"")</f>
        <v>M</v>
      </c>
      <c r="G65" s="460">
        <f>orcamento!K64</f>
        <v>6.98</v>
      </c>
      <c r="H65" s="461">
        <f t="shared" si="0"/>
        <v>418.8</v>
      </c>
      <c r="I65" s="462">
        <f>orcamento!J64</f>
        <v>0.24229999999999999</v>
      </c>
      <c r="J65" s="462">
        <v>1.1194999999999999</v>
      </c>
      <c r="K65" s="462"/>
      <c r="L65" s="476">
        <f>orcamento!M64</f>
        <v>291</v>
      </c>
      <c r="M65" s="476">
        <f>orcamento!L64</f>
        <v>127.8</v>
      </c>
    </row>
    <row r="66" spans="1:13" x14ac:dyDescent="0.3">
      <c r="A66" s="474">
        <f>IF('Orçamento-TCE'!A66&gt;0,'Orçamento-TCE'!A66,"")</f>
        <v>1</v>
      </c>
      <c r="B66" s="475">
        <f>'Orçamento-TCE'!B66</f>
        <v>44</v>
      </c>
      <c r="C66" s="475" t="str">
        <f>IF('Orçamento-TCE'!C66&gt;0,'Orçamento-TCE'!C66,"")</f>
        <v>6.13</v>
      </c>
      <c r="D66" s="461" t="str">
        <f>IF('Orçamento-TCE'!G66&gt;0,'Orçamento-TCE'!G66,"")</f>
        <v>ELETRODUTO FLEXÍVEL LISO, PEAD, DN 32 MM (1"), PARA CIRCUITOS TERMINAIS, INSTALADO EM FORRO - FORNECIMENTO E INSTALAÇÃO. AF_03/2023</v>
      </c>
      <c r="E66" s="461">
        <f>IF('Orçamento-TCE'!H66&gt;0,'Orçamento-TCE'!H66,"")</f>
        <v>25</v>
      </c>
      <c r="F66" s="461" t="str">
        <f>IF('Orçamento-TCE'!I66&gt;0,'Orçamento-TCE'!I66,"")</f>
        <v>M</v>
      </c>
      <c r="G66" s="460">
        <f>orcamento!K65</f>
        <v>25.73</v>
      </c>
      <c r="H66" s="461">
        <f t="shared" si="0"/>
        <v>643.25</v>
      </c>
      <c r="I66" s="462">
        <f>orcamento!J65</f>
        <v>0.24229999999999999</v>
      </c>
      <c r="J66" s="462">
        <v>1.1194999999999999</v>
      </c>
      <c r="K66" s="462"/>
      <c r="L66" s="476">
        <f>orcamento!M65</f>
        <v>207.25</v>
      </c>
      <c r="M66" s="476">
        <f>orcamento!L65</f>
        <v>436</v>
      </c>
    </row>
    <row r="67" spans="1:13" x14ac:dyDescent="0.3">
      <c r="A67" s="474">
        <f>IF('Orçamento-TCE'!A67&gt;0,'Orçamento-TCE'!A67,"")</f>
        <v>1</v>
      </c>
      <c r="B67" s="475">
        <f>'Orçamento-TCE'!B67</f>
        <v>45</v>
      </c>
      <c r="C67" s="475" t="str">
        <f>IF('Orçamento-TCE'!C67&gt;0,'Orçamento-TCE'!C67,"")</f>
        <v>6.14</v>
      </c>
      <c r="D67" s="461" t="str">
        <f>IF('Orçamento-TCE'!G67&gt;0,'Orçamento-TCE'!G67,"")</f>
        <v>QUADRO DE DISTRIBUIÇÃO DE ENERGIA EM CHAPA DE AÇO GALVANIZADO, DE EMBUTIR, COM BARRAMENTO TRIFÁSICO, PARA 12 DISJUNTORES DIN 100A - FORNECIMENTO E INSTALAÇÃO. AF_07/2025</v>
      </c>
      <c r="E67" s="461">
        <f>IF('Orçamento-TCE'!H67&gt;0,'Orçamento-TCE'!H67,"")</f>
        <v>1</v>
      </c>
      <c r="F67" s="461" t="str">
        <f>IF('Orçamento-TCE'!I67&gt;0,'Orçamento-TCE'!I67,"")</f>
        <v>UN</v>
      </c>
      <c r="G67" s="460">
        <f>orcamento!K66</f>
        <v>541.52</v>
      </c>
      <c r="H67" s="461">
        <f t="shared" si="0"/>
        <v>541.52</v>
      </c>
      <c r="I67" s="462">
        <f>orcamento!J66</f>
        <v>0.24229999999999999</v>
      </c>
      <c r="J67" s="462">
        <v>1.1194999999999999</v>
      </c>
      <c r="K67" s="462"/>
      <c r="L67" s="476">
        <f>orcamento!M66</f>
        <v>429.21</v>
      </c>
      <c r="M67" s="476">
        <f>orcamento!L66</f>
        <v>112.31</v>
      </c>
    </row>
    <row r="68" spans="1:13" x14ac:dyDescent="0.3">
      <c r="A68" s="474">
        <f>IF('Orçamento-TCE'!A68&gt;0,'Orçamento-TCE'!A68,"")</f>
        <v>1</v>
      </c>
      <c r="B68" s="475">
        <f>'Orçamento-TCE'!B68</f>
        <v>46</v>
      </c>
      <c r="C68" s="475" t="str">
        <f>IF('Orçamento-TCE'!C68&gt;0,'Orçamento-TCE'!C68,"")</f>
        <v>6.15</v>
      </c>
      <c r="D68" s="461" t="str">
        <f>IF('Orçamento-TCE'!G68&gt;0,'Orçamento-TCE'!G68,"")</f>
        <v>DISJUNTOR MONOPOLAR TIPO DIN, CORRENTE NOMINAL DE 50A - FORNECIMENTO E INSTALAÇÃO. AF_07/2025</v>
      </c>
      <c r="E68" s="461">
        <f>IF('Orçamento-TCE'!H68&gt;0,'Orçamento-TCE'!H68,"")</f>
        <v>1</v>
      </c>
      <c r="F68" s="461" t="str">
        <f>IF('Orçamento-TCE'!I68&gt;0,'Orçamento-TCE'!I68,"")</f>
        <v>UN</v>
      </c>
      <c r="G68" s="460">
        <f>orcamento!K67</f>
        <v>29.94</v>
      </c>
      <c r="H68" s="461">
        <f t="shared" si="0"/>
        <v>29.94</v>
      </c>
      <c r="I68" s="462">
        <f>orcamento!J67</f>
        <v>0.24229999999999999</v>
      </c>
      <c r="J68" s="462">
        <v>1.1194999999999999</v>
      </c>
      <c r="K68" s="462"/>
      <c r="L68" s="476">
        <f>orcamento!M67</f>
        <v>16.850000000000001</v>
      </c>
      <c r="M68" s="476">
        <f>orcamento!L67</f>
        <v>13.09</v>
      </c>
    </row>
    <row r="69" spans="1:13" x14ac:dyDescent="0.3">
      <c r="A69" s="474">
        <f>IF('Orçamento-TCE'!A69&gt;0,'Orçamento-TCE'!A69,"")</f>
        <v>1</v>
      </c>
      <c r="B69" s="475">
        <f>'Orçamento-TCE'!B69</f>
        <v>47</v>
      </c>
      <c r="C69" s="475" t="str">
        <f>IF('Orçamento-TCE'!C69&gt;0,'Orçamento-TCE'!C69,"")</f>
        <v>6.16</v>
      </c>
      <c r="D69" s="461" t="str">
        <f>IF('Orçamento-TCE'!G69&gt;0,'Orçamento-TCE'!G69,"")</f>
        <v>DISJUNTOR MONOPOLAR TIPO DIN, CORRENTE NOMINAL DE 32A - FORNECIMENTO E INSTALAÇÃO. AF_07/2025</v>
      </c>
      <c r="E69" s="461">
        <f>IF('Orçamento-TCE'!H69&gt;0,'Orçamento-TCE'!H69,"")</f>
        <v>4</v>
      </c>
      <c r="F69" s="461" t="str">
        <f>IF('Orçamento-TCE'!I69&gt;0,'Orçamento-TCE'!I69,"")</f>
        <v>UN</v>
      </c>
      <c r="G69" s="460">
        <f>orcamento!K68</f>
        <v>18.190000000000001</v>
      </c>
      <c r="H69" s="461">
        <f t="shared" si="0"/>
        <v>72.760000000000005</v>
      </c>
      <c r="I69" s="462">
        <f>orcamento!J68</f>
        <v>0.24229999999999999</v>
      </c>
      <c r="J69" s="462">
        <v>1.1194999999999999</v>
      </c>
      <c r="K69" s="462"/>
      <c r="L69" s="476">
        <f>orcamento!M68</f>
        <v>46.800000000000004</v>
      </c>
      <c r="M69" s="476">
        <f>orcamento!L68</f>
        <v>25.96</v>
      </c>
    </row>
    <row r="70" spans="1:13" x14ac:dyDescent="0.3">
      <c r="A70" s="474">
        <f>IF('Orçamento-TCE'!A70&gt;0,'Orçamento-TCE'!A70,"")</f>
        <v>1</v>
      </c>
      <c r="B70" s="475">
        <f>'Orçamento-TCE'!B70</f>
        <v>48</v>
      </c>
      <c r="C70" s="475" t="str">
        <f>IF('Orçamento-TCE'!C70&gt;0,'Orçamento-TCE'!C70,"")</f>
        <v>6.17</v>
      </c>
      <c r="D70" s="461" t="str">
        <f>IF('Orçamento-TCE'!G70&gt;0,'Orçamento-TCE'!G70,"")</f>
        <v>INTERRUPTOR SIMPLES (1 MÓDULO), 10A/250V, INCLUINDO SUPORTE E PLACA - FORNECIMENTO E INSTALAÇÃO. AF_03/2023</v>
      </c>
      <c r="E70" s="461">
        <f>IF('Orçamento-TCE'!H70&gt;0,'Orçamento-TCE'!H70,"")</f>
        <v>3</v>
      </c>
      <c r="F70" s="461" t="str">
        <f>IF('Orçamento-TCE'!I70&gt;0,'Orçamento-TCE'!I70,"")</f>
        <v>UN</v>
      </c>
      <c r="G70" s="460">
        <f>orcamento!K69</f>
        <v>42.5</v>
      </c>
      <c r="H70" s="461">
        <f t="shared" si="0"/>
        <v>127.5</v>
      </c>
      <c r="I70" s="462">
        <f>orcamento!J69</f>
        <v>0.24229999999999999</v>
      </c>
      <c r="J70" s="462">
        <v>1.1194999999999999</v>
      </c>
      <c r="K70" s="462"/>
      <c r="L70" s="476">
        <f>orcamento!M69</f>
        <v>47.400000000000006</v>
      </c>
      <c r="M70" s="476">
        <f>orcamento!L69</f>
        <v>80.099999999999994</v>
      </c>
    </row>
    <row r="71" spans="1:13" x14ac:dyDescent="0.3">
      <c r="A71" s="474">
        <f>IF('Orçamento-TCE'!A71&gt;0,'Orçamento-TCE'!A71,"")</f>
        <v>1</v>
      </c>
      <c r="B71" s="475">
        <f>'Orçamento-TCE'!B71</f>
        <v>49</v>
      </c>
      <c r="C71" s="475" t="str">
        <f>IF('Orçamento-TCE'!C71&gt;0,'Orçamento-TCE'!C71,"")</f>
        <v>6.18</v>
      </c>
      <c r="D71" s="461" t="str">
        <f>IF('Orçamento-TCE'!G71&gt;0,'Orçamento-TCE'!G71,"")</f>
        <v>TOMADA MÉDIA DE EMBUTIR (1 MÓDULO), 2P+T 20 A, INCLUINDO SUPORTE E PLACA - FORNECIMENTO E INSTALAÇÃO. AF_03/2023</v>
      </c>
      <c r="E71" s="461">
        <f>IF('Orçamento-TCE'!H71&gt;0,'Orçamento-TCE'!H71,"")</f>
        <v>1</v>
      </c>
      <c r="F71" s="461" t="str">
        <f>IF('Orçamento-TCE'!I71&gt;0,'Orçamento-TCE'!I71,"")</f>
        <v>UN</v>
      </c>
      <c r="G71" s="460">
        <f>orcamento!K70</f>
        <v>53.2</v>
      </c>
      <c r="H71" s="461">
        <f t="shared" si="0"/>
        <v>53.2</v>
      </c>
      <c r="I71" s="462">
        <f>orcamento!J70</f>
        <v>0.24229999999999999</v>
      </c>
      <c r="J71" s="462">
        <v>1.1194999999999999</v>
      </c>
      <c r="K71" s="462"/>
      <c r="L71" s="476">
        <f>orcamento!M70</f>
        <v>20.200000000000003</v>
      </c>
      <c r="M71" s="476">
        <f>orcamento!L70</f>
        <v>33</v>
      </c>
    </row>
    <row r="72" spans="1:13" x14ac:dyDescent="0.3">
      <c r="A72" s="474">
        <f>IF('Orçamento-TCE'!A72&gt;0,'Orçamento-TCE'!A72,"")</f>
        <v>1</v>
      </c>
      <c r="B72" s="475">
        <f>'Orçamento-TCE'!B72</f>
        <v>50</v>
      </c>
      <c r="C72" s="475" t="str">
        <f>IF('Orçamento-TCE'!C72&gt;0,'Orçamento-TCE'!C72,"")</f>
        <v>6.19</v>
      </c>
      <c r="D72" s="461" t="str">
        <f>IF('Orçamento-TCE'!G72&gt;0,'Orçamento-TCE'!G72,"")</f>
        <v>TOMADA MÉDIA DE EMBUTIR (1 MÓDULO), 2P+T 10 A, INCLUINDO SUPORTE E PLACA - FORNECIMENTO E INSTALAÇÃO. AF_03/2023</v>
      </c>
      <c r="E72" s="461">
        <f>IF('Orçamento-TCE'!H72&gt;0,'Orçamento-TCE'!H72,"")</f>
        <v>6</v>
      </c>
      <c r="F72" s="461" t="str">
        <f>IF('Orçamento-TCE'!I72&gt;0,'Orçamento-TCE'!I72,"")</f>
        <v>UN</v>
      </c>
      <c r="G72" s="460">
        <f>orcamento!K71</f>
        <v>50.14</v>
      </c>
      <c r="H72" s="461">
        <f t="shared" si="0"/>
        <v>300.83999999999997</v>
      </c>
      <c r="I72" s="462">
        <f>orcamento!J71</f>
        <v>0.24229999999999999</v>
      </c>
      <c r="J72" s="462">
        <v>1.1194999999999999</v>
      </c>
      <c r="K72" s="462"/>
      <c r="L72" s="476">
        <f>orcamento!M71</f>
        <v>102.83999999999997</v>
      </c>
      <c r="M72" s="476">
        <f>orcamento!L71</f>
        <v>198</v>
      </c>
    </row>
    <row r="73" spans="1:13" x14ac:dyDescent="0.3">
      <c r="A73" s="474">
        <f>IF('Orçamento-TCE'!A73&gt;0,'Orçamento-TCE'!A73,"")</f>
        <v>1</v>
      </c>
      <c r="B73" s="475">
        <f>'Orçamento-TCE'!B73</f>
        <v>51</v>
      </c>
      <c r="C73" s="475" t="str">
        <f>IF('Orçamento-TCE'!C73&gt;0,'Orçamento-TCE'!C73,"")</f>
        <v>6.20</v>
      </c>
      <c r="D73" s="461" t="str">
        <f>IF('Orçamento-TCE'!G73&gt;0,'Orçamento-TCE'!G73,"")</f>
        <v>LUMINÁRIA TIPO PLAFON CIRCULAR, DE SOBREPOR, COM LED DE 12/13 W - FORNECIMENTO E INSTALAÇÃO. AF_09/2024</v>
      </c>
      <c r="E73" s="461">
        <f>IF('Orçamento-TCE'!H73&gt;0,'Orçamento-TCE'!H73,"")</f>
        <v>4</v>
      </c>
      <c r="F73" s="461" t="str">
        <f>IF('Orçamento-TCE'!I73&gt;0,'Orçamento-TCE'!I73,"")</f>
        <v>UN</v>
      </c>
      <c r="G73" s="460">
        <f>orcamento!K72</f>
        <v>36.619999999999997</v>
      </c>
      <c r="H73" s="461">
        <f t="shared" si="0"/>
        <v>146.47999999999999</v>
      </c>
      <c r="I73" s="462">
        <f>orcamento!J72</f>
        <v>0.24229999999999999</v>
      </c>
      <c r="J73" s="462">
        <v>1.1194999999999999</v>
      </c>
      <c r="K73" s="462"/>
      <c r="L73" s="476">
        <f>orcamento!M72</f>
        <v>48.919999999999987</v>
      </c>
      <c r="M73" s="476">
        <f>orcamento!L72</f>
        <v>97.56</v>
      </c>
    </row>
    <row r="74" spans="1:13" x14ac:dyDescent="0.3">
      <c r="A74" s="474">
        <f>IF('Orçamento-TCE'!A74&gt;0,'Orçamento-TCE'!A74,"")</f>
        <v>1</v>
      </c>
      <c r="B74" s="475">
        <f>'Orçamento-TCE'!B74</f>
        <v>52</v>
      </c>
      <c r="C74" s="475" t="str">
        <f>IF('Orçamento-TCE'!C74&gt;0,'Orçamento-TCE'!C74,"")</f>
        <v>6.21</v>
      </c>
      <c r="D74" s="461" t="str">
        <f>IF('Orçamento-TCE'!G74&gt;0,'Orçamento-TCE'!G74,"")</f>
        <v>CAIXA D´ÁGUA EM POLIETILENO, 1500 LITROS - FORNECIMENTO E INSTALAÇÃO. AF_06/2021</v>
      </c>
      <c r="E74" s="461">
        <f>IF('Orçamento-TCE'!H74&gt;0,'Orçamento-TCE'!H74,"")</f>
        <v>1</v>
      </c>
      <c r="F74" s="461" t="str">
        <f>IF('Orçamento-TCE'!I74&gt;0,'Orçamento-TCE'!I74,"")</f>
        <v>UN</v>
      </c>
      <c r="G74" s="460">
        <f>orcamento!K73</f>
        <v>1447.7800000000002</v>
      </c>
      <c r="H74" s="461">
        <f t="shared" si="0"/>
        <v>1447.78</v>
      </c>
      <c r="I74" s="462">
        <f>orcamento!J73</f>
        <v>0.24229999999999999</v>
      </c>
      <c r="J74" s="462">
        <v>1.1194999999999999</v>
      </c>
      <c r="K74" s="462"/>
      <c r="L74" s="476">
        <f>orcamento!M73</f>
        <v>1433.45</v>
      </c>
      <c r="M74" s="476">
        <f>orcamento!L73</f>
        <v>14.33</v>
      </c>
    </row>
    <row r="75" spans="1:13" x14ac:dyDescent="0.3">
      <c r="A75" s="474">
        <f>IF('Orçamento-TCE'!A75&gt;0,'Orçamento-TCE'!A75,"")</f>
        <v>1</v>
      </c>
      <c r="B75" s="475">
        <f>'Orçamento-TCE'!B75</f>
        <v>53</v>
      </c>
      <c r="C75" s="475" t="str">
        <f>IF('Orçamento-TCE'!C75&gt;0,'Orçamento-TCE'!C75,"")</f>
        <v>6.22</v>
      </c>
      <c r="D75" s="461" t="str">
        <f>IF('Orçamento-TCE'!G75&gt;0,'Orçamento-TCE'!G75,"")</f>
        <v>MANGUEIRA CRISTAL TRANCADA, PVC COM REFORCO, PRESSAO DE TRABALHO (PT) 250 LBS/POL2, DE 1" X *3,1* MM</v>
      </c>
      <c r="E75" s="461">
        <f>IF('Orçamento-TCE'!H75&gt;0,'Orçamento-TCE'!H75,"")</f>
        <v>30</v>
      </c>
      <c r="F75" s="461" t="str">
        <f>IF('Orçamento-TCE'!I75&gt;0,'Orçamento-TCE'!I75,"")</f>
        <v>M</v>
      </c>
      <c r="G75" s="460">
        <f>orcamento!K74</f>
        <v>26.779999999999998</v>
      </c>
      <c r="H75" s="461">
        <f t="shared" si="0"/>
        <v>803.4</v>
      </c>
      <c r="I75" s="462">
        <f>orcamento!J74</f>
        <v>0.24229999999999999</v>
      </c>
      <c r="J75" s="462">
        <v>1.1194999999999999</v>
      </c>
      <c r="K75" s="462"/>
      <c r="L75" s="476">
        <f>orcamento!M74</f>
        <v>803.4</v>
      </c>
      <c r="M75" s="476">
        <f>orcamento!L74</f>
        <v>0</v>
      </c>
    </row>
    <row r="76" spans="1:13" x14ac:dyDescent="0.3">
      <c r="A76" s="474">
        <f>IF('Orçamento-TCE'!A76&gt;0,'Orçamento-TCE'!A76,"")</f>
        <v>1</v>
      </c>
      <c r="B76" s="475">
        <f>'Orçamento-TCE'!B76</f>
        <v>54</v>
      </c>
      <c r="C76" s="475" t="str">
        <f>IF('Orçamento-TCE'!C76&gt;0,'Orçamento-TCE'!C76,"")</f>
        <v>6.23</v>
      </c>
      <c r="D76" s="461" t="str">
        <f>IF('Orçamento-TCE'!G76&gt;0,'Orçamento-TCE'!G76,"")</f>
        <v>TUBO, PVC, SOLDÁVEL, DE 32MM, INSTALADO EM RAMAL OU SUB-RAMAL DE ÁGUA - FORNECIMENTO E INSTALAÇÃO. AF_06/2022</v>
      </c>
      <c r="E76" s="461">
        <f>IF('Orçamento-TCE'!H76&gt;0,'Orçamento-TCE'!H76,"")</f>
        <v>12</v>
      </c>
      <c r="F76" s="461" t="str">
        <f>IF('Orçamento-TCE'!I76&gt;0,'Orçamento-TCE'!I76,"")</f>
        <v>M</v>
      </c>
      <c r="G76" s="460">
        <f>orcamento!K75</f>
        <v>47.05</v>
      </c>
      <c r="H76" s="461">
        <f t="shared" si="0"/>
        <v>564.6</v>
      </c>
      <c r="I76" s="462">
        <f>orcamento!J75</f>
        <v>0.24229999999999999</v>
      </c>
      <c r="J76" s="462">
        <v>1.1194999999999999</v>
      </c>
      <c r="K76" s="462"/>
      <c r="L76" s="476">
        <f>orcamento!M75</f>
        <v>176.52000000000004</v>
      </c>
      <c r="M76" s="476">
        <f>orcamento!L75</f>
        <v>388.08</v>
      </c>
    </row>
    <row r="77" spans="1:13" x14ac:dyDescent="0.3">
      <c r="A77" s="474">
        <f>IF('Orçamento-TCE'!A77&gt;0,'Orçamento-TCE'!A77,"")</f>
        <v>1</v>
      </c>
      <c r="B77" s="475">
        <f>'Orçamento-TCE'!B77</f>
        <v>55</v>
      </c>
      <c r="C77" s="475" t="str">
        <f>IF('Orçamento-TCE'!C77&gt;0,'Orçamento-TCE'!C77,"")</f>
        <v>6.24</v>
      </c>
      <c r="D77" s="461" t="str">
        <f>IF('Orçamento-TCE'!G77&gt;0,'Orçamento-TCE'!G77,"")</f>
        <v>TUBO, PVC, SOLDÁVEL, DE 25MM, INSTALADO EM RAMAL OU SUB-RAMAL DE ÁGUA - FORNECIMENTO E INSTALAÇÃO. AF_06/2022</v>
      </c>
      <c r="E77" s="461">
        <f>IF('Orçamento-TCE'!H77&gt;0,'Orçamento-TCE'!H77,"")</f>
        <v>12</v>
      </c>
      <c r="F77" s="461" t="str">
        <f>IF('Orçamento-TCE'!I77&gt;0,'Orçamento-TCE'!I77,"")</f>
        <v>M</v>
      </c>
      <c r="G77" s="460">
        <f>orcamento!K76</f>
        <v>34.04</v>
      </c>
      <c r="H77" s="461">
        <f t="shared" ref="H77:H140" si="1">IFERROR(IF(E77*G77&lt;&gt;0,ROUND(ROUND(E77,4)*ROUND(G77,4),2),""),"")</f>
        <v>408.48</v>
      </c>
      <c r="I77" s="462">
        <f>orcamento!J76</f>
        <v>0.24229999999999999</v>
      </c>
      <c r="J77" s="462">
        <v>1.1194999999999999</v>
      </c>
      <c r="K77" s="462"/>
      <c r="L77" s="476">
        <f>orcamento!M76</f>
        <v>83.160000000000025</v>
      </c>
      <c r="M77" s="476">
        <f>orcamento!L76</f>
        <v>325.32</v>
      </c>
    </row>
    <row r="78" spans="1:13" x14ac:dyDescent="0.3">
      <c r="A78" s="474">
        <f>IF('Orçamento-TCE'!A78&gt;0,'Orçamento-TCE'!A78,"")</f>
        <v>1</v>
      </c>
      <c r="B78" s="475">
        <f>'Orçamento-TCE'!B78</f>
        <v>56</v>
      </c>
      <c r="C78" s="475" t="str">
        <f>IF('Orçamento-TCE'!C78&gt;0,'Orçamento-TCE'!C78,"")</f>
        <v>6.25</v>
      </c>
      <c r="D78" s="461" t="str">
        <f>IF('Orçamento-TCE'!G78&gt;0,'Orçamento-TCE'!G78,"")</f>
        <v>CURVA 90 GRAUS, PVC, SOLDÁVEL, DN 25MM, INSTALADO EM RAMAL OU SUB-RAMAL DE ÁGUA - FORNECIMENTO E INSTALAÇÃO. AF_06/2022</v>
      </c>
      <c r="E78" s="461">
        <f>IF('Orçamento-TCE'!H78&gt;0,'Orçamento-TCE'!H78,"")</f>
        <v>3</v>
      </c>
      <c r="F78" s="461" t="str">
        <f>IF('Orçamento-TCE'!I78&gt;0,'Orçamento-TCE'!I78,"")</f>
        <v>UN</v>
      </c>
      <c r="G78" s="460">
        <f>orcamento!K77</f>
        <v>17.260000000000002</v>
      </c>
      <c r="H78" s="461">
        <f t="shared" si="1"/>
        <v>51.78</v>
      </c>
      <c r="I78" s="462">
        <f>orcamento!J77</f>
        <v>0.24229999999999999</v>
      </c>
      <c r="J78" s="462">
        <v>1.1194999999999999</v>
      </c>
      <c r="K78" s="462"/>
      <c r="L78" s="476">
        <f>orcamento!M77</f>
        <v>19.259999999999998</v>
      </c>
      <c r="M78" s="476">
        <f>orcamento!L77</f>
        <v>32.520000000000003</v>
      </c>
    </row>
    <row r="79" spans="1:13" x14ac:dyDescent="0.3">
      <c r="A79" s="474">
        <f>IF('Orçamento-TCE'!A79&gt;0,'Orçamento-TCE'!A79,"")</f>
        <v>1</v>
      </c>
      <c r="B79" s="475">
        <f>'Orçamento-TCE'!B79</f>
        <v>57</v>
      </c>
      <c r="C79" s="475" t="str">
        <f>IF('Orçamento-TCE'!C79&gt;0,'Orçamento-TCE'!C79,"")</f>
        <v>6.26</v>
      </c>
      <c r="D79" s="461" t="str">
        <f>IF('Orçamento-TCE'!G79&gt;0,'Orçamento-TCE'!G79,"")</f>
        <v>REGISTRO DE ESFERA, PVC, SOLDÁVEL, COM VOLANTE, DN 32 MM - FORNECIMENTO E INSTALAÇÃO. AF_08/2021</v>
      </c>
      <c r="E79" s="461">
        <f>IF('Orçamento-TCE'!H79&gt;0,'Orçamento-TCE'!H79,"")</f>
        <v>1</v>
      </c>
      <c r="F79" s="461" t="str">
        <f>IF('Orçamento-TCE'!I79&gt;0,'Orçamento-TCE'!I79,"")</f>
        <v>UN</v>
      </c>
      <c r="G79" s="460">
        <f>orcamento!K78</f>
        <v>73.89</v>
      </c>
      <c r="H79" s="461">
        <f t="shared" si="1"/>
        <v>73.89</v>
      </c>
      <c r="I79" s="462">
        <f>orcamento!J78</f>
        <v>0.24229999999999999</v>
      </c>
      <c r="J79" s="462">
        <v>1.1194999999999999</v>
      </c>
      <c r="K79" s="462"/>
      <c r="L79" s="476">
        <f>orcamento!M78</f>
        <v>68.22</v>
      </c>
      <c r="M79" s="476">
        <f>orcamento!L78</f>
        <v>5.67</v>
      </c>
    </row>
    <row r="80" spans="1:13" x14ac:dyDescent="0.3">
      <c r="A80" s="474">
        <f>IF('Orçamento-TCE'!A80&gt;0,'Orçamento-TCE'!A80,"")</f>
        <v>1</v>
      </c>
      <c r="B80" s="475">
        <f>'Orçamento-TCE'!B80</f>
        <v>58</v>
      </c>
      <c r="C80" s="475" t="str">
        <f>IF('Orçamento-TCE'!C80&gt;0,'Orçamento-TCE'!C80,"")</f>
        <v>6.27</v>
      </c>
      <c r="D80" s="461" t="str">
        <f>IF('Orçamento-TCE'!G80&gt;0,'Orçamento-TCE'!G80,"")</f>
        <v>CURVA 90 GRAUS, PVC, SOLDÁVEL, DN 32MM, INSTALADO EM RAMAL OU SUB-RAMAL DE ÁGUA - FORNECIMENTO E INSTALAÇÃO. AF_06/2022</v>
      </c>
      <c r="E80" s="461">
        <f>IF('Orçamento-TCE'!H80&gt;0,'Orçamento-TCE'!H80,"")</f>
        <v>8</v>
      </c>
      <c r="F80" s="461" t="str">
        <f>IF('Orçamento-TCE'!I80&gt;0,'Orçamento-TCE'!I80,"")</f>
        <v>UN</v>
      </c>
      <c r="G80" s="460">
        <f>orcamento!K79</f>
        <v>25.29</v>
      </c>
      <c r="H80" s="461">
        <f t="shared" si="1"/>
        <v>202.32</v>
      </c>
      <c r="I80" s="462">
        <f>orcamento!J79</f>
        <v>0.24229999999999999</v>
      </c>
      <c r="J80" s="462">
        <v>1.1194999999999999</v>
      </c>
      <c r="K80" s="462"/>
      <c r="L80" s="476">
        <f>orcamento!M79</f>
        <v>99.039999999999992</v>
      </c>
      <c r="M80" s="476">
        <f>orcamento!L79</f>
        <v>103.28</v>
      </c>
    </row>
    <row r="81" spans="1:13" x14ac:dyDescent="0.3">
      <c r="A81" s="474">
        <f>IF('Orçamento-TCE'!A81&gt;0,'Orçamento-TCE'!A81,"")</f>
        <v>1</v>
      </c>
      <c r="B81" s="475">
        <f>'Orçamento-TCE'!B81</f>
        <v>59</v>
      </c>
      <c r="C81" s="475" t="str">
        <f>IF('Orçamento-TCE'!C81&gt;0,'Orçamento-TCE'!C81,"")</f>
        <v>6.28</v>
      </c>
      <c r="D81" s="461" t="str">
        <f>IF('Orçamento-TCE'!G81&gt;0,'Orçamento-TCE'!G81,"")</f>
        <v>TORNEIRA PLÁSTICA 3/4" PARA TANQUE - FORNECIMENTO E INSTALAÇÃO. AF_02/2026</v>
      </c>
      <c r="E81" s="461">
        <f>IF('Orçamento-TCE'!H81&gt;0,'Orçamento-TCE'!H81,"")</f>
        <v>2</v>
      </c>
      <c r="F81" s="461" t="str">
        <f>IF('Orçamento-TCE'!I81&gt;0,'Orçamento-TCE'!I81,"")</f>
        <v>UN</v>
      </c>
      <c r="G81" s="460">
        <f>orcamento!K80</f>
        <v>34.56</v>
      </c>
      <c r="H81" s="461">
        <f t="shared" si="1"/>
        <v>69.12</v>
      </c>
      <c r="I81" s="462">
        <f>orcamento!J80</f>
        <v>0.24229999999999999</v>
      </c>
      <c r="J81" s="462">
        <v>1.1194999999999999</v>
      </c>
      <c r="K81" s="462"/>
      <c r="L81" s="476">
        <f>orcamento!M80</f>
        <v>52.84</v>
      </c>
      <c r="M81" s="476">
        <f>orcamento!L80</f>
        <v>16.28</v>
      </c>
    </row>
    <row r="82" spans="1:13" x14ac:dyDescent="0.3">
      <c r="A82" s="474">
        <f>IF('Orçamento-TCE'!A82&gt;0,'Orçamento-TCE'!A82,"")</f>
        <v>1</v>
      </c>
      <c r="B82" s="475">
        <f>'Orçamento-TCE'!B82</f>
        <v>60</v>
      </c>
      <c r="C82" s="475" t="str">
        <f>IF('Orçamento-TCE'!C82&gt;0,'Orçamento-TCE'!C82,"")</f>
        <v>6.29</v>
      </c>
      <c r="D82" s="461" t="str">
        <f>IF('Orçamento-TCE'!G82&gt;0,'Orçamento-TCE'!G82,"")</f>
        <v>ESCAVAÇÃO MANUAL DE VALA. AF_09/2024</v>
      </c>
      <c r="E82" s="461">
        <f>IF('Orçamento-TCE'!H82&gt;0,'Orçamento-TCE'!H82,"")</f>
        <v>1.7999999999999998</v>
      </c>
      <c r="F82" s="461" t="str">
        <f>IF('Orçamento-TCE'!I82&gt;0,'Orçamento-TCE'!I82,"")</f>
        <v>M3</v>
      </c>
      <c r="G82" s="460">
        <f>orcamento!K81</f>
        <v>126.83</v>
      </c>
      <c r="H82" s="461">
        <f t="shared" si="1"/>
        <v>228.29</v>
      </c>
      <c r="I82" s="462">
        <f>orcamento!J81</f>
        <v>0.24229999999999999</v>
      </c>
      <c r="J82" s="462">
        <v>1.1194999999999999</v>
      </c>
      <c r="K82" s="462"/>
      <c r="L82" s="476">
        <f>orcamento!M81</f>
        <v>1.999999999998181E-2</v>
      </c>
      <c r="M82" s="476">
        <f>orcamento!L81</f>
        <v>228.27</v>
      </c>
    </row>
    <row r="83" spans="1:13" x14ac:dyDescent="0.3">
      <c r="A83" s="474">
        <f>IF('Orçamento-TCE'!A83&gt;0,'Orçamento-TCE'!A83,"")</f>
        <v>1</v>
      </c>
      <c r="B83" s="475">
        <f>'Orçamento-TCE'!B83</f>
        <v>61</v>
      </c>
      <c r="C83" s="475" t="str">
        <f>IF('Orçamento-TCE'!C83&gt;0,'Orçamento-TCE'!C83,"")</f>
        <v>6.30</v>
      </c>
      <c r="D83" s="461" t="str">
        <f>IF('Orçamento-TCE'!G83&gt;0,'Orçamento-TCE'!G83,"")</f>
        <v>REATERRO MANUAL DE VALAS, COM PLACA VIBRATÓRIA. AF_08/2023</v>
      </c>
      <c r="E83" s="461">
        <f>IF('Orçamento-TCE'!H83&gt;0,'Orçamento-TCE'!H83,"")</f>
        <v>1.7999999999999998</v>
      </c>
      <c r="F83" s="461" t="str">
        <f>IF('Orçamento-TCE'!I83&gt;0,'Orçamento-TCE'!I83,"")</f>
        <v>M3</v>
      </c>
      <c r="G83" s="460">
        <f>orcamento!K82</f>
        <v>31.85</v>
      </c>
      <c r="H83" s="461">
        <f t="shared" si="1"/>
        <v>57.33</v>
      </c>
      <c r="I83" s="462">
        <f>orcamento!J82</f>
        <v>0.24229999999999999</v>
      </c>
      <c r="J83" s="462">
        <v>1.1194999999999999</v>
      </c>
      <c r="K83" s="462"/>
      <c r="L83" s="476">
        <f>orcamento!M82</f>
        <v>6.1599999999999966</v>
      </c>
      <c r="M83" s="476">
        <f>orcamento!L82</f>
        <v>51.17</v>
      </c>
    </row>
    <row r="84" spans="1:13" x14ac:dyDescent="0.3">
      <c r="A84" s="474">
        <f>IF('Orçamento-TCE'!A84&gt;0,'Orçamento-TCE'!A84,"")</f>
        <v>1</v>
      </c>
      <c r="B84" s="475">
        <f>'Orçamento-TCE'!B84</f>
        <v>62</v>
      </c>
      <c r="C84" s="475" t="str">
        <f>IF('Orçamento-TCE'!C84&gt;0,'Orçamento-TCE'!C84,"")</f>
        <v>6.31</v>
      </c>
      <c r="D84" s="461" t="str">
        <f>IF('Orçamento-TCE'!G84&gt;0,'Orçamento-TCE'!G84,"")</f>
        <v>TUBO PVC, SERIE NORMAL, ESGOTO PREDIAL, DN 100 MM, FORNECIDO E INSTALADO EM RAMAL DE DESCARGA OU RAMAL DE ESGOTO SANITÁRIO. AF_08/2022</v>
      </c>
      <c r="E84" s="461">
        <f>IF('Orçamento-TCE'!H84&gt;0,'Orçamento-TCE'!H84,"")</f>
        <v>6</v>
      </c>
      <c r="F84" s="461" t="str">
        <f>IF('Orçamento-TCE'!I84&gt;0,'Orçamento-TCE'!I84,"")</f>
        <v>M</v>
      </c>
      <c r="G84" s="460">
        <f>orcamento!K83</f>
        <v>57.51</v>
      </c>
      <c r="H84" s="461">
        <f t="shared" si="1"/>
        <v>345.06</v>
      </c>
      <c r="I84" s="462">
        <f>orcamento!J83</f>
        <v>0.24229999999999999</v>
      </c>
      <c r="J84" s="462">
        <v>1.1194999999999999</v>
      </c>
      <c r="K84" s="462"/>
      <c r="L84" s="476">
        <f>orcamento!M83</f>
        <v>154.74</v>
      </c>
      <c r="M84" s="476">
        <f>orcamento!L83</f>
        <v>190.32</v>
      </c>
    </row>
    <row r="85" spans="1:13" x14ac:dyDescent="0.3">
      <c r="A85" s="474">
        <f>IF('Orçamento-TCE'!A85&gt;0,'Orçamento-TCE'!A85,"")</f>
        <v>1</v>
      </c>
      <c r="B85" s="475">
        <f>'Orçamento-TCE'!B85</f>
        <v>63</v>
      </c>
      <c r="C85" s="475" t="str">
        <f>IF('Orçamento-TCE'!C85&gt;0,'Orçamento-TCE'!C85,"")</f>
        <v>6.32</v>
      </c>
      <c r="D85" s="461" t="str">
        <f>IF('Orçamento-TCE'!G85&gt;0,'Orçamento-TCE'!G85,"")</f>
        <v>TUBO PVC, SERIE NORMAL, ESGOTO PREDIAL, DN 50 MM, FORNECIDO E INSTALADO EM RAMAL DE DESCARGA OU RAMAL DE ESGOTO SANITÁRIO. AF_08/2022</v>
      </c>
      <c r="E85" s="461">
        <f>IF('Orçamento-TCE'!H85&gt;0,'Orçamento-TCE'!H85,"")</f>
        <v>8</v>
      </c>
      <c r="F85" s="461" t="str">
        <f>IF('Orçamento-TCE'!I85&gt;0,'Orçamento-TCE'!I85,"")</f>
        <v>M</v>
      </c>
      <c r="G85" s="460">
        <f>orcamento!K84</f>
        <v>41.31</v>
      </c>
      <c r="H85" s="461">
        <f t="shared" si="1"/>
        <v>330.48</v>
      </c>
      <c r="I85" s="462">
        <f>orcamento!J84</f>
        <v>0.24229999999999999</v>
      </c>
      <c r="J85" s="462">
        <v>1.1194999999999999</v>
      </c>
      <c r="K85" s="462"/>
      <c r="L85" s="476">
        <f>orcamento!M84</f>
        <v>148.72000000000003</v>
      </c>
      <c r="M85" s="476">
        <f>orcamento!L84</f>
        <v>181.76</v>
      </c>
    </row>
    <row r="86" spans="1:13" x14ac:dyDescent="0.3">
      <c r="A86" s="474">
        <f>IF('Orçamento-TCE'!A86&gt;0,'Orçamento-TCE'!A86,"")</f>
        <v>1</v>
      </c>
      <c r="B86" s="475">
        <f>'Orçamento-TCE'!B86</f>
        <v>64</v>
      </c>
      <c r="C86" s="475" t="str">
        <f>IF('Orçamento-TCE'!C86&gt;0,'Orçamento-TCE'!C86,"")</f>
        <v>6.33</v>
      </c>
      <c r="D86" s="461" t="str">
        <f>IF('Orçamento-TCE'!G86&gt;0,'Orçamento-TCE'!G86,"")</f>
        <v>JOELHO 90 GRAUS, PVC, SERIE NORMAL, ESGOTO PREDIAL, DN 100 MM, JUNTA ELÁSTICA, FORNECIDO E INSTALADO EM PRUMADA DE ESGOTO SANITÁRIO OU VENTILAÇÃO. AF_08/2022</v>
      </c>
      <c r="E86" s="461">
        <f>IF('Orçamento-TCE'!H86&gt;0,'Orçamento-TCE'!H86,"")</f>
        <v>4</v>
      </c>
      <c r="F86" s="461" t="str">
        <f>IF('Orçamento-TCE'!I86&gt;0,'Orçamento-TCE'!I86,"")</f>
        <v>UN</v>
      </c>
      <c r="G86" s="460">
        <f>orcamento!K85</f>
        <v>41.21</v>
      </c>
      <c r="H86" s="461">
        <f t="shared" si="1"/>
        <v>164.84</v>
      </c>
      <c r="I86" s="462">
        <f>orcamento!J85</f>
        <v>0.24229999999999999</v>
      </c>
      <c r="J86" s="462">
        <v>1.1194999999999999</v>
      </c>
      <c r="K86" s="462"/>
      <c r="L86" s="476">
        <f>orcamento!M85</f>
        <v>102.84</v>
      </c>
      <c r="M86" s="476">
        <f>orcamento!L85</f>
        <v>62</v>
      </c>
    </row>
    <row r="87" spans="1:13" x14ac:dyDescent="0.3">
      <c r="A87" s="474">
        <f>IF('Orçamento-TCE'!A87&gt;0,'Orçamento-TCE'!A87,"")</f>
        <v>1</v>
      </c>
      <c r="B87" s="475">
        <f>'Orçamento-TCE'!B87</f>
        <v>65</v>
      </c>
      <c r="C87" s="475" t="str">
        <f>IF('Orçamento-TCE'!C87&gt;0,'Orçamento-TCE'!C87,"")</f>
        <v>6.34</v>
      </c>
      <c r="D87" s="461" t="str">
        <f>IF('Orçamento-TCE'!G87&gt;0,'Orçamento-TCE'!G87,"")</f>
        <v>JOELHO 90 GRAUS, PVC, SERIE NORMAL, ESGOTO PREDIAL, DN 50 MM, JUNTA ELÁSTICA, FORNECIDO E INSTALADO EM PRUMADA DE ESGOTO SANITÁRIO OU VENTILAÇÃO. AF_08/2022</v>
      </c>
      <c r="E87" s="461">
        <f>IF('Orçamento-TCE'!H87&gt;0,'Orçamento-TCE'!H87,"")</f>
        <v>6</v>
      </c>
      <c r="F87" s="461" t="str">
        <f>IF('Orçamento-TCE'!I87&gt;0,'Orçamento-TCE'!I87,"")</f>
        <v>UN</v>
      </c>
      <c r="G87" s="460">
        <f>orcamento!K86</f>
        <v>13.6</v>
      </c>
      <c r="H87" s="461">
        <f t="shared" si="1"/>
        <v>81.599999999999994</v>
      </c>
      <c r="I87" s="462">
        <f>orcamento!J86</f>
        <v>0.24229999999999999</v>
      </c>
      <c r="J87" s="462">
        <v>1.1194999999999999</v>
      </c>
      <c r="K87" s="462"/>
      <c r="L87" s="476">
        <f>orcamento!M86</f>
        <v>66.959999999999994</v>
      </c>
      <c r="M87" s="476">
        <f>orcamento!L86</f>
        <v>14.64</v>
      </c>
    </row>
    <row r="88" spans="1:13" x14ac:dyDescent="0.3">
      <c r="A88" s="474">
        <f>IF('Orçamento-TCE'!A88&gt;0,'Orçamento-TCE'!A88,"")</f>
        <v>1</v>
      </c>
      <c r="B88" s="475">
        <f>'Orçamento-TCE'!B88</f>
        <v>66</v>
      </c>
      <c r="C88" s="475" t="str">
        <f>IF('Orçamento-TCE'!C88&gt;0,'Orçamento-TCE'!C88,"")</f>
        <v>6.35</v>
      </c>
      <c r="D88" s="461" t="str">
        <f>IF('Orçamento-TCE'!G88&gt;0,'Orçamento-TCE'!G88,"")</f>
        <v>ESCAVAÇÃO MANUAL DE VALA. AF_09/2024</v>
      </c>
      <c r="E88" s="461">
        <f>IF('Orçamento-TCE'!H88&gt;0,'Orçamento-TCE'!H88,"")</f>
        <v>0.89999999999999991</v>
      </c>
      <c r="F88" s="461" t="str">
        <f>IF('Orçamento-TCE'!I88&gt;0,'Orçamento-TCE'!I88,"")</f>
        <v>M3</v>
      </c>
      <c r="G88" s="460">
        <f>orcamento!K87</f>
        <v>126.83</v>
      </c>
      <c r="H88" s="461">
        <f t="shared" si="1"/>
        <v>114.15</v>
      </c>
      <c r="I88" s="462">
        <f>orcamento!J87</f>
        <v>0.24229999999999999</v>
      </c>
      <c r="J88" s="462">
        <v>1.1194999999999999</v>
      </c>
      <c r="K88" s="462"/>
      <c r="L88" s="476">
        <f>orcamento!M87</f>
        <v>2.0000000000010232E-2</v>
      </c>
      <c r="M88" s="476">
        <f>orcamento!L87</f>
        <v>114.13</v>
      </c>
    </row>
    <row r="89" spans="1:13" x14ac:dyDescent="0.3">
      <c r="A89" s="474">
        <f>IF('Orçamento-TCE'!A89&gt;0,'Orçamento-TCE'!A89,"")</f>
        <v>1</v>
      </c>
      <c r="B89" s="475">
        <f>'Orçamento-TCE'!B89</f>
        <v>67</v>
      </c>
      <c r="C89" s="475" t="str">
        <f>IF('Orçamento-TCE'!C89&gt;0,'Orçamento-TCE'!C89,"")</f>
        <v>6.36</v>
      </c>
      <c r="D89" s="461" t="str">
        <f>IF('Orçamento-TCE'!G89&gt;0,'Orçamento-TCE'!G89,"")</f>
        <v>REATERRO MANUAL DE VALAS, COM PLACA VIBRATÓRIA. AF_08/2023</v>
      </c>
      <c r="E89" s="461">
        <f>IF('Orçamento-TCE'!H89&gt;0,'Orçamento-TCE'!H89,"")</f>
        <v>0.89999999999999991</v>
      </c>
      <c r="F89" s="461" t="str">
        <f>IF('Orçamento-TCE'!I89&gt;0,'Orçamento-TCE'!I89,"")</f>
        <v>M3</v>
      </c>
      <c r="G89" s="460">
        <f>orcamento!K88</f>
        <v>31.85</v>
      </c>
      <c r="H89" s="461">
        <f t="shared" si="1"/>
        <v>28.67</v>
      </c>
      <c r="I89" s="462">
        <f>orcamento!J88</f>
        <v>0.24229999999999999</v>
      </c>
      <c r="J89" s="462">
        <v>1.1194999999999999</v>
      </c>
      <c r="K89" s="462"/>
      <c r="L89" s="476">
        <f>orcamento!M88</f>
        <v>3.0900000000000034</v>
      </c>
      <c r="M89" s="476">
        <f>orcamento!L88</f>
        <v>25.58</v>
      </c>
    </row>
    <row r="90" spans="1:13" x14ac:dyDescent="0.3">
      <c r="A90" s="474"/>
      <c r="B90" s="475"/>
      <c r="C90" s="475"/>
      <c r="D90" s="461"/>
      <c r="E90" s="461"/>
      <c r="F90" s="461"/>
      <c r="G90" s="460"/>
      <c r="H90" s="461"/>
      <c r="I90" s="462"/>
      <c r="J90" s="462"/>
      <c r="K90" s="462"/>
      <c r="L90" s="476"/>
      <c r="M90" s="476"/>
    </row>
    <row r="91" spans="1:13" x14ac:dyDescent="0.3">
      <c r="A91" s="474">
        <f>IF('Orçamento-TCE'!A91&gt;0,'Orçamento-TCE'!A91,"")</f>
        <v>1</v>
      </c>
      <c r="B91" s="475">
        <f>'Orçamento-TCE'!B91</f>
        <v>68</v>
      </c>
      <c r="C91" s="475" t="str">
        <f>IF('Orçamento-TCE'!C91&gt;0,'Orçamento-TCE'!C91,"")</f>
        <v>7.1</v>
      </c>
      <c r="D91" s="461" t="str">
        <f>IF('Orçamento-TCE'!G91&gt;0,'Orçamento-TCE'!G91,"")</f>
        <v>LIMPEZA MECANIZADA DE CAMADA VEGETAL, VEGETAÇÃO E PEQUENAS ÁRVORES (DIÂMETRO DE TRONCO MENOR QUE 0,20 M), COM TRATOR DE ESTEIRAS. AF_03/2024</v>
      </c>
      <c r="E91" s="461">
        <f>IF('Orçamento-TCE'!H91&gt;0,'Orçamento-TCE'!H91,"")</f>
        <v>1287.1999999999998</v>
      </c>
      <c r="F91" s="461" t="str">
        <f>IF('Orçamento-TCE'!I91&gt;0,'Orçamento-TCE'!I91,"")</f>
        <v>M2</v>
      </c>
      <c r="G91" s="460">
        <f>orcamento!K90</f>
        <v>0.87</v>
      </c>
      <c r="H91" s="461">
        <f t="shared" si="1"/>
        <v>1119.8599999999999</v>
      </c>
      <c r="I91" s="462">
        <f>orcamento!J90</f>
        <v>0.24229999999999999</v>
      </c>
      <c r="J91" s="462">
        <v>1.1194999999999999</v>
      </c>
      <c r="K91" s="462"/>
      <c r="L91" s="476">
        <f>orcamento!M90</f>
        <v>682.21999999999991</v>
      </c>
      <c r="M91" s="476">
        <f>orcamento!L90</f>
        <v>437.64</v>
      </c>
    </row>
    <row r="92" spans="1:13" x14ac:dyDescent="0.3">
      <c r="A92" s="474">
        <f>IF('Orçamento-TCE'!A92&gt;0,'Orçamento-TCE'!A92,"")</f>
        <v>1</v>
      </c>
      <c r="B92" s="475">
        <f>'Orçamento-TCE'!B92</f>
        <v>69</v>
      </c>
      <c r="C92" s="475" t="str">
        <f>IF('Orçamento-TCE'!C92&gt;0,'Orçamento-TCE'!C92,"")</f>
        <v>7.2</v>
      </c>
      <c r="D92" s="461" t="str">
        <f>IF('Orçamento-TCE'!G92&gt;0,'Orçamento-TCE'!G92,"")</f>
        <v>DEMOLIÇÃO DE PISO DE CONCRETO SIMPLES, DE FORMA MECANIZADA COM MARTELETE, SEM REAPROVEITAMENTO. AF_09/2023</v>
      </c>
      <c r="E92" s="461">
        <f>IF('Orçamento-TCE'!H92&gt;0,'Orçamento-TCE'!H92,"")</f>
        <v>5.62</v>
      </c>
      <c r="F92" s="461" t="str">
        <f>IF('Orçamento-TCE'!I92&gt;0,'Orçamento-TCE'!I92,"")</f>
        <v>M3</v>
      </c>
      <c r="G92" s="460">
        <f>orcamento!K91</f>
        <v>152.31</v>
      </c>
      <c r="H92" s="461">
        <f t="shared" si="1"/>
        <v>855.98</v>
      </c>
      <c r="I92" s="462">
        <f>orcamento!J91</f>
        <v>0.24229999999999999</v>
      </c>
      <c r="J92" s="462">
        <v>1.1194999999999999</v>
      </c>
      <c r="K92" s="462"/>
      <c r="L92" s="476">
        <f>orcamento!M91</f>
        <v>334.73</v>
      </c>
      <c r="M92" s="476">
        <f>orcamento!L91</f>
        <v>521.25</v>
      </c>
    </row>
    <row r="93" spans="1:13" x14ac:dyDescent="0.3">
      <c r="A93" s="474">
        <f>IF('Orçamento-TCE'!A93&gt;0,'Orçamento-TCE'!A93,"")</f>
        <v>1</v>
      </c>
      <c r="B93" s="475">
        <f>'Orçamento-TCE'!B93</f>
        <v>70</v>
      </c>
      <c r="C93" s="475" t="str">
        <f>IF('Orçamento-TCE'!C93&gt;0,'Orçamento-TCE'!C93,"")</f>
        <v>7.3</v>
      </c>
      <c r="D93" s="461" t="str">
        <f>IF('Orçamento-TCE'!G93&gt;0,'Orçamento-TCE'!G93,"")</f>
        <v>DEMOLIÇÃO PARCIAL DE PAVIMENTO ASFÁLTICO, DE FORMA MECANIZADA, SEM REAPROVEITAMENTO. AF_09/2023</v>
      </c>
      <c r="E93" s="461">
        <f>IF('Orçamento-TCE'!H93&gt;0,'Orçamento-TCE'!H93,"")</f>
        <v>31.56</v>
      </c>
      <c r="F93" s="461" t="str">
        <f>IF('Orçamento-TCE'!I93&gt;0,'Orçamento-TCE'!I93,"")</f>
        <v>M2</v>
      </c>
      <c r="G93" s="460">
        <f>orcamento!K92</f>
        <v>29.08</v>
      </c>
      <c r="H93" s="461">
        <f t="shared" si="1"/>
        <v>917.76</v>
      </c>
      <c r="I93" s="462">
        <f>orcamento!J92</f>
        <v>0.24229999999999999</v>
      </c>
      <c r="J93" s="462">
        <v>1.1194999999999999</v>
      </c>
      <c r="K93" s="462"/>
      <c r="L93" s="476">
        <f>orcamento!M92</f>
        <v>460.46</v>
      </c>
      <c r="M93" s="476">
        <f>orcamento!L92</f>
        <v>457.3</v>
      </c>
    </row>
    <row r="94" spans="1:13" x14ac:dyDescent="0.3">
      <c r="A94" s="474">
        <f>IF('Orçamento-TCE'!A94&gt;0,'Orçamento-TCE'!A94,"")</f>
        <v>1</v>
      </c>
      <c r="B94" s="475">
        <f>'Orçamento-TCE'!B94</f>
        <v>71</v>
      </c>
      <c r="C94" s="475" t="str">
        <f>IF('Orçamento-TCE'!C94&gt;0,'Orçamento-TCE'!C94,"")</f>
        <v>7.4</v>
      </c>
      <c r="D94" s="461" t="str">
        <f>IF('Orçamento-TCE'!G94&gt;0,'Orçamento-TCE'!G94,"")</f>
        <v>DEMOLIÇÃO DE GUIAS, SARJETAS OU SARJETÕES, DE FORMA MECANIZADA, SEM REAPROVEITAMENTO. AF_09/2023</v>
      </c>
      <c r="E94" s="461">
        <f>IF('Orçamento-TCE'!H94&gt;0,'Orçamento-TCE'!H94,"")</f>
        <v>9.44</v>
      </c>
      <c r="F94" s="461" t="str">
        <f>IF('Orçamento-TCE'!I94&gt;0,'Orçamento-TCE'!I94,"")</f>
        <v>M</v>
      </c>
      <c r="G94" s="460">
        <f>orcamento!K93</f>
        <v>19.68</v>
      </c>
      <c r="H94" s="461">
        <f t="shared" si="1"/>
        <v>185.78</v>
      </c>
      <c r="I94" s="462">
        <f>orcamento!J93</f>
        <v>0.24229999999999999</v>
      </c>
      <c r="J94" s="462">
        <v>1.1194999999999999</v>
      </c>
      <c r="K94" s="462"/>
      <c r="L94" s="476">
        <f>orcamento!M93</f>
        <v>43.34</v>
      </c>
      <c r="M94" s="476">
        <f>orcamento!L93</f>
        <v>142.44</v>
      </c>
    </row>
    <row r="95" spans="1:13" x14ac:dyDescent="0.3">
      <c r="A95" s="474">
        <f>IF('Orçamento-TCE'!A95&gt;0,'Orçamento-TCE'!A95,"")</f>
        <v>1</v>
      </c>
      <c r="B95" s="475">
        <f>'Orçamento-TCE'!B95</f>
        <v>72</v>
      </c>
      <c r="C95" s="475" t="str">
        <f>IF('Orçamento-TCE'!C95&gt;0,'Orçamento-TCE'!C95,"")</f>
        <v>7.5</v>
      </c>
      <c r="D95" s="461" t="str">
        <f>IF('Orçamento-TCE'!G95&gt;0,'Orçamento-TCE'!G95,"")</f>
        <v>CARGA, MANOBRA E DESCARGA DE ENTULHO EM CAMINHÃO BASCULANTE 10 M³ - CARGA COM ESCAVADEIRA HIDRÁULICA (CAÇAMBA DE 0,80 M³ / 111 HP) E DESCARGA LIVRE (UNIDADE: M3). AF_02/2026</v>
      </c>
      <c r="E95" s="461">
        <f>IF('Orçamento-TCE'!H95&gt;0,'Orçamento-TCE'!H95,"")</f>
        <v>171.37</v>
      </c>
      <c r="F95" s="461" t="str">
        <f>IF('Orçamento-TCE'!I95&gt;0,'Orçamento-TCE'!I95,"")</f>
        <v>M3</v>
      </c>
      <c r="G95" s="460">
        <f>orcamento!K94</f>
        <v>12.01</v>
      </c>
      <c r="H95" s="461">
        <f t="shared" si="1"/>
        <v>2058.15</v>
      </c>
      <c r="I95" s="462">
        <f>orcamento!J94</f>
        <v>0.24229999999999999</v>
      </c>
      <c r="J95" s="462">
        <v>1.1194999999999999</v>
      </c>
      <c r="K95" s="462"/>
      <c r="L95" s="476">
        <f>orcamento!M94</f>
        <v>1727.41</v>
      </c>
      <c r="M95" s="476">
        <f>orcamento!L94</f>
        <v>330.74</v>
      </c>
    </row>
    <row r="96" spans="1:13" x14ac:dyDescent="0.3">
      <c r="A96" s="474">
        <f>IF('Orçamento-TCE'!A96&gt;0,'Orçamento-TCE'!A96,"")</f>
        <v>1</v>
      </c>
      <c r="B96" s="475">
        <f>'Orçamento-TCE'!B96</f>
        <v>73</v>
      </c>
      <c r="C96" s="475" t="str">
        <f>IF('Orçamento-TCE'!C96&gt;0,'Orçamento-TCE'!C96,"")</f>
        <v>7.6</v>
      </c>
      <c r="D96" s="461" t="str">
        <f>IF('Orçamento-TCE'!G96&gt;0,'Orçamento-TCE'!G96,"")</f>
        <v>TRANSPORTE COM CAMINHÃO BASCULANTE DE 10 M³, EM VIA URBANA PAVIMENTADA, DMT ATÉ 30 KM (UNIDADE: M3XKM). AF_02/2026</v>
      </c>
      <c r="E96" s="461">
        <f>IF('Orçamento-TCE'!H96&gt;0,'Orçamento-TCE'!H96,"")</f>
        <v>1131.04</v>
      </c>
      <c r="F96" s="461" t="str">
        <f>IF('Orçamento-TCE'!I96&gt;0,'Orçamento-TCE'!I96,"")</f>
        <v>M3XKM</v>
      </c>
      <c r="G96" s="460">
        <f>orcamento!K95</f>
        <v>3.52</v>
      </c>
      <c r="H96" s="461">
        <f t="shared" si="1"/>
        <v>3981.26</v>
      </c>
      <c r="I96" s="462">
        <f>orcamento!J95</f>
        <v>0.24229999999999999</v>
      </c>
      <c r="J96" s="462">
        <v>1.1194999999999999</v>
      </c>
      <c r="K96" s="462"/>
      <c r="L96" s="476">
        <f>orcamento!M95</f>
        <v>3506.2300000000005</v>
      </c>
      <c r="M96" s="476">
        <f>orcamento!L95</f>
        <v>475.03</v>
      </c>
    </row>
    <row r="97" spans="1:13" x14ac:dyDescent="0.3">
      <c r="A97" s="474">
        <f>IF('Orçamento-TCE'!A97&gt;0,'Orçamento-TCE'!A97,"")</f>
        <v>1</v>
      </c>
      <c r="B97" s="475">
        <f>'Orçamento-TCE'!B97</f>
        <v>74</v>
      </c>
      <c r="C97" s="475" t="str">
        <f>IF('Orçamento-TCE'!C97&gt;0,'Orçamento-TCE'!C97,"")</f>
        <v>7.7</v>
      </c>
      <c r="D97" s="461" t="str">
        <f>IF('Orçamento-TCE'!G97&gt;0,'Orçamento-TCE'!G97,"")</f>
        <v>TAXA PARA BOTA FORA</v>
      </c>
      <c r="E97" s="461">
        <f>IF('Orçamento-TCE'!H97&gt;0,'Orçamento-TCE'!H97,"")</f>
        <v>171.37</v>
      </c>
      <c r="F97" s="461" t="str">
        <f>IF('Orçamento-TCE'!I97&gt;0,'Orçamento-TCE'!I97,"")</f>
        <v>M3</v>
      </c>
      <c r="G97" s="460">
        <f>orcamento!K96</f>
        <v>11.5</v>
      </c>
      <c r="H97" s="461">
        <f t="shared" si="1"/>
        <v>1970.76</v>
      </c>
      <c r="I97" s="462">
        <f>orcamento!J96</f>
        <v>0.16980000000000001</v>
      </c>
      <c r="J97" s="462">
        <v>1.1194999999999999</v>
      </c>
      <c r="K97" s="462"/>
      <c r="L97" s="476">
        <f>orcamento!M96</f>
        <v>1970.76</v>
      </c>
      <c r="M97" s="476">
        <f>orcamento!L96</f>
        <v>0</v>
      </c>
    </row>
    <row r="98" spans="1:13" x14ac:dyDescent="0.3">
      <c r="A98" s="474"/>
      <c r="B98" s="475"/>
      <c r="C98" s="475"/>
      <c r="D98" s="461"/>
      <c r="E98" s="461"/>
      <c r="F98" s="461"/>
      <c r="G98" s="460"/>
      <c r="H98" s="461"/>
      <c r="I98" s="462"/>
      <c r="J98" s="462"/>
      <c r="K98" s="462"/>
      <c r="L98" s="476"/>
      <c r="M98" s="476"/>
    </row>
    <row r="99" spans="1:13" x14ac:dyDescent="0.3">
      <c r="A99" s="474">
        <f>IF('Orçamento-TCE'!A99&gt;0,'Orçamento-TCE'!A99,"")</f>
        <v>1</v>
      </c>
      <c r="B99" s="475">
        <f>'Orçamento-TCE'!B99</f>
        <v>75</v>
      </c>
      <c r="C99" s="475" t="str">
        <f>IF('Orçamento-TCE'!C99&gt;0,'Orçamento-TCE'!C99,"")</f>
        <v>8.1</v>
      </c>
      <c r="D99" s="461" t="str">
        <f>IF('Orçamento-TCE'!G99&gt;0,'Orçamento-TCE'!G99,"")</f>
        <v>ESCAVAÇÃO HORIZONTAL, INCLUINDO CARGA, DESCARGA E TRANSPORTE EM SOLO DE 1A CATEGORIA COM TRATOR DE ESTEIRAS (125HP/LÂMINA: 2,70M3) E CAMINHÃO BASCULANTE DE 10M3, DMT ATÉ 200M. AF_07/2020</v>
      </c>
      <c r="E99" s="461">
        <f>IF('Orçamento-TCE'!H99&gt;0,'Orçamento-TCE'!H99,"")</f>
        <v>229.7</v>
      </c>
      <c r="F99" s="461" t="str">
        <f>IF('Orçamento-TCE'!I99&gt;0,'Orçamento-TCE'!I99,"")</f>
        <v>M3</v>
      </c>
      <c r="G99" s="460">
        <f>orcamento!K98</f>
        <v>19.47</v>
      </c>
      <c r="H99" s="461">
        <f t="shared" si="1"/>
        <v>4472.26</v>
      </c>
      <c r="I99" s="462">
        <f>orcamento!J98</f>
        <v>0.24229999999999999</v>
      </c>
      <c r="J99" s="462">
        <v>1.1194999999999999</v>
      </c>
      <c r="K99" s="462"/>
      <c r="L99" s="476">
        <f>orcamento!M98</f>
        <v>3477.6600000000003</v>
      </c>
      <c r="M99" s="476">
        <f>orcamento!L98</f>
        <v>994.6</v>
      </c>
    </row>
    <row r="100" spans="1:13" x14ac:dyDescent="0.3">
      <c r="A100" s="474">
        <f>IF('Orçamento-TCE'!A100&gt;0,'Orçamento-TCE'!A100,"")</f>
        <v>1</v>
      </c>
      <c r="B100" s="475">
        <f>'Orçamento-TCE'!B100</f>
        <v>76</v>
      </c>
      <c r="C100" s="475" t="str">
        <f>IF('Orçamento-TCE'!C100&gt;0,'Orçamento-TCE'!C100,"")</f>
        <v>8.2</v>
      </c>
      <c r="D100" s="461" t="str">
        <f>IF('Orçamento-TCE'!G100&gt;0,'Orçamento-TCE'!G100,"")</f>
        <v>EXECUÇÃO E COMPACTAÇÃO DE CORPO DE ATERRO (95% DE ENERGIA DO PROCTOR NORMAL) COM SOLO PREDOMINANTEMENTE ARENOSO ESPESSURA 15CM - EXCLUSIVE MATERIAL, ESCAVAÇÃO, CARGA E TRANSPORTE. AF_09/2024</v>
      </c>
      <c r="E100" s="461">
        <f>IF('Orçamento-TCE'!H100&gt;0,'Orçamento-TCE'!H100,"")</f>
        <v>53.29</v>
      </c>
      <c r="F100" s="461" t="str">
        <f>IF('Orçamento-TCE'!I100&gt;0,'Orçamento-TCE'!I100,"")</f>
        <v>M3</v>
      </c>
      <c r="G100" s="460">
        <f>orcamento!K99</f>
        <v>8.7199999999999989</v>
      </c>
      <c r="H100" s="461">
        <f t="shared" si="1"/>
        <v>464.69</v>
      </c>
      <c r="I100" s="462">
        <f>orcamento!J99</f>
        <v>0.24229999999999999</v>
      </c>
      <c r="J100" s="462">
        <v>1.1194999999999999</v>
      </c>
      <c r="K100" s="462"/>
      <c r="L100" s="476">
        <f>orcamento!M99</f>
        <v>332</v>
      </c>
      <c r="M100" s="476">
        <f>orcamento!L99</f>
        <v>132.69</v>
      </c>
    </row>
    <row r="101" spans="1:13" x14ac:dyDescent="0.3">
      <c r="A101" s="474">
        <f>IF('Orçamento-TCE'!A101&gt;0,'Orçamento-TCE'!A101,"")</f>
        <v>1</v>
      </c>
      <c r="B101" s="475">
        <f>'Orçamento-TCE'!B101</f>
        <v>77</v>
      </c>
      <c r="C101" s="475" t="str">
        <f>IF('Orçamento-TCE'!C101&gt;0,'Orçamento-TCE'!C101,"")</f>
        <v>8.3</v>
      </c>
      <c r="D101" s="461" t="str">
        <f>IF('Orçamento-TCE'!G101&gt;0,'Orçamento-TCE'!G101,"")</f>
        <v>CARGA, MANOBRA E DESCARGA DE SOLOS E MATERIAIS GRANULARES EM CAMINHÃO BASCULANTE 10 M³ - CARGA COM ESCAVADEIRA HIDRÁULICA (CAÇAMBA DE 1,20 M³ / 155 HP) E DESCARGA LIVRE (UNIDADE: M3). AF_02/2026</v>
      </c>
      <c r="E101" s="461">
        <f>IF('Orçamento-TCE'!H101&gt;0,'Orçamento-TCE'!H101,"")</f>
        <v>66.61</v>
      </c>
      <c r="F101" s="461" t="str">
        <f>IF('Orçamento-TCE'!I101&gt;0,'Orçamento-TCE'!I101,"")</f>
        <v>M3</v>
      </c>
      <c r="G101" s="460">
        <f>orcamento!K100</f>
        <v>9.2200000000000006</v>
      </c>
      <c r="H101" s="461">
        <f t="shared" si="1"/>
        <v>614.14</v>
      </c>
      <c r="I101" s="462">
        <f>orcamento!J100</f>
        <v>0.24229999999999999</v>
      </c>
      <c r="J101" s="462">
        <v>1.1194999999999999</v>
      </c>
      <c r="K101" s="462"/>
      <c r="L101" s="476">
        <f>orcamento!M100</f>
        <v>516.89</v>
      </c>
      <c r="M101" s="476">
        <f>orcamento!L100</f>
        <v>97.25</v>
      </c>
    </row>
    <row r="102" spans="1:13" x14ac:dyDescent="0.3">
      <c r="A102" s="474">
        <f>IF('Orçamento-TCE'!A102&gt;0,'Orçamento-TCE'!A102,"")</f>
        <v>1</v>
      </c>
      <c r="B102" s="475">
        <f>'Orçamento-TCE'!B102</f>
        <v>78</v>
      </c>
      <c r="C102" s="475" t="str">
        <f>IF('Orçamento-TCE'!C102&gt;0,'Orçamento-TCE'!C102,"")</f>
        <v>8.4</v>
      </c>
      <c r="D102" s="461" t="str">
        <f>IF('Orçamento-TCE'!G102&gt;0,'Orçamento-TCE'!G102,"")</f>
        <v>TRANSPORTE COM CAMINHÃO BASCULANTE DE 10 M³, EM VIA URBANA PAVIMENTADA, DMT ATÉ 30 KM (UNIDADE: M3XKM). AF_02/2026</v>
      </c>
      <c r="E102" s="461">
        <f>IF('Orçamento-TCE'!H102&gt;0,'Orçamento-TCE'!H102,"")</f>
        <v>1455.38</v>
      </c>
      <c r="F102" s="461" t="str">
        <f>IF('Orçamento-TCE'!I102&gt;0,'Orçamento-TCE'!I102,"")</f>
        <v>M3XKM</v>
      </c>
      <c r="G102" s="460">
        <f>orcamento!K101</f>
        <v>3.52</v>
      </c>
      <c r="H102" s="461">
        <f t="shared" si="1"/>
        <v>5122.9399999999996</v>
      </c>
      <c r="I102" s="462">
        <f>orcamento!J101</f>
        <v>0.24229999999999999</v>
      </c>
      <c r="J102" s="462">
        <v>1.1194999999999999</v>
      </c>
      <c r="K102" s="462"/>
      <c r="L102" s="476">
        <f>orcamento!M101</f>
        <v>4511.6899999999996</v>
      </c>
      <c r="M102" s="476">
        <f>orcamento!L101</f>
        <v>611.25</v>
      </c>
    </row>
    <row r="103" spans="1:13" x14ac:dyDescent="0.3">
      <c r="A103" s="474">
        <f>IF('Orçamento-TCE'!A103&gt;0,'Orçamento-TCE'!A103,"")</f>
        <v>1</v>
      </c>
      <c r="B103" s="475">
        <f>'Orçamento-TCE'!B103</f>
        <v>79</v>
      </c>
      <c r="C103" s="475" t="str">
        <f>IF('Orçamento-TCE'!C103&gt;0,'Orçamento-TCE'!C103,"")</f>
        <v>8.5</v>
      </c>
      <c r="D103" s="461" t="str">
        <f>IF('Orçamento-TCE'!G103&gt;0,'Orçamento-TCE'!G103,"")</f>
        <v>TAXA PARA BOTA FORA</v>
      </c>
      <c r="E103" s="461">
        <f>IF('Orçamento-TCE'!H103&gt;0,'Orçamento-TCE'!H103,"")</f>
        <v>220.51</v>
      </c>
      <c r="F103" s="461" t="str">
        <f>IF('Orçamento-TCE'!I103&gt;0,'Orçamento-TCE'!I103,"")</f>
        <v>M3</v>
      </c>
      <c r="G103" s="460">
        <f>orcamento!K102</f>
        <v>11.5</v>
      </c>
      <c r="H103" s="461">
        <f t="shared" si="1"/>
        <v>2535.87</v>
      </c>
      <c r="I103" s="462">
        <f>orcamento!J102</f>
        <v>0.16980000000000001</v>
      </c>
      <c r="J103" s="462">
        <v>1.1194999999999999</v>
      </c>
      <c r="K103" s="462"/>
      <c r="L103" s="476">
        <f>orcamento!M102</f>
        <v>2535.87</v>
      </c>
      <c r="M103" s="476">
        <f>orcamento!L102</f>
        <v>0</v>
      </c>
    </row>
    <row r="104" spans="1:13" x14ac:dyDescent="0.3">
      <c r="A104" s="474"/>
      <c r="B104" s="475"/>
      <c r="C104" s="475"/>
      <c r="D104" s="461"/>
      <c r="E104" s="461"/>
      <c r="F104" s="461"/>
      <c r="G104" s="460"/>
      <c r="H104" s="461"/>
      <c r="I104" s="462"/>
      <c r="J104" s="462"/>
      <c r="K104" s="462"/>
      <c r="L104" s="476"/>
      <c r="M104" s="476"/>
    </row>
    <row r="105" spans="1:13" x14ac:dyDescent="0.3">
      <c r="A105" s="474">
        <f>IF('Orçamento-TCE'!A105&gt;0,'Orçamento-TCE'!A105,"")</f>
        <v>1</v>
      </c>
      <c r="B105" s="475">
        <f>'Orçamento-TCE'!B105</f>
        <v>80</v>
      </c>
      <c r="C105" s="475" t="str">
        <f>IF('Orçamento-TCE'!C105&gt;0,'Orçamento-TCE'!C105,"")</f>
        <v>9.1</v>
      </c>
      <c r="D105" s="461" t="str">
        <f>IF('Orçamento-TCE'!G105&gt;0,'Orçamento-TCE'!G105,"")</f>
        <v>REGULARIZAÇÃO E COMPACTAÇÃO DE SUBLEITO DE SOLO PREDOMINANTEMENTE ARGILOSO, PARA OBRAS DE CONSTRUÇÃO DE PAVIMENTOS. AF_09/2024</v>
      </c>
      <c r="E105" s="461">
        <f>IF('Orçamento-TCE'!H105&gt;0,'Orçamento-TCE'!H105,"")</f>
        <v>702.65</v>
      </c>
      <c r="F105" s="461" t="str">
        <f>IF('Orçamento-TCE'!I105&gt;0,'Orçamento-TCE'!I105,"")</f>
        <v>M2</v>
      </c>
      <c r="G105" s="460">
        <f>orcamento!K104</f>
        <v>3.76</v>
      </c>
      <c r="H105" s="461">
        <f t="shared" si="1"/>
        <v>2641.96</v>
      </c>
      <c r="I105" s="462">
        <f>orcamento!J104</f>
        <v>0.24229999999999999</v>
      </c>
      <c r="J105" s="462">
        <v>1.1194999999999999</v>
      </c>
      <c r="K105" s="462"/>
      <c r="L105" s="476">
        <f>orcamento!M104</f>
        <v>1679.33</v>
      </c>
      <c r="M105" s="476">
        <f>orcamento!L104</f>
        <v>962.63</v>
      </c>
    </row>
    <row r="106" spans="1:13" x14ac:dyDescent="0.3">
      <c r="A106" s="474">
        <f>IF('Orçamento-TCE'!A106&gt;0,'Orçamento-TCE'!A106,"")</f>
        <v>1</v>
      </c>
      <c r="B106" s="475">
        <f>'Orçamento-TCE'!B106</f>
        <v>81</v>
      </c>
      <c r="C106" s="475" t="str">
        <f>IF('Orçamento-TCE'!C106&gt;0,'Orçamento-TCE'!C106,"")</f>
        <v>9.2</v>
      </c>
      <c r="D106" s="461" t="str">
        <f>IF('Orçamento-TCE'!G106&gt;0,'Orçamento-TCE'!G106,"")</f>
        <v>CONSTRUÇÃO DE BASE E SUB-BASE PARA PAVIMENTAÇÃO DE RACHÃO, COM ESPESSURA DE 30 CM - EXCLUSIVE CARGA E TRANSPORTE. AF_09/2024</v>
      </c>
      <c r="E106" s="461">
        <f>IF('Orçamento-TCE'!H106&gt;0,'Orçamento-TCE'!H106,"")</f>
        <v>140.53</v>
      </c>
      <c r="F106" s="461" t="str">
        <f>IF('Orçamento-TCE'!I106&gt;0,'Orçamento-TCE'!I106,"")</f>
        <v>M3</v>
      </c>
      <c r="G106" s="460">
        <f>orcamento!K105</f>
        <v>154.91</v>
      </c>
      <c r="H106" s="461">
        <f t="shared" si="1"/>
        <v>21769.5</v>
      </c>
      <c r="I106" s="462">
        <f>orcamento!J105</f>
        <v>0.24229999999999999</v>
      </c>
      <c r="J106" s="462">
        <v>1.1194999999999999</v>
      </c>
      <c r="K106" s="462"/>
      <c r="L106" s="476">
        <f>orcamento!M105</f>
        <v>20459.77</v>
      </c>
      <c r="M106" s="476">
        <f>orcamento!L105</f>
        <v>1309.73</v>
      </c>
    </row>
    <row r="107" spans="1:13" x14ac:dyDescent="0.3">
      <c r="A107" s="474">
        <f>IF('Orçamento-TCE'!A107&gt;0,'Orçamento-TCE'!A107,"")</f>
        <v>1</v>
      </c>
      <c r="B107" s="475">
        <f>'Orçamento-TCE'!B107</f>
        <v>82</v>
      </c>
      <c r="C107" s="475" t="str">
        <f>IF('Orçamento-TCE'!C107&gt;0,'Orçamento-TCE'!C107,"")</f>
        <v>9.3</v>
      </c>
      <c r="D107" s="461" t="str">
        <f>IF('Orçamento-TCE'!G107&gt;0,'Orçamento-TCE'!G107,"")</f>
        <v>CONSTRUÇÃO DE BASE E SUB-BASE PARA PAVIMENTAÇÃO DE BRITA GRADUADA SIMPLES, COM ESPESSURA DE 20 CM - EXCLUSIVE CARGA E TRANSPORTE. AF_09/2024</v>
      </c>
      <c r="E107" s="461">
        <f>IF('Orçamento-TCE'!H107&gt;0,'Orçamento-TCE'!H107,"")</f>
        <v>140.53</v>
      </c>
      <c r="F107" s="461" t="str">
        <f>IF('Orçamento-TCE'!I107&gt;0,'Orçamento-TCE'!I107,"")</f>
        <v>M3</v>
      </c>
      <c r="G107" s="460">
        <f>orcamento!K106</f>
        <v>221.79</v>
      </c>
      <c r="H107" s="461">
        <f t="shared" si="1"/>
        <v>31168.15</v>
      </c>
      <c r="I107" s="462">
        <f>orcamento!J106</f>
        <v>0.24229999999999999</v>
      </c>
      <c r="J107" s="462">
        <v>1.1194999999999999</v>
      </c>
      <c r="K107" s="462"/>
      <c r="L107" s="476">
        <f>orcamento!M106</f>
        <v>29646.22</v>
      </c>
      <c r="M107" s="476">
        <f>orcamento!L106</f>
        <v>1521.93</v>
      </c>
    </row>
    <row r="108" spans="1:13" x14ac:dyDescent="0.3">
      <c r="A108" s="474">
        <f>IF('Orçamento-TCE'!A108&gt;0,'Orçamento-TCE'!A108,"")</f>
        <v>1</v>
      </c>
      <c r="B108" s="475">
        <f>'Orçamento-TCE'!B108</f>
        <v>83</v>
      </c>
      <c r="C108" s="475" t="str">
        <f>IF('Orçamento-TCE'!C108&gt;0,'Orçamento-TCE'!C108,"")</f>
        <v>9.4</v>
      </c>
      <c r="D108" s="461" t="str">
        <f>IF('Orçamento-TCE'!G108&gt;0,'Orçamento-TCE'!G108,"")</f>
        <v>MEIO-FIO EM TRECHO RETO, CONFECCIONADA EM CONCRETO PRÉ-FABRICADO, DIMENSÕES 100X15X13X30 CM , PARA VIAS URBANAS - FORNECIMENTO</v>
      </c>
      <c r="E108" s="461">
        <f>IF('Orçamento-TCE'!H108&gt;0,'Orçamento-TCE'!H108,"")</f>
        <v>239.93</v>
      </c>
      <c r="F108" s="461" t="str">
        <f>IF('Orçamento-TCE'!I108&gt;0,'Orçamento-TCE'!I108,"")</f>
        <v>M</v>
      </c>
      <c r="G108" s="460">
        <f>orcamento!K107</f>
        <v>44.53</v>
      </c>
      <c r="H108" s="461">
        <f t="shared" si="1"/>
        <v>10684.08</v>
      </c>
      <c r="I108" s="462">
        <f>orcamento!J107</f>
        <v>0.16980000000000001</v>
      </c>
      <c r="J108" s="462">
        <v>1.1194999999999999</v>
      </c>
      <c r="K108" s="462"/>
      <c r="L108" s="476">
        <f>orcamento!M107</f>
        <v>10684.08</v>
      </c>
      <c r="M108" s="476">
        <f>orcamento!L107</f>
        <v>0</v>
      </c>
    </row>
    <row r="109" spans="1:13" x14ac:dyDescent="0.3">
      <c r="A109" s="474">
        <f>IF('Orçamento-TCE'!A109&gt;0,'Orçamento-TCE'!A109,"")</f>
        <v>1</v>
      </c>
      <c r="B109" s="475">
        <f>'Orçamento-TCE'!B109</f>
        <v>84</v>
      </c>
      <c r="C109" s="475" t="str">
        <f>IF('Orçamento-TCE'!C109&gt;0,'Orçamento-TCE'!C109,"")</f>
        <v>9.5</v>
      </c>
      <c r="D109" s="461" t="str">
        <f>IF('Orçamento-TCE'!G109&gt;0,'Orçamento-TCE'!G109,"")</f>
        <v>MEIO-FIO EM TRECHO RETO, CONFECCIONADA EM CONCRETO PRÉ-FABRICADO, DIMENSÕES 100X15X13X30 CM , PARA VIAS URBANAS - EXECUÇÃO</v>
      </c>
      <c r="E109" s="461">
        <f>IF('Orçamento-TCE'!H109&gt;0,'Orçamento-TCE'!H109,"")</f>
        <v>239.93</v>
      </c>
      <c r="F109" s="461" t="str">
        <f>IF('Orçamento-TCE'!I109&gt;0,'Orçamento-TCE'!I109,"")</f>
        <v>M</v>
      </c>
      <c r="G109" s="460">
        <f>orcamento!K108</f>
        <v>18.990000000000002</v>
      </c>
      <c r="H109" s="461">
        <f t="shared" si="1"/>
        <v>4556.2700000000004</v>
      </c>
      <c r="I109" s="462">
        <f>orcamento!J108</f>
        <v>0.24229999999999999</v>
      </c>
      <c r="J109" s="462">
        <v>1.1194999999999999</v>
      </c>
      <c r="K109" s="462"/>
      <c r="L109" s="476">
        <f>orcamento!M108</f>
        <v>491.86000000000058</v>
      </c>
      <c r="M109" s="476">
        <f>orcamento!L108</f>
        <v>4064.41</v>
      </c>
    </row>
    <row r="110" spans="1:13" x14ac:dyDescent="0.3">
      <c r="A110" s="474">
        <f>IF('Orçamento-TCE'!A110&gt;0,'Orçamento-TCE'!A110,"")</f>
        <v>1</v>
      </c>
      <c r="B110" s="475">
        <f>'Orçamento-TCE'!B110</f>
        <v>85</v>
      </c>
      <c r="C110" s="475" t="str">
        <f>IF('Orçamento-TCE'!C110&gt;0,'Orçamento-TCE'!C110,"")</f>
        <v>9.6</v>
      </c>
      <c r="D110" s="461" t="str">
        <f>IF('Orçamento-TCE'!G110&gt;0,'Orçamento-TCE'!G110,"")</f>
        <v>IMPRIMAÇÃO ASFÁLTICA - FORNECIMENTO</v>
      </c>
      <c r="E110" s="461">
        <f>IF('Orçamento-TCE'!H110&gt;0,'Orçamento-TCE'!H110,"")</f>
        <v>0.77</v>
      </c>
      <c r="F110" s="461" t="str">
        <f>IF('Orçamento-TCE'!I110&gt;0,'Orçamento-TCE'!I110,"")</f>
        <v>T</v>
      </c>
      <c r="G110" s="460">
        <f>orcamento!K109</f>
        <v>5076.9800000000005</v>
      </c>
      <c r="H110" s="461">
        <f t="shared" si="1"/>
        <v>3909.27</v>
      </c>
      <c r="I110" s="462">
        <f>orcamento!J109</f>
        <v>0.24229999999999999</v>
      </c>
      <c r="J110" s="462">
        <v>1.1194999999999999</v>
      </c>
      <c r="K110" s="462"/>
      <c r="L110" s="476">
        <f>orcamento!M109</f>
        <v>3909.27</v>
      </c>
      <c r="M110" s="476">
        <f>orcamento!L109</f>
        <v>0</v>
      </c>
    </row>
    <row r="111" spans="1:13" x14ac:dyDescent="0.3">
      <c r="A111" s="474">
        <f>IF('Orçamento-TCE'!A111&gt;0,'Orçamento-TCE'!A111,"")</f>
        <v>1</v>
      </c>
      <c r="B111" s="475">
        <f>'Orçamento-TCE'!B111</f>
        <v>86</v>
      </c>
      <c r="C111" s="475" t="str">
        <f>IF('Orçamento-TCE'!C111&gt;0,'Orçamento-TCE'!C111,"")</f>
        <v>9.7</v>
      </c>
      <c r="D111" s="461" t="str">
        <f>IF('Orçamento-TCE'!G111&gt;0,'Orçamento-TCE'!G111,"")</f>
        <v>IMPRIMAÇÃO ASFALTICA - TRANSPORTE</v>
      </c>
      <c r="E111" s="461">
        <f>IF('Orçamento-TCE'!H111&gt;0,'Orçamento-TCE'!H111,"")</f>
        <v>0.77</v>
      </c>
      <c r="F111" s="461" t="str">
        <f>IF('Orçamento-TCE'!I111&gt;0,'Orçamento-TCE'!I111,"")</f>
        <v>T</v>
      </c>
      <c r="G111" s="460">
        <f>orcamento!K110</f>
        <v>123.69999999999999</v>
      </c>
      <c r="H111" s="461">
        <f t="shared" si="1"/>
        <v>95.25</v>
      </c>
      <c r="I111" s="462">
        <f>orcamento!J110</f>
        <v>0.24229999999999999</v>
      </c>
      <c r="J111" s="462">
        <v>1.1194999999999999</v>
      </c>
      <c r="K111" s="462"/>
      <c r="L111" s="476">
        <f>orcamento!M110</f>
        <v>95.25</v>
      </c>
      <c r="M111" s="476">
        <f>orcamento!L110</f>
        <v>0</v>
      </c>
    </row>
    <row r="112" spans="1:13" x14ac:dyDescent="0.3">
      <c r="A112" s="474">
        <f>IF('Orçamento-TCE'!A112&gt;0,'Orçamento-TCE'!A112,"")</f>
        <v>1</v>
      </c>
      <c r="B112" s="475">
        <f>'Orçamento-TCE'!B112</f>
        <v>87</v>
      </c>
      <c r="C112" s="475" t="str">
        <f>IF('Orçamento-TCE'!C112&gt;0,'Orçamento-TCE'!C112,"")</f>
        <v>9.8</v>
      </c>
      <c r="D112" s="461" t="str">
        <f>IF('Orçamento-TCE'!G112&gt;0,'Orçamento-TCE'!G112,"")</f>
        <v>IMPRIMAÇÃO ASFÁLTICA - APLICAÇÃO</v>
      </c>
      <c r="E112" s="461">
        <f>IF('Orçamento-TCE'!H112&gt;0,'Orçamento-TCE'!H112,"")</f>
        <v>645.63</v>
      </c>
      <c r="F112" s="461" t="str">
        <f>IF('Orçamento-TCE'!I112&gt;0,'Orçamento-TCE'!I112,"")</f>
        <v>M2</v>
      </c>
      <c r="G112" s="460">
        <f>orcamento!K111</f>
        <v>1.61</v>
      </c>
      <c r="H112" s="461">
        <f t="shared" si="1"/>
        <v>1039.46</v>
      </c>
      <c r="I112" s="462">
        <f>orcamento!J111</f>
        <v>0.24229999999999999</v>
      </c>
      <c r="J112" s="462">
        <v>1.1194999999999999</v>
      </c>
      <c r="K112" s="462"/>
      <c r="L112" s="476">
        <f>orcamento!M111</f>
        <v>626.26</v>
      </c>
      <c r="M112" s="476">
        <f>orcamento!L111</f>
        <v>413.2</v>
      </c>
    </row>
    <row r="113" spans="1:13" x14ac:dyDescent="0.3">
      <c r="A113" s="474">
        <f>IF('Orçamento-TCE'!A113&gt;0,'Orçamento-TCE'!A113,"")</f>
        <v>1</v>
      </c>
      <c r="B113" s="475">
        <f>'Orçamento-TCE'!B113</f>
        <v>88</v>
      </c>
      <c r="C113" s="475" t="str">
        <f>IF('Orçamento-TCE'!C113&gt;0,'Orçamento-TCE'!C113,"")</f>
        <v>9.9</v>
      </c>
      <c r="D113" s="461" t="str">
        <f>IF('Orçamento-TCE'!G113&gt;0,'Orçamento-TCE'!G113,"")</f>
        <v>USINAGEM CBUQ, INCLUSO FORNECIMENTO DE CONCRETO ASFALTICO (EXCETO CAP) E TRANSPORTE DA JAZIDA ATE PAVIMENTADORA, EXCLUSIVE TRANSPORTE ATE OBRA</v>
      </c>
      <c r="E113" s="461">
        <f>IF('Orçamento-TCE'!H113&gt;0,'Orçamento-TCE'!H113,"")</f>
        <v>73.08</v>
      </c>
      <c r="F113" s="461" t="str">
        <f>IF('Orçamento-TCE'!I113&gt;0,'Orçamento-TCE'!I113,"")</f>
        <v>T</v>
      </c>
      <c r="G113" s="460">
        <f>orcamento!K112</f>
        <v>307.23</v>
      </c>
      <c r="H113" s="461">
        <f t="shared" si="1"/>
        <v>22452.37</v>
      </c>
      <c r="I113" s="462">
        <f>orcamento!J112</f>
        <v>0.24229999999999999</v>
      </c>
      <c r="J113" s="462">
        <v>1.1194999999999999</v>
      </c>
      <c r="K113" s="462"/>
      <c r="L113" s="476">
        <f>orcamento!M112</f>
        <v>22046.05</v>
      </c>
      <c r="M113" s="476">
        <f>orcamento!L112</f>
        <v>406.32</v>
      </c>
    </row>
    <row r="114" spans="1:13" x14ac:dyDescent="0.3">
      <c r="A114" s="474">
        <f>IF('Orçamento-TCE'!A114&gt;0,'Orçamento-TCE'!A114,"")</f>
        <v>1</v>
      </c>
      <c r="B114" s="475">
        <f>'Orçamento-TCE'!B114</f>
        <v>89</v>
      </c>
      <c r="C114" s="475" t="str">
        <f>IF('Orçamento-TCE'!C114&gt;0,'Orçamento-TCE'!C114,"")</f>
        <v>9.10</v>
      </c>
      <c r="D114" s="461" t="str">
        <f>IF('Orçamento-TCE'!G114&gt;0,'Orçamento-TCE'!G114,"")</f>
        <v>FORNECIMENTO DE CAP PARA PAVIMENTO DE CONCRETO ASFÁLTICO, INCLUSIVE TRANSPORTE ATE PAVIMENTADORA</v>
      </c>
      <c r="E114" s="461">
        <f>IF('Orçamento-TCE'!H114&gt;0,'Orçamento-TCE'!H114,"")</f>
        <v>4.38</v>
      </c>
      <c r="F114" s="461" t="str">
        <f>IF('Orçamento-TCE'!I114&gt;0,'Orçamento-TCE'!I114,"")</f>
        <v>T</v>
      </c>
      <c r="G114" s="460">
        <f>orcamento!K113</f>
        <v>7434.92</v>
      </c>
      <c r="H114" s="461">
        <f t="shared" si="1"/>
        <v>32564.95</v>
      </c>
      <c r="I114" s="462">
        <f>orcamento!J113</f>
        <v>0.24229999999999999</v>
      </c>
      <c r="J114" s="462">
        <v>1.1194999999999999</v>
      </c>
      <c r="K114" s="462"/>
      <c r="L114" s="476">
        <f>orcamento!M113</f>
        <v>32564.95</v>
      </c>
      <c r="M114" s="476">
        <f>orcamento!L113</f>
        <v>0</v>
      </c>
    </row>
    <row r="115" spans="1:13" x14ac:dyDescent="0.3">
      <c r="A115" s="474">
        <f>IF('Orçamento-TCE'!A115&gt;0,'Orçamento-TCE'!A115,"")</f>
        <v>1</v>
      </c>
      <c r="B115" s="475">
        <f>'Orçamento-TCE'!B115</f>
        <v>90</v>
      </c>
      <c r="C115" s="475" t="str">
        <f>IF('Orçamento-TCE'!C115&gt;0,'Orçamento-TCE'!C115,"")</f>
        <v>9.11</v>
      </c>
      <c r="D115" s="461" t="str">
        <f>IF('Orçamento-TCE'!G115&gt;0,'Orçamento-TCE'!G115,"")</f>
        <v>EXECUÇÃO DE PAVIMENTO COM APLICAÇÃO DE CONCRETO ASFÁLTICO, CAMADA DE ROLAMENTO, EXCLUSIVE CARGA E TRANSPORTE</v>
      </c>
      <c r="E115" s="461">
        <f>IF('Orçamento-TCE'!H115&gt;0,'Orçamento-TCE'!H115,"")</f>
        <v>32.28</v>
      </c>
      <c r="F115" s="461" t="str">
        <f>IF('Orçamento-TCE'!I115&gt;0,'Orçamento-TCE'!I115,"")</f>
        <v>M3</v>
      </c>
      <c r="G115" s="460">
        <f>orcamento!K114</f>
        <v>163.09</v>
      </c>
      <c r="H115" s="461">
        <f t="shared" si="1"/>
        <v>5264.55</v>
      </c>
      <c r="I115" s="462">
        <f>orcamento!J114</f>
        <v>0.24229999999999999</v>
      </c>
      <c r="J115" s="462">
        <v>1.1194999999999999</v>
      </c>
      <c r="K115" s="462"/>
      <c r="L115" s="476">
        <f>orcamento!M114</f>
        <v>3277.7200000000003</v>
      </c>
      <c r="M115" s="476">
        <f>orcamento!L114</f>
        <v>1986.83</v>
      </c>
    </row>
    <row r="116" spans="1:13" x14ac:dyDescent="0.3">
      <c r="A116" s="474">
        <f>IF('Orçamento-TCE'!A116&gt;0,'Orçamento-TCE'!A116,"")</f>
        <v>1</v>
      </c>
      <c r="B116" s="475">
        <f>'Orçamento-TCE'!B116</f>
        <v>91</v>
      </c>
      <c r="C116" s="475" t="str">
        <f>IF('Orçamento-TCE'!C116&gt;0,'Orçamento-TCE'!C116,"")</f>
        <v>9.12</v>
      </c>
      <c r="D116" s="461" t="str">
        <f>IF('Orçamento-TCE'!G116&gt;0,'Orçamento-TCE'!G116,"")</f>
        <v>CARGA, MANOBRA E DESCARGA DE PRÉ-MOLDADOS DE CONCRETO, EM CAMINHÃO CARROCERIA COM GUINDAUTO (MUNCK) 11,7 TM</v>
      </c>
      <c r="E116" s="461">
        <f>IF('Orçamento-TCE'!H116&gt;0,'Orçamento-TCE'!H116,"")</f>
        <v>24.18</v>
      </c>
      <c r="F116" s="461" t="str">
        <f>IF('Orçamento-TCE'!I116&gt;0,'Orçamento-TCE'!I116,"")</f>
        <v>T</v>
      </c>
      <c r="G116" s="460">
        <f>orcamento!K115</f>
        <v>62.46</v>
      </c>
      <c r="H116" s="461">
        <f t="shared" si="1"/>
        <v>1510.28</v>
      </c>
      <c r="I116" s="462">
        <f>orcamento!J115</f>
        <v>0.24229999999999999</v>
      </c>
      <c r="J116" s="462">
        <v>1.1194999999999999</v>
      </c>
      <c r="K116" s="462"/>
      <c r="L116" s="476">
        <f>orcamento!M115</f>
        <v>1062.47</v>
      </c>
      <c r="M116" s="476">
        <f>orcamento!L115</f>
        <v>447.81</v>
      </c>
    </row>
    <row r="117" spans="1:13" x14ac:dyDescent="0.3">
      <c r="A117" s="474">
        <f>IF('Orçamento-TCE'!A117&gt;0,'Orçamento-TCE'!A117,"")</f>
        <v>1</v>
      </c>
      <c r="B117" s="475">
        <f>'Orçamento-TCE'!B117</f>
        <v>92</v>
      </c>
      <c r="C117" s="475" t="str">
        <f>IF('Orçamento-TCE'!C117&gt;0,'Orçamento-TCE'!C117,"")</f>
        <v>9.13</v>
      </c>
      <c r="D117" s="461" t="str">
        <f>IF('Orçamento-TCE'!G117&gt;0,'Orçamento-TCE'!G117,"")</f>
        <v>CARGA, MANOBRA E DESCARGA DE SOLOS E MATERIAIS GRANULARES EM CAMINHÃO BASCULANTE 10 M³ - CARGA COM ESCAVADEIRA HIDRÁULICA (CAÇAMBA DE 1,20 M³ / 155 HP) E DESCARGA LIVRE (UNIDADE: M3). AF_02/2026</v>
      </c>
      <c r="E117" s="461">
        <f>IF('Orçamento-TCE'!H117&gt;0,'Orçamento-TCE'!H117,"")</f>
        <v>376</v>
      </c>
      <c r="F117" s="461" t="str">
        <f>IF('Orçamento-TCE'!I117&gt;0,'Orçamento-TCE'!I117,"")</f>
        <v>M3</v>
      </c>
      <c r="G117" s="460">
        <f>orcamento!K116</f>
        <v>9.2200000000000006</v>
      </c>
      <c r="H117" s="461">
        <f t="shared" si="1"/>
        <v>3466.72</v>
      </c>
      <c r="I117" s="462">
        <f>orcamento!J116</f>
        <v>0.24229999999999999</v>
      </c>
      <c r="J117" s="462">
        <v>1.1194999999999999</v>
      </c>
      <c r="K117" s="462"/>
      <c r="L117" s="476">
        <f>orcamento!M116</f>
        <v>2917.7599999999998</v>
      </c>
      <c r="M117" s="476">
        <f>orcamento!L116</f>
        <v>548.96</v>
      </c>
    </row>
    <row r="118" spans="1:13" x14ac:dyDescent="0.3">
      <c r="A118" s="474">
        <f>IF('Orçamento-TCE'!A118&gt;0,'Orçamento-TCE'!A118,"")</f>
        <v>1</v>
      </c>
      <c r="B118" s="475">
        <f>'Orçamento-TCE'!B118</f>
        <v>93</v>
      </c>
      <c r="C118" s="475" t="str">
        <f>IF('Orçamento-TCE'!C118&gt;0,'Orçamento-TCE'!C118,"")</f>
        <v>9.14</v>
      </c>
      <c r="D118" s="461" t="str">
        <f>IF('Orçamento-TCE'!G118&gt;0,'Orçamento-TCE'!G118,"")</f>
        <v>TRANSPORTE COM CAMINHÃO CARROCERIA COM GUINDAUTO (MUNCK), MOMENTO MÁXIMO DE CARGA 11,7 TM, EM VIA URBANA PAVIMENTADA, DMT ATÉ 30KM (UNIDADE: TXKM). AF_02/2026</v>
      </c>
      <c r="E118" s="461">
        <f>IF('Orçamento-TCE'!H118&gt;0,'Orçamento-TCE'!H118,"")</f>
        <v>389.29</v>
      </c>
      <c r="F118" s="461" t="str">
        <f>IF('Orçamento-TCE'!I118&gt;0,'Orçamento-TCE'!I118,"")</f>
        <v>TXKM</v>
      </c>
      <c r="G118" s="460">
        <f>orcamento!K117</f>
        <v>3.96</v>
      </c>
      <c r="H118" s="461">
        <f t="shared" si="1"/>
        <v>1541.59</v>
      </c>
      <c r="I118" s="462">
        <f>orcamento!J117</f>
        <v>0.24229999999999999</v>
      </c>
      <c r="J118" s="462">
        <v>1.1194999999999999</v>
      </c>
      <c r="K118" s="462"/>
      <c r="L118" s="476">
        <f>orcamento!M117</f>
        <v>1331.3799999999999</v>
      </c>
      <c r="M118" s="476">
        <f>orcamento!L117</f>
        <v>210.21</v>
      </c>
    </row>
    <row r="119" spans="1:13" x14ac:dyDescent="0.3">
      <c r="A119" s="474">
        <f>IF('Orçamento-TCE'!A119&gt;0,'Orçamento-TCE'!A119,"")</f>
        <v>1</v>
      </c>
      <c r="B119" s="475">
        <f>'Orçamento-TCE'!B119</f>
        <v>94</v>
      </c>
      <c r="C119" s="475" t="str">
        <f>IF('Orçamento-TCE'!C119&gt;0,'Orçamento-TCE'!C119,"")</f>
        <v>9.15</v>
      </c>
      <c r="D119" s="461" t="str">
        <f>IF('Orçamento-TCE'!G119&gt;0,'Orçamento-TCE'!G119,"")</f>
        <v>TRANSPORTE COM CAMINHÃO BASCULANTE DE 10 M³, EM VIA URBANA PAVIMENTADA, DMT ATÉ 30 KM (UNIDADE: M3XKM). AF_02/2026</v>
      </c>
      <c r="E119" s="461">
        <f>IF('Orçamento-TCE'!H119&gt;0,'Orçamento-TCE'!H119,"")</f>
        <v>2068.04</v>
      </c>
      <c r="F119" s="461" t="str">
        <f>IF('Orçamento-TCE'!I119&gt;0,'Orçamento-TCE'!I119,"")</f>
        <v>M3XKM</v>
      </c>
      <c r="G119" s="460">
        <f>orcamento!K118</f>
        <v>3.52</v>
      </c>
      <c r="H119" s="461">
        <f t="shared" si="1"/>
        <v>7279.5</v>
      </c>
      <c r="I119" s="462">
        <f>orcamento!J118</f>
        <v>0.24229999999999999</v>
      </c>
      <c r="J119" s="462">
        <v>1.1194999999999999</v>
      </c>
      <c r="K119" s="462"/>
      <c r="L119" s="476">
        <f>orcamento!M118</f>
        <v>6410.93</v>
      </c>
      <c r="M119" s="476">
        <f>orcamento!L118</f>
        <v>868.57</v>
      </c>
    </row>
    <row r="120" spans="1:13" x14ac:dyDescent="0.3">
      <c r="A120" s="474"/>
      <c r="B120" s="475"/>
      <c r="C120" s="475"/>
      <c r="D120" s="461"/>
      <c r="E120" s="461"/>
      <c r="F120" s="461"/>
      <c r="G120" s="460"/>
      <c r="H120" s="461"/>
      <c r="I120" s="462"/>
      <c r="J120" s="462"/>
      <c r="K120" s="462"/>
      <c r="L120" s="476"/>
      <c r="M120" s="476"/>
    </row>
    <row r="121" spans="1:13" x14ac:dyDescent="0.3">
      <c r="A121" s="474">
        <f>IF('Orçamento-TCE'!A121&gt;0,'Orçamento-TCE'!A121,"")</f>
        <v>1</v>
      </c>
      <c r="B121" s="475">
        <f>'Orçamento-TCE'!B121</f>
        <v>95</v>
      </c>
      <c r="C121" s="475" t="str">
        <f>IF('Orçamento-TCE'!C121&gt;0,'Orçamento-TCE'!C121,"")</f>
        <v>10.1</v>
      </c>
      <c r="D121" s="461" t="str">
        <f>IF('Orçamento-TCE'!G121&gt;0,'Orçamento-TCE'!G121,"")</f>
        <v>REGULARIZAÇÃO E COMPACTAÇÃO DE SUBLEITO DE SOLO PREDOMINANTEMENTE ARGILOSO, PARA OBRAS DE CONSTRUÇÃO DE PAVIMENTOS. AF_09/2024</v>
      </c>
      <c r="E121" s="461">
        <f>IF('Orçamento-TCE'!H121&gt;0,'Orçamento-TCE'!H121,"")</f>
        <v>427.66999999999996</v>
      </c>
      <c r="F121" s="461" t="str">
        <f>IF('Orçamento-TCE'!I121&gt;0,'Orçamento-TCE'!I121,"")</f>
        <v>M2</v>
      </c>
      <c r="G121" s="460">
        <f>orcamento!K120</f>
        <v>3.76</v>
      </c>
      <c r="H121" s="461">
        <f t="shared" si="1"/>
        <v>1608.04</v>
      </c>
      <c r="I121" s="462">
        <f>orcamento!J120</f>
        <v>0.24229999999999999</v>
      </c>
      <c r="J121" s="462">
        <v>1.1194999999999999</v>
      </c>
      <c r="K121" s="462"/>
      <c r="L121" s="476">
        <f>orcamento!M120</f>
        <v>1022.14</v>
      </c>
      <c r="M121" s="476">
        <f>orcamento!L120</f>
        <v>585.9</v>
      </c>
    </row>
    <row r="122" spans="1:13" x14ac:dyDescent="0.3">
      <c r="A122" s="474">
        <f>IF('Orçamento-TCE'!A122&gt;0,'Orçamento-TCE'!A122,"")</f>
        <v>1</v>
      </c>
      <c r="B122" s="475">
        <f>'Orçamento-TCE'!B122</f>
        <v>96</v>
      </c>
      <c r="C122" s="475" t="str">
        <f>IF('Orçamento-TCE'!C122&gt;0,'Orçamento-TCE'!C122,"")</f>
        <v>10.2</v>
      </c>
      <c r="D122" s="461" t="str">
        <f>IF('Orçamento-TCE'!G122&gt;0,'Orçamento-TCE'!G122,"")</f>
        <v>LASTRO COM MATERIAL GRANULAR (PEDRA BRITADA N.2), APLICADO EM PISOS OU LAJES SOBRE SOLO, ESPESSURA DE *10 CM*. AF_01/2024</v>
      </c>
      <c r="E122" s="461">
        <f>IF('Orçamento-TCE'!H122&gt;0,'Orçamento-TCE'!H122,"")</f>
        <v>26.66</v>
      </c>
      <c r="F122" s="461" t="str">
        <f>IF('Orçamento-TCE'!I122&gt;0,'Orçamento-TCE'!I122,"")</f>
        <v>M3</v>
      </c>
      <c r="G122" s="460">
        <f>orcamento!K121</f>
        <v>233.61</v>
      </c>
      <c r="H122" s="461">
        <f t="shared" si="1"/>
        <v>6228.04</v>
      </c>
      <c r="I122" s="462">
        <f>orcamento!J121</f>
        <v>0.24229999999999999</v>
      </c>
      <c r="J122" s="462">
        <v>1.1194999999999999</v>
      </c>
      <c r="K122" s="462"/>
      <c r="L122" s="476">
        <f>orcamento!M121</f>
        <v>4059.52</v>
      </c>
      <c r="M122" s="476">
        <f>orcamento!L121</f>
        <v>2168.52</v>
      </c>
    </row>
    <row r="123" spans="1:13" x14ac:dyDescent="0.3">
      <c r="A123" s="474">
        <f>IF('Orçamento-TCE'!A123&gt;0,'Orçamento-TCE'!A123,"")</f>
        <v>1</v>
      </c>
      <c r="B123" s="475">
        <f>'Orçamento-TCE'!B123</f>
        <v>97</v>
      </c>
      <c r="C123" s="475" t="str">
        <f>IF('Orçamento-TCE'!C123&gt;0,'Orçamento-TCE'!C123,"")</f>
        <v>10.3</v>
      </c>
      <c r="D123" s="461" t="str">
        <f>IF('Orçamento-TCE'!G123&gt;0,'Orçamento-TCE'!G123,"")</f>
        <v>EXECUÇÃO DE PASSEIO (CALÇADA) OU PISO DE CONCRETO COM CONCRETO MOLDADO IN LOCO, USINADO C20, ACABAMENTO CONVENCIONAL, NÃO ARMADO. AF_08/2022</v>
      </c>
      <c r="E123" s="461">
        <f>IF('Orçamento-TCE'!H123&gt;0,'Orçamento-TCE'!H123,"")</f>
        <v>29.81</v>
      </c>
      <c r="F123" s="461" t="str">
        <f>IF('Orçamento-TCE'!I123&gt;0,'Orçamento-TCE'!I123,"")</f>
        <v>M3</v>
      </c>
      <c r="G123" s="460">
        <f>orcamento!K122</f>
        <v>1116.01</v>
      </c>
      <c r="H123" s="461">
        <f t="shared" si="1"/>
        <v>33268.26</v>
      </c>
      <c r="I123" s="462">
        <f>orcamento!J122</f>
        <v>0.24229999999999999</v>
      </c>
      <c r="J123" s="462">
        <v>1.1194999999999999</v>
      </c>
      <c r="K123" s="462"/>
      <c r="L123" s="476">
        <f>orcamento!M122</f>
        <v>29548.870000000003</v>
      </c>
      <c r="M123" s="476">
        <f>orcamento!L122</f>
        <v>3719.39</v>
      </c>
    </row>
    <row r="124" spans="1:13" x14ac:dyDescent="0.3">
      <c r="A124" s="474">
        <f>IF('Orçamento-TCE'!A124&gt;0,'Orçamento-TCE'!A124,"")</f>
        <v>1</v>
      </c>
      <c r="B124" s="475">
        <f>'Orçamento-TCE'!B124</f>
        <v>98</v>
      </c>
      <c r="C124" s="475" t="str">
        <f>IF('Orçamento-TCE'!C124&gt;0,'Orçamento-TCE'!C124,"")</f>
        <v>10.4</v>
      </c>
      <c r="D124" s="461" t="str">
        <f>IF('Orçamento-TCE'!G124&gt;0,'Orçamento-TCE'!G124,"")</f>
        <v>ARMAÇÃO PARA EXECUÇÃO DE RADIER, PISO DE CONCRETO OU LAJE SOBRE SOLO, COM USO DE TELA Q-92. AF_07/2026</v>
      </c>
      <c r="E124" s="461">
        <f>IF('Orçamento-TCE'!H124&gt;0,'Orçamento-TCE'!H124,"")</f>
        <v>206.63</v>
      </c>
      <c r="F124" s="461" t="str">
        <f>IF('Orçamento-TCE'!I124&gt;0,'Orçamento-TCE'!I124,"")</f>
        <v>KG</v>
      </c>
      <c r="G124" s="460">
        <f>orcamento!K123</f>
        <v>21.34</v>
      </c>
      <c r="H124" s="461">
        <f t="shared" si="1"/>
        <v>4409.4799999999996</v>
      </c>
      <c r="I124" s="462">
        <f>orcamento!J123</f>
        <v>0.24229999999999999</v>
      </c>
      <c r="J124" s="462">
        <v>1.1194999999999999</v>
      </c>
      <c r="K124" s="462"/>
      <c r="L124" s="476">
        <f>orcamento!M123</f>
        <v>3915.6399999999994</v>
      </c>
      <c r="M124" s="476">
        <f>orcamento!L123</f>
        <v>493.84</v>
      </c>
    </row>
    <row r="125" spans="1:13" x14ac:dyDescent="0.3">
      <c r="A125" s="474">
        <f>IF('Orçamento-TCE'!A125&gt;0,'Orçamento-TCE'!A125,"")</f>
        <v>1</v>
      </c>
      <c r="B125" s="475">
        <f>'Orçamento-TCE'!B125</f>
        <v>99</v>
      </c>
      <c r="C125" s="475" t="str">
        <f>IF('Orçamento-TCE'!C125&gt;0,'Orçamento-TCE'!C125,"")</f>
        <v>10.5</v>
      </c>
      <c r="D125" s="461" t="str">
        <f>IF('Orçamento-TCE'!G125&gt;0,'Orçamento-TCE'!G125,"")</f>
        <v>PISO PODOTÁTIL DE ALERTA OU DIRECIONAL, DE CONCRETO, ASSENTADO SOBRE ARGAMASSA. AF_03/2024</v>
      </c>
      <c r="E125" s="461">
        <f>IF('Orçamento-TCE'!H125&gt;0,'Orçamento-TCE'!H125,"")</f>
        <v>70.400000000000006</v>
      </c>
      <c r="F125" s="461" t="str">
        <f>IF('Orçamento-TCE'!I125&gt;0,'Orçamento-TCE'!I125,"")</f>
        <v>M2</v>
      </c>
      <c r="G125" s="460">
        <f>orcamento!K124</f>
        <v>193.31</v>
      </c>
      <c r="H125" s="461">
        <f t="shared" si="1"/>
        <v>13609.02</v>
      </c>
      <c r="I125" s="462">
        <f>orcamento!J124</f>
        <v>0.24229999999999999</v>
      </c>
      <c r="J125" s="462">
        <v>1.1194999999999999</v>
      </c>
      <c r="K125" s="462"/>
      <c r="L125" s="476">
        <f>orcamento!M124</f>
        <v>8984.4500000000007</v>
      </c>
      <c r="M125" s="476">
        <f>orcamento!L124</f>
        <v>4624.57</v>
      </c>
    </row>
    <row r="126" spans="1:13" x14ac:dyDescent="0.3">
      <c r="A126" s="474">
        <f>IF('Orçamento-TCE'!A126&gt;0,'Orçamento-TCE'!A126,"")</f>
        <v>1</v>
      </c>
      <c r="B126" s="475">
        <f>'Orçamento-TCE'!B126</f>
        <v>100</v>
      </c>
      <c r="C126" s="475" t="str">
        <f>IF('Orçamento-TCE'!C126&gt;0,'Orçamento-TCE'!C126,"")</f>
        <v>10.6</v>
      </c>
      <c r="D126" s="461" t="str">
        <f>IF('Orçamento-TCE'!G126&gt;0,'Orçamento-TCE'!G126,"")</f>
        <v>ESPALHAMENTO DE TERRA VEGETAL PARA O PLANTIO. AF_07/2024</v>
      </c>
      <c r="E126" s="461">
        <f>IF('Orçamento-TCE'!H126&gt;0,'Orçamento-TCE'!H126,"")</f>
        <v>120.23</v>
      </c>
      <c r="F126" s="461" t="str">
        <f>IF('Orçamento-TCE'!I126&gt;0,'Orçamento-TCE'!I126,"")</f>
        <v>M2</v>
      </c>
      <c r="G126" s="460">
        <f>orcamento!K125</f>
        <v>5.33</v>
      </c>
      <c r="H126" s="461">
        <f t="shared" si="1"/>
        <v>640.83000000000004</v>
      </c>
      <c r="I126" s="462">
        <f>orcamento!J125</f>
        <v>0.24229999999999999</v>
      </c>
      <c r="J126" s="462">
        <v>1.1194999999999999</v>
      </c>
      <c r="K126" s="462"/>
      <c r="L126" s="476">
        <f>orcamento!M125</f>
        <v>385.95000000000005</v>
      </c>
      <c r="M126" s="476">
        <f>orcamento!L125</f>
        <v>254.88</v>
      </c>
    </row>
    <row r="127" spans="1:13" x14ac:dyDescent="0.3">
      <c r="A127" s="474">
        <f>IF('Orçamento-TCE'!A127&gt;0,'Orçamento-TCE'!A127,"")</f>
        <v>1</v>
      </c>
      <c r="B127" s="475">
        <f>'Orçamento-TCE'!B127</f>
        <v>101</v>
      </c>
      <c r="C127" s="475" t="str">
        <f>IF('Orçamento-TCE'!C127&gt;0,'Orçamento-TCE'!C127,"")</f>
        <v>10.7</v>
      </c>
      <c r="D127" s="461" t="str">
        <f>IF('Orçamento-TCE'!G127&gt;0,'Orçamento-TCE'!G127,"")</f>
        <v>PLANTIO DE GRAMA BATATAIS EM PLACAS. AF_07/2024</v>
      </c>
      <c r="E127" s="461">
        <f>IF('Orçamento-TCE'!H127&gt;0,'Orçamento-TCE'!H127,"")</f>
        <v>120.23</v>
      </c>
      <c r="F127" s="461" t="str">
        <f>IF('Orçamento-TCE'!I127&gt;0,'Orçamento-TCE'!I127,"")</f>
        <v>M2</v>
      </c>
      <c r="G127" s="460">
        <f>orcamento!K126</f>
        <v>29.26</v>
      </c>
      <c r="H127" s="461">
        <f t="shared" si="1"/>
        <v>3517.93</v>
      </c>
      <c r="I127" s="462">
        <f>orcamento!J126</f>
        <v>0.24229999999999999</v>
      </c>
      <c r="J127" s="462">
        <v>1.1194999999999999</v>
      </c>
      <c r="K127" s="462"/>
      <c r="L127" s="476">
        <f>orcamento!M126</f>
        <v>2874.7</v>
      </c>
      <c r="M127" s="476">
        <f>orcamento!L126</f>
        <v>643.23</v>
      </c>
    </row>
    <row r="128" spans="1:13" x14ac:dyDescent="0.3">
      <c r="A128" s="474">
        <f>IF('Orçamento-TCE'!A128&gt;0,'Orçamento-TCE'!A128,"")</f>
        <v>1</v>
      </c>
      <c r="B128" s="475">
        <f>'Orçamento-TCE'!B128</f>
        <v>102</v>
      </c>
      <c r="C128" s="475" t="str">
        <f>IF('Orçamento-TCE'!C128&gt;0,'Orçamento-TCE'!C128,"")</f>
        <v>10.8</v>
      </c>
      <c r="D128" s="461" t="str">
        <f>IF('Orçamento-TCE'!G128&gt;0,'Orçamento-TCE'!G128,"")</f>
        <v>CARGA, MANOBRA E DESCARGA DE SOLOS E MATERIAIS GRANULARES EM CAMINHÃO BASCULANTE 10 M³ - CARGA COM ESCAVADEIRA HIDRÁULICA (CAÇAMBA DE 1,20 M³ / 155 HP) E DESCARGA LIVRE (UNIDADE: M3). AF_02/2026</v>
      </c>
      <c r="E128" s="461">
        <f>IF('Orçamento-TCE'!H128&gt;0,'Orçamento-TCE'!H128,"")</f>
        <v>29.32</v>
      </c>
      <c r="F128" s="461" t="str">
        <f>IF('Orçamento-TCE'!I128&gt;0,'Orçamento-TCE'!I128,"")</f>
        <v>M3</v>
      </c>
      <c r="G128" s="460">
        <f>orcamento!K127</f>
        <v>9.2200000000000006</v>
      </c>
      <c r="H128" s="461">
        <f t="shared" si="1"/>
        <v>270.33</v>
      </c>
      <c r="I128" s="462">
        <f>orcamento!J127</f>
        <v>0.24229999999999999</v>
      </c>
      <c r="J128" s="462">
        <v>1.1194999999999999</v>
      </c>
      <c r="K128" s="462"/>
      <c r="L128" s="476">
        <f>orcamento!M127</f>
        <v>227.52999999999997</v>
      </c>
      <c r="M128" s="476">
        <f>orcamento!L127</f>
        <v>42.8</v>
      </c>
    </row>
    <row r="129" spans="1:13" x14ac:dyDescent="0.3">
      <c r="A129" s="474">
        <f>IF('Orçamento-TCE'!A129&gt;0,'Orçamento-TCE'!A129,"")</f>
        <v>1</v>
      </c>
      <c r="B129" s="475">
        <f>'Orçamento-TCE'!B129</f>
        <v>103</v>
      </c>
      <c r="C129" s="475" t="str">
        <f>IF('Orçamento-TCE'!C129&gt;0,'Orçamento-TCE'!C129,"")</f>
        <v>10.9</v>
      </c>
      <c r="D129" s="461" t="str">
        <f>IF('Orçamento-TCE'!G129&gt;0,'Orçamento-TCE'!G129,"")</f>
        <v>TRANSPORTE COM CAMINHÃO BASCULANTE DE 10 M³, EM VIA URBANA PAVIMENTADA, DMT ATÉ 30 KM (UNIDADE: M3XKM). AF_02/2026</v>
      </c>
      <c r="E129" s="461">
        <f>IF('Orçamento-TCE'!H129&gt;0,'Orçamento-TCE'!H129,"")</f>
        <v>756.45</v>
      </c>
      <c r="F129" s="461" t="str">
        <f>IF('Orçamento-TCE'!I129&gt;0,'Orçamento-TCE'!I129,"")</f>
        <v>M3XKM</v>
      </c>
      <c r="G129" s="460">
        <f>orcamento!K128</f>
        <v>3.52</v>
      </c>
      <c r="H129" s="461">
        <f t="shared" si="1"/>
        <v>2662.7</v>
      </c>
      <c r="I129" s="462">
        <f>orcamento!J128</f>
        <v>0.24229999999999999</v>
      </c>
      <c r="J129" s="462">
        <v>1.1194999999999999</v>
      </c>
      <c r="K129" s="462"/>
      <c r="L129" s="476">
        <f>orcamento!M128</f>
        <v>2345</v>
      </c>
      <c r="M129" s="476">
        <f>orcamento!L128</f>
        <v>317.7</v>
      </c>
    </row>
    <row r="130" spans="1:13" x14ac:dyDescent="0.3">
      <c r="A130" s="474"/>
      <c r="B130" s="475"/>
      <c r="C130" s="475"/>
      <c r="D130" s="461"/>
      <c r="E130" s="461"/>
      <c r="F130" s="461"/>
      <c r="G130" s="460"/>
      <c r="H130" s="461"/>
      <c r="I130" s="462"/>
      <c r="J130" s="462"/>
      <c r="K130" s="462"/>
      <c r="L130" s="476"/>
      <c r="M130" s="476"/>
    </row>
    <row r="131" spans="1:13" x14ac:dyDescent="0.3">
      <c r="A131" s="474">
        <f>IF('Orçamento-TCE'!A131&gt;0,'Orçamento-TCE'!A131,"")</f>
        <v>1</v>
      </c>
      <c r="B131" s="475">
        <f>'Orçamento-TCE'!B131</f>
        <v>104</v>
      </c>
      <c r="C131" s="475" t="str">
        <f>IF('Orçamento-TCE'!C131&gt;0,'Orçamento-TCE'!C131,"")</f>
        <v>11.1</v>
      </c>
      <c r="D131" s="461" t="str">
        <f>IF('Orçamento-TCE'!G131&gt;0,'Orçamento-TCE'!G131,"")</f>
        <v>CORTE MEÂNICO DE ASFALTO</v>
      </c>
      <c r="E131" s="461">
        <f>IF('Orçamento-TCE'!H131&gt;0,'Orçamento-TCE'!H131,"")</f>
        <v>80</v>
      </c>
      <c r="F131" s="461" t="str">
        <f>IF('Orçamento-TCE'!I131&gt;0,'Orçamento-TCE'!I131,"")</f>
        <v>M</v>
      </c>
      <c r="G131" s="460">
        <f>orcamento!K130</f>
        <v>3.39</v>
      </c>
      <c r="H131" s="461">
        <f t="shared" si="1"/>
        <v>271.2</v>
      </c>
      <c r="I131" s="462">
        <f>orcamento!J130</f>
        <v>0.24229999999999999</v>
      </c>
      <c r="J131" s="462">
        <v>1.1194999999999999</v>
      </c>
      <c r="K131" s="462"/>
      <c r="L131" s="476">
        <f>orcamento!M130</f>
        <v>89.6</v>
      </c>
      <c r="M131" s="476">
        <f>orcamento!L130</f>
        <v>181.6</v>
      </c>
    </row>
    <row r="132" spans="1:13" x14ac:dyDescent="0.3">
      <c r="A132" s="474">
        <f>IF('Orçamento-TCE'!A132&gt;0,'Orçamento-TCE'!A132,"")</f>
        <v>1</v>
      </c>
      <c r="B132" s="475">
        <f>'Orçamento-TCE'!B132</f>
        <v>105</v>
      </c>
      <c r="C132" s="475" t="str">
        <f>IF('Orçamento-TCE'!C132&gt;0,'Orçamento-TCE'!C132,"")</f>
        <v>11.2</v>
      </c>
      <c r="D132" s="461" t="str">
        <f>IF('Orçamento-TCE'!G132&gt;0,'Orçamento-TCE'!G132,"")</f>
        <v>DEMOLIÇÃO PARCIAL DE PAVIMENTO ASFÁLTICO, DE FORMA MECANIZADA, SEM REAPROVEITAMENTO. AF_09/2023</v>
      </c>
      <c r="E132" s="461">
        <f>IF('Orçamento-TCE'!H132&gt;0,'Orçamento-TCE'!H132,"")</f>
        <v>317.2</v>
      </c>
      <c r="F132" s="461" t="str">
        <f>IF('Orçamento-TCE'!I132&gt;0,'Orçamento-TCE'!I132,"")</f>
        <v>M2</v>
      </c>
      <c r="G132" s="460">
        <f>orcamento!K131</f>
        <v>29.08</v>
      </c>
      <c r="H132" s="461">
        <f t="shared" si="1"/>
        <v>9224.18</v>
      </c>
      <c r="I132" s="462">
        <f>orcamento!J131</f>
        <v>0.24229999999999999</v>
      </c>
      <c r="J132" s="462">
        <v>1.1194999999999999</v>
      </c>
      <c r="K132" s="462"/>
      <c r="L132" s="476">
        <f>orcamento!M131</f>
        <v>4627.96</v>
      </c>
      <c r="M132" s="476">
        <f>orcamento!L131</f>
        <v>4596.22</v>
      </c>
    </row>
    <row r="133" spans="1:13" x14ac:dyDescent="0.3">
      <c r="A133" s="474">
        <f>IF('Orçamento-TCE'!A133&gt;0,'Orçamento-TCE'!A133,"")</f>
        <v>1</v>
      </c>
      <c r="B133" s="475">
        <f>'Orçamento-TCE'!B133</f>
        <v>106</v>
      </c>
      <c r="C133" s="475" t="str">
        <f>IF('Orçamento-TCE'!C133&gt;0,'Orçamento-TCE'!C133,"")</f>
        <v>11.3</v>
      </c>
      <c r="D133" s="461" t="str">
        <f>IF('Orçamento-TCE'!G133&gt;0,'Orçamento-TCE'!G133,"")</f>
        <v>DEMOLIÇÃO DE ALVENARIA DE TIJOLO MACIÇO, DE FORMA MANUAL, SEM REAPROVEITAMENTO. AF_09/2023</v>
      </c>
      <c r="E133" s="461">
        <f>IF('Orçamento-TCE'!H133&gt;0,'Orçamento-TCE'!H133,"")</f>
        <v>3.48</v>
      </c>
      <c r="F133" s="461" t="str">
        <f>IF('Orçamento-TCE'!I133&gt;0,'Orçamento-TCE'!I133,"")</f>
        <v>M3</v>
      </c>
      <c r="G133" s="460">
        <f>orcamento!K132</f>
        <v>158.07</v>
      </c>
      <c r="H133" s="461">
        <f t="shared" si="1"/>
        <v>550.08000000000004</v>
      </c>
      <c r="I133" s="462">
        <f>orcamento!J132</f>
        <v>0.24229999999999999</v>
      </c>
      <c r="J133" s="462">
        <v>1.1194999999999999</v>
      </c>
      <c r="K133" s="462"/>
      <c r="L133" s="476">
        <f>orcamento!M132</f>
        <v>0</v>
      </c>
      <c r="M133" s="476">
        <f>orcamento!L132</f>
        <v>550.08000000000004</v>
      </c>
    </row>
    <row r="134" spans="1:13" x14ac:dyDescent="0.3">
      <c r="A134" s="474">
        <f>IF('Orçamento-TCE'!A134&gt;0,'Orçamento-TCE'!A134,"")</f>
        <v>1</v>
      </c>
      <c r="B134" s="475">
        <f>'Orçamento-TCE'!B134</f>
        <v>107</v>
      </c>
      <c r="C134" s="475" t="str">
        <f>IF('Orçamento-TCE'!C134&gt;0,'Orçamento-TCE'!C134,"")</f>
        <v>11.4</v>
      </c>
      <c r="D134" s="461" t="str">
        <f>IF('Orçamento-TCE'!G134&gt;0,'Orçamento-TCE'!G134,"")</f>
        <v>REMOÇÃO TUBO CONCRETO ARMADO AGUAS PLUVIAIS, DN 300 MM</v>
      </c>
      <c r="E134" s="461">
        <f>IF('Orçamento-TCE'!H134&gt;0,'Orçamento-TCE'!H134,"")</f>
        <v>59.84</v>
      </c>
      <c r="F134" s="461" t="str">
        <f>IF('Orçamento-TCE'!I134&gt;0,'Orçamento-TCE'!I134,"")</f>
        <v>M</v>
      </c>
      <c r="G134" s="460">
        <f>orcamento!K133</f>
        <v>30.009999999999998</v>
      </c>
      <c r="H134" s="461">
        <f t="shared" si="1"/>
        <v>1795.8</v>
      </c>
      <c r="I134" s="462">
        <f>orcamento!J133</f>
        <v>0.24229999999999999</v>
      </c>
      <c r="J134" s="462">
        <v>1.1194999999999999</v>
      </c>
      <c r="K134" s="462"/>
      <c r="L134" s="476">
        <f>orcamento!M133</f>
        <v>849.7299999999999</v>
      </c>
      <c r="M134" s="476">
        <f>orcamento!L133</f>
        <v>946.07</v>
      </c>
    </row>
    <row r="135" spans="1:13" x14ac:dyDescent="0.3">
      <c r="A135" s="474">
        <f>IF('Orçamento-TCE'!A135&gt;0,'Orçamento-TCE'!A135,"")</f>
        <v>1</v>
      </c>
      <c r="B135" s="475">
        <f>'Orçamento-TCE'!B135</f>
        <v>108</v>
      </c>
      <c r="C135" s="475" t="str">
        <f>IF('Orçamento-TCE'!C135&gt;0,'Orçamento-TCE'!C135,"")</f>
        <v>11.5</v>
      </c>
      <c r="D135" s="461" t="str">
        <f>IF('Orçamento-TCE'!G135&gt;0,'Orçamento-TCE'!G135,"")</f>
        <v>CARGA, MANOBRA E DESCARGA DE ENTULHO EM CAMINHÃO BASCULANTE 10 M³ - CARGA COM ESCAVADEIRA HIDRÁULICA (CAÇAMBA DE 0,80 M³ / 111 HP) E DESCARGA LIVRE (UNIDADE: M3). AF_02/2026</v>
      </c>
      <c r="E135" s="461">
        <f>IF('Orçamento-TCE'!H135&gt;0,'Orçamento-TCE'!H135,"")</f>
        <v>32.46</v>
      </c>
      <c r="F135" s="461" t="str">
        <f>IF('Orçamento-TCE'!I135&gt;0,'Orçamento-TCE'!I135,"")</f>
        <v>M3</v>
      </c>
      <c r="G135" s="460">
        <f>orcamento!K134</f>
        <v>12.01</v>
      </c>
      <c r="H135" s="461">
        <f t="shared" si="1"/>
        <v>389.84</v>
      </c>
      <c r="I135" s="462">
        <f>orcamento!J134</f>
        <v>0.24229999999999999</v>
      </c>
      <c r="J135" s="462">
        <v>1.1194999999999999</v>
      </c>
      <c r="K135" s="462"/>
      <c r="L135" s="476">
        <f>orcamento!M134</f>
        <v>327.2</v>
      </c>
      <c r="M135" s="476">
        <f>orcamento!L134</f>
        <v>62.64</v>
      </c>
    </row>
    <row r="136" spans="1:13" x14ac:dyDescent="0.3">
      <c r="A136" s="474">
        <f>IF('Orçamento-TCE'!A136&gt;0,'Orçamento-TCE'!A136,"")</f>
        <v>1</v>
      </c>
      <c r="B136" s="475">
        <f>'Orçamento-TCE'!B136</f>
        <v>109</v>
      </c>
      <c r="C136" s="475" t="str">
        <f>IF('Orçamento-TCE'!C136&gt;0,'Orçamento-TCE'!C136,"")</f>
        <v>11.6</v>
      </c>
      <c r="D136" s="461" t="str">
        <f>IF('Orçamento-TCE'!G136&gt;0,'Orçamento-TCE'!G136,"")</f>
        <v>TRANSPORTE COM CAMINHÃO BASCULANTE DE 10 M³, EM VIA URBANA PAVIMENTADA, DMT ATÉ 30 KM (UNIDADE: M3XKM). AF_02/2026</v>
      </c>
      <c r="E136" s="461">
        <f>IF('Orçamento-TCE'!H136&gt;0,'Orçamento-TCE'!H136,"")</f>
        <v>214.23</v>
      </c>
      <c r="F136" s="461" t="str">
        <f>IF('Orçamento-TCE'!I136&gt;0,'Orçamento-TCE'!I136,"")</f>
        <v>M3XKM</v>
      </c>
      <c r="G136" s="460">
        <f>orcamento!K135</f>
        <v>3.52</v>
      </c>
      <c r="H136" s="461">
        <f t="shared" si="1"/>
        <v>754.09</v>
      </c>
      <c r="I136" s="462">
        <f>orcamento!J135</f>
        <v>0.24229999999999999</v>
      </c>
      <c r="J136" s="462">
        <v>1.1194999999999999</v>
      </c>
      <c r="K136" s="462"/>
      <c r="L136" s="476">
        <f>orcamento!M135</f>
        <v>664.12</v>
      </c>
      <c r="M136" s="476">
        <f>orcamento!L135</f>
        <v>89.97</v>
      </c>
    </row>
    <row r="137" spans="1:13" x14ac:dyDescent="0.3">
      <c r="A137" s="474">
        <f>IF('Orçamento-TCE'!A137&gt;0,'Orçamento-TCE'!A137,"")</f>
        <v>1</v>
      </c>
      <c r="B137" s="475">
        <f>'Orçamento-TCE'!B137</f>
        <v>110</v>
      </c>
      <c r="C137" s="475" t="str">
        <f>IF('Orçamento-TCE'!C137&gt;0,'Orçamento-TCE'!C137,"")</f>
        <v>11.7</v>
      </c>
      <c r="D137" s="461" t="str">
        <f>IF('Orçamento-TCE'!G137&gt;0,'Orçamento-TCE'!G137,"")</f>
        <v>TAXA PARA BOTA FORA</v>
      </c>
      <c r="E137" s="461">
        <f>IF('Orçamento-TCE'!H137&gt;0,'Orçamento-TCE'!H137,"")</f>
        <v>32.46</v>
      </c>
      <c r="F137" s="461" t="str">
        <f>IF('Orçamento-TCE'!I137&gt;0,'Orçamento-TCE'!I137,"")</f>
        <v>M3</v>
      </c>
      <c r="G137" s="460">
        <f>orcamento!K136</f>
        <v>11.5</v>
      </c>
      <c r="H137" s="461">
        <f t="shared" si="1"/>
        <v>373.29</v>
      </c>
      <c r="I137" s="462">
        <f>orcamento!J136</f>
        <v>0.16980000000000001</v>
      </c>
      <c r="J137" s="462">
        <v>1.1194999999999999</v>
      </c>
      <c r="K137" s="462"/>
      <c r="L137" s="476">
        <f>orcamento!M136</f>
        <v>373.29</v>
      </c>
      <c r="M137" s="476">
        <f>orcamento!L136</f>
        <v>0</v>
      </c>
    </row>
    <row r="138" spans="1:13" x14ac:dyDescent="0.3">
      <c r="A138" s="474"/>
      <c r="B138" s="475"/>
      <c r="C138" s="475"/>
      <c r="D138" s="461"/>
      <c r="E138" s="461"/>
      <c r="F138" s="461"/>
      <c r="G138" s="460"/>
      <c r="H138" s="461"/>
      <c r="I138" s="462"/>
      <c r="J138" s="462"/>
      <c r="K138" s="462"/>
      <c r="L138" s="476"/>
      <c r="M138" s="476"/>
    </row>
    <row r="139" spans="1:13" x14ac:dyDescent="0.3">
      <c r="A139" s="474">
        <f>IF('Orçamento-TCE'!A139&gt;0,'Orçamento-TCE'!A139,"")</f>
        <v>1</v>
      </c>
      <c r="B139" s="475">
        <f>'Orçamento-TCE'!B139</f>
        <v>111</v>
      </c>
      <c r="C139" s="475" t="str">
        <f>IF('Orçamento-TCE'!C139&gt;0,'Orçamento-TCE'!C139,"")</f>
        <v>12.1</v>
      </c>
      <c r="D139" s="461" t="str">
        <f>IF('Orçamento-TCE'!G139&gt;0,'Orçamento-TCE'!G139,"")</f>
        <v>ESCAVAÇÃO MECANIZADA DE VALA COM PROFUNDIDADE ATÉ 1,5 M (MÉDIA MONTANTE E JUSANTE/UMA COMPOSIÇÃO POR TRECHO), RETROESCAV. (0,26 M3), LARGURA DE 0,8 M A 1,5 M, EM SOLO DE 1A CATEGORIA, LOCAIS COM BAIXO NÍVEL DE INTERFERÊNCIA. AF_09/2024</v>
      </c>
      <c r="E139" s="461">
        <f>IF('Orçamento-TCE'!H139&gt;0,'Orçamento-TCE'!H139,"")</f>
        <v>389.52</v>
      </c>
      <c r="F139" s="461" t="str">
        <f>IF('Orçamento-TCE'!I139&gt;0,'Orçamento-TCE'!I139,"")</f>
        <v>M3</v>
      </c>
      <c r="G139" s="460">
        <f>orcamento!K138</f>
        <v>10.78</v>
      </c>
      <c r="H139" s="461">
        <f t="shared" si="1"/>
        <v>4199.03</v>
      </c>
      <c r="I139" s="462">
        <f>orcamento!J138</f>
        <v>0.24229999999999999</v>
      </c>
      <c r="J139" s="462">
        <v>1.1194999999999999</v>
      </c>
      <c r="K139" s="462"/>
      <c r="L139" s="476">
        <f>orcamento!M138</f>
        <v>2321.5499999999997</v>
      </c>
      <c r="M139" s="476">
        <f>orcamento!L138</f>
        <v>1877.48</v>
      </c>
    </row>
    <row r="140" spans="1:13" x14ac:dyDescent="0.3">
      <c r="A140" s="474">
        <f>IF('Orçamento-TCE'!A140&gt;0,'Orçamento-TCE'!A140,"")</f>
        <v>1</v>
      </c>
      <c r="B140" s="475">
        <f>'Orçamento-TCE'!B140</f>
        <v>112</v>
      </c>
      <c r="C140" s="475" t="str">
        <f>IF('Orçamento-TCE'!C140&gt;0,'Orçamento-TCE'!C140,"")</f>
        <v>12.2</v>
      </c>
      <c r="D140" s="461" t="str">
        <f>IF('Orçamento-TCE'!G140&gt;0,'Orçamento-TCE'!G140,"")</f>
        <v>ESCORAMENTO DE VALA, TIPO CONTÍNUO, COM PROFUNDIDADE DE 0 A 1,5 M, LARGURA MENOR QUE 1,5 M. AF_01/2026</v>
      </c>
      <c r="E140" s="461">
        <f>IF('Orçamento-TCE'!H140&gt;0,'Orçamento-TCE'!H140,"")</f>
        <v>98.36</v>
      </c>
      <c r="F140" s="461" t="str">
        <f>IF('Orçamento-TCE'!I140&gt;0,'Orçamento-TCE'!I140,"")</f>
        <v>M2</v>
      </c>
      <c r="G140" s="460">
        <f>orcamento!K139</f>
        <v>91.25</v>
      </c>
      <c r="H140" s="461">
        <f t="shared" si="1"/>
        <v>8975.35</v>
      </c>
      <c r="I140" s="462">
        <f>orcamento!J139</f>
        <v>0.24229999999999999</v>
      </c>
      <c r="J140" s="462">
        <v>1.1194999999999999</v>
      </c>
      <c r="K140" s="462"/>
      <c r="L140" s="476">
        <f>orcamento!M139</f>
        <v>4192.1100000000006</v>
      </c>
      <c r="M140" s="476">
        <f>orcamento!L139</f>
        <v>4783.24</v>
      </c>
    </row>
    <row r="141" spans="1:13" x14ac:dyDescent="0.3">
      <c r="A141" s="474">
        <f>IF('Orçamento-TCE'!A141&gt;0,'Orçamento-TCE'!A141,"")</f>
        <v>1</v>
      </c>
      <c r="B141" s="475">
        <f>'Orçamento-TCE'!B141</f>
        <v>113</v>
      </c>
      <c r="C141" s="475" t="str">
        <f>IF('Orçamento-TCE'!C141&gt;0,'Orçamento-TCE'!C141,"")</f>
        <v>12.3</v>
      </c>
      <c r="D141" s="461" t="str">
        <f>IF('Orçamento-TCE'!G141&gt;0,'Orçamento-TCE'!G141,"")</f>
        <v>PREPARO DE FUNDO DE VALA COM LARGURA MENOR QUE 1,5 M, COM CAMADA DE BRITA, LANÇAMENTO MECANIZADO. AF_01/2026</v>
      </c>
      <c r="E141" s="461">
        <f>IF('Orçamento-TCE'!H141&gt;0,'Orçamento-TCE'!H141,"")</f>
        <v>26.810000000000002</v>
      </c>
      <c r="F141" s="461" t="str">
        <f>IF('Orçamento-TCE'!I141&gt;0,'Orçamento-TCE'!I141,"")</f>
        <v>M3</v>
      </c>
      <c r="G141" s="460">
        <f>orcamento!K140</f>
        <v>372.17999999999995</v>
      </c>
      <c r="H141" s="461">
        <f t="shared" ref="H141:H193" si="2">IFERROR(IF(E141*G141&lt;&gt;0,ROUND(ROUND(E141,4)*ROUND(G141,4),2),""),"")</f>
        <v>9978.15</v>
      </c>
      <c r="I141" s="462">
        <f>orcamento!J140</f>
        <v>0.24229999999999999</v>
      </c>
      <c r="J141" s="462">
        <v>1.1194999999999999</v>
      </c>
      <c r="K141" s="462"/>
      <c r="L141" s="476">
        <f>orcamento!M140</f>
        <v>6319.3899999999994</v>
      </c>
      <c r="M141" s="476">
        <f>orcamento!L140</f>
        <v>3658.76</v>
      </c>
    </row>
    <row r="142" spans="1:13" x14ac:dyDescent="0.3">
      <c r="A142" s="474">
        <f>IF('Orçamento-TCE'!A142&gt;0,'Orçamento-TCE'!A142,"")</f>
        <v>1</v>
      </c>
      <c r="B142" s="475">
        <f>'Orçamento-TCE'!B142</f>
        <v>114</v>
      </c>
      <c r="C142" s="475" t="str">
        <f>IF('Orçamento-TCE'!C142&gt;0,'Orçamento-TCE'!C142,"")</f>
        <v>12.4</v>
      </c>
      <c r="D142" s="461" t="str">
        <f>IF('Orçamento-TCE'!G142&gt;0,'Orçamento-TCE'!G142,"")</f>
        <v>EXECUÇÃO DE RADIER, ESPESSURA DE 10 CM, FCK = 30 MPA, COM USO DE FORMAS EM MADEIRA SERRADA</v>
      </c>
      <c r="E142" s="461">
        <f>IF('Orçamento-TCE'!H142&gt;0,'Orçamento-TCE'!H142,"")</f>
        <v>10.220000000000001</v>
      </c>
      <c r="F142" s="461" t="str">
        <f>IF('Orçamento-TCE'!I142&gt;0,'Orçamento-TCE'!I142,"")</f>
        <v>M2</v>
      </c>
      <c r="G142" s="460">
        <f>orcamento!K141</f>
        <v>220.48000000000002</v>
      </c>
      <c r="H142" s="461">
        <f t="shared" si="2"/>
        <v>2253.31</v>
      </c>
      <c r="I142" s="462">
        <f>orcamento!J141</f>
        <v>0.24229999999999999</v>
      </c>
      <c r="J142" s="462">
        <v>1.1194999999999999</v>
      </c>
      <c r="K142" s="462"/>
      <c r="L142" s="476">
        <f>orcamento!M141</f>
        <v>2038.08</v>
      </c>
      <c r="M142" s="476">
        <f>orcamento!L141</f>
        <v>215.23</v>
      </c>
    </row>
    <row r="143" spans="1:13" x14ac:dyDescent="0.3">
      <c r="A143" s="474">
        <f>IF('Orçamento-TCE'!A143&gt;0,'Orçamento-TCE'!A143,"")</f>
        <v>1</v>
      </c>
      <c r="B143" s="475">
        <f>'Orçamento-TCE'!B143</f>
        <v>115</v>
      </c>
      <c r="C143" s="475" t="str">
        <f>IF('Orçamento-TCE'!C143&gt;0,'Orçamento-TCE'!C143,"")</f>
        <v>12.5</v>
      </c>
      <c r="D143" s="461" t="str">
        <f>IF('Orçamento-TCE'!G143&gt;0,'Orçamento-TCE'!G143,"")</f>
        <v>ATERRO MECANIZADO DE VALA COM RETROESCAVADEIRA, COM BRITA, EXCLUSO CARGA/DESCARGA E TRANSPORTE</v>
      </c>
      <c r="E143" s="461">
        <f>IF('Orçamento-TCE'!H143&gt;0,'Orçamento-TCE'!H143,"")</f>
        <v>46.92</v>
      </c>
      <c r="F143" s="461" t="str">
        <f>IF('Orçamento-TCE'!I143&gt;0,'Orçamento-TCE'!I143,"")</f>
        <v>M3</v>
      </c>
      <c r="G143" s="460">
        <f>orcamento!K142</f>
        <v>183.74</v>
      </c>
      <c r="H143" s="461">
        <f t="shared" si="2"/>
        <v>8621.08</v>
      </c>
      <c r="I143" s="462">
        <f>orcamento!J142</f>
        <v>0.24229999999999999</v>
      </c>
      <c r="J143" s="462">
        <v>1.1194999999999999</v>
      </c>
      <c r="K143" s="462"/>
      <c r="L143" s="476">
        <f>orcamento!M142</f>
        <v>8019.57</v>
      </c>
      <c r="M143" s="476">
        <f>orcamento!L142</f>
        <v>601.51</v>
      </c>
    </row>
    <row r="144" spans="1:13" x14ac:dyDescent="0.3">
      <c r="A144" s="474">
        <f>IF('Orçamento-TCE'!A144&gt;0,'Orçamento-TCE'!A144,"")</f>
        <v>1</v>
      </c>
      <c r="B144" s="475">
        <f>'Orçamento-TCE'!B144</f>
        <v>116</v>
      </c>
      <c r="C144" s="475" t="str">
        <f>IF('Orçamento-TCE'!C144&gt;0,'Orçamento-TCE'!C144,"")</f>
        <v>12.6</v>
      </c>
      <c r="D144" s="461" t="str">
        <f>IF('Orçamento-TCE'!G144&gt;0,'Orçamento-TCE'!G144,"")</f>
        <v>REATERRO MECANIZADO DE VALA COM RETROESCAVADEIRA (CAPACIDADE DA CAÇAMBA DA RETRO: 0,26 M³/POTÊNCIA: 88 HP), LARGURA DE 0,8 A 1,5 M, PROFUNDIDADE ATÉ 1,5 M, COM SOLO (SEM SUBSTITUIÇÃO) DE 1ª CATEGORIA, COM PLACA VIBRATÓRIA. AF_08/2023</v>
      </c>
      <c r="E144" s="461">
        <f>IF('Orçamento-TCE'!H144&gt;0,'Orçamento-TCE'!H144,"")</f>
        <v>239.43</v>
      </c>
      <c r="F144" s="461" t="str">
        <f>IF('Orçamento-TCE'!I144&gt;0,'Orçamento-TCE'!I144,"")</f>
        <v>M3</v>
      </c>
      <c r="G144" s="460">
        <f>orcamento!K143</f>
        <v>18.62</v>
      </c>
      <c r="H144" s="461">
        <f t="shared" si="2"/>
        <v>4458.1899999999996</v>
      </c>
      <c r="I144" s="462">
        <f>orcamento!J143</f>
        <v>0.24229999999999999</v>
      </c>
      <c r="J144" s="462">
        <v>1.1194999999999999</v>
      </c>
      <c r="K144" s="462"/>
      <c r="L144" s="476">
        <f>orcamento!M143</f>
        <v>2609.7999999999993</v>
      </c>
      <c r="M144" s="476">
        <f>orcamento!L143</f>
        <v>1848.39</v>
      </c>
    </row>
    <row r="145" spans="1:13" x14ac:dyDescent="0.3">
      <c r="A145" s="474">
        <f>IF('Orçamento-TCE'!A145&gt;0,'Orçamento-TCE'!A145,"")</f>
        <v>1</v>
      </c>
      <c r="B145" s="475">
        <f>'Orçamento-TCE'!B145</f>
        <v>117</v>
      </c>
      <c r="C145" s="475" t="str">
        <f>IF('Orçamento-TCE'!C145&gt;0,'Orçamento-TCE'!C145,"")</f>
        <v>12.7</v>
      </c>
      <c r="D145" s="461" t="str">
        <f>IF('Orçamento-TCE'!G145&gt;0,'Orçamento-TCE'!G145,"")</f>
        <v>CARGA, MANOBRA E DESCARGA DE SOLOS E MATERIAIS GRANULARES EM CAMINHÃO BASCULANTE 10 M³ - CARGA COM ESCAVADEIRA HIDRÁULICA (CAÇAMBA DE 1,20 M³ / 155 HP) E DESCARGA LIVRE (UNIDADE: M3). AF_02/2026</v>
      </c>
      <c r="E145" s="461">
        <f>IF('Orçamento-TCE'!H145&gt;0,'Orçamento-TCE'!H145,"")</f>
        <v>568</v>
      </c>
      <c r="F145" s="461" t="str">
        <f>IF('Orçamento-TCE'!I145&gt;0,'Orçamento-TCE'!I145,"")</f>
        <v>M3</v>
      </c>
      <c r="G145" s="460">
        <f>orcamento!K144</f>
        <v>9.2200000000000006</v>
      </c>
      <c r="H145" s="461">
        <f t="shared" si="2"/>
        <v>5236.96</v>
      </c>
      <c r="I145" s="462">
        <f>orcamento!J144</f>
        <v>0.24229999999999999</v>
      </c>
      <c r="J145" s="462">
        <v>1.1194999999999999</v>
      </c>
      <c r="K145" s="462"/>
      <c r="L145" s="476">
        <f>orcamento!M144</f>
        <v>4407.68</v>
      </c>
      <c r="M145" s="476">
        <f>orcamento!L144</f>
        <v>829.28</v>
      </c>
    </row>
    <row r="146" spans="1:13" x14ac:dyDescent="0.3">
      <c r="A146" s="474">
        <f>IF('Orçamento-TCE'!A146&gt;0,'Orçamento-TCE'!A146,"")</f>
        <v>1</v>
      </c>
      <c r="B146" s="475">
        <f>'Orçamento-TCE'!B146</f>
        <v>118</v>
      </c>
      <c r="C146" s="475" t="str">
        <f>IF('Orçamento-TCE'!C146&gt;0,'Orçamento-TCE'!C146,"")</f>
        <v>12.8</v>
      </c>
      <c r="D146" s="461" t="str">
        <f>IF('Orçamento-TCE'!G146&gt;0,'Orçamento-TCE'!G146,"")</f>
        <v>TRANSPORTE COM CAMINHÃO BASCULANTE DE 10 M³, EM VIA URBANA PAVIMENTADA, DMT ATÉ 30 KM (UNIDADE: M3XKM). AF_02/2026</v>
      </c>
      <c r="E146" s="461">
        <f>IF('Orçamento-TCE'!H146&gt;0,'Orçamento-TCE'!H146,"")</f>
        <v>1773.52</v>
      </c>
      <c r="F146" s="461" t="str">
        <f>IF('Orçamento-TCE'!I146&gt;0,'Orçamento-TCE'!I146,"")</f>
        <v>M3XKM</v>
      </c>
      <c r="G146" s="460">
        <f>orcamento!K145</f>
        <v>3.52</v>
      </c>
      <c r="H146" s="461">
        <f t="shared" si="2"/>
        <v>6242.79</v>
      </c>
      <c r="I146" s="462">
        <f>orcamento!J145</f>
        <v>0.24229999999999999</v>
      </c>
      <c r="J146" s="462">
        <v>1.1194999999999999</v>
      </c>
      <c r="K146" s="462"/>
      <c r="L146" s="476">
        <f>orcamento!M145</f>
        <v>5497.92</v>
      </c>
      <c r="M146" s="476">
        <f>orcamento!L145</f>
        <v>744.87</v>
      </c>
    </row>
    <row r="147" spans="1:13" x14ac:dyDescent="0.3">
      <c r="A147" s="474">
        <f>IF('Orçamento-TCE'!A147&gt;0,'Orçamento-TCE'!A147,"")</f>
        <v>1</v>
      </c>
      <c r="B147" s="475">
        <f>'Orçamento-TCE'!B147</f>
        <v>119</v>
      </c>
      <c r="C147" s="475" t="str">
        <f>IF('Orçamento-TCE'!C147&gt;0,'Orçamento-TCE'!C147,"")</f>
        <v>12.9</v>
      </c>
      <c r="D147" s="461" t="str">
        <f>IF('Orçamento-TCE'!G147&gt;0,'Orçamento-TCE'!G147,"")</f>
        <v>TAXA PARA BOTA FORA</v>
      </c>
      <c r="E147" s="461">
        <f>IF('Orçamento-TCE'!H147&gt;0,'Orçamento-TCE'!H147,"")</f>
        <v>187.61</v>
      </c>
      <c r="F147" s="461" t="str">
        <f>IF('Orçamento-TCE'!I147&gt;0,'Orçamento-TCE'!I147,"")</f>
        <v>M3</v>
      </c>
      <c r="G147" s="460">
        <f>orcamento!K146</f>
        <v>11.5</v>
      </c>
      <c r="H147" s="461">
        <f t="shared" si="2"/>
        <v>2157.52</v>
      </c>
      <c r="I147" s="462">
        <f>orcamento!J146</f>
        <v>0.16980000000000001</v>
      </c>
      <c r="J147" s="462">
        <v>1.1194999999999999</v>
      </c>
      <c r="K147" s="462"/>
      <c r="L147" s="476">
        <f>orcamento!M146</f>
        <v>2157.52</v>
      </c>
      <c r="M147" s="476">
        <f>orcamento!L146</f>
        <v>0</v>
      </c>
    </row>
    <row r="148" spans="1:13" x14ac:dyDescent="0.3">
      <c r="A148" s="474"/>
      <c r="B148" s="475"/>
      <c r="C148" s="475"/>
      <c r="D148" s="461"/>
      <c r="E148" s="461"/>
      <c r="F148" s="461"/>
      <c r="G148" s="460"/>
      <c r="H148" s="461"/>
      <c r="I148" s="462"/>
      <c r="J148" s="462"/>
      <c r="K148" s="462"/>
      <c r="L148" s="476"/>
      <c r="M148" s="476"/>
    </row>
    <row r="149" spans="1:13" x14ac:dyDescent="0.3">
      <c r="A149" s="474">
        <f>IF('Orçamento-TCE'!A149&gt;0,'Orçamento-TCE'!A149,"")</f>
        <v>1</v>
      </c>
      <c r="B149" s="475">
        <f>'Orçamento-TCE'!B149</f>
        <v>120</v>
      </c>
      <c r="C149" s="475" t="str">
        <f>IF('Orçamento-TCE'!C149&gt;0,'Orçamento-TCE'!C149,"")</f>
        <v>13.1</v>
      </c>
      <c r="D149" s="461" t="str">
        <f>IF('Orçamento-TCE'!G149&gt;0,'Orçamento-TCE'!G149,"")</f>
        <v>TUBO DE CONCRETO ARMADO PARA AGUAS PLUVIAIS, CLASSE PA-3, COM ENCAIXE PONTA E BOLSA, COM ENCAIXE PARA ANEL DE VEDAÇÃO, DIAMETRO NOMINAL DE 300 MM - FORNECIMENTO</v>
      </c>
      <c r="E149" s="461">
        <f>IF('Orçamento-TCE'!H149&gt;0,'Orçamento-TCE'!H149,"")</f>
        <v>22.71</v>
      </c>
      <c r="F149" s="461" t="str">
        <f>IF('Orçamento-TCE'!I149&gt;0,'Orçamento-TCE'!I149,"")</f>
        <v>M</v>
      </c>
      <c r="G149" s="460">
        <f>orcamento!K148</f>
        <v>232.76</v>
      </c>
      <c r="H149" s="461">
        <f t="shared" si="2"/>
        <v>5285.98</v>
      </c>
      <c r="I149" s="462">
        <f>orcamento!J148</f>
        <v>0.16980000000000001</v>
      </c>
      <c r="J149" s="462">
        <v>1.1194999999999999</v>
      </c>
      <c r="K149" s="462"/>
      <c r="L149" s="476">
        <f>orcamento!M148</f>
        <v>5285.98</v>
      </c>
      <c r="M149" s="476">
        <f>orcamento!L148</f>
        <v>0</v>
      </c>
    </row>
    <row r="150" spans="1:13" x14ac:dyDescent="0.3">
      <c r="A150" s="474">
        <f>IF('Orçamento-TCE'!A150&gt;0,'Orçamento-TCE'!A150,"")</f>
        <v>1</v>
      </c>
      <c r="B150" s="475">
        <f>'Orçamento-TCE'!B150</f>
        <v>121</v>
      </c>
      <c r="C150" s="475" t="str">
        <f>IF('Orçamento-TCE'!C150&gt;0,'Orçamento-TCE'!C150,"")</f>
        <v>13.2</v>
      </c>
      <c r="D150" s="461" t="str">
        <f>IF('Orçamento-TCE'!G150&gt;0,'Orçamento-TCE'!G150,"")</f>
        <v>TUBO DE CONCRETO ARMADO PARA AGUAS PLUVIAIS, CLASSE PA-3, COM ENCAIXE PONTA E BOLSA, COM ENCAIXE PARA ANEL DE VEDAÇÃO, DIAMETRO NOMINAL DE 400 MM - FORNECIMENTO</v>
      </c>
      <c r="E150" s="461">
        <f>IF('Orçamento-TCE'!H150&gt;0,'Orçamento-TCE'!H150,"")</f>
        <v>71.430000000000007</v>
      </c>
      <c r="F150" s="461" t="str">
        <f>IF('Orçamento-TCE'!I150&gt;0,'Orçamento-TCE'!I150,"")</f>
        <v>M</v>
      </c>
      <c r="G150" s="460">
        <f>orcamento!K149</f>
        <v>259.14999999999998</v>
      </c>
      <c r="H150" s="461">
        <f t="shared" si="2"/>
        <v>18511.080000000002</v>
      </c>
      <c r="I150" s="462">
        <f>orcamento!J149</f>
        <v>0.16980000000000001</v>
      </c>
      <c r="J150" s="462">
        <v>1.1194999999999999</v>
      </c>
      <c r="K150" s="462"/>
      <c r="L150" s="476">
        <f>orcamento!M149</f>
        <v>18511.080000000002</v>
      </c>
      <c r="M150" s="476">
        <f>orcamento!L149</f>
        <v>0</v>
      </c>
    </row>
    <row r="151" spans="1:13" x14ac:dyDescent="0.3">
      <c r="A151" s="474">
        <f>IF('Orçamento-TCE'!A151&gt;0,'Orçamento-TCE'!A151,"")</f>
        <v>1</v>
      </c>
      <c r="B151" s="475">
        <f>'Orçamento-TCE'!B151</f>
        <v>122</v>
      </c>
      <c r="C151" s="475" t="str">
        <f>IF('Orçamento-TCE'!C151&gt;0,'Orçamento-TCE'!C151,"")</f>
        <v>13.3</v>
      </c>
      <c r="D151" s="461" t="str">
        <f>IF('Orçamento-TCE'!G151&gt;0,'Orçamento-TCE'!G151,"")</f>
        <v>TUBO DE CONCRETO ARMADO PARA AGUAS PLUVIAIS, CLASSE PA-3, COM ENCAIXE PONTA E BOLSA, COM ENCAIXE PARA ANEL DE VEDAÇÃO, DIAMETRO NOMINAL DE 500 MM - FORNECIMENTO</v>
      </c>
      <c r="E151" s="461">
        <f>IF('Orçamento-TCE'!H151&gt;0,'Orçamento-TCE'!H151,"")</f>
        <v>27.7</v>
      </c>
      <c r="F151" s="461" t="str">
        <f>IF('Orçamento-TCE'!I151&gt;0,'Orçamento-TCE'!I151,"")</f>
        <v>M</v>
      </c>
      <c r="G151" s="460">
        <f>orcamento!K150</f>
        <v>349.16</v>
      </c>
      <c r="H151" s="461">
        <f t="shared" si="2"/>
        <v>9671.73</v>
      </c>
      <c r="I151" s="462">
        <f>orcamento!J150</f>
        <v>0.16980000000000001</v>
      </c>
      <c r="J151" s="462">
        <v>1.1194999999999999</v>
      </c>
      <c r="K151" s="462"/>
      <c r="L151" s="476">
        <f>orcamento!M150</f>
        <v>9671.73</v>
      </c>
      <c r="M151" s="476">
        <f>orcamento!L150</f>
        <v>0</v>
      </c>
    </row>
    <row r="152" spans="1:13" x14ac:dyDescent="0.3">
      <c r="A152" s="474">
        <f>IF('Orçamento-TCE'!A152&gt;0,'Orçamento-TCE'!A152,"")</f>
        <v>1</v>
      </c>
      <c r="B152" s="475">
        <f>'Orçamento-TCE'!B152</f>
        <v>123</v>
      </c>
      <c r="C152" s="475" t="str">
        <f>IF('Orçamento-TCE'!C152&gt;0,'Orçamento-TCE'!C152,"")</f>
        <v>13.4</v>
      </c>
      <c r="D152" s="461" t="str">
        <f>IF('Orçamento-TCE'!G152&gt;0,'Orçamento-TCE'!G152,"")</f>
        <v>TUBO DE CONCRETO ARMADO PARA AGUAS PLUVIAIS, CLASSE PA-3, COM ENCAIXE PONTA E BOLSA, COM ENCAIXE PARA ANEL DE VEDAÇÃO, DIAMETRO NOMINAL DE 800 MM - FORNECIMENTO</v>
      </c>
      <c r="E152" s="461">
        <f>IF('Orçamento-TCE'!H152&gt;0,'Orçamento-TCE'!H152,"")</f>
        <v>88.1</v>
      </c>
      <c r="F152" s="461" t="str">
        <f>IF('Orçamento-TCE'!I152&gt;0,'Orçamento-TCE'!I152,"")</f>
        <v>M</v>
      </c>
      <c r="G152" s="460">
        <f>orcamento!K151</f>
        <v>758.9</v>
      </c>
      <c r="H152" s="461">
        <f t="shared" si="2"/>
        <v>66859.09</v>
      </c>
      <c r="I152" s="462">
        <f>orcamento!J151</f>
        <v>0.16980000000000001</v>
      </c>
      <c r="J152" s="462">
        <v>1.1194999999999999</v>
      </c>
      <c r="K152" s="462"/>
      <c r="L152" s="476">
        <f>orcamento!M151</f>
        <v>66859.09</v>
      </c>
      <c r="M152" s="476">
        <f>orcamento!L151</f>
        <v>0</v>
      </c>
    </row>
    <row r="153" spans="1:13" x14ac:dyDescent="0.3">
      <c r="A153" s="474">
        <f>IF('Orçamento-TCE'!A153&gt;0,'Orçamento-TCE'!A153,"")</f>
        <v>1</v>
      </c>
      <c r="B153" s="475">
        <f>'Orçamento-TCE'!B153</f>
        <v>124</v>
      </c>
      <c r="C153" s="475" t="str">
        <f>IF('Orçamento-TCE'!C153&gt;0,'Orçamento-TCE'!C153,"")</f>
        <v>13.5</v>
      </c>
      <c r="D153" s="461" t="str">
        <f>IF('Orçamento-TCE'!G153&gt;0,'Orçamento-TCE'!G153,"")</f>
        <v>CARGA, MANOBRA E DESCARGA DE TUBOS DE CONCRETO, DN MENOR OU IGUAL A 300 MM, EM CAMINHÃO CARROCERIA COM GUINDAUTO (MUNCK) 11,7 TM. AF_02/2026</v>
      </c>
      <c r="E153" s="461">
        <f>IF('Orçamento-TCE'!H153&gt;0,'Orçamento-TCE'!H153,"")</f>
        <v>2.95</v>
      </c>
      <c r="F153" s="461" t="str">
        <f>IF('Orçamento-TCE'!I153&gt;0,'Orçamento-TCE'!I153,"")</f>
        <v>T</v>
      </c>
      <c r="G153" s="460">
        <f>orcamento!K152</f>
        <v>68.91</v>
      </c>
      <c r="H153" s="461">
        <f t="shared" si="2"/>
        <v>203.28</v>
      </c>
      <c r="I153" s="462">
        <f>orcamento!J152</f>
        <v>0.24229999999999999</v>
      </c>
      <c r="J153" s="462">
        <v>1.1194999999999999</v>
      </c>
      <c r="K153" s="462"/>
      <c r="L153" s="476">
        <f>orcamento!M152</f>
        <v>144.28</v>
      </c>
      <c r="M153" s="476">
        <f>orcamento!L152</f>
        <v>59</v>
      </c>
    </row>
    <row r="154" spans="1:13" x14ac:dyDescent="0.3">
      <c r="A154" s="474">
        <f>IF('Orçamento-TCE'!A154&gt;0,'Orçamento-TCE'!A154,"")</f>
        <v>1</v>
      </c>
      <c r="B154" s="475">
        <f>'Orçamento-TCE'!B154</f>
        <v>125</v>
      </c>
      <c r="C154" s="475" t="str">
        <f>IF('Orçamento-TCE'!C154&gt;0,'Orçamento-TCE'!C154,"")</f>
        <v>13.6</v>
      </c>
      <c r="D154" s="461" t="str">
        <f>IF('Orçamento-TCE'!G154&gt;0,'Orçamento-TCE'!G154,"")</f>
        <v>CARGA, MANOBRA E DESCARGA DE TUBOS DE CONCRETO, DN 400 MM, EM CAMINHÃO CARROCERIA COM GUINDAUTO (MUNCK) 11,7 TM. AF_02/2026</v>
      </c>
      <c r="E154" s="461">
        <f>IF('Orçamento-TCE'!H154&gt;0,'Orçamento-TCE'!H154,"")</f>
        <v>10.92</v>
      </c>
      <c r="F154" s="461" t="str">
        <f>IF('Orçamento-TCE'!I154&gt;0,'Orçamento-TCE'!I154,"")</f>
        <v>T</v>
      </c>
      <c r="G154" s="460">
        <f>orcamento!K153</f>
        <v>63.05</v>
      </c>
      <c r="H154" s="461">
        <f t="shared" si="2"/>
        <v>688.51</v>
      </c>
      <c r="I154" s="462">
        <f>orcamento!J153</f>
        <v>0.24229999999999999</v>
      </c>
      <c r="J154" s="462">
        <v>1.1194999999999999</v>
      </c>
      <c r="K154" s="462"/>
      <c r="L154" s="476">
        <f>orcamento!M153</f>
        <v>488.78999999999996</v>
      </c>
      <c r="M154" s="476">
        <f>orcamento!L153</f>
        <v>199.72</v>
      </c>
    </row>
    <row r="155" spans="1:13" x14ac:dyDescent="0.3">
      <c r="A155" s="474">
        <f>IF('Orçamento-TCE'!A155&gt;0,'Orçamento-TCE'!A155,"")</f>
        <v>1</v>
      </c>
      <c r="B155" s="475">
        <f>'Orçamento-TCE'!B155</f>
        <v>126</v>
      </c>
      <c r="C155" s="475" t="str">
        <f>IF('Orçamento-TCE'!C155&gt;0,'Orçamento-TCE'!C155,"")</f>
        <v>13.7</v>
      </c>
      <c r="D155" s="461" t="str">
        <f>IF('Orçamento-TCE'!G155&gt;0,'Orçamento-TCE'!G155,"")</f>
        <v>CARGA, MANOBRA E DESCARGA DE TUBOS DE CONCRETO, DN 500 MM, EM CAMINHÃO CARROCERIA COM GUINDAUTO (MUNCK) 11,7 TM. AF_02/2026</v>
      </c>
      <c r="E155" s="461">
        <f>IF('Orçamento-TCE'!H155&gt;0,'Orçamento-TCE'!H155,"")</f>
        <v>6.64</v>
      </c>
      <c r="F155" s="461" t="str">
        <f>IF('Orçamento-TCE'!I155&gt;0,'Orçamento-TCE'!I155,"")</f>
        <v>T</v>
      </c>
      <c r="G155" s="460">
        <f>orcamento!K154</f>
        <v>51.68</v>
      </c>
      <c r="H155" s="461">
        <f t="shared" si="2"/>
        <v>343.16</v>
      </c>
      <c r="I155" s="462">
        <f>orcamento!J154</f>
        <v>0.24229999999999999</v>
      </c>
      <c r="J155" s="462">
        <v>1.1194999999999999</v>
      </c>
      <c r="K155" s="462"/>
      <c r="L155" s="476">
        <f>orcamento!M154</f>
        <v>243.63000000000002</v>
      </c>
      <c r="M155" s="476">
        <f>orcamento!L154</f>
        <v>99.53</v>
      </c>
    </row>
    <row r="156" spans="1:13" x14ac:dyDescent="0.3">
      <c r="A156" s="474">
        <f>IF('Orçamento-TCE'!A156&gt;0,'Orçamento-TCE'!A156,"")</f>
        <v>1</v>
      </c>
      <c r="B156" s="475">
        <f>'Orçamento-TCE'!B156</f>
        <v>127</v>
      </c>
      <c r="C156" s="475" t="str">
        <f>IF('Orçamento-TCE'!C156&gt;0,'Orçamento-TCE'!C156,"")</f>
        <v>13.8</v>
      </c>
      <c r="D156" s="461" t="str">
        <f>IF('Orçamento-TCE'!G156&gt;0,'Orçamento-TCE'!G156,"")</f>
        <v>CARGA, MANOBRA E DESCARGA DE TUBOS DE CONCRETO, DN 800 MM, EM CAMINHÃO CARROCERIA COM GUINDAUTO (MUNCK) 11,7 TM. AF_02/2026</v>
      </c>
      <c r="E156" s="461">
        <f>IF('Orçamento-TCE'!H156&gt;0,'Orçamento-TCE'!H156,"")</f>
        <v>39.200000000000003</v>
      </c>
      <c r="F156" s="461" t="str">
        <f>IF('Orçamento-TCE'!I156&gt;0,'Orçamento-TCE'!I156,"")</f>
        <v>T</v>
      </c>
      <c r="G156" s="460">
        <f>orcamento!K155</f>
        <v>40.28</v>
      </c>
      <c r="H156" s="461">
        <f t="shared" si="2"/>
        <v>1578.98</v>
      </c>
      <c r="I156" s="462">
        <f>orcamento!J155</f>
        <v>0.24229999999999999</v>
      </c>
      <c r="J156" s="462">
        <v>1.1194999999999999</v>
      </c>
      <c r="K156" s="462"/>
      <c r="L156" s="476">
        <f>orcamento!M155</f>
        <v>1121.52</v>
      </c>
      <c r="M156" s="476">
        <f>orcamento!L155</f>
        <v>457.46</v>
      </c>
    </row>
    <row r="157" spans="1:13" x14ac:dyDescent="0.3">
      <c r="A157" s="474">
        <f>IF('Orçamento-TCE'!A157&gt;0,'Orçamento-TCE'!A157,"")</f>
        <v>1</v>
      </c>
      <c r="B157" s="475">
        <f>'Orçamento-TCE'!B157</f>
        <v>128</v>
      </c>
      <c r="C157" s="475" t="str">
        <f>IF('Orçamento-TCE'!C157&gt;0,'Orçamento-TCE'!C157,"")</f>
        <v>13.9</v>
      </c>
      <c r="D157" s="461" t="str">
        <f>IF('Orçamento-TCE'!G157&gt;0,'Orçamento-TCE'!G157,"")</f>
        <v>TRANSPORTE COM CAMINHÃO CARROCERIA COM GUINDAUTO (MUNCK), MOMENTO MÁXIMO DE CARGA 11,7 TM, EM VIA URBANA PAVIMENTADA, DMT ATÉ 30KM (UNIDADE: TXKM). AF_02/2026</v>
      </c>
      <c r="E157" s="461">
        <f>IF('Orçamento-TCE'!H157&gt;0,'Orçamento-TCE'!H157,"")</f>
        <v>961.33</v>
      </c>
      <c r="F157" s="461" t="str">
        <f>IF('Orçamento-TCE'!I157&gt;0,'Orçamento-TCE'!I157,"")</f>
        <v>TXKM</v>
      </c>
      <c r="G157" s="460">
        <f>orcamento!K156</f>
        <v>3.96</v>
      </c>
      <c r="H157" s="461">
        <f t="shared" si="2"/>
        <v>3806.87</v>
      </c>
      <c r="I157" s="462">
        <f>orcamento!J156</f>
        <v>0.24229999999999999</v>
      </c>
      <c r="J157" s="462">
        <v>1.1194999999999999</v>
      </c>
      <c r="K157" s="462"/>
      <c r="L157" s="476">
        <f>orcamento!M156</f>
        <v>3287.7599999999998</v>
      </c>
      <c r="M157" s="476">
        <f>orcamento!L156</f>
        <v>519.11</v>
      </c>
    </row>
    <row r="158" spans="1:13" x14ac:dyDescent="0.3">
      <c r="A158" s="474"/>
      <c r="B158" s="475"/>
      <c r="C158" s="475"/>
      <c r="D158" s="461"/>
      <c r="E158" s="461"/>
      <c r="F158" s="461"/>
      <c r="G158" s="460"/>
      <c r="H158" s="461"/>
      <c r="I158" s="462"/>
      <c r="J158" s="462"/>
      <c r="K158" s="462"/>
      <c r="L158" s="476"/>
      <c r="M158" s="476"/>
    </row>
    <row r="159" spans="1:13" x14ac:dyDescent="0.3">
      <c r="A159" s="474">
        <f>IF('Orçamento-TCE'!A159&gt;0,'Orçamento-TCE'!A159,"")</f>
        <v>1</v>
      </c>
      <c r="B159" s="475">
        <f>'Orçamento-TCE'!B159</f>
        <v>129</v>
      </c>
      <c r="C159" s="475" t="str">
        <f>IF('Orçamento-TCE'!C159&gt;0,'Orçamento-TCE'!C159,"")</f>
        <v>14.1</v>
      </c>
      <c r="D159" s="461" t="str">
        <f>IF('Orçamento-TCE'!G159&gt;0,'Orçamento-TCE'!G159,"")</f>
        <v>TUBO CONCRETO ARMADO AGUAS PLUVIAIS, CLASSE PA-3, ENCAIXE PONTA E BOLSA, DN 300 MM - ASSENAMENTO, INCLUSO ANEL DE VEDAÇÃO</v>
      </c>
      <c r="E159" s="461">
        <f>IF('Orçamento-TCE'!H159&gt;0,'Orçamento-TCE'!H159,"")</f>
        <v>22.71</v>
      </c>
      <c r="F159" s="461" t="str">
        <f>IF('Orçamento-TCE'!I159&gt;0,'Orçamento-TCE'!I159,"")</f>
        <v>M</v>
      </c>
      <c r="G159" s="460">
        <f>orcamento!K158</f>
        <v>60.570000000000007</v>
      </c>
      <c r="H159" s="461">
        <f t="shared" si="2"/>
        <v>1375.54</v>
      </c>
      <c r="I159" s="462">
        <f>orcamento!J158</f>
        <v>0.24229999999999999</v>
      </c>
      <c r="J159" s="462">
        <v>1.1194999999999999</v>
      </c>
      <c r="K159" s="462"/>
      <c r="L159" s="476">
        <f>orcamento!M158</f>
        <v>914.76</v>
      </c>
      <c r="M159" s="476">
        <f>orcamento!L158</f>
        <v>460.78</v>
      </c>
    </row>
    <row r="160" spans="1:13" x14ac:dyDescent="0.3">
      <c r="A160" s="474">
        <f>IF('Orçamento-TCE'!A160&gt;0,'Orçamento-TCE'!A160,"")</f>
        <v>1</v>
      </c>
      <c r="B160" s="475">
        <f>'Orçamento-TCE'!B160</f>
        <v>130</v>
      </c>
      <c r="C160" s="475" t="str">
        <f>IF('Orçamento-TCE'!C160&gt;0,'Orçamento-TCE'!C160,"")</f>
        <v>14.2</v>
      </c>
      <c r="D160" s="461" t="str">
        <f>IF('Orçamento-TCE'!G160&gt;0,'Orçamento-TCE'!G160,"")</f>
        <v>TUBO CONCRETO ARMADO AGUAS PLUVIAIS, CLASSE PA-3, ENCAIXE PONTA E BOLSA, DN 400 MM - ASSENTAMENTO, INCLUSO ANEL DE VEDAÇÃO</v>
      </c>
      <c r="E160" s="461">
        <f>IF('Orçamento-TCE'!H160&gt;0,'Orçamento-TCE'!H160,"")</f>
        <v>71.430000000000007</v>
      </c>
      <c r="F160" s="461" t="str">
        <f>IF('Orçamento-TCE'!I160&gt;0,'Orçamento-TCE'!I160,"")</f>
        <v>M</v>
      </c>
      <c r="G160" s="460">
        <f>orcamento!K159</f>
        <v>79.429999999999993</v>
      </c>
      <c r="H160" s="461">
        <f t="shared" si="2"/>
        <v>5673.68</v>
      </c>
      <c r="I160" s="462">
        <f>orcamento!J159</f>
        <v>0.24229999999999999</v>
      </c>
      <c r="J160" s="462">
        <v>1.1194999999999999</v>
      </c>
      <c r="K160" s="462"/>
      <c r="L160" s="476">
        <f>orcamento!M159</f>
        <v>3657.9300000000003</v>
      </c>
      <c r="M160" s="476">
        <f>orcamento!L159</f>
        <v>2015.75</v>
      </c>
    </row>
    <row r="161" spans="1:13" x14ac:dyDescent="0.3">
      <c r="A161" s="474">
        <f>IF('Orçamento-TCE'!A161&gt;0,'Orçamento-TCE'!A161,"")</f>
        <v>1</v>
      </c>
      <c r="B161" s="475">
        <f>'Orçamento-TCE'!B161</f>
        <v>131</v>
      </c>
      <c r="C161" s="475" t="str">
        <f>IF('Orçamento-TCE'!C161&gt;0,'Orçamento-TCE'!C161,"")</f>
        <v>14.3</v>
      </c>
      <c r="D161" s="461" t="str">
        <f>IF('Orçamento-TCE'!G161&gt;0,'Orçamento-TCE'!G161,"")</f>
        <v>TUBO CONCRETO ARMADO AGUAS PLUVIAIS, CLASSE PA-3, ENCAIXE PONTA E BOLSA, DN 500 MM - ASSENTAMENTO, INCLUSO ANEL DE VEDAÇÃO</v>
      </c>
      <c r="E161" s="461">
        <f>IF('Orçamento-TCE'!H161&gt;0,'Orçamento-TCE'!H161,"")</f>
        <v>27.7</v>
      </c>
      <c r="F161" s="461" t="str">
        <f>IF('Orçamento-TCE'!I161&gt;0,'Orçamento-TCE'!I161,"")</f>
        <v>M</v>
      </c>
      <c r="G161" s="460">
        <f>orcamento!K160</f>
        <v>99.789999999999992</v>
      </c>
      <c r="H161" s="461">
        <f t="shared" si="2"/>
        <v>2764.18</v>
      </c>
      <c r="I161" s="462">
        <f>orcamento!J160</f>
        <v>0.24229999999999999</v>
      </c>
      <c r="J161" s="462">
        <v>1.1194999999999999</v>
      </c>
      <c r="K161" s="462"/>
      <c r="L161" s="476">
        <f>orcamento!M160</f>
        <v>1757.0099999999998</v>
      </c>
      <c r="M161" s="476">
        <f>orcamento!L160</f>
        <v>1007.17</v>
      </c>
    </row>
    <row r="162" spans="1:13" x14ac:dyDescent="0.3">
      <c r="A162" s="474">
        <f>IF('Orçamento-TCE'!A162&gt;0,'Orçamento-TCE'!A162,"")</f>
        <v>1</v>
      </c>
      <c r="B162" s="475">
        <f>'Orçamento-TCE'!B162</f>
        <v>132</v>
      </c>
      <c r="C162" s="475" t="str">
        <f>IF('Orçamento-TCE'!C162&gt;0,'Orçamento-TCE'!C162,"")</f>
        <v>14.4</v>
      </c>
      <c r="D162" s="461" t="str">
        <f>IF('Orçamento-TCE'!G162&gt;0,'Orçamento-TCE'!G162,"")</f>
        <v>TUBO CONCRETO ARMADO AGUAS PLUVIAIS, CLASSE PA-3, ENCAIXE PONTA E BOLSA, DN 800 MM - ASSENTAMENTO, INCLUSO ANEL DE VEDAÇÃO</v>
      </c>
      <c r="E162" s="461">
        <f>IF('Orçamento-TCE'!H162&gt;0,'Orçamento-TCE'!H162,"")</f>
        <v>88.1</v>
      </c>
      <c r="F162" s="461" t="str">
        <f>IF('Orçamento-TCE'!I162&gt;0,'Orçamento-TCE'!I162,"")</f>
        <v>M</v>
      </c>
      <c r="G162" s="460">
        <f>orcamento!K161</f>
        <v>181.58999999999997</v>
      </c>
      <c r="H162" s="461">
        <f t="shared" si="2"/>
        <v>15998.08</v>
      </c>
      <c r="I162" s="462">
        <f>orcamento!J161</f>
        <v>0.24229999999999999</v>
      </c>
      <c r="J162" s="462">
        <v>1.1194999999999999</v>
      </c>
      <c r="K162" s="462"/>
      <c r="L162" s="476">
        <f>orcamento!M161</f>
        <v>10572.89</v>
      </c>
      <c r="M162" s="476">
        <f>orcamento!L161</f>
        <v>5425.19</v>
      </c>
    </row>
    <row r="163" spans="1:13" x14ac:dyDescent="0.3">
      <c r="A163" s="474"/>
      <c r="B163" s="475"/>
      <c r="C163" s="475"/>
      <c r="D163" s="461"/>
      <c r="E163" s="461"/>
      <c r="F163" s="461"/>
      <c r="G163" s="460"/>
      <c r="H163" s="461"/>
      <c r="I163" s="462"/>
      <c r="J163" s="462"/>
      <c r="K163" s="462"/>
      <c r="L163" s="476"/>
      <c r="M163" s="476"/>
    </row>
    <row r="164" spans="1:13" x14ac:dyDescent="0.3">
      <c r="A164" s="474">
        <f>IF('Orçamento-TCE'!A164&gt;0,'Orçamento-TCE'!A164,"")</f>
        <v>1</v>
      </c>
      <c r="B164" s="475">
        <f>'Orçamento-TCE'!B164</f>
        <v>133</v>
      </c>
      <c r="C164" s="475" t="str">
        <f>IF('Orçamento-TCE'!C164&gt;0,'Orçamento-TCE'!C164,"")</f>
        <v>15.1</v>
      </c>
      <c r="D164" s="461" t="str">
        <f>IF('Orçamento-TCE'!G164&gt;0,'Orçamento-TCE'!G164,"")</f>
        <v>CAIXA PARA BOCA DE LOBO SIMPLES RETANGULAR, EM ALVENARIA COM TIJOLOS CERÂMICOS MACIÇOS, DIMENSÕES INTERNAS: 0,6X1X1,2 M. AF_12/2020</v>
      </c>
      <c r="E164" s="461">
        <f>IF('Orçamento-TCE'!H164&gt;0,'Orçamento-TCE'!H164,"")</f>
        <v>2</v>
      </c>
      <c r="F164" s="461" t="str">
        <f>IF('Orçamento-TCE'!I164&gt;0,'Orçamento-TCE'!I164,"")</f>
        <v>UN</v>
      </c>
      <c r="G164" s="460">
        <f>orcamento!K163</f>
        <v>2497.27</v>
      </c>
      <c r="H164" s="461">
        <f t="shared" si="2"/>
        <v>4994.54</v>
      </c>
      <c r="I164" s="462">
        <f>orcamento!J163</f>
        <v>0.24229999999999999</v>
      </c>
      <c r="J164" s="462">
        <v>1.1194999999999999</v>
      </c>
      <c r="K164" s="462"/>
      <c r="L164" s="476">
        <f>orcamento!M163</f>
        <v>2537.2399999999998</v>
      </c>
      <c r="M164" s="476">
        <f>orcamento!L163</f>
        <v>2457.3000000000002</v>
      </c>
    </row>
    <row r="165" spans="1:13" x14ac:dyDescent="0.3">
      <c r="A165" s="474">
        <f>IF('Orçamento-TCE'!A165&gt;0,'Orçamento-TCE'!A165,"")</f>
        <v>1</v>
      </c>
      <c r="B165" s="475">
        <f>'Orçamento-TCE'!B165</f>
        <v>134</v>
      </c>
      <c r="C165" s="475" t="str">
        <f>IF('Orçamento-TCE'!C165&gt;0,'Orçamento-TCE'!C165,"")</f>
        <v>15.2</v>
      </c>
      <c r="D165" s="461" t="str">
        <f>IF('Orçamento-TCE'!G165&gt;0,'Orçamento-TCE'!G165,"")</f>
        <v>CAIXA PARA BOCA DE LOBO COMBINADA COM GRELHA RETANGULAR, EM ALVENARIA COM TIJOLOS CERÂMICOS MACIÇOS, DIMENSÕES INTERNAS: 1,3X1X1,2 M. AF_12/2020</v>
      </c>
      <c r="E165" s="461">
        <f>IF('Orçamento-TCE'!H165&gt;0,'Orçamento-TCE'!H165,"")</f>
        <v>1</v>
      </c>
      <c r="F165" s="461" t="str">
        <f>IF('Orçamento-TCE'!I165&gt;0,'Orçamento-TCE'!I165,"")</f>
        <v>UN</v>
      </c>
      <c r="G165" s="460">
        <f>orcamento!K164</f>
        <v>4072.16</v>
      </c>
      <c r="H165" s="461">
        <f t="shared" si="2"/>
        <v>4072.16</v>
      </c>
      <c r="I165" s="462">
        <f>orcamento!J164</f>
        <v>0.24229999999999999</v>
      </c>
      <c r="J165" s="462">
        <v>1.1194999999999999</v>
      </c>
      <c r="K165" s="462"/>
      <c r="L165" s="476">
        <f>orcamento!M164</f>
        <v>2402.17</v>
      </c>
      <c r="M165" s="476">
        <f>orcamento!L164</f>
        <v>1669.99</v>
      </c>
    </row>
    <row r="166" spans="1:13" x14ac:dyDescent="0.3">
      <c r="A166" s="474">
        <f>IF('Orçamento-TCE'!A166&gt;0,'Orçamento-TCE'!A166,"")</f>
        <v>1</v>
      </c>
      <c r="B166" s="475">
        <f>'Orçamento-TCE'!B166</f>
        <v>135</v>
      </c>
      <c r="C166" s="475" t="str">
        <f>IF('Orçamento-TCE'!C166&gt;0,'Orçamento-TCE'!C166,"")</f>
        <v>15.3</v>
      </c>
      <c r="D166" s="461" t="str">
        <f>IF('Orçamento-TCE'!G166&gt;0,'Orçamento-TCE'!G166,"")</f>
        <v>POÇO DE VISITA TIPO A, 0,80x0,80x1,00m EM TIJOLO MACIÇO, SEM TAMPA</v>
      </c>
      <c r="E166" s="461">
        <f>IF('Orçamento-TCE'!H166&gt;0,'Orçamento-TCE'!H166,"")</f>
        <v>2</v>
      </c>
      <c r="F166" s="461" t="str">
        <f>IF('Orçamento-TCE'!I166&gt;0,'Orçamento-TCE'!I166,"")</f>
        <v>UN</v>
      </c>
      <c r="G166" s="460">
        <f>orcamento!K165</f>
        <v>1548.79</v>
      </c>
      <c r="H166" s="461">
        <f t="shared" si="2"/>
        <v>3097.58</v>
      </c>
      <c r="I166" s="462">
        <f>orcamento!J165</f>
        <v>0.24229999999999999</v>
      </c>
      <c r="J166" s="462">
        <v>1.1194999999999999</v>
      </c>
      <c r="K166" s="462"/>
      <c r="L166" s="476">
        <f>orcamento!M165</f>
        <v>1058.3999999999999</v>
      </c>
      <c r="M166" s="476">
        <f>orcamento!L165</f>
        <v>2039.18</v>
      </c>
    </row>
    <row r="167" spans="1:13" x14ac:dyDescent="0.3">
      <c r="A167" s="474">
        <f>IF('Orçamento-TCE'!A167&gt;0,'Orçamento-TCE'!A167,"")</f>
        <v>1</v>
      </c>
      <c r="B167" s="475">
        <f>'Orçamento-TCE'!B167</f>
        <v>136</v>
      </c>
      <c r="C167" s="475" t="str">
        <f>IF('Orçamento-TCE'!C167&gt;0,'Orçamento-TCE'!C167,"")</f>
        <v>15.4</v>
      </c>
      <c r="D167" s="461" t="str">
        <f>IF('Orçamento-TCE'!G167&gt;0,'Orçamento-TCE'!G167,"")</f>
        <v>METRO ADICIONAL POÇO DE VISITA TIPO A, 0,80x0,80m EM TIJOLO MACIÇO</v>
      </c>
      <c r="E167" s="461">
        <f>IF('Orçamento-TCE'!H167&gt;0,'Orçamento-TCE'!H167,"")</f>
        <v>0.59</v>
      </c>
      <c r="F167" s="461" t="str">
        <f>IF('Orçamento-TCE'!I167&gt;0,'Orçamento-TCE'!I167,"")</f>
        <v>M</v>
      </c>
      <c r="G167" s="460">
        <f>orcamento!K166</f>
        <v>1470.57</v>
      </c>
      <c r="H167" s="461">
        <f t="shared" si="2"/>
        <v>867.64</v>
      </c>
      <c r="I167" s="462">
        <f>orcamento!J166</f>
        <v>0.24229999999999999</v>
      </c>
      <c r="J167" s="462">
        <v>1.1194999999999999</v>
      </c>
      <c r="K167" s="462"/>
      <c r="L167" s="476">
        <f>orcamento!M166</f>
        <v>361.89</v>
      </c>
      <c r="M167" s="476">
        <f>orcamento!L166</f>
        <v>505.75</v>
      </c>
    </row>
    <row r="168" spans="1:13" x14ac:dyDescent="0.3">
      <c r="A168" s="474">
        <f>IF('Orçamento-TCE'!A168&gt;0,'Orçamento-TCE'!A168,"")</f>
        <v>1</v>
      </c>
      <c r="B168" s="475">
        <f>'Orçamento-TCE'!B168</f>
        <v>137</v>
      </c>
      <c r="C168" s="475" t="str">
        <f>IF('Orçamento-TCE'!C168&gt;0,'Orçamento-TCE'!C168,"")</f>
        <v>15.5</v>
      </c>
      <c r="D168" s="461" t="str">
        <f>IF('Orçamento-TCE'!G168&gt;0,'Orçamento-TCE'!G168,"")</f>
        <v>POÇO DE VISITA TIPO B, 1,00x1,00x1,50m EM TIJOLO MACIÇO, SEM TAMPA (PV 03)</v>
      </c>
      <c r="E168" s="461">
        <f>IF('Orçamento-TCE'!H168&gt;0,'Orçamento-TCE'!H168,"")</f>
        <v>1</v>
      </c>
      <c r="F168" s="461" t="str">
        <f>IF('Orçamento-TCE'!I168&gt;0,'Orçamento-TCE'!I168,"")</f>
        <v>UN</v>
      </c>
      <c r="G168" s="460">
        <f>orcamento!K167</f>
        <v>2879.5</v>
      </c>
      <c r="H168" s="461">
        <f t="shared" si="2"/>
        <v>2879.5</v>
      </c>
      <c r="I168" s="462">
        <f>orcamento!J167</f>
        <v>0.24229999999999999</v>
      </c>
      <c r="J168" s="462">
        <v>1.1194999999999999</v>
      </c>
      <c r="K168" s="462"/>
      <c r="L168" s="476">
        <f>orcamento!M167</f>
        <v>971.93000000000006</v>
      </c>
      <c r="M168" s="476">
        <f>orcamento!L167</f>
        <v>1907.57</v>
      </c>
    </row>
    <row r="169" spans="1:13" x14ac:dyDescent="0.3">
      <c r="A169" s="474">
        <f>IF('Orçamento-TCE'!A169&gt;0,'Orçamento-TCE'!A169,"")</f>
        <v>1</v>
      </c>
      <c r="B169" s="475">
        <f>'Orçamento-TCE'!B169</f>
        <v>138</v>
      </c>
      <c r="C169" s="475" t="str">
        <f>IF('Orçamento-TCE'!C169&gt;0,'Orçamento-TCE'!C169,"")</f>
        <v>15.6</v>
      </c>
      <c r="D169" s="461" t="str">
        <f>IF('Orçamento-TCE'!G169&gt;0,'Orçamento-TCE'!G169,"")</f>
        <v>POÇO DE VISITA TIPO E, 1,50x1,50x2,30m EM TIJOLO MACIÇO, SEM TAMPA (PV 04)</v>
      </c>
      <c r="E169" s="461">
        <f>IF('Orçamento-TCE'!H169&gt;0,'Orçamento-TCE'!H169,"")</f>
        <v>1</v>
      </c>
      <c r="F169" s="461" t="str">
        <f>IF('Orçamento-TCE'!I169&gt;0,'Orçamento-TCE'!I169,"")</f>
        <v>UN</v>
      </c>
      <c r="G169" s="460">
        <f>orcamento!K168</f>
        <v>3008.4000000000005</v>
      </c>
      <c r="H169" s="461">
        <f t="shared" si="2"/>
        <v>3008.4</v>
      </c>
      <c r="I169" s="462">
        <f>orcamento!J168</f>
        <v>0.24229999999999999</v>
      </c>
      <c r="J169" s="462">
        <v>1.1194999999999999</v>
      </c>
      <c r="K169" s="462"/>
      <c r="L169" s="476">
        <f>orcamento!M168</f>
        <v>1275.17</v>
      </c>
      <c r="M169" s="476">
        <f>orcamento!L168</f>
        <v>1733.23</v>
      </c>
    </row>
    <row r="170" spans="1:13" x14ac:dyDescent="0.3">
      <c r="A170" s="474">
        <f>IF('Orçamento-TCE'!A170&gt;0,'Orçamento-TCE'!A170,"")</f>
        <v>1</v>
      </c>
      <c r="B170" s="475">
        <f>'Orçamento-TCE'!B170</f>
        <v>139</v>
      </c>
      <c r="C170" s="475" t="str">
        <f>IF('Orçamento-TCE'!C170&gt;0,'Orçamento-TCE'!C170,"")</f>
        <v>15.7</v>
      </c>
      <c r="D170" s="461" t="str">
        <f>IF('Orçamento-TCE'!G170&gt;0,'Orçamento-TCE'!G170,"")</f>
        <v>POÇO DE VISITA TIPO E, 1,20x1,20x1,49m EM TIJOLO MACIÇO, SEM TAMPA (PV 05)</v>
      </c>
      <c r="E170" s="461">
        <f>IF('Orçamento-TCE'!H170&gt;0,'Orçamento-TCE'!H170,"")</f>
        <v>1</v>
      </c>
      <c r="F170" s="461" t="str">
        <f>IF('Orçamento-TCE'!I170&gt;0,'Orçamento-TCE'!I170,"")</f>
        <v>UN</v>
      </c>
      <c r="G170" s="460">
        <f>orcamento!K169</f>
        <v>1251.0700000000002</v>
      </c>
      <c r="H170" s="461">
        <f t="shared" si="2"/>
        <v>1251.07</v>
      </c>
      <c r="I170" s="462">
        <f>orcamento!J169</f>
        <v>0.24229999999999999</v>
      </c>
      <c r="J170" s="462">
        <v>1.1194999999999999</v>
      </c>
      <c r="K170" s="462"/>
      <c r="L170" s="476">
        <f>orcamento!M169</f>
        <v>530.29</v>
      </c>
      <c r="M170" s="476">
        <f>orcamento!L169</f>
        <v>720.78</v>
      </c>
    </row>
    <row r="171" spans="1:13" x14ac:dyDescent="0.3">
      <c r="A171" s="474">
        <f>IF('Orçamento-TCE'!A171&gt;0,'Orçamento-TCE'!A171,"")</f>
        <v>1</v>
      </c>
      <c r="B171" s="475">
        <f>'Orçamento-TCE'!B171</f>
        <v>140</v>
      </c>
      <c r="C171" s="475" t="str">
        <f>IF('Orçamento-TCE'!C171&gt;0,'Orçamento-TCE'!C171,"")</f>
        <v>15.8</v>
      </c>
      <c r="D171" s="461" t="str">
        <f>IF('Orçamento-TCE'!G171&gt;0,'Orçamento-TCE'!G171,"")</f>
        <v>POÇO DE VISITA TIPO E, 1,20x1,20x1,33m EM TIJOLO MACIÇO, SEM TAMPA (PV 06)</v>
      </c>
      <c r="E171" s="461">
        <f>IF('Orçamento-TCE'!H171&gt;0,'Orçamento-TCE'!H171,"")</f>
        <v>1</v>
      </c>
      <c r="F171" s="461" t="str">
        <f>IF('Orçamento-TCE'!I171&gt;0,'Orçamento-TCE'!I171,"")</f>
        <v>UN</v>
      </c>
      <c r="G171" s="460">
        <f>orcamento!K170</f>
        <v>1117.24</v>
      </c>
      <c r="H171" s="461">
        <f t="shared" si="2"/>
        <v>1117.24</v>
      </c>
      <c r="I171" s="462">
        <f>orcamento!J170</f>
        <v>0.24229999999999999</v>
      </c>
      <c r="J171" s="462">
        <v>1.1194999999999999</v>
      </c>
      <c r="K171" s="462"/>
      <c r="L171" s="476">
        <f>orcamento!M170</f>
        <v>473.57000000000005</v>
      </c>
      <c r="M171" s="476">
        <f>orcamento!L170</f>
        <v>643.66999999999996</v>
      </c>
    </row>
    <row r="172" spans="1:13" x14ac:dyDescent="0.3">
      <c r="A172" s="474">
        <f>IF('Orçamento-TCE'!A172&gt;0,'Orçamento-TCE'!A172,"")</f>
        <v>1</v>
      </c>
      <c r="B172" s="475">
        <f>'Orçamento-TCE'!B172</f>
        <v>141</v>
      </c>
      <c r="C172" s="475" t="str">
        <f>IF('Orçamento-TCE'!C172&gt;0,'Orçamento-TCE'!C172,"")</f>
        <v>15.9</v>
      </c>
      <c r="D172" s="461" t="str">
        <f>IF('Orçamento-TCE'!G172&gt;0,'Orçamento-TCE'!G172,"")</f>
        <v>POÇO DE VISITA TIPO E, 1,20x1,20x1,59m EM TIJOLO MACIÇO, SEM TAMPA (PV 07)</v>
      </c>
      <c r="E172" s="461">
        <f>IF('Orçamento-TCE'!H172&gt;0,'Orçamento-TCE'!H172,"")</f>
        <v>1</v>
      </c>
      <c r="F172" s="461" t="str">
        <f>IF('Orçamento-TCE'!I172&gt;0,'Orçamento-TCE'!I172,"")</f>
        <v>UN</v>
      </c>
      <c r="G172" s="460">
        <f>orcamento!K171</f>
        <v>1332.54</v>
      </c>
      <c r="H172" s="461">
        <f t="shared" si="2"/>
        <v>1332.54</v>
      </c>
      <c r="I172" s="462">
        <f>orcamento!J171</f>
        <v>0.24229999999999999</v>
      </c>
      <c r="J172" s="462">
        <v>1.1194999999999999</v>
      </c>
      <c r="K172" s="462"/>
      <c r="L172" s="476">
        <f>orcamento!M171</f>
        <v>564.82999999999993</v>
      </c>
      <c r="M172" s="476">
        <f>orcamento!L171</f>
        <v>767.71</v>
      </c>
    </row>
    <row r="173" spans="1:13" x14ac:dyDescent="0.3">
      <c r="A173" s="474">
        <f>IF('Orçamento-TCE'!A173&gt;0,'Orçamento-TCE'!A173,"")</f>
        <v>1</v>
      </c>
      <c r="B173" s="475">
        <f>'Orçamento-TCE'!B173</f>
        <v>142</v>
      </c>
      <c r="C173" s="475" t="str">
        <f>IF('Orçamento-TCE'!C173&gt;0,'Orçamento-TCE'!C173,"")</f>
        <v>15.10</v>
      </c>
      <c r="D173" s="461" t="str">
        <f>IF('Orçamento-TCE'!G173&gt;0,'Orçamento-TCE'!G173,"")</f>
        <v>TAMPA FOFO ARTICULADO, COM BASE / REQUADRO, CLASSE D400 CARGA MAX 40 T, REDONDO, Ø600 MM (COM INSCRICAO EM RELEVO DO TIPO DE REDE)</v>
      </c>
      <c r="E173" s="461">
        <f>IF('Orçamento-TCE'!H173&gt;0,'Orçamento-TCE'!H173,"")</f>
        <v>1</v>
      </c>
      <c r="F173" s="461" t="str">
        <f>IF('Orçamento-TCE'!I173&gt;0,'Orçamento-TCE'!I173,"")</f>
        <v>UN</v>
      </c>
      <c r="G173" s="460">
        <f>orcamento!K172</f>
        <v>845.8</v>
      </c>
      <c r="H173" s="461">
        <f t="shared" si="2"/>
        <v>845.8</v>
      </c>
      <c r="I173" s="462">
        <f>orcamento!J172</f>
        <v>0.24229999999999999</v>
      </c>
      <c r="J173" s="462">
        <v>1.1194999999999999</v>
      </c>
      <c r="K173" s="462"/>
      <c r="L173" s="476">
        <f>orcamento!M172</f>
        <v>816.88</v>
      </c>
      <c r="M173" s="476">
        <f>orcamento!L172</f>
        <v>28.92</v>
      </c>
    </row>
    <row r="174" spans="1:13" x14ac:dyDescent="0.3">
      <c r="A174" s="474">
        <f>IF('Orçamento-TCE'!A174&gt;0,'Orçamento-TCE'!A174,"")</f>
        <v>1</v>
      </c>
      <c r="B174" s="475">
        <f>'Orçamento-TCE'!B174</f>
        <v>143</v>
      </c>
      <c r="C174" s="475" t="str">
        <f>IF('Orçamento-TCE'!C174&gt;0,'Orçamento-TCE'!C174,"")</f>
        <v>15.11</v>
      </c>
      <c r="D174" s="461" t="str">
        <f>IF('Orçamento-TCE'!G174&gt;0,'Orçamento-TCE'!G174,"")</f>
        <v>TAMPA EM CONCRETO PRÉ-MOLDADO FCK = 30MPA PARA ESGOTO E DRENAGEM</v>
      </c>
      <c r="E174" s="461">
        <f>IF('Orçamento-TCE'!H174&gt;0,'Orçamento-TCE'!H174,"")</f>
        <v>1.22</v>
      </c>
      <c r="F174" s="461" t="str">
        <f>IF('Orçamento-TCE'!I174&gt;0,'Orçamento-TCE'!I174,"")</f>
        <v>M3</v>
      </c>
      <c r="G174" s="460">
        <f>orcamento!K173</f>
        <v>2987.0499999999997</v>
      </c>
      <c r="H174" s="461">
        <f t="shared" si="2"/>
        <v>3644.2</v>
      </c>
      <c r="I174" s="462">
        <f>orcamento!J173</f>
        <v>0.24229999999999999</v>
      </c>
      <c r="J174" s="462">
        <v>1.1194999999999999</v>
      </c>
      <c r="K174" s="462"/>
      <c r="L174" s="476">
        <f>orcamento!M173</f>
        <v>2014.4999999999998</v>
      </c>
      <c r="M174" s="476">
        <f>orcamento!L173</f>
        <v>1629.7</v>
      </c>
    </row>
    <row r="175" spans="1:13" x14ac:dyDescent="0.3">
      <c r="A175" s="474"/>
      <c r="B175" s="475"/>
      <c r="C175" s="475"/>
      <c r="D175" s="461"/>
      <c r="E175" s="461"/>
      <c r="F175" s="461"/>
      <c r="G175" s="460"/>
      <c r="H175" s="461"/>
      <c r="I175" s="462"/>
      <c r="J175" s="462"/>
      <c r="K175" s="462"/>
      <c r="L175" s="476"/>
      <c r="M175" s="476"/>
    </row>
    <row r="176" spans="1:13" x14ac:dyDescent="0.3">
      <c r="A176" s="474">
        <f>IF('Orçamento-TCE'!A176&gt;0,'Orçamento-TCE'!A176,"")</f>
        <v>1</v>
      </c>
      <c r="B176" s="475">
        <f>'Orçamento-TCE'!B176</f>
        <v>144</v>
      </c>
      <c r="C176" s="475" t="str">
        <f>IF('Orçamento-TCE'!C176&gt;0,'Orçamento-TCE'!C176,"")</f>
        <v>16.1</v>
      </c>
      <c r="D176" s="461" t="str">
        <f>IF('Orçamento-TCE'!G176&gt;0,'Orçamento-TCE'!G176,"")</f>
        <v>ENVELOPAMENTO EM CONCRETO USINADO FCK = 20MPA</v>
      </c>
      <c r="E176" s="461">
        <f>IF('Orçamento-TCE'!H176&gt;0,'Orçamento-TCE'!H176,"")</f>
        <v>14.09</v>
      </c>
      <c r="F176" s="461" t="str">
        <f>IF('Orçamento-TCE'!I176&gt;0,'Orçamento-TCE'!I176,"")</f>
        <v>M3</v>
      </c>
      <c r="G176" s="460">
        <f>orcamento!K175</f>
        <v>1026.3100000000002</v>
      </c>
      <c r="H176" s="461">
        <f t="shared" si="2"/>
        <v>14460.71</v>
      </c>
      <c r="I176" s="462">
        <f>orcamento!J175</f>
        <v>0.24229999999999999</v>
      </c>
      <c r="J176" s="462">
        <v>1.1194999999999999</v>
      </c>
      <c r="K176" s="462"/>
      <c r="L176" s="476">
        <f>orcamento!M175</f>
        <v>14052.529999999999</v>
      </c>
      <c r="M176" s="476">
        <f>orcamento!L175</f>
        <v>408.18</v>
      </c>
    </row>
    <row r="177" spans="1:13" x14ac:dyDescent="0.3">
      <c r="A177" s="474">
        <f>IF('Orçamento-TCE'!A177&gt;0,'Orçamento-TCE'!A177,"")</f>
        <v>1</v>
      </c>
      <c r="B177" s="475">
        <f>'Orçamento-TCE'!B177</f>
        <v>145</v>
      </c>
      <c r="C177" s="475" t="str">
        <f>IF('Orçamento-TCE'!C177&gt;0,'Orçamento-TCE'!C177,"")</f>
        <v>16.2</v>
      </c>
      <c r="D177" s="461" t="str">
        <f>IF('Orçamento-TCE'!G177&gt;0,'Orçamento-TCE'!G177,"")</f>
        <v>CONCRETO ARMADO PARA ALA DE DRENAGEM, INCLUSO FORMA</v>
      </c>
      <c r="E177" s="461">
        <f>IF('Orçamento-TCE'!H177&gt;0,'Orçamento-TCE'!H177,"")</f>
        <v>0.57999999999999996</v>
      </c>
      <c r="F177" s="461" t="str">
        <f>IF('Orçamento-TCE'!I177&gt;0,'Orçamento-TCE'!I177,"")</f>
        <v>M3</v>
      </c>
      <c r="G177" s="460">
        <f>orcamento!K176</f>
        <v>3287.49</v>
      </c>
      <c r="H177" s="461">
        <f t="shared" si="2"/>
        <v>1906.74</v>
      </c>
      <c r="I177" s="462">
        <f>orcamento!J176</f>
        <v>0.24229999999999999</v>
      </c>
      <c r="J177" s="462">
        <v>1.1194999999999999</v>
      </c>
      <c r="K177" s="462"/>
      <c r="L177" s="476">
        <f>orcamento!M176</f>
        <v>1406.02</v>
      </c>
      <c r="M177" s="476">
        <f>orcamento!L176</f>
        <v>500.72</v>
      </c>
    </row>
    <row r="178" spans="1:13" x14ac:dyDescent="0.3">
      <c r="A178" s="474">
        <f>IF('Orçamento-TCE'!A178&gt;0,'Orçamento-TCE'!A178,"")</f>
        <v>1</v>
      </c>
      <c r="B178" s="475">
        <f>'Orçamento-TCE'!B178</f>
        <v>146</v>
      </c>
      <c r="C178" s="475" t="str">
        <f>IF('Orçamento-TCE'!C178&gt;0,'Orçamento-TCE'!C178,"")</f>
        <v>16.3</v>
      </c>
      <c r="D178" s="461" t="str">
        <f>IF('Orçamento-TCE'!G178&gt;0,'Orçamento-TCE'!G178,"")</f>
        <v>ALVENARIA DE PEDRA GRANITICA, E=25CM</v>
      </c>
      <c r="E178" s="461">
        <f>IF('Orçamento-TCE'!H178&gt;0,'Orçamento-TCE'!H178,"")</f>
        <v>2.78</v>
      </c>
      <c r="F178" s="461" t="str">
        <f>IF('Orçamento-TCE'!I178&gt;0,'Orçamento-TCE'!I178,"")</f>
        <v>M2</v>
      </c>
      <c r="G178" s="460">
        <f>orcamento!K177</f>
        <v>131.04</v>
      </c>
      <c r="H178" s="461">
        <f t="shared" si="2"/>
        <v>364.29</v>
      </c>
      <c r="I178" s="462">
        <f>orcamento!J177</f>
        <v>0.24229999999999999</v>
      </c>
      <c r="J178" s="462">
        <v>1.1194999999999999</v>
      </c>
      <c r="K178" s="462"/>
      <c r="L178" s="476">
        <f>orcamento!M177</f>
        <v>151.90000000000003</v>
      </c>
      <c r="M178" s="476">
        <f>orcamento!L177</f>
        <v>212.39</v>
      </c>
    </row>
    <row r="179" spans="1:13" x14ac:dyDescent="0.3">
      <c r="A179" s="474">
        <f>IF('Orçamento-TCE'!A179&gt;0,'Orçamento-TCE'!A179,"")</f>
        <v>1</v>
      </c>
      <c r="B179" s="475">
        <f>'Orçamento-TCE'!B179</f>
        <v>147</v>
      </c>
      <c r="C179" s="475" t="str">
        <f>IF('Orçamento-TCE'!C179&gt;0,'Orçamento-TCE'!C179,"")</f>
        <v>16.4</v>
      </c>
      <c r="D179" s="461" t="str">
        <f>IF('Orçamento-TCE'!G179&gt;0,'Orçamento-TCE'!G179,"")</f>
        <v>CONSTRUÇÃO DE BASE E SUB-BASE PARA PAVIMENTAÇÃO DE RACHÃO, COM ESPESSURA DE 30 CM - EXCLUSIVE CARGA E TRANSPORTE. AF_09/2024</v>
      </c>
      <c r="E179" s="461">
        <f>IF('Orçamento-TCE'!H179&gt;0,'Orçamento-TCE'!H179,"")</f>
        <v>47.58</v>
      </c>
      <c r="F179" s="461" t="str">
        <f>IF('Orçamento-TCE'!I179&gt;0,'Orçamento-TCE'!I179,"")</f>
        <v>M3</v>
      </c>
      <c r="G179" s="460">
        <f>orcamento!K178</f>
        <v>154.91</v>
      </c>
      <c r="H179" s="461">
        <f t="shared" si="2"/>
        <v>7370.62</v>
      </c>
      <c r="I179" s="462">
        <f>orcamento!J178</f>
        <v>0.24229999999999999</v>
      </c>
      <c r="J179" s="462">
        <v>1.1194999999999999</v>
      </c>
      <c r="K179" s="462"/>
      <c r="L179" s="476">
        <f>orcamento!M178</f>
        <v>6927.18</v>
      </c>
      <c r="M179" s="476">
        <f>orcamento!L178</f>
        <v>443.44</v>
      </c>
    </row>
    <row r="180" spans="1:13" x14ac:dyDescent="0.3">
      <c r="A180" s="474">
        <f>IF('Orçamento-TCE'!A180&gt;0,'Orçamento-TCE'!A180,"")</f>
        <v>1</v>
      </c>
      <c r="B180" s="475">
        <f>'Orçamento-TCE'!B180</f>
        <v>148</v>
      </c>
      <c r="C180" s="475" t="str">
        <f>IF('Orçamento-TCE'!C180&gt;0,'Orçamento-TCE'!C180,"")</f>
        <v>16.5</v>
      </c>
      <c r="D180" s="461" t="str">
        <f>IF('Orçamento-TCE'!G180&gt;0,'Orçamento-TCE'!G180,"")</f>
        <v>CONSTRUÇÃO DE BASE E SUB-BASE PARA PAVIMENTAÇÃO DE BRITA GRADUADA SIMPLES, COM ESPESSURA DE 20 CM - EXCLUSIVE CARGA E TRANSPORTE. AF_09/2024</v>
      </c>
      <c r="E180" s="461">
        <f>IF('Orçamento-TCE'!H180&gt;0,'Orçamento-TCE'!H180,"")</f>
        <v>47.58</v>
      </c>
      <c r="F180" s="461" t="str">
        <f>IF('Orçamento-TCE'!I180&gt;0,'Orçamento-TCE'!I180,"")</f>
        <v>M3</v>
      </c>
      <c r="G180" s="460">
        <f>orcamento!K179</f>
        <v>221.79</v>
      </c>
      <c r="H180" s="461">
        <f t="shared" si="2"/>
        <v>10552.77</v>
      </c>
      <c r="I180" s="462">
        <f>orcamento!J179</f>
        <v>0.24229999999999999</v>
      </c>
      <c r="J180" s="462">
        <v>1.1194999999999999</v>
      </c>
      <c r="K180" s="462"/>
      <c r="L180" s="476">
        <f>orcamento!M179</f>
        <v>10037.48</v>
      </c>
      <c r="M180" s="476">
        <f>orcamento!L179</f>
        <v>515.29</v>
      </c>
    </row>
    <row r="181" spans="1:13" x14ac:dyDescent="0.3">
      <c r="A181" s="474">
        <f>IF('Orçamento-TCE'!A181&gt;0,'Orçamento-TCE'!A181,"")</f>
        <v>1</v>
      </c>
      <c r="B181" s="475">
        <f>'Orçamento-TCE'!B181</f>
        <v>149</v>
      </c>
      <c r="C181" s="475" t="str">
        <f>IF('Orçamento-TCE'!C181&gt;0,'Orçamento-TCE'!C181,"")</f>
        <v>16.6</v>
      </c>
      <c r="D181" s="461" t="str">
        <f>IF('Orçamento-TCE'!G181&gt;0,'Orçamento-TCE'!G181,"")</f>
        <v>IMPRIMAÇÃO ASFÁLTICA - FORNECIMENTO</v>
      </c>
      <c r="E181" s="461">
        <f>IF('Orçamento-TCE'!H181&gt;0,'Orçamento-TCE'!H181,"")</f>
        <v>0.38</v>
      </c>
      <c r="F181" s="461" t="str">
        <f>IF('Orçamento-TCE'!I181&gt;0,'Orçamento-TCE'!I181,"")</f>
        <v>T</v>
      </c>
      <c r="G181" s="460">
        <f>orcamento!K180</f>
        <v>5076.9800000000005</v>
      </c>
      <c r="H181" s="461">
        <f t="shared" si="2"/>
        <v>1929.25</v>
      </c>
      <c r="I181" s="462">
        <f>orcamento!J180</f>
        <v>0.24229999999999999</v>
      </c>
      <c r="J181" s="462">
        <v>1.1194999999999999</v>
      </c>
      <c r="K181" s="462"/>
      <c r="L181" s="476">
        <f>orcamento!M180</f>
        <v>1929.25</v>
      </c>
      <c r="M181" s="476">
        <f>orcamento!L180</f>
        <v>0</v>
      </c>
    </row>
    <row r="182" spans="1:13" x14ac:dyDescent="0.3">
      <c r="A182" s="474">
        <f>IF('Orçamento-TCE'!A182&gt;0,'Orçamento-TCE'!A182,"")</f>
        <v>1</v>
      </c>
      <c r="B182" s="475">
        <f>'Orçamento-TCE'!B182</f>
        <v>150</v>
      </c>
      <c r="C182" s="475" t="str">
        <f>IF('Orçamento-TCE'!C182&gt;0,'Orçamento-TCE'!C182,"")</f>
        <v>16.7</v>
      </c>
      <c r="D182" s="461" t="str">
        <f>IF('Orçamento-TCE'!G182&gt;0,'Orçamento-TCE'!G182,"")</f>
        <v>IMPRIMAÇÃO ASFALTICA - TRANSPORTE</v>
      </c>
      <c r="E182" s="461">
        <f>IF('Orçamento-TCE'!H182&gt;0,'Orçamento-TCE'!H182,"")</f>
        <v>0.38</v>
      </c>
      <c r="F182" s="461" t="str">
        <f>IF('Orçamento-TCE'!I182&gt;0,'Orçamento-TCE'!I182,"")</f>
        <v>T</v>
      </c>
      <c r="G182" s="460">
        <f>orcamento!K181</f>
        <v>123.69999999999999</v>
      </c>
      <c r="H182" s="461">
        <f t="shared" si="2"/>
        <v>47.01</v>
      </c>
      <c r="I182" s="462">
        <f>orcamento!J181</f>
        <v>0.24229999999999999</v>
      </c>
      <c r="J182" s="462">
        <v>1.1194999999999999</v>
      </c>
      <c r="K182" s="462"/>
      <c r="L182" s="476">
        <f>orcamento!M181</f>
        <v>47.01</v>
      </c>
      <c r="M182" s="476">
        <f>orcamento!L181</f>
        <v>0</v>
      </c>
    </row>
    <row r="183" spans="1:13" x14ac:dyDescent="0.3">
      <c r="A183" s="474">
        <f>IF('Orçamento-TCE'!A183&gt;0,'Orçamento-TCE'!A183,"")</f>
        <v>1</v>
      </c>
      <c r="B183" s="475">
        <f>'Orçamento-TCE'!B183</f>
        <v>151</v>
      </c>
      <c r="C183" s="475" t="str">
        <f>IF('Orçamento-TCE'!C183&gt;0,'Orçamento-TCE'!C183,"")</f>
        <v>16.8</v>
      </c>
      <c r="D183" s="461" t="str">
        <f>IF('Orçamento-TCE'!G183&gt;0,'Orçamento-TCE'!G183,"")</f>
        <v>IMPRIMAÇÃO ASFÁLTICA - APLICAÇÃO</v>
      </c>
      <c r="E183" s="461">
        <f>IF('Orçamento-TCE'!H183&gt;0,'Orçamento-TCE'!H183,"")</f>
        <v>317.17</v>
      </c>
      <c r="F183" s="461" t="str">
        <f>IF('Orçamento-TCE'!I183&gt;0,'Orçamento-TCE'!I183,"")</f>
        <v>M2</v>
      </c>
      <c r="G183" s="460">
        <f>orcamento!K182</f>
        <v>1.61</v>
      </c>
      <c r="H183" s="461">
        <f t="shared" si="2"/>
        <v>510.64</v>
      </c>
      <c r="I183" s="462">
        <f>orcamento!J182</f>
        <v>0.24229999999999999</v>
      </c>
      <c r="J183" s="462">
        <v>1.1194999999999999</v>
      </c>
      <c r="K183" s="462"/>
      <c r="L183" s="476">
        <f>orcamento!M182</f>
        <v>307.65999999999997</v>
      </c>
      <c r="M183" s="476">
        <f>orcamento!L182</f>
        <v>202.98</v>
      </c>
    </row>
    <row r="184" spans="1:13" x14ac:dyDescent="0.3">
      <c r="A184" s="474">
        <f>IF('Orçamento-TCE'!A184&gt;0,'Orçamento-TCE'!A184,"")</f>
        <v>1</v>
      </c>
      <c r="B184" s="475">
        <f>'Orçamento-TCE'!B184</f>
        <v>152</v>
      </c>
      <c r="C184" s="475" t="str">
        <f>IF('Orçamento-TCE'!C184&gt;0,'Orçamento-TCE'!C184,"")</f>
        <v>16.9</v>
      </c>
      <c r="D184" s="461" t="str">
        <f>IF('Orçamento-TCE'!G184&gt;0,'Orçamento-TCE'!G184,"")</f>
        <v>USINAGEM CBUQ, INCLUSO FORNECIMENTO DE CONCRETO ASFALTICO (EXCETO CAP) E TRANSPORTE DA JAZIDA ATE PAVIMENTADORA, EXCLUSIVE TRANSPORTE ATE OBRA</v>
      </c>
      <c r="E184" s="461">
        <f>IF('Orçamento-TCE'!H184&gt;0,'Orçamento-TCE'!H184,"")</f>
        <v>35.9</v>
      </c>
      <c r="F184" s="461" t="str">
        <f>IF('Orçamento-TCE'!I184&gt;0,'Orçamento-TCE'!I184,"")</f>
        <v>T</v>
      </c>
      <c r="G184" s="460">
        <f>orcamento!K183</f>
        <v>307.23</v>
      </c>
      <c r="H184" s="461">
        <f t="shared" si="2"/>
        <v>11029.56</v>
      </c>
      <c r="I184" s="462">
        <f>orcamento!J183</f>
        <v>0.24229999999999999</v>
      </c>
      <c r="J184" s="462">
        <v>1.1194999999999999</v>
      </c>
      <c r="K184" s="462"/>
      <c r="L184" s="476">
        <f>orcamento!M183</f>
        <v>10829.96</v>
      </c>
      <c r="M184" s="476">
        <f>orcamento!L183</f>
        <v>199.6</v>
      </c>
    </row>
    <row r="185" spans="1:13" x14ac:dyDescent="0.3">
      <c r="A185" s="474">
        <f>IF('Orçamento-TCE'!A185&gt;0,'Orçamento-TCE'!A185,"")</f>
        <v>1</v>
      </c>
      <c r="B185" s="475">
        <f>'Orçamento-TCE'!B185</f>
        <v>153</v>
      </c>
      <c r="C185" s="475" t="str">
        <f>IF('Orçamento-TCE'!C185&gt;0,'Orçamento-TCE'!C185,"")</f>
        <v>16.10</v>
      </c>
      <c r="D185" s="461" t="str">
        <f>IF('Orçamento-TCE'!G185&gt;0,'Orçamento-TCE'!G185,"")</f>
        <v>FORNECIMENTO DE CAP PARA PAVIMENTO DE CONCRETO ASFÁLTICO, INCLUSIVE TRANSPORTE ATE PAVIMENTADORA</v>
      </c>
      <c r="E185" s="461">
        <f>IF('Orçamento-TCE'!H185&gt;0,'Orçamento-TCE'!H185,"")</f>
        <v>2.15</v>
      </c>
      <c r="F185" s="461" t="str">
        <f>IF('Orçamento-TCE'!I185&gt;0,'Orçamento-TCE'!I185,"")</f>
        <v>T</v>
      </c>
      <c r="G185" s="460">
        <f>orcamento!K184</f>
        <v>7434.92</v>
      </c>
      <c r="H185" s="461">
        <f t="shared" si="2"/>
        <v>15985.08</v>
      </c>
      <c r="I185" s="462">
        <f>orcamento!J184</f>
        <v>0.24229999999999999</v>
      </c>
      <c r="J185" s="462">
        <v>1.1194999999999999</v>
      </c>
      <c r="K185" s="462"/>
      <c r="L185" s="476">
        <f>orcamento!M184</f>
        <v>15985.08</v>
      </c>
      <c r="M185" s="476">
        <f>orcamento!L184</f>
        <v>0</v>
      </c>
    </row>
    <row r="186" spans="1:13" x14ac:dyDescent="0.3">
      <c r="A186" s="474">
        <f>IF('Orçamento-TCE'!A186&gt;0,'Orçamento-TCE'!A186,"")</f>
        <v>1</v>
      </c>
      <c r="B186" s="475">
        <f>'Orçamento-TCE'!B186</f>
        <v>154</v>
      </c>
      <c r="C186" s="475" t="str">
        <f>IF('Orçamento-TCE'!C186&gt;0,'Orçamento-TCE'!C186,"")</f>
        <v>16.11</v>
      </c>
      <c r="D186" s="461" t="str">
        <f>IF('Orçamento-TCE'!G186&gt;0,'Orçamento-TCE'!G186,"")</f>
        <v>EXECUÇÃO DE PAVIMENTO COM APLICAÇÃO DE CONCRETO ASFÁLTICO, CAMADA DE ROLAMENTO, EXCLUSIVE CARGA E TRANSPORTE</v>
      </c>
      <c r="E186" s="461">
        <f>IF('Orçamento-TCE'!H186&gt;0,'Orçamento-TCE'!H186,"")</f>
        <v>15.86</v>
      </c>
      <c r="F186" s="461" t="str">
        <f>IF('Orçamento-TCE'!I186&gt;0,'Orçamento-TCE'!I186,"")</f>
        <v>M3</v>
      </c>
      <c r="G186" s="460">
        <f>orcamento!K185</f>
        <v>163.09</v>
      </c>
      <c r="H186" s="461">
        <f t="shared" si="2"/>
        <v>2586.61</v>
      </c>
      <c r="I186" s="462">
        <f>orcamento!J185</f>
        <v>0.24229999999999999</v>
      </c>
      <c r="J186" s="462">
        <v>1.1194999999999999</v>
      </c>
      <c r="K186" s="462"/>
      <c r="L186" s="476">
        <f>orcamento!M185</f>
        <v>1610.4300000000003</v>
      </c>
      <c r="M186" s="476">
        <f>orcamento!L185</f>
        <v>976.18</v>
      </c>
    </row>
    <row r="187" spans="1:13" x14ac:dyDescent="0.3">
      <c r="A187" s="474">
        <f>IF('Orçamento-TCE'!A187&gt;0,'Orçamento-TCE'!A187,"")</f>
        <v>1</v>
      </c>
      <c r="B187" s="475">
        <f>'Orçamento-TCE'!B187</f>
        <v>155</v>
      </c>
      <c r="C187" s="475" t="str">
        <f>IF('Orçamento-TCE'!C187&gt;0,'Orçamento-TCE'!C187,"")</f>
        <v>16.12</v>
      </c>
      <c r="D187" s="461" t="str">
        <f>IF('Orçamento-TCE'!G187&gt;0,'Orçamento-TCE'!G187,"")</f>
        <v>CARGA, MANOBRA E DESCARGA DE SOLOS E MATERIAIS GRANULARES EM CAMINHÃO BASCULANTE 10 M³ - CARGA COM ESCAVADEIRA HIDRÁULICA (CAÇAMBA DE 1,20 M³ / 155 HP) E DESCARGA LIVRE (UNIDADE: M3). AF_02/2026</v>
      </c>
      <c r="E187" s="461">
        <f>IF('Orçamento-TCE'!H187&gt;0,'Orçamento-TCE'!H187,"")</f>
        <v>158.6</v>
      </c>
      <c r="F187" s="461" t="str">
        <f>IF('Orçamento-TCE'!I187&gt;0,'Orçamento-TCE'!I187,"")</f>
        <v>M3</v>
      </c>
      <c r="G187" s="460">
        <f>orcamento!K186</f>
        <v>9.2200000000000006</v>
      </c>
      <c r="H187" s="461">
        <f t="shared" si="2"/>
        <v>1462.29</v>
      </c>
      <c r="I187" s="462">
        <f>orcamento!J186</f>
        <v>0.24229999999999999</v>
      </c>
      <c r="J187" s="462">
        <v>1.1194999999999999</v>
      </c>
      <c r="K187" s="462"/>
      <c r="L187" s="476">
        <f>orcamento!M186</f>
        <v>1230.74</v>
      </c>
      <c r="M187" s="476">
        <f>orcamento!L186</f>
        <v>231.55</v>
      </c>
    </row>
    <row r="188" spans="1:13" x14ac:dyDescent="0.3">
      <c r="A188" s="474">
        <f>IF('Orçamento-TCE'!A188&gt;0,'Orçamento-TCE'!A188,"")</f>
        <v>1</v>
      </c>
      <c r="B188" s="475">
        <f>'Orçamento-TCE'!B188</f>
        <v>156</v>
      </c>
      <c r="C188" s="475" t="str">
        <f>IF('Orçamento-TCE'!C188&gt;0,'Orçamento-TCE'!C188,"")</f>
        <v>16.13</v>
      </c>
      <c r="D188" s="461" t="str">
        <f>IF('Orçamento-TCE'!G188&gt;0,'Orçamento-TCE'!G188,"")</f>
        <v>TRANSPORTE COM CAMINHÃO BASCULANTE DE 10 M³, EM VIA URBANA PAVIMENTADA, DMT ATÉ 30 KM (UNIDADE: M3XKM). AF_02/2026</v>
      </c>
      <c r="E188" s="461">
        <f>IF('Orçamento-TCE'!H188&gt;0,'Orçamento-TCE'!H188,"")</f>
        <v>1046.76</v>
      </c>
      <c r="F188" s="461" t="str">
        <f>IF('Orçamento-TCE'!I188&gt;0,'Orçamento-TCE'!I188,"")</f>
        <v>M3XKM</v>
      </c>
      <c r="G188" s="460">
        <f>orcamento!K187</f>
        <v>3.52</v>
      </c>
      <c r="H188" s="461">
        <f t="shared" si="2"/>
        <v>3684.6</v>
      </c>
      <c r="I188" s="462">
        <f>orcamento!J187</f>
        <v>0.24229999999999999</v>
      </c>
      <c r="J188" s="462">
        <v>1.1194999999999999</v>
      </c>
      <c r="K188" s="462"/>
      <c r="L188" s="476">
        <f>orcamento!M187</f>
        <v>3244.97</v>
      </c>
      <c r="M188" s="476">
        <f>orcamento!L187</f>
        <v>439.63</v>
      </c>
    </row>
    <row r="189" spans="1:13" x14ac:dyDescent="0.3">
      <c r="A189" s="474"/>
      <c r="B189" s="475"/>
      <c r="C189" s="475"/>
      <c r="D189" s="461"/>
      <c r="E189" s="461"/>
      <c r="F189" s="461"/>
      <c r="G189" s="460"/>
      <c r="H189" s="461"/>
      <c r="I189" s="462"/>
      <c r="J189" s="462"/>
      <c r="K189" s="462"/>
      <c r="L189" s="476"/>
      <c r="M189" s="476"/>
    </row>
    <row r="190" spans="1:13" x14ac:dyDescent="0.3">
      <c r="A190" s="474">
        <f>IF('Orçamento-TCE'!A190&gt;0,'Orçamento-TCE'!A190,"")</f>
        <v>1</v>
      </c>
      <c r="B190" s="475">
        <f>'Orçamento-TCE'!B190</f>
        <v>157</v>
      </c>
      <c r="C190" s="475" t="str">
        <f>IF('Orçamento-TCE'!C190&gt;0,'Orçamento-TCE'!C190,"")</f>
        <v>17.1</v>
      </c>
      <c r="D190" s="461" t="str">
        <f>IF('Orçamento-TCE'!G190&gt;0,'Orçamento-TCE'!G190,"")</f>
        <v>LIMPEZA FINAL DE PAVIMENTOS</v>
      </c>
      <c r="E190" s="461">
        <f>IF('Orçamento-TCE'!H190&gt;0,'Orçamento-TCE'!H190,"")</f>
        <v>1320.07</v>
      </c>
      <c r="F190" s="461" t="str">
        <f>IF('Orçamento-TCE'!I190&gt;0,'Orçamento-TCE'!I190,"")</f>
        <v>M2</v>
      </c>
      <c r="G190" s="460">
        <f>orcamento!K189</f>
        <v>0.88</v>
      </c>
      <c r="H190" s="461">
        <f t="shared" si="2"/>
        <v>1161.6600000000001</v>
      </c>
      <c r="I190" s="462">
        <f>orcamento!J189</f>
        <v>0.24229999999999999</v>
      </c>
      <c r="J190" s="462">
        <v>1.1194999999999999</v>
      </c>
      <c r="K190" s="462"/>
      <c r="L190" s="476">
        <f>orcamento!M189</f>
        <v>0</v>
      </c>
      <c r="M190" s="476">
        <f>orcamento!L189</f>
        <v>1161.6600000000001</v>
      </c>
    </row>
    <row r="191" spans="1:13" x14ac:dyDescent="0.3">
      <c r="A191" s="474">
        <f>IF('Orçamento-TCE'!A191&gt;0,'Orçamento-TCE'!A191,"")</f>
        <v>1</v>
      </c>
      <c r="B191" s="475">
        <f>'Orçamento-TCE'!B191</f>
        <v>158</v>
      </c>
      <c r="C191" s="475" t="str">
        <f>IF('Orçamento-TCE'!C191&gt;0,'Orçamento-TCE'!C191,"")</f>
        <v>17.2</v>
      </c>
      <c r="D191" s="461" t="str">
        <f>IF('Orçamento-TCE'!G191&gt;0,'Orçamento-TCE'!G191,"")</f>
        <v>DESMOBILIZAÇÃO EQUIPAMENTOS AUTOPROPELIDOS E LEVES</v>
      </c>
      <c r="E191" s="461">
        <f>IF('Orçamento-TCE'!H191&gt;0,'Orçamento-TCE'!H191,"")</f>
        <v>1</v>
      </c>
      <c r="F191" s="461" t="str">
        <f>IF('Orçamento-TCE'!I191&gt;0,'Orçamento-TCE'!I191,"")</f>
        <v>UN</v>
      </c>
      <c r="G191" s="460">
        <f>orcamento!K190</f>
        <v>4261.45</v>
      </c>
      <c r="H191" s="461">
        <f t="shared" si="2"/>
        <v>4261.45</v>
      </c>
      <c r="I191" s="462">
        <f>orcamento!J190</f>
        <v>0.24229999999999999</v>
      </c>
      <c r="J191" s="462">
        <v>1.1194999999999999</v>
      </c>
      <c r="K191" s="462"/>
      <c r="L191" s="476">
        <f>orcamento!M190</f>
        <v>3608.37</v>
      </c>
      <c r="M191" s="476">
        <f>orcamento!L190</f>
        <v>653.08000000000004</v>
      </c>
    </row>
    <row r="192" spans="1:13" x14ac:dyDescent="0.3">
      <c r="A192" s="474">
        <f>IF('Orçamento-TCE'!A192&gt;0,'Orçamento-TCE'!A192,"")</f>
        <v>1</v>
      </c>
      <c r="B192" s="475">
        <f>'Orçamento-TCE'!B192</f>
        <v>159</v>
      </c>
      <c r="C192" s="475" t="str">
        <f>IF('Orçamento-TCE'!C192&gt;0,'Orçamento-TCE'!C192,"")</f>
        <v>17.3</v>
      </c>
      <c r="D192" s="461" t="str">
        <f>IF('Orçamento-TCE'!G192&gt;0,'Orçamento-TCE'!G192,"")</f>
        <v>FRETE CONTAINER</v>
      </c>
      <c r="E192" s="461">
        <f>IF('Orçamento-TCE'!H192&gt;0,'Orçamento-TCE'!H192,"")</f>
        <v>2</v>
      </c>
      <c r="F192" s="461" t="str">
        <f>IF('Orçamento-TCE'!I192&gt;0,'Orçamento-TCE'!I192,"")</f>
        <v>UN</v>
      </c>
      <c r="G192" s="460">
        <f>orcamento!K191</f>
        <v>780.95</v>
      </c>
      <c r="H192" s="461">
        <f t="shared" si="2"/>
        <v>1561.9</v>
      </c>
      <c r="I192" s="462">
        <f>orcamento!J191</f>
        <v>0.24229999999999999</v>
      </c>
      <c r="J192" s="462">
        <v>1.1194999999999999</v>
      </c>
      <c r="K192" s="462"/>
      <c r="L192" s="476">
        <f>orcamento!M191</f>
        <v>1332.4</v>
      </c>
      <c r="M192" s="476">
        <f>orcamento!L191</f>
        <v>229.5</v>
      </c>
    </row>
    <row r="193" spans="1:13" x14ac:dyDescent="0.3">
      <c r="A193" s="474">
        <f>IF('Orçamento-TCE'!A193&gt;0,'Orçamento-TCE'!A193,"")</f>
        <v>1</v>
      </c>
      <c r="B193" s="475">
        <f>'Orçamento-TCE'!B193</f>
        <v>160</v>
      </c>
      <c r="C193" s="475" t="str">
        <f>IF('Orçamento-TCE'!C193&gt;0,'Orçamento-TCE'!C193,"")</f>
        <v>17.4</v>
      </c>
      <c r="D193" s="461" t="str">
        <f>IF('Orçamento-TCE'!G193&gt;0,'Orçamento-TCE'!G193,"")</f>
        <v>DESMONTAGEM DO CANTEIRO</v>
      </c>
      <c r="E193" s="461">
        <f>IF('Orçamento-TCE'!H193&gt;0,'Orçamento-TCE'!H193,"")</f>
        <v>1</v>
      </c>
      <c r="F193" s="461" t="str">
        <f>IF('Orçamento-TCE'!I193&gt;0,'Orçamento-TCE'!I193,"")</f>
        <v>UN</v>
      </c>
      <c r="G193" s="460">
        <f>orcamento!K192</f>
        <v>2052.08</v>
      </c>
      <c r="H193" s="461">
        <f t="shared" si="2"/>
        <v>2052.08</v>
      </c>
      <c r="I193" s="462">
        <f>orcamento!J192</f>
        <v>0.24229999999999999</v>
      </c>
      <c r="J193" s="462">
        <v>1.1194999999999999</v>
      </c>
      <c r="K193" s="462"/>
      <c r="L193" s="476">
        <f>orcamento!M192</f>
        <v>0</v>
      </c>
      <c r="M193" s="476">
        <f>orcamento!L192</f>
        <v>2052.08</v>
      </c>
    </row>
  </sheetData>
  <mergeCells count="12">
    <mergeCell ref="A1:H1"/>
    <mergeCell ref="C2:D2"/>
    <mergeCell ref="A3:B3"/>
    <mergeCell ref="C3:H3"/>
    <mergeCell ref="C4:F4"/>
    <mergeCell ref="E10:M10"/>
    <mergeCell ref="C5:D5"/>
    <mergeCell ref="C6:D6"/>
    <mergeCell ref="A10:A11"/>
    <mergeCell ref="B10:B11"/>
    <mergeCell ref="C10:C11"/>
    <mergeCell ref="D10:D11"/>
  </mergeCells>
  <pageMargins left="0.51180555555555596" right="0.51180555555555596" top="0.78749999999999998" bottom="0.78749999999999998" header="0.511811023622047" footer="0.511811023622047"/>
  <pageSetup paperSize="9" orientation="portrait" horizontalDpi="300" verticalDpi="30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F0AEA64F-61BE-4F7E-A40F-B1C0339D9C4B}">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Template/>
  <TotalTime>374</TotalTime>
  <Application>Microsoft Excel</Application>
  <DocSecurity>0</DocSecurity>
  <ScaleCrop>false</ScaleCrop>
  <HeadingPairs>
    <vt:vector size="4" baseType="variant">
      <vt:variant>
        <vt:lpstr>Planilhas</vt:lpstr>
      </vt:variant>
      <vt:variant>
        <vt:i4>19</vt:i4>
      </vt:variant>
      <vt:variant>
        <vt:lpstr>Intervalos Nomeados</vt:lpstr>
      </vt:variant>
      <vt:variant>
        <vt:i4>2</vt:i4>
      </vt:variant>
    </vt:vector>
  </HeadingPairs>
  <TitlesOfParts>
    <vt:vector size="21" baseType="lpstr">
      <vt:lpstr>dados</vt:lpstr>
      <vt:lpstr>orcamento</vt:lpstr>
      <vt:lpstr>composicoes</vt:lpstr>
      <vt:lpstr>tabelas</vt:lpstr>
      <vt:lpstr>cronograma</vt:lpstr>
      <vt:lpstr>curva ABC</vt:lpstr>
      <vt:lpstr>indice reajuste</vt:lpstr>
      <vt:lpstr>BDI</vt:lpstr>
      <vt:lpstr>encargos</vt:lpstr>
      <vt:lpstr>DMT</vt:lpstr>
      <vt:lpstr>quant_pavim</vt:lpstr>
      <vt:lpstr>quant_drenagem</vt:lpstr>
      <vt:lpstr>empolamentos</vt:lpstr>
      <vt:lpstr>SINAPI-comp</vt:lpstr>
      <vt:lpstr>SINAPI-insumo</vt:lpstr>
      <vt:lpstr>SINAPI-%MO</vt:lpstr>
      <vt:lpstr>Identificação-TCE</vt:lpstr>
      <vt:lpstr>Orçamento-TCE</vt:lpstr>
      <vt:lpstr>Proposta-TCE</vt:lpstr>
      <vt:lpstr>composicoes!Area_de_impressao</vt:lpstr>
      <vt:lpstr>encargos!Area_de_impressao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Demitrio Rabelo Fleck</dc:creator>
  <dc:description/>
  <cp:lastModifiedBy>Northon Chaves de Freitas</cp:lastModifiedBy>
  <cp:revision>20</cp:revision>
  <cp:lastPrinted>2025-11-28T13:35:40Z</cp:lastPrinted>
  <dcterms:created xsi:type="dcterms:W3CDTF">2019-06-17T13:06:13Z</dcterms:created>
  <dcterms:modified xsi:type="dcterms:W3CDTF">2026-10-21T12:38:04Z</dcterms:modified>
  <dc:language>pt-BR</dc:language>
</cp:coreProperties>
</file>